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bookViews>
    <workbookView xWindow="0" yWindow="0" windowWidth="17250" windowHeight="5925" firstSheet="4" activeTab="27"/>
  </bookViews>
  <sheets>
    <sheet name="8 План18-20-2" sheetId="21" state="hidden" r:id="rId1"/>
    <sheet name="3. ОМ" sheetId="24" state="hidden" r:id="rId2"/>
    <sheet name="Исп.бюдж.01.01.2019" sheetId="31" state="hidden" r:id="rId3"/>
    <sheet name="8 План18-20-5" sheetId="35" state="hidden" r:id="rId4"/>
    <sheet name="12А" sheetId="3" r:id="rId5"/>
    <sheet name="12Б_СТРОЙКА_НОВЫЙ" sheetId="50" state="hidden" r:id="rId6"/>
    <sheet name="НП" sheetId="52" state="hidden" r:id="rId7"/>
    <sheet name="программа" sheetId="51" state="hidden" r:id="rId8"/>
    <sheet name="12Б_СТРОЙКА_9мес." sheetId="54" state="hidden" r:id="rId9"/>
    <sheet name="475ПП" sheetId="45" state="hidden" r:id="rId10"/>
    <sheet name="Документ" sheetId="46" state="hidden" r:id="rId11"/>
    <sheet name="12А_МИНСТРОЙ" sheetId="47" state="hidden" r:id="rId12"/>
    <sheet name="12Б_СТРОЙКА_СТАРЫЙ" sheetId="48" state="hidden" r:id="rId13"/>
    <sheet name="2023_КАССА" sheetId="49" state="hidden" r:id="rId14"/>
    <sheet name="Минфин" sheetId="40" state="hidden" r:id="rId15"/>
    <sheet name="Муниципальные" sheetId="41" state="hidden" r:id="rId16"/>
    <sheet name="Областные" sheetId="42" state="hidden" r:id="rId17"/>
    <sheet name="Пр ГП 19-20" sheetId="43" state="hidden" r:id="rId18"/>
    <sheet name="Исп.бюдж 01.07.19" sheetId="36" state="hidden" r:id="rId19"/>
    <sheet name="11д. Оц эф" sheetId="33" state="hidden" r:id="rId20"/>
    <sheet name="11г" sheetId="34" state="hidden" r:id="rId21"/>
    <sheet name="4. ОКС" sheetId="25" state="hidden" r:id="rId22"/>
    <sheet name="8 План16-20" sheetId="20" state="hidden" r:id="rId23"/>
    <sheet name="668-ПП" sheetId="56" state="hidden" r:id="rId24"/>
    <sheet name="МИНСТРОЙ_12А" sheetId="57" state="hidden" r:id="rId25"/>
    <sheet name="12Б_2023" sheetId="66" r:id="rId26"/>
    <sheet name="12Б_2023_старая" sheetId="64" state="hidden" r:id="rId27"/>
    <sheet name="12В" sheetId="59" r:id="rId28"/>
    <sheet name="12Г" sheetId="60" r:id="rId29"/>
    <sheet name="12Д" sheetId="61" r:id="rId30"/>
    <sheet name="2023" sheetId="62" state="hidden" r:id="rId31"/>
    <sheet name="Документ (2)" sheetId="63" state="hidden" r:id="rId32"/>
    <sheet name="НОВЫЙ" sheetId="65" state="hidden" r:id="rId33"/>
    <sheet name="Документ_2" sheetId="58"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xlnm._FilterDatabase" localSheetId="4" hidden="1">'12А'!$A$3:$M$304</definedName>
    <definedName name="_xlnm._FilterDatabase" localSheetId="11" hidden="1">'12А_МИНСТРОЙ'!$A$2:$M$263</definedName>
    <definedName name="_xlnm._FilterDatabase" localSheetId="21" hidden="1">'4. ОКС'!$A$6:$N$164</definedName>
    <definedName name="_xlnm._FilterDatabase" localSheetId="9" hidden="1">'475ПП'!$A$9:$L$759</definedName>
    <definedName name="_xlnm._FilterDatabase" localSheetId="23" hidden="1">'668-ПП'!$A$4:$L$778</definedName>
    <definedName name="_xlnm._FilterDatabase" localSheetId="10" hidden="1">Документ!$A$4:$M$122</definedName>
    <definedName name="_xlnm._FilterDatabase" localSheetId="31" hidden="1">'Документ (2)'!$A$5:$Q$271</definedName>
    <definedName name="_xlnm._FilterDatabase" localSheetId="33" hidden="1">Документ_2!$A$5:$I$2061</definedName>
    <definedName name="_xlnm._FilterDatabase" localSheetId="24" hidden="1">МИНСТРОЙ_12А!$A$3:$M$264</definedName>
    <definedName name="_xlnm._FilterDatabase" localSheetId="14" hidden="1">Минфин!$A$5:$J$1887</definedName>
    <definedName name="_xlnm._FilterDatabase" localSheetId="32" hidden="1">НОВЫЙ!$A$4:$L$778</definedName>
    <definedName name="_xlnm._FilterDatabase" localSheetId="6" hidden="1">НП!$A$5:$R$263</definedName>
    <definedName name="_xlnm._FilterDatabase" localSheetId="16" hidden="1">Областные!#REF!</definedName>
    <definedName name="_xlnm._FilterDatabase" localSheetId="17" hidden="1">'Пр ГП 19-20'!$A$4:$K$277</definedName>
    <definedName name="_xlnm._FilterDatabase" localSheetId="7" hidden="1">программа!$A$5:$R$263</definedName>
    <definedName name="Print_Titles" localSheetId="9">'475ПП'!$8:$9</definedName>
    <definedName name="Print_Titles" localSheetId="23">'668-ПП'!$3:$4</definedName>
    <definedName name="Print_Titles" localSheetId="32">НОВЫЙ!$3:$4</definedName>
    <definedName name="_xlnm.Print_Titles" localSheetId="28">'12Г'!$2:$2</definedName>
    <definedName name="_xlnm.Print_Titles" localSheetId="10">Документ!$5:$5</definedName>
    <definedName name="_xlnm.Print_Titles" localSheetId="31">'Документ (2)'!$5:$5</definedName>
    <definedName name="_xlnm.Print_Titles" localSheetId="33">Документ_2!$5:$5</definedName>
    <definedName name="_xlnm.Print_Titles" localSheetId="14">Минфин!$5:$5</definedName>
    <definedName name="_xlnm.Print_Titles" localSheetId="15">Муниципальные!$4:$5</definedName>
    <definedName name="_xlnm.Print_Titles" localSheetId="6">НП!$5:$5</definedName>
    <definedName name="_xlnm.Print_Titles" localSheetId="16">Областные!$5:$6</definedName>
    <definedName name="_xlnm.Print_Titles" localSheetId="7">программа!$5:$5</definedName>
    <definedName name="_xlnm.Print_Area" localSheetId="19">'11д. Оц эф'!$A$1:$H$15</definedName>
    <definedName name="_xlnm.Print_Area" localSheetId="4">'12А'!$A$2:$M$304</definedName>
    <definedName name="_xlnm.Print_Area" localSheetId="11">'12А_МИНСТРОЙ'!$A$1:$M$263</definedName>
    <definedName name="_xlnm.Print_Area" localSheetId="27">'12В'!$A$1:$P$26</definedName>
    <definedName name="_xlnm.Print_Area" localSheetId="28">'12Г'!$A$1:$G$13</definedName>
    <definedName name="_xlnm.Print_Area" localSheetId="29">'12Д'!$A$1:$H$12</definedName>
    <definedName name="_xlnm.Print_Area" localSheetId="30">'2023'!$B$1:$H$130</definedName>
    <definedName name="_xlnm.Print_Area" localSheetId="13">'2023_КАССА'!$B$1:$J$111</definedName>
    <definedName name="_xlnm.Print_Area" localSheetId="1">'3. ОМ'!$A$1:$K$134</definedName>
    <definedName name="_xlnm.Print_Area" localSheetId="21">'4. ОКС'!$A$1:$L$164</definedName>
    <definedName name="_xlnm.Print_Area" localSheetId="9">'475ПП'!$A$1:$M$759</definedName>
    <definedName name="_xlnm.Print_Area" localSheetId="23">'668-ПП'!$A$1:$K$778</definedName>
    <definedName name="_xlnm.Print_Area" localSheetId="22">'8 План16-20'!$A$1:$K$424</definedName>
    <definedName name="_xlnm.Print_Area" localSheetId="0">'8 План18-20-2'!$A$1:$K$442</definedName>
    <definedName name="_xlnm.Print_Area" localSheetId="3">'8 План18-20-5'!$A$1:$K$448</definedName>
    <definedName name="_xlnm.Print_Area" localSheetId="31">'Документ (2)'!$A$1:$Q$278</definedName>
    <definedName name="_xlnm.Print_Area" localSheetId="24">МИНСТРОЙ_12А!$A$2:$M$264</definedName>
    <definedName name="_xlnm.Print_Area" localSheetId="32">НОВЫЙ!$A$1:$K$778</definedName>
    <definedName name="_xlnm.Print_Area" localSheetId="17">'Пр ГП 19-20'!$A$1:$K$277</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57" i="66" l="1"/>
  <c r="N57" i="66"/>
  <c r="M57" i="66"/>
  <c r="L57" i="66"/>
  <c r="K57" i="66"/>
  <c r="J57" i="66"/>
  <c r="I57" i="66"/>
  <c r="O57" i="66" s="1"/>
  <c r="H57" i="66"/>
  <c r="M52" i="66"/>
  <c r="L52" i="66"/>
  <c r="N52" i="66" s="1"/>
  <c r="K52" i="66"/>
  <c r="J52" i="66"/>
  <c r="I52" i="66"/>
  <c r="O52" i="66" s="1"/>
  <c r="H52" i="66"/>
  <c r="P52" i="66" s="1"/>
  <c r="I50" i="66"/>
  <c r="I47" i="66" s="1"/>
  <c r="O47" i="66" s="1"/>
  <c r="H50" i="66"/>
  <c r="H47" i="66" s="1"/>
  <c r="P47" i="66" s="1"/>
  <c r="I48" i="66"/>
  <c r="H48" i="66"/>
  <c r="M47" i="66"/>
  <c r="L47" i="66"/>
  <c r="N47" i="66" s="1"/>
  <c r="K47" i="66"/>
  <c r="J47" i="66"/>
  <c r="M42" i="66"/>
  <c r="N42" i="66" s="1"/>
  <c r="L42" i="66"/>
  <c r="K42" i="66"/>
  <c r="J42" i="66"/>
  <c r="I42" i="66"/>
  <c r="H42" i="66"/>
  <c r="P42" i="66" s="1"/>
  <c r="P37" i="66"/>
  <c r="M37" i="66"/>
  <c r="L37" i="66"/>
  <c r="N37" i="66" s="1"/>
  <c r="K37" i="66"/>
  <c r="J37" i="66"/>
  <c r="I37" i="66"/>
  <c r="H37" i="66"/>
  <c r="M32" i="66"/>
  <c r="N32" i="66" s="1"/>
  <c r="L32" i="66"/>
  <c r="K32" i="66"/>
  <c r="J32" i="66"/>
  <c r="I32" i="66"/>
  <c r="O32" i="66" s="1"/>
  <c r="H32" i="66"/>
  <c r="P32" i="66" s="1"/>
  <c r="M27" i="66"/>
  <c r="L27" i="66"/>
  <c r="K27" i="66"/>
  <c r="P27" i="66" s="1"/>
  <c r="J27" i="66"/>
  <c r="N27" i="66" s="1"/>
  <c r="I27" i="66"/>
  <c r="I26" i="66" s="1"/>
  <c r="I25" i="66" s="1"/>
  <c r="I24" i="66" s="1"/>
  <c r="I23" i="66" s="1"/>
  <c r="I22" i="66" s="1"/>
  <c r="H27" i="66"/>
  <c r="M22" i="66"/>
  <c r="L22" i="66"/>
  <c r="N22" i="66" s="1"/>
  <c r="K22" i="66"/>
  <c r="J22" i="66"/>
  <c r="H22" i="66"/>
  <c r="P22" i="66" s="1"/>
  <c r="M20" i="66"/>
  <c r="M19" i="66" s="1"/>
  <c r="P17" i="66"/>
  <c r="N17" i="66"/>
  <c r="L17" i="66"/>
  <c r="K17" i="66"/>
  <c r="J17" i="66"/>
  <c r="H17" i="66"/>
  <c r="I14" i="66"/>
  <c r="L13" i="66"/>
  <c r="N13" i="66" s="1"/>
  <c r="K13" i="66"/>
  <c r="J13" i="66"/>
  <c r="I13" i="66"/>
  <c r="H13" i="66"/>
  <c r="P13" i="66" s="1"/>
  <c r="N11" i="66"/>
  <c r="M11" i="66"/>
  <c r="L11" i="66"/>
  <c r="K11" i="66"/>
  <c r="J11" i="66"/>
  <c r="H11" i="66"/>
  <c r="M10" i="66"/>
  <c r="L10" i="66"/>
  <c r="N10" i="66" s="1"/>
  <c r="K10" i="66"/>
  <c r="J10" i="66"/>
  <c r="H10" i="66"/>
  <c r="L9" i="66"/>
  <c r="N9" i="66" s="1"/>
  <c r="K9" i="66"/>
  <c r="J9" i="66"/>
  <c r="H9" i="66"/>
  <c r="H7" i="66" s="1"/>
  <c r="N8" i="66"/>
  <c r="L8" i="66"/>
  <c r="K8" i="66"/>
  <c r="K7" i="66" s="1"/>
  <c r="J8" i="66"/>
  <c r="J7" i="66" s="1"/>
  <c r="H8" i="66"/>
  <c r="M9" i="66" l="1"/>
  <c r="M18" i="66"/>
  <c r="I21" i="66"/>
  <c r="O22" i="66"/>
  <c r="L7" i="66"/>
  <c r="N7" i="66" s="1"/>
  <c r="O27" i="66"/>
  <c r="D151" i="3"/>
  <c r="D146" i="3"/>
  <c r="D141" i="3"/>
  <c r="D136" i="3"/>
  <c r="D131" i="3"/>
  <c r="D126" i="3"/>
  <c r="D121" i="3"/>
  <c r="D116" i="3"/>
  <c r="D111" i="3"/>
  <c r="D106" i="3"/>
  <c r="E778" i="65"/>
  <c r="E777" i="65"/>
  <c r="F776" i="65"/>
  <c r="E776" i="65" s="1"/>
  <c r="E775" i="65"/>
  <c r="E774" i="65"/>
  <c r="I773" i="65"/>
  <c r="H773" i="65"/>
  <c r="G773" i="65"/>
  <c r="I772" i="65"/>
  <c r="H772" i="65"/>
  <c r="H767" i="65" s="1"/>
  <c r="G772" i="65"/>
  <c r="G767" i="65" s="1"/>
  <c r="F772" i="65"/>
  <c r="F766" i="65" s="1"/>
  <c r="I771" i="65"/>
  <c r="I765" i="65" s="1"/>
  <c r="H771" i="65"/>
  <c r="H765" i="65" s="1"/>
  <c r="G771" i="65"/>
  <c r="F771" i="65"/>
  <c r="E771" i="65" s="1"/>
  <c r="I770" i="65"/>
  <c r="H770" i="65"/>
  <c r="G770" i="65"/>
  <c r="F770" i="65"/>
  <c r="E770" i="65" s="1"/>
  <c r="I769" i="65"/>
  <c r="I763" i="65" s="1"/>
  <c r="H769" i="65"/>
  <c r="H763" i="65" s="1"/>
  <c r="G769" i="65"/>
  <c r="G763" i="65" s="1"/>
  <c r="F769" i="65"/>
  <c r="E769" i="65" s="1"/>
  <c r="I768" i="65"/>
  <c r="H768" i="65"/>
  <c r="G768" i="65"/>
  <c r="F768" i="65"/>
  <c r="E768" i="65" s="1"/>
  <c r="I767" i="65"/>
  <c r="I766" i="65"/>
  <c r="G765" i="65"/>
  <c r="F765" i="65"/>
  <c r="I764" i="65"/>
  <c r="H764" i="65"/>
  <c r="G764" i="65"/>
  <c r="I762" i="65"/>
  <c r="H762" i="65"/>
  <c r="G762" i="65"/>
  <c r="F762" i="65"/>
  <c r="E762" i="65" s="1"/>
  <c r="E760" i="65"/>
  <c r="E759" i="65"/>
  <c r="H758" i="65"/>
  <c r="H734" i="65" s="1"/>
  <c r="F758" i="65"/>
  <c r="F734" i="65" s="1"/>
  <c r="E734" i="65" s="1"/>
  <c r="E757" i="65"/>
  <c r="E756" i="65"/>
  <c r="I755" i="65"/>
  <c r="G755" i="65"/>
  <c r="E754" i="65"/>
  <c r="E753" i="65"/>
  <c r="E752" i="65"/>
  <c r="E751" i="65"/>
  <c r="E750" i="65"/>
  <c r="I749" i="65"/>
  <c r="E749" i="65" s="1"/>
  <c r="E748" i="65"/>
  <c r="E747" i="65"/>
  <c r="E746" i="65"/>
  <c r="E745" i="65"/>
  <c r="E744" i="65"/>
  <c r="I743" i="65"/>
  <c r="H743" i="65"/>
  <c r="G743" i="65"/>
  <c r="E743" i="65" s="1"/>
  <c r="F743" i="65"/>
  <c r="E742" i="65"/>
  <c r="E741" i="65"/>
  <c r="F740" i="65"/>
  <c r="E740" i="65"/>
  <c r="E739" i="65"/>
  <c r="E738" i="65"/>
  <c r="I737" i="65"/>
  <c r="H737" i="65"/>
  <c r="G737" i="65"/>
  <c r="F737" i="65"/>
  <c r="E737" i="65" s="1"/>
  <c r="I736" i="65"/>
  <c r="H736" i="65"/>
  <c r="E736" i="65" s="1"/>
  <c r="G736" i="65"/>
  <c r="F736" i="65"/>
  <c r="I735" i="65"/>
  <c r="H735" i="65"/>
  <c r="G735" i="65"/>
  <c r="F735" i="65"/>
  <c r="E735" i="65"/>
  <c r="I734" i="65"/>
  <c r="I731" i="65" s="1"/>
  <c r="G734" i="65"/>
  <c r="I733" i="65"/>
  <c r="H733" i="65"/>
  <c r="G733" i="65"/>
  <c r="F733" i="65"/>
  <c r="E733" i="65" s="1"/>
  <c r="I732" i="65"/>
  <c r="H732" i="65"/>
  <c r="H731" i="65" s="1"/>
  <c r="G732" i="65"/>
  <c r="E732" i="65" s="1"/>
  <c r="F732" i="65"/>
  <c r="F731" i="65" s="1"/>
  <c r="E730" i="65"/>
  <c r="E729" i="65"/>
  <c r="E728" i="65"/>
  <c r="M727" i="65"/>
  <c r="E727" i="65"/>
  <c r="E715" i="65" s="1"/>
  <c r="E726" i="65"/>
  <c r="I725" i="65"/>
  <c r="H725" i="65"/>
  <c r="E725" i="65" s="1"/>
  <c r="G725" i="65"/>
  <c r="F725" i="65"/>
  <c r="E724" i="65"/>
  <c r="E718" i="65" s="1"/>
  <c r="E723" i="65"/>
  <c r="E722" i="65"/>
  <c r="E721" i="65"/>
  <c r="E720" i="65"/>
  <c r="E714" i="65" s="1"/>
  <c r="I719" i="65"/>
  <c r="I713" i="65" s="1"/>
  <c r="H719" i="65"/>
  <c r="H713" i="65" s="1"/>
  <c r="G719" i="65"/>
  <c r="G713" i="65" s="1"/>
  <c r="F719" i="65"/>
  <c r="E719" i="65" s="1"/>
  <c r="I718" i="65"/>
  <c r="H718" i="65"/>
  <c r="G718" i="65"/>
  <c r="F718" i="65"/>
  <c r="I717" i="65"/>
  <c r="H717" i="65"/>
  <c r="G717" i="65"/>
  <c r="F717" i="65"/>
  <c r="E717" i="65"/>
  <c r="I716" i="65"/>
  <c r="H716" i="65"/>
  <c r="G716" i="65"/>
  <c r="F716" i="65"/>
  <c r="E716" i="65"/>
  <c r="I715" i="65"/>
  <c r="H715" i="65"/>
  <c r="G715" i="65"/>
  <c r="F715" i="65"/>
  <c r="I714" i="65"/>
  <c r="H714" i="65"/>
  <c r="G714" i="65"/>
  <c r="F714" i="65"/>
  <c r="I712" i="65"/>
  <c r="H712" i="65"/>
  <c r="G712" i="65"/>
  <c r="F712" i="65"/>
  <c r="E712" i="65"/>
  <c r="I711" i="65"/>
  <c r="H711" i="65"/>
  <c r="G711" i="65"/>
  <c r="F711" i="65"/>
  <c r="E711" i="65"/>
  <c r="I710" i="65"/>
  <c r="H710" i="65"/>
  <c r="G710" i="65"/>
  <c r="F710" i="65"/>
  <c r="E710" i="65"/>
  <c r="I709" i="65"/>
  <c r="H709" i="65"/>
  <c r="G709" i="65"/>
  <c r="F709" i="65"/>
  <c r="E709" i="65"/>
  <c r="I708" i="65"/>
  <c r="H708" i="65"/>
  <c r="G708" i="65"/>
  <c r="F708" i="65"/>
  <c r="E708" i="65"/>
  <c r="I707" i="65"/>
  <c r="H707" i="65"/>
  <c r="G707" i="65"/>
  <c r="F707" i="65"/>
  <c r="E707" i="65"/>
  <c r="I706" i="65"/>
  <c r="H706" i="65"/>
  <c r="G706" i="65"/>
  <c r="F706" i="65"/>
  <c r="E706" i="65"/>
  <c r="I705" i="65"/>
  <c r="H705" i="65"/>
  <c r="G705" i="65"/>
  <c r="F705" i="65"/>
  <c r="E705" i="65"/>
  <c r="I704" i="65"/>
  <c r="H704" i="65"/>
  <c r="G704" i="65"/>
  <c r="F704" i="65"/>
  <c r="E704" i="65"/>
  <c r="I703" i="65"/>
  <c r="H703" i="65"/>
  <c r="G703" i="65"/>
  <c r="F703" i="65"/>
  <c r="E703" i="65"/>
  <c r="I702" i="65"/>
  <c r="H702" i="65"/>
  <c r="G702" i="65"/>
  <c r="F702" i="65"/>
  <c r="E702" i="65"/>
  <c r="I701" i="65"/>
  <c r="H701" i="65"/>
  <c r="G701" i="65"/>
  <c r="F701" i="65"/>
  <c r="E701" i="65"/>
  <c r="I700" i="65"/>
  <c r="H700" i="65"/>
  <c r="G700" i="65"/>
  <c r="F700" i="65"/>
  <c r="E700" i="65"/>
  <c r="I699" i="65"/>
  <c r="H699" i="65"/>
  <c r="G699" i="65"/>
  <c r="F699" i="65"/>
  <c r="E699" i="65"/>
  <c r="I698" i="65"/>
  <c r="H698" i="65"/>
  <c r="G698" i="65"/>
  <c r="F698" i="65"/>
  <c r="E698" i="65"/>
  <c r="I697" i="65"/>
  <c r="H697" i="65"/>
  <c r="G697" i="65"/>
  <c r="F697" i="65"/>
  <c r="E697" i="65"/>
  <c r="I696" i="65"/>
  <c r="H696" i="65"/>
  <c r="G696" i="65"/>
  <c r="F696" i="65"/>
  <c r="E696" i="65"/>
  <c r="I695" i="65"/>
  <c r="H695" i="65"/>
  <c r="G695" i="65"/>
  <c r="F695" i="65"/>
  <c r="E695" i="65"/>
  <c r="I694" i="65"/>
  <c r="H694" i="65"/>
  <c r="G694" i="65"/>
  <c r="F694" i="65"/>
  <c r="E694" i="65"/>
  <c r="I693" i="65"/>
  <c r="H693" i="65"/>
  <c r="G693" i="65"/>
  <c r="F693" i="65"/>
  <c r="E693" i="65"/>
  <c r="I692" i="65"/>
  <c r="H692" i="65"/>
  <c r="G692" i="65"/>
  <c r="F692" i="65"/>
  <c r="E692" i="65"/>
  <c r="I691" i="65"/>
  <c r="H691" i="65"/>
  <c r="G691" i="65"/>
  <c r="F691" i="65"/>
  <c r="E691" i="65"/>
  <c r="I690" i="65"/>
  <c r="H690" i="65"/>
  <c r="G690" i="65"/>
  <c r="F690" i="65"/>
  <c r="E690" i="65"/>
  <c r="I689" i="65"/>
  <c r="H689" i="65"/>
  <c r="G689" i="65"/>
  <c r="F689" i="65"/>
  <c r="E689" i="65"/>
  <c r="I688" i="65"/>
  <c r="H688" i="65"/>
  <c r="E688" i="65" s="1"/>
  <c r="E687" i="65"/>
  <c r="E686" i="65"/>
  <c r="E685" i="65"/>
  <c r="E684" i="65"/>
  <c r="I683" i="65"/>
  <c r="G683" i="65"/>
  <c r="F683" i="65"/>
  <c r="I682" i="65"/>
  <c r="H682" i="65"/>
  <c r="H677" i="65" s="1"/>
  <c r="G682" i="65"/>
  <c r="F682" i="65"/>
  <c r="E682" i="65" s="1"/>
  <c r="I681" i="65"/>
  <c r="H681" i="65"/>
  <c r="G681" i="65"/>
  <c r="F681" i="65"/>
  <c r="E681" i="65" s="1"/>
  <c r="I680" i="65"/>
  <c r="H680" i="65"/>
  <c r="G680" i="65"/>
  <c r="F680" i="65"/>
  <c r="E680" i="65" s="1"/>
  <c r="I679" i="65"/>
  <c r="H679" i="65"/>
  <c r="G679" i="65"/>
  <c r="F679" i="65"/>
  <c r="E679" i="65"/>
  <c r="I678" i="65"/>
  <c r="H678" i="65"/>
  <c r="G678" i="65"/>
  <c r="F678" i="65"/>
  <c r="E678" i="65" s="1"/>
  <c r="I677" i="65"/>
  <c r="G677" i="65"/>
  <c r="F676" i="65"/>
  <c r="E676" i="65"/>
  <c r="F675" i="65"/>
  <c r="E675" i="65" s="1"/>
  <c r="F674" i="65"/>
  <c r="E674" i="65"/>
  <c r="H673" i="65"/>
  <c r="E673" i="65"/>
  <c r="F672" i="65"/>
  <c r="F671" i="65" s="1"/>
  <c r="E671" i="65" s="1"/>
  <c r="E672" i="65"/>
  <c r="H671" i="65"/>
  <c r="E670" i="65"/>
  <c r="E669" i="65"/>
  <c r="E668" i="65"/>
  <c r="H667" i="65"/>
  <c r="E667" i="65"/>
  <c r="E666" i="65"/>
  <c r="H665" i="65"/>
  <c r="E665" i="65" s="1"/>
  <c r="F665" i="65"/>
  <c r="E664" i="65"/>
  <c r="E663" i="65"/>
  <c r="E662" i="65"/>
  <c r="H661" i="65"/>
  <c r="H659" i="65" s="1"/>
  <c r="F661" i="65"/>
  <c r="F659" i="65" s="1"/>
  <c r="E659" i="65" s="1"/>
  <c r="E660" i="65"/>
  <c r="I659" i="65"/>
  <c r="G659" i="65"/>
  <c r="E658" i="65"/>
  <c r="E657" i="65"/>
  <c r="E656" i="65"/>
  <c r="H655" i="65"/>
  <c r="H653" i="65" s="1"/>
  <c r="F655" i="65"/>
  <c r="F653" i="65" s="1"/>
  <c r="E653" i="65" s="1"/>
  <c r="E654" i="65"/>
  <c r="I653" i="65"/>
  <c r="G653" i="65"/>
  <c r="E652" i="65"/>
  <c r="E651" i="65"/>
  <c r="E650" i="65"/>
  <c r="E649" i="65"/>
  <c r="E648" i="65"/>
  <c r="I647" i="65"/>
  <c r="H647" i="65"/>
  <c r="G647" i="65"/>
  <c r="F647" i="65"/>
  <c r="E647" i="65"/>
  <c r="E646" i="65"/>
  <c r="E645" i="65"/>
  <c r="E644" i="65"/>
  <c r="E643" i="65"/>
  <c r="E642" i="65"/>
  <c r="I641" i="65"/>
  <c r="H641" i="65"/>
  <c r="G641" i="65"/>
  <c r="E641" i="65" s="1"/>
  <c r="F641" i="65"/>
  <c r="E640" i="65"/>
  <c r="E639" i="65"/>
  <c r="E638" i="65"/>
  <c r="E637" i="65"/>
  <c r="E636" i="65"/>
  <c r="I635" i="65"/>
  <c r="H635" i="65"/>
  <c r="G635" i="65"/>
  <c r="F635" i="65"/>
  <c r="E635" i="65" s="1"/>
  <c r="E634" i="65"/>
  <c r="E633" i="65"/>
  <c r="I632" i="65"/>
  <c r="E632" i="65"/>
  <c r="I631" i="65"/>
  <c r="I630" i="65" s="1"/>
  <c r="H631" i="65"/>
  <c r="E631" i="65" s="1"/>
  <c r="G629" i="65"/>
  <c r="F629" i="65"/>
  <c r="E628" i="65"/>
  <c r="E627" i="65"/>
  <c r="E626" i="65"/>
  <c r="H625" i="65"/>
  <c r="H623" i="65" s="1"/>
  <c r="I623" i="65"/>
  <c r="F623" i="65"/>
  <c r="I622" i="65"/>
  <c r="I621" i="65" s="1"/>
  <c r="I620" i="65" s="1"/>
  <c r="I619" i="65" s="1"/>
  <c r="I618" i="65" s="1"/>
  <c r="I617" i="65" s="1"/>
  <c r="I616" i="65" s="1"/>
  <c r="I615" i="65" s="1"/>
  <c r="I614" i="65" s="1"/>
  <c r="I613" i="65" s="1"/>
  <c r="I612" i="65" s="1"/>
  <c r="I611" i="65" s="1"/>
  <c r="I610" i="65" s="1"/>
  <c r="I609" i="65" s="1"/>
  <c r="I608" i="65" s="1"/>
  <c r="I607" i="65" s="1"/>
  <c r="I606" i="65" s="1"/>
  <c r="I605" i="65" s="1"/>
  <c r="I604" i="65" s="1"/>
  <c r="I603" i="65" s="1"/>
  <c r="I602" i="65" s="1"/>
  <c r="I601" i="65" s="1"/>
  <c r="I600" i="65" s="1"/>
  <c r="I599" i="65" s="1"/>
  <c r="I598" i="65" s="1"/>
  <c r="H617" i="65"/>
  <c r="F617" i="65"/>
  <c r="H613" i="65"/>
  <c r="H611" i="65" s="1"/>
  <c r="F611" i="65"/>
  <c r="H607" i="65"/>
  <c r="H605" i="65"/>
  <c r="F605" i="65"/>
  <c r="H599" i="65"/>
  <c r="F599" i="65"/>
  <c r="H595" i="65"/>
  <c r="H593" i="65" s="1"/>
  <c r="F593" i="65"/>
  <c r="E592" i="65"/>
  <c r="E591" i="65"/>
  <c r="E590" i="65"/>
  <c r="E589" i="65"/>
  <c r="E588" i="65"/>
  <c r="I587" i="65"/>
  <c r="H587" i="65"/>
  <c r="G587" i="65"/>
  <c r="E587" i="65" s="1"/>
  <c r="F587" i="65"/>
  <c r="E586" i="65"/>
  <c r="E585" i="65"/>
  <c r="E584" i="65"/>
  <c r="E583" i="65"/>
  <c r="E582" i="65"/>
  <c r="I581" i="65"/>
  <c r="H581" i="65"/>
  <c r="G581" i="65"/>
  <c r="F581" i="65"/>
  <c r="E581" i="65"/>
  <c r="E580" i="65"/>
  <c r="E579" i="65"/>
  <c r="E578" i="65"/>
  <c r="E577" i="65"/>
  <c r="E576" i="65"/>
  <c r="I575" i="65"/>
  <c r="H575" i="65"/>
  <c r="G575" i="65"/>
  <c r="F575" i="65"/>
  <c r="E575" i="65"/>
  <c r="E574" i="65"/>
  <c r="E573" i="65"/>
  <c r="E572" i="65"/>
  <c r="E571" i="65"/>
  <c r="E570" i="65"/>
  <c r="I569" i="65"/>
  <c r="H569" i="65"/>
  <c r="G569" i="65"/>
  <c r="E569" i="65" s="1"/>
  <c r="F569" i="65"/>
  <c r="E568" i="65"/>
  <c r="E567" i="65"/>
  <c r="E566" i="65"/>
  <c r="E565" i="65"/>
  <c r="H564" i="65"/>
  <c r="H563" i="65" s="1"/>
  <c r="E564" i="65"/>
  <c r="G563" i="65"/>
  <c r="F563" i="65"/>
  <c r="E563" i="65" s="1"/>
  <c r="E562" i="65"/>
  <c r="E561" i="65"/>
  <c r="E560" i="65"/>
  <c r="H559" i="65"/>
  <c r="E559" i="65" s="1"/>
  <c r="H558" i="65"/>
  <c r="E558" i="65" s="1"/>
  <c r="I557" i="65"/>
  <c r="G557" i="65"/>
  <c r="F557" i="65"/>
  <c r="E556" i="65"/>
  <c r="E555" i="65"/>
  <c r="E554" i="65"/>
  <c r="E553" i="65"/>
  <c r="E552" i="65"/>
  <c r="I551" i="65"/>
  <c r="E551" i="65" s="1"/>
  <c r="H551" i="65"/>
  <c r="G551" i="65"/>
  <c r="F551" i="65"/>
  <c r="E550" i="65"/>
  <c r="E549" i="65"/>
  <c r="E548" i="65"/>
  <c r="E547" i="65"/>
  <c r="E546" i="65"/>
  <c r="E545" i="65"/>
  <c r="E544" i="65"/>
  <c r="E543" i="65"/>
  <c r="E542" i="65"/>
  <c r="E541" i="65"/>
  <c r="E540" i="65"/>
  <c r="I539" i="65"/>
  <c r="H539" i="65"/>
  <c r="G539" i="65"/>
  <c r="E539" i="65" s="1"/>
  <c r="F539" i="65"/>
  <c r="H534" i="65"/>
  <c r="E534" i="65"/>
  <c r="I533" i="65"/>
  <c r="H533" i="65"/>
  <c r="G533" i="65"/>
  <c r="F533" i="65"/>
  <c r="E533" i="65" s="1"/>
  <c r="H528" i="65"/>
  <c r="H474" i="65" s="1"/>
  <c r="E528" i="65"/>
  <c r="I527" i="65"/>
  <c r="G527" i="65"/>
  <c r="F527" i="65"/>
  <c r="H522" i="65"/>
  <c r="H521" i="65" s="1"/>
  <c r="E521" i="65" s="1"/>
  <c r="E522" i="65"/>
  <c r="I521" i="65"/>
  <c r="G521" i="65"/>
  <c r="F521" i="65"/>
  <c r="H516" i="65"/>
  <c r="H515" i="65" s="1"/>
  <c r="E515" i="65" s="1"/>
  <c r="I515" i="65"/>
  <c r="G515" i="65"/>
  <c r="F515" i="65"/>
  <c r="H510" i="65"/>
  <c r="E510" i="65"/>
  <c r="I509" i="65"/>
  <c r="H509" i="65"/>
  <c r="G509" i="65"/>
  <c r="F509" i="65"/>
  <c r="E509" i="65" s="1"/>
  <c r="H504" i="65"/>
  <c r="E504" i="65" s="1"/>
  <c r="I503" i="65"/>
  <c r="H503" i="65"/>
  <c r="G503" i="65"/>
  <c r="E503" i="65" s="1"/>
  <c r="F503" i="65"/>
  <c r="E498" i="65"/>
  <c r="I497" i="65"/>
  <c r="H497" i="65"/>
  <c r="G497" i="65"/>
  <c r="E497" i="65" s="1"/>
  <c r="F497" i="65"/>
  <c r="E496" i="65"/>
  <c r="E495" i="65"/>
  <c r="E494" i="65"/>
  <c r="F493" i="65"/>
  <c r="E493" i="65" s="1"/>
  <c r="F492" i="65"/>
  <c r="E492" i="65" s="1"/>
  <c r="I491" i="65"/>
  <c r="H491" i="65"/>
  <c r="G491" i="65"/>
  <c r="E490" i="65"/>
  <c r="F489" i="65"/>
  <c r="E489" i="65" s="1"/>
  <c r="F488" i="65"/>
  <c r="E488" i="65" s="1"/>
  <c r="E487" i="65"/>
  <c r="E486" i="65"/>
  <c r="I485" i="65"/>
  <c r="H485" i="65"/>
  <c r="G485" i="65"/>
  <c r="E484" i="65"/>
  <c r="I483" i="65"/>
  <c r="I473" i="65" s="1"/>
  <c r="F482" i="65"/>
  <c r="F476" i="65" s="1"/>
  <c r="E481" i="65"/>
  <c r="E480" i="65"/>
  <c r="H479" i="65"/>
  <c r="G479" i="65"/>
  <c r="H478" i="65"/>
  <c r="F478" i="65"/>
  <c r="H477" i="65"/>
  <c r="F477" i="65"/>
  <c r="F351" i="65" s="1"/>
  <c r="H476" i="65"/>
  <c r="I475" i="65"/>
  <c r="I349" i="65" s="1"/>
  <c r="I474" i="65"/>
  <c r="I348" i="65" s="1"/>
  <c r="F474" i="65"/>
  <c r="E472" i="65"/>
  <c r="E471" i="65"/>
  <c r="E470" i="65"/>
  <c r="E469" i="65"/>
  <c r="E468" i="65"/>
  <c r="I467" i="65"/>
  <c r="H467" i="65"/>
  <c r="G467" i="65"/>
  <c r="F467" i="65"/>
  <c r="E467" i="65"/>
  <c r="E466" i="65"/>
  <c r="E465" i="65"/>
  <c r="E464" i="65"/>
  <c r="E463" i="65"/>
  <c r="E462" i="65"/>
  <c r="I461" i="65"/>
  <c r="H461" i="65"/>
  <c r="F461" i="65"/>
  <c r="E461" i="65" s="1"/>
  <c r="E460" i="65"/>
  <c r="E459" i="65"/>
  <c r="E458" i="65"/>
  <c r="E457" i="65"/>
  <c r="E456" i="65"/>
  <c r="I455" i="65"/>
  <c r="H455" i="65"/>
  <c r="G455" i="65"/>
  <c r="F455" i="65"/>
  <c r="E455" i="65" s="1"/>
  <c r="E454" i="65"/>
  <c r="E453" i="65"/>
  <c r="E452" i="65"/>
  <c r="F451" i="65"/>
  <c r="E451" i="65"/>
  <c r="E450" i="65"/>
  <c r="I449" i="65"/>
  <c r="H449" i="65"/>
  <c r="G449" i="65"/>
  <c r="F449" i="65"/>
  <c r="E449" i="65" s="1"/>
  <c r="E448" i="65"/>
  <c r="E447" i="65"/>
  <c r="E446" i="65"/>
  <c r="E445" i="65"/>
  <c r="E444" i="65"/>
  <c r="I443" i="65"/>
  <c r="E443" i="65" s="1"/>
  <c r="H443" i="65"/>
  <c r="G443" i="65"/>
  <c r="F443" i="65"/>
  <c r="E442" i="65"/>
  <c r="E441" i="65"/>
  <c r="E440" i="65"/>
  <c r="E439" i="65"/>
  <c r="E438" i="65"/>
  <c r="I437" i="65"/>
  <c r="I436" i="65" s="1"/>
  <c r="H437" i="65"/>
  <c r="F437" i="65"/>
  <c r="E437" i="65" s="1"/>
  <c r="H433" i="65"/>
  <c r="H431" i="65"/>
  <c r="F431" i="65"/>
  <c r="H425" i="65"/>
  <c r="G425" i="65"/>
  <c r="G424" i="65" s="1"/>
  <c r="F425" i="65"/>
  <c r="H419" i="65"/>
  <c r="F419" i="65"/>
  <c r="E418" i="65"/>
  <c r="E417" i="65"/>
  <c r="E416" i="65"/>
  <c r="F415" i="65"/>
  <c r="E414" i="65"/>
  <c r="I413" i="65"/>
  <c r="G413" i="65"/>
  <c r="E412" i="65"/>
  <c r="E411" i="65"/>
  <c r="E410" i="65"/>
  <c r="F409" i="65"/>
  <c r="E409" i="65"/>
  <c r="E408" i="65"/>
  <c r="I407" i="65"/>
  <c r="H407" i="65"/>
  <c r="G407" i="65"/>
  <c r="F407" i="65"/>
  <c r="E407" i="65" s="1"/>
  <c r="E406" i="65"/>
  <c r="E405" i="65"/>
  <c r="E404" i="65"/>
  <c r="E403" i="65"/>
  <c r="E402" i="65"/>
  <c r="I401" i="65"/>
  <c r="H401" i="65"/>
  <c r="G401" i="65"/>
  <c r="F401" i="65"/>
  <c r="E401" i="65"/>
  <c r="E400" i="65"/>
  <c r="E399" i="65"/>
  <c r="E398" i="65"/>
  <c r="E397" i="65"/>
  <c r="E396" i="65"/>
  <c r="I395" i="65"/>
  <c r="H395" i="65"/>
  <c r="G395" i="65"/>
  <c r="F395" i="65"/>
  <c r="E395" i="65"/>
  <c r="E394" i="65"/>
  <c r="E393" i="65"/>
  <c r="E392" i="65"/>
  <c r="E391" i="65"/>
  <c r="E390" i="65"/>
  <c r="I389" i="65"/>
  <c r="H389" i="65"/>
  <c r="G389" i="65"/>
  <c r="E389" i="65" s="1"/>
  <c r="F389" i="65"/>
  <c r="E388" i="65"/>
  <c r="E387" i="65"/>
  <c r="E386" i="65"/>
  <c r="H385" i="65"/>
  <c r="E384" i="65"/>
  <c r="I383" i="65"/>
  <c r="G383" i="65"/>
  <c r="F383" i="65"/>
  <c r="E382" i="65"/>
  <c r="E381" i="65"/>
  <c r="E380" i="65"/>
  <c r="E379" i="65"/>
  <c r="E378" i="65"/>
  <c r="I377" i="65"/>
  <c r="H377" i="65"/>
  <c r="G377" i="65"/>
  <c r="F377" i="65"/>
  <c r="E377" i="65"/>
  <c r="E376" i="65"/>
  <c r="E375" i="65"/>
  <c r="E374" i="65"/>
  <c r="E373" i="65"/>
  <c r="E372" i="65"/>
  <c r="I371" i="65"/>
  <c r="H371" i="65"/>
  <c r="G371" i="65"/>
  <c r="F371" i="65"/>
  <c r="E371" i="65" s="1"/>
  <c r="E370" i="65"/>
  <c r="E369" i="65"/>
  <c r="E368" i="65"/>
  <c r="E367" i="65"/>
  <c r="H366" i="65"/>
  <c r="F366" i="65"/>
  <c r="E366" i="65"/>
  <c r="E365" i="65" s="1"/>
  <c r="I365" i="65"/>
  <c r="H365" i="65"/>
  <c r="G365" i="65"/>
  <c r="F365" i="65"/>
  <c r="E364" i="65"/>
  <c r="E363" i="65"/>
  <c r="E362" i="65"/>
  <c r="E361" i="65"/>
  <c r="H360" i="65"/>
  <c r="E360" i="65" s="1"/>
  <c r="E359" i="65" s="1"/>
  <c r="I359" i="65"/>
  <c r="H359" i="65"/>
  <c r="G359" i="65"/>
  <c r="F359" i="65"/>
  <c r="H358" i="65"/>
  <c r="F358" i="65"/>
  <c r="H357" i="65"/>
  <c r="F357" i="65"/>
  <c r="H356" i="65"/>
  <c r="H350" i="65" s="1"/>
  <c r="F356" i="65"/>
  <c r="F355" i="65"/>
  <c r="F354" i="65"/>
  <c r="F353" i="65" s="1"/>
  <c r="H352" i="65"/>
  <c r="H351" i="65"/>
  <c r="E346" i="65"/>
  <c r="E345" i="65"/>
  <c r="F344" i="65"/>
  <c r="E344" i="65" s="1"/>
  <c r="E343" i="65"/>
  <c r="E342" i="65"/>
  <c r="I341" i="65"/>
  <c r="H341" i="65"/>
  <c r="G341" i="65"/>
  <c r="F341" i="65"/>
  <c r="E341" i="65" s="1"/>
  <c r="E340" i="65"/>
  <c r="E339" i="65"/>
  <c r="E338" i="65"/>
  <c r="E337" i="65"/>
  <c r="E336" i="65"/>
  <c r="I335" i="65"/>
  <c r="E335" i="65" s="1"/>
  <c r="H335" i="65"/>
  <c r="G335" i="65"/>
  <c r="F335" i="65"/>
  <c r="I334" i="65"/>
  <c r="H334" i="65"/>
  <c r="G334" i="65"/>
  <c r="F334" i="65"/>
  <c r="E334" i="65" s="1"/>
  <c r="I333" i="65"/>
  <c r="I329" i="65" s="1"/>
  <c r="H333" i="65"/>
  <c r="G333" i="65"/>
  <c r="F333" i="65"/>
  <c r="E333" i="65" s="1"/>
  <c r="I332" i="65"/>
  <c r="H332" i="65"/>
  <c r="G332" i="65"/>
  <c r="I331" i="65"/>
  <c r="H331" i="65"/>
  <c r="G331" i="65"/>
  <c r="G329" i="65" s="1"/>
  <c r="F331" i="65"/>
  <c r="E331" i="65"/>
  <c r="I330" i="65"/>
  <c r="H330" i="65"/>
  <c r="H329" i="65" s="1"/>
  <c r="G330" i="65"/>
  <c r="F330" i="65"/>
  <c r="E330" i="65"/>
  <c r="E328" i="65"/>
  <c r="E327" i="65"/>
  <c r="E323" i="65" s="1"/>
  <c r="E326" i="65"/>
  <c r="E325" i="65"/>
  <c r="E324" i="65"/>
  <c r="I323" i="65"/>
  <c r="H323" i="65"/>
  <c r="G323" i="65"/>
  <c r="F323" i="65"/>
  <c r="E322" i="65"/>
  <c r="E321" i="65"/>
  <c r="E320" i="65"/>
  <c r="E319" i="65"/>
  <c r="E317" i="65" s="1"/>
  <c r="E318" i="65"/>
  <c r="I317" i="65"/>
  <c r="H317" i="65"/>
  <c r="G317" i="65"/>
  <c r="F317" i="65"/>
  <c r="I316" i="65"/>
  <c r="H316" i="65"/>
  <c r="G316" i="65"/>
  <c r="F316" i="65"/>
  <c r="F178" i="65" s="1"/>
  <c r="I315" i="65"/>
  <c r="E315" i="65" s="1"/>
  <c r="H315" i="65"/>
  <c r="G315" i="65"/>
  <c r="F315" i="65"/>
  <c r="I314" i="65"/>
  <c r="I176" i="65" s="1"/>
  <c r="H314" i="65"/>
  <c r="G314" i="65"/>
  <c r="F314" i="65"/>
  <c r="E314" i="65" s="1"/>
  <c r="I313" i="65"/>
  <c r="I311" i="65" s="1"/>
  <c r="H313" i="65"/>
  <c r="H175" i="65" s="1"/>
  <c r="G313" i="65"/>
  <c r="E313" i="65" s="1"/>
  <c r="F313" i="65"/>
  <c r="I312" i="65"/>
  <c r="H312" i="65"/>
  <c r="H311" i="65" s="1"/>
  <c r="G312" i="65"/>
  <c r="G311" i="65" s="1"/>
  <c r="F312" i="65"/>
  <c r="E312" i="65" s="1"/>
  <c r="E310" i="65"/>
  <c r="E309" i="65"/>
  <c r="F308" i="65"/>
  <c r="E308" i="65"/>
  <c r="E307" i="65"/>
  <c r="E305" i="65" s="1"/>
  <c r="E306" i="65"/>
  <c r="I305" i="65"/>
  <c r="H305" i="65"/>
  <c r="G305" i="65"/>
  <c r="F305" i="65"/>
  <c r="E304" i="65"/>
  <c r="E303" i="65"/>
  <c r="F302" i="65"/>
  <c r="E302" i="65" s="1"/>
  <c r="F301" i="65"/>
  <c r="F299" i="65" s="1"/>
  <c r="E299" i="65" s="1"/>
  <c r="E301" i="65"/>
  <c r="E300" i="65"/>
  <c r="I299" i="65"/>
  <c r="H299" i="65"/>
  <c r="G299" i="65"/>
  <c r="E298" i="65"/>
  <c r="E297" i="65"/>
  <c r="E296" i="65"/>
  <c r="E295" i="65"/>
  <c r="E294" i="65"/>
  <c r="I293" i="65"/>
  <c r="H293" i="65"/>
  <c r="G293" i="65"/>
  <c r="F293" i="65"/>
  <c r="E293" i="65" s="1"/>
  <c r="E292" i="65"/>
  <c r="E291" i="65"/>
  <c r="E290" i="65"/>
  <c r="F289" i="65"/>
  <c r="E289" i="65"/>
  <c r="E288" i="65"/>
  <c r="I287" i="65"/>
  <c r="H287" i="65"/>
  <c r="G287" i="65"/>
  <c r="E287" i="65" s="1"/>
  <c r="F287" i="65"/>
  <c r="E286" i="65"/>
  <c r="E285" i="65"/>
  <c r="E284" i="65"/>
  <c r="E283" i="65"/>
  <c r="E282" i="65"/>
  <c r="I281" i="65"/>
  <c r="H281" i="65"/>
  <c r="G281" i="65"/>
  <c r="F281" i="65"/>
  <c r="E281" i="65" s="1"/>
  <c r="E280" i="65"/>
  <c r="E279" i="65"/>
  <c r="E278" i="65"/>
  <c r="E277" i="65"/>
  <c r="E276" i="65"/>
  <c r="I275" i="65"/>
  <c r="E275" i="65" s="1"/>
  <c r="H275" i="65"/>
  <c r="G275" i="65"/>
  <c r="F275" i="65"/>
  <c r="E274" i="65"/>
  <c r="E273" i="65"/>
  <c r="F272" i="65"/>
  <c r="E272" i="65"/>
  <c r="E271" i="65"/>
  <c r="E270" i="65"/>
  <c r="I269" i="65"/>
  <c r="H269" i="65"/>
  <c r="G269" i="65"/>
  <c r="F269" i="65"/>
  <c r="E269" i="65" s="1"/>
  <c r="E268" i="65"/>
  <c r="E267" i="65"/>
  <c r="E266" i="65"/>
  <c r="E264" i="65"/>
  <c r="I263" i="65"/>
  <c r="H263" i="65"/>
  <c r="G263" i="65"/>
  <c r="F263" i="65"/>
  <c r="E263" i="65"/>
  <c r="E262" i="65"/>
  <c r="E261" i="65"/>
  <c r="E260" i="65"/>
  <c r="E259" i="65"/>
  <c r="E258" i="65"/>
  <c r="I257" i="65"/>
  <c r="H257" i="65"/>
  <c r="G257" i="65"/>
  <c r="F257" i="65"/>
  <c r="E257" i="65"/>
  <c r="E256" i="65"/>
  <c r="E255" i="65"/>
  <c r="E254" i="65"/>
  <c r="E253" i="65"/>
  <c r="E252" i="65"/>
  <c r="I251" i="65"/>
  <c r="H251" i="65"/>
  <c r="G251" i="65"/>
  <c r="E251" i="65" s="1"/>
  <c r="F251" i="65"/>
  <c r="E250" i="65"/>
  <c r="E249" i="65"/>
  <c r="F248" i="65"/>
  <c r="E248" i="65"/>
  <c r="F247" i="65"/>
  <c r="E247" i="65" s="1"/>
  <c r="E246" i="65"/>
  <c r="I245" i="65"/>
  <c r="H245" i="65"/>
  <c r="G245" i="65"/>
  <c r="E244" i="65"/>
  <c r="E243" i="65"/>
  <c r="E242" i="65"/>
  <c r="E241" i="65"/>
  <c r="E240" i="65"/>
  <c r="I239" i="65"/>
  <c r="H239" i="65"/>
  <c r="G239" i="65"/>
  <c r="F239" i="65"/>
  <c r="E239" i="65" s="1"/>
  <c r="E238" i="65"/>
  <c r="E237" i="65"/>
  <c r="E236" i="65"/>
  <c r="E235" i="65"/>
  <c r="E234" i="65"/>
  <c r="I233" i="65"/>
  <c r="E233" i="65" s="1"/>
  <c r="H233" i="65"/>
  <c r="G233" i="65"/>
  <c r="F233" i="65"/>
  <c r="E232" i="65"/>
  <c r="E231" i="65"/>
  <c r="E230" i="65"/>
  <c r="E229" i="65"/>
  <c r="E228" i="65"/>
  <c r="I227" i="65"/>
  <c r="H227" i="65"/>
  <c r="G227" i="65"/>
  <c r="F227" i="65"/>
  <c r="E227" i="65" s="1"/>
  <c r="E226" i="65"/>
  <c r="E225" i="65"/>
  <c r="E224" i="65"/>
  <c r="E223" i="65"/>
  <c r="E222" i="65"/>
  <c r="I221" i="65"/>
  <c r="H221" i="65"/>
  <c r="G221" i="65"/>
  <c r="F221" i="65"/>
  <c r="E221" i="65"/>
  <c r="E220" i="65"/>
  <c r="E219" i="65"/>
  <c r="E218" i="65"/>
  <c r="E217" i="65"/>
  <c r="E216" i="65"/>
  <c r="I215" i="65"/>
  <c r="H215" i="65"/>
  <c r="G215" i="65"/>
  <c r="F215" i="65"/>
  <c r="E215" i="65"/>
  <c r="E214" i="65"/>
  <c r="E213" i="65"/>
  <c r="F212" i="65"/>
  <c r="F209" i="65" s="1"/>
  <c r="E209" i="65" s="1"/>
  <c r="F211" i="65"/>
  <c r="E211" i="65"/>
  <c r="E210" i="65"/>
  <c r="I209" i="65"/>
  <c r="H209" i="65"/>
  <c r="G209" i="65"/>
  <c r="E208" i="65"/>
  <c r="E207" i="65"/>
  <c r="F206" i="65"/>
  <c r="F203" i="65" s="1"/>
  <c r="E203" i="65" s="1"/>
  <c r="F205" i="65"/>
  <c r="E205" i="65"/>
  <c r="E204" i="65"/>
  <c r="I203" i="65"/>
  <c r="H203" i="65"/>
  <c r="G203" i="65"/>
  <c r="E202" i="65"/>
  <c r="E201" i="65"/>
  <c r="E200" i="65"/>
  <c r="E199" i="65"/>
  <c r="F198" i="65"/>
  <c r="E198" i="65"/>
  <c r="I197" i="65"/>
  <c r="H197" i="65"/>
  <c r="G197" i="65"/>
  <c r="F197" i="65"/>
  <c r="E197" i="65" s="1"/>
  <c r="E196" i="65"/>
  <c r="E195" i="65"/>
  <c r="F194" i="65"/>
  <c r="E194" i="65" s="1"/>
  <c r="E193" i="65"/>
  <c r="E192" i="65"/>
  <c r="I191" i="65"/>
  <c r="H191" i="65"/>
  <c r="G191" i="65"/>
  <c r="G190" i="65"/>
  <c r="E190" i="65"/>
  <c r="E189" i="65"/>
  <c r="F188" i="65"/>
  <c r="E188" i="65" s="1"/>
  <c r="F187" i="65"/>
  <c r="E187" i="65" s="1"/>
  <c r="F186" i="65"/>
  <c r="F185" i="65" s="1"/>
  <c r="E185" i="65" s="1"/>
  <c r="E186" i="65"/>
  <c r="I185" i="65"/>
  <c r="H185" i="65"/>
  <c r="G185" i="65"/>
  <c r="I184" i="65"/>
  <c r="H184" i="65"/>
  <c r="H178" i="65" s="1"/>
  <c r="G184" i="65"/>
  <c r="F184" i="65"/>
  <c r="E184" i="65" s="1"/>
  <c r="I183" i="65"/>
  <c r="I177" i="65" s="1"/>
  <c r="H183" i="65"/>
  <c r="H177" i="65" s="1"/>
  <c r="G183" i="65"/>
  <c r="E183" i="65" s="1"/>
  <c r="F183" i="65"/>
  <c r="I182" i="65"/>
  <c r="H182" i="65"/>
  <c r="H176" i="65" s="1"/>
  <c r="G182" i="65"/>
  <c r="F182" i="65"/>
  <c r="E182" i="65" s="1"/>
  <c r="I181" i="65"/>
  <c r="H181" i="65"/>
  <c r="G181" i="65"/>
  <c r="G175" i="65" s="1"/>
  <c r="F181" i="65"/>
  <c r="F175" i="65" s="1"/>
  <c r="I180" i="65"/>
  <c r="H180" i="65"/>
  <c r="H179" i="65" s="1"/>
  <c r="G180" i="65"/>
  <c r="G174" i="65" s="1"/>
  <c r="G173" i="65" s="1"/>
  <c r="F180" i="65"/>
  <c r="E180" i="65" s="1"/>
  <c r="I179" i="65"/>
  <c r="I178" i="65"/>
  <c r="G178" i="65"/>
  <c r="G177" i="65"/>
  <c r="F177" i="65"/>
  <c r="G176" i="65"/>
  <c r="I174" i="65"/>
  <c r="E172" i="65"/>
  <c r="E171" i="65"/>
  <c r="E170" i="65"/>
  <c r="E169" i="65"/>
  <c r="E168" i="65"/>
  <c r="I167" i="65"/>
  <c r="H167" i="65"/>
  <c r="G167" i="65"/>
  <c r="E167" i="65" s="1"/>
  <c r="F167" i="65"/>
  <c r="E166" i="65"/>
  <c r="E165" i="65"/>
  <c r="F164" i="65"/>
  <c r="F161" i="65" s="1"/>
  <c r="E161" i="65" s="1"/>
  <c r="E164" i="65"/>
  <c r="E163" i="65"/>
  <c r="E162" i="65"/>
  <c r="I161" i="65"/>
  <c r="H161" i="65"/>
  <c r="G161" i="65"/>
  <c r="E160" i="65"/>
  <c r="E159" i="65"/>
  <c r="F158" i="65"/>
  <c r="E158" i="65" s="1"/>
  <c r="E157" i="65"/>
  <c r="E156" i="65"/>
  <c r="I155" i="65"/>
  <c r="H155" i="65"/>
  <c r="G155" i="65"/>
  <c r="F155" i="65"/>
  <c r="E155" i="65" s="1"/>
  <c r="E154" i="65"/>
  <c r="E153" i="65"/>
  <c r="E152" i="65"/>
  <c r="E151" i="65"/>
  <c r="E150" i="65"/>
  <c r="I149" i="65"/>
  <c r="E149" i="65" s="1"/>
  <c r="H149" i="65"/>
  <c r="G149" i="65"/>
  <c r="F149" i="65"/>
  <c r="I148" i="65"/>
  <c r="I28" i="65" s="1"/>
  <c r="H148" i="65"/>
  <c r="G148" i="65"/>
  <c r="F148" i="65"/>
  <c r="E148" i="65" s="1"/>
  <c r="I147" i="65"/>
  <c r="I27" i="65" s="1"/>
  <c r="H147" i="65"/>
  <c r="G147" i="65"/>
  <c r="E147" i="65" s="1"/>
  <c r="F147" i="65"/>
  <c r="I146" i="65"/>
  <c r="H146" i="65"/>
  <c r="G146" i="65"/>
  <c r="I145" i="65"/>
  <c r="H145" i="65"/>
  <c r="G145" i="65"/>
  <c r="G143" i="65" s="1"/>
  <c r="F145" i="65"/>
  <c r="E145" i="65"/>
  <c r="I144" i="65"/>
  <c r="H144" i="65"/>
  <c r="H143" i="65" s="1"/>
  <c r="G144" i="65"/>
  <c r="F144" i="65"/>
  <c r="E144" i="65"/>
  <c r="E142" i="65"/>
  <c r="E141" i="65"/>
  <c r="E137" i="65" s="1"/>
  <c r="E140" i="65"/>
  <c r="E139" i="65"/>
  <c r="E138" i="65"/>
  <c r="E136" i="65"/>
  <c r="E135" i="65"/>
  <c r="F134" i="65"/>
  <c r="E134" i="65"/>
  <c r="E133" i="65"/>
  <c r="E132" i="65"/>
  <c r="I131" i="65"/>
  <c r="H131" i="65"/>
  <c r="G131" i="65"/>
  <c r="F131" i="65"/>
  <c r="E131" i="65" s="1"/>
  <c r="H130" i="65"/>
  <c r="G130" i="65"/>
  <c r="E130" i="65" s="1"/>
  <c r="H129" i="65"/>
  <c r="G129" i="65"/>
  <c r="E129" i="65" s="1"/>
  <c r="E128" i="65"/>
  <c r="H127" i="65"/>
  <c r="H125" i="65" s="1"/>
  <c r="G127" i="65"/>
  <c r="E127" i="65" s="1"/>
  <c r="H126" i="65"/>
  <c r="G126" i="65" s="1"/>
  <c r="I125" i="65"/>
  <c r="F125" i="65"/>
  <c r="E124" i="65"/>
  <c r="E123" i="65"/>
  <c r="E122" i="65"/>
  <c r="E121" i="65"/>
  <c r="E120" i="65"/>
  <c r="I119" i="65"/>
  <c r="H119" i="65"/>
  <c r="G119" i="65"/>
  <c r="F119" i="65"/>
  <c r="E119" i="65" s="1"/>
  <c r="H118" i="65"/>
  <c r="G118" i="65" s="1"/>
  <c r="H117" i="65"/>
  <c r="H51" i="65" s="1"/>
  <c r="H27" i="65" s="1"/>
  <c r="H116" i="65"/>
  <c r="H50" i="65" s="1"/>
  <c r="G116" i="65"/>
  <c r="F115" i="65"/>
  <c r="E115" i="65" s="1"/>
  <c r="E114" i="65"/>
  <c r="I113" i="65"/>
  <c r="H113" i="65"/>
  <c r="E112" i="65"/>
  <c r="E111" i="65"/>
  <c r="E110" i="65"/>
  <c r="E109" i="65"/>
  <c r="E108" i="65"/>
  <c r="I107" i="65"/>
  <c r="H107" i="65"/>
  <c r="G107" i="65"/>
  <c r="F107" i="65"/>
  <c r="E107" i="65" s="1"/>
  <c r="E106" i="65"/>
  <c r="E105" i="65"/>
  <c r="F104" i="65"/>
  <c r="F101" i="65" s="1"/>
  <c r="E101" i="65" s="1"/>
  <c r="E104" i="65"/>
  <c r="E103" i="65"/>
  <c r="E102" i="65"/>
  <c r="I101" i="65"/>
  <c r="H101" i="65"/>
  <c r="G101" i="65"/>
  <c r="E99" i="65"/>
  <c r="E98" i="65"/>
  <c r="E97" i="65"/>
  <c r="E96" i="65"/>
  <c r="I95" i="65"/>
  <c r="H95" i="65"/>
  <c r="G95" i="65"/>
  <c r="F95" i="65"/>
  <c r="E95" i="65" s="1"/>
  <c r="E94" i="65"/>
  <c r="E93" i="65"/>
  <c r="E92" i="65"/>
  <c r="F91" i="65"/>
  <c r="E91" i="65"/>
  <c r="E90" i="65"/>
  <c r="I89" i="65"/>
  <c r="H89" i="65"/>
  <c r="G89" i="65"/>
  <c r="E89" i="65" s="1"/>
  <c r="F89" i="65"/>
  <c r="E88" i="65"/>
  <c r="E87" i="65"/>
  <c r="E86" i="65"/>
  <c r="E85" i="65"/>
  <c r="E84" i="65"/>
  <c r="I83" i="65"/>
  <c r="H83" i="65"/>
  <c r="G83" i="65"/>
  <c r="F83" i="65"/>
  <c r="E83" i="65" s="1"/>
  <c r="E82" i="65"/>
  <c r="E81" i="65"/>
  <c r="F80" i="65"/>
  <c r="E80" i="65"/>
  <c r="E79" i="65"/>
  <c r="F78" i="65"/>
  <c r="E78" i="65" s="1"/>
  <c r="I77" i="65"/>
  <c r="H77" i="65"/>
  <c r="G77" i="65"/>
  <c r="E76" i="65"/>
  <c r="E75" i="65"/>
  <c r="F74" i="65"/>
  <c r="E74" i="65"/>
  <c r="E73" i="65"/>
  <c r="E72" i="65"/>
  <c r="I71" i="65"/>
  <c r="H71" i="65"/>
  <c r="G71" i="65"/>
  <c r="F71" i="65"/>
  <c r="E71" i="65"/>
  <c r="E70" i="65"/>
  <c r="E69" i="65"/>
  <c r="F68" i="65"/>
  <c r="E68" i="65" s="1"/>
  <c r="E67" i="65"/>
  <c r="E66" i="65"/>
  <c r="I65" i="65"/>
  <c r="H65" i="65"/>
  <c r="G65" i="65"/>
  <c r="E64" i="65"/>
  <c r="E63" i="65"/>
  <c r="E62" i="65"/>
  <c r="E61" i="65"/>
  <c r="E60" i="65"/>
  <c r="I59" i="65"/>
  <c r="H59" i="65"/>
  <c r="G59" i="65"/>
  <c r="E59" i="65" s="1"/>
  <c r="F59" i="65"/>
  <c r="E58" i="65"/>
  <c r="E57" i="65"/>
  <c r="F56" i="65"/>
  <c r="E55" i="65"/>
  <c r="E54" i="65"/>
  <c r="I53" i="65"/>
  <c r="H53" i="65"/>
  <c r="G53" i="65"/>
  <c r="F53" i="65"/>
  <c r="E53" i="65" s="1"/>
  <c r="I52" i="65"/>
  <c r="H52" i="65"/>
  <c r="I51" i="65"/>
  <c r="I50" i="65"/>
  <c r="I26" i="65" s="1"/>
  <c r="I49" i="65"/>
  <c r="I25" i="65" s="1"/>
  <c r="H49" i="65"/>
  <c r="G49" i="65"/>
  <c r="F49" i="65"/>
  <c r="E49" i="65" s="1"/>
  <c r="I48" i="65"/>
  <c r="I47" i="65" s="1"/>
  <c r="H48" i="65"/>
  <c r="H24" i="65" s="1"/>
  <c r="G48" i="65"/>
  <c r="G24" i="65" s="1"/>
  <c r="E46" i="65"/>
  <c r="E45" i="65"/>
  <c r="E44" i="65"/>
  <c r="E43" i="65"/>
  <c r="E42" i="65"/>
  <c r="I41" i="65"/>
  <c r="H41" i="65"/>
  <c r="G41" i="65"/>
  <c r="F41" i="65"/>
  <c r="E41" i="65"/>
  <c r="E40" i="65"/>
  <c r="E39" i="65"/>
  <c r="E38" i="65"/>
  <c r="E37" i="65"/>
  <c r="E36" i="65"/>
  <c r="I35" i="65"/>
  <c r="H35" i="65"/>
  <c r="G35" i="65"/>
  <c r="F35" i="65"/>
  <c r="E35" i="65" s="1"/>
  <c r="I34" i="65"/>
  <c r="H34" i="65"/>
  <c r="H28" i="65" s="1"/>
  <c r="G34" i="65"/>
  <c r="E34" i="65" s="1"/>
  <c r="F34" i="65"/>
  <c r="I33" i="65"/>
  <c r="H33" i="65"/>
  <c r="H29" i="65" s="1"/>
  <c r="G33" i="65"/>
  <c r="F33" i="65"/>
  <c r="E33" i="65" s="1"/>
  <c r="I32" i="65"/>
  <c r="H32" i="65"/>
  <c r="G32" i="65"/>
  <c r="F32" i="65"/>
  <c r="I31" i="65"/>
  <c r="H31" i="65"/>
  <c r="H25" i="65" s="1"/>
  <c r="G31" i="65"/>
  <c r="F31" i="65"/>
  <c r="F29" i="65" s="1"/>
  <c r="I30" i="65"/>
  <c r="E30" i="65" s="1"/>
  <c r="H30" i="65"/>
  <c r="G30" i="65"/>
  <c r="G29" i="65" s="1"/>
  <c r="F30" i="65"/>
  <c r="I29" i="65"/>
  <c r="F25" i="65"/>
  <c r="H22" i="65"/>
  <c r="F22" i="65"/>
  <c r="H21" i="65"/>
  <c r="F21" i="65"/>
  <c r="H20" i="65"/>
  <c r="F20" i="65"/>
  <c r="F19" i="65"/>
  <c r="F18" i="65"/>
  <c r="F17" i="65" s="1"/>
  <c r="E242" i="3"/>
  <c r="I20" i="66" l="1"/>
  <c r="I11" i="66"/>
  <c r="M17" i="66"/>
  <c r="M8" i="66"/>
  <c r="M7" i="66" s="1"/>
  <c r="M720" i="65"/>
  <c r="E713" i="65"/>
  <c r="I7" i="65"/>
  <c r="I19" i="65" s="1"/>
  <c r="I478" i="65"/>
  <c r="I352" i="65" s="1"/>
  <c r="I597" i="65"/>
  <c r="I596" i="65" s="1"/>
  <c r="G423" i="65"/>
  <c r="G358" i="65"/>
  <c r="I761" i="65"/>
  <c r="O13" i="65"/>
  <c r="G761" i="65"/>
  <c r="F350" i="65"/>
  <c r="I10" i="65"/>
  <c r="I22" i="65" s="1"/>
  <c r="E175" i="65"/>
  <c r="E178" i="65"/>
  <c r="H26" i="65"/>
  <c r="H8" i="65" s="1"/>
  <c r="H14" i="65" s="1"/>
  <c r="H47" i="65"/>
  <c r="E765" i="65"/>
  <c r="E630" i="65"/>
  <c r="I629" i="65"/>
  <c r="H9" i="65"/>
  <c r="H15" i="65" s="1"/>
  <c r="O15" i="65"/>
  <c r="E177" i="65"/>
  <c r="E415" i="65"/>
  <c r="E29" i="65"/>
  <c r="H23" i="65"/>
  <c r="F118" i="65"/>
  <c r="G52" i="65"/>
  <c r="G28" i="65" s="1"/>
  <c r="E126" i="65"/>
  <c r="G125" i="65"/>
  <c r="E125" i="65" s="1"/>
  <c r="I435" i="65"/>
  <c r="E436" i="65"/>
  <c r="F191" i="65"/>
  <c r="E191" i="65" s="1"/>
  <c r="F245" i="65"/>
  <c r="E245" i="65" s="1"/>
  <c r="H354" i="65"/>
  <c r="H415" i="65"/>
  <c r="H413" i="65" s="1"/>
  <c r="F479" i="65"/>
  <c r="E479" i="65" s="1"/>
  <c r="F485" i="65"/>
  <c r="E485" i="65" s="1"/>
  <c r="F491" i="65"/>
  <c r="E491" i="65" s="1"/>
  <c r="E516" i="65"/>
  <c r="H527" i="65"/>
  <c r="E527" i="65" s="1"/>
  <c r="F713" i="65"/>
  <c r="F763" i="65"/>
  <c r="E763" i="65" s="1"/>
  <c r="I24" i="65"/>
  <c r="E32" i="65"/>
  <c r="E56" i="65"/>
  <c r="F116" i="65"/>
  <c r="E116" i="65" s="1"/>
  <c r="I143" i="65"/>
  <c r="F146" i="65"/>
  <c r="E146" i="65" s="1"/>
  <c r="E181" i="65"/>
  <c r="F332" i="65"/>
  <c r="E332" i="65" s="1"/>
  <c r="F352" i="65"/>
  <c r="E655" i="65"/>
  <c r="E661" i="65"/>
  <c r="H629" i="65"/>
  <c r="E629" i="65" s="1"/>
  <c r="H683" i="65"/>
  <c r="E683" i="65" s="1"/>
  <c r="F755" i="65"/>
  <c r="E755" i="65" s="1"/>
  <c r="F773" i="65"/>
  <c r="E773" i="65" s="1"/>
  <c r="F77" i="65"/>
  <c r="E77" i="65" s="1"/>
  <c r="H383" i="65"/>
  <c r="E383" i="65" s="1"/>
  <c r="G25" i="65"/>
  <c r="F65" i="65"/>
  <c r="E65" i="65" s="1"/>
  <c r="F179" i="65"/>
  <c r="E179" i="65" s="1"/>
  <c r="H355" i="65"/>
  <c r="F475" i="65"/>
  <c r="F349" i="65" s="1"/>
  <c r="H557" i="65"/>
  <c r="E557" i="65" s="1"/>
  <c r="H755" i="65"/>
  <c r="G766" i="65"/>
  <c r="E766" i="65" s="1"/>
  <c r="F174" i="65"/>
  <c r="G50" i="65"/>
  <c r="G26" i="65" s="1"/>
  <c r="H174" i="65"/>
  <c r="H173" i="65" s="1"/>
  <c r="G179" i="65"/>
  <c r="E206" i="65"/>
  <c r="E212" i="65"/>
  <c r="F348" i="65"/>
  <c r="F413" i="65"/>
  <c r="E413" i="65" s="1"/>
  <c r="I477" i="65"/>
  <c r="I351" i="65" s="1"/>
  <c r="I9" i="65" s="1"/>
  <c r="G731" i="65"/>
  <c r="E731" i="65" s="1"/>
  <c r="F764" i="65"/>
  <c r="E764" i="65" s="1"/>
  <c r="H766" i="65"/>
  <c r="H10" i="65" s="1"/>
  <c r="H16" i="65" s="1"/>
  <c r="I479" i="65"/>
  <c r="H18" i="65"/>
  <c r="F48" i="65"/>
  <c r="G117" i="65"/>
  <c r="E385" i="65"/>
  <c r="H475" i="65"/>
  <c r="H473" i="65" s="1"/>
  <c r="E482" i="65"/>
  <c r="G625" i="65"/>
  <c r="F677" i="65"/>
  <c r="E677" i="65" s="1"/>
  <c r="E31" i="65"/>
  <c r="F311" i="65"/>
  <c r="E311" i="65" s="1"/>
  <c r="E316" i="65"/>
  <c r="E483" i="65"/>
  <c r="E758" i="65"/>
  <c r="F767" i="65"/>
  <c r="E767" i="65" s="1"/>
  <c r="E772" i="65"/>
  <c r="I175" i="65"/>
  <c r="I173" i="65" s="1"/>
  <c r="I10" i="66" l="1"/>
  <c r="I19" i="66"/>
  <c r="F7" i="65"/>
  <c r="F113" i="65"/>
  <c r="E113" i="65" s="1"/>
  <c r="F143" i="65"/>
  <c r="E143" i="65" s="1"/>
  <c r="F50" i="65"/>
  <c r="F347" i="65"/>
  <c r="F176" i="65"/>
  <c r="E176" i="65" s="1"/>
  <c r="O16" i="65"/>
  <c r="H761" i="65"/>
  <c r="H353" i="65"/>
  <c r="H348" i="65"/>
  <c r="F173" i="65"/>
  <c r="E173" i="65" s="1"/>
  <c r="E174" i="65"/>
  <c r="F761" i="65"/>
  <c r="E761" i="65" s="1"/>
  <c r="I595" i="65"/>
  <c r="I594" i="65" s="1"/>
  <c r="I593" i="65" s="1"/>
  <c r="I476" i="65"/>
  <c r="I350" i="65" s="1"/>
  <c r="I8" i="65" s="1"/>
  <c r="N16" i="65"/>
  <c r="E625" i="65"/>
  <c r="G624" i="65"/>
  <c r="E118" i="65"/>
  <c r="F52" i="65"/>
  <c r="M13" i="65"/>
  <c r="H349" i="65"/>
  <c r="H7" i="65" s="1"/>
  <c r="G357" i="65"/>
  <c r="G422" i="65"/>
  <c r="G51" i="65"/>
  <c r="F117" i="65"/>
  <c r="E435" i="65"/>
  <c r="I434" i="65"/>
  <c r="H19" i="65"/>
  <c r="H17" i="65" s="1"/>
  <c r="F473" i="65"/>
  <c r="I23" i="65"/>
  <c r="I6" i="65"/>
  <c r="E358" i="65"/>
  <c r="F24" i="65"/>
  <c r="E48" i="65"/>
  <c r="E25" i="65"/>
  <c r="N13" i="65"/>
  <c r="G113" i="65"/>
  <c r="F329" i="65"/>
  <c r="E329" i="65" s="1"/>
  <c r="I18" i="66" l="1"/>
  <c r="I9" i="66"/>
  <c r="F13" i="65"/>
  <c r="I433" i="65"/>
  <c r="E434" i="65"/>
  <c r="E624" i="65"/>
  <c r="G623" i="65"/>
  <c r="E24" i="65"/>
  <c r="F6" i="65"/>
  <c r="F51" i="65"/>
  <c r="F47" i="65" s="1"/>
  <c r="E47" i="65" s="1"/>
  <c r="E117" i="65"/>
  <c r="G27" i="65"/>
  <c r="G47" i="65"/>
  <c r="G356" i="65"/>
  <c r="G421" i="65"/>
  <c r="E357" i="65"/>
  <c r="E50" i="65"/>
  <c r="F26" i="65"/>
  <c r="I5" i="65"/>
  <c r="I18" i="65"/>
  <c r="H13" i="65"/>
  <c r="F28" i="65"/>
  <c r="E52" i="65"/>
  <c r="H347" i="65"/>
  <c r="H6" i="65"/>
  <c r="I17" i="66" l="1"/>
  <c r="O17" i="66" s="1"/>
  <c r="I8" i="66"/>
  <c r="I7" i="66" s="1"/>
  <c r="E356" i="65"/>
  <c r="N15" i="65"/>
  <c r="G23" i="65"/>
  <c r="E51" i="65"/>
  <c r="F27" i="65"/>
  <c r="F23" i="65" s="1"/>
  <c r="E23" i="65" s="1"/>
  <c r="F8" i="65"/>
  <c r="E26" i="65"/>
  <c r="E433" i="65"/>
  <c r="I432" i="65"/>
  <c r="F12" i="65"/>
  <c r="G622" i="65"/>
  <c r="E623" i="65"/>
  <c r="H5" i="65"/>
  <c r="H12" i="65"/>
  <c r="H11" i="65" s="1"/>
  <c r="G420" i="65"/>
  <c r="G355" i="65"/>
  <c r="F10" i="65"/>
  <c r="M16" i="65"/>
  <c r="E28" i="65"/>
  <c r="F16" i="65" l="1"/>
  <c r="E432" i="65"/>
  <c r="I431" i="65"/>
  <c r="G354" i="65"/>
  <c r="G419" i="65"/>
  <c r="E355" i="65"/>
  <c r="F14" i="65"/>
  <c r="F9" i="65"/>
  <c r="E27" i="65"/>
  <c r="M15" i="65"/>
  <c r="E622" i="65"/>
  <c r="G621" i="65"/>
  <c r="G353" i="65" l="1"/>
  <c r="E353" i="65" s="1"/>
  <c r="E354" i="65"/>
  <c r="E431" i="65"/>
  <c r="I430" i="65"/>
  <c r="E621" i="65"/>
  <c r="G620" i="65"/>
  <c r="F15" i="65"/>
  <c r="F5" i="65"/>
  <c r="F11" i="65" l="1"/>
  <c r="E430" i="65"/>
  <c r="I429" i="65"/>
  <c r="G619" i="65"/>
  <c r="E620" i="65"/>
  <c r="E619" i="65" l="1"/>
  <c r="G618" i="65"/>
  <c r="E429" i="65"/>
  <c r="I428" i="65"/>
  <c r="I21" i="65"/>
  <c r="E428" i="65" l="1"/>
  <c r="I427" i="65"/>
  <c r="I20" i="65"/>
  <c r="I17" i="65" s="1"/>
  <c r="E618" i="65"/>
  <c r="G617" i="65"/>
  <c r="G616" i="65" l="1"/>
  <c r="E617" i="65"/>
  <c r="E427" i="65"/>
  <c r="I426" i="65"/>
  <c r="E426" i="65" l="1"/>
  <c r="I425" i="65"/>
  <c r="E616" i="65"/>
  <c r="G615" i="65"/>
  <c r="I424" i="65" l="1"/>
  <c r="E425" i="65"/>
  <c r="E615" i="65"/>
  <c r="G614" i="65"/>
  <c r="E614" i="65" l="1"/>
  <c r="G613" i="65"/>
  <c r="I423" i="65"/>
  <c r="E424" i="65"/>
  <c r="I422" i="65" l="1"/>
  <c r="E423" i="65"/>
  <c r="G612" i="65"/>
  <c r="E613" i="65"/>
  <c r="E612" i="65" l="1"/>
  <c r="G611" i="65"/>
  <c r="I421" i="65"/>
  <c r="E422" i="65"/>
  <c r="I420" i="65" l="1"/>
  <c r="E421" i="65"/>
  <c r="E611" i="65"/>
  <c r="G610" i="65"/>
  <c r="E610" i="65" l="1"/>
  <c r="G609" i="65"/>
  <c r="I419" i="65"/>
  <c r="E419" i="65" s="1"/>
  <c r="E420" i="65"/>
  <c r="E609" i="65" l="1"/>
  <c r="G608" i="65"/>
  <c r="E608" i="65" l="1"/>
  <c r="G607" i="65"/>
  <c r="E607" i="65" l="1"/>
  <c r="G606" i="65"/>
  <c r="G605" i="65" l="1"/>
  <c r="E606" i="65"/>
  <c r="G604" i="65" l="1"/>
  <c r="E605" i="65"/>
  <c r="E604" i="65" l="1"/>
  <c r="G603" i="65"/>
  <c r="E603" i="65" l="1"/>
  <c r="G602" i="65"/>
  <c r="E602" i="65" l="1"/>
  <c r="G601" i="65"/>
  <c r="E601" i="65" l="1"/>
  <c r="G600" i="65"/>
  <c r="E600" i="65" l="1"/>
  <c r="G599" i="65"/>
  <c r="G598" i="65" l="1"/>
  <c r="E599" i="65"/>
  <c r="G478" i="65" l="1"/>
  <c r="G597" i="65"/>
  <c r="G22" i="65"/>
  <c r="E22" i="65" s="1"/>
  <c r="E598" i="65"/>
  <c r="G21" i="65" l="1"/>
  <c r="E21" i="65" s="1"/>
  <c r="E597" i="65"/>
  <c r="G596" i="65"/>
  <c r="G477" i="65"/>
  <c r="E478" i="65"/>
  <c r="G352" i="65"/>
  <c r="G10" i="65" l="1"/>
  <c r="E352" i="65"/>
  <c r="G476" i="65"/>
  <c r="G20" i="65"/>
  <c r="E20" i="65" s="1"/>
  <c r="E596" i="65"/>
  <c r="G595" i="65"/>
  <c r="E477" i="65"/>
  <c r="G351" i="65"/>
  <c r="E351" i="65" l="1"/>
  <c r="G9" i="65"/>
  <c r="E595" i="65"/>
  <c r="G19" i="65"/>
  <c r="E19" i="65" s="1"/>
  <c r="G594" i="65"/>
  <c r="G475" i="65"/>
  <c r="E476" i="65"/>
  <c r="G350" i="65"/>
  <c r="G16" i="65"/>
  <c r="E16" i="65" s="1"/>
  <c r="E10" i="65"/>
  <c r="E350" i="65" l="1"/>
  <c r="G8" i="65"/>
  <c r="E594" i="65"/>
  <c r="G593" i="65"/>
  <c r="E593" i="65" s="1"/>
  <c r="G18" i="65"/>
  <c r="G474" i="65"/>
  <c r="E475" i="65"/>
  <c r="G349" i="65"/>
  <c r="G15" i="65"/>
  <c r="E15" i="65" s="1"/>
  <c r="E9" i="65"/>
  <c r="G7" i="65" l="1"/>
  <c r="E349" i="65"/>
  <c r="G473" i="65"/>
  <c r="E473" i="65" s="1"/>
  <c r="E474" i="65"/>
  <c r="G348" i="65"/>
  <c r="G14" i="65"/>
  <c r="E14" i="65" s="1"/>
  <c r="E8" i="65"/>
  <c r="E18" i="65"/>
  <c r="G17" i="65"/>
  <c r="E17" i="65" s="1"/>
  <c r="G347" i="65" l="1"/>
  <c r="E347" i="65" s="1"/>
  <c r="G6" i="65"/>
  <c r="E348" i="65"/>
  <c r="G13" i="65"/>
  <c r="E13" i="65" s="1"/>
  <c r="E7" i="65"/>
  <c r="G12" i="65" l="1"/>
  <c r="G5" i="65"/>
  <c r="E5" i="65" s="1"/>
  <c r="E6" i="65"/>
  <c r="G11" i="65" l="1"/>
  <c r="E11" i="65" s="1"/>
  <c r="M5" i="65" s="1"/>
  <c r="E12" i="65"/>
  <c r="G6" i="61" l="1"/>
  <c r="G7" i="61"/>
  <c r="G8" i="61"/>
  <c r="G9" i="61"/>
  <c r="M7" i="59" l="1"/>
  <c r="I26" i="59" l="1"/>
  <c r="H26" i="59"/>
  <c r="I25" i="59"/>
  <c r="H25" i="59"/>
  <c r="I24" i="59"/>
  <c r="H24" i="59"/>
  <c r="I23" i="59"/>
  <c r="H23" i="59"/>
  <c r="I21" i="59"/>
  <c r="H21" i="59"/>
  <c r="I20" i="59"/>
  <c r="H20" i="59"/>
  <c r="I19" i="59"/>
  <c r="H19" i="59"/>
  <c r="I18" i="59"/>
  <c r="H18" i="59"/>
  <c r="H16" i="59"/>
  <c r="H15" i="59"/>
  <c r="I14" i="59"/>
  <c r="H14" i="59"/>
  <c r="I13" i="59"/>
  <c r="H13" i="59"/>
  <c r="I12" i="59"/>
  <c r="H12" i="59"/>
  <c r="I11" i="59"/>
  <c r="H11" i="59"/>
  <c r="I9" i="59"/>
  <c r="H9" i="59"/>
  <c r="I8" i="59"/>
  <c r="H8" i="59"/>
  <c r="E263" i="3" l="1"/>
  <c r="E261" i="3"/>
  <c r="F231" i="3" l="1"/>
  <c r="F233" i="3"/>
  <c r="F221" i="3"/>
  <c r="F223" i="3"/>
  <c r="F196" i="3"/>
  <c r="F198" i="3"/>
  <c r="M49" i="64" l="1"/>
  <c r="I49" i="64"/>
  <c r="H49" i="64"/>
  <c r="M48" i="64"/>
  <c r="M47" i="64" s="1"/>
  <c r="M46" i="64" s="1"/>
  <c r="M45" i="64" s="1"/>
  <c r="M44" i="64" s="1"/>
  <c r="M43" i="64" s="1"/>
  <c r="M42" i="64" s="1"/>
  <c r="J48" i="64"/>
  <c r="I48" i="64"/>
  <c r="H48" i="64"/>
  <c r="H47" i="64" s="1"/>
  <c r="P47" i="64" s="1"/>
  <c r="L47" i="64"/>
  <c r="N47" i="64" s="1"/>
  <c r="K47" i="64"/>
  <c r="J47" i="64"/>
  <c r="I47" i="64"/>
  <c r="L42" i="64"/>
  <c r="N42" i="64" s="1"/>
  <c r="K42" i="64"/>
  <c r="J42" i="64"/>
  <c r="I42" i="64"/>
  <c r="H42" i="64"/>
  <c r="M37" i="64"/>
  <c r="L37" i="64"/>
  <c r="N37" i="64" s="1"/>
  <c r="K37" i="64"/>
  <c r="J37" i="64"/>
  <c r="I37" i="64"/>
  <c r="H37" i="64"/>
  <c r="P37" i="64" s="1"/>
  <c r="M32" i="64"/>
  <c r="L32" i="64"/>
  <c r="K32" i="64"/>
  <c r="J32" i="64"/>
  <c r="I32" i="64"/>
  <c r="H32" i="64"/>
  <c r="P32" i="64" s="1"/>
  <c r="M27" i="64"/>
  <c r="L27" i="64"/>
  <c r="K27" i="64"/>
  <c r="P27" i="64" s="1"/>
  <c r="J27" i="64"/>
  <c r="I27" i="64"/>
  <c r="I26" i="64" s="1"/>
  <c r="I25" i="64" s="1"/>
  <c r="I24" i="64" s="1"/>
  <c r="I23" i="64" s="1"/>
  <c r="I22" i="64" s="1"/>
  <c r="H27" i="64"/>
  <c r="M22" i="64"/>
  <c r="M20" i="64" s="1"/>
  <c r="L22" i="64"/>
  <c r="K22" i="64"/>
  <c r="J22" i="64"/>
  <c r="N22" i="64" s="1"/>
  <c r="H22" i="64"/>
  <c r="P22" i="64" s="1"/>
  <c r="L17" i="64"/>
  <c r="N17" i="64" s="1"/>
  <c r="K17" i="64"/>
  <c r="K11" i="64" s="1"/>
  <c r="J17" i="64"/>
  <c r="H17" i="64"/>
  <c r="H11" i="64" s="1"/>
  <c r="I14" i="64"/>
  <c r="L13" i="64"/>
  <c r="K13" i="64"/>
  <c r="J13" i="64"/>
  <c r="I13" i="64"/>
  <c r="H13" i="64"/>
  <c r="P13" i="64" s="1"/>
  <c r="J11" i="64"/>
  <c r="L10" i="64"/>
  <c r="N10" i="64" s="1"/>
  <c r="K10" i="64"/>
  <c r="J10" i="64"/>
  <c r="H10" i="64"/>
  <c r="L9" i="64"/>
  <c r="K9" i="64"/>
  <c r="J9" i="64"/>
  <c r="H9" i="64"/>
  <c r="L8" i="64"/>
  <c r="K8" i="64"/>
  <c r="J8" i="64"/>
  <c r="J7" i="64" s="1"/>
  <c r="H8" i="64"/>
  <c r="L11" i="64" l="1"/>
  <c r="N11" i="64" s="1"/>
  <c r="K7" i="64"/>
  <c r="N9" i="64"/>
  <c r="N8" i="64"/>
  <c r="N13" i="64"/>
  <c r="N32" i="64"/>
  <c r="N27" i="64"/>
  <c r="H7" i="64"/>
  <c r="M19" i="64"/>
  <c r="M10" i="64"/>
  <c r="I21" i="64"/>
  <c r="I20" i="64" s="1"/>
  <c r="O22" i="64"/>
  <c r="P17" i="64"/>
  <c r="L7" i="64"/>
  <c r="N7" i="64" s="1"/>
  <c r="I10" i="64" l="1"/>
  <c r="I19" i="64"/>
  <c r="M9" i="64"/>
  <c r="M18" i="64"/>
  <c r="M17" i="64" l="1"/>
  <c r="M11" i="64" s="1"/>
  <c r="M8" i="64"/>
  <c r="M7" i="64" s="1"/>
  <c r="I18" i="64"/>
  <c r="I9" i="64"/>
  <c r="I17" i="64" l="1"/>
  <c r="I8" i="64"/>
  <c r="I11" i="64" l="1"/>
  <c r="I7" i="64" s="1"/>
  <c r="O17" i="64"/>
  <c r="N13" i="59" l="1"/>
  <c r="N14" i="59" l="1"/>
  <c r="N15" i="59"/>
  <c r="E121" i="3" l="1"/>
  <c r="E161" i="3"/>
  <c r="F161" i="3" s="1"/>
  <c r="E166" i="3"/>
  <c r="R120" i="63"/>
  <c r="E202" i="3" l="1"/>
  <c r="F202" i="3"/>
  <c r="E203" i="3"/>
  <c r="E204" i="3"/>
  <c r="F204" i="3"/>
  <c r="D246" i="3" l="1"/>
  <c r="E216" i="3"/>
  <c r="F216" i="3" s="1"/>
  <c r="F215" i="3" s="1"/>
  <c r="G217" i="3"/>
  <c r="G218" i="3"/>
  <c r="G219" i="3"/>
  <c r="E215" i="3"/>
  <c r="D215" i="3"/>
  <c r="F195" i="3"/>
  <c r="E195" i="3"/>
  <c r="E194" i="3"/>
  <c r="F194" i="3"/>
  <c r="E193" i="3"/>
  <c r="F193" i="3"/>
  <c r="E192" i="3"/>
  <c r="E191" i="3"/>
  <c r="F191" i="3"/>
  <c r="D194" i="3"/>
  <c r="D193" i="3"/>
  <c r="D192" i="3"/>
  <c r="D191" i="3"/>
  <c r="D195" i="3"/>
  <c r="G215" i="3" l="1"/>
  <c r="G216" i="3"/>
  <c r="F192" i="3"/>
  <c r="F190" i="3" s="1"/>
  <c r="E190" i="3"/>
  <c r="D190" i="3"/>
  <c r="G195" i="3" l="1"/>
  <c r="G196" i="3"/>
  <c r="G197" i="3"/>
  <c r="G198" i="3"/>
  <c r="G199" i="3"/>
  <c r="G190" i="3"/>
  <c r="G191" i="3"/>
  <c r="G192" i="3"/>
  <c r="G193" i="3"/>
  <c r="G194" i="3"/>
  <c r="J190" i="3" l="1"/>
  <c r="J194" i="3" s="1"/>
  <c r="E136" i="3"/>
  <c r="E135" i="3" s="1"/>
  <c r="D135" i="3"/>
  <c r="G137" i="3"/>
  <c r="G138" i="3"/>
  <c r="G139" i="3"/>
  <c r="Q278" i="63"/>
  <c r="P278" i="63"/>
  <c r="O278" i="63"/>
  <c r="N278" i="63"/>
  <c r="M278" i="63"/>
  <c r="L278" i="63"/>
  <c r="K278" i="63"/>
  <c r="Q277" i="63"/>
  <c r="P277" i="63"/>
  <c r="O277" i="63"/>
  <c r="N277" i="63"/>
  <c r="M277" i="63"/>
  <c r="L277" i="63"/>
  <c r="K277" i="63"/>
  <c r="Q276" i="63"/>
  <c r="P276" i="63"/>
  <c r="O276" i="63"/>
  <c r="N276" i="63"/>
  <c r="M276" i="63"/>
  <c r="L276" i="63"/>
  <c r="K276" i="63"/>
  <c r="K275" i="63"/>
  <c r="Q274" i="63"/>
  <c r="Q275" i="63" s="1"/>
  <c r="P274" i="63"/>
  <c r="P275" i="63" s="1"/>
  <c r="O274" i="63"/>
  <c r="O275" i="63" s="1"/>
  <c r="N274" i="63"/>
  <c r="N275" i="63" s="1"/>
  <c r="M274" i="63"/>
  <c r="M275" i="63" s="1"/>
  <c r="L274" i="63"/>
  <c r="L275" i="63" s="1"/>
  <c r="K274" i="63"/>
  <c r="R274" i="63" l="1"/>
  <c r="F136" i="3"/>
  <c r="R275" i="63"/>
  <c r="F135" i="3" l="1"/>
  <c r="G135" i="3" s="1"/>
  <c r="G136" i="3"/>
  <c r="E61" i="3" l="1"/>
  <c r="E66" i="3" l="1"/>
  <c r="F208" i="3"/>
  <c r="F203" i="3" s="1"/>
  <c r="E301" i="3" l="1"/>
  <c r="E286" i="3"/>
  <c r="E287" i="3"/>
  <c r="E288" i="3"/>
  <c r="E226" i="3" l="1"/>
  <c r="F226" i="3" s="1"/>
  <c r="E211" i="3"/>
  <c r="E210" i="3" s="1"/>
  <c r="D211" i="3"/>
  <c r="E206" i="3"/>
  <c r="E151" i="3"/>
  <c r="E146" i="3"/>
  <c r="F146" i="3" s="1"/>
  <c r="E126" i="3"/>
  <c r="E106" i="3"/>
  <c r="F206" i="3" l="1"/>
  <c r="E201" i="3"/>
  <c r="F211" i="3"/>
  <c r="F210" i="3" s="1"/>
  <c r="D91" i="3"/>
  <c r="E91" i="3"/>
  <c r="E86" i="3"/>
  <c r="D86" i="3"/>
  <c r="E71" i="3"/>
  <c r="F71" i="3" s="1"/>
  <c r="F201" i="3" l="1"/>
  <c r="H27" i="62"/>
  <c r="D56" i="3"/>
  <c r="E51" i="3" l="1"/>
  <c r="F46" i="3"/>
  <c r="E36" i="3"/>
  <c r="D36" i="3"/>
  <c r="E31" i="3"/>
  <c r="G111" i="62"/>
  <c r="F111" i="62"/>
  <c r="G110" i="62"/>
  <c r="F110" i="62"/>
  <c r="G109" i="62"/>
  <c r="F109" i="62"/>
  <c r="D108" i="62"/>
  <c r="D107" i="62" s="1"/>
  <c r="G107" i="62" s="1"/>
  <c r="E107" i="62"/>
  <c r="F106" i="62"/>
  <c r="F105" i="62"/>
  <c r="E104" i="62"/>
  <c r="D104" i="62"/>
  <c r="G103" i="62"/>
  <c r="F103" i="62"/>
  <c r="G102" i="62"/>
  <c r="F102" i="62"/>
  <c r="G101" i="62"/>
  <c r="F101" i="62"/>
  <c r="E100" i="62"/>
  <c r="F100" i="62" s="1"/>
  <c r="D100" i="62"/>
  <c r="G100" i="62" s="1"/>
  <c r="G99" i="62"/>
  <c r="D98" i="62"/>
  <c r="D97" i="62" s="1"/>
  <c r="G96" i="62"/>
  <c r="F96" i="62"/>
  <c r="G95" i="62"/>
  <c r="F95" i="62"/>
  <c r="E94" i="62"/>
  <c r="D94" i="62"/>
  <c r="G93" i="62"/>
  <c r="F93" i="62"/>
  <c r="G92" i="62"/>
  <c r="F92" i="62"/>
  <c r="E91" i="62"/>
  <c r="E90" i="62" s="1"/>
  <c r="D91" i="62"/>
  <c r="D90" i="62" s="1"/>
  <c r="D89" i="62" s="1"/>
  <c r="G88" i="62"/>
  <c r="F88" i="62"/>
  <c r="G87" i="62"/>
  <c r="F87" i="62"/>
  <c r="E86" i="62"/>
  <c r="G86" i="62" s="1"/>
  <c r="E85" i="62"/>
  <c r="E83" i="62" s="1"/>
  <c r="G84" i="62"/>
  <c r="F84" i="62"/>
  <c r="D83" i="62"/>
  <c r="D82" i="62"/>
  <c r="G82" i="62" s="1"/>
  <c r="D81" i="62"/>
  <c r="F81" i="62" s="1"/>
  <c r="E79" i="62"/>
  <c r="F79" i="62" s="1"/>
  <c r="E78" i="62"/>
  <c r="F78" i="62" s="1"/>
  <c r="E77" i="62"/>
  <c r="D77" i="62"/>
  <c r="G76" i="62"/>
  <c r="F76" i="62"/>
  <c r="G75" i="62"/>
  <c r="F75" i="62"/>
  <c r="D74" i="62"/>
  <c r="G74" i="62" s="1"/>
  <c r="G73" i="62"/>
  <c r="F73" i="62"/>
  <c r="G72" i="62"/>
  <c r="F72" i="62"/>
  <c r="G71" i="62"/>
  <c r="F71" i="62"/>
  <c r="G70" i="62"/>
  <c r="F70" i="62"/>
  <c r="G69" i="62"/>
  <c r="F69" i="62"/>
  <c r="E68" i="62"/>
  <c r="D68" i="62"/>
  <c r="G68" i="62" s="1"/>
  <c r="G67" i="62"/>
  <c r="F67" i="62"/>
  <c r="D66" i="62"/>
  <c r="D65" i="62"/>
  <c r="G65" i="62" s="1"/>
  <c r="D64" i="62"/>
  <c r="G64" i="62" s="1"/>
  <c r="D63" i="62"/>
  <c r="G63" i="62" s="1"/>
  <c r="D62" i="62"/>
  <c r="G62" i="62" s="1"/>
  <c r="D61" i="62"/>
  <c r="G61" i="62" s="1"/>
  <c r="D60" i="62"/>
  <c r="G60" i="62" s="1"/>
  <c r="F59" i="62"/>
  <c r="D59" i="62"/>
  <c r="G57" i="62"/>
  <c r="F57" i="62"/>
  <c r="G56" i="62"/>
  <c r="F56" i="62"/>
  <c r="G55" i="62"/>
  <c r="F55" i="62"/>
  <c r="G54" i="62"/>
  <c r="F54" i="62"/>
  <c r="G53" i="62"/>
  <c r="F53" i="62"/>
  <c r="E52" i="62"/>
  <c r="F52" i="62" s="1"/>
  <c r="D52" i="62"/>
  <c r="G50" i="62"/>
  <c r="F50" i="62"/>
  <c r="D49" i="62"/>
  <c r="G49" i="62" s="1"/>
  <c r="E48" i="62"/>
  <c r="G46" i="62"/>
  <c r="F46" i="62"/>
  <c r="G45" i="62"/>
  <c r="F45" i="62"/>
  <c r="E44" i="62"/>
  <c r="D44" i="62"/>
  <c r="D43" i="62" s="1"/>
  <c r="E43" i="62"/>
  <c r="G42" i="62"/>
  <c r="F42" i="62"/>
  <c r="D41" i="62"/>
  <c r="D40" i="62" s="1"/>
  <c r="E40" i="62"/>
  <c r="G39" i="62"/>
  <c r="F39" i="62"/>
  <c r="G38" i="62"/>
  <c r="F38" i="62"/>
  <c r="G37" i="62"/>
  <c r="F37" i="62"/>
  <c r="G36" i="62"/>
  <c r="F36" i="62"/>
  <c r="G35" i="62"/>
  <c r="F35" i="62"/>
  <c r="G34" i="62"/>
  <c r="F34" i="62"/>
  <c r="G33" i="62"/>
  <c r="F33" i="62"/>
  <c r="E32" i="62"/>
  <c r="F32" i="62" s="1"/>
  <c r="D32" i="62"/>
  <c r="G31" i="62"/>
  <c r="F31" i="62"/>
  <c r="G30" i="62"/>
  <c r="F30" i="62"/>
  <c r="G29" i="62"/>
  <c r="F29" i="62"/>
  <c r="G28" i="62"/>
  <c r="F28" i="62"/>
  <c r="G27" i="62"/>
  <c r="F27" i="62"/>
  <c r="E26" i="62"/>
  <c r="G26" i="62" s="1"/>
  <c r="D26" i="62"/>
  <c r="G25" i="62"/>
  <c r="F25" i="62"/>
  <c r="G24" i="62"/>
  <c r="F24" i="62"/>
  <c r="G23" i="62"/>
  <c r="F23" i="62"/>
  <c r="G22" i="62"/>
  <c r="F22" i="62"/>
  <c r="G21" i="62"/>
  <c r="F21" i="62"/>
  <c r="G20" i="62"/>
  <c r="F20" i="62"/>
  <c r="G19" i="62"/>
  <c r="F19" i="62"/>
  <c r="E16" i="62"/>
  <c r="F16" i="62" s="1"/>
  <c r="D16" i="62"/>
  <c r="G16" i="62" s="1"/>
  <c r="E13" i="62"/>
  <c r="F13" i="62" s="1"/>
  <c r="D13" i="62"/>
  <c r="G13" i="62" s="1"/>
  <c r="E11" i="62"/>
  <c r="F11" i="62" s="1"/>
  <c r="D10" i="62"/>
  <c r="D8" i="62" s="1"/>
  <c r="G9" i="62"/>
  <c r="F9" i="62"/>
  <c r="G90" i="62" l="1"/>
  <c r="F63" i="62"/>
  <c r="F91" i="62"/>
  <c r="G91" i="62"/>
  <c r="F98" i="62"/>
  <c r="G85" i="62"/>
  <c r="G104" i="62"/>
  <c r="F41" i="62"/>
  <c r="F65" i="62"/>
  <c r="G77" i="62"/>
  <c r="D58" i="62"/>
  <c r="G78" i="62"/>
  <c r="F107" i="62"/>
  <c r="G94" i="62"/>
  <c r="F108" i="62"/>
  <c r="F44" i="62"/>
  <c r="F68" i="62"/>
  <c r="F74" i="62"/>
  <c r="G81" i="62"/>
  <c r="E10" i="62"/>
  <c r="G10" i="62" s="1"/>
  <c r="G32" i="62"/>
  <c r="F61" i="62"/>
  <c r="D18" i="62"/>
  <c r="D15" i="62"/>
  <c r="G40" i="62"/>
  <c r="G43" i="62"/>
  <c r="F43" i="62"/>
  <c r="G89" i="62"/>
  <c r="G97" i="62"/>
  <c r="F40" i="62"/>
  <c r="G83" i="62"/>
  <c r="F83" i="62"/>
  <c r="D48" i="62"/>
  <c r="G52" i="62"/>
  <c r="G79" i="62"/>
  <c r="E89" i="62"/>
  <c r="E97" i="62"/>
  <c r="F97" i="62" s="1"/>
  <c r="E18" i="62"/>
  <c r="F62" i="62"/>
  <c r="E66" i="62"/>
  <c r="F85" i="62"/>
  <c r="G44" i="62"/>
  <c r="F10" i="62"/>
  <c r="F26" i="62"/>
  <c r="G41" i="62"/>
  <c r="F49" i="62"/>
  <c r="G59" i="62"/>
  <c r="F77" i="62"/>
  <c r="F82" i="62"/>
  <c r="F86" i="62"/>
  <c r="F90" i="62"/>
  <c r="F94" i="62"/>
  <c r="G98" i="62"/>
  <c r="G108" i="62"/>
  <c r="F60" i="62"/>
  <c r="F64" i="62"/>
  <c r="F104" i="62"/>
  <c r="I9" i="61"/>
  <c r="H9" i="61"/>
  <c r="I8" i="61"/>
  <c r="H8" i="61"/>
  <c r="I7" i="61"/>
  <c r="H7" i="61"/>
  <c r="I6" i="61"/>
  <c r="H6" i="61"/>
  <c r="N24" i="59"/>
  <c r="N23" i="59"/>
  <c r="O22" i="59"/>
  <c r="M22" i="59"/>
  <c r="N20" i="59"/>
  <c r="N18" i="59"/>
  <c r="O17" i="59"/>
  <c r="N11" i="59"/>
  <c r="N10" i="59" s="1"/>
  <c r="M10" i="59"/>
  <c r="N9" i="59"/>
  <c r="N8" i="59"/>
  <c r="E8" i="62" l="1"/>
  <c r="N7" i="59"/>
  <c r="F8" i="62"/>
  <c r="F66" i="62"/>
  <c r="E58" i="62"/>
  <c r="G8" i="62"/>
  <c r="E15" i="62"/>
  <c r="F89" i="62"/>
  <c r="F18" i="62"/>
  <c r="D47" i="62"/>
  <c r="G48" i="62"/>
  <c r="G66" i="62"/>
  <c r="D17" i="62"/>
  <c r="F48" i="62"/>
  <c r="G18" i="62"/>
  <c r="M17" i="59"/>
  <c r="P22" i="59"/>
  <c r="N22" i="59"/>
  <c r="P17" i="59"/>
  <c r="N17" i="59"/>
  <c r="K7" i="54"/>
  <c r="L9" i="54"/>
  <c r="L8" i="54"/>
  <c r="L7" i="54"/>
  <c r="K9" i="54"/>
  <c r="K8" i="54"/>
  <c r="J9" i="54"/>
  <c r="J8" i="54"/>
  <c r="H9" i="54"/>
  <c r="F58" i="62" l="1"/>
  <c r="E47" i="62"/>
  <c r="G58" i="62"/>
  <c r="F15" i="62"/>
  <c r="E17" i="62"/>
  <c r="F17" i="62" s="1"/>
  <c r="D12" i="62"/>
  <c r="G15" i="62"/>
  <c r="G17" i="62"/>
  <c r="E156" i="3"/>
  <c r="D14" i="62" l="1"/>
  <c r="D7" i="62"/>
  <c r="F47" i="62"/>
  <c r="E12" i="62"/>
  <c r="G47" i="62"/>
  <c r="M48" i="54"/>
  <c r="M47" i="54" s="1"/>
  <c r="M46" i="54" s="1"/>
  <c r="M45" i="54" s="1"/>
  <c r="M44" i="54" s="1"/>
  <c r="M43" i="54" s="1"/>
  <c r="M42" i="54" s="1"/>
  <c r="M41" i="54" s="1"/>
  <c r="I48" i="54"/>
  <c r="H48" i="54"/>
  <c r="H8" i="54" s="1"/>
  <c r="J47" i="54"/>
  <c r="I47" i="54"/>
  <c r="I46" i="54" s="1"/>
  <c r="H47" i="54"/>
  <c r="L46" i="54"/>
  <c r="K46" i="54"/>
  <c r="I26" i="54"/>
  <c r="I41" i="54"/>
  <c r="H41" i="54"/>
  <c r="J41" i="54"/>
  <c r="N41" i="54" s="1"/>
  <c r="F12" i="62" l="1"/>
  <c r="E14" i="62"/>
  <c r="F14" i="62" s="1"/>
  <c r="E7" i="62"/>
  <c r="G7" i="62"/>
  <c r="G12" i="62"/>
  <c r="G14" i="62"/>
  <c r="J46" i="54"/>
  <c r="J7" i="54"/>
  <c r="H46" i="54"/>
  <c r="P46" i="54" s="1"/>
  <c r="H7" i="54"/>
  <c r="N46" i="54"/>
  <c r="I7" i="62" l="1"/>
  <c r="F7" i="62"/>
  <c r="D236" i="3"/>
  <c r="G236" i="3" s="1"/>
  <c r="E235" i="3"/>
  <c r="F235" i="3"/>
  <c r="G237" i="3"/>
  <c r="G238" i="3"/>
  <c r="G239" i="3"/>
  <c r="D235" i="3" l="1"/>
  <c r="G235" i="3" s="1"/>
  <c r="D273" i="3"/>
  <c r="D268" i="3"/>
  <c r="D263" i="3" l="1"/>
  <c r="E131" i="3"/>
  <c r="E130" i="3" s="1"/>
  <c r="D130" i="3"/>
  <c r="G132" i="3"/>
  <c r="G133" i="3"/>
  <c r="G134" i="3"/>
  <c r="F131" i="3" l="1"/>
  <c r="F130" i="3" s="1"/>
  <c r="G130" i="3" s="1"/>
  <c r="F61" i="3"/>
  <c r="H2063" i="58"/>
  <c r="G2063" i="58"/>
  <c r="F2063" i="58"/>
  <c r="E2063" i="58"/>
  <c r="D271" i="3"/>
  <c r="D266" i="3"/>
  <c r="I2063" i="58" l="1"/>
  <c r="G131" i="3"/>
  <c r="D261" i="3"/>
  <c r="E141" i="3"/>
  <c r="E111" i="3"/>
  <c r="D264" i="57" l="1"/>
  <c r="G264" i="57" s="1"/>
  <c r="D263" i="57"/>
  <c r="G263" i="57" s="1"/>
  <c r="D262" i="57"/>
  <c r="G262" i="57" s="1"/>
  <c r="E261" i="57"/>
  <c r="E260" i="57" s="1"/>
  <c r="D261" i="57"/>
  <c r="D256" i="57" s="1"/>
  <c r="G259" i="57"/>
  <c r="J258" i="57"/>
  <c r="J253" i="57" s="1"/>
  <c r="G258" i="57"/>
  <c r="J257" i="57"/>
  <c r="J252" i="57" s="1"/>
  <c r="G257" i="57"/>
  <c r="J256" i="57"/>
  <c r="J251" i="57" s="1"/>
  <c r="G254" i="57"/>
  <c r="G253" i="57"/>
  <c r="G252" i="57"/>
  <c r="G249" i="57"/>
  <c r="D248" i="57"/>
  <c r="D247" i="57"/>
  <c r="G247" i="57" s="1"/>
  <c r="D246" i="57"/>
  <c r="G246" i="57" s="1"/>
  <c r="F245" i="57"/>
  <c r="E245" i="57"/>
  <c r="D244" i="57"/>
  <c r="G244" i="57" s="1"/>
  <c r="D243" i="57"/>
  <c r="G243" i="57" s="1"/>
  <c r="D242" i="57"/>
  <c r="E241" i="57"/>
  <c r="E240" i="57" s="1"/>
  <c r="D241" i="57"/>
  <c r="F239" i="57"/>
  <c r="G239" i="57" s="1"/>
  <c r="E239" i="57"/>
  <c r="J238" i="57"/>
  <c r="F238" i="57"/>
  <c r="E238" i="57"/>
  <c r="J237" i="57"/>
  <c r="F237" i="57"/>
  <c r="E237" i="57"/>
  <c r="J236" i="57"/>
  <c r="D234" i="57"/>
  <c r="G234" i="57" s="1"/>
  <c r="D233" i="57"/>
  <c r="G233" i="57" s="1"/>
  <c r="D232" i="57"/>
  <c r="G232" i="57" s="1"/>
  <c r="D231" i="57"/>
  <c r="G231" i="57" s="1"/>
  <c r="F230" i="57"/>
  <c r="E230" i="57"/>
  <c r="D229" i="57"/>
  <c r="G229" i="57" s="1"/>
  <c r="D228" i="57"/>
  <c r="G228" i="57" s="1"/>
  <c r="D227" i="57"/>
  <c r="G227" i="57" s="1"/>
  <c r="D226" i="57"/>
  <c r="G226" i="57" s="1"/>
  <c r="F225" i="57"/>
  <c r="E225" i="57"/>
  <c r="D224" i="57"/>
  <c r="G224" i="57" s="1"/>
  <c r="D223" i="57"/>
  <c r="G223" i="57" s="1"/>
  <c r="D222" i="57"/>
  <c r="D221" i="57"/>
  <c r="G221" i="57" s="1"/>
  <c r="F220" i="57"/>
  <c r="E220" i="57"/>
  <c r="F219" i="57"/>
  <c r="E219" i="57"/>
  <c r="J218" i="57"/>
  <c r="F218" i="57"/>
  <c r="E218" i="57"/>
  <c r="J217" i="57"/>
  <c r="F217" i="57"/>
  <c r="J216" i="57"/>
  <c r="F216" i="57"/>
  <c r="E216" i="57"/>
  <c r="E217" i="57" s="1"/>
  <c r="D214" i="57"/>
  <c r="G214" i="57" s="1"/>
  <c r="D213" i="57"/>
  <c r="G213" i="57" s="1"/>
  <c r="D212" i="57"/>
  <c r="G212" i="57" s="1"/>
  <c r="D211" i="57"/>
  <c r="F210" i="57"/>
  <c r="E210" i="57"/>
  <c r="D209" i="57"/>
  <c r="G209" i="57" s="1"/>
  <c r="D208" i="57"/>
  <c r="G208" i="57" s="1"/>
  <c r="D207" i="57"/>
  <c r="G207" i="57" s="1"/>
  <c r="D206" i="57"/>
  <c r="G206" i="57" s="1"/>
  <c r="F205" i="57"/>
  <c r="E205" i="57"/>
  <c r="D204" i="57"/>
  <c r="G204" i="57" s="1"/>
  <c r="D203" i="57"/>
  <c r="G203" i="57" s="1"/>
  <c r="D202" i="57"/>
  <c r="G202" i="57" s="1"/>
  <c r="D201" i="57"/>
  <c r="G201" i="57" s="1"/>
  <c r="F200" i="57"/>
  <c r="E200" i="57"/>
  <c r="D199" i="57"/>
  <c r="G199" i="57" s="1"/>
  <c r="D198" i="57"/>
  <c r="G198" i="57" s="1"/>
  <c r="D197" i="57"/>
  <c r="D196" i="57"/>
  <c r="G196" i="57" s="1"/>
  <c r="D194" i="57"/>
  <c r="G194" i="57" s="1"/>
  <c r="D193" i="57"/>
  <c r="G193" i="57" s="1"/>
  <c r="D192" i="57"/>
  <c r="G192" i="57" s="1"/>
  <c r="D191" i="57"/>
  <c r="G191" i="57" s="1"/>
  <c r="F190" i="57"/>
  <c r="E190" i="57"/>
  <c r="F189" i="57"/>
  <c r="G189" i="57" s="1"/>
  <c r="J188" i="57"/>
  <c r="E188" i="57"/>
  <c r="F188" i="57" s="1"/>
  <c r="J187" i="57"/>
  <c r="E187" i="57"/>
  <c r="F187" i="57" s="1"/>
  <c r="J186" i="57"/>
  <c r="E186" i="57"/>
  <c r="F186" i="57" s="1"/>
  <c r="K185" i="57"/>
  <c r="G184" i="57"/>
  <c r="D179" i="57"/>
  <c r="G179" i="57" s="1"/>
  <c r="D178" i="57"/>
  <c r="G178" i="57" s="1"/>
  <c r="E177" i="57"/>
  <c r="F177" i="57" s="1"/>
  <c r="D177" i="57"/>
  <c r="E176" i="57"/>
  <c r="F176" i="57" s="1"/>
  <c r="D176" i="57"/>
  <c r="D174" i="57"/>
  <c r="G174" i="57" s="1"/>
  <c r="D173" i="57"/>
  <c r="G173" i="57" s="1"/>
  <c r="E172" i="57"/>
  <c r="D172" i="57"/>
  <c r="E171" i="57"/>
  <c r="F171" i="57" s="1"/>
  <c r="D171" i="57"/>
  <c r="G169" i="57"/>
  <c r="J168" i="57"/>
  <c r="E168" i="57"/>
  <c r="F168" i="57" s="1"/>
  <c r="J167" i="57"/>
  <c r="J166" i="57"/>
  <c r="D164" i="57"/>
  <c r="G164" i="57" s="1"/>
  <c r="D163" i="57"/>
  <c r="G163" i="57" s="1"/>
  <c r="D162" i="57"/>
  <c r="G162" i="57" s="1"/>
  <c r="E161" i="57"/>
  <c r="E151" i="57" s="1"/>
  <c r="D161" i="57"/>
  <c r="D159" i="57"/>
  <c r="G159" i="57" s="1"/>
  <c r="D158" i="57"/>
  <c r="D157" i="57"/>
  <c r="D156" i="57"/>
  <c r="G156" i="57" s="1"/>
  <c r="F155" i="57"/>
  <c r="E155" i="57"/>
  <c r="G154" i="57"/>
  <c r="J153" i="57"/>
  <c r="E153" i="57"/>
  <c r="F153" i="57" s="1"/>
  <c r="J152" i="57"/>
  <c r="E152" i="57"/>
  <c r="F152" i="57" s="1"/>
  <c r="J151" i="57"/>
  <c r="D149" i="57"/>
  <c r="G149" i="57" s="1"/>
  <c r="D148" i="57"/>
  <c r="G148" i="57" s="1"/>
  <c r="D147" i="57"/>
  <c r="G147" i="57" s="1"/>
  <c r="E146" i="57"/>
  <c r="E145" i="57" s="1"/>
  <c r="D146" i="57"/>
  <c r="D144" i="57"/>
  <c r="G144" i="57" s="1"/>
  <c r="D143" i="57"/>
  <c r="G143" i="57" s="1"/>
  <c r="D142" i="57"/>
  <c r="D141" i="57"/>
  <c r="G141" i="57" s="1"/>
  <c r="F140" i="57"/>
  <c r="E140" i="57"/>
  <c r="G139" i="57"/>
  <c r="G138" i="57"/>
  <c r="G137" i="57"/>
  <c r="E136" i="57"/>
  <c r="E135" i="57" s="1"/>
  <c r="D136" i="57"/>
  <c r="D135" i="57" s="1"/>
  <c r="G134" i="57"/>
  <c r="G133" i="57"/>
  <c r="G132" i="57"/>
  <c r="E131" i="57"/>
  <c r="E130" i="57" s="1"/>
  <c r="D131" i="57"/>
  <c r="D130" i="57" s="1"/>
  <c r="G129" i="57"/>
  <c r="G128" i="57"/>
  <c r="G127" i="57"/>
  <c r="E126" i="57"/>
  <c r="F126" i="57" s="1"/>
  <c r="D126" i="57"/>
  <c r="D125" i="57" s="1"/>
  <c r="G124" i="57"/>
  <c r="G123" i="57"/>
  <c r="G122" i="57"/>
  <c r="E121" i="57"/>
  <c r="F121" i="57" s="1"/>
  <c r="D121" i="57"/>
  <c r="D120" i="57" s="1"/>
  <c r="G119" i="57"/>
  <c r="G118" i="57"/>
  <c r="G117" i="57"/>
  <c r="E116" i="57"/>
  <c r="F116" i="57" s="1"/>
  <c r="D116" i="57"/>
  <c r="D115" i="57" s="1"/>
  <c r="G114" i="57"/>
  <c r="G113" i="57"/>
  <c r="G112" i="57"/>
  <c r="E111" i="57"/>
  <c r="F111" i="57" s="1"/>
  <c r="D111" i="57"/>
  <c r="D110" i="57" s="1"/>
  <c r="G109" i="57"/>
  <c r="G108" i="57"/>
  <c r="G107" i="57"/>
  <c r="E106" i="57"/>
  <c r="F106" i="57" s="1"/>
  <c r="D106" i="57"/>
  <c r="G104" i="57"/>
  <c r="J103" i="57"/>
  <c r="G103" i="57"/>
  <c r="J102" i="57"/>
  <c r="G102" i="57"/>
  <c r="J101" i="57"/>
  <c r="F99" i="57"/>
  <c r="G99" i="57" s="1"/>
  <c r="E99" i="57"/>
  <c r="G94" i="57"/>
  <c r="G93" i="57"/>
  <c r="G92" i="57"/>
  <c r="E91" i="57"/>
  <c r="F91" i="57" s="1"/>
  <c r="D91" i="57"/>
  <c r="D90" i="57" s="1"/>
  <c r="G89" i="57"/>
  <c r="G88" i="57"/>
  <c r="G87" i="57"/>
  <c r="E86" i="57"/>
  <c r="E85" i="57" s="1"/>
  <c r="D86" i="57"/>
  <c r="D85" i="57" s="1"/>
  <c r="H85" i="57"/>
  <c r="D84" i="57"/>
  <c r="G84" i="57" s="1"/>
  <c r="D83" i="57"/>
  <c r="D78" i="57" s="1"/>
  <c r="E82" i="57"/>
  <c r="D82" i="57"/>
  <c r="D77" i="57" s="1"/>
  <c r="E81" i="57"/>
  <c r="F81" i="57" s="1"/>
  <c r="D81" i="57"/>
  <c r="E79" i="57"/>
  <c r="F79" i="57" s="1"/>
  <c r="J78" i="57"/>
  <c r="E78" i="57"/>
  <c r="F78" i="57" s="1"/>
  <c r="J77" i="57"/>
  <c r="J76" i="57"/>
  <c r="D74" i="57"/>
  <c r="G74" i="57" s="1"/>
  <c r="D73" i="57"/>
  <c r="G73" i="57" s="1"/>
  <c r="D72" i="57"/>
  <c r="G72" i="57" s="1"/>
  <c r="D71" i="57"/>
  <c r="G71" i="57" s="1"/>
  <c r="F70" i="57"/>
  <c r="E70" i="57"/>
  <c r="D69" i="57"/>
  <c r="G69" i="57" s="1"/>
  <c r="D68" i="57"/>
  <c r="G68" i="57" s="1"/>
  <c r="D67" i="57"/>
  <c r="G67" i="57" s="1"/>
  <c r="E66" i="57"/>
  <c r="F66" i="57" s="1"/>
  <c r="D66" i="57"/>
  <c r="D64" i="57"/>
  <c r="G64" i="57" s="1"/>
  <c r="D63" i="57"/>
  <c r="G63" i="57" s="1"/>
  <c r="D62" i="57"/>
  <c r="G62" i="57" s="1"/>
  <c r="D61" i="57"/>
  <c r="G61" i="57" s="1"/>
  <c r="F60" i="57"/>
  <c r="E60" i="57"/>
  <c r="D59" i="57"/>
  <c r="G59" i="57" s="1"/>
  <c r="D58" i="57"/>
  <c r="G58" i="57" s="1"/>
  <c r="D57" i="57"/>
  <c r="G57" i="57" s="1"/>
  <c r="E56" i="57"/>
  <c r="F56" i="57" s="1"/>
  <c r="D56" i="57"/>
  <c r="D54" i="57"/>
  <c r="G54" i="57" s="1"/>
  <c r="D53" i="57"/>
  <c r="G53" i="57" s="1"/>
  <c r="D52" i="57"/>
  <c r="G52" i="57" s="1"/>
  <c r="E51" i="57"/>
  <c r="F51" i="57" s="1"/>
  <c r="D51" i="57"/>
  <c r="D49" i="57"/>
  <c r="G49" i="57" s="1"/>
  <c r="D48" i="57"/>
  <c r="G48" i="57" s="1"/>
  <c r="D47" i="57"/>
  <c r="G47" i="57" s="1"/>
  <c r="F46" i="57"/>
  <c r="D46" i="57"/>
  <c r="D44" i="57"/>
  <c r="G44" i="57" s="1"/>
  <c r="D43" i="57"/>
  <c r="G43" i="57" s="1"/>
  <c r="D42" i="57"/>
  <c r="E41" i="57"/>
  <c r="E40" i="57" s="1"/>
  <c r="D41" i="57"/>
  <c r="D39" i="57"/>
  <c r="G39" i="57" s="1"/>
  <c r="D38" i="57"/>
  <c r="D37" i="57"/>
  <c r="G37" i="57" s="1"/>
  <c r="E36" i="57"/>
  <c r="F36" i="57" s="1"/>
  <c r="D36" i="57"/>
  <c r="D34" i="57"/>
  <c r="G34" i="57" s="1"/>
  <c r="D33" i="57"/>
  <c r="G33" i="57" s="1"/>
  <c r="D32" i="57"/>
  <c r="E31" i="57"/>
  <c r="E30" i="57" s="1"/>
  <c r="D31" i="57"/>
  <c r="E29" i="57"/>
  <c r="F29" i="57" s="1"/>
  <c r="G29" i="57" s="1"/>
  <c r="J28" i="57"/>
  <c r="E28" i="57"/>
  <c r="F28" i="57" s="1"/>
  <c r="J27" i="57"/>
  <c r="E27" i="57"/>
  <c r="J26" i="57"/>
  <c r="G24" i="57"/>
  <c r="F19" i="57"/>
  <c r="G19" i="57" s="1"/>
  <c r="E18" i="57"/>
  <c r="F18" i="57" s="1"/>
  <c r="E17" i="57"/>
  <c r="F17" i="57" s="1"/>
  <c r="D17" i="57"/>
  <c r="E16" i="57"/>
  <c r="F16" i="57" s="1"/>
  <c r="K15" i="57"/>
  <c r="G14" i="57"/>
  <c r="D9" i="57"/>
  <c r="G9" i="57" s="1"/>
  <c r="J23" i="57" l="1"/>
  <c r="J97" i="57"/>
  <c r="D236" i="57"/>
  <c r="E23" i="57"/>
  <c r="D153" i="57"/>
  <c r="D18" i="57"/>
  <c r="G18" i="57" s="1"/>
  <c r="D166" i="57"/>
  <c r="D237" i="57"/>
  <c r="G237" i="57" s="1"/>
  <c r="D50" i="57"/>
  <c r="D65" i="57"/>
  <c r="F146" i="57"/>
  <c r="F145" i="57" s="1"/>
  <c r="G145" i="57" s="1"/>
  <c r="D175" i="57"/>
  <c r="D145" i="57"/>
  <c r="E170" i="57"/>
  <c r="D80" i="57"/>
  <c r="G51" i="57"/>
  <c r="G126" i="57"/>
  <c r="D195" i="57"/>
  <c r="G195" i="57" s="1"/>
  <c r="J235" i="57"/>
  <c r="G116" i="57"/>
  <c r="G197" i="57"/>
  <c r="F31" i="57"/>
  <c r="G31" i="57" s="1"/>
  <c r="D216" i="57"/>
  <c r="G216" i="57" s="1"/>
  <c r="J96" i="57"/>
  <c r="G177" i="57"/>
  <c r="D217" i="57"/>
  <c r="D160" i="57"/>
  <c r="J215" i="57"/>
  <c r="D238" i="57"/>
  <c r="G238" i="57" s="1"/>
  <c r="J183" i="57"/>
  <c r="J25" i="57"/>
  <c r="J29" i="57" s="1"/>
  <c r="E35" i="57"/>
  <c r="G46" i="57"/>
  <c r="G78" i="57"/>
  <c r="D170" i="57"/>
  <c r="F86" i="57"/>
  <c r="F85" i="57" s="1"/>
  <c r="G85" i="57" s="1"/>
  <c r="E236" i="57"/>
  <c r="E181" i="57" s="1"/>
  <c r="F181" i="57" s="1"/>
  <c r="F241" i="57"/>
  <c r="G241" i="57" s="1"/>
  <c r="D16" i="57"/>
  <c r="D167" i="57"/>
  <c r="E50" i="57"/>
  <c r="J100" i="57"/>
  <c r="J104" i="57" s="1"/>
  <c r="E160" i="57"/>
  <c r="D200" i="57"/>
  <c r="G200" i="57" s="1"/>
  <c r="D140" i="57"/>
  <c r="G140" i="57" s="1"/>
  <c r="D60" i="57"/>
  <c r="G60" i="57" s="1"/>
  <c r="J98" i="57"/>
  <c r="G217" i="57"/>
  <c r="E230" i="3"/>
  <c r="D40" i="57"/>
  <c r="F161" i="57"/>
  <c r="F160" i="57" s="1"/>
  <c r="J22" i="57"/>
  <c r="E115" i="57"/>
  <c r="D210" i="57"/>
  <c r="G210" i="57" s="1"/>
  <c r="J185" i="57"/>
  <c r="J189" i="57" s="1"/>
  <c r="J75" i="57"/>
  <c r="J79" i="57" s="1"/>
  <c r="D45" i="57"/>
  <c r="E80" i="57"/>
  <c r="D101" i="57"/>
  <c r="D100" i="57" s="1"/>
  <c r="E125" i="57"/>
  <c r="D151" i="57"/>
  <c r="D155" i="57"/>
  <c r="G155" i="57" s="1"/>
  <c r="E166" i="57"/>
  <c r="F166" i="57" s="1"/>
  <c r="G211" i="57"/>
  <c r="D218" i="57"/>
  <c r="D190" i="57"/>
  <c r="G190" i="57" s="1"/>
  <c r="D70" i="57"/>
  <c r="G70" i="57" s="1"/>
  <c r="G158" i="57"/>
  <c r="G218" i="57"/>
  <c r="G17" i="57"/>
  <c r="D55" i="57"/>
  <c r="D205" i="57"/>
  <c r="G205" i="57" s="1"/>
  <c r="D186" i="57"/>
  <c r="G186" i="57" s="1"/>
  <c r="D219" i="57"/>
  <c r="G219" i="57" s="1"/>
  <c r="D27" i="57"/>
  <c r="D22" i="57" s="1"/>
  <c r="D26" i="57"/>
  <c r="D28" i="57"/>
  <c r="D23" i="57" s="1"/>
  <c r="F215" i="57"/>
  <c r="F230" i="3"/>
  <c r="F35" i="57"/>
  <c r="G35" i="57" s="1"/>
  <c r="G36" i="57"/>
  <c r="G56" i="57"/>
  <c r="F55" i="57"/>
  <c r="J239" i="57"/>
  <c r="G111" i="57"/>
  <c r="F110" i="57"/>
  <c r="G110" i="57" s="1"/>
  <c r="G176" i="57"/>
  <c r="F175" i="57"/>
  <c r="G121" i="57"/>
  <c r="F120" i="57"/>
  <c r="G120" i="57" s="1"/>
  <c r="E150" i="57"/>
  <c r="F151" i="57"/>
  <c r="F65" i="57"/>
  <c r="G66" i="57"/>
  <c r="J16" i="57"/>
  <c r="J18" i="57"/>
  <c r="J17" i="57"/>
  <c r="G153" i="57"/>
  <c r="F98" i="57"/>
  <c r="F15" i="57"/>
  <c r="G91" i="57"/>
  <c r="F90" i="57"/>
  <c r="G90" i="57" s="1"/>
  <c r="D251" i="57"/>
  <c r="D250" i="57" s="1"/>
  <c r="D255" i="57"/>
  <c r="G106" i="57"/>
  <c r="F105" i="57"/>
  <c r="D76" i="57"/>
  <c r="J219" i="57"/>
  <c r="G248" i="57"/>
  <c r="E256" i="57"/>
  <c r="F45" i="57"/>
  <c r="E76" i="57"/>
  <c r="E90" i="57"/>
  <c r="E120" i="57"/>
  <c r="F125" i="57"/>
  <c r="G125" i="57" s="1"/>
  <c r="D168" i="57"/>
  <c r="D98" i="57" s="1"/>
  <c r="E175" i="57"/>
  <c r="J181" i="57"/>
  <c r="D187" i="57"/>
  <c r="E215" i="57"/>
  <c r="D220" i="57"/>
  <c r="G220" i="57" s="1"/>
  <c r="D225" i="57"/>
  <c r="G225" i="57" s="1"/>
  <c r="D230" i="57"/>
  <c r="G230" i="57" s="1"/>
  <c r="D240" i="57"/>
  <c r="J150" i="57"/>
  <c r="J165" i="57"/>
  <c r="J169" i="57" s="1"/>
  <c r="E235" i="57"/>
  <c r="F41" i="57"/>
  <c r="D79" i="57"/>
  <c r="G79" i="57" s="1"/>
  <c r="G81" i="57"/>
  <c r="E98" i="57"/>
  <c r="E13" i="57" s="1"/>
  <c r="F13" i="57" s="1"/>
  <c r="D105" i="57"/>
  <c r="E110" i="57"/>
  <c r="F115" i="57"/>
  <c r="G115" i="57" s="1"/>
  <c r="F136" i="57"/>
  <c r="G142" i="57"/>
  <c r="G157" i="57"/>
  <c r="G171" i="57"/>
  <c r="E182" i="57"/>
  <c r="F182" i="57" s="1"/>
  <c r="E185" i="57"/>
  <c r="F240" i="57"/>
  <c r="D245" i="57"/>
  <c r="G245" i="57" s="1"/>
  <c r="G32" i="57"/>
  <c r="F50" i="57"/>
  <c r="G50" i="57" s="1"/>
  <c r="E46" i="57"/>
  <c r="E45" i="57" s="1"/>
  <c r="E55" i="57"/>
  <c r="E105" i="57"/>
  <c r="F131" i="57"/>
  <c r="F185" i="57"/>
  <c r="F261" i="57"/>
  <c r="E101" i="57"/>
  <c r="G16" i="57"/>
  <c r="J21" i="57"/>
  <c r="F27" i="57"/>
  <c r="G27" i="57" s="1"/>
  <c r="D30" i="57"/>
  <c r="G38" i="57"/>
  <c r="G42" i="57"/>
  <c r="E65" i="57"/>
  <c r="E77" i="57"/>
  <c r="F77" i="57" s="1"/>
  <c r="G77" i="57" s="1"/>
  <c r="F82" i="57"/>
  <c r="G82" i="57" s="1"/>
  <c r="F172" i="57"/>
  <c r="G172" i="57" s="1"/>
  <c r="J182" i="57"/>
  <c r="D188" i="57"/>
  <c r="J154" i="57"/>
  <c r="D152" i="57"/>
  <c r="D97" i="57" s="1"/>
  <c r="E183" i="57"/>
  <c r="F183" i="57" s="1"/>
  <c r="G222" i="57"/>
  <c r="G83" i="57"/>
  <c r="E167" i="57"/>
  <c r="E165" i="57" s="1"/>
  <c r="E15" i="57"/>
  <c r="G242" i="57"/>
  <c r="J255" i="57"/>
  <c r="J250" i="57" s="1"/>
  <c r="J254" i="57" s="1"/>
  <c r="D260" i="57"/>
  <c r="G261" i="3"/>
  <c r="G262" i="3"/>
  <c r="G263" i="3"/>
  <c r="G264" i="3"/>
  <c r="D260" i="3"/>
  <c r="E260" i="3"/>
  <c r="F260" i="3"/>
  <c r="D270" i="3"/>
  <c r="E270" i="3"/>
  <c r="D265" i="3"/>
  <c r="E265" i="3"/>
  <c r="F265" i="3"/>
  <c r="G266" i="3"/>
  <c r="G267" i="3"/>
  <c r="G268" i="3"/>
  <c r="G269" i="3"/>
  <c r="G274" i="3"/>
  <c r="J261" i="3"/>
  <c r="D182" i="3"/>
  <c r="D176" i="3"/>
  <c r="D177" i="3"/>
  <c r="J180" i="57" l="1"/>
  <c r="G65" i="57"/>
  <c r="D183" i="57"/>
  <c r="G183" i="57" s="1"/>
  <c r="G146" i="57"/>
  <c r="F30" i="57"/>
  <c r="G30" i="57" s="1"/>
  <c r="D96" i="57"/>
  <c r="D95" i="57" s="1"/>
  <c r="D15" i="57"/>
  <c r="G15" i="57" s="1"/>
  <c r="G86" i="57"/>
  <c r="F236" i="57"/>
  <c r="G236" i="57" s="1"/>
  <c r="G45" i="57"/>
  <c r="G175" i="57"/>
  <c r="G160" i="57"/>
  <c r="D215" i="57"/>
  <c r="G215" i="57" s="1"/>
  <c r="J184" i="57"/>
  <c r="D25" i="57"/>
  <c r="G28" i="57"/>
  <c r="D235" i="57"/>
  <c r="G161" i="57"/>
  <c r="D181" i="57"/>
  <c r="G181" i="57" s="1"/>
  <c r="E26" i="57"/>
  <c r="E25" i="57" s="1"/>
  <c r="F25" i="57" s="1"/>
  <c r="F170" i="57"/>
  <c r="G170" i="57" s="1"/>
  <c r="G55" i="57"/>
  <c r="J20" i="57"/>
  <c r="J24" i="57"/>
  <c r="D21" i="57"/>
  <c r="D20" i="57" s="1"/>
  <c r="G265" i="3"/>
  <c r="G98" i="57"/>
  <c r="J15" i="57"/>
  <c r="J19" i="57" s="1"/>
  <c r="E180" i="57"/>
  <c r="G240" i="57"/>
  <c r="E251" i="57"/>
  <c r="E250" i="57" s="1"/>
  <c r="E255" i="57"/>
  <c r="G166" i="57"/>
  <c r="D12" i="57"/>
  <c r="F180" i="57"/>
  <c r="E96" i="57"/>
  <c r="E100" i="57"/>
  <c r="J95" i="57"/>
  <c r="D150" i="57"/>
  <c r="G261" i="57"/>
  <c r="F256" i="57"/>
  <c r="F260" i="57"/>
  <c r="G260" i="57" s="1"/>
  <c r="F40" i="57"/>
  <c r="G40" i="57" s="1"/>
  <c r="G41" i="57"/>
  <c r="D185" i="57"/>
  <c r="G185" i="57" s="1"/>
  <c r="D182" i="57"/>
  <c r="D75" i="57"/>
  <c r="J259" i="57"/>
  <c r="G131" i="57"/>
  <c r="F130" i="57"/>
  <c r="G130" i="57" s="1"/>
  <c r="G188" i="57"/>
  <c r="E97" i="57"/>
  <c r="F167" i="57"/>
  <c r="F165" i="57" s="1"/>
  <c r="F80" i="57"/>
  <c r="G80" i="57" s="1"/>
  <c r="G105" i="57"/>
  <c r="E22" i="57"/>
  <c r="G187" i="57"/>
  <c r="D165" i="57"/>
  <c r="F135" i="57"/>
  <c r="G135" i="57" s="1"/>
  <c r="G136" i="57"/>
  <c r="F101" i="57"/>
  <c r="G168" i="57"/>
  <c r="G151" i="57"/>
  <c r="F150" i="57"/>
  <c r="G23" i="57"/>
  <c r="D13" i="57"/>
  <c r="G13" i="57" s="1"/>
  <c r="G152" i="57"/>
  <c r="E8" i="57"/>
  <c r="F8" i="57" s="1"/>
  <c r="E75" i="57"/>
  <c r="F76" i="57"/>
  <c r="G260" i="3"/>
  <c r="G273" i="3"/>
  <c r="J260" i="3"/>
  <c r="J264" i="3" s="1"/>
  <c r="D81" i="3"/>
  <c r="D82" i="3"/>
  <c r="E778" i="56"/>
  <c r="E777" i="56"/>
  <c r="E776" i="56"/>
  <c r="E775" i="56"/>
  <c r="E774" i="56"/>
  <c r="I773" i="56"/>
  <c r="H773" i="56"/>
  <c r="G773" i="56"/>
  <c r="F773" i="56"/>
  <c r="I772" i="56"/>
  <c r="I766" i="56" s="1"/>
  <c r="H772" i="56"/>
  <c r="H766" i="56" s="1"/>
  <c r="G772" i="56"/>
  <c r="G766" i="56" s="1"/>
  <c r="F772" i="56"/>
  <c r="I771" i="56"/>
  <c r="I765" i="56" s="1"/>
  <c r="H771" i="56"/>
  <c r="H765" i="56" s="1"/>
  <c r="G771" i="56"/>
  <c r="G765" i="56" s="1"/>
  <c r="F771" i="56"/>
  <c r="F765" i="56" s="1"/>
  <c r="I770" i="56"/>
  <c r="H770" i="56"/>
  <c r="H764" i="56" s="1"/>
  <c r="G770" i="56"/>
  <c r="G764" i="56" s="1"/>
  <c r="F770" i="56"/>
  <c r="F764" i="56" s="1"/>
  <c r="I769" i="56"/>
  <c r="I763" i="56" s="1"/>
  <c r="H769" i="56"/>
  <c r="H763" i="56" s="1"/>
  <c r="G769" i="56"/>
  <c r="G763" i="56" s="1"/>
  <c r="F769" i="56"/>
  <c r="I768" i="56"/>
  <c r="I762" i="56" s="1"/>
  <c r="H768" i="56"/>
  <c r="H762" i="56" s="1"/>
  <c r="G768" i="56"/>
  <c r="G762" i="56" s="1"/>
  <c r="F768" i="56"/>
  <c r="I764" i="56"/>
  <c r="E760" i="56"/>
  <c r="E759" i="56"/>
  <c r="F758" i="56"/>
  <c r="H758" i="56" s="1"/>
  <c r="E757" i="56"/>
  <c r="E756" i="56"/>
  <c r="I755" i="56"/>
  <c r="G755" i="56"/>
  <c r="E754" i="56"/>
  <c r="E753" i="56"/>
  <c r="E752" i="56"/>
  <c r="E751" i="56"/>
  <c r="E750" i="56"/>
  <c r="I749" i="56"/>
  <c r="E749" i="56" s="1"/>
  <c r="E748" i="56"/>
  <c r="E747" i="56"/>
  <c r="E746" i="56"/>
  <c r="E745" i="56"/>
  <c r="E744" i="56"/>
  <c r="I743" i="56"/>
  <c r="H743" i="56"/>
  <c r="G743" i="56"/>
  <c r="F743" i="56"/>
  <c r="E742" i="56"/>
  <c r="E741" i="56"/>
  <c r="F740" i="56"/>
  <c r="E740" i="56" s="1"/>
  <c r="E739" i="56"/>
  <c r="E738" i="56"/>
  <c r="I737" i="56"/>
  <c r="H737" i="56"/>
  <c r="G737" i="56"/>
  <c r="I736" i="56"/>
  <c r="H736" i="56"/>
  <c r="G736" i="56"/>
  <c r="F736" i="56"/>
  <c r="I735" i="56"/>
  <c r="H735" i="56"/>
  <c r="G735" i="56"/>
  <c r="F735" i="56"/>
  <c r="I734" i="56"/>
  <c r="G734" i="56"/>
  <c r="I733" i="56"/>
  <c r="H733" i="56"/>
  <c r="G733" i="56"/>
  <c r="F733" i="56"/>
  <c r="I732" i="56"/>
  <c r="H732" i="56"/>
  <c r="G732" i="56"/>
  <c r="F732" i="56"/>
  <c r="E730" i="56"/>
  <c r="E729" i="56"/>
  <c r="E728" i="56"/>
  <c r="M727" i="56"/>
  <c r="E727" i="56"/>
  <c r="E726" i="56"/>
  <c r="I725" i="56"/>
  <c r="H725" i="56"/>
  <c r="G725" i="56"/>
  <c r="F725" i="56"/>
  <c r="E724" i="56"/>
  <c r="E723" i="56"/>
  <c r="E722" i="56"/>
  <c r="E721" i="56"/>
  <c r="E720" i="56"/>
  <c r="I719" i="56"/>
  <c r="H719" i="56"/>
  <c r="G719" i="56"/>
  <c r="G713" i="56" s="1"/>
  <c r="F719" i="56"/>
  <c r="I718" i="56"/>
  <c r="H718" i="56"/>
  <c r="G718" i="56"/>
  <c r="F718" i="56"/>
  <c r="I717" i="56"/>
  <c r="H717" i="56"/>
  <c r="G717" i="56"/>
  <c r="F717" i="56"/>
  <c r="F21" i="56" s="1"/>
  <c r="I716" i="56"/>
  <c r="H716" i="56"/>
  <c r="G716" i="56"/>
  <c r="F716" i="56"/>
  <c r="I715" i="56"/>
  <c r="H715" i="56"/>
  <c r="G715" i="56"/>
  <c r="F715" i="56"/>
  <c r="I714" i="56"/>
  <c r="H714" i="56"/>
  <c r="G714" i="56"/>
  <c r="F714" i="56"/>
  <c r="I712" i="56"/>
  <c r="I707" i="56" s="1"/>
  <c r="E711" i="56"/>
  <c r="E710" i="56"/>
  <c r="E709" i="56"/>
  <c r="E708" i="56"/>
  <c r="G707" i="56"/>
  <c r="F707" i="56"/>
  <c r="I706" i="56"/>
  <c r="H712" i="56" s="1"/>
  <c r="E705" i="56"/>
  <c r="E704" i="56"/>
  <c r="E703" i="56"/>
  <c r="E702" i="56"/>
  <c r="G701" i="56"/>
  <c r="F701" i="56"/>
  <c r="I700" i="56"/>
  <c r="I695" i="56" s="1"/>
  <c r="E699" i="56"/>
  <c r="E698" i="56"/>
  <c r="E697" i="56"/>
  <c r="E696" i="56"/>
  <c r="G695" i="56"/>
  <c r="F695" i="56"/>
  <c r="G694" i="56"/>
  <c r="F694" i="56"/>
  <c r="I693" i="56"/>
  <c r="H693" i="56"/>
  <c r="G693" i="56"/>
  <c r="F693" i="56"/>
  <c r="I692" i="56"/>
  <c r="H692" i="56"/>
  <c r="G692" i="56"/>
  <c r="F692" i="56"/>
  <c r="I691" i="56"/>
  <c r="H691" i="56"/>
  <c r="G691" i="56"/>
  <c r="F691" i="56"/>
  <c r="I690" i="56"/>
  <c r="H690" i="56"/>
  <c r="G690" i="56"/>
  <c r="F690" i="56"/>
  <c r="I688" i="56"/>
  <c r="I682" i="56" s="1"/>
  <c r="H688" i="56" s="1"/>
  <c r="E687" i="56"/>
  <c r="E686" i="56"/>
  <c r="E685" i="56"/>
  <c r="E684" i="56"/>
  <c r="G683" i="56"/>
  <c r="F683" i="56"/>
  <c r="G682" i="56"/>
  <c r="F682" i="56"/>
  <c r="I681" i="56"/>
  <c r="H681" i="56"/>
  <c r="G681" i="56"/>
  <c r="F681" i="56"/>
  <c r="I680" i="56"/>
  <c r="H680" i="56"/>
  <c r="G680" i="56"/>
  <c r="F680" i="56"/>
  <c r="I679" i="56"/>
  <c r="H679" i="56"/>
  <c r="G679" i="56"/>
  <c r="F679" i="56"/>
  <c r="I678" i="56"/>
  <c r="H678" i="56"/>
  <c r="G678" i="56"/>
  <c r="F678" i="56"/>
  <c r="F676" i="56"/>
  <c r="E676" i="56" s="1"/>
  <c r="F675" i="56"/>
  <c r="E675" i="56" s="1"/>
  <c r="F674" i="56"/>
  <c r="E674" i="56" s="1"/>
  <c r="H673" i="56"/>
  <c r="E673" i="56" s="1"/>
  <c r="F672" i="56"/>
  <c r="E672" i="56" s="1"/>
  <c r="E670" i="56"/>
  <c r="E669" i="56"/>
  <c r="E668" i="56"/>
  <c r="H667" i="56"/>
  <c r="E667" i="56" s="1"/>
  <c r="E666" i="56"/>
  <c r="F665" i="56"/>
  <c r="E664" i="56"/>
  <c r="E663" i="56"/>
  <c r="E662" i="56"/>
  <c r="F661" i="56"/>
  <c r="F659" i="56" s="1"/>
  <c r="E660" i="56"/>
  <c r="I659" i="56"/>
  <c r="G659" i="56"/>
  <c r="E658" i="56"/>
  <c r="E657" i="56"/>
  <c r="E656" i="56"/>
  <c r="F655" i="56"/>
  <c r="E654" i="56"/>
  <c r="I653" i="56"/>
  <c r="G653" i="56"/>
  <c r="E652" i="56"/>
  <c r="E651" i="56"/>
  <c r="E650" i="56"/>
  <c r="E649" i="56"/>
  <c r="E648" i="56"/>
  <c r="I647" i="56"/>
  <c r="H647" i="56"/>
  <c r="G647" i="56"/>
  <c r="F647" i="56"/>
  <c r="E646" i="56"/>
  <c r="E645" i="56"/>
  <c r="E644" i="56"/>
  <c r="E643" i="56"/>
  <c r="E642" i="56"/>
  <c r="I641" i="56"/>
  <c r="H641" i="56"/>
  <c r="G641" i="56"/>
  <c r="F641" i="56"/>
  <c r="E640" i="56"/>
  <c r="E639" i="56"/>
  <c r="E638" i="56"/>
  <c r="E637" i="56"/>
  <c r="E636" i="56"/>
  <c r="I635" i="56"/>
  <c r="H635" i="56"/>
  <c r="G635" i="56"/>
  <c r="F635" i="56"/>
  <c r="E634" i="56"/>
  <c r="E633" i="56"/>
  <c r="I632" i="56"/>
  <c r="I631" i="56" s="1"/>
  <c r="I630" i="56" s="1"/>
  <c r="E632" i="56"/>
  <c r="H631" i="56"/>
  <c r="H629" i="56" s="1"/>
  <c r="G629" i="56"/>
  <c r="G625" i="56" s="1"/>
  <c r="G624" i="56" s="1"/>
  <c r="F629" i="56"/>
  <c r="E628" i="56"/>
  <c r="E627" i="56"/>
  <c r="E626" i="56"/>
  <c r="H625" i="56"/>
  <c r="H623" i="56" s="1"/>
  <c r="I623" i="56"/>
  <c r="I622" i="56" s="1"/>
  <c r="I621" i="56" s="1"/>
  <c r="I620" i="56" s="1"/>
  <c r="I619" i="56" s="1"/>
  <c r="I618" i="56" s="1"/>
  <c r="I617" i="56" s="1"/>
  <c r="I616" i="56" s="1"/>
  <c r="I615" i="56" s="1"/>
  <c r="I614" i="56" s="1"/>
  <c r="I613" i="56" s="1"/>
  <c r="I612" i="56" s="1"/>
  <c r="I611" i="56" s="1"/>
  <c r="I610" i="56" s="1"/>
  <c r="I609" i="56" s="1"/>
  <c r="I608" i="56" s="1"/>
  <c r="I607" i="56" s="1"/>
  <c r="I606" i="56" s="1"/>
  <c r="I605" i="56" s="1"/>
  <c r="I604" i="56" s="1"/>
  <c r="I603" i="56" s="1"/>
  <c r="I602" i="56" s="1"/>
  <c r="I601" i="56" s="1"/>
  <c r="I600" i="56" s="1"/>
  <c r="I599" i="56" s="1"/>
  <c r="I598" i="56" s="1"/>
  <c r="F623" i="56"/>
  <c r="H617" i="56"/>
  <c r="F617" i="56"/>
  <c r="H613" i="56"/>
  <c r="H611" i="56" s="1"/>
  <c r="F611" i="56"/>
  <c r="H607" i="56"/>
  <c r="H605" i="56" s="1"/>
  <c r="F605" i="56"/>
  <c r="H599" i="56"/>
  <c r="F599" i="56"/>
  <c r="H595" i="56"/>
  <c r="H593" i="56" s="1"/>
  <c r="F593" i="56"/>
  <c r="E592" i="56"/>
  <c r="E591" i="56"/>
  <c r="E590" i="56"/>
  <c r="E589" i="56"/>
  <c r="E588" i="56"/>
  <c r="I587" i="56"/>
  <c r="H587" i="56"/>
  <c r="G587" i="56"/>
  <c r="F587" i="56"/>
  <c r="E586" i="56"/>
  <c r="E585" i="56"/>
  <c r="E584" i="56"/>
  <c r="E583" i="56"/>
  <c r="E582" i="56"/>
  <c r="I581" i="56"/>
  <c r="H581" i="56"/>
  <c r="G581" i="56"/>
  <c r="F581" i="56"/>
  <c r="E580" i="56"/>
  <c r="E579" i="56"/>
  <c r="E578" i="56"/>
  <c r="E577" i="56"/>
  <c r="E576" i="56"/>
  <c r="I575" i="56"/>
  <c r="H575" i="56"/>
  <c r="G575" i="56"/>
  <c r="F575" i="56"/>
  <c r="E574" i="56"/>
  <c r="E573" i="56"/>
  <c r="E572" i="56"/>
  <c r="E571" i="56"/>
  <c r="E570" i="56"/>
  <c r="I569" i="56"/>
  <c r="H569" i="56"/>
  <c r="G569" i="56"/>
  <c r="F569" i="56"/>
  <c r="E568" i="56"/>
  <c r="E567" i="56"/>
  <c r="E566" i="56"/>
  <c r="E565" i="56"/>
  <c r="H564" i="56"/>
  <c r="H563" i="56" s="1"/>
  <c r="G563" i="56"/>
  <c r="F563" i="56"/>
  <c r="E562" i="56"/>
  <c r="E561" i="56"/>
  <c r="E560" i="56"/>
  <c r="H559" i="56"/>
  <c r="E559" i="56" s="1"/>
  <c r="H558" i="56"/>
  <c r="H557" i="56" s="1"/>
  <c r="I557" i="56"/>
  <c r="G557" i="56"/>
  <c r="F557" i="56"/>
  <c r="E556" i="56"/>
  <c r="E555" i="56"/>
  <c r="E554" i="56"/>
  <c r="E553" i="56"/>
  <c r="E552" i="56"/>
  <c r="I551" i="56"/>
  <c r="H551" i="56"/>
  <c r="G551" i="56"/>
  <c r="F551" i="56"/>
  <c r="E551" i="56" s="1"/>
  <c r="E550" i="56"/>
  <c r="E549" i="56"/>
  <c r="E548" i="56"/>
  <c r="E547" i="56"/>
  <c r="E546" i="56"/>
  <c r="E545" i="56"/>
  <c r="E544" i="56"/>
  <c r="E543" i="56"/>
  <c r="E542" i="56"/>
  <c r="E541" i="56"/>
  <c r="E540" i="56"/>
  <c r="I539" i="56"/>
  <c r="H539" i="56"/>
  <c r="G539" i="56"/>
  <c r="F539" i="56"/>
  <c r="H534" i="56"/>
  <c r="E534" i="56" s="1"/>
  <c r="I533" i="56"/>
  <c r="G533" i="56"/>
  <c r="F533" i="56"/>
  <c r="H528" i="56"/>
  <c r="E528" i="56" s="1"/>
  <c r="I527" i="56"/>
  <c r="G527" i="56"/>
  <c r="F527" i="56"/>
  <c r="H522" i="56"/>
  <c r="H521" i="56" s="1"/>
  <c r="I521" i="56"/>
  <c r="G521" i="56"/>
  <c r="F521" i="56"/>
  <c r="H516" i="56"/>
  <c r="E516" i="56" s="1"/>
  <c r="I515" i="56"/>
  <c r="G515" i="56"/>
  <c r="F515" i="56"/>
  <c r="H510" i="56"/>
  <c r="E510" i="56" s="1"/>
  <c r="I509" i="56"/>
  <c r="G509" i="56"/>
  <c r="F509" i="56"/>
  <c r="H504" i="56"/>
  <c r="H503" i="56" s="1"/>
  <c r="I503" i="56"/>
  <c r="G503" i="56"/>
  <c r="F503" i="56"/>
  <c r="E498" i="56"/>
  <c r="I497" i="56"/>
  <c r="H497" i="56"/>
  <c r="G497" i="56"/>
  <c r="F497" i="56"/>
  <c r="E496" i="56"/>
  <c r="E495" i="56"/>
  <c r="E494" i="56"/>
  <c r="F493" i="56"/>
  <c r="F492" i="56"/>
  <c r="E492" i="56" s="1"/>
  <c r="I491" i="56"/>
  <c r="H491" i="56"/>
  <c r="G491" i="56"/>
  <c r="E490" i="56"/>
  <c r="E489" i="56"/>
  <c r="E488" i="56"/>
  <c r="E487" i="56"/>
  <c r="E486" i="56"/>
  <c r="I485" i="56"/>
  <c r="H485" i="56"/>
  <c r="G485" i="56"/>
  <c r="F485" i="56"/>
  <c r="E484" i="56"/>
  <c r="I483" i="56"/>
  <c r="I479" i="56" s="1"/>
  <c r="F482" i="56"/>
  <c r="F479" i="56" s="1"/>
  <c r="E481" i="56"/>
  <c r="E480" i="56"/>
  <c r="H479" i="56"/>
  <c r="G479" i="56"/>
  <c r="H478" i="56"/>
  <c r="F478" i="56"/>
  <c r="H477" i="56"/>
  <c r="F477" i="56"/>
  <c r="H476" i="56"/>
  <c r="E472" i="56"/>
  <c r="E471" i="56"/>
  <c r="E470" i="56"/>
  <c r="E469" i="56"/>
  <c r="E468" i="56"/>
  <c r="I467" i="56"/>
  <c r="H467" i="56"/>
  <c r="G467" i="56"/>
  <c r="F467" i="56"/>
  <c r="E466" i="56"/>
  <c r="E465" i="56"/>
  <c r="E464" i="56"/>
  <c r="E463" i="56"/>
  <c r="E462" i="56"/>
  <c r="I461" i="56"/>
  <c r="H461" i="56"/>
  <c r="F461" i="56"/>
  <c r="E460" i="56"/>
  <c r="E459" i="56"/>
  <c r="E458" i="56"/>
  <c r="E457" i="56"/>
  <c r="E456" i="56"/>
  <c r="I455" i="56"/>
  <c r="H455" i="56"/>
  <c r="G455" i="56"/>
  <c r="F455" i="56"/>
  <c r="E454" i="56"/>
  <c r="E453" i="56"/>
  <c r="E452" i="56"/>
  <c r="F451" i="56"/>
  <c r="E451" i="56" s="1"/>
  <c r="E450" i="56"/>
  <c r="I449" i="56"/>
  <c r="H449" i="56"/>
  <c r="G449" i="56"/>
  <c r="E448" i="56"/>
  <c r="E447" i="56"/>
  <c r="E446" i="56"/>
  <c r="E445" i="56"/>
  <c r="E444" i="56"/>
  <c r="I443" i="56"/>
  <c r="H443" i="56"/>
  <c r="G443" i="56"/>
  <c r="F443" i="56"/>
  <c r="E442" i="56"/>
  <c r="E441" i="56"/>
  <c r="E440" i="56"/>
  <c r="E439" i="56"/>
  <c r="E438" i="56"/>
  <c r="I437" i="56"/>
  <c r="I436" i="56" s="1"/>
  <c r="H437" i="56"/>
  <c r="F437" i="56"/>
  <c r="H433" i="56"/>
  <c r="H431" i="56" s="1"/>
  <c r="F431" i="56"/>
  <c r="H425" i="56"/>
  <c r="G425" i="56"/>
  <c r="G424" i="56" s="1"/>
  <c r="G423" i="56" s="1"/>
  <c r="F425" i="56"/>
  <c r="H419" i="56"/>
  <c r="F419" i="56"/>
  <c r="E418" i="56"/>
  <c r="E417" i="56"/>
  <c r="E416" i="56"/>
  <c r="F415" i="56"/>
  <c r="E414" i="56"/>
  <c r="I413" i="56"/>
  <c r="G413" i="56"/>
  <c r="E412" i="56"/>
  <c r="E411" i="56"/>
  <c r="E410" i="56"/>
  <c r="F409" i="56"/>
  <c r="E409" i="56" s="1"/>
  <c r="E408" i="56"/>
  <c r="I407" i="56"/>
  <c r="H407" i="56"/>
  <c r="G407" i="56"/>
  <c r="E406" i="56"/>
  <c r="E405" i="56"/>
  <c r="E404" i="56"/>
  <c r="E403" i="56"/>
  <c r="E402" i="56"/>
  <c r="I401" i="56"/>
  <c r="H401" i="56"/>
  <c r="G401" i="56"/>
  <c r="F401" i="56"/>
  <c r="E400" i="56"/>
  <c r="E399" i="56"/>
  <c r="E398" i="56"/>
  <c r="E397" i="56"/>
  <c r="E396" i="56"/>
  <c r="I395" i="56"/>
  <c r="H395" i="56"/>
  <c r="G395" i="56"/>
  <c r="F395" i="56"/>
  <c r="E394" i="56"/>
  <c r="E393" i="56"/>
  <c r="E392" i="56"/>
  <c r="E391" i="56"/>
  <c r="E390" i="56"/>
  <c r="I389" i="56"/>
  <c r="H389" i="56"/>
  <c r="G389" i="56"/>
  <c r="F389" i="56"/>
  <c r="E388" i="56"/>
  <c r="E387" i="56"/>
  <c r="E386" i="56"/>
  <c r="H385" i="56"/>
  <c r="E385" i="56" s="1"/>
  <c r="E384" i="56"/>
  <c r="I383" i="56"/>
  <c r="G383" i="56"/>
  <c r="F383" i="56"/>
  <c r="E382" i="56"/>
  <c r="E381" i="56"/>
  <c r="E380" i="56"/>
  <c r="E379" i="56"/>
  <c r="E378" i="56"/>
  <c r="I377" i="56"/>
  <c r="H377" i="56"/>
  <c r="G377" i="56"/>
  <c r="F377" i="56"/>
  <c r="E376" i="56"/>
  <c r="E375" i="56"/>
  <c r="E374" i="56"/>
  <c r="E373" i="56"/>
  <c r="E372" i="56"/>
  <c r="I371" i="56"/>
  <c r="H371" i="56"/>
  <c r="G371" i="56"/>
  <c r="F371" i="56"/>
  <c r="E370" i="56"/>
  <c r="E369" i="56"/>
  <c r="E368" i="56"/>
  <c r="E367" i="56"/>
  <c r="F366" i="56"/>
  <c r="H366" i="56" s="1"/>
  <c r="I365" i="56"/>
  <c r="G365" i="56"/>
  <c r="E364" i="56"/>
  <c r="E363" i="56"/>
  <c r="E362" i="56"/>
  <c r="E361" i="56"/>
  <c r="H360" i="56"/>
  <c r="I359" i="56"/>
  <c r="G359" i="56"/>
  <c r="F359" i="56"/>
  <c r="H358" i="56"/>
  <c r="F358" i="56"/>
  <c r="H357" i="56"/>
  <c r="F357" i="56"/>
  <c r="H356" i="56"/>
  <c r="F356" i="56"/>
  <c r="E346" i="56"/>
  <c r="E345" i="56"/>
  <c r="F344" i="56"/>
  <c r="D181" i="3" s="1"/>
  <c r="E343" i="56"/>
  <c r="E342" i="56"/>
  <c r="I341" i="56"/>
  <c r="H341" i="56"/>
  <c r="G341" i="56"/>
  <c r="E340" i="56"/>
  <c r="E339" i="56"/>
  <c r="E338" i="56"/>
  <c r="E337" i="56"/>
  <c r="E336" i="56"/>
  <c r="I335" i="56"/>
  <c r="H335" i="56"/>
  <c r="G335" i="56"/>
  <c r="F335" i="56"/>
  <c r="I334" i="56"/>
  <c r="H334" i="56"/>
  <c r="G334" i="56"/>
  <c r="F334" i="56"/>
  <c r="I333" i="56"/>
  <c r="H333" i="56"/>
  <c r="G333" i="56"/>
  <c r="F333" i="56"/>
  <c r="I332" i="56"/>
  <c r="H332" i="56"/>
  <c r="G332" i="56"/>
  <c r="F332" i="56"/>
  <c r="I331" i="56"/>
  <c r="H331" i="56"/>
  <c r="G331" i="56"/>
  <c r="F331" i="56"/>
  <c r="I330" i="56"/>
  <c r="H330" i="56"/>
  <c r="G330" i="56"/>
  <c r="F330" i="56"/>
  <c r="E328" i="56"/>
  <c r="E327" i="56"/>
  <c r="E326" i="56"/>
  <c r="E325" i="56"/>
  <c r="E324" i="56"/>
  <c r="I323" i="56"/>
  <c r="H323" i="56"/>
  <c r="G323" i="56"/>
  <c r="F323" i="56"/>
  <c r="E322" i="56"/>
  <c r="E321" i="56"/>
  <c r="E320" i="56"/>
  <c r="E319" i="56"/>
  <c r="E318" i="56"/>
  <c r="I317" i="56"/>
  <c r="H317" i="56"/>
  <c r="G317" i="56"/>
  <c r="F317" i="56"/>
  <c r="I316" i="56"/>
  <c r="H316" i="56"/>
  <c r="G316" i="56"/>
  <c r="F316" i="56"/>
  <c r="I315" i="56"/>
  <c r="H315" i="56"/>
  <c r="G315" i="56"/>
  <c r="F315" i="56"/>
  <c r="I314" i="56"/>
  <c r="H314" i="56"/>
  <c r="G314" i="56"/>
  <c r="F314" i="56"/>
  <c r="I313" i="56"/>
  <c r="H313" i="56"/>
  <c r="G313" i="56"/>
  <c r="F313" i="56"/>
  <c r="I312" i="56"/>
  <c r="H312" i="56"/>
  <c r="G312" i="56"/>
  <c r="F312" i="56"/>
  <c r="E310" i="56"/>
  <c r="E309" i="56"/>
  <c r="E308" i="56"/>
  <c r="E307" i="56"/>
  <c r="E306" i="56"/>
  <c r="E305" i="56" s="1"/>
  <c r="I305" i="56"/>
  <c r="H305" i="56"/>
  <c r="G305" i="56"/>
  <c r="F305" i="56"/>
  <c r="E304" i="56"/>
  <c r="E303" i="56"/>
  <c r="E302" i="56"/>
  <c r="F301" i="56"/>
  <c r="E301" i="56" s="1"/>
  <c r="E300" i="56"/>
  <c r="I299" i="56"/>
  <c r="H299" i="56"/>
  <c r="G299" i="56"/>
  <c r="E298" i="56"/>
  <c r="E297" i="56"/>
  <c r="E296" i="56"/>
  <c r="E295" i="56"/>
  <c r="E294" i="56"/>
  <c r="I293" i="56"/>
  <c r="H293" i="56"/>
  <c r="G293" i="56"/>
  <c r="F293" i="56"/>
  <c r="E292" i="56"/>
  <c r="E291" i="56"/>
  <c r="E290" i="56"/>
  <c r="F289" i="56"/>
  <c r="F287" i="56" s="1"/>
  <c r="E288" i="56"/>
  <c r="I287" i="56"/>
  <c r="H287" i="56"/>
  <c r="G287" i="56"/>
  <c r="E286" i="56"/>
  <c r="E285" i="56"/>
  <c r="E284" i="56"/>
  <c r="E283" i="56"/>
  <c r="E282" i="56"/>
  <c r="I281" i="56"/>
  <c r="H281" i="56"/>
  <c r="G281" i="56"/>
  <c r="F281" i="56"/>
  <c r="E280" i="56"/>
  <c r="E279" i="56"/>
  <c r="E278" i="56"/>
  <c r="E277" i="56"/>
  <c r="E276" i="56"/>
  <c r="I275" i="56"/>
  <c r="H275" i="56"/>
  <c r="G275" i="56"/>
  <c r="F275" i="56"/>
  <c r="E274" i="56"/>
  <c r="E273" i="56"/>
  <c r="F272" i="56"/>
  <c r="E271" i="56"/>
  <c r="E270" i="56"/>
  <c r="I269" i="56"/>
  <c r="H269" i="56"/>
  <c r="G269" i="56"/>
  <c r="E268" i="56"/>
  <c r="E267" i="56"/>
  <c r="E266" i="56"/>
  <c r="E264" i="56"/>
  <c r="I263" i="56"/>
  <c r="H263" i="56"/>
  <c r="G263" i="56"/>
  <c r="F263" i="56"/>
  <c r="E262" i="56"/>
  <c r="E261" i="56"/>
  <c r="E260" i="56"/>
  <c r="E259" i="56"/>
  <c r="E258" i="56"/>
  <c r="I257" i="56"/>
  <c r="H257" i="56"/>
  <c r="G257" i="56"/>
  <c r="F257" i="56"/>
  <c r="E256" i="56"/>
  <c r="E255" i="56"/>
  <c r="E254" i="56"/>
  <c r="E253" i="56"/>
  <c r="E252" i="56"/>
  <c r="I251" i="56"/>
  <c r="H251" i="56"/>
  <c r="G251" i="56"/>
  <c r="F251" i="56"/>
  <c r="E250" i="56"/>
  <c r="E249" i="56"/>
  <c r="F248" i="56"/>
  <c r="E248" i="56" s="1"/>
  <c r="F247" i="56"/>
  <c r="E247" i="56" s="1"/>
  <c r="E246" i="56"/>
  <c r="I245" i="56"/>
  <c r="H245" i="56"/>
  <c r="G245" i="56"/>
  <c r="E244" i="56"/>
  <c r="E243" i="56"/>
  <c r="E242" i="56"/>
  <c r="E241" i="56"/>
  <c r="E240" i="56"/>
  <c r="I239" i="56"/>
  <c r="H239" i="56"/>
  <c r="G239" i="56"/>
  <c r="F239" i="56"/>
  <c r="E238" i="56"/>
  <c r="E237" i="56"/>
  <c r="E236" i="56"/>
  <c r="E235" i="56"/>
  <c r="E234" i="56"/>
  <c r="I233" i="56"/>
  <c r="H233" i="56"/>
  <c r="G233" i="56"/>
  <c r="F233" i="56"/>
  <c r="E232" i="56"/>
  <c r="E231" i="56"/>
  <c r="E230" i="56"/>
  <c r="E229" i="56"/>
  <c r="E228" i="56"/>
  <c r="I227" i="56"/>
  <c r="H227" i="56"/>
  <c r="G227" i="56"/>
  <c r="F227" i="56"/>
  <c r="E226" i="56"/>
  <c r="E225" i="56"/>
  <c r="E224" i="56"/>
  <c r="E223" i="56"/>
  <c r="E222" i="56"/>
  <c r="I221" i="56"/>
  <c r="H221" i="56"/>
  <c r="G221" i="56"/>
  <c r="F221" i="56"/>
  <c r="E220" i="56"/>
  <c r="E219" i="56"/>
  <c r="E218" i="56"/>
  <c r="E217" i="56"/>
  <c r="E216" i="56"/>
  <c r="I215" i="56"/>
  <c r="H215" i="56"/>
  <c r="G215" i="56"/>
  <c r="F215" i="56"/>
  <c r="E214" i="56"/>
  <c r="E213" i="56"/>
  <c r="F212" i="56"/>
  <c r="F211" i="56"/>
  <c r="E211" i="56" s="1"/>
  <c r="E210" i="56"/>
  <c r="I209" i="56"/>
  <c r="H209" i="56"/>
  <c r="G209" i="56"/>
  <c r="E208" i="56"/>
  <c r="E207" i="56"/>
  <c r="F206" i="56"/>
  <c r="F205" i="56"/>
  <c r="E205" i="56" s="1"/>
  <c r="E204" i="56"/>
  <c r="I203" i="56"/>
  <c r="H203" i="56"/>
  <c r="G203" i="56"/>
  <c r="E202" i="56"/>
  <c r="E201" i="56"/>
  <c r="E200" i="56"/>
  <c r="E199" i="56"/>
  <c r="F198" i="56"/>
  <c r="I197" i="56"/>
  <c r="H197" i="56"/>
  <c r="G197" i="56"/>
  <c r="E196" i="56"/>
  <c r="E195" i="56"/>
  <c r="F194" i="56"/>
  <c r="E194" i="56" s="1"/>
  <c r="E193" i="56"/>
  <c r="E192" i="56"/>
  <c r="I191" i="56"/>
  <c r="H191" i="56"/>
  <c r="G191" i="56"/>
  <c r="G190" i="56"/>
  <c r="E190" i="56" s="1"/>
  <c r="E189" i="56"/>
  <c r="F188" i="56"/>
  <c r="F187" i="56"/>
  <c r="E187" i="56" s="1"/>
  <c r="F186" i="56"/>
  <c r="E186" i="56" s="1"/>
  <c r="I185" i="56"/>
  <c r="H185" i="56"/>
  <c r="I184" i="56"/>
  <c r="I178" i="56" s="1"/>
  <c r="H184" i="56"/>
  <c r="F184" i="56"/>
  <c r="I183" i="56"/>
  <c r="H183" i="56"/>
  <c r="G183" i="56"/>
  <c r="F183" i="56"/>
  <c r="I182" i="56"/>
  <c r="H182" i="56"/>
  <c r="H176" i="56" s="1"/>
  <c r="G182" i="56"/>
  <c r="G176" i="56" s="1"/>
  <c r="I181" i="56"/>
  <c r="I175" i="56" s="1"/>
  <c r="H181" i="56"/>
  <c r="G181" i="56"/>
  <c r="G175" i="56" s="1"/>
  <c r="I180" i="56"/>
  <c r="H180" i="56"/>
  <c r="G180" i="56"/>
  <c r="E172" i="56"/>
  <c r="E171" i="56"/>
  <c r="E170" i="56"/>
  <c r="E169" i="56"/>
  <c r="E168" i="56"/>
  <c r="I167" i="56"/>
  <c r="H167" i="56"/>
  <c r="G167" i="56"/>
  <c r="F167" i="56"/>
  <c r="E166" i="56"/>
  <c r="E165" i="56"/>
  <c r="E164" i="56"/>
  <c r="E163" i="56"/>
  <c r="E162" i="56"/>
  <c r="I161" i="56"/>
  <c r="H161" i="56"/>
  <c r="G161" i="56"/>
  <c r="F161" i="56"/>
  <c r="E160" i="56"/>
  <c r="E159" i="56"/>
  <c r="E158" i="56"/>
  <c r="E157" i="56"/>
  <c r="E156" i="56"/>
  <c r="I155" i="56"/>
  <c r="H155" i="56"/>
  <c r="G155" i="56"/>
  <c r="F155" i="56"/>
  <c r="E154" i="56"/>
  <c r="E153" i="56"/>
  <c r="E152" i="56"/>
  <c r="E151" i="56"/>
  <c r="E150" i="56"/>
  <c r="I149" i="56"/>
  <c r="H149" i="56"/>
  <c r="G149" i="56"/>
  <c r="F149" i="56"/>
  <c r="I148" i="56"/>
  <c r="H148" i="56"/>
  <c r="G148" i="56"/>
  <c r="F148" i="56"/>
  <c r="I147" i="56"/>
  <c r="H147" i="56"/>
  <c r="G147" i="56"/>
  <c r="F147" i="56"/>
  <c r="I146" i="56"/>
  <c r="H146" i="56"/>
  <c r="G146" i="56"/>
  <c r="F146" i="56"/>
  <c r="I145" i="56"/>
  <c r="H145" i="56"/>
  <c r="G145" i="56"/>
  <c r="F145" i="56"/>
  <c r="I144" i="56"/>
  <c r="H144" i="56"/>
  <c r="H143" i="56" s="1"/>
  <c r="G144" i="56"/>
  <c r="F144" i="56"/>
  <c r="E142" i="56"/>
  <c r="E141" i="56"/>
  <c r="E140" i="56"/>
  <c r="E139" i="56"/>
  <c r="E138" i="56"/>
  <c r="E136" i="56"/>
  <c r="E135" i="56"/>
  <c r="F134" i="56"/>
  <c r="E133" i="56"/>
  <c r="E132" i="56"/>
  <c r="I131" i="56"/>
  <c r="H131" i="56"/>
  <c r="G131" i="56"/>
  <c r="H130" i="56"/>
  <c r="G130" i="56" s="1"/>
  <c r="E130" i="56" s="1"/>
  <c r="H129" i="56"/>
  <c r="E128" i="56"/>
  <c r="H127" i="56"/>
  <c r="G127" i="56" s="1"/>
  <c r="E127" i="56" s="1"/>
  <c r="H126" i="56"/>
  <c r="G126" i="56"/>
  <c r="E126" i="56" s="1"/>
  <c r="I125" i="56"/>
  <c r="F125" i="56"/>
  <c r="E124" i="56"/>
  <c r="E123" i="56"/>
  <c r="E122" i="56"/>
  <c r="E121" i="56"/>
  <c r="E120" i="56"/>
  <c r="I119" i="56"/>
  <c r="H119" i="56"/>
  <c r="G119" i="56"/>
  <c r="F119" i="56"/>
  <c r="H118" i="56"/>
  <c r="G118" i="56" s="1"/>
  <c r="F118" i="56" s="1"/>
  <c r="H117" i="56"/>
  <c r="G117" i="56" s="1"/>
  <c r="H116" i="56"/>
  <c r="G116" i="56" s="1"/>
  <c r="F115" i="56"/>
  <c r="E115" i="56" s="1"/>
  <c r="E114" i="56"/>
  <c r="I113" i="56"/>
  <c r="E112" i="56"/>
  <c r="E111" i="56"/>
  <c r="E110" i="56"/>
  <c r="E109" i="56"/>
  <c r="E108" i="56"/>
  <c r="I107" i="56"/>
  <c r="H107" i="56"/>
  <c r="G107" i="56"/>
  <c r="F107" i="56"/>
  <c r="E106" i="56"/>
  <c r="E105" i="56"/>
  <c r="F104" i="56"/>
  <c r="F101" i="56" s="1"/>
  <c r="E103" i="56"/>
  <c r="E102" i="56"/>
  <c r="I101" i="56"/>
  <c r="H101" i="56"/>
  <c r="G101" i="56"/>
  <c r="E99" i="56"/>
  <c r="E98" i="56"/>
  <c r="E97" i="56"/>
  <c r="E96" i="56"/>
  <c r="I95" i="56"/>
  <c r="H95" i="56"/>
  <c r="G95" i="56"/>
  <c r="F95" i="56"/>
  <c r="E94" i="56"/>
  <c r="E93" i="56"/>
  <c r="E92" i="56"/>
  <c r="F91" i="56"/>
  <c r="E91" i="56" s="1"/>
  <c r="E90" i="56"/>
  <c r="I89" i="56"/>
  <c r="H89" i="56"/>
  <c r="G89" i="56"/>
  <c r="F89" i="56"/>
  <c r="E88" i="56"/>
  <c r="E87" i="56"/>
  <c r="E86" i="56"/>
  <c r="E85" i="56"/>
  <c r="E84" i="56"/>
  <c r="I83" i="56"/>
  <c r="H83" i="56"/>
  <c r="G83" i="56"/>
  <c r="F83" i="56"/>
  <c r="E82" i="56"/>
  <c r="E81" i="56"/>
  <c r="F80" i="56"/>
  <c r="E80" i="56" s="1"/>
  <c r="E79" i="56"/>
  <c r="F78" i="56"/>
  <c r="E78" i="56" s="1"/>
  <c r="I77" i="56"/>
  <c r="H77" i="56"/>
  <c r="G77" i="56"/>
  <c r="E76" i="56"/>
  <c r="E75" i="56"/>
  <c r="F74" i="56"/>
  <c r="D41" i="3" s="1"/>
  <c r="E73" i="56"/>
  <c r="E72" i="56"/>
  <c r="I71" i="56"/>
  <c r="H71" i="56"/>
  <c r="G71" i="56"/>
  <c r="F71" i="56"/>
  <c r="E70" i="56"/>
  <c r="E69" i="56"/>
  <c r="E68" i="56"/>
  <c r="E67" i="56"/>
  <c r="E66" i="56"/>
  <c r="I65" i="56"/>
  <c r="H65" i="56"/>
  <c r="G65" i="56"/>
  <c r="F65" i="56"/>
  <c r="E64" i="56"/>
  <c r="E63" i="56"/>
  <c r="E62" i="56"/>
  <c r="E61" i="56"/>
  <c r="E60" i="56"/>
  <c r="I59" i="56"/>
  <c r="H59" i="56"/>
  <c r="G59" i="56"/>
  <c r="F59" i="56"/>
  <c r="E59" i="56" s="1"/>
  <c r="E58" i="56"/>
  <c r="E57" i="56"/>
  <c r="F56" i="56"/>
  <c r="F53" i="56" s="1"/>
  <c r="E55" i="56"/>
  <c r="E54" i="56"/>
  <c r="I53" i="56"/>
  <c r="H53" i="56"/>
  <c r="G53" i="56"/>
  <c r="I52" i="56"/>
  <c r="H52" i="56"/>
  <c r="I51" i="56"/>
  <c r="H51" i="56"/>
  <c r="I50" i="56"/>
  <c r="H50" i="56"/>
  <c r="I49" i="56"/>
  <c r="H49" i="56"/>
  <c r="G49" i="56"/>
  <c r="I48" i="56"/>
  <c r="H48" i="56"/>
  <c r="G48" i="56"/>
  <c r="F48" i="56"/>
  <c r="E48" i="56" s="1"/>
  <c r="E46" i="56"/>
  <c r="E45" i="56"/>
  <c r="E44" i="56"/>
  <c r="E43" i="56"/>
  <c r="E42" i="56"/>
  <c r="I41" i="56"/>
  <c r="H41" i="56"/>
  <c r="G41" i="56"/>
  <c r="F41" i="56"/>
  <c r="E40" i="56"/>
  <c r="E39" i="56"/>
  <c r="E38" i="56"/>
  <c r="E37" i="56"/>
  <c r="E36" i="56"/>
  <c r="I35" i="56"/>
  <c r="H35" i="56"/>
  <c r="G35" i="56"/>
  <c r="F35" i="56"/>
  <c r="I34" i="56"/>
  <c r="H34" i="56"/>
  <c r="H28" i="56" s="1"/>
  <c r="G34" i="56"/>
  <c r="F34" i="56"/>
  <c r="I33" i="56"/>
  <c r="H33" i="56"/>
  <c r="G33" i="56"/>
  <c r="F33" i="56"/>
  <c r="I32" i="56"/>
  <c r="H32" i="56"/>
  <c r="G32" i="56"/>
  <c r="F32" i="56"/>
  <c r="I31" i="56"/>
  <c r="I25" i="56" s="1"/>
  <c r="H31" i="56"/>
  <c r="G31" i="56"/>
  <c r="F31" i="56"/>
  <c r="I30" i="56"/>
  <c r="H30" i="56"/>
  <c r="G30" i="56"/>
  <c r="F30" i="56"/>
  <c r="F22" i="56"/>
  <c r="H21" i="56"/>
  <c r="F20" i="56" l="1"/>
  <c r="F131" i="56"/>
  <c r="D71" i="3"/>
  <c r="F191" i="56"/>
  <c r="H174" i="56"/>
  <c r="I179" i="56"/>
  <c r="E401" i="56"/>
  <c r="E714" i="56"/>
  <c r="E317" i="56"/>
  <c r="E647" i="56"/>
  <c r="I143" i="56"/>
  <c r="I311" i="56"/>
  <c r="E769" i="56"/>
  <c r="E772" i="56"/>
  <c r="E334" i="56"/>
  <c r="E146" i="56"/>
  <c r="F449" i="56"/>
  <c r="E449" i="56" s="1"/>
  <c r="E569" i="56"/>
  <c r="E718" i="56"/>
  <c r="F713" i="56"/>
  <c r="F235" i="57"/>
  <c r="G235" i="57" s="1"/>
  <c r="F19" i="56"/>
  <c r="E251" i="56"/>
  <c r="G677" i="56"/>
  <c r="D6" i="57"/>
  <c r="I26" i="56"/>
  <c r="F180" i="56"/>
  <c r="I177" i="56"/>
  <c r="E89" i="56"/>
  <c r="G24" i="56"/>
  <c r="E167" i="56"/>
  <c r="E215" i="56"/>
  <c r="E314" i="56"/>
  <c r="E371" i="56"/>
  <c r="E679" i="56"/>
  <c r="E680" i="56"/>
  <c r="E773" i="56"/>
  <c r="F29" i="56"/>
  <c r="E33" i="56"/>
  <c r="F209" i="56"/>
  <c r="E209" i="56" s="1"/>
  <c r="E693" i="56"/>
  <c r="E34" i="56"/>
  <c r="E257" i="56"/>
  <c r="F299" i="56"/>
  <c r="E299" i="56" s="1"/>
  <c r="E461" i="56"/>
  <c r="G25" i="57"/>
  <c r="D8" i="57"/>
  <c r="G8" i="57" s="1"/>
  <c r="D180" i="57"/>
  <c r="G180" i="57" s="1"/>
  <c r="I435" i="56"/>
  <c r="E436" i="56"/>
  <c r="F203" i="56"/>
  <c r="E281" i="56"/>
  <c r="H351" i="56"/>
  <c r="E65" i="56"/>
  <c r="F245" i="56"/>
  <c r="E245" i="56" s="1"/>
  <c r="E313" i="56"/>
  <c r="E333" i="56"/>
  <c r="E485" i="56"/>
  <c r="E522" i="56"/>
  <c r="E575" i="56"/>
  <c r="E743" i="56"/>
  <c r="F181" i="56"/>
  <c r="F175" i="56" s="1"/>
  <c r="E180" i="56"/>
  <c r="H178" i="56"/>
  <c r="E733" i="56"/>
  <c r="H27" i="56"/>
  <c r="E145" i="56"/>
  <c r="E233" i="56"/>
  <c r="E691" i="56"/>
  <c r="F737" i="56"/>
  <c r="E737" i="56" s="1"/>
  <c r="E41" i="56"/>
  <c r="E119" i="56"/>
  <c r="G185" i="56"/>
  <c r="F352" i="56"/>
  <c r="F407" i="56"/>
  <c r="E407" i="56" s="1"/>
  <c r="I713" i="56"/>
  <c r="F355" i="56"/>
  <c r="H706" i="56"/>
  <c r="E706" i="56" s="1"/>
  <c r="E335" i="56"/>
  <c r="E587" i="56"/>
  <c r="E712" i="56"/>
  <c r="E715" i="56"/>
  <c r="I47" i="56"/>
  <c r="F185" i="56"/>
  <c r="E185" i="56" s="1"/>
  <c r="E315" i="56"/>
  <c r="F49" i="56"/>
  <c r="F25" i="56" s="1"/>
  <c r="E71" i="56"/>
  <c r="G311" i="56"/>
  <c r="E344" i="56"/>
  <c r="H533" i="56"/>
  <c r="E533" i="56" s="1"/>
  <c r="E732" i="56"/>
  <c r="F143" i="56"/>
  <c r="E188" i="56"/>
  <c r="E395" i="56"/>
  <c r="E455" i="56"/>
  <c r="E521" i="56"/>
  <c r="E581" i="56"/>
  <c r="F475" i="56"/>
  <c r="H365" i="56"/>
  <c r="H18" i="56"/>
  <c r="H683" i="56"/>
  <c r="H682" i="56"/>
  <c r="E682" i="56" s="1"/>
  <c r="G422" i="56"/>
  <c r="G357" i="56"/>
  <c r="E357" i="56" s="1"/>
  <c r="E118" i="56"/>
  <c r="F52" i="56"/>
  <c r="E35" i="56"/>
  <c r="G25" i="56"/>
  <c r="G143" i="56"/>
  <c r="E149" i="56"/>
  <c r="G184" i="56"/>
  <c r="G178" i="56" s="1"/>
  <c r="F197" i="56"/>
  <c r="E197" i="56" s="1"/>
  <c r="G177" i="56"/>
  <c r="F491" i="56"/>
  <c r="E491" i="56" s="1"/>
  <c r="E504" i="56"/>
  <c r="F763" i="56"/>
  <c r="E763" i="56" s="1"/>
  <c r="G767" i="56"/>
  <c r="F26" i="57"/>
  <c r="G26" i="57" s="1"/>
  <c r="F18" i="56"/>
  <c r="F17" i="56" s="1"/>
  <c r="I29" i="56"/>
  <c r="E147" i="56"/>
  <c r="F177" i="56"/>
  <c r="E289" i="56"/>
  <c r="I176" i="56"/>
  <c r="E437" i="56"/>
  <c r="E467" i="56"/>
  <c r="F653" i="56"/>
  <c r="I683" i="56"/>
  <c r="G761" i="56"/>
  <c r="F767" i="56"/>
  <c r="E765" i="56"/>
  <c r="E21" i="57"/>
  <c r="E11" i="57" s="1"/>
  <c r="E131" i="56"/>
  <c r="H177" i="56"/>
  <c r="E212" i="56"/>
  <c r="F365" i="56"/>
  <c r="E539" i="56"/>
  <c r="E30" i="56"/>
  <c r="H26" i="56"/>
  <c r="E95" i="56"/>
  <c r="E101" i="56"/>
  <c r="H113" i="56"/>
  <c r="E161" i="56"/>
  <c r="E275" i="56"/>
  <c r="E330" i="56"/>
  <c r="E389" i="56"/>
  <c r="H661" i="56"/>
  <c r="E661" i="56" s="1"/>
  <c r="H671" i="56"/>
  <c r="E678" i="56"/>
  <c r="E717" i="56"/>
  <c r="H767" i="56"/>
  <c r="E771" i="56"/>
  <c r="H29" i="56"/>
  <c r="E53" i="56"/>
  <c r="F178" i="56"/>
  <c r="E191" i="56"/>
  <c r="E198" i="56"/>
  <c r="E206" i="56"/>
  <c r="E221" i="56"/>
  <c r="E227" i="56"/>
  <c r="F269" i="56"/>
  <c r="E269" i="56" s="1"/>
  <c r="E316" i="56"/>
  <c r="H329" i="56"/>
  <c r="E497" i="56"/>
  <c r="H509" i="56"/>
  <c r="E509" i="56" s="1"/>
  <c r="E681" i="56"/>
  <c r="E716" i="56"/>
  <c r="E735" i="56"/>
  <c r="I27" i="56"/>
  <c r="E107" i="56"/>
  <c r="E148" i="56"/>
  <c r="E293" i="56"/>
  <c r="E641" i="56"/>
  <c r="H655" i="56"/>
  <c r="E655" i="56" s="1"/>
  <c r="E692" i="56"/>
  <c r="I694" i="56"/>
  <c r="H700" i="56" s="1"/>
  <c r="I701" i="56"/>
  <c r="G731" i="56"/>
  <c r="G165" i="57"/>
  <c r="E74" i="56"/>
  <c r="H125" i="56"/>
  <c r="E155" i="56"/>
  <c r="E239" i="56"/>
  <c r="F474" i="56"/>
  <c r="E366" i="56"/>
  <c r="E365" i="56" s="1"/>
  <c r="E31" i="56"/>
  <c r="G52" i="56"/>
  <c r="G28" i="56" s="1"/>
  <c r="E137" i="56"/>
  <c r="E263" i="56"/>
  <c r="H175" i="56"/>
  <c r="E175" i="56" s="1"/>
  <c r="F341" i="56"/>
  <c r="E341" i="56" s="1"/>
  <c r="H474" i="56"/>
  <c r="E725" i="56"/>
  <c r="I731" i="56"/>
  <c r="E203" i="56"/>
  <c r="H47" i="56"/>
  <c r="E83" i="56"/>
  <c r="E183" i="56"/>
  <c r="H311" i="56"/>
  <c r="E323" i="56"/>
  <c r="I329" i="56"/>
  <c r="F354" i="56"/>
  <c r="F348" i="56" s="1"/>
  <c r="H354" i="56"/>
  <c r="H348" i="56" s="1"/>
  <c r="E443" i="56"/>
  <c r="H665" i="56"/>
  <c r="E665" i="56" s="1"/>
  <c r="H713" i="56"/>
  <c r="E736" i="56"/>
  <c r="D11" i="57"/>
  <c r="D10" i="57" s="1"/>
  <c r="E32" i="56"/>
  <c r="I28" i="56"/>
  <c r="H179" i="56"/>
  <c r="E272" i="56"/>
  <c r="E287" i="56"/>
  <c r="E312" i="56"/>
  <c r="E332" i="56"/>
  <c r="E377" i="56"/>
  <c r="E635" i="56"/>
  <c r="I677" i="56"/>
  <c r="E690" i="56"/>
  <c r="E719" i="56"/>
  <c r="M720" i="56" s="1"/>
  <c r="E770" i="56"/>
  <c r="E143" i="56"/>
  <c r="E683" i="56"/>
  <c r="H761" i="56"/>
  <c r="I475" i="56"/>
  <c r="I349" i="56" s="1"/>
  <c r="I7" i="56" s="1"/>
  <c r="I19" i="56" s="1"/>
  <c r="I473" i="56"/>
  <c r="E483" i="56"/>
  <c r="I474" i="56"/>
  <c r="I348" i="56" s="1"/>
  <c r="E479" i="56"/>
  <c r="D7" i="57"/>
  <c r="D5" i="57" s="1"/>
  <c r="F251" i="57"/>
  <c r="F255" i="57"/>
  <c r="G255" i="57" s="1"/>
  <c r="G256" i="57"/>
  <c r="E6" i="57"/>
  <c r="E20" i="57"/>
  <c r="F21" i="57"/>
  <c r="E7" i="57"/>
  <c r="F7" i="57" s="1"/>
  <c r="E12" i="57"/>
  <c r="F12" i="57" s="1"/>
  <c r="G12" i="57" s="1"/>
  <c r="F22" i="57"/>
  <c r="G22" i="57" s="1"/>
  <c r="G182" i="57"/>
  <c r="G150" i="57"/>
  <c r="J99" i="57"/>
  <c r="J11" i="57"/>
  <c r="J13" i="57"/>
  <c r="J8" i="57" s="1"/>
  <c r="J12" i="57"/>
  <c r="J7" i="57" s="1"/>
  <c r="G167" i="57"/>
  <c r="F97" i="57"/>
  <c r="G97" i="57" s="1"/>
  <c r="F75" i="57"/>
  <c r="G75" i="57" s="1"/>
  <c r="G76" i="57"/>
  <c r="E95" i="57"/>
  <c r="G101" i="57"/>
  <c r="F96" i="57"/>
  <c r="F100" i="57"/>
  <c r="G100" i="57" s="1"/>
  <c r="G272" i="3"/>
  <c r="G113" i="56"/>
  <c r="G50" i="56"/>
  <c r="F116" i="56"/>
  <c r="F50" i="56" s="1"/>
  <c r="E50" i="56" s="1"/>
  <c r="M13" i="56"/>
  <c r="N13" i="56"/>
  <c r="I478" i="56"/>
  <c r="I352" i="56" s="1"/>
  <c r="I10" i="56" s="1"/>
  <c r="I22" i="56" s="1"/>
  <c r="I597" i="56"/>
  <c r="H734" i="56"/>
  <c r="H20" i="56"/>
  <c r="H755" i="56"/>
  <c r="E630" i="56"/>
  <c r="I629" i="56"/>
  <c r="E629" i="56" s="1"/>
  <c r="E435" i="56"/>
  <c r="I434" i="56"/>
  <c r="E503" i="56"/>
  <c r="E624" i="56"/>
  <c r="G623" i="56"/>
  <c r="E178" i="56"/>
  <c r="H9" i="56"/>
  <c r="H15" i="56" s="1"/>
  <c r="O15" i="56"/>
  <c r="E563" i="56"/>
  <c r="F117" i="56"/>
  <c r="G51" i="56"/>
  <c r="G27" i="56" s="1"/>
  <c r="F349" i="56"/>
  <c r="F7" i="56" s="1"/>
  <c r="E557" i="56"/>
  <c r="E764" i="56"/>
  <c r="I761" i="56"/>
  <c r="N16" i="56"/>
  <c r="F24" i="56"/>
  <c r="E49" i="56"/>
  <c r="G129" i="56"/>
  <c r="E134" i="56"/>
  <c r="E181" i="56"/>
  <c r="G358" i="56"/>
  <c r="H383" i="56"/>
  <c r="E383" i="56" s="1"/>
  <c r="E564" i="56"/>
  <c r="E625" i="56"/>
  <c r="F671" i="56"/>
  <c r="E671" i="56" s="1"/>
  <c r="I767" i="56"/>
  <c r="E767" i="56" s="1"/>
  <c r="E493" i="56"/>
  <c r="E558" i="56"/>
  <c r="E631" i="56"/>
  <c r="F677" i="56"/>
  <c r="E768" i="56"/>
  <c r="H24" i="56"/>
  <c r="G29" i="56"/>
  <c r="E29" i="56" s="1"/>
  <c r="F174" i="56"/>
  <c r="F413" i="56"/>
  <c r="I24" i="56"/>
  <c r="E56" i="56"/>
  <c r="D31" i="3" s="1"/>
  <c r="F77" i="56"/>
  <c r="E77" i="56" s="1"/>
  <c r="E104" i="56"/>
  <c r="E144" i="56"/>
  <c r="G174" i="56"/>
  <c r="G173" i="56" s="1"/>
  <c r="E482" i="56"/>
  <c r="E688" i="56"/>
  <c r="H695" i="56"/>
  <c r="E695" i="56" s="1"/>
  <c r="H701" i="56"/>
  <c r="E701" i="56" s="1"/>
  <c r="H707" i="56"/>
  <c r="E707" i="56" s="1"/>
  <c r="F755" i="56"/>
  <c r="E331" i="56"/>
  <c r="F766" i="56"/>
  <c r="E766" i="56" s="1"/>
  <c r="I174" i="56"/>
  <c r="I173" i="56" s="1"/>
  <c r="F311" i="56"/>
  <c r="F351" i="56"/>
  <c r="H359" i="56"/>
  <c r="H515" i="56"/>
  <c r="E515" i="56" s="1"/>
  <c r="H653" i="56"/>
  <c r="F182" i="56"/>
  <c r="F179" i="56" s="1"/>
  <c r="F476" i="56"/>
  <c r="F473" i="56" s="1"/>
  <c r="H25" i="56"/>
  <c r="F329" i="56"/>
  <c r="E360" i="56"/>
  <c r="E359" i="56" s="1"/>
  <c r="H527" i="56"/>
  <c r="E527" i="56" s="1"/>
  <c r="F689" i="56"/>
  <c r="G329" i="56"/>
  <c r="G689" i="56"/>
  <c r="F734" i="56"/>
  <c r="F731" i="56" s="1"/>
  <c r="F762" i="56"/>
  <c r="H415" i="56"/>
  <c r="E415" i="56" s="1"/>
  <c r="E758" i="56"/>
  <c r="H173" i="56" l="1"/>
  <c r="O16" i="56"/>
  <c r="H677" i="56"/>
  <c r="H475" i="56"/>
  <c r="H473" i="56" s="1"/>
  <c r="E677" i="56"/>
  <c r="E311" i="56"/>
  <c r="E713" i="56"/>
  <c r="G179" i="56"/>
  <c r="E179" i="56" s="1"/>
  <c r="F353" i="56"/>
  <c r="H659" i="56"/>
  <c r="E659" i="56" s="1"/>
  <c r="E653" i="56"/>
  <c r="E184" i="56"/>
  <c r="I689" i="56"/>
  <c r="E52" i="56"/>
  <c r="F28" i="56"/>
  <c r="E700" i="56"/>
  <c r="H22" i="56"/>
  <c r="H694" i="56"/>
  <c r="E177" i="56"/>
  <c r="G356" i="56"/>
  <c r="E356" i="56" s="1"/>
  <c r="G421" i="56"/>
  <c r="G251" i="57"/>
  <c r="F250" i="57"/>
  <c r="G250" i="57" s="1"/>
  <c r="G96" i="57"/>
  <c r="F95" i="57"/>
  <c r="G95" i="57" s="1"/>
  <c r="G7" i="57"/>
  <c r="F20" i="57"/>
  <c r="G20" i="57" s="1"/>
  <c r="G21" i="57"/>
  <c r="F11" i="57"/>
  <c r="E10" i="57"/>
  <c r="F6" i="57"/>
  <c r="E5" i="57"/>
  <c r="J6" i="57"/>
  <c r="J10" i="57"/>
  <c r="J5" i="57" s="1"/>
  <c r="G271" i="3"/>
  <c r="F270" i="3"/>
  <c r="G270" i="3" s="1"/>
  <c r="G26" i="56"/>
  <c r="G47" i="56"/>
  <c r="N15" i="56"/>
  <c r="E623" i="56"/>
  <c r="G622" i="56"/>
  <c r="H413" i="56"/>
  <c r="E413" i="56" s="1"/>
  <c r="H355" i="56"/>
  <c r="H19" i="56"/>
  <c r="E329" i="56"/>
  <c r="F51" i="56"/>
  <c r="F47" i="56" s="1"/>
  <c r="E117" i="56"/>
  <c r="I477" i="56"/>
  <c r="I351" i="56" s="1"/>
  <c r="I9" i="56" s="1"/>
  <c r="I596" i="56"/>
  <c r="I23" i="56"/>
  <c r="I6" i="56"/>
  <c r="F13" i="56"/>
  <c r="H23" i="56"/>
  <c r="H6" i="56"/>
  <c r="O13" i="56"/>
  <c r="E129" i="56"/>
  <c r="G125" i="56"/>
  <c r="E125" i="56" s="1"/>
  <c r="F26" i="56"/>
  <c r="E762" i="56"/>
  <c r="F761" i="56"/>
  <c r="E761" i="56" s="1"/>
  <c r="F350" i="56"/>
  <c r="F347" i="56" s="1"/>
  <c r="E734" i="56"/>
  <c r="E182" i="56"/>
  <c r="F176" i="56"/>
  <c r="E176" i="56" s="1"/>
  <c r="E755" i="56"/>
  <c r="E24" i="56"/>
  <c r="F6" i="56"/>
  <c r="E434" i="56"/>
  <c r="I433" i="56"/>
  <c r="H731" i="56"/>
  <c r="E731" i="56" s="1"/>
  <c r="H350" i="56"/>
  <c r="H8" i="56" s="1"/>
  <c r="H14" i="56" s="1"/>
  <c r="E174" i="56"/>
  <c r="E25" i="56"/>
  <c r="E358" i="56"/>
  <c r="F113" i="56"/>
  <c r="E113" i="56" s="1"/>
  <c r="E116" i="56"/>
  <c r="E47" i="56" l="1"/>
  <c r="H17" i="56"/>
  <c r="J14" i="57"/>
  <c r="J9" i="57"/>
  <c r="G420" i="56"/>
  <c r="G355" i="56"/>
  <c r="E355" i="56" s="1"/>
  <c r="E694" i="56"/>
  <c r="H352" i="56"/>
  <c r="H10" i="56" s="1"/>
  <c r="H16" i="56" s="1"/>
  <c r="H689" i="56"/>
  <c r="E689" i="56" s="1"/>
  <c r="M16" i="56"/>
  <c r="E28" i="56"/>
  <c r="F10" i="56"/>
  <c r="F16" i="56" s="1"/>
  <c r="F173" i="56"/>
  <c r="E173" i="56" s="1"/>
  <c r="G6" i="57"/>
  <c r="F5" i="57"/>
  <c r="G5" i="57" s="1"/>
  <c r="G11" i="57"/>
  <c r="F10" i="57"/>
  <c r="G10" i="57" s="1"/>
  <c r="I432" i="56"/>
  <c r="E433" i="56"/>
  <c r="H349" i="56"/>
  <c r="H353" i="56"/>
  <c r="E26" i="56"/>
  <c r="F8" i="56"/>
  <c r="F12" i="56"/>
  <c r="I18" i="56"/>
  <c r="E622" i="56"/>
  <c r="G621" i="56"/>
  <c r="I595" i="56"/>
  <c r="I594" i="56" s="1"/>
  <c r="I593" i="56" s="1"/>
  <c r="I476" i="56"/>
  <c r="I350" i="56" s="1"/>
  <c r="I8" i="56" s="1"/>
  <c r="I5" i="56" s="1"/>
  <c r="H12" i="56"/>
  <c r="E51" i="56"/>
  <c r="F27" i="56"/>
  <c r="F23" i="56" s="1"/>
  <c r="G23" i="56"/>
  <c r="G354" i="56" l="1"/>
  <c r="G419" i="56"/>
  <c r="E432" i="56"/>
  <c r="I431" i="56"/>
  <c r="E621" i="56"/>
  <c r="G620" i="56"/>
  <c r="F14" i="56"/>
  <c r="F9" i="56"/>
  <c r="E27" i="56"/>
  <c r="M15" i="56"/>
  <c r="E23" i="56"/>
  <c r="H7" i="56"/>
  <c r="H347" i="56"/>
  <c r="G353" i="56" l="1"/>
  <c r="E353" i="56" s="1"/>
  <c r="E354" i="56"/>
  <c r="H13" i="56"/>
  <c r="H11" i="56" s="1"/>
  <c r="H5" i="56"/>
  <c r="I430" i="56"/>
  <c r="E431" i="56"/>
  <c r="F15" i="56"/>
  <c r="F5" i="56"/>
  <c r="E620" i="56"/>
  <c r="G619" i="56"/>
  <c r="F11" i="56"/>
  <c r="E619" i="56" l="1"/>
  <c r="G618" i="56"/>
  <c r="E430" i="56"/>
  <c r="I429" i="56"/>
  <c r="E429" i="56" l="1"/>
  <c r="I428" i="56"/>
  <c r="I21" i="56"/>
  <c r="G617" i="56"/>
  <c r="E618" i="56"/>
  <c r="G616" i="56" l="1"/>
  <c r="E617" i="56"/>
  <c r="I20" i="56"/>
  <c r="I17" i="56" s="1"/>
  <c r="E428" i="56"/>
  <c r="I427" i="56"/>
  <c r="E427" i="56" l="1"/>
  <c r="I426" i="56"/>
  <c r="E616" i="56"/>
  <c r="G615" i="56"/>
  <c r="E615" i="56" l="1"/>
  <c r="G614" i="56"/>
  <c r="E426" i="56"/>
  <c r="I425" i="56"/>
  <c r="G613" i="56" l="1"/>
  <c r="E614" i="56"/>
  <c r="I424" i="56"/>
  <c r="E425" i="56"/>
  <c r="I423" i="56" l="1"/>
  <c r="E424" i="56"/>
  <c r="E613" i="56"/>
  <c r="G612" i="56"/>
  <c r="E612" i="56" l="1"/>
  <c r="G611" i="56"/>
  <c r="I422" i="56"/>
  <c r="E423" i="56"/>
  <c r="I421" i="56" l="1"/>
  <c r="E422" i="56"/>
  <c r="G610" i="56"/>
  <c r="E611" i="56"/>
  <c r="E610" i="56" l="1"/>
  <c r="G609" i="56"/>
  <c r="I420" i="56"/>
  <c r="E421" i="56"/>
  <c r="I419" i="56" l="1"/>
  <c r="E419" i="56" s="1"/>
  <c r="E420" i="56"/>
  <c r="E609" i="56"/>
  <c r="G608" i="56"/>
  <c r="E608" i="56" l="1"/>
  <c r="G607" i="56"/>
  <c r="E607" i="56" l="1"/>
  <c r="G606" i="56"/>
  <c r="E606" i="56" l="1"/>
  <c r="G605" i="56"/>
  <c r="G604" i="56" l="1"/>
  <c r="E605" i="56"/>
  <c r="G603" i="56" l="1"/>
  <c r="E604" i="56"/>
  <c r="E603" i="56" l="1"/>
  <c r="G602" i="56"/>
  <c r="E602" i="56" l="1"/>
  <c r="G601" i="56"/>
  <c r="E601" i="56" l="1"/>
  <c r="G600" i="56"/>
  <c r="G599" i="56" l="1"/>
  <c r="E600" i="56"/>
  <c r="G598" i="56" l="1"/>
  <c r="E599" i="56"/>
  <c r="G478" i="56" l="1"/>
  <c r="E598" i="56"/>
  <c r="G22" i="56"/>
  <c r="E22" i="56" s="1"/>
  <c r="G597" i="56"/>
  <c r="G596" i="56" l="1"/>
  <c r="G21" i="56"/>
  <c r="E21" i="56" s="1"/>
  <c r="E597" i="56"/>
  <c r="G477" i="56"/>
  <c r="E478" i="56"/>
  <c r="G352" i="56"/>
  <c r="E352" i="56" l="1"/>
  <c r="G10" i="56"/>
  <c r="E477" i="56"/>
  <c r="G351" i="56"/>
  <c r="E596" i="56"/>
  <c r="G595" i="56"/>
  <c r="G476" i="56"/>
  <c r="G20" i="56"/>
  <c r="E20" i="56" s="1"/>
  <c r="G350" i="56" l="1"/>
  <c r="E476" i="56"/>
  <c r="E595" i="56"/>
  <c r="G594" i="56"/>
  <c r="G475" i="56"/>
  <c r="G19" i="56"/>
  <c r="E19" i="56" s="1"/>
  <c r="G16" i="56"/>
  <c r="E16" i="56" s="1"/>
  <c r="E10" i="56"/>
  <c r="G9" i="56"/>
  <c r="E351" i="56"/>
  <c r="G15" i="56" l="1"/>
  <c r="E15" i="56" s="1"/>
  <c r="E9" i="56"/>
  <c r="E475" i="56"/>
  <c r="G349" i="56"/>
  <c r="G474" i="56"/>
  <c r="E594" i="56"/>
  <c r="G593" i="56"/>
  <c r="E593" i="56" s="1"/>
  <c r="G18" i="56"/>
  <c r="G8" i="56"/>
  <c r="E350" i="56"/>
  <c r="G17" i="56" l="1"/>
  <c r="E17" i="56" s="1"/>
  <c r="E18" i="56"/>
  <c r="G473" i="56"/>
  <c r="E473" i="56" s="1"/>
  <c r="E474" i="56"/>
  <c r="G348" i="56"/>
  <c r="G14" i="56"/>
  <c r="E14" i="56" s="1"/>
  <c r="J11" i="56" s="1"/>
  <c r="E8" i="56"/>
  <c r="G7" i="56"/>
  <c r="E349" i="56"/>
  <c r="G347" i="56" l="1"/>
  <c r="E347" i="56" s="1"/>
  <c r="E348" i="56"/>
  <c r="G6" i="56"/>
  <c r="G13" i="56"/>
  <c r="E13" i="56" s="1"/>
  <c r="E7" i="56"/>
  <c r="G12" i="56" l="1"/>
  <c r="G5" i="56"/>
  <c r="E5" i="56" s="1"/>
  <c r="E6" i="56"/>
  <c r="G11" i="56" l="1"/>
  <c r="E11" i="56" s="1"/>
  <c r="M5" i="56" s="1"/>
  <c r="E12" i="56"/>
  <c r="H85" i="3" l="1"/>
  <c r="I36" i="54" l="1"/>
  <c r="M36" i="54"/>
  <c r="L36" i="54"/>
  <c r="K36" i="54"/>
  <c r="J36" i="54"/>
  <c r="H36" i="54"/>
  <c r="M31" i="54"/>
  <c r="L31" i="54"/>
  <c r="K31" i="54"/>
  <c r="J31" i="54"/>
  <c r="H31" i="54"/>
  <c r="M26" i="54"/>
  <c r="L26" i="54"/>
  <c r="K26" i="54"/>
  <c r="J26" i="54"/>
  <c r="I25" i="54"/>
  <c r="I24" i="54" s="1"/>
  <c r="I23" i="54" s="1"/>
  <c r="I22" i="54" s="1"/>
  <c r="I21" i="54" s="1"/>
  <c r="H26" i="54"/>
  <c r="M21" i="54"/>
  <c r="M19" i="54" s="1"/>
  <c r="M9" i="54" s="1"/>
  <c r="L21" i="54"/>
  <c r="K21" i="54"/>
  <c r="J21" i="54"/>
  <c r="H21" i="54"/>
  <c r="L16" i="54"/>
  <c r="L10" i="54" s="1"/>
  <c r="K16" i="54"/>
  <c r="K10" i="54" s="1"/>
  <c r="J16" i="54"/>
  <c r="J10" i="54" s="1"/>
  <c r="H16" i="54"/>
  <c r="H10" i="54" s="1"/>
  <c r="I13" i="54"/>
  <c r="L12" i="54"/>
  <c r="K12" i="54"/>
  <c r="J12" i="54"/>
  <c r="H12" i="54"/>
  <c r="N7" i="54"/>
  <c r="J6" i="54"/>
  <c r="P36" i="54" l="1"/>
  <c r="I12" i="54"/>
  <c r="P16" i="54"/>
  <c r="H6" i="54"/>
  <c r="N12" i="54"/>
  <c r="L6" i="54"/>
  <c r="N6" i="54" s="1"/>
  <c r="P21" i="54"/>
  <c r="K6" i="54"/>
  <c r="N10" i="54"/>
  <c r="N16" i="54"/>
  <c r="P31" i="54"/>
  <c r="N36" i="54"/>
  <c r="N26" i="54"/>
  <c r="P26" i="54"/>
  <c r="N8" i="54"/>
  <c r="P12" i="54"/>
  <c r="N21" i="54"/>
  <c r="N31" i="54"/>
  <c r="O36" i="54"/>
  <c r="M18" i="54"/>
  <c r="M8" i="54" s="1"/>
  <c r="I20" i="54"/>
  <c r="O21" i="54"/>
  <c r="O26" i="54"/>
  <c r="N9" i="54"/>
  <c r="I31" i="54" l="1"/>
  <c r="O31" i="54" s="1"/>
  <c r="I19" i="54"/>
  <c r="I9" i="54" s="1"/>
  <c r="M17" i="54"/>
  <c r="M7" i="54" s="1"/>
  <c r="E176" i="3"/>
  <c r="E177" i="3"/>
  <c r="E181" i="3"/>
  <c r="E182" i="3"/>
  <c r="E281" i="3"/>
  <c r="F281" i="3" s="1"/>
  <c r="F86" i="3"/>
  <c r="E46" i="3"/>
  <c r="I18" i="54" l="1"/>
  <c r="I8" i="54" s="1"/>
  <c r="M16" i="54"/>
  <c r="R266" i="52"/>
  <c r="Q266" i="52"/>
  <c r="O266" i="52"/>
  <c r="N266" i="52"/>
  <c r="M266" i="52"/>
  <c r="L266" i="52"/>
  <c r="K266" i="52"/>
  <c r="R265" i="52"/>
  <c r="Q265" i="52"/>
  <c r="O265" i="52"/>
  <c r="N265" i="52"/>
  <c r="M265" i="52"/>
  <c r="L265" i="52"/>
  <c r="K265" i="52"/>
  <c r="K266" i="51"/>
  <c r="K267" i="51" s="1"/>
  <c r="L266" i="51"/>
  <c r="L267" i="51" s="1"/>
  <c r="M266" i="51"/>
  <c r="M267" i="51" s="1"/>
  <c r="N266" i="51"/>
  <c r="N267" i="51" s="1"/>
  <c r="O266" i="51"/>
  <c r="O267" i="51" s="1"/>
  <c r="Q266" i="51"/>
  <c r="Q267" i="51" s="1"/>
  <c r="R266" i="51"/>
  <c r="R267" i="51" s="1"/>
  <c r="K268" i="51"/>
  <c r="L268" i="51"/>
  <c r="M268" i="51"/>
  <c r="N268" i="51"/>
  <c r="O268" i="51"/>
  <c r="Q268" i="51"/>
  <c r="R268" i="51"/>
  <c r="K269" i="51"/>
  <c r="L269" i="51"/>
  <c r="M269" i="51"/>
  <c r="N269" i="51"/>
  <c r="O269" i="51"/>
  <c r="Q269" i="51"/>
  <c r="R269" i="51"/>
  <c r="K270" i="51"/>
  <c r="L270" i="51"/>
  <c r="M270" i="51"/>
  <c r="N270" i="51"/>
  <c r="O270" i="51"/>
  <c r="Q270" i="51"/>
  <c r="R270" i="51"/>
  <c r="M10" i="54" l="1"/>
  <c r="M6" i="54" s="1"/>
  <c r="M267" i="52"/>
  <c r="I17" i="54"/>
  <c r="I7" i="54" s="1"/>
  <c r="O267" i="52"/>
  <c r="Q267" i="52"/>
  <c r="K267" i="52"/>
  <c r="L267" i="52"/>
  <c r="R267" i="52"/>
  <c r="N267" i="52"/>
  <c r="F126" i="3"/>
  <c r="I16" i="54" l="1"/>
  <c r="I10" i="54" s="1"/>
  <c r="I6" i="54" s="1"/>
  <c r="N6" i="48"/>
  <c r="N7" i="48"/>
  <c r="N8" i="48"/>
  <c r="N9" i="48"/>
  <c r="N10" i="48"/>
  <c r="K10" i="50"/>
  <c r="L10" i="50"/>
  <c r="M10" i="50"/>
  <c r="H10" i="50"/>
  <c r="J10" i="50"/>
  <c r="O16" i="54" l="1"/>
  <c r="N10" i="50"/>
  <c r="I40" i="50"/>
  <c r="I39" i="50"/>
  <c r="I38" i="50" s="1"/>
  <c r="I37" i="50" s="1"/>
  <c r="I36" i="50" s="1"/>
  <c r="M36" i="50"/>
  <c r="L36" i="50"/>
  <c r="K36" i="50"/>
  <c r="J36" i="50"/>
  <c r="H36" i="50"/>
  <c r="M31" i="50"/>
  <c r="L31" i="50"/>
  <c r="K31" i="50"/>
  <c r="J31" i="50"/>
  <c r="H31" i="50"/>
  <c r="M26" i="50"/>
  <c r="L26" i="50"/>
  <c r="K26" i="50"/>
  <c r="J26" i="50"/>
  <c r="I26" i="50"/>
  <c r="I25" i="50" s="1"/>
  <c r="I24" i="50" s="1"/>
  <c r="I23" i="50" s="1"/>
  <c r="I22" i="50" s="1"/>
  <c r="I21" i="50" s="1"/>
  <c r="H26" i="50"/>
  <c r="M21" i="50"/>
  <c r="M19" i="50" s="1"/>
  <c r="L21" i="50"/>
  <c r="K21" i="50"/>
  <c r="J21" i="50"/>
  <c r="H21" i="50"/>
  <c r="L16" i="50"/>
  <c r="K16" i="50"/>
  <c r="J16" i="50"/>
  <c r="H16" i="50"/>
  <c r="P16" i="50" s="1"/>
  <c r="I13" i="50"/>
  <c r="I12" i="50" s="1"/>
  <c r="L12" i="50"/>
  <c r="K12" i="50"/>
  <c r="J12" i="50"/>
  <c r="H12" i="50"/>
  <c r="L9" i="50"/>
  <c r="K9" i="50"/>
  <c r="J9" i="50"/>
  <c r="H9" i="50"/>
  <c r="L8" i="50"/>
  <c r="K8" i="50"/>
  <c r="J8" i="50"/>
  <c r="H8" i="50"/>
  <c r="L7" i="50"/>
  <c r="K7" i="50"/>
  <c r="J7" i="50"/>
  <c r="H7" i="50"/>
  <c r="P36" i="50" l="1"/>
  <c r="N7" i="50"/>
  <c r="M18" i="50"/>
  <c r="M8" i="50" s="1"/>
  <c r="M9" i="50"/>
  <c r="N31" i="50"/>
  <c r="N8" i="50"/>
  <c r="J6" i="50"/>
  <c r="K6" i="50"/>
  <c r="N12" i="50"/>
  <c r="P21" i="50"/>
  <c r="N26" i="50"/>
  <c r="P12" i="50"/>
  <c r="P31" i="50"/>
  <c r="N9" i="50"/>
  <c r="N16" i="50"/>
  <c r="O26" i="50"/>
  <c r="L6" i="50"/>
  <c r="P26" i="50"/>
  <c r="N36" i="50"/>
  <c r="H6" i="50"/>
  <c r="N21" i="50"/>
  <c r="O36" i="50"/>
  <c r="I35" i="50"/>
  <c r="I31" i="50" s="1"/>
  <c r="O31" i="50" s="1"/>
  <c r="I20" i="50"/>
  <c r="O21" i="50"/>
  <c r="M17" i="50" l="1"/>
  <c r="N6" i="50"/>
  <c r="I19" i="50"/>
  <c r="I18" i="50" s="1"/>
  <c r="I10" i="50"/>
  <c r="M7" i="50"/>
  <c r="M6" i="50" s="1"/>
  <c r="M16" i="50"/>
  <c r="I9" i="50" l="1"/>
  <c r="I17" i="50"/>
  <c r="I8" i="50"/>
  <c r="I7" i="50" l="1"/>
  <c r="I6" i="50" s="1"/>
  <c r="I16" i="50"/>
  <c r="O16" i="50" s="1"/>
  <c r="E41" i="3" l="1"/>
  <c r="L31" i="48" l="1"/>
  <c r="J31" i="48"/>
  <c r="J27" i="3" l="1"/>
  <c r="J78" i="3"/>
  <c r="J77" i="3"/>
  <c r="J76" i="3"/>
  <c r="J21" i="3" s="1"/>
  <c r="J103" i="3"/>
  <c r="J102" i="3"/>
  <c r="J101" i="3"/>
  <c r="J158" i="3"/>
  <c r="J157" i="3"/>
  <c r="J156" i="3"/>
  <c r="J173" i="3"/>
  <c r="J172" i="3"/>
  <c r="J171" i="3"/>
  <c r="J202" i="3"/>
  <c r="J243" i="3"/>
  <c r="J242" i="3"/>
  <c r="J241" i="3"/>
  <c r="J186" i="3" s="1"/>
  <c r="J278" i="3"/>
  <c r="J277" i="3"/>
  <c r="J276" i="3"/>
  <c r="J298" i="3"/>
  <c r="J293" i="3" s="1"/>
  <c r="J297" i="3"/>
  <c r="J292" i="3" s="1"/>
  <c r="J296" i="3"/>
  <c r="J291" i="3" s="1"/>
  <c r="G297" i="3"/>
  <c r="G298" i="3"/>
  <c r="G299" i="3"/>
  <c r="G292" i="3"/>
  <c r="G293" i="3"/>
  <c r="G294" i="3"/>
  <c r="G289" i="3"/>
  <c r="G189" i="3"/>
  <c r="G174" i="3"/>
  <c r="G159" i="3"/>
  <c r="G102" i="3"/>
  <c r="G103" i="3"/>
  <c r="G104" i="3"/>
  <c r="G107" i="3"/>
  <c r="G108" i="3"/>
  <c r="G109" i="3"/>
  <c r="G112" i="3"/>
  <c r="G113" i="3"/>
  <c r="G114" i="3"/>
  <c r="G117" i="3"/>
  <c r="G118" i="3"/>
  <c r="G119" i="3"/>
  <c r="G122" i="3"/>
  <c r="G123" i="3"/>
  <c r="G124" i="3"/>
  <c r="G127" i="3"/>
  <c r="G128" i="3"/>
  <c r="G129" i="3"/>
  <c r="G142" i="3"/>
  <c r="G143" i="3"/>
  <c r="G144" i="3"/>
  <c r="G87" i="3"/>
  <c r="G88" i="3"/>
  <c r="G89" i="3"/>
  <c r="G92" i="3"/>
  <c r="G93" i="3"/>
  <c r="G94" i="3"/>
  <c r="G24" i="3"/>
  <c r="G14" i="3"/>
  <c r="J96" i="3" l="1"/>
  <c r="J97" i="3"/>
  <c r="J6" i="3"/>
  <c r="J188" i="3"/>
  <c r="J187" i="3"/>
  <c r="J22" i="3"/>
  <c r="J25" i="3"/>
  <c r="J75" i="3"/>
  <c r="J100" i="3"/>
  <c r="J155" i="3"/>
  <c r="J170" i="3"/>
  <c r="J200" i="3"/>
  <c r="J240" i="3"/>
  <c r="J275" i="3"/>
  <c r="E157" i="3"/>
  <c r="F157" i="3" s="1"/>
  <c r="E173" i="3"/>
  <c r="F173" i="3" s="1"/>
  <c r="J7" i="3" l="1"/>
  <c r="J185" i="3"/>
  <c r="J16" i="3"/>
  <c r="J17" i="3"/>
  <c r="J18" i="3"/>
  <c r="D9" i="3"/>
  <c r="G9" i="3" s="1"/>
  <c r="J15" i="3" l="1"/>
  <c r="F19" i="3"/>
  <c r="G19" i="3" s="1"/>
  <c r="J23" i="3" l="1"/>
  <c r="J20" i="3"/>
  <c r="J98" i="3"/>
  <c r="J95" i="3"/>
  <c r="F99" i="3"/>
  <c r="G99" i="3" s="1"/>
  <c r="E99" i="3"/>
  <c r="J244" i="3"/>
  <c r="F279" i="3"/>
  <c r="G279" i="3" s="1"/>
  <c r="E279" i="3"/>
  <c r="E296" i="3"/>
  <c r="E291" i="3" s="1"/>
  <c r="E290" i="3" s="1"/>
  <c r="J8" i="3" l="1"/>
  <c r="F301" i="3"/>
  <c r="F181" i="3"/>
  <c r="F182" i="3"/>
  <c r="E278" i="3"/>
  <c r="F287" i="3"/>
  <c r="E276" i="3"/>
  <c r="F244" i="3"/>
  <c r="F243" i="3"/>
  <c r="F242" i="3"/>
  <c r="F241" i="3"/>
  <c r="E244" i="3"/>
  <c r="E243" i="3"/>
  <c r="E241" i="3"/>
  <c r="F151" i="3"/>
  <c r="F141" i="3"/>
  <c r="F121" i="3"/>
  <c r="G56" i="49"/>
  <c r="F240" i="3" l="1"/>
  <c r="F277" i="3"/>
  <c r="F166" i="3"/>
  <c r="E172" i="3"/>
  <c r="F176" i="3"/>
  <c r="E171" i="3"/>
  <c r="E240" i="3"/>
  <c r="F177" i="3"/>
  <c r="F296" i="3"/>
  <c r="E186" i="3"/>
  <c r="E16" i="3"/>
  <c r="F16" i="3" s="1"/>
  <c r="E188" i="3"/>
  <c r="E18" i="3"/>
  <c r="F220" i="3"/>
  <c r="E17" i="3"/>
  <c r="F17" i="3" s="1"/>
  <c r="E277" i="3"/>
  <c r="E275" i="3" s="1"/>
  <c r="F286" i="3"/>
  <c r="F288" i="3"/>
  <c r="E116" i="3"/>
  <c r="F111" i="3"/>
  <c r="E29" i="3"/>
  <c r="F29" i="3" s="1"/>
  <c r="G29" i="3" s="1"/>
  <c r="E27" i="3"/>
  <c r="F27" i="3" s="1"/>
  <c r="E82" i="3"/>
  <c r="F82" i="3" s="1"/>
  <c r="E81" i="3"/>
  <c r="F81" i="3" s="1"/>
  <c r="E187" i="3" l="1"/>
  <c r="F187" i="3" s="1"/>
  <c r="E101" i="3"/>
  <c r="E96" i="3" s="1"/>
  <c r="F278" i="3"/>
  <c r="F186" i="3"/>
  <c r="F171" i="3"/>
  <c r="E170" i="3"/>
  <c r="F156" i="3"/>
  <c r="F276" i="3"/>
  <c r="F291" i="3"/>
  <c r="F188" i="3"/>
  <c r="F172" i="3"/>
  <c r="E97" i="3"/>
  <c r="F80" i="3"/>
  <c r="E200" i="3"/>
  <c r="F116" i="3"/>
  <c r="F106" i="3"/>
  <c r="E80" i="3"/>
  <c r="I110" i="49"/>
  <c r="H110" i="49"/>
  <c r="I109" i="49"/>
  <c r="H109" i="49"/>
  <c r="I108" i="49"/>
  <c r="H108" i="49"/>
  <c r="I107" i="49"/>
  <c r="H107" i="49"/>
  <c r="E106" i="49"/>
  <c r="D106" i="49"/>
  <c r="E103" i="49"/>
  <c r="D103" i="49"/>
  <c r="I102" i="49"/>
  <c r="I101" i="49"/>
  <c r="I100" i="49"/>
  <c r="H100" i="49"/>
  <c r="E99" i="49"/>
  <c r="D99" i="49"/>
  <c r="I98" i="49"/>
  <c r="I97" i="49"/>
  <c r="H97" i="49"/>
  <c r="I95" i="49"/>
  <c r="H95" i="49"/>
  <c r="I94" i="49"/>
  <c r="H94" i="49"/>
  <c r="E93" i="49"/>
  <c r="D93" i="49"/>
  <c r="I93" i="49" s="1"/>
  <c r="I92" i="49"/>
  <c r="H92" i="49"/>
  <c r="I91" i="49"/>
  <c r="H91" i="49"/>
  <c r="E90" i="49"/>
  <c r="D90" i="49"/>
  <c r="D89" i="49" s="1"/>
  <c r="I87" i="49"/>
  <c r="H87" i="49"/>
  <c r="I86" i="49"/>
  <c r="H86" i="49"/>
  <c r="I85" i="49"/>
  <c r="H85" i="49"/>
  <c r="I84" i="49"/>
  <c r="H84" i="49"/>
  <c r="I83" i="49"/>
  <c r="H83" i="49"/>
  <c r="E82" i="49"/>
  <c r="D82" i="49"/>
  <c r="I81" i="49"/>
  <c r="H81" i="49"/>
  <c r="I80" i="49"/>
  <c r="H80" i="49"/>
  <c r="I79" i="49"/>
  <c r="H79" i="49"/>
  <c r="E78" i="49"/>
  <c r="D78" i="49"/>
  <c r="E77" i="49"/>
  <c r="I77" i="49" s="1"/>
  <c r="E76" i="49"/>
  <c r="D75" i="49"/>
  <c r="I74" i="49"/>
  <c r="H74" i="49"/>
  <c r="I73" i="49"/>
  <c r="H73" i="49"/>
  <c r="I72" i="49"/>
  <c r="H72" i="49"/>
  <c r="I71" i="49"/>
  <c r="H71" i="49"/>
  <c r="I70" i="49"/>
  <c r="H70" i="49"/>
  <c r="I69" i="49"/>
  <c r="H69" i="49"/>
  <c r="I68" i="49"/>
  <c r="H68" i="49"/>
  <c r="I67" i="49"/>
  <c r="H67" i="49"/>
  <c r="E66" i="49"/>
  <c r="D66" i="49"/>
  <c r="I65" i="49"/>
  <c r="H65" i="49"/>
  <c r="I64" i="49"/>
  <c r="H64" i="49"/>
  <c r="I63" i="49"/>
  <c r="H63" i="49"/>
  <c r="D62" i="49"/>
  <c r="I62" i="49" s="1"/>
  <c r="I61" i="49"/>
  <c r="H61" i="49"/>
  <c r="I60" i="49"/>
  <c r="H60" i="49"/>
  <c r="I59" i="49"/>
  <c r="H59" i="49"/>
  <c r="I58" i="49"/>
  <c r="H58" i="49"/>
  <c r="I57" i="49"/>
  <c r="H57" i="49"/>
  <c r="E56" i="49"/>
  <c r="I55" i="49"/>
  <c r="H55" i="49"/>
  <c r="I54" i="49"/>
  <c r="H54" i="49"/>
  <c r="I53" i="49"/>
  <c r="H53" i="49"/>
  <c r="I52" i="49"/>
  <c r="H52" i="49"/>
  <c r="I51" i="49"/>
  <c r="H51" i="49"/>
  <c r="E50" i="49"/>
  <c r="D50" i="49"/>
  <c r="I49" i="49"/>
  <c r="H49" i="49"/>
  <c r="I48" i="49"/>
  <c r="H48" i="49"/>
  <c r="E47" i="49"/>
  <c r="D47" i="49"/>
  <c r="I45" i="49"/>
  <c r="H45" i="49"/>
  <c r="I44" i="49"/>
  <c r="H44" i="49"/>
  <c r="E43" i="49"/>
  <c r="E42" i="49" s="1"/>
  <c r="E39" i="49" s="1"/>
  <c r="D43" i="49"/>
  <c r="I41" i="49"/>
  <c r="H41" i="49"/>
  <c r="I40" i="49"/>
  <c r="H40" i="49"/>
  <c r="I38" i="49"/>
  <c r="H38" i="49"/>
  <c r="I37" i="49"/>
  <c r="H37" i="49"/>
  <c r="I36" i="49"/>
  <c r="H36" i="49"/>
  <c r="I35" i="49"/>
  <c r="H35" i="49"/>
  <c r="I34" i="49"/>
  <c r="H34" i="49"/>
  <c r="I33" i="49"/>
  <c r="H33" i="49"/>
  <c r="I32" i="49"/>
  <c r="H32" i="49"/>
  <c r="E31" i="49"/>
  <c r="D31" i="49"/>
  <c r="I30" i="49"/>
  <c r="H30" i="49"/>
  <c r="I29" i="49"/>
  <c r="H29" i="49"/>
  <c r="I28" i="49"/>
  <c r="H28" i="49"/>
  <c r="I27" i="49"/>
  <c r="H27" i="49"/>
  <c r="I26" i="49"/>
  <c r="H26" i="49"/>
  <c r="E25" i="49"/>
  <c r="D25" i="49"/>
  <c r="I24" i="49"/>
  <c r="H24" i="49"/>
  <c r="I23" i="49"/>
  <c r="H23" i="49"/>
  <c r="I22" i="49"/>
  <c r="H22" i="49"/>
  <c r="I21" i="49"/>
  <c r="H21" i="49"/>
  <c r="I20" i="49"/>
  <c r="H20" i="49"/>
  <c r="I19" i="49"/>
  <c r="H19" i="49"/>
  <c r="I18" i="49"/>
  <c r="H18" i="49"/>
  <c r="E15" i="49"/>
  <c r="D15" i="49"/>
  <c r="E12" i="49"/>
  <c r="D12" i="49"/>
  <c r="I10" i="49"/>
  <c r="H10" i="49"/>
  <c r="I9" i="49"/>
  <c r="H9" i="49"/>
  <c r="D8" i="49"/>
  <c r="I8" i="49" s="1"/>
  <c r="I40" i="48"/>
  <c r="I39" i="48" s="1"/>
  <c r="I38" i="48" s="1"/>
  <c r="I37" i="48" s="1"/>
  <c r="I36" i="48" s="1"/>
  <c r="I35" i="48" s="1"/>
  <c r="M36" i="48"/>
  <c r="L36" i="48"/>
  <c r="K36" i="48"/>
  <c r="J36" i="48"/>
  <c r="H36" i="48"/>
  <c r="M31" i="48"/>
  <c r="N31" i="48" s="1"/>
  <c r="K31" i="48"/>
  <c r="H31" i="48"/>
  <c r="M26" i="48"/>
  <c r="L26" i="48"/>
  <c r="K26" i="48"/>
  <c r="J26" i="48"/>
  <c r="I26" i="48"/>
  <c r="I25" i="48" s="1"/>
  <c r="I24" i="48" s="1"/>
  <c r="I23" i="48" s="1"/>
  <c r="I22" i="48" s="1"/>
  <c r="I21" i="48" s="1"/>
  <c r="I20" i="48" s="1"/>
  <c r="I19" i="48" s="1"/>
  <c r="H26" i="48"/>
  <c r="M21" i="48"/>
  <c r="M19" i="48" s="1"/>
  <c r="L21" i="48"/>
  <c r="K21" i="48"/>
  <c r="J21" i="48"/>
  <c r="H21" i="48"/>
  <c r="L16" i="48"/>
  <c r="K16" i="48"/>
  <c r="J16" i="48"/>
  <c r="H16" i="48"/>
  <c r="P16" i="48" s="1"/>
  <c r="I13" i="48"/>
  <c r="I12" i="48" s="1"/>
  <c r="L12" i="48"/>
  <c r="K12" i="48"/>
  <c r="J12" i="48"/>
  <c r="H12" i="48"/>
  <c r="M10" i="48"/>
  <c r="L10" i="48"/>
  <c r="K10" i="48"/>
  <c r="J10" i="48"/>
  <c r="H10" i="48"/>
  <c r="L9" i="48"/>
  <c r="K9" i="48"/>
  <c r="J9" i="48"/>
  <c r="H9" i="48"/>
  <c r="L8" i="48"/>
  <c r="K8" i="48"/>
  <c r="J8" i="48"/>
  <c r="H8" i="48"/>
  <c r="L7" i="48"/>
  <c r="K7" i="48"/>
  <c r="J7" i="48"/>
  <c r="H7" i="48"/>
  <c r="P36" i="48" l="1"/>
  <c r="N26" i="48"/>
  <c r="E75" i="49"/>
  <c r="I75" i="49" s="1"/>
  <c r="N36" i="48"/>
  <c r="H25" i="49"/>
  <c r="I25" i="49"/>
  <c r="I66" i="49"/>
  <c r="P31" i="48"/>
  <c r="N21" i="48"/>
  <c r="H106" i="49"/>
  <c r="H82" i="49"/>
  <c r="O36" i="48"/>
  <c r="E96" i="49"/>
  <c r="M18" i="48"/>
  <c r="M17" i="48" s="1"/>
  <c r="M9" i="48"/>
  <c r="I106" i="49"/>
  <c r="J6" i="48"/>
  <c r="N16" i="48"/>
  <c r="I15" i="49"/>
  <c r="L6" i="48"/>
  <c r="K6" i="48"/>
  <c r="H43" i="49"/>
  <c r="I50" i="49"/>
  <c r="I78" i="49"/>
  <c r="I82" i="49"/>
  <c r="F275" i="3"/>
  <c r="F97" i="3"/>
  <c r="M8" i="48"/>
  <c r="E185" i="3"/>
  <c r="H6" i="48"/>
  <c r="H50" i="49"/>
  <c r="H78" i="49"/>
  <c r="D88" i="49"/>
  <c r="H93" i="49"/>
  <c r="D96" i="49"/>
  <c r="I103" i="49"/>
  <c r="F290" i="3"/>
  <c r="F185" i="3"/>
  <c r="N12" i="48"/>
  <c r="H8" i="49"/>
  <c r="I12" i="49"/>
  <c r="H66" i="49"/>
  <c r="I90" i="49"/>
  <c r="H99" i="49"/>
  <c r="F200" i="3"/>
  <c r="F170" i="3"/>
  <c r="E100" i="3"/>
  <c r="F101" i="3"/>
  <c r="H75" i="49"/>
  <c r="E17" i="49"/>
  <c r="I31" i="49"/>
  <c r="D56" i="49"/>
  <c r="H76" i="49"/>
  <c r="H31" i="49"/>
  <c r="D42" i="49"/>
  <c r="E89" i="49"/>
  <c r="I89" i="49" s="1"/>
  <c r="I88" i="49" s="1"/>
  <c r="I76" i="49"/>
  <c r="H62" i="49"/>
  <c r="H77" i="49"/>
  <c r="H90" i="49"/>
  <c r="I99" i="49"/>
  <c r="I43" i="49"/>
  <c r="I47" i="49"/>
  <c r="H47" i="49"/>
  <c r="H12" i="49"/>
  <c r="H15" i="49"/>
  <c r="I31" i="48"/>
  <c r="O31" i="48" s="1"/>
  <c r="I10" i="48"/>
  <c r="I9" i="48"/>
  <c r="I18" i="48"/>
  <c r="H96" i="49" l="1"/>
  <c r="I96" i="49"/>
  <c r="M7" i="48"/>
  <c r="M6" i="48" s="1"/>
  <c r="M16" i="48"/>
  <c r="F100" i="3"/>
  <c r="F96" i="3"/>
  <c r="D39" i="49"/>
  <c r="I42" i="49"/>
  <c r="H42" i="49"/>
  <c r="I56" i="49"/>
  <c r="H56" i="49"/>
  <c r="D46" i="49"/>
  <c r="E88" i="49"/>
  <c r="H89" i="49"/>
  <c r="I8" i="48"/>
  <c r="I17" i="48"/>
  <c r="H88" i="49" l="1"/>
  <c r="E46" i="49"/>
  <c r="I46" i="49" s="1"/>
  <c r="E14" i="49"/>
  <c r="I39" i="49"/>
  <c r="D17" i="49"/>
  <c r="D14" i="49"/>
  <c r="H39" i="49"/>
  <c r="I16" i="48"/>
  <c r="I7" i="48"/>
  <c r="I6" i="48" s="1"/>
  <c r="H46" i="49" l="1"/>
  <c r="E11" i="49"/>
  <c r="D16" i="49"/>
  <c r="I14" i="49"/>
  <c r="I17" i="49"/>
  <c r="D11" i="49"/>
  <c r="H17" i="49"/>
  <c r="H14" i="49"/>
  <c r="E16" i="49"/>
  <c r="G260" i="47"/>
  <c r="G259" i="47"/>
  <c r="J258" i="47"/>
  <c r="G255" i="47"/>
  <c r="G254" i="47"/>
  <c r="J253" i="47"/>
  <c r="G250" i="47"/>
  <c r="G249" i="47"/>
  <c r="G247" i="47"/>
  <c r="G245" i="47"/>
  <c r="F244" i="47"/>
  <c r="E244" i="47"/>
  <c r="D244" i="47"/>
  <c r="J238" i="47"/>
  <c r="G237" i="47"/>
  <c r="G236" i="47"/>
  <c r="G235" i="47"/>
  <c r="G234" i="47"/>
  <c r="D233" i="47"/>
  <c r="G233" i="47" s="1"/>
  <c r="D232" i="47"/>
  <c r="G232" i="47" s="1"/>
  <c r="D231" i="47"/>
  <c r="G231" i="47" s="1"/>
  <c r="D230" i="47"/>
  <c r="G230" i="47" s="1"/>
  <c r="F229" i="47"/>
  <c r="E229" i="47"/>
  <c r="D228" i="47"/>
  <c r="G228" i="47" s="1"/>
  <c r="D227" i="47"/>
  <c r="G227" i="47" s="1"/>
  <c r="D226" i="47"/>
  <c r="G226" i="47" s="1"/>
  <c r="D225" i="47"/>
  <c r="G225" i="47" s="1"/>
  <c r="F224" i="47"/>
  <c r="E224" i="47"/>
  <c r="D223" i="47"/>
  <c r="D222" i="47"/>
  <c r="G222" i="47" s="1"/>
  <c r="D221" i="47"/>
  <c r="D220" i="47"/>
  <c r="G220" i="47" s="1"/>
  <c r="F219" i="47"/>
  <c r="E219" i="47"/>
  <c r="D213" i="47"/>
  <c r="D212" i="47"/>
  <c r="D211" i="47"/>
  <c r="D210" i="47"/>
  <c r="D208" i="47"/>
  <c r="D207" i="47"/>
  <c r="G207" i="47" s="1"/>
  <c r="D206" i="47"/>
  <c r="D205" i="47"/>
  <c r="G205" i="47" s="1"/>
  <c r="F204" i="47"/>
  <c r="E204" i="47"/>
  <c r="D203" i="47"/>
  <c r="D202" i="47"/>
  <c r="G202" i="47" s="1"/>
  <c r="D201" i="47"/>
  <c r="D200" i="47"/>
  <c r="F199" i="47"/>
  <c r="E199" i="47"/>
  <c r="G192" i="47"/>
  <c r="G190" i="47"/>
  <c r="G189" i="47"/>
  <c r="J188" i="47"/>
  <c r="G187" i="47"/>
  <c r="G185" i="47"/>
  <c r="K184" i="47"/>
  <c r="G184" i="47"/>
  <c r="J183" i="47"/>
  <c r="G182" i="47"/>
  <c r="G180" i="47"/>
  <c r="G179" i="47"/>
  <c r="G175" i="47"/>
  <c r="K174" i="47"/>
  <c r="G170" i="47"/>
  <c r="G169" i="47"/>
  <c r="J168" i="47"/>
  <c r="G166" i="47"/>
  <c r="G165" i="47"/>
  <c r="G164" i="47"/>
  <c r="D163" i="47"/>
  <c r="D162" i="47"/>
  <c r="G162" i="47" s="1"/>
  <c r="D161" i="47"/>
  <c r="D160" i="47"/>
  <c r="G160" i="47" s="1"/>
  <c r="F159" i="47"/>
  <c r="G159" i="47" s="1"/>
  <c r="E159" i="47"/>
  <c r="D158" i="47"/>
  <c r="D157" i="47"/>
  <c r="G157" i="47" s="1"/>
  <c r="D156" i="47"/>
  <c r="D155" i="47"/>
  <c r="G155" i="47" s="1"/>
  <c r="F154" i="47"/>
  <c r="E154" i="47"/>
  <c r="J153" i="47"/>
  <c r="G152" i="47"/>
  <c r="G150" i="47"/>
  <c r="G149" i="47"/>
  <c r="D148" i="47"/>
  <c r="D147" i="47"/>
  <c r="G147" i="47" s="1"/>
  <c r="D146" i="47"/>
  <c r="G146" i="47" s="1"/>
  <c r="D145" i="47"/>
  <c r="G145" i="47" s="1"/>
  <c r="F144" i="47"/>
  <c r="E144" i="47"/>
  <c r="D143" i="47"/>
  <c r="D142" i="47"/>
  <c r="D141" i="47"/>
  <c r="D140" i="47"/>
  <c r="F139" i="47"/>
  <c r="E139" i="47"/>
  <c r="D135" i="47"/>
  <c r="G135" i="47" s="1"/>
  <c r="F134" i="47"/>
  <c r="E134" i="47"/>
  <c r="D130" i="47"/>
  <c r="D129" i="47" s="1"/>
  <c r="F129" i="47"/>
  <c r="E129" i="47"/>
  <c r="D125" i="47"/>
  <c r="G125" i="47" s="1"/>
  <c r="F124" i="47"/>
  <c r="E124" i="47"/>
  <c r="D120" i="47"/>
  <c r="D119" i="47" s="1"/>
  <c r="F119" i="47"/>
  <c r="E119" i="47"/>
  <c r="D115" i="47"/>
  <c r="G115" i="47" s="1"/>
  <c r="F114" i="47"/>
  <c r="E114" i="47"/>
  <c r="D110" i="47"/>
  <c r="D109" i="47" s="1"/>
  <c r="F109" i="47"/>
  <c r="E109" i="47"/>
  <c r="D105" i="47"/>
  <c r="G105" i="47" s="1"/>
  <c r="H104" i="47"/>
  <c r="F104" i="47"/>
  <c r="E104" i="47"/>
  <c r="J103" i="47"/>
  <c r="G100" i="47"/>
  <c r="G99" i="47"/>
  <c r="J98" i="47"/>
  <c r="G96" i="47"/>
  <c r="G95" i="47"/>
  <c r="G94" i="47"/>
  <c r="D90" i="47"/>
  <c r="G90" i="47" s="1"/>
  <c r="F89" i="47"/>
  <c r="E89" i="47"/>
  <c r="D85" i="47"/>
  <c r="G85" i="47" s="1"/>
  <c r="H84" i="47"/>
  <c r="F84" i="47"/>
  <c r="E84" i="47"/>
  <c r="D83" i="47"/>
  <c r="D82" i="47"/>
  <c r="D81" i="47"/>
  <c r="D80" i="47"/>
  <c r="G80" i="47" s="1"/>
  <c r="J78" i="47"/>
  <c r="G76" i="47"/>
  <c r="G75" i="47"/>
  <c r="G74" i="47"/>
  <c r="D73" i="47"/>
  <c r="D72" i="47"/>
  <c r="D71" i="47"/>
  <c r="D70" i="47"/>
  <c r="F69" i="47"/>
  <c r="E69" i="47"/>
  <c r="D68" i="47"/>
  <c r="D67" i="47"/>
  <c r="D66" i="47"/>
  <c r="D65" i="47"/>
  <c r="F64" i="47"/>
  <c r="E64" i="47"/>
  <c r="D63" i="47"/>
  <c r="G63" i="47" s="1"/>
  <c r="D62" i="47"/>
  <c r="G62" i="47" s="1"/>
  <c r="D61" i="47"/>
  <c r="G61" i="47" s="1"/>
  <c r="D60" i="47"/>
  <c r="G60" i="47" s="1"/>
  <c r="F59" i="47"/>
  <c r="E59" i="47"/>
  <c r="D58" i="47"/>
  <c r="G58" i="47" s="1"/>
  <c r="D57" i="47"/>
  <c r="G57" i="47" s="1"/>
  <c r="D56" i="47"/>
  <c r="G56" i="47" s="1"/>
  <c r="D55" i="47"/>
  <c r="G55" i="47" s="1"/>
  <c r="F54" i="47"/>
  <c r="E54" i="47"/>
  <c r="D53" i="47"/>
  <c r="G53" i="47" s="1"/>
  <c r="D52" i="47"/>
  <c r="G52" i="47" s="1"/>
  <c r="D51" i="47"/>
  <c r="G51" i="47" s="1"/>
  <c r="D50" i="47"/>
  <c r="G50" i="47" s="1"/>
  <c r="F49" i="47"/>
  <c r="E49" i="47"/>
  <c r="D48" i="47"/>
  <c r="D47" i="47"/>
  <c r="D46" i="47"/>
  <c r="D45" i="47"/>
  <c r="F44" i="47"/>
  <c r="E44" i="47"/>
  <c r="D43" i="47"/>
  <c r="D42" i="47"/>
  <c r="D41" i="47"/>
  <c r="D40" i="47"/>
  <c r="G40" i="47" s="1"/>
  <c r="F39" i="47"/>
  <c r="E39" i="47"/>
  <c r="D38" i="47"/>
  <c r="D37" i="47"/>
  <c r="D36" i="47"/>
  <c r="D35" i="47"/>
  <c r="G35" i="47" s="1"/>
  <c r="F34" i="47"/>
  <c r="G34" i="47" s="1"/>
  <c r="E34" i="47"/>
  <c r="D33" i="47"/>
  <c r="D32" i="47"/>
  <c r="D31" i="47"/>
  <c r="E30" i="47"/>
  <c r="E29" i="47" s="1"/>
  <c r="D30" i="47"/>
  <c r="F29" i="47"/>
  <c r="J28" i="47"/>
  <c r="J23" i="47"/>
  <c r="G21" i="47"/>
  <c r="G20" i="47"/>
  <c r="G19" i="47"/>
  <c r="J18" i="47"/>
  <c r="F18" i="47"/>
  <c r="E18" i="47"/>
  <c r="F17" i="47"/>
  <c r="E17" i="47"/>
  <c r="F16" i="47"/>
  <c r="E16" i="47"/>
  <c r="F15" i="47"/>
  <c r="E15" i="47"/>
  <c r="D15" i="47" s="1"/>
  <c r="K14" i="47"/>
  <c r="J13" i="47"/>
  <c r="G12" i="47"/>
  <c r="G11" i="47"/>
  <c r="G10" i="47"/>
  <c r="G9" i="47"/>
  <c r="J8" i="47"/>
  <c r="G7" i="47"/>
  <c r="G6" i="47"/>
  <c r="G5" i="47"/>
  <c r="G4" i="47"/>
  <c r="D17" i="47" l="1"/>
  <c r="G17" i="47" s="1"/>
  <c r="D16" i="47"/>
  <c r="D124" i="47"/>
  <c r="G124" i="47" s="1"/>
  <c r="D139" i="47"/>
  <c r="G139" i="47" s="1"/>
  <c r="D18" i="47"/>
  <c r="G16" i="47"/>
  <c r="E14" i="47"/>
  <c r="F14" i="47"/>
  <c r="D26" i="47"/>
  <c r="G120" i="47"/>
  <c r="D134" i="47"/>
  <c r="G134" i="47" s="1"/>
  <c r="G244" i="47"/>
  <c r="D104" i="47"/>
  <c r="G104" i="47" s="1"/>
  <c r="H16" i="49"/>
  <c r="D13" i="49"/>
  <c r="I11" i="49"/>
  <c r="D7" i="49"/>
  <c r="I16" i="49"/>
  <c r="H11" i="49"/>
  <c r="E7" i="49"/>
  <c r="E13" i="49"/>
  <c r="D69" i="47"/>
  <c r="G130" i="47"/>
  <c r="G119" i="47"/>
  <c r="D44" i="47"/>
  <c r="G44" i="47" s="1"/>
  <c r="G129" i="47"/>
  <c r="G45" i="47"/>
  <c r="G110" i="47"/>
  <c r="G140" i="47"/>
  <c r="D114" i="47"/>
  <c r="D54" i="47"/>
  <c r="G54" i="47" s="1"/>
  <c r="D25" i="47"/>
  <c r="D209" i="47"/>
  <c r="G209" i="47" s="1"/>
  <c r="D49" i="47"/>
  <c r="G49" i="47" s="1"/>
  <c r="D199" i="47"/>
  <c r="G199" i="47" s="1"/>
  <c r="G210" i="47"/>
  <c r="G200" i="47"/>
  <c r="D27" i="47"/>
  <c r="D154" i="47"/>
  <c r="G154" i="47" s="1"/>
  <c r="D59" i="47"/>
  <c r="G59" i="47" s="1"/>
  <c r="D79" i="47"/>
  <c r="G79" i="47" s="1"/>
  <c r="G109" i="47"/>
  <c r="D219" i="47"/>
  <c r="G219" i="47" s="1"/>
  <c r="D144" i="47"/>
  <c r="G144" i="47" s="1"/>
  <c r="G15" i="47"/>
  <c r="D29" i="47"/>
  <c r="G29" i="47" s="1"/>
  <c r="D64" i="47"/>
  <c r="D84" i="47"/>
  <c r="G84" i="47" s="1"/>
  <c r="D204" i="47"/>
  <c r="G204" i="47" s="1"/>
  <c r="G30" i="47"/>
  <c r="D39" i="47"/>
  <c r="G39" i="47" s="1"/>
  <c r="D89" i="47"/>
  <c r="G89" i="47" s="1"/>
  <c r="D224" i="47"/>
  <c r="G224" i="47" s="1"/>
  <c r="D229" i="47"/>
  <c r="G229" i="47" s="1"/>
  <c r="G148" i="47"/>
  <c r="D14" i="47" l="1"/>
  <c r="I13" i="49"/>
  <c r="G14" i="47"/>
  <c r="D24" i="47"/>
  <c r="G24" i="47" s="1"/>
  <c r="H13" i="49"/>
  <c r="K7" i="49"/>
  <c r="H7" i="49"/>
  <c r="I7" i="49"/>
  <c r="G25" i="47"/>
  <c r="E77" i="3"/>
  <c r="E79" i="3"/>
  <c r="F79" i="3" s="1"/>
  <c r="E78" i="3"/>
  <c r="F66" i="3"/>
  <c r="F78" i="3" l="1"/>
  <c r="F77" i="3"/>
  <c r="E22" i="3"/>
  <c r="E56" i="3"/>
  <c r="E26" i="3" s="1"/>
  <c r="F51" i="3"/>
  <c r="F41" i="3"/>
  <c r="F36" i="3"/>
  <c r="F295" i="3"/>
  <c r="E295" i="3"/>
  <c r="F300" i="3"/>
  <c r="E300" i="3"/>
  <c r="D304" i="3"/>
  <c r="G304" i="3" s="1"/>
  <c r="D303" i="3"/>
  <c r="G303" i="3" s="1"/>
  <c r="D302" i="3"/>
  <c r="G302" i="3" s="1"/>
  <c r="F285" i="3"/>
  <c r="E285" i="3"/>
  <c r="D287" i="3"/>
  <c r="G287" i="3" s="1"/>
  <c r="F280" i="3"/>
  <c r="E280" i="3"/>
  <c r="D284" i="3"/>
  <c r="G284" i="3" s="1"/>
  <c r="D283" i="3"/>
  <c r="G283" i="3" s="1"/>
  <c r="D282" i="3"/>
  <c r="G282" i="3" s="1"/>
  <c r="D214" i="3"/>
  <c r="G214" i="3" s="1"/>
  <c r="D213" i="3"/>
  <c r="G213" i="3" s="1"/>
  <c r="D212" i="3"/>
  <c r="G212" i="3" s="1"/>
  <c r="G211" i="3"/>
  <c r="F205" i="3"/>
  <c r="E205" i="3"/>
  <c r="D209" i="3"/>
  <c r="D208" i="3"/>
  <c r="D207" i="3"/>
  <c r="F180" i="3"/>
  <c r="E180" i="3"/>
  <c r="D184" i="3"/>
  <c r="G184" i="3" s="1"/>
  <c r="D183" i="3"/>
  <c r="G183" i="3" s="1"/>
  <c r="G182" i="3"/>
  <c r="F175" i="3"/>
  <c r="E175" i="3"/>
  <c r="D179" i="3"/>
  <c r="G179" i="3" s="1"/>
  <c r="D178" i="3"/>
  <c r="G178" i="3" s="1"/>
  <c r="G177" i="3"/>
  <c r="G301" i="3" l="1"/>
  <c r="D300" i="3"/>
  <c r="G209" i="3"/>
  <c r="G208" i="3"/>
  <c r="G207" i="3"/>
  <c r="F56" i="3"/>
  <c r="E12" i="3"/>
  <c r="F12" i="3" s="1"/>
  <c r="E7" i="3"/>
  <c r="F7" i="3" s="1"/>
  <c r="D296" i="3"/>
  <c r="G296" i="3" s="1"/>
  <c r="D172" i="3"/>
  <c r="G172" i="3" s="1"/>
  <c r="G300" i="3"/>
  <c r="D173" i="3"/>
  <c r="G173" i="3" s="1"/>
  <c r="D210" i="3"/>
  <c r="G210" i="3" s="1"/>
  <c r="D277" i="3"/>
  <c r="G277" i="3" s="1"/>
  <c r="F22" i="3"/>
  <c r="F91" i="3"/>
  <c r="E76" i="3"/>
  <c r="F255" i="3"/>
  <c r="E255" i="3"/>
  <c r="D259" i="3"/>
  <c r="G259" i="3" s="1"/>
  <c r="D258" i="3"/>
  <c r="G258" i="3" s="1"/>
  <c r="D257" i="3"/>
  <c r="G257" i="3" s="1"/>
  <c r="D256" i="3"/>
  <c r="G256" i="3" s="1"/>
  <c r="F250" i="3"/>
  <c r="E250" i="3"/>
  <c r="D254" i="3"/>
  <c r="G254" i="3" s="1"/>
  <c r="D253" i="3"/>
  <c r="G253" i="3" s="1"/>
  <c r="D252" i="3"/>
  <c r="G252" i="3" s="1"/>
  <c r="D251" i="3"/>
  <c r="G251" i="3" s="1"/>
  <c r="F245" i="3"/>
  <c r="E245" i="3"/>
  <c r="D249" i="3"/>
  <c r="G249" i="3" s="1"/>
  <c r="D248" i="3"/>
  <c r="G248" i="3" s="1"/>
  <c r="D247" i="3"/>
  <c r="D233" i="3"/>
  <c r="G233" i="3" s="1"/>
  <c r="D232" i="3"/>
  <c r="G232" i="3" s="1"/>
  <c r="D231" i="3"/>
  <c r="G231" i="3" s="1"/>
  <c r="F225" i="3"/>
  <c r="E225" i="3"/>
  <c r="D229" i="3"/>
  <c r="G229" i="3" s="1"/>
  <c r="D228" i="3"/>
  <c r="G228" i="3" s="1"/>
  <c r="D227" i="3"/>
  <c r="G227" i="3" s="1"/>
  <c r="D226" i="3"/>
  <c r="G226" i="3" s="1"/>
  <c r="E220" i="3"/>
  <c r="D224" i="3"/>
  <c r="G224" i="3" s="1"/>
  <c r="D223" i="3"/>
  <c r="D222" i="3"/>
  <c r="D221" i="3"/>
  <c r="D203" i="3" l="1"/>
  <c r="D202" i="3"/>
  <c r="G223" i="3"/>
  <c r="G221" i="3"/>
  <c r="G222" i="3"/>
  <c r="D17" i="3"/>
  <c r="G17" i="3" s="1"/>
  <c r="D291" i="3"/>
  <c r="G291" i="3" s="1"/>
  <c r="D295" i="3"/>
  <c r="G295" i="3" s="1"/>
  <c r="D242" i="3"/>
  <c r="G242" i="3" s="1"/>
  <c r="G247" i="3"/>
  <c r="D245" i="3"/>
  <c r="G245" i="3" s="1"/>
  <c r="G246" i="3"/>
  <c r="D225" i="3"/>
  <c r="G225" i="3" s="1"/>
  <c r="D250" i="3"/>
  <c r="G250" i="3" s="1"/>
  <c r="D241" i="3"/>
  <c r="G241" i="3" s="1"/>
  <c r="D243" i="3"/>
  <c r="G243" i="3" s="1"/>
  <c r="D220" i="3"/>
  <c r="G220" i="3" s="1"/>
  <c r="D255" i="3"/>
  <c r="G255" i="3" s="1"/>
  <c r="D244" i="3"/>
  <c r="G244" i="3" s="1"/>
  <c r="F76" i="3"/>
  <c r="E75" i="3"/>
  <c r="D169" i="3"/>
  <c r="G169" i="3" s="1"/>
  <c r="D168" i="3"/>
  <c r="D167" i="3"/>
  <c r="G167" i="3" s="1"/>
  <c r="D166" i="3"/>
  <c r="G166" i="3" s="1"/>
  <c r="D164" i="3"/>
  <c r="G164" i="3" s="1"/>
  <c r="D163" i="3"/>
  <c r="D162" i="3"/>
  <c r="G162" i="3" s="1"/>
  <c r="D161" i="3"/>
  <c r="E163" i="3" l="1"/>
  <c r="E168" i="3"/>
  <c r="G202" i="3"/>
  <c r="D187" i="3"/>
  <c r="G187" i="3" s="1"/>
  <c r="G203" i="3"/>
  <c r="D290" i="3"/>
  <c r="G290" i="3" s="1"/>
  <c r="F75" i="3"/>
  <c r="D156" i="3"/>
  <c r="G156" i="3" s="1"/>
  <c r="G161" i="3"/>
  <c r="D160" i="3"/>
  <c r="D157" i="3"/>
  <c r="D158" i="3"/>
  <c r="D165" i="3"/>
  <c r="F150" i="3"/>
  <c r="E150" i="3"/>
  <c r="F163" i="3" l="1"/>
  <c r="E158" i="3"/>
  <c r="E160" i="3"/>
  <c r="F168" i="3"/>
  <c r="E165" i="3"/>
  <c r="D155" i="3"/>
  <c r="D97" i="3"/>
  <c r="G97" i="3" s="1"/>
  <c r="G157" i="3"/>
  <c r="D98" i="3"/>
  <c r="D240" i="3"/>
  <c r="G240" i="3" s="1"/>
  <c r="D154" i="3"/>
  <c r="G154" i="3" s="1"/>
  <c r="D153" i="3"/>
  <c r="G153" i="3" s="1"/>
  <c r="D152" i="3"/>
  <c r="G152" i="3" s="1"/>
  <c r="G151" i="3"/>
  <c r="F145" i="3"/>
  <c r="E145" i="3"/>
  <c r="D149" i="3"/>
  <c r="G149" i="3" s="1"/>
  <c r="D148" i="3"/>
  <c r="G148" i="3" s="1"/>
  <c r="D147" i="3"/>
  <c r="G147" i="3" s="1"/>
  <c r="G146" i="3"/>
  <c r="F140" i="3"/>
  <c r="E140" i="3"/>
  <c r="F70" i="3"/>
  <c r="E70" i="3"/>
  <c r="F85" i="3"/>
  <c r="E85" i="3"/>
  <c r="F90" i="3"/>
  <c r="E90" i="3"/>
  <c r="F125" i="3"/>
  <c r="E125" i="3"/>
  <c r="G126" i="3"/>
  <c r="F115" i="3"/>
  <c r="E115" i="3"/>
  <c r="F120" i="3"/>
  <c r="E120" i="3"/>
  <c r="F110" i="3"/>
  <c r="E110" i="3"/>
  <c r="F105" i="3"/>
  <c r="E105" i="3"/>
  <c r="G106" i="3"/>
  <c r="D84" i="3"/>
  <c r="D83" i="3"/>
  <c r="G81" i="3"/>
  <c r="F165" i="3" l="1"/>
  <c r="G165" i="3" s="1"/>
  <c r="G168" i="3"/>
  <c r="F160" i="3"/>
  <c r="G160" i="3" s="1"/>
  <c r="G163" i="3"/>
  <c r="F158" i="3"/>
  <c r="E98" i="3"/>
  <c r="E95" i="3" s="1"/>
  <c r="E155" i="3"/>
  <c r="D101" i="3"/>
  <c r="G116" i="3"/>
  <c r="D78" i="3"/>
  <c r="G78" i="3" s="1"/>
  <c r="G83" i="3"/>
  <c r="D90" i="3"/>
  <c r="G90" i="3" s="1"/>
  <c r="G91" i="3"/>
  <c r="D77" i="3"/>
  <c r="G77" i="3" s="1"/>
  <c r="G82" i="3"/>
  <c r="D85" i="3"/>
  <c r="G85" i="3" s="1"/>
  <c r="G86" i="3"/>
  <c r="D79" i="3"/>
  <c r="G79" i="3" s="1"/>
  <c r="G84" i="3"/>
  <c r="D105" i="3"/>
  <c r="G105" i="3" s="1"/>
  <c r="D125" i="3"/>
  <c r="G125" i="3" s="1"/>
  <c r="D145" i="3"/>
  <c r="G145" i="3" s="1"/>
  <c r="D80" i="3"/>
  <c r="G80" i="3" s="1"/>
  <c r="D115" i="3"/>
  <c r="G115" i="3" s="1"/>
  <c r="D150" i="3"/>
  <c r="G150" i="3" s="1"/>
  <c r="D76" i="3"/>
  <c r="D74" i="3"/>
  <c r="G74" i="3" s="1"/>
  <c r="D73" i="3"/>
  <c r="G73" i="3" s="1"/>
  <c r="D72" i="3"/>
  <c r="G72" i="3" s="1"/>
  <c r="G71" i="3"/>
  <c r="D69" i="3"/>
  <c r="G69" i="3" s="1"/>
  <c r="D68" i="3"/>
  <c r="D67" i="3"/>
  <c r="G67" i="3" s="1"/>
  <c r="D66" i="3"/>
  <c r="G66" i="3" s="1"/>
  <c r="F98" i="3" l="1"/>
  <c r="F155" i="3"/>
  <c r="G155" i="3" s="1"/>
  <c r="G158" i="3"/>
  <c r="E68" i="3"/>
  <c r="D75" i="3"/>
  <c r="G75" i="3" s="1"/>
  <c r="G76" i="3"/>
  <c r="D70" i="3"/>
  <c r="G70" i="3" s="1"/>
  <c r="F31" i="3"/>
  <c r="D65" i="3"/>
  <c r="D64" i="3"/>
  <c r="G64" i="3" s="1"/>
  <c r="D63" i="3"/>
  <c r="D62" i="3"/>
  <c r="G62" i="3" s="1"/>
  <c r="D61" i="3"/>
  <c r="G61" i="3" s="1"/>
  <c r="F95" i="3" l="1"/>
  <c r="G98" i="3"/>
  <c r="E63" i="3"/>
  <c r="F68" i="3"/>
  <c r="E65" i="3"/>
  <c r="D60" i="3"/>
  <c r="E21" i="3"/>
  <c r="E6" i="3" s="1"/>
  <c r="F26" i="3"/>
  <c r="F55" i="3"/>
  <c r="E55" i="3"/>
  <c r="D59" i="3"/>
  <c r="G59" i="3" s="1"/>
  <c r="D58" i="3"/>
  <c r="G58" i="3" s="1"/>
  <c r="D57" i="3"/>
  <c r="G57" i="3" s="1"/>
  <c r="G56" i="3"/>
  <c r="F50" i="3"/>
  <c r="E50" i="3"/>
  <c r="D54" i="3"/>
  <c r="G54" i="3" s="1"/>
  <c r="D53" i="3"/>
  <c r="G53" i="3" s="1"/>
  <c r="D52" i="3"/>
  <c r="G52" i="3" s="1"/>
  <c r="D51" i="3"/>
  <c r="F45" i="3"/>
  <c r="E45" i="3"/>
  <c r="D49" i="3"/>
  <c r="G49" i="3" s="1"/>
  <c r="D48" i="3"/>
  <c r="G48" i="3" s="1"/>
  <c r="D47" i="3"/>
  <c r="G47" i="3" s="1"/>
  <c r="F40" i="3"/>
  <c r="E40" i="3"/>
  <c r="D44" i="3"/>
  <c r="G44" i="3" s="1"/>
  <c r="D43" i="3"/>
  <c r="G43" i="3" s="1"/>
  <c r="D42" i="3"/>
  <c r="G42" i="3" s="1"/>
  <c r="D39" i="3"/>
  <c r="G39" i="3" s="1"/>
  <c r="D38" i="3"/>
  <c r="G38" i="3" s="1"/>
  <c r="D37" i="3"/>
  <c r="F35" i="3"/>
  <c r="E35" i="3"/>
  <c r="F30" i="3"/>
  <c r="E30" i="3"/>
  <c r="D34" i="3"/>
  <c r="G34" i="3" s="1"/>
  <c r="D33" i="3"/>
  <c r="G33" i="3" s="1"/>
  <c r="D32" i="3"/>
  <c r="G32" i="3" s="1"/>
  <c r="G51" i="3" l="1"/>
  <c r="G37" i="3"/>
  <c r="D35" i="3"/>
  <c r="G35" i="3" s="1"/>
  <c r="F65" i="3"/>
  <c r="G65" i="3" s="1"/>
  <c r="G68" i="3"/>
  <c r="F63" i="3"/>
  <c r="E28" i="3"/>
  <c r="E60" i="3"/>
  <c r="G36" i="3"/>
  <c r="E11" i="3"/>
  <c r="D50" i="3"/>
  <c r="G50" i="3" s="1"/>
  <c r="D55" i="3"/>
  <c r="G55" i="3" s="1"/>
  <c r="D27" i="3"/>
  <c r="D28" i="3"/>
  <c r="F21" i="3"/>
  <c r="F6" i="3" s="1"/>
  <c r="H26" i="45"/>
  <c r="F35" i="45"/>
  <c r="G35" i="45"/>
  <c r="H35" i="45"/>
  <c r="I35" i="45"/>
  <c r="F36" i="45"/>
  <c r="G36" i="45"/>
  <c r="H36" i="45"/>
  <c r="I36" i="45"/>
  <c r="F37" i="45"/>
  <c r="G37" i="45"/>
  <c r="H37" i="45"/>
  <c r="I37" i="45"/>
  <c r="F38" i="45"/>
  <c r="G38" i="45"/>
  <c r="H38" i="45"/>
  <c r="I38" i="45"/>
  <c r="F39" i="45"/>
  <c r="G39" i="45"/>
  <c r="H39" i="45"/>
  <c r="I39" i="45"/>
  <c r="F40" i="45"/>
  <c r="G40" i="45"/>
  <c r="H40" i="45"/>
  <c r="I40" i="45"/>
  <c r="E41" i="45"/>
  <c r="E42" i="45"/>
  <c r="E43" i="45"/>
  <c r="E44" i="45"/>
  <c r="E45" i="45"/>
  <c r="F46" i="45"/>
  <c r="G46" i="45"/>
  <c r="H46" i="45"/>
  <c r="I46" i="45"/>
  <c r="E47" i="45"/>
  <c r="E48" i="45"/>
  <c r="E49" i="45"/>
  <c r="E50" i="45"/>
  <c r="E51" i="45"/>
  <c r="G53" i="45"/>
  <c r="H53" i="45"/>
  <c r="I53" i="45"/>
  <c r="G54" i="45"/>
  <c r="H54" i="45"/>
  <c r="I54" i="45"/>
  <c r="I55" i="45"/>
  <c r="I56" i="45"/>
  <c r="I57" i="45"/>
  <c r="G58" i="45"/>
  <c r="H58" i="45"/>
  <c r="I58" i="45"/>
  <c r="E59" i="45"/>
  <c r="E60" i="45"/>
  <c r="F61" i="45"/>
  <c r="G31" i="3" s="1"/>
  <c r="E62" i="45"/>
  <c r="E63" i="45"/>
  <c r="F64" i="45"/>
  <c r="G64" i="45"/>
  <c r="H64" i="45"/>
  <c r="I64" i="45"/>
  <c r="E65" i="45"/>
  <c r="E66" i="45"/>
  <c r="E67" i="45"/>
  <c r="E68" i="45"/>
  <c r="E69" i="45"/>
  <c r="F70" i="45"/>
  <c r="G70" i="45"/>
  <c r="H70" i="45"/>
  <c r="I70" i="45"/>
  <c r="E71" i="45"/>
  <c r="E72" i="45"/>
  <c r="E73" i="45"/>
  <c r="E74" i="45"/>
  <c r="E75" i="45"/>
  <c r="G76" i="45"/>
  <c r="H76" i="45"/>
  <c r="I76" i="45"/>
  <c r="E77" i="45"/>
  <c r="E78" i="45"/>
  <c r="F79" i="45"/>
  <c r="E80" i="45"/>
  <c r="E81" i="45"/>
  <c r="G82" i="45"/>
  <c r="H82" i="45"/>
  <c r="I82" i="45"/>
  <c r="F83" i="45"/>
  <c r="F53" i="45" s="1"/>
  <c r="E84" i="45"/>
  <c r="F85" i="45"/>
  <c r="D46" i="3" s="1"/>
  <c r="D26" i="3" s="1"/>
  <c r="E86" i="45"/>
  <c r="E87" i="45"/>
  <c r="F88" i="45"/>
  <c r="G88" i="45"/>
  <c r="H88" i="45"/>
  <c r="I88" i="45"/>
  <c r="E89" i="45"/>
  <c r="E90" i="45"/>
  <c r="E91" i="45"/>
  <c r="E92" i="45"/>
  <c r="E93" i="45"/>
  <c r="G94" i="45"/>
  <c r="H94" i="45"/>
  <c r="I94" i="45"/>
  <c r="E95" i="45"/>
  <c r="F96" i="45"/>
  <c r="E96" i="45" s="1"/>
  <c r="E97" i="45"/>
  <c r="E98" i="45"/>
  <c r="E99" i="45"/>
  <c r="F100" i="45"/>
  <c r="G100" i="45"/>
  <c r="H100" i="45"/>
  <c r="I100" i="45"/>
  <c r="E101" i="45"/>
  <c r="E102" i="45"/>
  <c r="E103" i="45"/>
  <c r="E104" i="45"/>
  <c r="F106" i="45"/>
  <c r="G106" i="45"/>
  <c r="H106" i="45"/>
  <c r="I106" i="45"/>
  <c r="E107" i="45"/>
  <c r="E108" i="45"/>
  <c r="E109" i="45"/>
  <c r="E110" i="45"/>
  <c r="E111" i="45"/>
  <c r="F112" i="45"/>
  <c r="G112" i="45"/>
  <c r="H112" i="45"/>
  <c r="I112" i="45"/>
  <c r="E113" i="45"/>
  <c r="E114" i="45"/>
  <c r="E115" i="45"/>
  <c r="E116" i="45"/>
  <c r="E117" i="45"/>
  <c r="I118" i="45"/>
  <c r="E119" i="45"/>
  <c r="F120" i="45"/>
  <c r="E120" i="45" s="1"/>
  <c r="H121" i="45"/>
  <c r="G121" i="45" s="1"/>
  <c r="F121" i="45" s="1"/>
  <c r="E121" i="45" s="1"/>
  <c r="H122" i="45"/>
  <c r="H56" i="45" s="1"/>
  <c r="H123" i="45"/>
  <c r="G123" i="45" s="1"/>
  <c r="F124" i="45"/>
  <c r="G124" i="45"/>
  <c r="H124" i="45"/>
  <c r="I124" i="45"/>
  <c r="E125" i="45"/>
  <c r="E126" i="45"/>
  <c r="E127" i="45"/>
  <c r="E128" i="45"/>
  <c r="E129" i="45"/>
  <c r="F130" i="45"/>
  <c r="I130" i="45"/>
  <c r="H131" i="45"/>
  <c r="H132" i="45"/>
  <c r="G132" i="45" s="1"/>
  <c r="E132" i="45" s="1"/>
  <c r="E133" i="45"/>
  <c r="H134" i="45"/>
  <c r="G134" i="45" s="1"/>
  <c r="E134" i="45" s="1"/>
  <c r="H135" i="45"/>
  <c r="G135" i="45" s="1"/>
  <c r="E135" i="45" s="1"/>
  <c r="F136" i="45"/>
  <c r="G136" i="45"/>
  <c r="H136" i="45"/>
  <c r="I136" i="45"/>
  <c r="E137" i="45"/>
  <c r="E138" i="45"/>
  <c r="E139" i="45"/>
  <c r="E140" i="45"/>
  <c r="E141" i="45"/>
  <c r="F143" i="45"/>
  <c r="G143" i="45"/>
  <c r="H143" i="45"/>
  <c r="I143" i="45"/>
  <c r="F144" i="45"/>
  <c r="G144" i="45"/>
  <c r="H144" i="45"/>
  <c r="I144" i="45"/>
  <c r="F145" i="45"/>
  <c r="G145" i="45"/>
  <c r="H145" i="45"/>
  <c r="I145" i="45"/>
  <c r="F146" i="45"/>
  <c r="G146" i="45"/>
  <c r="H146" i="45"/>
  <c r="I146" i="45"/>
  <c r="F147" i="45"/>
  <c r="G147" i="45"/>
  <c r="H147" i="45"/>
  <c r="I147" i="45"/>
  <c r="F148" i="45"/>
  <c r="G148" i="45"/>
  <c r="H148" i="45"/>
  <c r="I148" i="45"/>
  <c r="E149" i="45"/>
  <c r="E150" i="45"/>
  <c r="E151" i="45"/>
  <c r="E152" i="45"/>
  <c r="E153" i="45"/>
  <c r="F154" i="45"/>
  <c r="G154" i="45"/>
  <c r="H154" i="45"/>
  <c r="I154" i="45"/>
  <c r="E155" i="45"/>
  <c r="E156" i="45"/>
  <c r="E157" i="45"/>
  <c r="E158" i="45"/>
  <c r="E159" i="45"/>
  <c r="F160" i="45"/>
  <c r="G160" i="45"/>
  <c r="H160" i="45"/>
  <c r="I160" i="45"/>
  <c r="E161" i="45"/>
  <c r="E162" i="45"/>
  <c r="E163" i="45"/>
  <c r="E164" i="45"/>
  <c r="E165" i="45"/>
  <c r="F166" i="45"/>
  <c r="G166" i="45"/>
  <c r="H166" i="45"/>
  <c r="I166" i="45"/>
  <c r="E167" i="45"/>
  <c r="E168" i="45"/>
  <c r="E169" i="45"/>
  <c r="E170" i="45"/>
  <c r="E171" i="45"/>
  <c r="G179" i="45"/>
  <c r="H179" i="45"/>
  <c r="I179" i="45"/>
  <c r="G180" i="45"/>
  <c r="H180" i="45"/>
  <c r="I180" i="45"/>
  <c r="G181" i="45"/>
  <c r="H181" i="45"/>
  <c r="I181" i="45"/>
  <c r="F182" i="45"/>
  <c r="G182" i="45"/>
  <c r="H182" i="45"/>
  <c r="I182" i="45"/>
  <c r="F183" i="45"/>
  <c r="H183" i="45"/>
  <c r="I183" i="45"/>
  <c r="H184" i="45"/>
  <c r="I184" i="45"/>
  <c r="F185" i="45"/>
  <c r="F186" i="45"/>
  <c r="E186" i="45" s="1"/>
  <c r="E187" i="45"/>
  <c r="E188" i="45"/>
  <c r="G189" i="45"/>
  <c r="G184" i="45" s="1"/>
  <c r="G190" i="45"/>
  <c r="H190" i="45"/>
  <c r="I190" i="45"/>
  <c r="E191" i="45"/>
  <c r="E192" i="45"/>
  <c r="F193" i="45"/>
  <c r="E194" i="45"/>
  <c r="E195" i="45"/>
  <c r="G196" i="45"/>
  <c r="H196" i="45"/>
  <c r="I196" i="45"/>
  <c r="F197" i="45"/>
  <c r="F196" i="45" s="1"/>
  <c r="E198" i="45"/>
  <c r="E199" i="45"/>
  <c r="E200" i="45"/>
  <c r="E201" i="45"/>
  <c r="G202" i="45"/>
  <c r="H202" i="45"/>
  <c r="I202" i="45"/>
  <c r="E203" i="45"/>
  <c r="F204" i="45"/>
  <c r="F205" i="45"/>
  <c r="E206" i="45"/>
  <c r="E207" i="45"/>
  <c r="G208" i="45"/>
  <c r="H208" i="45"/>
  <c r="I208" i="45"/>
  <c r="E209" i="45"/>
  <c r="F210" i="45"/>
  <c r="F208" i="45" s="1"/>
  <c r="E211" i="45"/>
  <c r="E212" i="45"/>
  <c r="E213" i="45"/>
  <c r="F214" i="45"/>
  <c r="G214" i="45"/>
  <c r="H214" i="45"/>
  <c r="I214" i="45"/>
  <c r="E215" i="45"/>
  <c r="E216" i="45"/>
  <c r="E217" i="45"/>
  <c r="E218" i="45"/>
  <c r="E219" i="45"/>
  <c r="F220" i="45"/>
  <c r="G220" i="45"/>
  <c r="H220" i="45"/>
  <c r="I220" i="45"/>
  <c r="E221" i="45"/>
  <c r="E222" i="45"/>
  <c r="E223" i="45"/>
  <c r="E224" i="45"/>
  <c r="E225" i="45"/>
  <c r="F226" i="45"/>
  <c r="G226" i="45"/>
  <c r="H226" i="45"/>
  <c r="I226" i="45"/>
  <c r="E227" i="45"/>
  <c r="E228" i="45"/>
  <c r="E229" i="45"/>
  <c r="E230" i="45"/>
  <c r="E231" i="45"/>
  <c r="F232" i="45"/>
  <c r="G232" i="45"/>
  <c r="H232" i="45"/>
  <c r="I232" i="45"/>
  <c r="E233" i="45"/>
  <c r="E234" i="45"/>
  <c r="E235" i="45"/>
  <c r="E236" i="45"/>
  <c r="E237" i="45"/>
  <c r="F238" i="45"/>
  <c r="G238" i="45"/>
  <c r="H238" i="45"/>
  <c r="I238" i="45"/>
  <c r="E239" i="45"/>
  <c r="E240" i="45"/>
  <c r="E241" i="45"/>
  <c r="E242" i="45"/>
  <c r="E243" i="45"/>
  <c r="G244" i="45"/>
  <c r="H244" i="45"/>
  <c r="I244" i="45"/>
  <c r="E245" i="45"/>
  <c r="F246" i="45"/>
  <c r="F244" i="45" s="1"/>
  <c r="E247" i="45"/>
  <c r="E248" i="45"/>
  <c r="E249" i="45"/>
  <c r="F250" i="45"/>
  <c r="G250" i="45"/>
  <c r="H250" i="45"/>
  <c r="I250" i="45"/>
  <c r="E251" i="45"/>
  <c r="E252" i="45"/>
  <c r="E253" i="45"/>
  <c r="E254" i="45"/>
  <c r="E255" i="45"/>
  <c r="F256" i="45"/>
  <c r="G256" i="45"/>
  <c r="H256" i="45"/>
  <c r="I256" i="45"/>
  <c r="E257" i="45"/>
  <c r="E258" i="45"/>
  <c r="E259" i="45"/>
  <c r="E260" i="45"/>
  <c r="E261" i="45"/>
  <c r="F262" i="45"/>
  <c r="G262" i="45"/>
  <c r="H262" i="45"/>
  <c r="I262" i="45"/>
  <c r="E263" i="45"/>
  <c r="E265" i="45"/>
  <c r="E266" i="45"/>
  <c r="E267" i="45"/>
  <c r="G268" i="45"/>
  <c r="H268" i="45"/>
  <c r="I268" i="45"/>
  <c r="E269" i="45"/>
  <c r="E270" i="45"/>
  <c r="F271" i="45"/>
  <c r="G141" i="3" s="1"/>
  <c r="E272" i="45"/>
  <c r="E273" i="45"/>
  <c r="F274" i="45"/>
  <c r="G274" i="45"/>
  <c r="H274" i="45"/>
  <c r="I274" i="45"/>
  <c r="E275" i="45"/>
  <c r="E276" i="45"/>
  <c r="E277" i="45"/>
  <c r="E278" i="45"/>
  <c r="E279" i="45"/>
  <c r="F280" i="45"/>
  <c r="G280" i="45"/>
  <c r="H280" i="45"/>
  <c r="I280" i="45"/>
  <c r="E281" i="45"/>
  <c r="E282" i="45"/>
  <c r="E283" i="45"/>
  <c r="E284" i="45"/>
  <c r="E285" i="45"/>
  <c r="G286" i="45"/>
  <c r="H286" i="45"/>
  <c r="I286" i="45"/>
  <c r="E287" i="45"/>
  <c r="F288" i="45"/>
  <c r="F286" i="45" s="1"/>
  <c r="E289" i="45"/>
  <c r="E290" i="45"/>
  <c r="E291" i="45"/>
  <c r="F292" i="45"/>
  <c r="G292" i="45"/>
  <c r="H292" i="45"/>
  <c r="I292" i="45"/>
  <c r="E293" i="45"/>
  <c r="E294" i="45"/>
  <c r="E295" i="45"/>
  <c r="E296" i="45"/>
  <c r="E297" i="45"/>
  <c r="G298" i="45"/>
  <c r="H298" i="45"/>
  <c r="I298" i="45"/>
  <c r="E299" i="45"/>
  <c r="F300" i="45"/>
  <c r="F298" i="45" s="1"/>
  <c r="E301" i="45"/>
  <c r="E302" i="45"/>
  <c r="E303" i="45"/>
  <c r="F304" i="45"/>
  <c r="G304" i="45"/>
  <c r="H304" i="45"/>
  <c r="I304" i="45"/>
  <c r="E305" i="45"/>
  <c r="E306" i="45"/>
  <c r="E307" i="45"/>
  <c r="E308" i="45"/>
  <c r="E309" i="45"/>
  <c r="F311" i="45"/>
  <c r="G311" i="45"/>
  <c r="H311" i="45"/>
  <c r="I311" i="45"/>
  <c r="F312" i="45"/>
  <c r="G312" i="45"/>
  <c r="H312" i="45"/>
  <c r="I312" i="45"/>
  <c r="F313" i="45"/>
  <c r="G313" i="45"/>
  <c r="H313" i="45"/>
  <c r="I313" i="45"/>
  <c r="F314" i="45"/>
  <c r="G314" i="45"/>
  <c r="H314" i="45"/>
  <c r="I314" i="45"/>
  <c r="F315" i="45"/>
  <c r="G315" i="45"/>
  <c r="H315" i="45"/>
  <c r="I315" i="45"/>
  <c r="F316" i="45"/>
  <c r="G316" i="45"/>
  <c r="H316" i="45"/>
  <c r="I316" i="45"/>
  <c r="E317" i="45"/>
  <c r="E318" i="45"/>
  <c r="E319" i="45"/>
  <c r="E320" i="45"/>
  <c r="E321" i="45"/>
  <c r="F322" i="45"/>
  <c r="G322" i="45"/>
  <c r="H322" i="45"/>
  <c r="I322" i="45"/>
  <c r="E323" i="45"/>
  <c r="E324" i="45"/>
  <c r="E325" i="45"/>
  <c r="E326" i="45"/>
  <c r="E327" i="45"/>
  <c r="F329" i="45"/>
  <c r="G329" i="45"/>
  <c r="H329" i="45"/>
  <c r="I329" i="45"/>
  <c r="F330" i="45"/>
  <c r="G330" i="45"/>
  <c r="H330" i="45"/>
  <c r="I330" i="45"/>
  <c r="G331" i="45"/>
  <c r="H331" i="45"/>
  <c r="I331" i="45"/>
  <c r="F332" i="45"/>
  <c r="G332" i="45"/>
  <c r="H332" i="45"/>
  <c r="I332" i="45"/>
  <c r="F333" i="45"/>
  <c r="G333" i="45"/>
  <c r="H333" i="45"/>
  <c r="I333" i="45"/>
  <c r="G334" i="45"/>
  <c r="H334" i="45"/>
  <c r="I334" i="45"/>
  <c r="E335" i="45"/>
  <c r="E336" i="45"/>
  <c r="F337" i="45"/>
  <c r="F334" i="45" s="1"/>
  <c r="E338" i="45"/>
  <c r="E339" i="45"/>
  <c r="G340" i="45"/>
  <c r="H340" i="45"/>
  <c r="I340" i="45"/>
  <c r="E341" i="45"/>
  <c r="E342" i="45"/>
  <c r="F343" i="45"/>
  <c r="G181" i="3" s="1"/>
  <c r="E344" i="45"/>
  <c r="E345" i="45"/>
  <c r="F355" i="45"/>
  <c r="H355" i="45"/>
  <c r="F356" i="45"/>
  <c r="H356" i="45"/>
  <c r="F357" i="45"/>
  <c r="H357" i="45"/>
  <c r="F358" i="45"/>
  <c r="G358" i="45"/>
  <c r="I358" i="45"/>
  <c r="H359" i="45"/>
  <c r="E359" i="45" s="1"/>
  <c r="E360" i="45"/>
  <c r="E361" i="45"/>
  <c r="E362" i="45"/>
  <c r="E363" i="45"/>
  <c r="G364" i="45"/>
  <c r="I364" i="45"/>
  <c r="F365" i="45"/>
  <c r="F353" i="45" s="1"/>
  <c r="E366" i="45"/>
  <c r="E367" i="45"/>
  <c r="E368" i="45"/>
  <c r="E369" i="45"/>
  <c r="F370" i="45"/>
  <c r="G370" i="45"/>
  <c r="H370" i="45"/>
  <c r="I370" i="45"/>
  <c r="E371" i="45"/>
  <c r="E372" i="45"/>
  <c r="E373" i="45"/>
  <c r="E374" i="45"/>
  <c r="E375" i="45"/>
  <c r="F376" i="45"/>
  <c r="G376" i="45"/>
  <c r="H376" i="45"/>
  <c r="I376" i="45"/>
  <c r="E377" i="45"/>
  <c r="E378" i="45"/>
  <c r="E379" i="45"/>
  <c r="E380" i="45"/>
  <c r="E381" i="45"/>
  <c r="F382" i="45"/>
  <c r="G382" i="45"/>
  <c r="I382" i="45"/>
  <c r="E383" i="45"/>
  <c r="H384" i="45"/>
  <c r="E385" i="45"/>
  <c r="E386" i="45"/>
  <c r="E387" i="45"/>
  <c r="F388" i="45"/>
  <c r="G388" i="45"/>
  <c r="H388" i="45"/>
  <c r="I388" i="45"/>
  <c r="E389" i="45"/>
  <c r="E390" i="45"/>
  <c r="E391" i="45"/>
  <c r="E392" i="45"/>
  <c r="E393" i="45"/>
  <c r="F394" i="45"/>
  <c r="G394" i="45"/>
  <c r="H394" i="45"/>
  <c r="I394" i="45"/>
  <c r="E395" i="45"/>
  <c r="E396" i="45"/>
  <c r="E397" i="45"/>
  <c r="E398" i="45"/>
  <c r="E399" i="45"/>
  <c r="F400" i="45"/>
  <c r="G400" i="45"/>
  <c r="H400" i="45"/>
  <c r="I400" i="45"/>
  <c r="E401" i="45"/>
  <c r="E402" i="45"/>
  <c r="E403" i="45"/>
  <c r="E404" i="45"/>
  <c r="E405" i="45"/>
  <c r="G406" i="45"/>
  <c r="H406" i="45"/>
  <c r="I406" i="45"/>
  <c r="E407" i="45"/>
  <c r="F408" i="45"/>
  <c r="E408" i="45" s="1"/>
  <c r="E409" i="45"/>
  <c r="E410" i="45"/>
  <c r="E411" i="45"/>
  <c r="G412" i="45"/>
  <c r="I412" i="45"/>
  <c r="E413" i="45"/>
  <c r="F414" i="45"/>
  <c r="H414" i="45" s="1"/>
  <c r="H412" i="45" s="1"/>
  <c r="E415" i="45"/>
  <c r="E416" i="45"/>
  <c r="E417" i="45"/>
  <c r="F418" i="45"/>
  <c r="H418" i="45"/>
  <c r="F424" i="45"/>
  <c r="G424" i="45"/>
  <c r="G423" i="45" s="1"/>
  <c r="H424" i="45"/>
  <c r="F430" i="45"/>
  <c r="H432" i="45"/>
  <c r="H430" i="45" s="1"/>
  <c r="F436" i="45"/>
  <c r="H436" i="45"/>
  <c r="I436" i="45"/>
  <c r="I435" i="45" s="1"/>
  <c r="E437" i="45"/>
  <c r="E438" i="45"/>
  <c r="E439" i="45"/>
  <c r="E440" i="45"/>
  <c r="E441" i="45"/>
  <c r="F442" i="45"/>
  <c r="G442" i="45"/>
  <c r="H442" i="45"/>
  <c r="I442" i="45"/>
  <c r="E443" i="45"/>
  <c r="E444" i="45"/>
  <c r="E445" i="45"/>
  <c r="E446" i="45"/>
  <c r="E447" i="45"/>
  <c r="G448" i="45"/>
  <c r="H448" i="45"/>
  <c r="I448" i="45"/>
  <c r="E449" i="45"/>
  <c r="F450" i="45"/>
  <c r="F448" i="45" s="1"/>
  <c r="E451" i="45"/>
  <c r="E452" i="45"/>
  <c r="E453" i="45"/>
  <c r="F454" i="45"/>
  <c r="G454" i="45"/>
  <c r="H454" i="45"/>
  <c r="I454" i="45"/>
  <c r="E455" i="45"/>
  <c r="E456" i="45"/>
  <c r="E457" i="45"/>
  <c r="E458" i="45"/>
  <c r="E459" i="45"/>
  <c r="F460" i="45"/>
  <c r="H460" i="45"/>
  <c r="I460" i="45"/>
  <c r="E461" i="45"/>
  <c r="E462" i="45"/>
  <c r="E463" i="45"/>
  <c r="E464" i="45"/>
  <c r="E465" i="45"/>
  <c r="F466" i="45"/>
  <c r="G466" i="45"/>
  <c r="H466" i="45"/>
  <c r="I466" i="45"/>
  <c r="E467" i="45"/>
  <c r="E468" i="45"/>
  <c r="E469" i="45"/>
  <c r="E470" i="45"/>
  <c r="E471" i="45"/>
  <c r="H475" i="45"/>
  <c r="F476" i="45"/>
  <c r="H476" i="45"/>
  <c r="F477" i="45"/>
  <c r="H477" i="45"/>
  <c r="G478" i="45"/>
  <c r="H478" i="45"/>
  <c r="E479" i="45"/>
  <c r="E480" i="45"/>
  <c r="F481" i="45"/>
  <c r="I482" i="45"/>
  <c r="I478" i="45" s="1"/>
  <c r="E483" i="45"/>
  <c r="F484" i="45"/>
  <c r="G484" i="45"/>
  <c r="H484" i="45"/>
  <c r="I484" i="45"/>
  <c r="E485" i="45"/>
  <c r="E486" i="45"/>
  <c r="E487" i="45"/>
  <c r="E488" i="45"/>
  <c r="E489" i="45"/>
  <c r="G490" i="45"/>
  <c r="H490" i="45"/>
  <c r="I490" i="45"/>
  <c r="F491" i="45"/>
  <c r="F492" i="45"/>
  <c r="E492" i="45" s="1"/>
  <c r="E493" i="45"/>
  <c r="E494" i="45"/>
  <c r="E495" i="45"/>
  <c r="F496" i="45"/>
  <c r="G496" i="45"/>
  <c r="H496" i="45"/>
  <c r="I496" i="45"/>
  <c r="E497" i="45"/>
  <c r="F502" i="45"/>
  <c r="G502" i="45"/>
  <c r="I502" i="45"/>
  <c r="H503" i="45"/>
  <c r="H502" i="45" s="1"/>
  <c r="F508" i="45"/>
  <c r="G508" i="45"/>
  <c r="I508" i="45"/>
  <c r="H509" i="45"/>
  <c r="H508" i="45" s="1"/>
  <c r="F514" i="45"/>
  <c r="G514" i="45"/>
  <c r="I514" i="45"/>
  <c r="H515" i="45"/>
  <c r="E515" i="45" s="1"/>
  <c r="F520" i="45"/>
  <c r="G520" i="45"/>
  <c r="I520" i="45"/>
  <c r="H521" i="45"/>
  <c r="E521" i="45" s="1"/>
  <c r="F526" i="45"/>
  <c r="G526" i="45"/>
  <c r="I526" i="45"/>
  <c r="H527" i="45"/>
  <c r="H526" i="45" s="1"/>
  <c r="F532" i="45"/>
  <c r="G532" i="45"/>
  <c r="I532" i="45"/>
  <c r="H533" i="45"/>
  <c r="H532" i="45" s="1"/>
  <c r="F538" i="45"/>
  <c r="G538" i="45"/>
  <c r="H538" i="45"/>
  <c r="I538" i="45"/>
  <c r="E539" i="45"/>
  <c r="E540" i="45"/>
  <c r="E541" i="45"/>
  <c r="E542" i="45"/>
  <c r="E543" i="45"/>
  <c r="E544" i="45"/>
  <c r="E545" i="45"/>
  <c r="E546" i="45"/>
  <c r="E547" i="45"/>
  <c r="E548" i="45"/>
  <c r="E549" i="45"/>
  <c r="F550" i="45"/>
  <c r="G550" i="45"/>
  <c r="H550" i="45"/>
  <c r="I550" i="45"/>
  <c r="E551" i="45"/>
  <c r="E552" i="45"/>
  <c r="E553" i="45"/>
  <c r="E554" i="45"/>
  <c r="E555" i="45"/>
  <c r="F556" i="45"/>
  <c r="G556" i="45"/>
  <c r="I556" i="45"/>
  <c r="H557" i="45"/>
  <c r="H558" i="45"/>
  <c r="E559" i="45"/>
  <c r="E560" i="45"/>
  <c r="E561" i="45"/>
  <c r="F562" i="45"/>
  <c r="G562" i="45"/>
  <c r="H563" i="45"/>
  <c r="H562" i="45" s="1"/>
  <c r="E564" i="45"/>
  <c r="E565" i="45"/>
  <c r="E566" i="45"/>
  <c r="E567" i="45"/>
  <c r="F568" i="45"/>
  <c r="G568" i="45"/>
  <c r="H568" i="45"/>
  <c r="I568" i="45"/>
  <c r="E569" i="45"/>
  <c r="E570" i="45"/>
  <c r="E571" i="45"/>
  <c r="E572" i="45"/>
  <c r="E573" i="45"/>
  <c r="F574" i="45"/>
  <c r="G574" i="45"/>
  <c r="H574" i="45"/>
  <c r="I574" i="45"/>
  <c r="E575" i="45"/>
  <c r="E576" i="45"/>
  <c r="E577" i="45"/>
  <c r="E578" i="45"/>
  <c r="E579" i="45"/>
  <c r="F580" i="45"/>
  <c r="G580" i="45"/>
  <c r="H580" i="45"/>
  <c r="I580" i="45"/>
  <c r="E581" i="45"/>
  <c r="E582" i="45"/>
  <c r="E583" i="45"/>
  <c r="E584" i="45"/>
  <c r="E585" i="45"/>
  <c r="F586" i="45"/>
  <c r="G586" i="45"/>
  <c r="H586" i="45"/>
  <c r="I586" i="45"/>
  <c r="E587" i="45"/>
  <c r="E588" i="45"/>
  <c r="E589" i="45"/>
  <c r="E590" i="45"/>
  <c r="E591" i="45"/>
  <c r="F592" i="45"/>
  <c r="H594" i="45"/>
  <c r="H592" i="45" s="1"/>
  <c r="F598" i="45"/>
  <c r="H598" i="45"/>
  <c r="F604" i="45"/>
  <c r="H606" i="45"/>
  <c r="H604" i="45" s="1"/>
  <c r="F610" i="45"/>
  <c r="H612" i="45"/>
  <c r="H610" i="45" s="1"/>
  <c r="F616" i="45"/>
  <c r="H616" i="45"/>
  <c r="F622" i="45"/>
  <c r="I622" i="45"/>
  <c r="I621" i="45" s="1"/>
  <c r="I620" i="45" s="1"/>
  <c r="I619" i="45" s="1"/>
  <c r="I618" i="45" s="1"/>
  <c r="I617" i="45" s="1"/>
  <c r="I616" i="45" s="1"/>
  <c r="I615" i="45" s="1"/>
  <c r="I614" i="45" s="1"/>
  <c r="I613" i="45" s="1"/>
  <c r="I612" i="45" s="1"/>
  <c r="I611" i="45" s="1"/>
  <c r="I610" i="45" s="1"/>
  <c r="I609" i="45" s="1"/>
  <c r="I608" i="45" s="1"/>
  <c r="I607" i="45" s="1"/>
  <c r="I606" i="45" s="1"/>
  <c r="I605" i="45" s="1"/>
  <c r="I604" i="45" s="1"/>
  <c r="I603" i="45" s="1"/>
  <c r="I602" i="45" s="1"/>
  <c r="I601" i="45" s="1"/>
  <c r="I600" i="45" s="1"/>
  <c r="I599" i="45" s="1"/>
  <c r="I598" i="45" s="1"/>
  <c r="I597" i="45" s="1"/>
  <c r="H624" i="45"/>
  <c r="H622" i="45" s="1"/>
  <c r="E625" i="45"/>
  <c r="E626" i="45"/>
  <c r="E627" i="45"/>
  <c r="F628" i="45"/>
  <c r="G628" i="45"/>
  <c r="G624" i="45" s="1"/>
  <c r="H630" i="45"/>
  <c r="H628" i="45" s="1"/>
  <c r="I631" i="45"/>
  <c r="D234" i="3" s="1"/>
  <c r="E632" i="45"/>
  <c r="E633" i="45"/>
  <c r="F634" i="45"/>
  <c r="G634" i="45"/>
  <c r="H634" i="45"/>
  <c r="I634" i="45"/>
  <c r="E635" i="45"/>
  <c r="E636" i="45"/>
  <c r="E637" i="45"/>
  <c r="E638" i="45"/>
  <c r="E639" i="45"/>
  <c r="F640" i="45"/>
  <c r="G640" i="45"/>
  <c r="H640" i="45"/>
  <c r="I640" i="45"/>
  <c r="E641" i="45"/>
  <c r="E642" i="45"/>
  <c r="E643" i="45"/>
  <c r="E644" i="45"/>
  <c r="E645" i="45"/>
  <c r="F646" i="45"/>
  <c r="G646" i="45"/>
  <c r="H646" i="45"/>
  <c r="I646" i="45"/>
  <c r="E647" i="45"/>
  <c r="E648" i="45"/>
  <c r="E649" i="45"/>
  <c r="E650" i="45"/>
  <c r="E651" i="45"/>
  <c r="G652" i="45"/>
  <c r="I652" i="45"/>
  <c r="E653" i="45"/>
  <c r="F654" i="45"/>
  <c r="H654" i="45" s="1"/>
  <c r="H652" i="45" s="1"/>
  <c r="E655" i="45"/>
  <c r="E656" i="45"/>
  <c r="E657" i="45"/>
  <c r="G658" i="45"/>
  <c r="I658" i="45"/>
  <c r="E659" i="45"/>
  <c r="F660" i="45"/>
  <c r="E661" i="45"/>
  <c r="E662" i="45"/>
  <c r="E663" i="45"/>
  <c r="F664" i="45"/>
  <c r="E665" i="45"/>
  <c r="H666" i="45"/>
  <c r="E666" i="45" s="1"/>
  <c r="E667" i="45"/>
  <c r="E668" i="45"/>
  <c r="E669" i="45"/>
  <c r="F671" i="45"/>
  <c r="E671" i="45" s="1"/>
  <c r="H672" i="45"/>
  <c r="H670" i="45" s="1"/>
  <c r="F673" i="45"/>
  <c r="F674" i="45"/>
  <c r="F26" i="45" s="1"/>
  <c r="F675" i="45"/>
  <c r="E675" i="45" s="1"/>
  <c r="F677" i="45"/>
  <c r="G677" i="45"/>
  <c r="H677" i="45"/>
  <c r="I677" i="45"/>
  <c r="F678" i="45"/>
  <c r="G678" i="45"/>
  <c r="H678" i="45"/>
  <c r="I678" i="45"/>
  <c r="F679" i="45"/>
  <c r="G679" i="45"/>
  <c r="H679" i="45"/>
  <c r="I679" i="45"/>
  <c r="F680" i="45"/>
  <c r="G680" i="45"/>
  <c r="H680" i="45"/>
  <c r="I680" i="45"/>
  <c r="F681" i="45"/>
  <c r="G681" i="45"/>
  <c r="F682" i="45"/>
  <c r="G682" i="45"/>
  <c r="E683" i="45"/>
  <c r="E684" i="45"/>
  <c r="E685" i="45"/>
  <c r="E686" i="45"/>
  <c r="I687" i="45"/>
  <c r="I682" i="45" s="1"/>
  <c r="F689" i="45"/>
  <c r="G689" i="45"/>
  <c r="H689" i="45"/>
  <c r="I689" i="45"/>
  <c r="F690" i="45"/>
  <c r="G690" i="45"/>
  <c r="H690" i="45"/>
  <c r="I690" i="45"/>
  <c r="F691" i="45"/>
  <c r="G691" i="45"/>
  <c r="H691" i="45"/>
  <c r="I691" i="45"/>
  <c r="F692" i="45"/>
  <c r="G692" i="45"/>
  <c r="H692" i="45"/>
  <c r="I692" i="45"/>
  <c r="F693" i="45"/>
  <c r="G693" i="45"/>
  <c r="F694" i="45"/>
  <c r="G694" i="45"/>
  <c r="E695" i="45"/>
  <c r="E696" i="45"/>
  <c r="E697" i="45"/>
  <c r="E698" i="45"/>
  <c r="I699" i="45"/>
  <c r="H705" i="45" s="1"/>
  <c r="F700" i="45"/>
  <c r="G700" i="45"/>
  <c r="E701" i="45"/>
  <c r="E702" i="45"/>
  <c r="E703" i="45"/>
  <c r="E704" i="45"/>
  <c r="I705" i="45"/>
  <c r="H711" i="45" s="1"/>
  <c r="F706" i="45"/>
  <c r="G706" i="45"/>
  <c r="E707" i="45"/>
  <c r="E708" i="45"/>
  <c r="E709" i="45"/>
  <c r="E710" i="45"/>
  <c r="I711" i="45"/>
  <c r="I706" i="45" s="1"/>
  <c r="F713" i="45"/>
  <c r="G713" i="45"/>
  <c r="H713" i="45"/>
  <c r="I713" i="45"/>
  <c r="F714" i="45"/>
  <c r="G714" i="45"/>
  <c r="H714" i="45"/>
  <c r="I714" i="45"/>
  <c r="G715" i="45"/>
  <c r="I715" i="45"/>
  <c r="F716" i="45"/>
  <c r="G716" i="45"/>
  <c r="H716" i="45"/>
  <c r="I716" i="45"/>
  <c r="F717" i="45"/>
  <c r="G717" i="45"/>
  <c r="H717" i="45"/>
  <c r="I717" i="45"/>
  <c r="G718" i="45"/>
  <c r="H718" i="45"/>
  <c r="I718" i="45"/>
  <c r="E719" i="45"/>
  <c r="E720" i="45"/>
  <c r="F721" i="45"/>
  <c r="D281" i="3" s="1"/>
  <c r="G281" i="3" s="1"/>
  <c r="E722" i="45"/>
  <c r="E723" i="45"/>
  <c r="F724" i="45"/>
  <c r="G724" i="45"/>
  <c r="H724" i="45"/>
  <c r="I724" i="45"/>
  <c r="E725" i="45"/>
  <c r="E726" i="45"/>
  <c r="E727" i="45"/>
  <c r="E728" i="45"/>
  <c r="E729" i="45"/>
  <c r="I730" i="45"/>
  <c r="E730" i="45" s="1"/>
  <c r="E731" i="45"/>
  <c r="E732" i="45"/>
  <c r="E733" i="45"/>
  <c r="E734" i="45"/>
  <c r="E735" i="45"/>
  <c r="G736" i="45"/>
  <c r="I736" i="45"/>
  <c r="E737" i="45"/>
  <c r="E738" i="45"/>
  <c r="F739" i="45"/>
  <c r="H739" i="45" s="1"/>
  <c r="E740" i="45"/>
  <c r="E741" i="45"/>
  <c r="F749" i="45"/>
  <c r="G749" i="45"/>
  <c r="G743" i="45" s="1"/>
  <c r="H749" i="45"/>
  <c r="I749" i="45"/>
  <c r="I743" i="45" s="1"/>
  <c r="F750" i="45"/>
  <c r="G750" i="45"/>
  <c r="G744" i="45" s="1"/>
  <c r="H750" i="45"/>
  <c r="H744" i="45" s="1"/>
  <c r="I750" i="45"/>
  <c r="I744" i="45" s="1"/>
  <c r="F751" i="45"/>
  <c r="F745" i="45" s="1"/>
  <c r="G751" i="45"/>
  <c r="G745" i="45" s="1"/>
  <c r="H751" i="45"/>
  <c r="H745" i="45" s="1"/>
  <c r="I751" i="45"/>
  <c r="I745" i="45" s="1"/>
  <c r="F752" i="45"/>
  <c r="F746" i="45" s="1"/>
  <c r="G752" i="45"/>
  <c r="G746" i="45" s="1"/>
  <c r="H752" i="45"/>
  <c r="H746" i="45" s="1"/>
  <c r="I752" i="45"/>
  <c r="I746" i="45" s="1"/>
  <c r="F753" i="45"/>
  <c r="G753" i="45"/>
  <c r="G747" i="45" s="1"/>
  <c r="H753" i="45"/>
  <c r="H747" i="45" s="1"/>
  <c r="I753" i="45"/>
  <c r="I747" i="45" s="1"/>
  <c r="F754" i="45"/>
  <c r="G754" i="45"/>
  <c r="H754" i="45"/>
  <c r="I754" i="45"/>
  <c r="E755" i="45"/>
  <c r="E756" i="45"/>
  <c r="E757" i="45"/>
  <c r="E758" i="45"/>
  <c r="E759" i="45"/>
  <c r="F58" i="45" l="1"/>
  <c r="G234" i="3"/>
  <c r="D204" i="3"/>
  <c r="G204" i="3" s="1"/>
  <c r="F28" i="3"/>
  <c r="E23" i="3"/>
  <c r="E25" i="3"/>
  <c r="F25" i="3" s="1"/>
  <c r="F60" i="3"/>
  <c r="G60" i="3" s="1"/>
  <c r="G63" i="3"/>
  <c r="E562" i="45"/>
  <c r="F11" i="3"/>
  <c r="H520" i="45"/>
  <c r="G176" i="45"/>
  <c r="E136" i="45"/>
  <c r="E298" i="45"/>
  <c r="E448" i="45"/>
  <c r="E631" i="45"/>
  <c r="E61" i="45"/>
  <c r="E721" i="45"/>
  <c r="E533" i="45"/>
  <c r="E460" i="45"/>
  <c r="E37" i="45"/>
  <c r="E691" i="45"/>
  <c r="E442" i="45"/>
  <c r="E400" i="45"/>
  <c r="E394" i="45"/>
  <c r="E343" i="45"/>
  <c r="E574" i="45"/>
  <c r="H142" i="45"/>
  <c r="E690" i="45"/>
  <c r="E315" i="45"/>
  <c r="I174" i="45"/>
  <c r="F94" i="45"/>
  <c r="E94" i="45" s="1"/>
  <c r="E717" i="45"/>
  <c r="F715" i="45"/>
  <c r="E520" i="45"/>
  <c r="E454" i="45"/>
  <c r="E316" i="45"/>
  <c r="E189" i="45"/>
  <c r="F179" i="45"/>
  <c r="E179" i="45" s="1"/>
  <c r="E88" i="45"/>
  <c r="I31" i="45"/>
  <c r="I52" i="45"/>
  <c r="E40" i="45"/>
  <c r="I142" i="45"/>
  <c r="G34" i="45"/>
  <c r="E714" i="45"/>
  <c r="E646" i="45"/>
  <c r="E754" i="45"/>
  <c r="E753" i="45"/>
  <c r="F718" i="45"/>
  <c r="E718" i="45" s="1"/>
  <c r="I700" i="45"/>
  <c r="I694" i="45"/>
  <c r="F688" i="45"/>
  <c r="E563" i="45"/>
  <c r="H556" i="45"/>
  <c r="E556" i="45" s="1"/>
  <c r="E532" i="45"/>
  <c r="E450" i="45"/>
  <c r="I328" i="45"/>
  <c r="E250" i="45"/>
  <c r="E244" i="45"/>
  <c r="E226" i="45"/>
  <c r="E220" i="45"/>
  <c r="E154" i="45"/>
  <c r="E58" i="45"/>
  <c r="I33" i="45"/>
  <c r="F736" i="45"/>
  <c r="E713" i="45"/>
  <c r="E680" i="45"/>
  <c r="E679" i="45"/>
  <c r="E678" i="45"/>
  <c r="E677" i="45"/>
  <c r="E634" i="45"/>
  <c r="E508" i="45"/>
  <c r="F490" i="45"/>
  <c r="E490" i="45" s="1"/>
  <c r="E271" i="45"/>
  <c r="E238" i="45"/>
  <c r="E166" i="45"/>
  <c r="E145" i="45"/>
  <c r="E100" i="45"/>
  <c r="E83" i="45"/>
  <c r="E70" i="45"/>
  <c r="D23" i="3"/>
  <c r="G23" i="3" s="1"/>
  <c r="G28" i="3"/>
  <c r="F20" i="3"/>
  <c r="D22" i="3"/>
  <c r="G27" i="3"/>
  <c r="H25" i="45"/>
  <c r="D288" i="3"/>
  <c r="H736" i="45"/>
  <c r="E481" i="45"/>
  <c r="D206" i="3"/>
  <c r="D201" i="3" s="1"/>
  <c r="I173" i="45"/>
  <c r="E752" i="45"/>
  <c r="E750" i="45"/>
  <c r="F748" i="45"/>
  <c r="F744" i="45"/>
  <c r="E744" i="45" s="1"/>
  <c r="E716" i="45"/>
  <c r="I712" i="45"/>
  <c r="G688" i="45"/>
  <c r="E672" i="45"/>
  <c r="H664" i="45"/>
  <c r="E664" i="45" s="1"/>
  <c r="I630" i="45"/>
  <c r="E568" i="45"/>
  <c r="E557" i="45"/>
  <c r="E527" i="45"/>
  <c r="E509" i="45"/>
  <c r="H473" i="45"/>
  <c r="E491" i="45"/>
  <c r="E484" i="45"/>
  <c r="E466" i="45"/>
  <c r="E388" i="45"/>
  <c r="H24" i="45"/>
  <c r="H382" i="45"/>
  <c r="E382" i="45" s="1"/>
  <c r="E376" i="45"/>
  <c r="E370" i="45"/>
  <c r="H350" i="45"/>
  <c r="E337" i="45"/>
  <c r="G176" i="3"/>
  <c r="H328" i="45"/>
  <c r="E322" i="45"/>
  <c r="H175" i="45"/>
  <c r="H174" i="45"/>
  <c r="H310" i="45"/>
  <c r="E300" i="45"/>
  <c r="E214" i="45"/>
  <c r="E208" i="45"/>
  <c r="F202" i="45"/>
  <c r="E202" i="45" s="1"/>
  <c r="H177" i="45"/>
  <c r="H176" i="45"/>
  <c r="I178" i="45"/>
  <c r="H178" i="45"/>
  <c r="E147" i="45"/>
  <c r="G122" i="45"/>
  <c r="G118" i="45" s="1"/>
  <c r="E112" i="45"/>
  <c r="E106" i="45"/>
  <c r="E85" i="45"/>
  <c r="E64" i="45"/>
  <c r="H29" i="45"/>
  <c r="E39" i="45"/>
  <c r="E36" i="45"/>
  <c r="G29" i="45"/>
  <c r="F351" i="45"/>
  <c r="E205" i="45"/>
  <c r="G121" i="3"/>
  <c r="E193" i="45"/>
  <c r="G111" i="3"/>
  <c r="I176" i="45"/>
  <c r="F181" i="45"/>
  <c r="E181" i="45" s="1"/>
  <c r="F743" i="45"/>
  <c r="E739" i="45"/>
  <c r="D286" i="3"/>
  <c r="D280" i="3"/>
  <c r="G280" i="3" s="1"/>
  <c r="E692" i="45"/>
  <c r="E586" i="45"/>
  <c r="E580" i="45"/>
  <c r="E538" i="45"/>
  <c r="E526" i="45"/>
  <c r="E502" i="45"/>
  <c r="E496" i="45"/>
  <c r="I473" i="45"/>
  <c r="I347" i="45" s="1"/>
  <c r="F478" i="45"/>
  <c r="E478" i="45" s="1"/>
  <c r="E384" i="45"/>
  <c r="F350" i="45"/>
  <c r="F340" i="45"/>
  <c r="E340" i="45" s="1"/>
  <c r="G328" i="45"/>
  <c r="E312" i="45"/>
  <c r="G310" i="45"/>
  <c r="E292" i="45"/>
  <c r="E286" i="45"/>
  <c r="F268" i="45"/>
  <c r="E268" i="45" s="1"/>
  <c r="E262" i="45"/>
  <c r="E246" i="45"/>
  <c r="E232" i="45"/>
  <c r="E196" i="45"/>
  <c r="F190" i="45"/>
  <c r="E190" i="45" s="1"/>
  <c r="G183" i="45"/>
  <c r="G177" i="45" s="1"/>
  <c r="G173" i="45"/>
  <c r="E148" i="45"/>
  <c r="E146" i="45"/>
  <c r="G142" i="45"/>
  <c r="E124" i="45"/>
  <c r="E79" i="45"/>
  <c r="I32" i="45"/>
  <c r="I30" i="45"/>
  <c r="I29" i="45"/>
  <c r="I310" i="45"/>
  <c r="I177" i="45"/>
  <c r="E182" i="45"/>
  <c r="E749" i="45"/>
  <c r="F747" i="45"/>
  <c r="E747" i="45" s="1"/>
  <c r="E724" i="45"/>
  <c r="G712" i="45"/>
  <c r="G676" i="45"/>
  <c r="F25" i="45"/>
  <c r="E640" i="45"/>
  <c r="D230" i="3"/>
  <c r="G230" i="3" s="1"/>
  <c r="E550" i="45"/>
  <c r="E436" i="45"/>
  <c r="E414" i="45"/>
  <c r="H365" i="45"/>
  <c r="H353" i="45" s="1"/>
  <c r="E358" i="45"/>
  <c r="D180" i="3"/>
  <c r="G180" i="3" s="1"/>
  <c r="E334" i="45"/>
  <c r="E333" i="45"/>
  <c r="F331" i="45"/>
  <c r="E331" i="45" s="1"/>
  <c r="E330" i="45"/>
  <c r="E329" i="45"/>
  <c r="E314" i="45"/>
  <c r="E313" i="45"/>
  <c r="E311" i="45"/>
  <c r="E304" i="45"/>
  <c r="E280" i="45"/>
  <c r="E274" i="45"/>
  <c r="D140" i="3"/>
  <c r="G140" i="3" s="1"/>
  <c r="E256" i="45"/>
  <c r="F176" i="45"/>
  <c r="G175" i="45"/>
  <c r="G174" i="45"/>
  <c r="F177" i="45"/>
  <c r="E160" i="45"/>
  <c r="E144" i="45"/>
  <c r="E143" i="45"/>
  <c r="H130" i="45"/>
  <c r="H118" i="45"/>
  <c r="G30" i="45"/>
  <c r="E46" i="45"/>
  <c r="H32" i="45"/>
  <c r="H34" i="45"/>
  <c r="D30" i="3"/>
  <c r="G30" i="3" s="1"/>
  <c r="I742" i="45"/>
  <c r="I477" i="45"/>
  <c r="I596" i="45"/>
  <c r="I595" i="45" s="1"/>
  <c r="F123" i="45"/>
  <c r="G57" i="45"/>
  <c r="G33" i="45" s="1"/>
  <c r="E53" i="45"/>
  <c r="E746" i="45"/>
  <c r="G742" i="45"/>
  <c r="I434" i="45"/>
  <c r="E435" i="45"/>
  <c r="H706" i="45"/>
  <c r="E706" i="45" s="1"/>
  <c r="E711" i="45"/>
  <c r="E705" i="45"/>
  <c r="H700" i="45"/>
  <c r="E745" i="45"/>
  <c r="G623" i="45"/>
  <c r="E624" i="45"/>
  <c r="F29" i="45"/>
  <c r="G357" i="45"/>
  <c r="E357" i="45" s="1"/>
  <c r="G422" i="45"/>
  <c r="I748" i="45"/>
  <c r="E674" i="45"/>
  <c r="E654" i="45"/>
  <c r="E751" i="45"/>
  <c r="G748" i="45"/>
  <c r="H743" i="45"/>
  <c r="H742" i="45" s="1"/>
  <c r="H715" i="45"/>
  <c r="H712" i="45" s="1"/>
  <c r="E673" i="45"/>
  <c r="F475" i="45"/>
  <c r="F349" i="45" s="1"/>
  <c r="I472" i="45"/>
  <c r="H173" i="45"/>
  <c r="H55" i="45"/>
  <c r="H31" i="45" s="1"/>
  <c r="E38" i="45"/>
  <c r="H748" i="45"/>
  <c r="I681" i="45"/>
  <c r="H514" i="45"/>
  <c r="E514" i="45" s="1"/>
  <c r="E503" i="45"/>
  <c r="E482" i="45"/>
  <c r="H358" i="45"/>
  <c r="I175" i="45"/>
  <c r="G55" i="45"/>
  <c r="G31" i="45" s="1"/>
  <c r="H30" i="45"/>
  <c r="I474" i="45"/>
  <c r="I348" i="45" s="1"/>
  <c r="F310" i="45"/>
  <c r="H57" i="45"/>
  <c r="H33" i="45" s="1"/>
  <c r="F55" i="45"/>
  <c r="F23" i="45"/>
  <c r="F652" i="45"/>
  <c r="E652" i="45" s="1"/>
  <c r="E558" i="45"/>
  <c r="F406" i="45"/>
  <c r="E406" i="45" s="1"/>
  <c r="E288" i="45"/>
  <c r="E210" i="45"/>
  <c r="E204" i="45"/>
  <c r="E197" i="45"/>
  <c r="E185" i="45"/>
  <c r="F180" i="45"/>
  <c r="E35" i="45"/>
  <c r="F658" i="45"/>
  <c r="F412" i="45"/>
  <c r="E412" i="45" s="1"/>
  <c r="F364" i="45"/>
  <c r="G131" i="45"/>
  <c r="F76" i="45"/>
  <c r="E76" i="45" s="1"/>
  <c r="I34" i="45"/>
  <c r="F712" i="45"/>
  <c r="F676" i="45"/>
  <c r="F474" i="45"/>
  <c r="H354" i="45"/>
  <c r="E332" i="45"/>
  <c r="F142" i="45"/>
  <c r="F82" i="45"/>
  <c r="E82" i="45" s="1"/>
  <c r="F670" i="45"/>
  <c r="E670" i="45" s="1"/>
  <c r="F27" i="45"/>
  <c r="F354" i="45"/>
  <c r="F184" i="45"/>
  <c r="E184" i="45" s="1"/>
  <c r="F54" i="45"/>
  <c r="E54" i="45" s="1"/>
  <c r="F34" i="45"/>
  <c r="I693" i="45"/>
  <c r="H699" i="45" s="1"/>
  <c r="E689" i="45"/>
  <c r="H660" i="45"/>
  <c r="H658" i="45" s="1"/>
  <c r="F24" i="45"/>
  <c r="F473" i="45"/>
  <c r="E8" i="3" l="1"/>
  <c r="E13" i="3"/>
  <c r="E20" i="3"/>
  <c r="F175" i="45"/>
  <c r="G286" i="3"/>
  <c r="D16" i="3"/>
  <c r="G16" i="3" s="1"/>
  <c r="G22" i="3"/>
  <c r="D12" i="3"/>
  <c r="G12" i="3" s="1"/>
  <c r="G288" i="3"/>
  <c r="D18" i="3"/>
  <c r="I11" i="45"/>
  <c r="O20" i="45"/>
  <c r="G206" i="3"/>
  <c r="F328" i="45"/>
  <c r="E328" i="45" s="1"/>
  <c r="I476" i="45"/>
  <c r="I350" i="45" s="1"/>
  <c r="I14" i="45" s="1"/>
  <c r="I26" i="45" s="1"/>
  <c r="I172" i="45"/>
  <c r="H347" i="45"/>
  <c r="E700" i="45"/>
  <c r="H23" i="45"/>
  <c r="H22" i="45" s="1"/>
  <c r="H352" i="45"/>
  <c r="E142" i="45"/>
  <c r="I28" i="45"/>
  <c r="N18" i="45"/>
  <c r="G178" i="45"/>
  <c r="E183" i="45"/>
  <c r="E736" i="45"/>
  <c r="H14" i="45"/>
  <c r="H20" i="45" s="1"/>
  <c r="I12" i="45"/>
  <c r="I24" i="45" s="1"/>
  <c r="H364" i="45"/>
  <c r="F173" i="45"/>
  <c r="E173" i="45" s="1"/>
  <c r="E177" i="45"/>
  <c r="E365" i="45"/>
  <c r="E364" i="45" s="1"/>
  <c r="E176" i="45"/>
  <c r="D13" i="3"/>
  <c r="D7" i="3"/>
  <c r="G7" i="3" s="1"/>
  <c r="D276" i="3"/>
  <c r="G276" i="3" s="1"/>
  <c r="G26" i="3"/>
  <c r="G41" i="3"/>
  <c r="D45" i="3"/>
  <c r="G45" i="3" s="1"/>
  <c r="G46" i="3"/>
  <c r="H172" i="45"/>
  <c r="G172" i="45"/>
  <c r="F742" i="45"/>
  <c r="E742" i="45" s="1"/>
  <c r="D40" i="3"/>
  <c r="G40" i="3" s="1"/>
  <c r="D110" i="3"/>
  <c r="G110" i="3" s="1"/>
  <c r="G101" i="3"/>
  <c r="G56" i="45"/>
  <c r="G32" i="45" s="1"/>
  <c r="N20" i="45" s="1"/>
  <c r="F122" i="45"/>
  <c r="E310" i="45"/>
  <c r="E748" i="45"/>
  <c r="D120" i="3"/>
  <c r="G120" i="3" s="1"/>
  <c r="D278" i="3"/>
  <c r="D188" i="3" s="1"/>
  <c r="E175" i="45"/>
  <c r="D285" i="3"/>
  <c r="G285" i="3" s="1"/>
  <c r="D175" i="3"/>
  <c r="G175" i="3" s="1"/>
  <c r="D171" i="3"/>
  <c r="E630" i="45"/>
  <c r="I629" i="45"/>
  <c r="D205" i="3"/>
  <c r="G205" i="3" s="1"/>
  <c r="H28" i="45"/>
  <c r="F174" i="45"/>
  <c r="E174" i="45" s="1"/>
  <c r="E180" i="45"/>
  <c r="G622" i="45"/>
  <c r="E623" i="45"/>
  <c r="H11" i="45"/>
  <c r="F348" i="45"/>
  <c r="H349" i="45"/>
  <c r="H13" i="45" s="1"/>
  <c r="H19" i="45" s="1"/>
  <c r="I676" i="45"/>
  <c r="H687" i="45"/>
  <c r="G130" i="45"/>
  <c r="E130" i="45" s="1"/>
  <c r="E131" i="45"/>
  <c r="F178" i="45"/>
  <c r="F472" i="45"/>
  <c r="G356" i="45"/>
  <c r="G421" i="45"/>
  <c r="H474" i="45"/>
  <c r="H472" i="45" s="1"/>
  <c r="F31" i="45"/>
  <c r="E55" i="45"/>
  <c r="E660" i="45"/>
  <c r="I23" i="45"/>
  <c r="N21" i="45"/>
  <c r="E658" i="45"/>
  <c r="I688" i="45"/>
  <c r="F352" i="45"/>
  <c r="F57" i="45"/>
  <c r="E123" i="45"/>
  <c r="O18" i="45"/>
  <c r="F30" i="45"/>
  <c r="E715" i="45"/>
  <c r="I475" i="45"/>
  <c r="I349" i="45" s="1"/>
  <c r="I13" i="45" s="1"/>
  <c r="I25" i="45" s="1"/>
  <c r="I594" i="45"/>
  <c r="I593" i="45" s="1"/>
  <c r="I592" i="45" s="1"/>
  <c r="H693" i="45"/>
  <c r="H27" i="45"/>
  <c r="H694" i="45"/>
  <c r="E694" i="45" s="1"/>
  <c r="E699" i="45"/>
  <c r="E743" i="45"/>
  <c r="E29" i="45"/>
  <c r="I351" i="45"/>
  <c r="I15" i="45" s="1"/>
  <c r="I27" i="45" s="1"/>
  <c r="F347" i="45"/>
  <c r="E34" i="45"/>
  <c r="E712" i="45"/>
  <c r="H52" i="45"/>
  <c r="F22" i="45"/>
  <c r="I433" i="45"/>
  <c r="E434" i="45"/>
  <c r="D186" i="3" l="1"/>
  <c r="F13" i="3"/>
  <c r="F10" i="3" s="1"/>
  <c r="E10" i="3"/>
  <c r="F8" i="3"/>
  <c r="F5" i="3" s="1"/>
  <c r="E5" i="3"/>
  <c r="G201" i="3"/>
  <c r="G186" i="3"/>
  <c r="E178" i="45"/>
  <c r="D21" i="3"/>
  <c r="G28" i="45"/>
  <c r="G52" i="45"/>
  <c r="F11" i="45"/>
  <c r="F17" i="45" s="1"/>
  <c r="D170" i="3"/>
  <c r="G170" i="3" s="1"/>
  <c r="G171" i="3"/>
  <c r="D25" i="3"/>
  <c r="G25" i="3" s="1"/>
  <c r="G188" i="3"/>
  <c r="G278" i="3"/>
  <c r="D96" i="3"/>
  <c r="D100" i="3"/>
  <c r="G100" i="3" s="1"/>
  <c r="D275" i="3"/>
  <c r="G275" i="3" s="1"/>
  <c r="I10" i="45"/>
  <c r="I628" i="45"/>
  <c r="E628" i="45" s="1"/>
  <c r="E629" i="45"/>
  <c r="F56" i="45"/>
  <c r="F52" i="45" s="1"/>
  <c r="E52" i="45" s="1"/>
  <c r="F118" i="45"/>
  <c r="E118" i="45" s="1"/>
  <c r="E122" i="45"/>
  <c r="I22" i="45"/>
  <c r="F172" i="45"/>
  <c r="E172" i="45" s="1"/>
  <c r="D200" i="3"/>
  <c r="G200" i="3" s="1"/>
  <c r="E356" i="45"/>
  <c r="M18" i="45"/>
  <c r="E30" i="45"/>
  <c r="F12" i="45"/>
  <c r="H17" i="45"/>
  <c r="E693" i="45"/>
  <c r="H688" i="45"/>
  <c r="E688" i="45" s="1"/>
  <c r="E31" i="45"/>
  <c r="F13" i="45"/>
  <c r="G621" i="45"/>
  <c r="E622" i="45"/>
  <c r="H348" i="45"/>
  <c r="E57" i="45"/>
  <c r="F33" i="45"/>
  <c r="F346" i="45"/>
  <c r="I432" i="45"/>
  <c r="E433" i="45"/>
  <c r="G420" i="45"/>
  <c r="G355" i="45"/>
  <c r="H682" i="45"/>
  <c r="E682" i="45" s="1"/>
  <c r="E687" i="45"/>
  <c r="H681" i="45"/>
  <c r="G13" i="3" l="1"/>
  <c r="G21" i="3"/>
  <c r="D11" i="3"/>
  <c r="G11" i="3" s="1"/>
  <c r="D20" i="3"/>
  <c r="G20" i="3" s="1"/>
  <c r="D6" i="3"/>
  <c r="G6" i="3" s="1"/>
  <c r="D95" i="3"/>
  <c r="G95" i="3" s="1"/>
  <c r="G96" i="3"/>
  <c r="D8" i="3"/>
  <c r="G8" i="3" s="1"/>
  <c r="E56" i="45"/>
  <c r="F32" i="45"/>
  <c r="F28" i="45" s="1"/>
  <c r="E28" i="45" s="1"/>
  <c r="D185" i="3"/>
  <c r="G185" i="3" s="1"/>
  <c r="F18" i="45"/>
  <c r="H351" i="45"/>
  <c r="H15" i="45" s="1"/>
  <c r="H21" i="45" s="1"/>
  <c r="E681" i="45"/>
  <c r="H676" i="45"/>
  <c r="E676" i="45" s="1"/>
  <c r="O21" i="45"/>
  <c r="H12" i="45"/>
  <c r="M21" i="45"/>
  <c r="F15" i="45"/>
  <c r="E33" i="45"/>
  <c r="E355" i="45"/>
  <c r="G620" i="45"/>
  <c r="E621" i="45"/>
  <c r="F19" i="45"/>
  <c r="G419" i="45"/>
  <c r="G354" i="45"/>
  <c r="I431" i="45"/>
  <c r="E432" i="45"/>
  <c r="D10" i="3" l="1"/>
  <c r="H346" i="45"/>
  <c r="D5" i="3"/>
  <c r="G5" i="3" s="1"/>
  <c r="F14" i="45"/>
  <c r="F20" i="45" s="1"/>
  <c r="E32" i="45"/>
  <c r="M20" i="45"/>
  <c r="I430" i="45"/>
  <c r="E431" i="45"/>
  <c r="E354" i="45"/>
  <c r="F21" i="45"/>
  <c r="G353" i="45"/>
  <c r="G418" i="45"/>
  <c r="H18" i="45"/>
  <c r="H16" i="45" s="1"/>
  <c r="H10" i="45"/>
  <c r="G619" i="45"/>
  <c r="E620" i="45"/>
  <c r="G10" i="3" l="1"/>
  <c r="F16" i="45"/>
  <c r="F10" i="45"/>
  <c r="G352" i="45"/>
  <c r="E352" i="45" s="1"/>
  <c r="E353" i="45"/>
  <c r="E619" i="45"/>
  <c r="G618" i="45"/>
  <c r="I429" i="45"/>
  <c r="E430" i="45"/>
  <c r="I428" i="45" l="1"/>
  <c r="E429" i="45"/>
  <c r="G617" i="45"/>
  <c r="E618" i="45"/>
  <c r="G616" i="45" l="1"/>
  <c r="E617" i="45"/>
  <c r="I427" i="45"/>
  <c r="E428" i="45"/>
  <c r="I426" i="45" l="1"/>
  <c r="E427" i="45"/>
  <c r="G615" i="45"/>
  <c r="E616" i="45"/>
  <c r="G614" i="45" l="1"/>
  <c r="E615" i="45"/>
  <c r="I425" i="45"/>
  <c r="E426" i="45"/>
  <c r="I424" i="45" l="1"/>
  <c r="E425" i="45"/>
  <c r="G613" i="45"/>
  <c r="E614" i="45"/>
  <c r="G612" i="45" l="1"/>
  <c r="E613" i="45"/>
  <c r="I423" i="45"/>
  <c r="E424" i="45"/>
  <c r="I422" i="45" l="1"/>
  <c r="E423" i="45"/>
  <c r="E612" i="45"/>
  <c r="G611" i="45"/>
  <c r="G610" i="45" l="1"/>
  <c r="E611" i="45"/>
  <c r="I421" i="45"/>
  <c r="E422" i="45"/>
  <c r="I420" i="45" l="1"/>
  <c r="E421" i="45"/>
  <c r="G609" i="45"/>
  <c r="E610" i="45"/>
  <c r="G608" i="45" l="1"/>
  <c r="E609" i="45"/>
  <c r="I419" i="45"/>
  <c r="E420" i="45"/>
  <c r="I418" i="45" l="1"/>
  <c r="E418" i="45" s="1"/>
  <c r="E419" i="45"/>
  <c r="G607" i="45"/>
  <c r="E608" i="45"/>
  <c r="G606" i="45" l="1"/>
  <c r="E607" i="45"/>
  <c r="G605" i="45" l="1"/>
  <c r="E606" i="45"/>
  <c r="E605" i="45" l="1"/>
  <c r="G604" i="45"/>
  <c r="G603" i="45" l="1"/>
  <c r="E604" i="45"/>
  <c r="G602" i="45" l="1"/>
  <c r="E603" i="45"/>
  <c r="G601" i="45" l="1"/>
  <c r="E602" i="45"/>
  <c r="G600" i="45" l="1"/>
  <c r="E601" i="45"/>
  <c r="G599" i="45" l="1"/>
  <c r="E600" i="45"/>
  <c r="G598" i="45" l="1"/>
  <c r="E599" i="45"/>
  <c r="G597" i="45" l="1"/>
  <c r="E598" i="45"/>
  <c r="G27" i="45" l="1"/>
  <c r="E27" i="45" s="1"/>
  <c r="G596" i="45"/>
  <c r="E597" i="45"/>
  <c r="G477" i="45"/>
  <c r="E477" i="45" l="1"/>
  <c r="G351" i="45"/>
  <c r="G26" i="45"/>
  <c r="E26" i="45" s="1"/>
  <c r="G595" i="45"/>
  <c r="G476" i="45"/>
  <c r="E596" i="45"/>
  <c r="E476" i="45" l="1"/>
  <c r="G350" i="45"/>
  <c r="G475" i="45"/>
  <c r="G594" i="45"/>
  <c r="E595" i="45"/>
  <c r="G25" i="45"/>
  <c r="E25" i="45" s="1"/>
  <c r="E351" i="45"/>
  <c r="G15" i="45"/>
  <c r="G21" i="45" l="1"/>
  <c r="E21" i="45" s="1"/>
  <c r="E15" i="45"/>
  <c r="G24" i="45"/>
  <c r="E24" i="45" s="1"/>
  <c r="G474" i="45"/>
  <c r="G593" i="45"/>
  <c r="E594" i="45"/>
  <c r="G14" i="45"/>
  <c r="E350" i="45"/>
  <c r="E475" i="45"/>
  <c r="G349" i="45"/>
  <c r="G20" i="45" l="1"/>
  <c r="E20" i="45" s="1"/>
  <c r="E14" i="45"/>
  <c r="G473" i="45"/>
  <c r="G592" i="45"/>
  <c r="E592" i="45" s="1"/>
  <c r="E593" i="45"/>
  <c r="G23" i="45"/>
  <c r="G13" i="45"/>
  <c r="E349" i="45"/>
  <c r="E474" i="45"/>
  <c r="G348" i="45"/>
  <c r="G12" i="45" l="1"/>
  <c r="E348" i="45"/>
  <c r="G19" i="45"/>
  <c r="E19" i="45" s="1"/>
  <c r="E13" i="45"/>
  <c r="G22" i="45"/>
  <c r="E22" i="45" s="1"/>
  <c r="E23" i="45"/>
  <c r="G472" i="45"/>
  <c r="E472" i="45" s="1"/>
  <c r="E473" i="45"/>
  <c r="G347" i="45"/>
  <c r="G346" i="45" l="1"/>
  <c r="E346" i="45" s="1"/>
  <c r="G11" i="45"/>
  <c r="E347" i="45"/>
  <c r="G18" i="45"/>
  <c r="E18" i="45" s="1"/>
  <c r="E12" i="45"/>
  <c r="G17" i="45" l="1"/>
  <c r="G10" i="45"/>
  <c r="E10" i="45" s="1"/>
  <c r="E11" i="45"/>
  <c r="G16" i="45" l="1"/>
  <c r="E16" i="45" s="1"/>
  <c r="E17" i="45"/>
  <c r="J24" i="3" l="1"/>
  <c r="J29" i="3" l="1"/>
  <c r="J19" i="3" l="1"/>
  <c r="J104" i="3" l="1"/>
  <c r="J174" i="3"/>
  <c r="J79" i="3" l="1"/>
  <c r="F277" i="43" l="1"/>
  <c r="E277" i="43" s="1"/>
  <c r="E276" i="43"/>
  <c r="I275" i="43"/>
  <c r="H275" i="43"/>
  <c r="G275" i="43"/>
  <c r="I274" i="43"/>
  <c r="H274" i="43"/>
  <c r="G274" i="43"/>
  <c r="I273" i="43"/>
  <c r="H273" i="43"/>
  <c r="G273" i="43"/>
  <c r="F273" i="43"/>
  <c r="I269" i="43"/>
  <c r="H269" i="43"/>
  <c r="G269" i="43"/>
  <c r="F268" i="43"/>
  <c r="E268" i="43" s="1"/>
  <c r="E267" i="43"/>
  <c r="I266" i="43"/>
  <c r="H266" i="43"/>
  <c r="G266" i="43"/>
  <c r="E265" i="43"/>
  <c r="E264" i="43"/>
  <c r="I263" i="43"/>
  <c r="H263" i="43"/>
  <c r="G263" i="43"/>
  <c r="F263" i="43"/>
  <c r="E262" i="43"/>
  <c r="E261" i="43"/>
  <c r="I260" i="43"/>
  <c r="H260" i="43"/>
  <c r="G260" i="43"/>
  <c r="F260" i="43"/>
  <c r="E259" i="43"/>
  <c r="E258" i="43"/>
  <c r="I257" i="43"/>
  <c r="H257" i="43"/>
  <c r="G257" i="43"/>
  <c r="F257" i="43"/>
  <c r="E256" i="43"/>
  <c r="E255" i="43"/>
  <c r="I254" i="43"/>
  <c r="H254" i="43"/>
  <c r="G254" i="43"/>
  <c r="F254" i="43"/>
  <c r="E253" i="43"/>
  <c r="E252" i="43"/>
  <c r="I251" i="43"/>
  <c r="H251" i="43"/>
  <c r="G251" i="43"/>
  <c r="F251" i="43"/>
  <c r="E250" i="43"/>
  <c r="E249" i="43"/>
  <c r="I248" i="43"/>
  <c r="H248" i="43"/>
  <c r="G248" i="43"/>
  <c r="F248" i="43"/>
  <c r="F247" i="43"/>
  <c r="F245" i="43" s="1"/>
  <c r="E246" i="43"/>
  <c r="I245" i="43"/>
  <c r="H245" i="43"/>
  <c r="G245" i="43"/>
  <c r="E244" i="43"/>
  <c r="E243" i="43"/>
  <c r="I242" i="43"/>
  <c r="H242" i="43"/>
  <c r="G242" i="43"/>
  <c r="F242" i="43"/>
  <c r="E241" i="43"/>
  <c r="E240" i="43"/>
  <c r="I239" i="43"/>
  <c r="H239" i="43"/>
  <c r="G239" i="43"/>
  <c r="F239" i="43"/>
  <c r="E238" i="43"/>
  <c r="E237" i="43"/>
  <c r="I236" i="43"/>
  <c r="H236" i="43"/>
  <c r="G236" i="43"/>
  <c r="F236" i="43"/>
  <c r="E235" i="43"/>
  <c r="E234" i="43"/>
  <c r="I233" i="43"/>
  <c r="H233" i="43"/>
  <c r="G233" i="43"/>
  <c r="F233" i="43"/>
  <c r="I232" i="43"/>
  <c r="H232" i="43"/>
  <c r="G232" i="43"/>
  <c r="I231" i="43"/>
  <c r="H231" i="43"/>
  <c r="G231" i="43"/>
  <c r="F231" i="43"/>
  <c r="E229" i="43"/>
  <c r="E228" i="43"/>
  <c r="I227" i="43"/>
  <c r="H227" i="43"/>
  <c r="G227" i="43"/>
  <c r="F227" i="43"/>
  <c r="I224" i="43"/>
  <c r="H224" i="43"/>
  <c r="G224" i="43"/>
  <c r="F224" i="43"/>
  <c r="E223" i="43"/>
  <c r="E222" i="43"/>
  <c r="I221" i="43"/>
  <c r="H221" i="43"/>
  <c r="G221" i="43"/>
  <c r="F221" i="43"/>
  <c r="E220" i="43"/>
  <c r="E219" i="43"/>
  <c r="I218" i="43"/>
  <c r="H218" i="43"/>
  <c r="G218" i="43"/>
  <c r="F218" i="43"/>
  <c r="E217" i="43"/>
  <c r="E216" i="43"/>
  <c r="I215" i="43"/>
  <c r="H215" i="43"/>
  <c r="G215" i="43"/>
  <c r="F215" i="43"/>
  <c r="E214" i="43"/>
  <c r="E213" i="43"/>
  <c r="I212" i="43"/>
  <c r="H212" i="43"/>
  <c r="G212" i="43"/>
  <c r="F212" i="43"/>
  <c r="E211" i="43"/>
  <c r="E210" i="43"/>
  <c r="I209" i="43"/>
  <c r="H209" i="43"/>
  <c r="G209" i="43"/>
  <c r="F209" i="43"/>
  <c r="E208" i="43"/>
  <c r="E207" i="43"/>
  <c r="I206" i="43"/>
  <c r="H206" i="43"/>
  <c r="G206" i="43"/>
  <c r="F206" i="43"/>
  <c r="E205" i="43"/>
  <c r="E204" i="43"/>
  <c r="I203" i="43"/>
  <c r="H203" i="43"/>
  <c r="G203" i="43"/>
  <c r="F203" i="43"/>
  <c r="F202" i="43"/>
  <c r="F200" i="43" s="1"/>
  <c r="E201" i="43"/>
  <c r="I200" i="43"/>
  <c r="H200" i="43"/>
  <c r="G200" i="43"/>
  <c r="E199" i="43"/>
  <c r="E198" i="43"/>
  <c r="I197" i="43"/>
  <c r="H197" i="43"/>
  <c r="G197" i="43"/>
  <c r="F197" i="43"/>
  <c r="E196" i="43"/>
  <c r="E195" i="43"/>
  <c r="I194" i="43"/>
  <c r="H194" i="43"/>
  <c r="G194" i="43"/>
  <c r="F194" i="43"/>
  <c r="E193" i="43"/>
  <c r="E192" i="43"/>
  <c r="I191" i="43"/>
  <c r="H191" i="43"/>
  <c r="G191" i="43"/>
  <c r="F191" i="43"/>
  <c r="E190" i="43"/>
  <c r="E189" i="43"/>
  <c r="I188" i="43"/>
  <c r="H188" i="43"/>
  <c r="G188" i="43"/>
  <c r="F188" i="43"/>
  <c r="E187" i="43"/>
  <c r="E186" i="43"/>
  <c r="I185" i="43"/>
  <c r="H185" i="43"/>
  <c r="G185" i="43"/>
  <c r="F185" i="43"/>
  <c r="E184" i="43"/>
  <c r="E183" i="43"/>
  <c r="I182" i="43"/>
  <c r="H182" i="43"/>
  <c r="G182" i="43"/>
  <c r="F182" i="43"/>
  <c r="E181" i="43"/>
  <c r="E180" i="43"/>
  <c r="I179" i="43"/>
  <c r="H179" i="43"/>
  <c r="G179" i="43"/>
  <c r="F179" i="43"/>
  <c r="E178" i="43"/>
  <c r="E177" i="43"/>
  <c r="I176" i="43"/>
  <c r="H176" i="43"/>
  <c r="G176" i="43"/>
  <c r="F176" i="43"/>
  <c r="E175" i="43"/>
  <c r="E174" i="43"/>
  <c r="I173" i="43"/>
  <c r="H173" i="43"/>
  <c r="G173" i="43"/>
  <c r="F173" i="43"/>
  <c r="E172" i="43"/>
  <c r="E171" i="43"/>
  <c r="I170" i="43"/>
  <c r="H170" i="43"/>
  <c r="G170" i="43"/>
  <c r="F170" i="43"/>
  <c r="I169" i="43"/>
  <c r="H169" i="43"/>
  <c r="G169" i="43"/>
  <c r="I168" i="43"/>
  <c r="H168" i="43"/>
  <c r="G168" i="43"/>
  <c r="F168" i="43"/>
  <c r="E166" i="43"/>
  <c r="E165" i="43"/>
  <c r="I164" i="43"/>
  <c r="H164" i="43"/>
  <c r="G164" i="43"/>
  <c r="F164" i="43"/>
  <c r="E163" i="43"/>
  <c r="E162" i="43"/>
  <c r="I161" i="43"/>
  <c r="H161" i="43"/>
  <c r="G161" i="43"/>
  <c r="F161" i="43"/>
  <c r="E160" i="43"/>
  <c r="E159" i="43"/>
  <c r="I158" i="43"/>
  <c r="H158" i="43"/>
  <c r="G158" i="43"/>
  <c r="F158" i="43"/>
  <c r="E157" i="43"/>
  <c r="E156" i="43"/>
  <c r="I155" i="43"/>
  <c r="H155" i="43"/>
  <c r="G155" i="43"/>
  <c r="F155" i="43"/>
  <c r="E154" i="43"/>
  <c r="E153" i="43"/>
  <c r="I152" i="43"/>
  <c r="H152" i="43"/>
  <c r="G152" i="43"/>
  <c r="F152" i="43"/>
  <c r="E151" i="43"/>
  <c r="E150" i="43"/>
  <c r="I149" i="43"/>
  <c r="H149" i="43"/>
  <c r="G149" i="43"/>
  <c r="F149" i="43"/>
  <c r="E148" i="43"/>
  <c r="E147" i="43"/>
  <c r="I146" i="43"/>
  <c r="H146" i="43"/>
  <c r="G146" i="43"/>
  <c r="F146" i="43"/>
  <c r="E145" i="43"/>
  <c r="E144" i="43"/>
  <c r="I143" i="43"/>
  <c r="H143" i="43"/>
  <c r="G143" i="43"/>
  <c r="F143" i="43"/>
  <c r="E142" i="43"/>
  <c r="E141" i="43"/>
  <c r="I140" i="43"/>
  <c r="H140" i="43"/>
  <c r="G140" i="43"/>
  <c r="F140" i="43"/>
  <c r="E139" i="43"/>
  <c r="E138" i="43"/>
  <c r="I137" i="43"/>
  <c r="H137" i="43"/>
  <c r="G137" i="43"/>
  <c r="F137" i="43"/>
  <c r="E136" i="43"/>
  <c r="E135" i="43"/>
  <c r="I134" i="43"/>
  <c r="H134" i="43"/>
  <c r="G134" i="43"/>
  <c r="F134" i="43"/>
  <c r="E133" i="43"/>
  <c r="E132" i="43"/>
  <c r="I131" i="43"/>
  <c r="H131" i="43"/>
  <c r="G131" i="43"/>
  <c r="F131" i="43"/>
  <c r="E130" i="43"/>
  <c r="E129" i="43"/>
  <c r="I128" i="43"/>
  <c r="H128" i="43"/>
  <c r="G128" i="43"/>
  <c r="F128" i="43"/>
  <c r="E127" i="43"/>
  <c r="E126" i="43"/>
  <c r="I125" i="43"/>
  <c r="H125" i="43"/>
  <c r="G125" i="43"/>
  <c r="F125" i="43"/>
  <c r="E124" i="43"/>
  <c r="F123" i="43"/>
  <c r="F12" i="43" s="1"/>
  <c r="I122" i="43"/>
  <c r="H122" i="43"/>
  <c r="G122" i="43"/>
  <c r="I121" i="43"/>
  <c r="H121" i="43"/>
  <c r="G121" i="43"/>
  <c r="F121" i="43"/>
  <c r="I120" i="43"/>
  <c r="I117" i="43" s="1"/>
  <c r="H120" i="43"/>
  <c r="G120" i="43"/>
  <c r="F115" i="43"/>
  <c r="E115" i="43" s="1"/>
  <c r="E114" i="43"/>
  <c r="I113" i="43"/>
  <c r="H113" i="43"/>
  <c r="G113" i="43"/>
  <c r="E112" i="43"/>
  <c r="E111" i="43"/>
  <c r="I110" i="43"/>
  <c r="H110" i="43"/>
  <c r="G110" i="43"/>
  <c r="F110" i="43"/>
  <c r="E109" i="43"/>
  <c r="E108" i="43"/>
  <c r="I107" i="43"/>
  <c r="H107" i="43"/>
  <c r="G107" i="43"/>
  <c r="F107" i="43"/>
  <c r="E106" i="43"/>
  <c r="E105" i="43"/>
  <c r="I104" i="43"/>
  <c r="H104" i="43"/>
  <c r="G104" i="43"/>
  <c r="F104" i="43"/>
  <c r="I103" i="43"/>
  <c r="H103" i="43"/>
  <c r="G103" i="43"/>
  <c r="I102" i="43"/>
  <c r="H102" i="43"/>
  <c r="G102" i="43"/>
  <c r="F102" i="43"/>
  <c r="E100" i="43"/>
  <c r="E99" i="43"/>
  <c r="I98" i="43"/>
  <c r="H98" i="43"/>
  <c r="G98" i="43"/>
  <c r="F98" i="43"/>
  <c r="I97" i="43"/>
  <c r="H97" i="43"/>
  <c r="G97" i="43"/>
  <c r="F97" i="43"/>
  <c r="I96" i="43"/>
  <c r="H96" i="43"/>
  <c r="G96" i="43"/>
  <c r="F96" i="43"/>
  <c r="E94" i="43"/>
  <c r="E93" i="43"/>
  <c r="I92" i="43"/>
  <c r="H92" i="43"/>
  <c r="G92" i="43"/>
  <c r="F92" i="43"/>
  <c r="E91" i="43"/>
  <c r="E90" i="43"/>
  <c r="I89" i="43"/>
  <c r="H89" i="43"/>
  <c r="G89" i="43"/>
  <c r="F89" i="43"/>
  <c r="E88" i="43"/>
  <c r="E87" i="43"/>
  <c r="I86" i="43"/>
  <c r="H86" i="43"/>
  <c r="G86" i="43"/>
  <c r="F86" i="43"/>
  <c r="F85" i="43"/>
  <c r="F83" i="43" s="1"/>
  <c r="E84" i="43"/>
  <c r="I83" i="43"/>
  <c r="H83" i="43"/>
  <c r="G83" i="43"/>
  <c r="I82" i="43"/>
  <c r="H82" i="43"/>
  <c r="G82" i="43"/>
  <c r="I81" i="43"/>
  <c r="H81" i="43"/>
  <c r="G81" i="43"/>
  <c r="F81" i="43"/>
  <c r="E79" i="43"/>
  <c r="E78" i="43"/>
  <c r="I77" i="43"/>
  <c r="H77" i="43"/>
  <c r="G77" i="43"/>
  <c r="F77" i="43"/>
  <c r="E76" i="43"/>
  <c r="E75" i="43"/>
  <c r="I74" i="43"/>
  <c r="H74" i="43"/>
  <c r="G74" i="43"/>
  <c r="F74" i="43"/>
  <c r="E73" i="43"/>
  <c r="E72" i="43"/>
  <c r="I71" i="43"/>
  <c r="H71" i="43"/>
  <c r="G71" i="43"/>
  <c r="F71" i="43"/>
  <c r="E70" i="43"/>
  <c r="E69" i="43"/>
  <c r="I68" i="43"/>
  <c r="H68" i="43"/>
  <c r="G68" i="43"/>
  <c r="F68" i="43"/>
  <c r="E67" i="43"/>
  <c r="E66" i="43"/>
  <c r="I65" i="43"/>
  <c r="H65" i="43"/>
  <c r="G65" i="43"/>
  <c r="F65" i="43"/>
  <c r="E64" i="43"/>
  <c r="E63" i="43"/>
  <c r="I62" i="43"/>
  <c r="H62" i="43"/>
  <c r="G62" i="43"/>
  <c r="F62" i="43"/>
  <c r="E61" i="43"/>
  <c r="E60" i="43"/>
  <c r="I59" i="43"/>
  <c r="H59" i="43"/>
  <c r="G59" i="43"/>
  <c r="F59" i="43"/>
  <c r="I58" i="43"/>
  <c r="H58" i="43"/>
  <c r="G58" i="43"/>
  <c r="F58" i="43"/>
  <c r="I57" i="43"/>
  <c r="H57" i="43"/>
  <c r="G57" i="43"/>
  <c r="F57" i="43"/>
  <c r="F52" i="43"/>
  <c r="F50" i="43" s="1"/>
  <c r="E51" i="43"/>
  <c r="I50" i="43"/>
  <c r="H50" i="43"/>
  <c r="G50" i="43"/>
  <c r="E49" i="43"/>
  <c r="E48" i="43"/>
  <c r="I47" i="43"/>
  <c r="H47" i="43"/>
  <c r="G47" i="43"/>
  <c r="F47" i="43"/>
  <c r="F46" i="43"/>
  <c r="F44" i="43" s="1"/>
  <c r="E45" i="43"/>
  <c r="I44" i="43"/>
  <c r="H44" i="43"/>
  <c r="G44" i="43"/>
  <c r="E43" i="43"/>
  <c r="E42" i="43"/>
  <c r="I41" i="43"/>
  <c r="H41" i="43"/>
  <c r="G41" i="43"/>
  <c r="F41" i="43"/>
  <c r="E40" i="43"/>
  <c r="E39" i="43"/>
  <c r="I38" i="43"/>
  <c r="H38" i="43"/>
  <c r="G38" i="43"/>
  <c r="F38" i="43"/>
  <c r="E37" i="43"/>
  <c r="E36" i="43"/>
  <c r="I35" i="43"/>
  <c r="H35" i="43"/>
  <c r="G35" i="43"/>
  <c r="F35" i="43"/>
  <c r="I34" i="43"/>
  <c r="H34" i="43"/>
  <c r="G34" i="43"/>
  <c r="I33" i="43"/>
  <c r="H33" i="43"/>
  <c r="G33" i="43"/>
  <c r="F33" i="43"/>
  <c r="E31" i="43"/>
  <c r="E30" i="43"/>
  <c r="I29" i="43"/>
  <c r="H29" i="43"/>
  <c r="G29" i="43"/>
  <c r="F29" i="43"/>
  <c r="I28" i="43"/>
  <c r="H28" i="43"/>
  <c r="G28" i="43"/>
  <c r="F28" i="43"/>
  <c r="I27" i="43"/>
  <c r="H27" i="43"/>
  <c r="H26" i="43" s="1"/>
  <c r="G27" i="43"/>
  <c r="G26" i="43" s="1"/>
  <c r="F27" i="43"/>
  <c r="E25" i="43"/>
  <c r="E24" i="43"/>
  <c r="I23" i="43"/>
  <c r="H23" i="43"/>
  <c r="G23" i="43"/>
  <c r="F23" i="43"/>
  <c r="E22" i="43"/>
  <c r="E21" i="43"/>
  <c r="I20" i="43"/>
  <c r="H20" i="43"/>
  <c r="G20" i="43"/>
  <c r="F20" i="43"/>
  <c r="I19" i="43"/>
  <c r="H19" i="43"/>
  <c r="G19" i="43"/>
  <c r="F19" i="43"/>
  <c r="I18" i="43"/>
  <c r="H18" i="43"/>
  <c r="G18" i="43"/>
  <c r="F18" i="43"/>
  <c r="I13" i="43"/>
  <c r="H13" i="43"/>
  <c r="G13" i="43"/>
  <c r="I12" i="43"/>
  <c r="H12" i="43"/>
  <c r="G12" i="43"/>
  <c r="F17" i="43" l="1"/>
  <c r="I17" i="43"/>
  <c r="G17" i="43"/>
  <c r="F95" i="43"/>
  <c r="F26" i="43"/>
  <c r="I26" i="43"/>
  <c r="E137" i="43"/>
  <c r="I56" i="43"/>
  <c r="G119" i="43"/>
  <c r="E85" i="43"/>
  <c r="E107" i="43"/>
  <c r="H101" i="43"/>
  <c r="I80" i="43"/>
  <c r="G101" i="43"/>
  <c r="E46" i="43"/>
  <c r="H167" i="43"/>
  <c r="G80" i="43"/>
  <c r="I119" i="43"/>
  <c r="G167" i="43"/>
  <c r="E215" i="43"/>
  <c r="I11" i="43"/>
  <c r="H16" i="43"/>
  <c r="E23" i="43"/>
  <c r="E28" i="43"/>
  <c r="E29" i="43"/>
  <c r="H32" i="43"/>
  <c r="H80" i="43"/>
  <c r="E83" i="43"/>
  <c r="E12" i="43"/>
  <c r="E161" i="43"/>
  <c r="E168" i="43"/>
  <c r="H118" i="43"/>
  <c r="E173" i="43"/>
  <c r="E182" i="43"/>
  <c r="E191" i="43"/>
  <c r="H272" i="43"/>
  <c r="E41" i="43"/>
  <c r="I95" i="43"/>
  <c r="E158" i="43"/>
  <c r="E212" i="43"/>
  <c r="F13" i="43"/>
  <c r="E13" i="43" s="1"/>
  <c r="G16" i="43"/>
  <c r="I55" i="43"/>
  <c r="E140" i="43"/>
  <c r="G230" i="43"/>
  <c r="E242" i="43"/>
  <c r="G11" i="43"/>
  <c r="E18" i="43"/>
  <c r="I16" i="43"/>
  <c r="E47" i="43"/>
  <c r="G55" i="43"/>
  <c r="I118" i="43"/>
  <c r="I116" i="43" s="1"/>
  <c r="E125" i="43"/>
  <c r="E164" i="43"/>
  <c r="E188" i="43"/>
  <c r="E200" i="43"/>
  <c r="E218" i="43"/>
  <c r="E221" i="43"/>
  <c r="E224" i="43"/>
  <c r="H230" i="43"/>
  <c r="H11" i="43"/>
  <c r="E20" i="43"/>
  <c r="E62" i="43"/>
  <c r="E71" i="43"/>
  <c r="E74" i="43"/>
  <c r="F82" i="43"/>
  <c r="E82" i="43" s="1"/>
  <c r="H95" i="43"/>
  <c r="F120" i="43"/>
  <c r="F117" i="43" s="1"/>
  <c r="F122" i="43"/>
  <c r="E122" i="43" s="1"/>
  <c r="E123" i="43"/>
  <c r="E149" i="43"/>
  <c r="E185" i="43"/>
  <c r="I230" i="43"/>
  <c r="E247" i="43"/>
  <c r="E251" i="43"/>
  <c r="E257" i="43"/>
  <c r="E263" i="43"/>
  <c r="I32" i="43"/>
  <c r="E128" i="43"/>
  <c r="E35" i="43"/>
  <c r="F169" i="43"/>
  <c r="E176" i="43"/>
  <c r="E203" i="43"/>
  <c r="E254" i="43"/>
  <c r="F266" i="43"/>
  <c r="E266" i="43" s="1"/>
  <c r="E273" i="43"/>
  <c r="F275" i="43"/>
  <c r="E275" i="43" s="1"/>
  <c r="E33" i="43"/>
  <c r="H55" i="43"/>
  <c r="H117" i="43"/>
  <c r="E227" i="43"/>
  <c r="F232" i="43"/>
  <c r="E26" i="43"/>
  <c r="E152" i="43"/>
  <c r="E96" i="43"/>
  <c r="E245" i="43"/>
  <c r="I272" i="43"/>
  <c r="H15" i="43"/>
  <c r="F56" i="43"/>
  <c r="E146" i="43"/>
  <c r="E236" i="43"/>
  <c r="E239" i="43"/>
  <c r="E194" i="43"/>
  <c r="E65" i="43"/>
  <c r="G15" i="43"/>
  <c r="E98" i="43"/>
  <c r="E134" i="43"/>
  <c r="E50" i="43"/>
  <c r="G54" i="43"/>
  <c r="E77" i="43"/>
  <c r="E104" i="43"/>
  <c r="G117" i="43"/>
  <c r="F270" i="43"/>
  <c r="E270" i="43" s="1"/>
  <c r="I15" i="43"/>
  <c r="E38" i="43"/>
  <c r="E59" i="43"/>
  <c r="E89" i="43"/>
  <c r="E92" i="43"/>
  <c r="I101" i="43"/>
  <c r="F113" i="43"/>
  <c r="E113" i="43" s="1"/>
  <c r="E131" i="43"/>
  <c r="E197" i="43"/>
  <c r="G32" i="43"/>
  <c r="G56" i="43"/>
  <c r="F103" i="43"/>
  <c r="E103" i="43" s="1"/>
  <c r="G118" i="43"/>
  <c r="E143" i="43"/>
  <c r="E155" i="43"/>
  <c r="E209" i="43"/>
  <c r="E248" i="43"/>
  <c r="E260" i="43"/>
  <c r="F274" i="43"/>
  <c r="E44" i="43"/>
  <c r="H56" i="43"/>
  <c r="E68" i="43"/>
  <c r="E86" i="43"/>
  <c r="E97" i="43"/>
  <c r="E110" i="43"/>
  <c r="H119" i="43"/>
  <c r="I167" i="43"/>
  <c r="E170" i="43"/>
  <c r="E179" i="43"/>
  <c r="E202" i="43"/>
  <c r="E206" i="43"/>
  <c r="E233" i="43"/>
  <c r="G272" i="43"/>
  <c r="E19" i="43"/>
  <c r="E27" i="43"/>
  <c r="E57" i="43"/>
  <c r="E81" i="43"/>
  <c r="E231" i="43"/>
  <c r="H17" i="43"/>
  <c r="E17" i="43" s="1"/>
  <c r="G95" i="43"/>
  <c r="E52" i="43"/>
  <c r="F54" i="43"/>
  <c r="E102" i="43"/>
  <c r="E121" i="43"/>
  <c r="F34" i="43"/>
  <c r="H54" i="43"/>
  <c r="F15" i="43"/>
  <c r="I54" i="43"/>
  <c r="E58" i="43"/>
  <c r="H14" i="43" l="1"/>
  <c r="I14" i="43"/>
  <c r="H7" i="43"/>
  <c r="H10" i="43" s="1"/>
  <c r="G14" i="43"/>
  <c r="I7" i="43"/>
  <c r="I10" i="43" s="1"/>
  <c r="E120" i="43"/>
  <c r="F11" i="43"/>
  <c r="E11" i="43" s="1"/>
  <c r="F119" i="43"/>
  <c r="E119" i="43" s="1"/>
  <c r="H116" i="43"/>
  <c r="F80" i="43"/>
  <c r="E80" i="43" s="1"/>
  <c r="E95" i="43"/>
  <c r="G116" i="43"/>
  <c r="H53" i="43"/>
  <c r="G53" i="43"/>
  <c r="E117" i="43"/>
  <c r="E169" i="43"/>
  <c r="F167" i="43"/>
  <c r="E167" i="43" s="1"/>
  <c r="E274" i="43"/>
  <c r="F271" i="43"/>
  <c r="E271" i="43" s="1"/>
  <c r="E56" i="43"/>
  <c r="F55" i="43"/>
  <c r="E55" i="43" s="1"/>
  <c r="G6" i="43"/>
  <c r="G9" i="43" s="1"/>
  <c r="F118" i="43"/>
  <c r="F272" i="43"/>
  <c r="E272" i="43" s="1"/>
  <c r="F101" i="43"/>
  <c r="E101" i="43" s="1"/>
  <c r="E232" i="43"/>
  <c r="F230" i="43"/>
  <c r="E230" i="43" s="1"/>
  <c r="G7" i="43"/>
  <c r="G10" i="43" s="1"/>
  <c r="E15" i="43"/>
  <c r="F6" i="43"/>
  <c r="F32" i="43"/>
  <c r="E32" i="43" s="1"/>
  <c r="F16" i="43"/>
  <c r="E34" i="43"/>
  <c r="E54" i="43"/>
  <c r="I6" i="43"/>
  <c r="I53" i="43"/>
  <c r="H6" i="43"/>
  <c r="F53" i="43" l="1"/>
  <c r="G8" i="43"/>
  <c r="G5" i="43"/>
  <c r="F269" i="43"/>
  <c r="E269" i="43" s="1"/>
  <c r="E118" i="43"/>
  <c r="F116" i="43"/>
  <c r="E116" i="43" s="1"/>
  <c r="H5" i="43"/>
  <c r="H9" i="43"/>
  <c r="H8" i="43" s="1"/>
  <c r="F7" i="43"/>
  <c r="E16" i="43"/>
  <c r="I5" i="43"/>
  <c r="I9" i="43"/>
  <c r="I8" i="43" s="1"/>
  <c r="F9" i="43"/>
  <c r="E6" i="43"/>
  <c r="F14" i="43"/>
  <c r="E14" i="43" s="1"/>
  <c r="E53" i="43"/>
  <c r="C70" i="42"/>
  <c r="B70" i="42"/>
  <c r="D69" i="42"/>
  <c r="D68" i="42" s="1"/>
  <c r="C69" i="42"/>
  <c r="B69" i="42"/>
  <c r="C67" i="42"/>
  <c r="B67" i="42"/>
  <c r="C66" i="42"/>
  <c r="B66" i="42"/>
  <c r="D62" i="42"/>
  <c r="D61" i="42" s="1"/>
  <c r="C62" i="42"/>
  <c r="C61" i="42" s="1"/>
  <c r="B62" i="42"/>
  <c r="B61" i="42" s="1"/>
  <c r="D56" i="42"/>
  <c r="D55" i="42" s="1"/>
  <c r="C56" i="42"/>
  <c r="C55" i="42" s="1"/>
  <c r="B56" i="42"/>
  <c r="B55" i="42" s="1"/>
  <c r="D51" i="42"/>
  <c r="D50" i="42" s="1"/>
  <c r="C51" i="42"/>
  <c r="C50" i="42" s="1"/>
  <c r="B51" i="42"/>
  <c r="B50" i="42" s="1"/>
  <c r="D48" i="42"/>
  <c r="D47" i="42" s="1"/>
  <c r="C48" i="42"/>
  <c r="C47" i="42" s="1"/>
  <c r="B48" i="42"/>
  <c r="B47" i="42" s="1"/>
  <c r="D42" i="42"/>
  <c r="D41" i="42" s="1"/>
  <c r="C42" i="42"/>
  <c r="C41" i="42" s="1"/>
  <c r="B42" i="42"/>
  <c r="B41" i="42" s="1"/>
  <c r="D36" i="42"/>
  <c r="C36" i="42"/>
  <c r="B36" i="42"/>
  <c r="D32" i="42"/>
  <c r="C32" i="42"/>
  <c r="B32" i="42"/>
  <c r="D23" i="42"/>
  <c r="D22" i="42" s="1"/>
  <c r="D21" i="42" s="1"/>
  <c r="C22" i="42"/>
  <c r="C21" i="42" s="1"/>
  <c r="B22" i="42"/>
  <c r="B21" i="42" s="1"/>
  <c r="D16" i="42"/>
  <c r="D15" i="42" s="1"/>
  <c r="C16" i="42"/>
  <c r="C15" i="42" s="1"/>
  <c r="B16" i="42"/>
  <c r="B15" i="42" s="1"/>
  <c r="D9" i="42"/>
  <c r="D8" i="42" s="1"/>
  <c r="C9" i="42"/>
  <c r="C8" i="42" s="1"/>
  <c r="B9" i="42"/>
  <c r="B8" i="42" s="1"/>
  <c r="C72" i="42" l="1"/>
  <c r="B31" i="42"/>
  <c r="B65" i="42" s="1"/>
  <c r="B73" i="42"/>
  <c r="C68" i="42"/>
  <c r="B68" i="42"/>
  <c r="C73" i="42"/>
  <c r="C31" i="42"/>
  <c r="C65" i="42" s="1"/>
  <c r="D31" i="42"/>
  <c r="D65" i="42" s="1"/>
  <c r="D71" i="42" s="1"/>
  <c r="B72" i="42"/>
  <c r="E9" i="43"/>
  <c r="F10" i="43"/>
  <c r="E10" i="43" s="1"/>
  <c r="E7" i="43"/>
  <c r="F5" i="43"/>
  <c r="E5" i="43" s="1"/>
  <c r="D66" i="42"/>
  <c r="D72" i="42" s="1"/>
  <c r="C71" i="42" l="1"/>
  <c r="B71" i="42"/>
  <c r="F8" i="43"/>
  <c r="E8" i="43" s="1"/>
  <c r="D118" i="41"/>
  <c r="B118" i="41"/>
  <c r="D117" i="41"/>
  <c r="B117" i="41"/>
  <c r="D116" i="41"/>
  <c r="B116" i="41"/>
  <c r="D115" i="41"/>
  <c r="B115" i="41"/>
  <c r="C105" i="41"/>
  <c r="B105" i="41"/>
  <c r="D104" i="41"/>
  <c r="C104" i="41"/>
  <c r="B104" i="41"/>
  <c r="D101" i="41"/>
  <c r="D100" i="41" s="1"/>
  <c r="D99" i="41" s="1"/>
  <c r="C101" i="41"/>
  <c r="C100" i="41" s="1"/>
  <c r="C99" i="41" s="1"/>
  <c r="B101" i="41"/>
  <c r="B100" i="41" s="1"/>
  <c r="B99" i="41" s="1"/>
  <c r="D96" i="41"/>
  <c r="D95" i="41" s="1"/>
  <c r="C96" i="41"/>
  <c r="C95" i="41" s="1"/>
  <c r="B96" i="41"/>
  <c r="B95" i="41" s="1"/>
  <c r="D93" i="41"/>
  <c r="D92" i="41" s="1"/>
  <c r="C93" i="41"/>
  <c r="C92" i="41" s="1"/>
  <c r="B93" i="41"/>
  <c r="B92" i="41" s="1"/>
  <c r="D89" i="41"/>
  <c r="D88" i="41" s="1"/>
  <c r="D87" i="41" s="1"/>
  <c r="C89" i="41"/>
  <c r="C88" i="41" s="1"/>
  <c r="C87" i="41" s="1"/>
  <c r="B89" i="41"/>
  <c r="B88" i="41" s="1"/>
  <c r="B87" i="41" s="1"/>
  <c r="D84" i="41"/>
  <c r="D83" i="41" s="1"/>
  <c r="C84" i="41"/>
  <c r="C83" i="41" s="1"/>
  <c r="B84" i="41"/>
  <c r="B83" i="41" s="1"/>
  <c r="D80" i="41"/>
  <c r="D79" i="41" s="1"/>
  <c r="C80" i="41"/>
  <c r="B80" i="41"/>
  <c r="B79" i="41" s="1"/>
  <c r="C79" i="41"/>
  <c r="D76" i="41"/>
  <c r="D75" i="41" s="1"/>
  <c r="C76" i="41"/>
  <c r="C75" i="41" s="1"/>
  <c r="B76" i="41"/>
  <c r="B75" i="41" s="1"/>
  <c r="D72" i="41"/>
  <c r="C72" i="41"/>
  <c r="B72" i="41"/>
  <c r="D69" i="41"/>
  <c r="C69" i="41"/>
  <c r="B69" i="41"/>
  <c r="D65" i="41"/>
  <c r="D64" i="41" s="1"/>
  <c r="C65" i="41"/>
  <c r="C64" i="41" s="1"/>
  <c r="B65" i="41"/>
  <c r="B64" i="41" s="1"/>
  <c r="D61" i="41"/>
  <c r="D60" i="41" s="1"/>
  <c r="D59" i="41" s="1"/>
  <c r="C61" i="41"/>
  <c r="C60" i="41" s="1"/>
  <c r="C59" i="41" s="1"/>
  <c r="B61" i="41"/>
  <c r="B60" i="41" s="1"/>
  <c r="B59" i="41" s="1"/>
  <c r="D56" i="41"/>
  <c r="C56" i="41"/>
  <c r="B56" i="41"/>
  <c r="D53" i="41"/>
  <c r="C53" i="41"/>
  <c r="B53" i="41"/>
  <c r="D49" i="41"/>
  <c r="D114" i="41" s="1"/>
  <c r="C49" i="41"/>
  <c r="C48" i="41" s="1"/>
  <c r="B49" i="41"/>
  <c r="B114" i="41" s="1"/>
  <c r="D46" i="41"/>
  <c r="D45" i="41" s="1"/>
  <c r="C46" i="41"/>
  <c r="C45" i="41" s="1"/>
  <c r="B46" i="41"/>
  <c r="B45" i="41" s="1"/>
  <c r="D42" i="41"/>
  <c r="D41" i="41" s="1"/>
  <c r="D40" i="41" s="1"/>
  <c r="C42" i="41"/>
  <c r="C41" i="41" s="1"/>
  <c r="C40" i="41" s="1"/>
  <c r="B42" i="41"/>
  <c r="B41" i="41" s="1"/>
  <c r="B40" i="41" s="1"/>
  <c r="D37" i="41"/>
  <c r="D36" i="41" s="1"/>
  <c r="C37" i="41"/>
  <c r="C36" i="41" s="1"/>
  <c r="B37" i="41"/>
  <c r="B36" i="41" s="1"/>
  <c r="D31" i="41"/>
  <c r="D30" i="41" s="1"/>
  <c r="C31" i="41"/>
  <c r="C30" i="41" s="1"/>
  <c r="B31" i="41"/>
  <c r="B30" i="41" s="1"/>
  <c r="D26" i="41"/>
  <c r="D25" i="41" s="1"/>
  <c r="C26" i="41"/>
  <c r="C25" i="41" s="1"/>
  <c r="B26" i="41"/>
  <c r="B25" i="41" s="1"/>
  <c r="D23" i="41"/>
  <c r="D22" i="41" s="1"/>
  <c r="C23" i="41"/>
  <c r="C22" i="41" s="1"/>
  <c r="B23" i="41"/>
  <c r="B22" i="41" s="1"/>
  <c r="D17" i="41"/>
  <c r="D16" i="41" s="1"/>
  <c r="C17" i="41"/>
  <c r="C16" i="41" s="1"/>
  <c r="B17" i="41"/>
  <c r="B16" i="41" s="1"/>
  <c r="D13" i="41"/>
  <c r="D12" i="41" s="1"/>
  <c r="C13" i="41"/>
  <c r="C12" i="41" s="1"/>
  <c r="B13" i="41"/>
  <c r="B12" i="41" s="1"/>
  <c r="D8" i="41"/>
  <c r="D7" i="41" s="1"/>
  <c r="D6" i="41" s="1"/>
  <c r="C8" i="41"/>
  <c r="C7" i="41" s="1"/>
  <c r="C6" i="41" s="1"/>
  <c r="B8" i="41"/>
  <c r="B7" i="41" s="1"/>
  <c r="B6" i="41" s="1"/>
  <c r="B52" i="41" l="1"/>
  <c r="B51" i="41" s="1"/>
  <c r="D119" i="41"/>
  <c r="B74" i="41"/>
  <c r="B48" i="41"/>
  <c r="B44" i="41" s="1"/>
  <c r="C52" i="41"/>
  <c r="C51" i="41" s="1"/>
  <c r="B29" i="41"/>
  <c r="D48" i="41"/>
  <c r="D44" i="41" s="1"/>
  <c r="C29" i="41"/>
  <c r="C11" i="41"/>
  <c r="C44" i="41"/>
  <c r="D74" i="41"/>
  <c r="B119" i="41"/>
  <c r="D52" i="41"/>
  <c r="D51" i="41" s="1"/>
  <c r="C21" i="41"/>
  <c r="B21" i="41"/>
  <c r="D21" i="41"/>
  <c r="D29" i="41"/>
  <c r="B11" i="41"/>
  <c r="B68" i="41"/>
  <c r="B63" i="41" s="1"/>
  <c r="C68" i="41"/>
  <c r="C63" i="41" s="1"/>
  <c r="D68" i="41"/>
  <c r="D63" i="41" s="1"/>
  <c r="B91" i="41"/>
  <c r="C91" i="41"/>
  <c r="D11" i="41"/>
  <c r="C74" i="41"/>
  <c r="D91" i="41"/>
  <c r="B103" i="41" l="1"/>
  <c r="C103" i="41"/>
  <c r="D103" i="41"/>
  <c r="K15" i="3" l="1"/>
  <c r="J99" i="3" l="1"/>
  <c r="J279" i="3"/>
  <c r="F136" i="36"/>
  <c r="E136" i="36"/>
  <c r="D135" i="36"/>
  <c r="D134" i="36" s="1"/>
  <c r="D133" i="36" s="1"/>
  <c r="C135" i="36"/>
  <c r="C134" i="36" s="1"/>
  <c r="F132" i="36"/>
  <c r="E132" i="36"/>
  <c r="F131" i="36"/>
  <c r="E131" i="36"/>
  <c r="D130" i="36"/>
  <c r="C130" i="36"/>
  <c r="C129" i="36" s="1"/>
  <c r="C128" i="36" s="1"/>
  <c r="F127" i="36"/>
  <c r="E127" i="36"/>
  <c r="F126" i="36"/>
  <c r="E126" i="36"/>
  <c r="F125" i="36"/>
  <c r="E125" i="36"/>
  <c r="F124" i="36"/>
  <c r="E124" i="36"/>
  <c r="F123" i="36"/>
  <c r="E123" i="36"/>
  <c r="D122" i="36"/>
  <c r="D121" i="36" s="1"/>
  <c r="C122" i="36"/>
  <c r="C121" i="36" s="1"/>
  <c r="F120" i="36"/>
  <c r="E120" i="36"/>
  <c r="F119" i="36"/>
  <c r="E119" i="36"/>
  <c r="F118" i="36"/>
  <c r="E118" i="36"/>
  <c r="F117" i="36"/>
  <c r="E117" i="36"/>
  <c r="F116" i="36"/>
  <c r="E116" i="36"/>
  <c r="F115" i="36"/>
  <c r="E115" i="36"/>
  <c r="C114" i="36"/>
  <c r="F114" i="36" s="1"/>
  <c r="D112" i="36"/>
  <c r="F113" i="36"/>
  <c r="E113" i="36"/>
  <c r="F111" i="36"/>
  <c r="E111" i="36"/>
  <c r="F110" i="36"/>
  <c r="E110" i="36"/>
  <c r="F109" i="36"/>
  <c r="E109" i="36"/>
  <c r="F108" i="36"/>
  <c r="E108" i="36"/>
  <c r="F107" i="36"/>
  <c r="E107" i="36"/>
  <c r="F105" i="36"/>
  <c r="E105" i="36"/>
  <c r="F104" i="36"/>
  <c r="E104" i="36"/>
  <c r="D103" i="36"/>
  <c r="D101" i="36" s="1"/>
  <c r="C103" i="36"/>
  <c r="C101" i="36" s="1"/>
  <c r="F102" i="36"/>
  <c r="E102" i="36"/>
  <c r="F100" i="36"/>
  <c r="E100" i="36"/>
  <c r="F99" i="36"/>
  <c r="E99" i="36"/>
  <c r="F98" i="36"/>
  <c r="E98" i="36"/>
  <c r="F97" i="36"/>
  <c r="E97" i="36"/>
  <c r="F96" i="36"/>
  <c r="E96" i="36"/>
  <c r="F95" i="36"/>
  <c r="E95" i="36"/>
  <c r="F94" i="36"/>
  <c r="D93" i="36"/>
  <c r="C93" i="36"/>
  <c r="F91" i="36"/>
  <c r="E91" i="36"/>
  <c r="F90" i="36"/>
  <c r="E90" i="36"/>
  <c r="C89" i="36"/>
  <c r="F89" i="36" s="1"/>
  <c r="F88" i="36"/>
  <c r="E88" i="36"/>
  <c r="F87" i="36"/>
  <c r="E87" i="36"/>
  <c r="D86" i="36"/>
  <c r="C86" i="36"/>
  <c r="F85" i="36"/>
  <c r="E85" i="36"/>
  <c r="F84" i="36"/>
  <c r="E84" i="36"/>
  <c r="F83" i="36"/>
  <c r="E83" i="36"/>
  <c r="F82" i="36"/>
  <c r="F81" i="36"/>
  <c r="E82" i="36"/>
  <c r="E81" i="36"/>
  <c r="D80" i="36"/>
  <c r="C80" i="36"/>
  <c r="F79" i="36"/>
  <c r="E79" i="36"/>
  <c r="F78" i="36"/>
  <c r="E78" i="36"/>
  <c r="D77" i="36"/>
  <c r="C77" i="36"/>
  <c r="C19" i="36"/>
  <c r="C30" i="36"/>
  <c r="C68" i="36"/>
  <c r="F76" i="36"/>
  <c r="E76" i="36"/>
  <c r="F75" i="36"/>
  <c r="E75" i="36"/>
  <c r="E74" i="36"/>
  <c r="F73" i="36"/>
  <c r="E73" i="36"/>
  <c r="F72" i="36"/>
  <c r="E72" i="36"/>
  <c r="F71" i="36"/>
  <c r="E71" i="36"/>
  <c r="F70" i="36"/>
  <c r="E70" i="36"/>
  <c r="F69" i="36"/>
  <c r="E69" i="36"/>
  <c r="D68" i="36"/>
  <c r="F66" i="36"/>
  <c r="E66" i="36"/>
  <c r="F65" i="36"/>
  <c r="E65" i="36"/>
  <c r="F64" i="36"/>
  <c r="E64" i="36"/>
  <c r="F63" i="36"/>
  <c r="E63" i="36"/>
  <c r="F62" i="36"/>
  <c r="E62" i="36"/>
  <c r="F61" i="36"/>
  <c r="E61" i="36"/>
  <c r="D60" i="36"/>
  <c r="C60" i="36"/>
  <c r="C59" i="36" s="1"/>
  <c r="F58" i="36"/>
  <c r="E58" i="36"/>
  <c r="D57" i="36"/>
  <c r="C57" i="36"/>
  <c r="F56" i="36"/>
  <c r="E56" i="36"/>
  <c r="F55" i="36"/>
  <c r="E55" i="36"/>
  <c r="F54" i="36"/>
  <c r="E54" i="36"/>
  <c r="F53" i="36"/>
  <c r="E53" i="36"/>
  <c r="F52" i="36"/>
  <c r="E52" i="36"/>
  <c r="F51" i="36"/>
  <c r="E51" i="36"/>
  <c r="F50" i="36"/>
  <c r="E50" i="36"/>
  <c r="D49" i="36"/>
  <c r="C49" i="36"/>
  <c r="F48" i="36"/>
  <c r="E48" i="36"/>
  <c r="F47" i="36"/>
  <c r="E47" i="36"/>
  <c r="F46" i="36"/>
  <c r="E46" i="36"/>
  <c r="D45" i="36"/>
  <c r="C45" i="36"/>
  <c r="F43" i="36"/>
  <c r="E43" i="36"/>
  <c r="F42" i="36"/>
  <c r="E42" i="36"/>
  <c r="F41" i="36"/>
  <c r="E41" i="36"/>
  <c r="F40" i="36"/>
  <c r="E40" i="36"/>
  <c r="D39" i="36"/>
  <c r="D34" i="36" s="1"/>
  <c r="C39" i="36"/>
  <c r="F38" i="36"/>
  <c r="E38" i="36"/>
  <c r="F37" i="36"/>
  <c r="E37" i="36"/>
  <c r="F36" i="36"/>
  <c r="E36" i="36"/>
  <c r="F35" i="36"/>
  <c r="E35" i="36"/>
  <c r="F32" i="36"/>
  <c r="E32" i="36"/>
  <c r="F31" i="36"/>
  <c r="E31" i="36"/>
  <c r="D30" i="36"/>
  <c r="F29" i="36"/>
  <c r="F28" i="36"/>
  <c r="D27" i="36"/>
  <c r="C27" i="36"/>
  <c r="F26" i="36"/>
  <c r="F25" i="36"/>
  <c r="D24" i="36"/>
  <c r="C24" i="36"/>
  <c r="F23" i="36"/>
  <c r="E23" i="36"/>
  <c r="F22" i="36"/>
  <c r="E22" i="36"/>
  <c r="F21" i="36"/>
  <c r="E21" i="36"/>
  <c r="F20" i="36"/>
  <c r="E20" i="36"/>
  <c r="D19" i="36"/>
  <c r="F17" i="36"/>
  <c r="F16" i="36" s="1"/>
  <c r="E17" i="36"/>
  <c r="D16" i="36"/>
  <c r="C16" i="36"/>
  <c r="F15" i="36"/>
  <c r="F14" i="36" s="1"/>
  <c r="E15" i="36"/>
  <c r="D14" i="36"/>
  <c r="C14" i="36"/>
  <c r="D11" i="36"/>
  <c r="C11" i="36"/>
  <c r="F8" i="36"/>
  <c r="E8" i="36"/>
  <c r="F68" i="36"/>
  <c r="E448" i="35"/>
  <c r="E447" i="35"/>
  <c r="E446" i="35"/>
  <c r="E445" i="35"/>
  <c r="E444" i="35"/>
  <c r="F443" i="35"/>
  <c r="E443" i="35" s="1"/>
  <c r="I442" i="35"/>
  <c r="F442" i="35"/>
  <c r="F436" i="35" s="1"/>
  <c r="E436" i="35" s="1"/>
  <c r="G442" i="35"/>
  <c r="H442" i="35"/>
  <c r="I441" i="35"/>
  <c r="H441" i="35"/>
  <c r="G441" i="35"/>
  <c r="F441" i="35"/>
  <c r="F435" i="35" s="1"/>
  <c r="E435" i="35" s="1"/>
  <c r="I440" i="35"/>
  <c r="H440" i="35"/>
  <c r="G440" i="35"/>
  <c r="F440" i="35"/>
  <c r="I439" i="35"/>
  <c r="H439" i="35"/>
  <c r="G439" i="35"/>
  <c r="F439" i="35"/>
  <c r="F433" i="35" s="1"/>
  <c r="I438" i="35"/>
  <c r="H438" i="35"/>
  <c r="G438" i="35"/>
  <c r="F438" i="35"/>
  <c r="F432" i="35" s="1"/>
  <c r="E432" i="35" s="1"/>
  <c r="E430" i="35"/>
  <c r="E424" i="35" s="1"/>
  <c r="E429" i="35"/>
  <c r="E423" i="35" s="1"/>
  <c r="E428" i="35"/>
  <c r="E422" i="35" s="1"/>
  <c r="E427" i="35"/>
  <c r="E421" i="35" s="1"/>
  <c r="E426" i="35"/>
  <c r="E420" i="35" s="1"/>
  <c r="I425" i="35"/>
  <c r="I419" i="35" s="1"/>
  <c r="H425" i="35"/>
  <c r="F425" i="35"/>
  <c r="F419" i="35" s="1"/>
  <c r="G425" i="35"/>
  <c r="G419" i="35" s="1"/>
  <c r="I424" i="35"/>
  <c r="H424" i="35"/>
  <c r="G424" i="35"/>
  <c r="F424" i="35"/>
  <c r="I423" i="35"/>
  <c r="H423" i="35"/>
  <c r="G423" i="35"/>
  <c r="F423" i="35"/>
  <c r="I422" i="35"/>
  <c r="H422" i="35"/>
  <c r="G422" i="35"/>
  <c r="F422" i="35"/>
  <c r="I421" i="35"/>
  <c r="H421" i="35"/>
  <c r="G421" i="35"/>
  <c r="F421" i="35"/>
  <c r="F223" i="35"/>
  <c r="F307" i="35"/>
  <c r="I420" i="35"/>
  <c r="H420" i="35"/>
  <c r="G420" i="35"/>
  <c r="F420" i="35"/>
  <c r="E418" i="35"/>
  <c r="E417" i="35"/>
  <c r="E416" i="35"/>
  <c r="E415" i="35"/>
  <c r="E414" i="35"/>
  <c r="I413" i="35"/>
  <c r="H413" i="35"/>
  <c r="G413" i="35"/>
  <c r="F413" i="35"/>
  <c r="E412" i="35"/>
  <c r="E411" i="35"/>
  <c r="E410" i="35"/>
  <c r="E409" i="35"/>
  <c r="E408" i="35"/>
  <c r="I407" i="35"/>
  <c r="H407" i="35"/>
  <c r="G407" i="35"/>
  <c r="F407" i="35"/>
  <c r="E406" i="35"/>
  <c r="E405" i="35"/>
  <c r="E404" i="35"/>
  <c r="E403" i="35"/>
  <c r="E402" i="35"/>
  <c r="I401" i="35"/>
  <c r="H401" i="35"/>
  <c r="G401" i="35"/>
  <c r="F401" i="35"/>
  <c r="E400" i="35"/>
  <c r="E399" i="35"/>
  <c r="E398" i="35"/>
  <c r="E397" i="35"/>
  <c r="E396" i="35"/>
  <c r="I395" i="35"/>
  <c r="H395" i="35"/>
  <c r="G395" i="35"/>
  <c r="F395" i="35"/>
  <c r="E394" i="35"/>
  <c r="E393" i="35"/>
  <c r="E392" i="35"/>
  <c r="E391" i="35"/>
  <c r="E390" i="35"/>
  <c r="I389" i="35"/>
  <c r="H389" i="35"/>
  <c r="G389" i="35"/>
  <c r="F389" i="35"/>
  <c r="E388" i="35"/>
  <c r="E387" i="35"/>
  <c r="E386" i="35"/>
  <c r="E385" i="35"/>
  <c r="E384" i="35"/>
  <c r="I383" i="35"/>
  <c r="H383" i="35"/>
  <c r="G383" i="35"/>
  <c r="F383" i="35"/>
  <c r="E382" i="35"/>
  <c r="E381" i="35"/>
  <c r="E380" i="35"/>
  <c r="E379" i="35"/>
  <c r="E378" i="35"/>
  <c r="I377" i="35"/>
  <c r="H377" i="35"/>
  <c r="G377" i="35"/>
  <c r="F377" i="35"/>
  <c r="E376" i="35"/>
  <c r="E375" i="35"/>
  <c r="E374" i="35"/>
  <c r="E373" i="35"/>
  <c r="E372" i="35"/>
  <c r="I371" i="35"/>
  <c r="H371" i="35"/>
  <c r="G371" i="35"/>
  <c r="F371" i="35"/>
  <c r="E370" i="35"/>
  <c r="E369" i="35"/>
  <c r="E368" i="35"/>
  <c r="E367" i="35"/>
  <c r="E366" i="35"/>
  <c r="I365" i="35"/>
  <c r="H365" i="35"/>
  <c r="F365" i="35"/>
  <c r="G365" i="35"/>
  <c r="E364" i="35"/>
  <c r="E363" i="35"/>
  <c r="E362" i="35"/>
  <c r="E361" i="35"/>
  <c r="E360" i="35"/>
  <c r="I359" i="35"/>
  <c r="H359" i="35"/>
  <c r="G359" i="35"/>
  <c r="F359" i="35"/>
  <c r="E358" i="35"/>
  <c r="E357" i="35"/>
  <c r="E356" i="35"/>
  <c r="E355" i="35"/>
  <c r="E354" i="35"/>
  <c r="I353" i="35"/>
  <c r="H353" i="35"/>
  <c r="G353" i="35"/>
  <c r="F353" i="35"/>
  <c r="E352" i="35"/>
  <c r="E351" i="35"/>
  <c r="E350" i="35"/>
  <c r="E349" i="35"/>
  <c r="E348" i="35"/>
  <c r="I347" i="35"/>
  <c r="H347" i="35"/>
  <c r="G347" i="35"/>
  <c r="F347" i="35"/>
  <c r="E346" i="35"/>
  <c r="E345" i="35"/>
  <c r="E344" i="35"/>
  <c r="E343" i="35"/>
  <c r="E342" i="35"/>
  <c r="I341" i="35"/>
  <c r="H341" i="35"/>
  <c r="G341" i="35"/>
  <c r="F341" i="35"/>
  <c r="E340" i="35"/>
  <c r="E339" i="35"/>
  <c r="E338" i="35"/>
  <c r="E337" i="35"/>
  <c r="E336" i="35"/>
  <c r="I335" i="35"/>
  <c r="H335" i="35"/>
  <c r="G335" i="35"/>
  <c r="F335" i="35"/>
  <c r="E334" i="35"/>
  <c r="E333" i="35"/>
  <c r="E332" i="35"/>
  <c r="E331" i="35"/>
  <c r="E330" i="35"/>
  <c r="I329" i="35"/>
  <c r="H329" i="35"/>
  <c r="G329" i="35"/>
  <c r="F329" i="35"/>
  <c r="E328" i="35"/>
  <c r="E327" i="35"/>
  <c r="E326" i="35"/>
  <c r="E325" i="35"/>
  <c r="E324" i="35"/>
  <c r="I323" i="35"/>
  <c r="H323" i="35"/>
  <c r="G323" i="35"/>
  <c r="F323" i="35"/>
  <c r="E322" i="35"/>
  <c r="E321" i="35"/>
  <c r="E320" i="35"/>
  <c r="E319" i="35"/>
  <c r="E318" i="35"/>
  <c r="I317" i="35"/>
  <c r="H317" i="35"/>
  <c r="G317" i="35"/>
  <c r="F317" i="35"/>
  <c r="E316" i="35"/>
  <c r="E315" i="35"/>
  <c r="E314" i="35"/>
  <c r="E313" i="35"/>
  <c r="E312" i="35"/>
  <c r="I311" i="35"/>
  <c r="H311" i="35"/>
  <c r="G311" i="35"/>
  <c r="F311" i="35"/>
  <c r="I310" i="35"/>
  <c r="H310" i="35"/>
  <c r="G310" i="35"/>
  <c r="F310" i="35"/>
  <c r="I309" i="35"/>
  <c r="H309" i="35"/>
  <c r="G309" i="35"/>
  <c r="F309" i="35"/>
  <c r="I308" i="35"/>
  <c r="H308" i="35"/>
  <c r="G308" i="35"/>
  <c r="F308" i="35"/>
  <c r="I307" i="35"/>
  <c r="H307" i="35"/>
  <c r="G307" i="35"/>
  <c r="I306" i="35"/>
  <c r="H306" i="35"/>
  <c r="G306" i="35"/>
  <c r="F306" i="35"/>
  <c r="E304" i="35"/>
  <c r="E303" i="35"/>
  <c r="E302" i="35"/>
  <c r="E301" i="35"/>
  <c r="E300" i="35"/>
  <c r="I299" i="35"/>
  <c r="H299" i="35"/>
  <c r="G299" i="35"/>
  <c r="F299" i="35"/>
  <c r="E298" i="35"/>
  <c r="E297" i="35"/>
  <c r="E296" i="35"/>
  <c r="E295" i="35"/>
  <c r="E294" i="35"/>
  <c r="I293" i="35"/>
  <c r="H293" i="35"/>
  <c r="G293" i="35"/>
  <c r="F293" i="35"/>
  <c r="E292" i="35"/>
  <c r="E291" i="35"/>
  <c r="E290" i="35"/>
  <c r="E289" i="35"/>
  <c r="E288" i="35"/>
  <c r="I287" i="35"/>
  <c r="H287" i="35"/>
  <c r="G287" i="35"/>
  <c r="F287" i="35"/>
  <c r="E286" i="35"/>
  <c r="E285" i="35"/>
  <c r="E284" i="35"/>
  <c r="E283" i="35"/>
  <c r="E282" i="35"/>
  <c r="I281" i="35"/>
  <c r="H281" i="35"/>
  <c r="G281" i="35"/>
  <c r="F281" i="35"/>
  <c r="E280" i="35"/>
  <c r="E279" i="35"/>
  <c r="E278" i="35"/>
  <c r="E277" i="35"/>
  <c r="E276" i="35"/>
  <c r="I275" i="35"/>
  <c r="H275" i="35"/>
  <c r="G275" i="35"/>
  <c r="F275" i="35"/>
  <c r="E274" i="35"/>
  <c r="E273" i="35"/>
  <c r="E272" i="35"/>
  <c r="E271" i="35"/>
  <c r="E270" i="35"/>
  <c r="I269" i="35"/>
  <c r="H269" i="35"/>
  <c r="G269" i="35"/>
  <c r="F269" i="35"/>
  <c r="E268" i="35"/>
  <c r="G267" i="35"/>
  <c r="G263" i="35" s="1"/>
  <c r="F267" i="35"/>
  <c r="F225" i="35" s="1"/>
  <c r="E266" i="35"/>
  <c r="E265" i="35"/>
  <c r="E264" i="35"/>
  <c r="I263" i="35"/>
  <c r="H263" i="35"/>
  <c r="E262" i="35"/>
  <c r="E261" i="35"/>
  <c r="E260" i="35"/>
  <c r="E259" i="35"/>
  <c r="E258" i="35"/>
  <c r="I257" i="35"/>
  <c r="H257" i="35"/>
  <c r="G257" i="35"/>
  <c r="F257" i="35"/>
  <c r="E256" i="35"/>
  <c r="E255" i="35"/>
  <c r="E254" i="35"/>
  <c r="E253" i="35"/>
  <c r="E252" i="35"/>
  <c r="I251" i="35"/>
  <c r="H251" i="35"/>
  <c r="G251" i="35"/>
  <c r="F251" i="35"/>
  <c r="E250" i="35"/>
  <c r="E249" i="35"/>
  <c r="E248" i="35"/>
  <c r="E247" i="35"/>
  <c r="E246" i="35"/>
  <c r="I245" i="35"/>
  <c r="H245" i="35"/>
  <c r="G245" i="35"/>
  <c r="F245" i="35"/>
  <c r="E244" i="35"/>
  <c r="E243" i="35"/>
  <c r="E242" i="35"/>
  <c r="E241" i="35"/>
  <c r="E240" i="35"/>
  <c r="I239" i="35"/>
  <c r="H239" i="35"/>
  <c r="F239" i="35"/>
  <c r="G239" i="35"/>
  <c r="E238" i="35"/>
  <c r="E237" i="35"/>
  <c r="E236" i="35"/>
  <c r="E235" i="35"/>
  <c r="E234" i="35"/>
  <c r="I233" i="35"/>
  <c r="H233" i="35"/>
  <c r="G233" i="35"/>
  <c r="F233" i="35"/>
  <c r="E232" i="35"/>
  <c r="E231" i="35"/>
  <c r="E230" i="35"/>
  <c r="E229" i="35"/>
  <c r="E228" i="35"/>
  <c r="I227" i="35"/>
  <c r="H227" i="35"/>
  <c r="G227" i="35"/>
  <c r="F227" i="35"/>
  <c r="I226" i="35"/>
  <c r="H226" i="35"/>
  <c r="G226" i="35"/>
  <c r="F226" i="35"/>
  <c r="I225" i="35"/>
  <c r="H225" i="35"/>
  <c r="I224" i="35"/>
  <c r="H224" i="35"/>
  <c r="G224" i="35"/>
  <c r="F224" i="35"/>
  <c r="I223" i="35"/>
  <c r="H223" i="35"/>
  <c r="G223" i="35"/>
  <c r="I222" i="35"/>
  <c r="H222" i="35"/>
  <c r="G222" i="35"/>
  <c r="F222" i="35"/>
  <c r="E214" i="35"/>
  <c r="E213" i="35"/>
  <c r="E212" i="35"/>
  <c r="E211" i="35"/>
  <c r="E210" i="35"/>
  <c r="I209" i="35"/>
  <c r="H209" i="35"/>
  <c r="G209" i="35"/>
  <c r="F209" i="35"/>
  <c r="E208" i="35"/>
  <c r="E207" i="35"/>
  <c r="E206" i="35"/>
  <c r="E205" i="35"/>
  <c r="E204" i="35"/>
  <c r="I203" i="35"/>
  <c r="H203" i="35"/>
  <c r="G203" i="35"/>
  <c r="F203" i="35"/>
  <c r="E202" i="35"/>
  <c r="E201" i="35"/>
  <c r="E200" i="35"/>
  <c r="E199" i="35"/>
  <c r="E198" i="35"/>
  <c r="I197" i="35"/>
  <c r="H197" i="35"/>
  <c r="G197" i="35"/>
  <c r="F197" i="35"/>
  <c r="E196" i="35"/>
  <c r="E195" i="35"/>
  <c r="E194" i="35"/>
  <c r="E193" i="35"/>
  <c r="E192" i="35"/>
  <c r="I191" i="35"/>
  <c r="H191" i="35"/>
  <c r="G191" i="35"/>
  <c r="F191" i="35"/>
  <c r="I190" i="35"/>
  <c r="H190" i="35"/>
  <c r="G190" i="35"/>
  <c r="F190" i="35"/>
  <c r="I189" i="35"/>
  <c r="H189" i="35"/>
  <c r="G189" i="35"/>
  <c r="F189" i="35"/>
  <c r="I188" i="35"/>
  <c r="H188" i="35"/>
  <c r="G188" i="35"/>
  <c r="F188" i="35"/>
  <c r="I187" i="35"/>
  <c r="H187" i="35"/>
  <c r="G187" i="35"/>
  <c r="F187" i="35"/>
  <c r="I186" i="35"/>
  <c r="H186" i="35"/>
  <c r="G186" i="35"/>
  <c r="F186" i="35"/>
  <c r="E184" i="35"/>
  <c r="E183" i="35"/>
  <c r="E182" i="35"/>
  <c r="E181" i="35"/>
  <c r="E180" i="35"/>
  <c r="I179" i="35"/>
  <c r="H179" i="35"/>
  <c r="G179" i="35"/>
  <c r="F179" i="35"/>
  <c r="E178" i="35"/>
  <c r="E177" i="35"/>
  <c r="E176" i="35"/>
  <c r="E175" i="35"/>
  <c r="E174" i="35"/>
  <c r="I173" i="35"/>
  <c r="H173" i="35"/>
  <c r="G173" i="35"/>
  <c r="F173" i="35"/>
  <c r="E172" i="35"/>
  <c r="E171" i="35"/>
  <c r="E170" i="35"/>
  <c r="E169" i="35"/>
  <c r="E168" i="35"/>
  <c r="I167" i="35"/>
  <c r="H167" i="35"/>
  <c r="G167" i="35"/>
  <c r="F167" i="35"/>
  <c r="E166" i="35"/>
  <c r="E165" i="35"/>
  <c r="I164" i="35"/>
  <c r="I158" i="35" s="1"/>
  <c r="H164" i="35"/>
  <c r="G164" i="35"/>
  <c r="G158" i="35" s="1"/>
  <c r="I163" i="35"/>
  <c r="I157" i="35" s="1"/>
  <c r="H163" i="35"/>
  <c r="H157" i="35" s="1"/>
  <c r="G163" i="35"/>
  <c r="G157" i="35" s="1"/>
  <c r="I162" i="35"/>
  <c r="I156" i="35" s="1"/>
  <c r="H162" i="35"/>
  <c r="H156" i="35" s="1"/>
  <c r="G162" i="35"/>
  <c r="F161" i="35"/>
  <c r="I160" i="35"/>
  <c r="H160" i="35"/>
  <c r="G160" i="35"/>
  <c r="F160" i="35"/>
  <c r="I159" i="35"/>
  <c r="H159" i="35"/>
  <c r="G159" i="35"/>
  <c r="F159" i="35"/>
  <c r="F158" i="35"/>
  <c r="F157" i="35"/>
  <c r="F156" i="35"/>
  <c r="E154" i="35"/>
  <c r="E153" i="35"/>
  <c r="E152" i="35"/>
  <c r="E150" i="35"/>
  <c r="I149" i="35"/>
  <c r="H149" i="35"/>
  <c r="G149" i="35"/>
  <c r="F149" i="35"/>
  <c r="E148" i="35"/>
  <c r="E147" i="35"/>
  <c r="E146" i="35"/>
  <c r="E144" i="35"/>
  <c r="I143" i="35"/>
  <c r="H143" i="35"/>
  <c r="G143" i="35"/>
  <c r="F143" i="35"/>
  <c r="E142" i="35"/>
  <c r="E141" i="35"/>
  <c r="E140" i="35"/>
  <c r="E139" i="35"/>
  <c r="E138" i="35"/>
  <c r="I137" i="35"/>
  <c r="F137" i="35"/>
  <c r="G137" i="35"/>
  <c r="H137" i="35"/>
  <c r="E136" i="35"/>
  <c r="E135" i="35"/>
  <c r="E134" i="35"/>
  <c r="E133" i="35"/>
  <c r="E132" i="35"/>
  <c r="I131" i="35"/>
  <c r="H131" i="35"/>
  <c r="G131" i="35"/>
  <c r="F131" i="35"/>
  <c r="E130" i="35"/>
  <c r="E129" i="35"/>
  <c r="E128" i="35"/>
  <c r="E127" i="35"/>
  <c r="E126" i="35"/>
  <c r="I125" i="35"/>
  <c r="H125" i="35"/>
  <c r="G125" i="35"/>
  <c r="F125" i="35"/>
  <c r="E124" i="35"/>
  <c r="E123" i="35"/>
  <c r="E122" i="35"/>
  <c r="E121" i="35"/>
  <c r="E120" i="35"/>
  <c r="I119" i="35"/>
  <c r="H119" i="35"/>
  <c r="G119" i="35"/>
  <c r="F119" i="35"/>
  <c r="E118" i="35"/>
  <c r="E117" i="35"/>
  <c r="E116" i="35"/>
  <c r="E115" i="35"/>
  <c r="E114" i="35"/>
  <c r="I113" i="35"/>
  <c r="H113" i="35"/>
  <c r="G113" i="35"/>
  <c r="F113" i="35"/>
  <c r="E112" i="35"/>
  <c r="E111" i="35"/>
  <c r="E110" i="35"/>
  <c r="E109" i="35"/>
  <c r="E108" i="35"/>
  <c r="I107" i="35"/>
  <c r="H107" i="35"/>
  <c r="G107" i="35"/>
  <c r="F107" i="35"/>
  <c r="E106" i="35"/>
  <c r="E105" i="35"/>
  <c r="E104" i="35"/>
  <c r="E103" i="35"/>
  <c r="E102" i="35"/>
  <c r="I101" i="35"/>
  <c r="H101" i="35"/>
  <c r="G101" i="35"/>
  <c r="F101" i="35"/>
  <c r="I100" i="35"/>
  <c r="I94" i="35" s="1"/>
  <c r="H100" i="35"/>
  <c r="H94" i="35" s="1"/>
  <c r="G100" i="35"/>
  <c r="G94" i="35" s="1"/>
  <c r="I99" i="35"/>
  <c r="I93" i="35" s="1"/>
  <c r="H99" i="35"/>
  <c r="H93" i="35" s="1"/>
  <c r="G99" i="35"/>
  <c r="G93" i="35" s="1"/>
  <c r="I98" i="35"/>
  <c r="H98" i="35"/>
  <c r="H92" i="35" s="1"/>
  <c r="G98" i="35"/>
  <c r="G92" i="35" s="1"/>
  <c r="I97" i="35"/>
  <c r="I91" i="35" s="1"/>
  <c r="H97" i="35"/>
  <c r="G97" i="35"/>
  <c r="I96" i="35"/>
  <c r="I90" i="35" s="1"/>
  <c r="H96" i="35"/>
  <c r="G96" i="35"/>
  <c r="G90" i="35" s="1"/>
  <c r="F95" i="35"/>
  <c r="F94" i="35"/>
  <c r="F93" i="35"/>
  <c r="F92" i="35"/>
  <c r="F91" i="35"/>
  <c r="F90" i="35"/>
  <c r="E82" i="35"/>
  <c r="E81" i="35"/>
  <c r="E80" i="35"/>
  <c r="E79" i="35"/>
  <c r="E78" i="35"/>
  <c r="I77" i="35"/>
  <c r="H77" i="35"/>
  <c r="G77" i="35"/>
  <c r="F77" i="35"/>
  <c r="E76" i="35"/>
  <c r="E75" i="35"/>
  <c r="E74" i="35"/>
  <c r="E73" i="35"/>
  <c r="E72" i="35"/>
  <c r="I71" i="35"/>
  <c r="H71" i="35"/>
  <c r="G71" i="35"/>
  <c r="F71" i="35"/>
  <c r="E70" i="35"/>
  <c r="E69" i="35"/>
  <c r="E68" i="35"/>
  <c r="E67" i="35"/>
  <c r="E66" i="35"/>
  <c r="I65" i="35"/>
  <c r="H65" i="35"/>
  <c r="G65" i="35"/>
  <c r="F65" i="35"/>
  <c r="I64" i="35"/>
  <c r="H64" i="35"/>
  <c r="G64" i="35"/>
  <c r="F64" i="35"/>
  <c r="I63" i="35"/>
  <c r="H63" i="35"/>
  <c r="G63" i="35"/>
  <c r="F63" i="35"/>
  <c r="I62" i="35"/>
  <c r="H62" i="35"/>
  <c r="G62" i="35"/>
  <c r="F62" i="35"/>
  <c r="I61" i="35"/>
  <c r="H61" i="35"/>
  <c r="G61" i="35"/>
  <c r="G19" i="35"/>
  <c r="F61" i="35"/>
  <c r="I60" i="35"/>
  <c r="H60" i="35"/>
  <c r="G60" i="35"/>
  <c r="F60" i="35"/>
  <c r="E58" i="35"/>
  <c r="E57" i="35"/>
  <c r="E56" i="35"/>
  <c r="E55" i="35"/>
  <c r="E54" i="35"/>
  <c r="I53" i="35"/>
  <c r="H53" i="35"/>
  <c r="G53" i="35"/>
  <c r="F53" i="35"/>
  <c r="E52" i="35"/>
  <c r="E51" i="35"/>
  <c r="E50" i="35"/>
  <c r="E49" i="35"/>
  <c r="E48" i="35"/>
  <c r="I47" i="35"/>
  <c r="H47" i="35"/>
  <c r="G47" i="35"/>
  <c r="F47" i="35"/>
  <c r="E46" i="35"/>
  <c r="E45" i="35"/>
  <c r="E44" i="35"/>
  <c r="E43" i="35"/>
  <c r="E42" i="35"/>
  <c r="I41" i="35"/>
  <c r="H41" i="35"/>
  <c r="G41" i="35"/>
  <c r="F41" i="35"/>
  <c r="E40" i="35"/>
  <c r="E39" i="35"/>
  <c r="E38" i="35"/>
  <c r="E37" i="35"/>
  <c r="E36" i="35"/>
  <c r="I35" i="35"/>
  <c r="H35" i="35"/>
  <c r="G35" i="35"/>
  <c r="F35" i="35"/>
  <c r="E34" i="35"/>
  <c r="E33" i="35"/>
  <c r="E32" i="35"/>
  <c r="E31" i="35"/>
  <c r="E30" i="35"/>
  <c r="I29" i="35"/>
  <c r="H29" i="35"/>
  <c r="F29" i="35"/>
  <c r="G29" i="35"/>
  <c r="E28" i="35"/>
  <c r="E27" i="35"/>
  <c r="E26" i="35"/>
  <c r="E25" i="35"/>
  <c r="E24" i="35"/>
  <c r="I23" i="35"/>
  <c r="H23" i="35"/>
  <c r="G23" i="35"/>
  <c r="F23" i="35"/>
  <c r="I22" i="35"/>
  <c r="H22" i="35"/>
  <c r="G22" i="35"/>
  <c r="F22" i="35"/>
  <c r="I21" i="35"/>
  <c r="H21" i="35"/>
  <c r="G21" i="35"/>
  <c r="F21" i="35"/>
  <c r="I20" i="35"/>
  <c r="H20" i="35"/>
  <c r="G20" i="35"/>
  <c r="F20" i="35"/>
  <c r="I19" i="35"/>
  <c r="H19" i="35"/>
  <c r="F19" i="35"/>
  <c r="I18" i="35"/>
  <c r="I12" i="35" s="1"/>
  <c r="H18" i="35"/>
  <c r="G18" i="35"/>
  <c r="F18" i="35"/>
  <c r="J204" i="3"/>
  <c r="J159" i="3"/>
  <c r="H419" i="35"/>
  <c r="I10" i="33"/>
  <c r="I9" i="33"/>
  <c r="I8" i="33"/>
  <c r="I7" i="33"/>
  <c r="F20" i="24"/>
  <c r="G20" i="24"/>
  <c r="H20" i="24"/>
  <c r="F12" i="24"/>
  <c r="H12" i="24"/>
  <c r="F158" i="21"/>
  <c r="F98" i="31"/>
  <c r="E98" i="31"/>
  <c r="C97" i="31"/>
  <c r="C96" i="31" s="1"/>
  <c r="D97" i="31"/>
  <c r="D96" i="31" s="1"/>
  <c r="D95" i="31" s="1"/>
  <c r="D94" i="31" s="1"/>
  <c r="F93" i="31"/>
  <c r="E93" i="31"/>
  <c r="F92" i="31"/>
  <c r="E92" i="31"/>
  <c r="D91" i="31"/>
  <c r="C91" i="31"/>
  <c r="C90" i="31" s="1"/>
  <c r="C89" i="31" s="1"/>
  <c r="F88" i="31"/>
  <c r="E88" i="31"/>
  <c r="C87" i="31"/>
  <c r="D87" i="31"/>
  <c r="F86" i="31"/>
  <c r="E86" i="31"/>
  <c r="F85" i="31"/>
  <c r="E85" i="31"/>
  <c r="D84" i="31"/>
  <c r="C84" i="31"/>
  <c r="F83" i="31"/>
  <c r="F82" i="31" s="1"/>
  <c r="E83" i="31"/>
  <c r="E82" i="31" s="1"/>
  <c r="D82" i="31"/>
  <c r="C82" i="31"/>
  <c r="F80" i="31"/>
  <c r="E80" i="31"/>
  <c r="F79" i="31"/>
  <c r="E79" i="31"/>
  <c r="F78" i="31"/>
  <c r="E78" i="31"/>
  <c r="F77" i="31"/>
  <c r="E77" i="31"/>
  <c r="F76" i="31"/>
  <c r="E76" i="31"/>
  <c r="F75" i="31"/>
  <c r="E75" i="31"/>
  <c r="C74" i="31"/>
  <c r="C73" i="31" s="1"/>
  <c r="D74" i="31"/>
  <c r="F72" i="31"/>
  <c r="E72" i="31"/>
  <c r="F71" i="31"/>
  <c r="E71" i="31"/>
  <c r="C70" i="31"/>
  <c r="D70" i="31"/>
  <c r="F69" i="31"/>
  <c r="E69" i="31"/>
  <c r="F68" i="31"/>
  <c r="E68" i="31"/>
  <c r="F67" i="31"/>
  <c r="E67" i="31"/>
  <c r="F66" i="31"/>
  <c r="E66" i="31"/>
  <c r="F65" i="31"/>
  <c r="E65" i="31"/>
  <c r="F64" i="31"/>
  <c r="E64" i="31"/>
  <c r="F63" i="31"/>
  <c r="E63" i="31"/>
  <c r="C62" i="31"/>
  <c r="D62" i="31"/>
  <c r="F61" i="31"/>
  <c r="E61" i="31"/>
  <c r="F60" i="31"/>
  <c r="E60" i="31"/>
  <c r="F59" i="31"/>
  <c r="E59" i="31"/>
  <c r="F58" i="31"/>
  <c r="E58" i="31"/>
  <c r="F57" i="31"/>
  <c r="E57" i="31"/>
  <c r="F56" i="31"/>
  <c r="E56" i="31"/>
  <c r="F55" i="31"/>
  <c r="E55" i="31"/>
  <c r="F54" i="31"/>
  <c r="E54" i="31"/>
  <c r="C53" i="31"/>
  <c r="C52" i="31" s="1"/>
  <c r="D53" i="31"/>
  <c r="F49" i="31"/>
  <c r="E49" i="31"/>
  <c r="F48" i="31"/>
  <c r="E47" i="31"/>
  <c r="F46" i="31"/>
  <c r="E46" i="31"/>
  <c r="F45" i="31"/>
  <c r="E45" i="31"/>
  <c r="F44" i="31"/>
  <c r="E44" i="31"/>
  <c r="C43" i="31"/>
  <c r="D43" i="31"/>
  <c r="F42" i="31"/>
  <c r="E42" i="31"/>
  <c r="F41" i="31"/>
  <c r="E41" i="31"/>
  <c r="F40" i="31"/>
  <c r="E40" i="31"/>
  <c r="F39" i="31"/>
  <c r="E39" i="31"/>
  <c r="F38" i="31"/>
  <c r="E38" i="31"/>
  <c r="F37" i="31"/>
  <c r="E37" i="31"/>
  <c r="F36" i="31"/>
  <c r="E36" i="31"/>
  <c r="F35" i="31"/>
  <c r="E35" i="31"/>
  <c r="F34" i="31"/>
  <c r="E34" i="31"/>
  <c r="F33" i="31"/>
  <c r="E33" i="31"/>
  <c r="C32" i="31"/>
  <c r="D32" i="31"/>
  <c r="F32" i="31" s="1"/>
  <c r="F28" i="31"/>
  <c r="E28" i="31"/>
  <c r="F27" i="31"/>
  <c r="E27" i="31"/>
  <c r="F26" i="31"/>
  <c r="E26" i="31"/>
  <c r="C25" i="31"/>
  <c r="C24" i="31" s="1"/>
  <c r="D25" i="31"/>
  <c r="D24" i="31" s="1"/>
  <c r="D23" i="31" s="1"/>
  <c r="F22" i="31"/>
  <c r="E22" i="31"/>
  <c r="F21" i="31"/>
  <c r="F20" i="31"/>
  <c r="C19" i="31"/>
  <c r="D19" i="31"/>
  <c r="F18" i="31"/>
  <c r="F17" i="31"/>
  <c r="C16" i="31"/>
  <c r="D16" i="31"/>
  <c r="F15" i="31"/>
  <c r="E15" i="31"/>
  <c r="F14" i="31"/>
  <c r="E14" i="31"/>
  <c r="F13" i="31"/>
  <c r="E13" i="31"/>
  <c r="F8" i="31"/>
  <c r="E8" i="31"/>
  <c r="G12" i="24"/>
  <c r="I12" i="24"/>
  <c r="E20" i="24"/>
  <c r="E424" i="20"/>
  <c r="E423" i="20"/>
  <c r="E422" i="20"/>
  <c r="E421" i="20"/>
  <c r="E420" i="20"/>
  <c r="F419" i="20"/>
  <c r="E419" i="20" s="1"/>
  <c r="I418" i="20"/>
  <c r="H418" i="20"/>
  <c r="G418" i="20"/>
  <c r="F418" i="20"/>
  <c r="F412" i="20" s="1"/>
  <c r="E412" i="20" s="1"/>
  <c r="I417" i="20"/>
  <c r="H417" i="20"/>
  <c r="G417" i="20"/>
  <c r="F417" i="20"/>
  <c r="F411" i="20" s="1"/>
  <c r="E411" i="20" s="1"/>
  <c r="I416" i="20"/>
  <c r="H416" i="20"/>
  <c r="G416" i="20"/>
  <c r="F416" i="20"/>
  <c r="I415" i="20"/>
  <c r="H415" i="20"/>
  <c r="G415" i="20"/>
  <c r="F415" i="20"/>
  <c r="F409" i="20" s="1"/>
  <c r="E409" i="20" s="1"/>
  <c r="I414" i="20"/>
  <c r="H414" i="20"/>
  <c r="G414" i="20"/>
  <c r="F414" i="20"/>
  <c r="E406" i="20"/>
  <c r="E405" i="20"/>
  <c r="E404" i="20"/>
  <c r="E403" i="20"/>
  <c r="E402" i="20"/>
  <c r="I401" i="20"/>
  <c r="H401" i="20"/>
  <c r="G401" i="20"/>
  <c r="F401" i="20"/>
  <c r="E400" i="20"/>
  <c r="E399" i="20"/>
  <c r="E398" i="20"/>
  <c r="E397" i="20"/>
  <c r="E396" i="20"/>
  <c r="I395" i="20"/>
  <c r="H395" i="20"/>
  <c r="G395" i="20"/>
  <c r="F395" i="20"/>
  <c r="E394" i="20"/>
  <c r="E393" i="20"/>
  <c r="E392" i="20"/>
  <c r="E391" i="20"/>
  <c r="E390" i="20"/>
  <c r="I389" i="20"/>
  <c r="H389" i="20"/>
  <c r="G389" i="20"/>
  <c r="F389" i="20"/>
  <c r="E388" i="20"/>
  <c r="E387" i="20"/>
  <c r="E386" i="20"/>
  <c r="E385" i="20"/>
  <c r="E384" i="20"/>
  <c r="I383" i="20"/>
  <c r="H383" i="20"/>
  <c r="G383" i="20"/>
  <c r="F383" i="20"/>
  <c r="E382" i="20"/>
  <c r="E381" i="20"/>
  <c r="E380" i="20"/>
  <c r="E379" i="20"/>
  <c r="E378" i="20"/>
  <c r="I377" i="20"/>
  <c r="H377" i="20"/>
  <c r="G377" i="20"/>
  <c r="F377" i="20"/>
  <c r="E376" i="20"/>
  <c r="E375" i="20"/>
  <c r="E374" i="20"/>
  <c r="E373" i="20"/>
  <c r="E372" i="20"/>
  <c r="I371" i="20"/>
  <c r="H371" i="20"/>
  <c r="G371" i="20"/>
  <c r="F371" i="20"/>
  <c r="E370" i="20"/>
  <c r="E369" i="20"/>
  <c r="E368" i="20"/>
  <c r="E367" i="20"/>
  <c r="E366" i="20"/>
  <c r="I365" i="20"/>
  <c r="H365" i="20"/>
  <c r="G365" i="20"/>
  <c r="F365" i="20"/>
  <c r="E364" i="20"/>
  <c r="E363" i="20"/>
  <c r="E362" i="20"/>
  <c r="E361" i="20"/>
  <c r="E360" i="20"/>
  <c r="I359" i="20"/>
  <c r="H359" i="20"/>
  <c r="G359" i="20"/>
  <c r="F359" i="20"/>
  <c r="E358" i="20"/>
  <c r="E357" i="20"/>
  <c r="E356" i="20"/>
  <c r="E355" i="20"/>
  <c r="E354" i="20"/>
  <c r="I353" i="20"/>
  <c r="H353" i="20"/>
  <c r="G353" i="20"/>
  <c r="F353" i="20"/>
  <c r="E352" i="20"/>
  <c r="E351" i="20"/>
  <c r="E350" i="20"/>
  <c r="E349" i="20"/>
  <c r="E348" i="20"/>
  <c r="I347" i="20"/>
  <c r="H347" i="20"/>
  <c r="G347" i="20"/>
  <c r="F347" i="20"/>
  <c r="E346" i="20"/>
  <c r="E345" i="20"/>
  <c r="E344" i="20"/>
  <c r="E343" i="20"/>
  <c r="E342" i="20"/>
  <c r="I341" i="20"/>
  <c r="H341" i="20"/>
  <c r="G341" i="20"/>
  <c r="F341" i="20"/>
  <c r="E340" i="20"/>
  <c r="E339" i="20"/>
  <c r="E338" i="20"/>
  <c r="E337" i="20"/>
  <c r="E336" i="20"/>
  <c r="I335" i="20"/>
  <c r="H335" i="20"/>
  <c r="G335" i="20"/>
  <c r="F335" i="20"/>
  <c r="E334" i="20"/>
  <c r="E333" i="20"/>
  <c r="E332" i="20"/>
  <c r="E331" i="20"/>
  <c r="E330" i="20"/>
  <c r="I329" i="20"/>
  <c r="H329" i="20"/>
  <c r="G329" i="20"/>
  <c r="F329" i="20"/>
  <c r="E328" i="20"/>
  <c r="E327" i="20"/>
  <c r="E326" i="20"/>
  <c r="E325" i="20"/>
  <c r="E324" i="20"/>
  <c r="I323" i="20"/>
  <c r="H323" i="20"/>
  <c r="G323" i="20"/>
  <c r="F323" i="20"/>
  <c r="E322" i="20"/>
  <c r="E321" i="20"/>
  <c r="E320" i="20"/>
  <c r="E319" i="20"/>
  <c r="E318" i="20"/>
  <c r="I317" i="20"/>
  <c r="H317" i="20"/>
  <c r="G317" i="20"/>
  <c r="F317" i="20"/>
  <c r="E316" i="20"/>
  <c r="E315" i="20"/>
  <c r="E314" i="20"/>
  <c r="E313" i="20"/>
  <c r="E312" i="20"/>
  <c r="I311" i="20"/>
  <c r="H311" i="20"/>
  <c r="G311" i="20"/>
  <c r="F311" i="20"/>
  <c r="E310" i="20"/>
  <c r="E309" i="20"/>
  <c r="E308" i="20"/>
  <c r="E307" i="20"/>
  <c r="E306" i="20"/>
  <c r="I305" i="20"/>
  <c r="H305" i="20"/>
  <c r="G305" i="20"/>
  <c r="F305" i="20"/>
  <c r="E304" i="20"/>
  <c r="E303" i="20"/>
  <c r="E302" i="20"/>
  <c r="E301" i="20"/>
  <c r="E300" i="20"/>
  <c r="I299" i="20"/>
  <c r="H299" i="20"/>
  <c r="G299" i="20"/>
  <c r="F299" i="20"/>
  <c r="I298" i="20"/>
  <c r="H298" i="20"/>
  <c r="G298" i="20"/>
  <c r="G220" i="20"/>
  <c r="F298" i="20"/>
  <c r="I297" i="20"/>
  <c r="H297" i="20"/>
  <c r="H294" i="20"/>
  <c r="H295" i="20"/>
  <c r="H296" i="20"/>
  <c r="G297" i="20"/>
  <c r="F297" i="20"/>
  <c r="I296" i="20"/>
  <c r="I218" i="20"/>
  <c r="G296" i="20"/>
  <c r="F296" i="20"/>
  <c r="I295" i="20"/>
  <c r="G295" i="20"/>
  <c r="F295" i="20"/>
  <c r="F217" i="20"/>
  <c r="I294" i="20"/>
  <c r="G294" i="20"/>
  <c r="F294" i="20"/>
  <c r="E292" i="20"/>
  <c r="E291" i="20"/>
  <c r="E290" i="20"/>
  <c r="E289" i="20"/>
  <c r="E288" i="20"/>
  <c r="I287" i="20"/>
  <c r="H287" i="20"/>
  <c r="G287" i="20"/>
  <c r="F287" i="20"/>
  <c r="E286" i="20"/>
  <c r="E285" i="20"/>
  <c r="E284" i="20"/>
  <c r="E283" i="20"/>
  <c r="E282" i="20"/>
  <c r="I281" i="20"/>
  <c r="H281" i="20"/>
  <c r="G281" i="20"/>
  <c r="F281" i="20"/>
  <c r="E280" i="20"/>
  <c r="E279" i="20"/>
  <c r="E278" i="20"/>
  <c r="E277" i="20"/>
  <c r="E276" i="20"/>
  <c r="I275" i="20"/>
  <c r="H275" i="20"/>
  <c r="G275" i="20"/>
  <c r="F275" i="20"/>
  <c r="E274" i="20"/>
  <c r="E273" i="20"/>
  <c r="E272" i="20"/>
  <c r="E271" i="20"/>
  <c r="E270" i="20"/>
  <c r="I269" i="20"/>
  <c r="H269" i="20"/>
  <c r="G269" i="20"/>
  <c r="F269" i="20"/>
  <c r="E268" i="20"/>
  <c r="E267" i="20"/>
  <c r="E266" i="20"/>
  <c r="E265" i="20"/>
  <c r="E264" i="20"/>
  <c r="I263" i="20"/>
  <c r="H263" i="20"/>
  <c r="G263" i="20"/>
  <c r="F263" i="20"/>
  <c r="E262" i="20"/>
  <c r="E261" i="20"/>
  <c r="E260" i="20"/>
  <c r="E259" i="20"/>
  <c r="E258" i="20"/>
  <c r="I257" i="20"/>
  <c r="H257" i="20"/>
  <c r="G257" i="20"/>
  <c r="F257" i="20"/>
  <c r="E256" i="20"/>
  <c r="E255" i="20"/>
  <c r="E254" i="20"/>
  <c r="E253" i="20"/>
  <c r="E252" i="20"/>
  <c r="I251" i="20"/>
  <c r="H251" i="20"/>
  <c r="G251" i="20"/>
  <c r="F251" i="20"/>
  <c r="E250" i="20"/>
  <c r="E249" i="20"/>
  <c r="E248" i="20"/>
  <c r="E247" i="20"/>
  <c r="E246" i="20"/>
  <c r="I245" i="20"/>
  <c r="H245" i="20"/>
  <c r="G245" i="20"/>
  <c r="F245" i="20"/>
  <c r="E244" i="20"/>
  <c r="E243" i="20"/>
  <c r="E242" i="20"/>
  <c r="E241" i="20"/>
  <c r="E240" i="20"/>
  <c r="I239" i="20"/>
  <c r="H239" i="20"/>
  <c r="G239" i="20"/>
  <c r="F239" i="20"/>
  <c r="E238" i="20"/>
  <c r="E237" i="20"/>
  <c r="E236" i="20"/>
  <c r="E235" i="20"/>
  <c r="E234" i="20"/>
  <c r="I233" i="20"/>
  <c r="H233" i="20"/>
  <c r="G233" i="20"/>
  <c r="F233" i="20"/>
  <c r="E232" i="20"/>
  <c r="E231" i="20"/>
  <c r="E230" i="20"/>
  <c r="E229" i="20"/>
  <c r="E228" i="20"/>
  <c r="I227" i="20"/>
  <c r="H227" i="20"/>
  <c r="G227" i="20"/>
  <c r="F227" i="20"/>
  <c r="E226" i="20"/>
  <c r="E225" i="20"/>
  <c r="E224" i="20"/>
  <c r="E223" i="20"/>
  <c r="E222" i="20"/>
  <c r="I221" i="20"/>
  <c r="H221" i="20"/>
  <c r="G221" i="20"/>
  <c r="F221" i="20"/>
  <c r="I220" i="20"/>
  <c r="H220" i="20"/>
  <c r="F220" i="20"/>
  <c r="I219" i="20"/>
  <c r="H219" i="20"/>
  <c r="G219" i="20"/>
  <c r="F219" i="20"/>
  <c r="H218" i="20"/>
  <c r="G218" i="20"/>
  <c r="F218" i="20"/>
  <c r="I217" i="20"/>
  <c r="H217" i="20"/>
  <c r="G217" i="20"/>
  <c r="I216" i="20"/>
  <c r="H216" i="20"/>
  <c r="G216" i="20"/>
  <c r="G210" i="20" s="1"/>
  <c r="F216" i="20"/>
  <c r="E208" i="20"/>
  <c r="E207" i="20"/>
  <c r="E206" i="20"/>
  <c r="E205" i="20"/>
  <c r="E204" i="20"/>
  <c r="I203" i="20"/>
  <c r="H203" i="20"/>
  <c r="G203" i="20"/>
  <c r="F203" i="20"/>
  <c r="E202" i="20"/>
  <c r="E201" i="20"/>
  <c r="E200" i="20"/>
  <c r="E199" i="20"/>
  <c r="E198" i="20"/>
  <c r="I197" i="20"/>
  <c r="H197" i="20"/>
  <c r="G197" i="20"/>
  <c r="F197" i="20"/>
  <c r="E196" i="20"/>
  <c r="E195" i="20"/>
  <c r="E194" i="20"/>
  <c r="E193" i="20"/>
  <c r="E192" i="20"/>
  <c r="I191" i="20"/>
  <c r="H191" i="20"/>
  <c r="G191" i="20"/>
  <c r="F191" i="20"/>
  <c r="E190" i="20"/>
  <c r="E189" i="20"/>
  <c r="E188" i="20"/>
  <c r="E187" i="20"/>
  <c r="E186" i="20"/>
  <c r="I185" i="20"/>
  <c r="H185" i="20"/>
  <c r="G185" i="20"/>
  <c r="F185" i="20"/>
  <c r="I184" i="20"/>
  <c r="H184" i="20"/>
  <c r="F184" i="20"/>
  <c r="G184" i="20"/>
  <c r="I183" i="20"/>
  <c r="H183" i="20"/>
  <c r="G183" i="20"/>
  <c r="F183" i="20"/>
  <c r="I182" i="20"/>
  <c r="H182" i="20"/>
  <c r="G182" i="20"/>
  <c r="F182" i="20"/>
  <c r="I181" i="20"/>
  <c r="H181" i="20"/>
  <c r="G181" i="20"/>
  <c r="F181" i="20"/>
  <c r="I180" i="20"/>
  <c r="H180" i="20"/>
  <c r="G180" i="20"/>
  <c r="F180" i="20"/>
  <c r="E178" i="20"/>
  <c r="E177" i="20"/>
  <c r="E176" i="20"/>
  <c r="E175" i="20"/>
  <c r="E174" i="20"/>
  <c r="I173" i="20"/>
  <c r="H173" i="20"/>
  <c r="G173" i="20"/>
  <c r="F173" i="20"/>
  <c r="E172" i="20"/>
  <c r="E171" i="20"/>
  <c r="E170" i="20"/>
  <c r="E169" i="20"/>
  <c r="E168" i="20"/>
  <c r="I167" i="20"/>
  <c r="H167" i="20"/>
  <c r="G167" i="20"/>
  <c r="F167" i="20"/>
  <c r="E166" i="20"/>
  <c r="E165" i="20"/>
  <c r="E164" i="20"/>
  <c r="E163" i="20"/>
  <c r="E162" i="20"/>
  <c r="I161" i="20"/>
  <c r="H161" i="20"/>
  <c r="G161" i="20"/>
  <c r="F161" i="20"/>
  <c r="E160" i="20"/>
  <c r="E159" i="20"/>
  <c r="I158" i="20"/>
  <c r="I152" i="20" s="1"/>
  <c r="H158" i="20"/>
  <c r="G158" i="20"/>
  <c r="G152" i="20" s="1"/>
  <c r="I157" i="20"/>
  <c r="I151" i="20" s="1"/>
  <c r="H157" i="20"/>
  <c r="H151" i="20" s="1"/>
  <c r="G157" i="20"/>
  <c r="I156" i="20"/>
  <c r="I150" i="20" s="1"/>
  <c r="H156" i="20"/>
  <c r="H150" i="20" s="1"/>
  <c r="G156" i="20"/>
  <c r="G150" i="20" s="1"/>
  <c r="F155" i="20"/>
  <c r="I154" i="20"/>
  <c r="H154" i="20"/>
  <c r="G154" i="20"/>
  <c r="F154" i="20"/>
  <c r="I153" i="20"/>
  <c r="H153" i="20"/>
  <c r="G153" i="20"/>
  <c r="F153" i="20"/>
  <c r="F152" i="20"/>
  <c r="F151" i="20"/>
  <c r="F150" i="20"/>
  <c r="E148" i="20"/>
  <c r="E147" i="20"/>
  <c r="E146" i="20"/>
  <c r="E144" i="20"/>
  <c r="I143" i="20"/>
  <c r="H143" i="20"/>
  <c r="G143" i="20"/>
  <c r="F143" i="20"/>
  <c r="E142" i="20"/>
  <c r="E141" i="20"/>
  <c r="E140" i="20"/>
  <c r="E139" i="20"/>
  <c r="E138" i="20"/>
  <c r="I137" i="20"/>
  <c r="H137" i="20"/>
  <c r="G137" i="20"/>
  <c r="F137" i="20"/>
  <c r="E136" i="20"/>
  <c r="E135" i="20"/>
  <c r="E134" i="20"/>
  <c r="E133" i="20"/>
  <c r="E132" i="20"/>
  <c r="I131" i="20"/>
  <c r="H131" i="20"/>
  <c r="G131" i="20"/>
  <c r="F131" i="20"/>
  <c r="E130" i="20"/>
  <c r="E129" i="20"/>
  <c r="E128" i="20"/>
  <c r="E127" i="20"/>
  <c r="E126" i="20"/>
  <c r="I125" i="20"/>
  <c r="H125" i="20"/>
  <c r="G125" i="20"/>
  <c r="F125" i="20"/>
  <c r="E124" i="20"/>
  <c r="E123" i="20"/>
  <c r="E122" i="20"/>
  <c r="E121" i="20"/>
  <c r="E120" i="20"/>
  <c r="I119" i="20"/>
  <c r="H119" i="20"/>
  <c r="G119" i="20"/>
  <c r="F119" i="20"/>
  <c r="E118" i="20"/>
  <c r="E117" i="20"/>
  <c r="E116" i="20"/>
  <c r="E115" i="20"/>
  <c r="E114" i="20"/>
  <c r="I113" i="20"/>
  <c r="H113" i="20"/>
  <c r="G113" i="20"/>
  <c r="F113" i="20"/>
  <c r="E112" i="20"/>
  <c r="E111" i="20"/>
  <c r="E110" i="20"/>
  <c r="E109" i="20"/>
  <c r="E108" i="20"/>
  <c r="I107" i="20"/>
  <c r="H107" i="20"/>
  <c r="G107" i="20"/>
  <c r="F107" i="20"/>
  <c r="E106" i="20"/>
  <c r="E105" i="20"/>
  <c r="E104" i="20"/>
  <c r="E103" i="20"/>
  <c r="E102" i="20"/>
  <c r="I101" i="20"/>
  <c r="H101" i="20"/>
  <c r="G101" i="20"/>
  <c r="F101" i="20"/>
  <c r="I100" i="20"/>
  <c r="I94" i="20" s="1"/>
  <c r="H100" i="20"/>
  <c r="H94" i="20" s="1"/>
  <c r="G100" i="20"/>
  <c r="I99" i="20"/>
  <c r="I93" i="20" s="1"/>
  <c r="H99" i="20"/>
  <c r="H93" i="20" s="1"/>
  <c r="G99" i="20"/>
  <c r="I98" i="20"/>
  <c r="I92" i="20" s="1"/>
  <c r="H98" i="20"/>
  <c r="H92" i="20" s="1"/>
  <c r="G98" i="20"/>
  <c r="G92" i="20" s="1"/>
  <c r="I97" i="20"/>
  <c r="H97" i="20"/>
  <c r="H91" i="20" s="1"/>
  <c r="G97" i="20"/>
  <c r="G91" i="20" s="1"/>
  <c r="I96" i="20"/>
  <c r="H96" i="20"/>
  <c r="H90" i="20" s="1"/>
  <c r="G96" i="20"/>
  <c r="G90" i="20" s="1"/>
  <c r="F95" i="20"/>
  <c r="F94" i="20"/>
  <c r="F93" i="20"/>
  <c r="F92" i="20"/>
  <c r="F91" i="20"/>
  <c r="F90" i="20"/>
  <c r="E82" i="20"/>
  <c r="E81" i="20"/>
  <c r="E80" i="20"/>
  <c r="E79" i="20"/>
  <c r="E78" i="20"/>
  <c r="I77" i="20"/>
  <c r="H77" i="20"/>
  <c r="G77" i="20"/>
  <c r="F77" i="20"/>
  <c r="E76" i="20"/>
  <c r="E75" i="20"/>
  <c r="E74" i="20"/>
  <c r="E73" i="20"/>
  <c r="E72" i="20"/>
  <c r="I71" i="20"/>
  <c r="H71" i="20"/>
  <c r="G71" i="20"/>
  <c r="F71" i="20"/>
  <c r="E70" i="20"/>
  <c r="E69" i="20"/>
  <c r="E68" i="20"/>
  <c r="E67" i="20"/>
  <c r="E66" i="20"/>
  <c r="I65" i="20"/>
  <c r="H65" i="20"/>
  <c r="G65" i="20"/>
  <c r="F65" i="20"/>
  <c r="I64" i="20"/>
  <c r="H64" i="20"/>
  <c r="G64" i="20"/>
  <c r="G22" i="20"/>
  <c r="F64" i="20"/>
  <c r="I63" i="20"/>
  <c r="I21" i="20"/>
  <c r="H63" i="20"/>
  <c r="G63" i="20"/>
  <c r="F63" i="20"/>
  <c r="I62" i="20"/>
  <c r="H62" i="20"/>
  <c r="G62" i="20"/>
  <c r="F62" i="20"/>
  <c r="I61" i="20"/>
  <c r="H61" i="20"/>
  <c r="G61" i="20"/>
  <c r="F61" i="20"/>
  <c r="I60" i="20"/>
  <c r="H60" i="20"/>
  <c r="H18" i="20"/>
  <c r="H19" i="20"/>
  <c r="H20" i="20"/>
  <c r="H21" i="20"/>
  <c r="H22" i="20"/>
  <c r="G60" i="20"/>
  <c r="F60" i="20"/>
  <c r="E58" i="20"/>
  <c r="E57" i="20"/>
  <c r="E56" i="20"/>
  <c r="E55" i="20"/>
  <c r="E54" i="20"/>
  <c r="I53" i="20"/>
  <c r="H53" i="20"/>
  <c r="G53" i="20"/>
  <c r="F53" i="20"/>
  <c r="E52" i="20"/>
  <c r="E51" i="20"/>
  <c r="E50" i="20"/>
  <c r="E49" i="20"/>
  <c r="E48" i="20"/>
  <c r="I47" i="20"/>
  <c r="H47" i="20"/>
  <c r="G47" i="20"/>
  <c r="F47" i="20"/>
  <c r="E46" i="20"/>
  <c r="E45" i="20"/>
  <c r="E44" i="20"/>
  <c r="E43" i="20"/>
  <c r="E42" i="20"/>
  <c r="I41" i="20"/>
  <c r="H41" i="20"/>
  <c r="G41" i="20"/>
  <c r="F41" i="20"/>
  <c r="E40" i="20"/>
  <c r="E39" i="20"/>
  <c r="E38" i="20"/>
  <c r="E37" i="20"/>
  <c r="E36" i="20"/>
  <c r="I35" i="20"/>
  <c r="H35" i="20"/>
  <c r="G35" i="20"/>
  <c r="F35" i="20"/>
  <c r="E34" i="20"/>
  <c r="E33" i="20"/>
  <c r="E32" i="20"/>
  <c r="E31" i="20"/>
  <c r="E30" i="20"/>
  <c r="I29" i="20"/>
  <c r="H29" i="20"/>
  <c r="G29" i="20"/>
  <c r="F29" i="20"/>
  <c r="E28" i="20"/>
  <c r="E27" i="20"/>
  <c r="E26" i="20"/>
  <c r="E25" i="20"/>
  <c r="E24" i="20"/>
  <c r="I23" i="20"/>
  <c r="H23" i="20"/>
  <c r="F23" i="20"/>
  <c r="G23" i="20"/>
  <c r="I22" i="20"/>
  <c r="F22" i="20"/>
  <c r="G21" i="20"/>
  <c r="F21" i="20"/>
  <c r="I20" i="20"/>
  <c r="G20" i="20"/>
  <c r="F20" i="20"/>
  <c r="I19" i="20"/>
  <c r="G19" i="20"/>
  <c r="F19" i="20"/>
  <c r="I18" i="20"/>
  <c r="G18" i="20"/>
  <c r="F18" i="20"/>
  <c r="L180" i="25"/>
  <c r="L173" i="25" s="1"/>
  <c r="J180" i="25"/>
  <c r="J173" i="25" s="1"/>
  <c r="L179" i="25"/>
  <c r="J179" i="25"/>
  <c r="H178" i="25"/>
  <c r="H177" i="25"/>
  <c r="H176" i="25"/>
  <c r="H175" i="25"/>
  <c r="H174" i="25"/>
  <c r="K173" i="25"/>
  <c r="I173" i="25"/>
  <c r="L172" i="25"/>
  <c r="K172" i="25"/>
  <c r="J172" i="25"/>
  <c r="I172" i="25"/>
  <c r="L171" i="25"/>
  <c r="K171" i="25"/>
  <c r="I171" i="25"/>
  <c r="J171" i="25"/>
  <c r="L170" i="25"/>
  <c r="K170" i="25"/>
  <c r="J170" i="25"/>
  <c r="I170" i="25"/>
  <c r="L169" i="25"/>
  <c r="K169" i="25"/>
  <c r="J169" i="25"/>
  <c r="I169" i="25"/>
  <c r="L168" i="25"/>
  <c r="K168" i="25"/>
  <c r="J168" i="25"/>
  <c r="I168" i="25"/>
  <c r="H164" i="25"/>
  <c r="L163" i="25"/>
  <c r="K163" i="25"/>
  <c r="J163" i="25"/>
  <c r="I163" i="25"/>
  <c r="L162" i="25"/>
  <c r="K162" i="25"/>
  <c r="J162" i="25"/>
  <c r="I162" i="25"/>
  <c r="L161" i="25"/>
  <c r="K161" i="25"/>
  <c r="J161" i="25"/>
  <c r="L160" i="25"/>
  <c r="K160" i="25"/>
  <c r="J160" i="25"/>
  <c r="I160" i="25"/>
  <c r="H159" i="25"/>
  <c r="H158" i="25"/>
  <c r="L156" i="25"/>
  <c r="K156" i="25"/>
  <c r="J156" i="25"/>
  <c r="I156" i="25"/>
  <c r="L155" i="25"/>
  <c r="K155" i="25"/>
  <c r="J155" i="25"/>
  <c r="I155" i="25"/>
  <c r="L154" i="25"/>
  <c r="K154" i="25"/>
  <c r="J154" i="25"/>
  <c r="I154" i="25"/>
  <c r="L153" i="25"/>
  <c r="K153" i="25"/>
  <c r="J153" i="25"/>
  <c r="L152" i="25"/>
  <c r="K152" i="25"/>
  <c r="I152" i="25"/>
  <c r="J152" i="25"/>
  <c r="H151" i="25"/>
  <c r="H150" i="25"/>
  <c r="L148" i="25"/>
  <c r="K148" i="25"/>
  <c r="J148" i="25"/>
  <c r="I148" i="25"/>
  <c r="L147" i="25"/>
  <c r="K147" i="25"/>
  <c r="J147" i="25"/>
  <c r="I147" i="25"/>
  <c r="L146" i="25"/>
  <c r="K146" i="25"/>
  <c r="J146" i="25"/>
  <c r="I146" i="25"/>
  <c r="L145" i="25"/>
  <c r="J145" i="25"/>
  <c r="L144" i="25"/>
  <c r="K144" i="25"/>
  <c r="J144" i="25"/>
  <c r="I144" i="25"/>
  <c r="H143" i="25"/>
  <c r="H142" i="25"/>
  <c r="L140" i="25"/>
  <c r="K140" i="25"/>
  <c r="J140" i="25"/>
  <c r="I140" i="25"/>
  <c r="L139" i="25"/>
  <c r="K139" i="25"/>
  <c r="J139" i="25"/>
  <c r="I139" i="25"/>
  <c r="L138" i="25"/>
  <c r="K138" i="25"/>
  <c r="J138" i="25"/>
  <c r="I138" i="25"/>
  <c r="L137" i="25"/>
  <c r="K137" i="25"/>
  <c r="J137" i="25"/>
  <c r="I137" i="25"/>
  <c r="L136" i="25"/>
  <c r="K136" i="25"/>
  <c r="J136" i="25"/>
  <c r="I136" i="25"/>
  <c r="H135" i="25"/>
  <c r="H134" i="25"/>
  <c r="H132" i="25"/>
  <c r="L131" i="25"/>
  <c r="K131" i="25"/>
  <c r="J131" i="25"/>
  <c r="I131" i="25"/>
  <c r="L130" i="25"/>
  <c r="K130" i="25"/>
  <c r="J130" i="25"/>
  <c r="I130" i="25"/>
  <c r="L129" i="25"/>
  <c r="K129" i="25"/>
  <c r="J129" i="25"/>
  <c r="I129" i="25"/>
  <c r="L128" i="25"/>
  <c r="K128" i="25"/>
  <c r="J128" i="25"/>
  <c r="I128" i="25"/>
  <c r="L127" i="25"/>
  <c r="K127" i="25"/>
  <c r="J127" i="25"/>
  <c r="J43" i="25"/>
  <c r="J95" i="25"/>
  <c r="J111" i="25"/>
  <c r="J119" i="25"/>
  <c r="I127" i="25"/>
  <c r="H126" i="25"/>
  <c r="H125" i="25"/>
  <c r="L123" i="25"/>
  <c r="K123" i="25"/>
  <c r="J123" i="25"/>
  <c r="I123" i="25"/>
  <c r="L122" i="25"/>
  <c r="K122" i="25"/>
  <c r="J122" i="25"/>
  <c r="I122" i="25"/>
  <c r="L121" i="25"/>
  <c r="K121" i="25"/>
  <c r="J121" i="25"/>
  <c r="I121" i="25"/>
  <c r="L120" i="25"/>
  <c r="K120" i="25"/>
  <c r="J120" i="25"/>
  <c r="I120" i="25"/>
  <c r="L119" i="25"/>
  <c r="K119" i="25"/>
  <c r="I119" i="25"/>
  <c r="H118" i="25"/>
  <c r="H117" i="25"/>
  <c r="L115" i="25"/>
  <c r="H115" i="25" s="1"/>
  <c r="L114" i="25"/>
  <c r="K114" i="25"/>
  <c r="J114" i="25"/>
  <c r="I114" i="25"/>
  <c r="L113" i="25"/>
  <c r="K113" i="25"/>
  <c r="J113" i="25"/>
  <c r="I113" i="25"/>
  <c r="L112" i="25"/>
  <c r="J112" i="25"/>
  <c r="I112" i="25"/>
  <c r="L111" i="25"/>
  <c r="I111" i="25"/>
  <c r="H110" i="25"/>
  <c r="H109" i="25"/>
  <c r="H107" i="25"/>
  <c r="H106" i="25"/>
  <c r="H105" i="25"/>
  <c r="H104" i="25"/>
  <c r="H103" i="25"/>
  <c r="H102" i="25"/>
  <c r="H101" i="25"/>
  <c r="L100" i="25"/>
  <c r="K100" i="25"/>
  <c r="J100" i="25"/>
  <c r="I100" i="25"/>
  <c r="L99" i="25"/>
  <c r="K99" i="25"/>
  <c r="J99" i="25"/>
  <c r="I99" i="25"/>
  <c r="L98" i="25"/>
  <c r="K98" i="25"/>
  <c r="K46" i="25"/>
  <c r="J98" i="25"/>
  <c r="I98" i="25"/>
  <c r="L97" i="25"/>
  <c r="K97" i="25"/>
  <c r="J97" i="25"/>
  <c r="I97" i="25"/>
  <c r="L96" i="25"/>
  <c r="J96" i="25"/>
  <c r="I96" i="25"/>
  <c r="L95" i="25"/>
  <c r="K95" i="25"/>
  <c r="I95" i="25"/>
  <c r="H94" i="25"/>
  <c r="H93" i="25"/>
  <c r="H91" i="25"/>
  <c r="H90" i="25"/>
  <c r="H89" i="25"/>
  <c r="H88" i="25"/>
  <c r="I87" i="25"/>
  <c r="H87" i="25" s="1"/>
  <c r="H86" i="25"/>
  <c r="H85" i="25"/>
  <c r="L84" i="25"/>
  <c r="K84" i="25"/>
  <c r="J84" i="25"/>
  <c r="H83" i="25"/>
  <c r="H82" i="25"/>
  <c r="H81" i="25"/>
  <c r="H80" i="25"/>
  <c r="H79" i="25"/>
  <c r="H78" i="25"/>
  <c r="H77" i="25"/>
  <c r="L76" i="25"/>
  <c r="K76" i="25"/>
  <c r="J76" i="25"/>
  <c r="I76" i="25"/>
  <c r="H75" i="25"/>
  <c r="H74" i="25"/>
  <c r="H73" i="25"/>
  <c r="H72" i="25"/>
  <c r="H71" i="25"/>
  <c r="H70" i="25"/>
  <c r="H69" i="25"/>
  <c r="H68" i="25"/>
  <c r="L67" i="25"/>
  <c r="K67" i="25"/>
  <c r="J67" i="25"/>
  <c r="I67" i="25"/>
  <c r="H66" i="25"/>
  <c r="H65" i="25"/>
  <c r="H64" i="25"/>
  <c r="H63" i="25"/>
  <c r="H62" i="25"/>
  <c r="I61" i="25"/>
  <c r="H61" i="25" s="1"/>
  <c r="H60" i="25"/>
  <c r="H59" i="25"/>
  <c r="K58" i="25"/>
  <c r="J58" i="25"/>
  <c r="H57" i="25"/>
  <c r="H56" i="25"/>
  <c r="H55" i="25"/>
  <c r="H54" i="25"/>
  <c r="H53" i="25"/>
  <c r="H52" i="25"/>
  <c r="H51" i="25"/>
  <c r="H50" i="25"/>
  <c r="L49" i="25"/>
  <c r="K49" i="25"/>
  <c r="J49" i="25"/>
  <c r="H48" i="25"/>
  <c r="L47" i="25"/>
  <c r="K47" i="25"/>
  <c r="J47" i="25"/>
  <c r="I47" i="25"/>
  <c r="L46" i="25"/>
  <c r="J46" i="25"/>
  <c r="I46" i="25"/>
  <c r="L45" i="25"/>
  <c r="K45" i="25"/>
  <c r="J45" i="25"/>
  <c r="I45" i="25"/>
  <c r="L44" i="25"/>
  <c r="K44" i="25"/>
  <c r="J44" i="25"/>
  <c r="I44" i="25"/>
  <c r="L43" i="25"/>
  <c r="K43" i="25"/>
  <c r="I43" i="25"/>
  <c r="H42" i="25"/>
  <c r="H41" i="25"/>
  <c r="H39" i="25"/>
  <c r="H38" i="25"/>
  <c r="H37" i="25"/>
  <c r="H36" i="25"/>
  <c r="H35" i="25"/>
  <c r="H34" i="25"/>
  <c r="H33" i="25"/>
  <c r="L32" i="25"/>
  <c r="K32" i="25"/>
  <c r="J32" i="25"/>
  <c r="H31" i="25"/>
  <c r="H30" i="25"/>
  <c r="H29" i="25"/>
  <c r="H28" i="25"/>
  <c r="H27" i="25"/>
  <c r="H26" i="25"/>
  <c r="H25" i="25"/>
  <c r="H24" i="25"/>
  <c r="L23" i="25"/>
  <c r="K23" i="25"/>
  <c r="J23" i="25"/>
  <c r="I23" i="25"/>
  <c r="L17" i="25"/>
  <c r="L9" i="25" s="1"/>
  <c r="K17" i="25"/>
  <c r="K9" i="25" s="1"/>
  <c r="J17" i="25"/>
  <c r="J9" i="25" s="1"/>
  <c r="I17" i="25"/>
  <c r="I9" i="25" s="1"/>
  <c r="L16" i="25"/>
  <c r="L8" i="25" s="1"/>
  <c r="K16" i="25"/>
  <c r="K8" i="25" s="1"/>
  <c r="J16" i="25"/>
  <c r="J8" i="25" s="1"/>
  <c r="I16" i="25"/>
  <c r="I8" i="25" s="1"/>
  <c r="R11" i="25"/>
  <c r="E422" i="21"/>
  <c r="E416" i="21" s="1"/>
  <c r="G164" i="21"/>
  <c r="G158" i="21" s="1"/>
  <c r="H164" i="21"/>
  <c r="H158" i="21" s="1"/>
  <c r="I164" i="21"/>
  <c r="E152" i="21"/>
  <c r="I134" i="24"/>
  <c r="H134" i="24"/>
  <c r="G134" i="24"/>
  <c r="F134" i="24"/>
  <c r="I133" i="24"/>
  <c r="H133" i="24"/>
  <c r="G133" i="24"/>
  <c r="F133" i="24"/>
  <c r="I132" i="24"/>
  <c r="H132" i="24"/>
  <c r="G132" i="24"/>
  <c r="F132" i="24"/>
  <c r="I131" i="24"/>
  <c r="H131" i="24"/>
  <c r="G131" i="24"/>
  <c r="F131" i="24"/>
  <c r="I130" i="24"/>
  <c r="H130" i="24"/>
  <c r="G130" i="24"/>
  <c r="F130" i="24"/>
  <c r="I129" i="24"/>
  <c r="H129" i="24"/>
  <c r="H121" i="24" s="1"/>
  <c r="G129" i="24"/>
  <c r="G121" i="24" s="1"/>
  <c r="F129" i="24"/>
  <c r="I128" i="24"/>
  <c r="H128" i="24"/>
  <c r="G128" i="24"/>
  <c r="F128" i="24"/>
  <c r="E128" i="24"/>
  <c r="I126" i="24"/>
  <c r="H126" i="24"/>
  <c r="G126" i="24"/>
  <c r="F126" i="24"/>
  <c r="E126" i="24"/>
  <c r="I125" i="24"/>
  <c r="H125" i="24"/>
  <c r="G125" i="24"/>
  <c r="F125" i="24"/>
  <c r="E125" i="24"/>
  <c r="I124" i="24"/>
  <c r="H124" i="24"/>
  <c r="G124" i="24"/>
  <c r="F124" i="24"/>
  <c r="E124" i="24"/>
  <c r="I123" i="24"/>
  <c r="H123" i="24"/>
  <c r="G123" i="24"/>
  <c r="F123" i="24"/>
  <c r="E123" i="24"/>
  <c r="I122" i="24"/>
  <c r="H122" i="24"/>
  <c r="G122" i="24"/>
  <c r="F122" i="24"/>
  <c r="E122" i="24"/>
  <c r="I120" i="24"/>
  <c r="H120" i="24"/>
  <c r="G120" i="24"/>
  <c r="F120" i="24"/>
  <c r="E120" i="24"/>
  <c r="I118" i="24"/>
  <c r="H118" i="24"/>
  <c r="G118" i="24"/>
  <c r="F118" i="24"/>
  <c r="I117" i="24"/>
  <c r="H117" i="24"/>
  <c r="G117" i="24"/>
  <c r="F117" i="24"/>
  <c r="I116" i="24"/>
  <c r="H116" i="24"/>
  <c r="G116" i="24"/>
  <c r="F116" i="24"/>
  <c r="I115" i="24"/>
  <c r="H115" i="24"/>
  <c r="G115" i="24"/>
  <c r="F115" i="24"/>
  <c r="I114" i="24"/>
  <c r="H114" i="24"/>
  <c r="G114" i="24"/>
  <c r="F114" i="24"/>
  <c r="E113" i="24"/>
  <c r="E112" i="24"/>
  <c r="I110" i="24"/>
  <c r="H110" i="24"/>
  <c r="G110" i="24"/>
  <c r="F110" i="24"/>
  <c r="I109" i="24"/>
  <c r="H109" i="24"/>
  <c r="G109" i="24"/>
  <c r="F109" i="24"/>
  <c r="I108" i="24"/>
  <c r="H108" i="24"/>
  <c r="G108" i="24"/>
  <c r="F108" i="24"/>
  <c r="I107" i="24"/>
  <c r="H107" i="24"/>
  <c r="G107" i="24"/>
  <c r="F107" i="24"/>
  <c r="I106" i="24"/>
  <c r="H106" i="24"/>
  <c r="G106" i="24"/>
  <c r="F106" i="24"/>
  <c r="I105" i="24"/>
  <c r="H105" i="24"/>
  <c r="G105" i="24"/>
  <c r="F105" i="24"/>
  <c r="E105" i="24"/>
  <c r="I104" i="24"/>
  <c r="H104" i="24"/>
  <c r="G104" i="24"/>
  <c r="F104" i="24"/>
  <c r="E104" i="24"/>
  <c r="I102" i="24"/>
  <c r="H102" i="24"/>
  <c r="G102" i="24"/>
  <c r="F102" i="24"/>
  <c r="E102" i="24"/>
  <c r="I101" i="24"/>
  <c r="H101" i="24"/>
  <c r="G101" i="24"/>
  <c r="F101" i="24"/>
  <c r="E101" i="24"/>
  <c r="I100" i="24"/>
  <c r="H100" i="24"/>
  <c r="G100" i="24"/>
  <c r="F100" i="24"/>
  <c r="E100" i="24"/>
  <c r="I99" i="24"/>
  <c r="H99" i="24"/>
  <c r="G99" i="24"/>
  <c r="F99" i="24"/>
  <c r="E99" i="24"/>
  <c r="I98" i="24"/>
  <c r="H98" i="24"/>
  <c r="G98" i="24"/>
  <c r="F98" i="24"/>
  <c r="E98" i="24"/>
  <c r="I97" i="24"/>
  <c r="H97" i="24"/>
  <c r="G97" i="24"/>
  <c r="F97" i="24"/>
  <c r="I96" i="24"/>
  <c r="H96" i="24"/>
  <c r="G96" i="24"/>
  <c r="F96" i="24"/>
  <c r="I94" i="24"/>
  <c r="H94" i="24"/>
  <c r="G94" i="24"/>
  <c r="F94" i="24"/>
  <c r="E94" i="24"/>
  <c r="I93" i="24"/>
  <c r="H93" i="24"/>
  <c r="G93" i="24"/>
  <c r="F93" i="24"/>
  <c r="E93" i="24"/>
  <c r="I92" i="24"/>
  <c r="H92" i="24"/>
  <c r="G92" i="24"/>
  <c r="F92" i="24"/>
  <c r="E92" i="24"/>
  <c r="I91" i="24"/>
  <c r="H91" i="24"/>
  <c r="G91" i="24"/>
  <c r="F91" i="24"/>
  <c r="E91" i="24"/>
  <c r="I90" i="24"/>
  <c r="H90" i="24"/>
  <c r="G90" i="24"/>
  <c r="F90" i="24"/>
  <c r="E90" i="24"/>
  <c r="I89" i="24"/>
  <c r="H89" i="24"/>
  <c r="G89" i="24"/>
  <c r="F89" i="24"/>
  <c r="I88" i="24"/>
  <c r="I8" i="24" s="1"/>
  <c r="I24" i="24" s="1"/>
  <c r="H88" i="24"/>
  <c r="G88" i="24"/>
  <c r="F88" i="24"/>
  <c r="I86" i="24"/>
  <c r="H86" i="24"/>
  <c r="G86" i="24"/>
  <c r="F86" i="24"/>
  <c r="I85" i="24"/>
  <c r="H85" i="24"/>
  <c r="G85" i="24"/>
  <c r="F85" i="24"/>
  <c r="I84" i="24"/>
  <c r="H84" i="24"/>
  <c r="G84" i="24"/>
  <c r="F84" i="24"/>
  <c r="I83" i="24"/>
  <c r="H83" i="24"/>
  <c r="G83" i="24"/>
  <c r="F83" i="24"/>
  <c r="I82" i="24"/>
  <c r="H82" i="24"/>
  <c r="G82" i="24"/>
  <c r="F82" i="24"/>
  <c r="I81" i="24"/>
  <c r="H81" i="24"/>
  <c r="G81" i="24"/>
  <c r="F81" i="24"/>
  <c r="E81" i="24"/>
  <c r="I80" i="24"/>
  <c r="H80" i="24"/>
  <c r="G80" i="24"/>
  <c r="F80" i="24"/>
  <c r="E80" i="24"/>
  <c r="I78" i="24"/>
  <c r="H78" i="24"/>
  <c r="G78" i="24"/>
  <c r="F78" i="24"/>
  <c r="I77" i="24"/>
  <c r="H77" i="24"/>
  <c r="G77" i="24"/>
  <c r="F77" i="24"/>
  <c r="I76" i="24"/>
  <c r="H76" i="24"/>
  <c r="G76" i="24"/>
  <c r="F76" i="24"/>
  <c r="I75" i="24"/>
  <c r="H75" i="24"/>
  <c r="G75" i="24"/>
  <c r="F75" i="24"/>
  <c r="I74" i="24"/>
  <c r="H74" i="24"/>
  <c r="G74" i="24"/>
  <c r="F74" i="24"/>
  <c r="I73" i="24"/>
  <c r="H73" i="24"/>
  <c r="G73" i="24"/>
  <c r="F73" i="24"/>
  <c r="E73" i="24"/>
  <c r="I72" i="24"/>
  <c r="H72" i="24"/>
  <c r="G72" i="24"/>
  <c r="F72" i="24"/>
  <c r="E72" i="24"/>
  <c r="I70" i="24"/>
  <c r="H70" i="24"/>
  <c r="G70" i="24"/>
  <c r="F70" i="24"/>
  <c r="I69" i="24"/>
  <c r="H69" i="24"/>
  <c r="G69" i="24"/>
  <c r="F69" i="24"/>
  <c r="I68" i="24"/>
  <c r="H68" i="24"/>
  <c r="G68" i="24"/>
  <c r="F68" i="24"/>
  <c r="I67" i="24"/>
  <c r="H67" i="24"/>
  <c r="G67" i="24"/>
  <c r="F67" i="24"/>
  <c r="I66" i="24"/>
  <c r="H66" i="24"/>
  <c r="G66" i="24"/>
  <c r="F66" i="24"/>
  <c r="I65" i="24"/>
  <c r="H65" i="24"/>
  <c r="G65" i="24"/>
  <c r="F65" i="24"/>
  <c r="E65" i="24"/>
  <c r="I64" i="24"/>
  <c r="H64" i="24"/>
  <c r="G64" i="24"/>
  <c r="F64" i="24"/>
  <c r="E64" i="24"/>
  <c r="I62" i="24"/>
  <c r="H62" i="24"/>
  <c r="G62" i="24"/>
  <c r="F62" i="24"/>
  <c r="I61" i="24"/>
  <c r="H61" i="24"/>
  <c r="G61" i="24"/>
  <c r="F61" i="24"/>
  <c r="I60" i="24"/>
  <c r="H60" i="24"/>
  <c r="G60" i="24"/>
  <c r="F60" i="24"/>
  <c r="I59" i="24"/>
  <c r="H59" i="24"/>
  <c r="G59" i="24"/>
  <c r="F59" i="24"/>
  <c r="I58" i="24"/>
  <c r="H58" i="24"/>
  <c r="G58" i="24"/>
  <c r="F58" i="24"/>
  <c r="I57" i="24"/>
  <c r="H57" i="24"/>
  <c r="G57" i="24"/>
  <c r="F57" i="24"/>
  <c r="E57" i="24"/>
  <c r="I56" i="24"/>
  <c r="H56" i="24"/>
  <c r="G56" i="24"/>
  <c r="F56" i="24"/>
  <c r="E56" i="24"/>
  <c r="I54" i="24"/>
  <c r="H54" i="24"/>
  <c r="G54" i="24"/>
  <c r="F54" i="24"/>
  <c r="I53" i="24"/>
  <c r="H53" i="24"/>
  <c r="G53" i="24"/>
  <c r="F53" i="24"/>
  <c r="I52" i="24"/>
  <c r="H52" i="24"/>
  <c r="G52" i="24"/>
  <c r="F52" i="24"/>
  <c r="I51" i="24"/>
  <c r="H51" i="24"/>
  <c r="G51" i="24"/>
  <c r="F51" i="24"/>
  <c r="I50" i="24"/>
  <c r="H50" i="24"/>
  <c r="G50" i="24"/>
  <c r="F50" i="24"/>
  <c r="I49" i="24"/>
  <c r="H49" i="24"/>
  <c r="G49" i="24"/>
  <c r="F49" i="24"/>
  <c r="E49" i="24"/>
  <c r="I48" i="24"/>
  <c r="H48" i="24"/>
  <c r="G48" i="24"/>
  <c r="F48" i="24"/>
  <c r="E48" i="24"/>
  <c r="I46" i="24"/>
  <c r="H46" i="24"/>
  <c r="G46" i="24"/>
  <c r="F46" i="24"/>
  <c r="I45" i="24"/>
  <c r="H45" i="24"/>
  <c r="G45" i="24"/>
  <c r="F45" i="24"/>
  <c r="I44" i="24"/>
  <c r="H44" i="24"/>
  <c r="G44" i="24"/>
  <c r="F44" i="24"/>
  <c r="I43" i="24"/>
  <c r="H43" i="24"/>
  <c r="G43" i="24"/>
  <c r="F43" i="24"/>
  <c r="I42" i="24"/>
  <c r="H42" i="24"/>
  <c r="G42" i="24"/>
  <c r="F42" i="24"/>
  <c r="I41" i="24"/>
  <c r="H41" i="24"/>
  <c r="G41" i="24"/>
  <c r="F41" i="24"/>
  <c r="I40" i="24"/>
  <c r="H40" i="24"/>
  <c r="G40" i="24"/>
  <c r="F40" i="24"/>
  <c r="I38" i="24"/>
  <c r="H38" i="24"/>
  <c r="G38" i="24"/>
  <c r="F38" i="24"/>
  <c r="I37" i="24"/>
  <c r="H37" i="24"/>
  <c r="G37" i="24"/>
  <c r="F37" i="24"/>
  <c r="I36" i="24"/>
  <c r="H36" i="24"/>
  <c r="G36" i="24"/>
  <c r="F36" i="24"/>
  <c r="I35" i="24"/>
  <c r="H35" i="24"/>
  <c r="G35" i="24"/>
  <c r="F35" i="24"/>
  <c r="I34" i="24"/>
  <c r="H34" i="24"/>
  <c r="G34" i="24"/>
  <c r="F34" i="24"/>
  <c r="I33" i="24"/>
  <c r="H33" i="24"/>
  <c r="G33" i="24"/>
  <c r="F33" i="24"/>
  <c r="E33" i="24"/>
  <c r="I32" i="24"/>
  <c r="H32" i="24"/>
  <c r="G32" i="24"/>
  <c r="F32" i="24"/>
  <c r="E32" i="24"/>
  <c r="I22" i="24"/>
  <c r="H22" i="24"/>
  <c r="G22" i="24"/>
  <c r="F22" i="24"/>
  <c r="E22" i="24"/>
  <c r="I13" i="24"/>
  <c r="I21" i="24"/>
  <c r="H13" i="24"/>
  <c r="H21" i="24"/>
  <c r="G13" i="24"/>
  <c r="G21" i="24"/>
  <c r="F13" i="24"/>
  <c r="F21" i="24"/>
  <c r="E21" i="24"/>
  <c r="I20" i="24"/>
  <c r="I11" i="24"/>
  <c r="I19" i="24"/>
  <c r="H11" i="24"/>
  <c r="H19" i="24"/>
  <c r="G11" i="24"/>
  <c r="G19" i="24"/>
  <c r="F11" i="24"/>
  <c r="F19" i="24"/>
  <c r="E19" i="24"/>
  <c r="I10" i="24"/>
  <c r="I18" i="24"/>
  <c r="H10" i="24"/>
  <c r="H18" i="24"/>
  <c r="G10" i="24"/>
  <c r="G18" i="24"/>
  <c r="F10" i="24"/>
  <c r="F18" i="24"/>
  <c r="E18" i="24"/>
  <c r="I9" i="24"/>
  <c r="H9" i="24"/>
  <c r="G9" i="24"/>
  <c r="F25" i="24"/>
  <c r="F9" i="24"/>
  <c r="H8" i="24"/>
  <c r="H24" i="24" s="1"/>
  <c r="G8" i="24"/>
  <c r="G16" i="24"/>
  <c r="F8" i="24"/>
  <c r="F16" i="24"/>
  <c r="F17" i="24"/>
  <c r="E442" i="21"/>
  <c r="E441" i="21"/>
  <c r="E440" i="21"/>
  <c r="E439" i="21"/>
  <c r="E438" i="21"/>
  <c r="F437" i="21"/>
  <c r="E437" i="21" s="1"/>
  <c r="I436" i="21"/>
  <c r="H436" i="21"/>
  <c r="G436" i="21"/>
  <c r="F436" i="21"/>
  <c r="I435" i="21"/>
  <c r="H435" i="21"/>
  <c r="G435" i="21"/>
  <c r="F435" i="21"/>
  <c r="I434" i="21"/>
  <c r="H434" i="21"/>
  <c r="G434" i="21"/>
  <c r="F434" i="21"/>
  <c r="I433" i="21"/>
  <c r="H433" i="21"/>
  <c r="F433" i="21"/>
  <c r="F427" i="21" s="1"/>
  <c r="E427" i="21" s="1"/>
  <c r="G433" i="21"/>
  <c r="I432" i="21"/>
  <c r="H432" i="21"/>
  <c r="G432" i="21"/>
  <c r="F432" i="21"/>
  <c r="F426" i="21" s="1"/>
  <c r="E426" i="21" s="1"/>
  <c r="E424" i="21"/>
  <c r="E418" i="21" s="1"/>
  <c r="E423" i="21"/>
  <c r="E417" i="21" s="1"/>
  <c r="E421" i="21"/>
  <c r="E415" i="21" s="1"/>
  <c r="E420" i="21"/>
  <c r="E414" i="21" s="1"/>
  <c r="I419" i="21"/>
  <c r="I413" i="21" s="1"/>
  <c r="H419" i="21"/>
  <c r="H413" i="21" s="1"/>
  <c r="G419" i="21"/>
  <c r="F419" i="21"/>
  <c r="F413" i="21" s="1"/>
  <c r="I418" i="21"/>
  <c r="H418" i="21"/>
  <c r="G418" i="21"/>
  <c r="F418" i="21"/>
  <c r="I417" i="21"/>
  <c r="H417" i="21"/>
  <c r="G417" i="21"/>
  <c r="F417" i="21"/>
  <c r="I416" i="21"/>
  <c r="H416" i="21"/>
  <c r="G416" i="21"/>
  <c r="F416" i="21"/>
  <c r="I415" i="21"/>
  <c r="H415" i="21"/>
  <c r="G415" i="21"/>
  <c r="F415" i="21"/>
  <c r="I414" i="21"/>
  <c r="H414" i="21"/>
  <c r="G414" i="21"/>
  <c r="F414" i="21"/>
  <c r="E412" i="21"/>
  <c r="E411" i="21"/>
  <c r="E410" i="21"/>
  <c r="E409" i="21"/>
  <c r="E408" i="21"/>
  <c r="I407" i="21"/>
  <c r="H407" i="21"/>
  <c r="G407" i="21"/>
  <c r="F407" i="21"/>
  <c r="E406" i="21"/>
  <c r="E405" i="21"/>
  <c r="E404" i="21"/>
  <c r="E403" i="21"/>
  <c r="E402" i="21"/>
  <c r="I401" i="21"/>
  <c r="H401" i="21"/>
  <c r="G401" i="21"/>
  <c r="F401" i="21"/>
  <c r="E400" i="21"/>
  <c r="E399" i="21"/>
  <c r="E398" i="21"/>
  <c r="E397" i="21"/>
  <c r="E396" i="21"/>
  <c r="I395" i="21"/>
  <c r="H395" i="21"/>
  <c r="G395" i="21"/>
  <c r="F395" i="21"/>
  <c r="E394" i="21"/>
  <c r="E393" i="21"/>
  <c r="E392" i="21"/>
  <c r="E391" i="21"/>
  <c r="E390" i="21"/>
  <c r="I389" i="21"/>
  <c r="H389" i="21"/>
  <c r="G389" i="21"/>
  <c r="F389" i="21"/>
  <c r="E388" i="21"/>
  <c r="E387" i="21"/>
  <c r="E386" i="21"/>
  <c r="E385" i="21"/>
  <c r="E384" i="21"/>
  <c r="I383" i="21"/>
  <c r="H383" i="21"/>
  <c r="G383" i="21"/>
  <c r="F383" i="21"/>
  <c r="E382" i="21"/>
  <c r="E381" i="21"/>
  <c r="E380" i="21"/>
  <c r="E379" i="21"/>
  <c r="E378" i="21"/>
  <c r="I377" i="21"/>
  <c r="H377" i="21"/>
  <c r="G377" i="21"/>
  <c r="F377" i="21"/>
  <c r="E376" i="21"/>
  <c r="E375" i="21"/>
  <c r="E374" i="21"/>
  <c r="E373" i="21"/>
  <c r="E372" i="21"/>
  <c r="I371" i="21"/>
  <c r="H371" i="21"/>
  <c r="G371" i="21"/>
  <c r="F371" i="21"/>
  <c r="E370" i="21"/>
  <c r="E369" i="21"/>
  <c r="E368" i="21"/>
  <c r="E367" i="21"/>
  <c r="E366" i="21"/>
  <c r="I365" i="21"/>
  <c r="H365" i="21"/>
  <c r="G365" i="21"/>
  <c r="F365" i="21"/>
  <c r="E364" i="21"/>
  <c r="E363" i="21"/>
  <c r="E362" i="21"/>
  <c r="E361" i="21"/>
  <c r="E360" i="21"/>
  <c r="I359" i="21"/>
  <c r="H359" i="21"/>
  <c r="G359" i="21"/>
  <c r="F359" i="21"/>
  <c r="E358" i="21"/>
  <c r="E357" i="21"/>
  <c r="E356" i="21"/>
  <c r="E355" i="21"/>
  <c r="E354" i="21"/>
  <c r="I353" i="21"/>
  <c r="H353" i="21"/>
  <c r="G353" i="21"/>
  <c r="F353" i="21"/>
  <c r="E352" i="21"/>
  <c r="E351" i="21"/>
  <c r="E350" i="21"/>
  <c r="E349" i="21"/>
  <c r="E348" i="21"/>
  <c r="I347" i="21"/>
  <c r="H347" i="21"/>
  <c r="G347" i="21"/>
  <c r="F347" i="21"/>
  <c r="E346" i="21"/>
  <c r="E345" i="21"/>
  <c r="E344" i="21"/>
  <c r="E343" i="21"/>
  <c r="E342" i="21"/>
  <c r="I341" i="21"/>
  <c r="H341" i="21"/>
  <c r="G341" i="21"/>
  <c r="F341" i="21"/>
  <c r="E340" i="21"/>
  <c r="E339" i="21"/>
  <c r="E338" i="21"/>
  <c r="E337" i="21"/>
  <c r="E336" i="21"/>
  <c r="I335" i="21"/>
  <c r="H335" i="21"/>
  <c r="G335" i="21"/>
  <c r="F335" i="21"/>
  <c r="E334" i="21"/>
  <c r="E333" i="21"/>
  <c r="E332" i="21"/>
  <c r="E331" i="21"/>
  <c r="E330" i="21"/>
  <c r="I329" i="21"/>
  <c r="H329" i="21"/>
  <c r="G329" i="21"/>
  <c r="F329" i="21"/>
  <c r="E328" i="21"/>
  <c r="E327" i="21"/>
  <c r="E326" i="21"/>
  <c r="E325" i="21"/>
  <c r="E324" i="21"/>
  <c r="I323" i="21"/>
  <c r="H323" i="21"/>
  <c r="G323" i="21"/>
  <c r="F323" i="21"/>
  <c r="E322" i="21"/>
  <c r="E321" i="21"/>
  <c r="E320" i="21"/>
  <c r="E319" i="21"/>
  <c r="E318" i="21"/>
  <c r="I317" i="21"/>
  <c r="H317" i="21"/>
  <c r="G317" i="21"/>
  <c r="F317" i="21"/>
  <c r="E316" i="21"/>
  <c r="E315" i="21"/>
  <c r="E314" i="21"/>
  <c r="E313" i="21"/>
  <c r="E312" i="21"/>
  <c r="I311" i="21"/>
  <c r="H311" i="21"/>
  <c r="G311" i="21"/>
  <c r="F311" i="21"/>
  <c r="E310" i="21"/>
  <c r="E309" i="21"/>
  <c r="E308" i="21"/>
  <c r="E307" i="21"/>
  <c r="E306" i="21"/>
  <c r="I305" i="21"/>
  <c r="H305" i="21"/>
  <c r="G305" i="21"/>
  <c r="F305" i="21"/>
  <c r="I304" i="21"/>
  <c r="H304" i="21"/>
  <c r="G304" i="21"/>
  <c r="G226" i="21"/>
  <c r="F304" i="21"/>
  <c r="F226" i="21"/>
  <c r="I303" i="21"/>
  <c r="H303" i="21"/>
  <c r="G303" i="21"/>
  <c r="F303" i="21"/>
  <c r="I302" i="21"/>
  <c r="H302" i="21"/>
  <c r="G302" i="21"/>
  <c r="F302" i="21"/>
  <c r="I301" i="21"/>
  <c r="H301" i="21"/>
  <c r="G301" i="21"/>
  <c r="F301" i="21"/>
  <c r="I300" i="21"/>
  <c r="H300" i="21"/>
  <c r="G300" i="21"/>
  <c r="F300" i="21"/>
  <c r="E298" i="21"/>
  <c r="E297" i="21"/>
  <c r="E296" i="21"/>
  <c r="E295" i="21"/>
  <c r="E294" i="21"/>
  <c r="I293" i="21"/>
  <c r="H293" i="21"/>
  <c r="G293" i="21"/>
  <c r="F293" i="21"/>
  <c r="E292" i="21"/>
  <c r="E291" i="21"/>
  <c r="E290" i="21"/>
  <c r="E289" i="21"/>
  <c r="E288" i="21"/>
  <c r="I287" i="21"/>
  <c r="H287" i="21"/>
  <c r="G287" i="21"/>
  <c r="F287" i="21"/>
  <c r="E286" i="21"/>
  <c r="E285" i="21"/>
  <c r="E284" i="21"/>
  <c r="E283" i="21"/>
  <c r="E282" i="21"/>
  <c r="I281" i="21"/>
  <c r="H281" i="21"/>
  <c r="G281" i="21"/>
  <c r="F281" i="21"/>
  <c r="E280" i="21"/>
  <c r="E279" i="21"/>
  <c r="E278" i="21"/>
  <c r="E277" i="21"/>
  <c r="E276" i="21"/>
  <c r="I275" i="21"/>
  <c r="H275" i="21"/>
  <c r="G275" i="21"/>
  <c r="F275" i="21"/>
  <c r="E274" i="21"/>
  <c r="E273" i="21"/>
  <c r="E272" i="21"/>
  <c r="E271" i="21"/>
  <c r="E270" i="21"/>
  <c r="I269" i="21"/>
  <c r="H269" i="21"/>
  <c r="G269" i="21"/>
  <c r="F269" i="21"/>
  <c r="E268" i="21"/>
  <c r="E267" i="21"/>
  <c r="E266" i="21"/>
  <c r="E265" i="21"/>
  <c r="E264" i="21"/>
  <c r="I263" i="21"/>
  <c r="H263" i="21"/>
  <c r="G263" i="21"/>
  <c r="F263" i="21"/>
  <c r="E262" i="21"/>
  <c r="E261" i="21"/>
  <c r="E260" i="21"/>
  <c r="E259" i="21"/>
  <c r="E258" i="21"/>
  <c r="I257" i="21"/>
  <c r="H257" i="21"/>
  <c r="G257" i="21"/>
  <c r="F257" i="21"/>
  <c r="E256" i="21"/>
  <c r="E255" i="21"/>
  <c r="E254" i="21"/>
  <c r="E253" i="21"/>
  <c r="E252" i="21"/>
  <c r="I251" i="21"/>
  <c r="H251" i="21"/>
  <c r="G251" i="21"/>
  <c r="F251" i="21"/>
  <c r="E250" i="21"/>
  <c r="E249" i="21"/>
  <c r="E248" i="21"/>
  <c r="E247" i="21"/>
  <c r="E246" i="21"/>
  <c r="I245" i="21"/>
  <c r="H245" i="21"/>
  <c r="G245" i="21"/>
  <c r="F245" i="21"/>
  <c r="E244" i="21"/>
  <c r="E243" i="21"/>
  <c r="E242" i="21"/>
  <c r="E241" i="21"/>
  <c r="E240" i="21"/>
  <c r="I239" i="21"/>
  <c r="H239" i="21"/>
  <c r="G239" i="21"/>
  <c r="F239" i="21"/>
  <c r="E238" i="21"/>
  <c r="E237" i="21"/>
  <c r="E236" i="21"/>
  <c r="E235" i="21"/>
  <c r="E234" i="21"/>
  <c r="I233" i="21"/>
  <c r="H233" i="21"/>
  <c r="G233" i="21"/>
  <c r="F233" i="21"/>
  <c r="E232" i="21"/>
  <c r="E231" i="21"/>
  <c r="E230" i="21"/>
  <c r="E229" i="21"/>
  <c r="E228" i="21"/>
  <c r="I227" i="21"/>
  <c r="H227" i="21"/>
  <c r="G227" i="21"/>
  <c r="F227" i="21"/>
  <c r="I226" i="21"/>
  <c r="H226" i="21"/>
  <c r="I225" i="21"/>
  <c r="H225" i="21"/>
  <c r="G225" i="21"/>
  <c r="F225" i="21"/>
  <c r="I224" i="21"/>
  <c r="H224" i="21"/>
  <c r="G224" i="21"/>
  <c r="F224" i="21"/>
  <c r="I223" i="21"/>
  <c r="H223" i="21"/>
  <c r="G223" i="21"/>
  <c r="F223" i="21"/>
  <c r="I222" i="21"/>
  <c r="H222" i="21"/>
  <c r="G222" i="21"/>
  <c r="F222" i="21"/>
  <c r="E214" i="21"/>
  <c r="E213" i="21"/>
  <c r="E212" i="21"/>
  <c r="E211" i="21"/>
  <c r="E210" i="21"/>
  <c r="I209" i="21"/>
  <c r="H209" i="21"/>
  <c r="G209" i="21"/>
  <c r="F209" i="21"/>
  <c r="E208" i="21"/>
  <c r="E207" i="21"/>
  <c r="E206" i="21"/>
  <c r="E205" i="21"/>
  <c r="E204" i="21"/>
  <c r="I203" i="21"/>
  <c r="H203" i="21"/>
  <c r="G203" i="21"/>
  <c r="F203" i="21"/>
  <c r="E202" i="21"/>
  <c r="E201" i="21"/>
  <c r="E200" i="21"/>
  <c r="E199" i="21"/>
  <c r="E198" i="21"/>
  <c r="I197" i="21"/>
  <c r="H197" i="21"/>
  <c r="G197" i="21"/>
  <c r="F197" i="21"/>
  <c r="E196" i="21"/>
  <c r="E195" i="21"/>
  <c r="E194" i="21"/>
  <c r="E193" i="21"/>
  <c r="E192" i="21"/>
  <c r="I191" i="21"/>
  <c r="H191" i="21"/>
  <c r="G191" i="21"/>
  <c r="F191" i="21"/>
  <c r="I190" i="21"/>
  <c r="H190" i="21"/>
  <c r="G190" i="21"/>
  <c r="F190" i="21"/>
  <c r="I189" i="21"/>
  <c r="H189" i="21"/>
  <c r="G189" i="21"/>
  <c r="F189" i="21"/>
  <c r="I188" i="21"/>
  <c r="H188" i="21"/>
  <c r="G188" i="21"/>
  <c r="F188" i="21"/>
  <c r="I187" i="21"/>
  <c r="H187" i="21"/>
  <c r="G187" i="21"/>
  <c r="F187" i="21"/>
  <c r="I186" i="21"/>
  <c r="H186" i="21"/>
  <c r="G186" i="21"/>
  <c r="F186" i="21"/>
  <c r="E184" i="21"/>
  <c r="E183" i="21"/>
  <c r="E182" i="21"/>
  <c r="E181" i="21"/>
  <c r="E180" i="21"/>
  <c r="I179" i="21"/>
  <c r="H179" i="21"/>
  <c r="G179" i="21"/>
  <c r="F179" i="21"/>
  <c r="E178" i="21"/>
  <c r="E177" i="21"/>
  <c r="E176" i="21"/>
  <c r="E175" i="21"/>
  <c r="E174" i="21"/>
  <c r="I173" i="21"/>
  <c r="H173" i="21"/>
  <c r="G173" i="21"/>
  <c r="F173" i="21"/>
  <c r="E172" i="21"/>
  <c r="E171" i="21"/>
  <c r="E170" i="21"/>
  <c r="E169" i="21"/>
  <c r="E168" i="21"/>
  <c r="I167" i="21"/>
  <c r="H167" i="21"/>
  <c r="G167" i="21"/>
  <c r="F167" i="21"/>
  <c r="E166" i="21"/>
  <c r="E165" i="21"/>
  <c r="I163" i="21"/>
  <c r="I157" i="21" s="1"/>
  <c r="H163" i="21"/>
  <c r="H157" i="21" s="1"/>
  <c r="G163" i="21"/>
  <c r="I162" i="21"/>
  <c r="I156" i="21" s="1"/>
  <c r="H162" i="21"/>
  <c r="H156" i="21" s="1"/>
  <c r="G162" i="21"/>
  <c r="G156" i="21" s="1"/>
  <c r="F161" i="21"/>
  <c r="I160" i="21"/>
  <c r="H160" i="21"/>
  <c r="G160" i="21"/>
  <c r="F160" i="21"/>
  <c r="I159" i="21"/>
  <c r="H159" i="21"/>
  <c r="G159" i="21"/>
  <c r="F159" i="21"/>
  <c r="F157" i="21"/>
  <c r="F156" i="21"/>
  <c r="E154" i="21"/>
  <c r="E153" i="21"/>
  <c r="E150" i="21"/>
  <c r="I149" i="21"/>
  <c r="H149" i="21"/>
  <c r="F149" i="21"/>
  <c r="G149" i="21"/>
  <c r="E148" i="21"/>
  <c r="E147" i="21"/>
  <c r="E146" i="21"/>
  <c r="E144" i="21"/>
  <c r="I143" i="21"/>
  <c r="F143" i="21"/>
  <c r="G143" i="21"/>
  <c r="H143" i="21"/>
  <c r="E142" i="21"/>
  <c r="E141" i="21"/>
  <c r="E140" i="21"/>
  <c r="E139" i="21"/>
  <c r="E138" i="21"/>
  <c r="I137" i="21"/>
  <c r="H137" i="21"/>
  <c r="G137" i="21"/>
  <c r="F137" i="21"/>
  <c r="E136" i="21"/>
  <c r="E135" i="21"/>
  <c r="E134" i="21"/>
  <c r="E133" i="21"/>
  <c r="E132" i="21"/>
  <c r="I131" i="21"/>
  <c r="H131" i="21"/>
  <c r="G131" i="21"/>
  <c r="F131" i="21"/>
  <c r="E130" i="21"/>
  <c r="E129" i="21"/>
  <c r="E128" i="21"/>
  <c r="E127" i="21"/>
  <c r="E126" i="21"/>
  <c r="I125" i="21"/>
  <c r="H125" i="21"/>
  <c r="G125" i="21"/>
  <c r="F125" i="21"/>
  <c r="E124" i="21"/>
  <c r="E123" i="21"/>
  <c r="E122" i="21"/>
  <c r="E121" i="21"/>
  <c r="E120" i="21"/>
  <c r="I119" i="21"/>
  <c r="H119" i="21"/>
  <c r="G119" i="21"/>
  <c r="F119" i="21"/>
  <c r="E118" i="21"/>
  <c r="E117" i="21"/>
  <c r="E116" i="21"/>
  <c r="E115" i="21"/>
  <c r="E114" i="21"/>
  <c r="I113" i="21"/>
  <c r="H113" i="21"/>
  <c r="G113" i="21"/>
  <c r="F113" i="21"/>
  <c r="E112" i="21"/>
  <c r="E111" i="21"/>
  <c r="E110" i="21"/>
  <c r="E109" i="21"/>
  <c r="E108" i="21"/>
  <c r="I107" i="21"/>
  <c r="H107" i="21"/>
  <c r="G107" i="21"/>
  <c r="F107" i="21"/>
  <c r="E106" i="21"/>
  <c r="E105" i="21"/>
  <c r="E104" i="21"/>
  <c r="E103" i="21"/>
  <c r="E102" i="21"/>
  <c r="I101" i="21"/>
  <c r="H101" i="21"/>
  <c r="G101" i="21"/>
  <c r="F101" i="21"/>
  <c r="I100" i="21"/>
  <c r="I94" i="21" s="1"/>
  <c r="H100" i="21"/>
  <c r="G100" i="21"/>
  <c r="G94" i="21" s="1"/>
  <c r="I99" i="21"/>
  <c r="I93" i="21" s="1"/>
  <c r="H99" i="21"/>
  <c r="H93" i="21" s="1"/>
  <c r="G99" i="21"/>
  <c r="G93" i="21" s="1"/>
  <c r="I98" i="21"/>
  <c r="I92" i="21" s="1"/>
  <c r="H98" i="21"/>
  <c r="H92" i="21" s="1"/>
  <c r="G98" i="21"/>
  <c r="G92" i="21" s="1"/>
  <c r="I97" i="21"/>
  <c r="I91" i="21" s="1"/>
  <c r="H97" i="21"/>
  <c r="H91" i="21" s="1"/>
  <c r="G97" i="21"/>
  <c r="G91" i="21" s="1"/>
  <c r="I96" i="21"/>
  <c r="I90" i="21" s="1"/>
  <c r="H96" i="21"/>
  <c r="H90" i="21" s="1"/>
  <c r="G96" i="21"/>
  <c r="G90" i="21" s="1"/>
  <c r="F95" i="21"/>
  <c r="F94" i="21"/>
  <c r="F93" i="21"/>
  <c r="F92" i="21"/>
  <c r="F91" i="21"/>
  <c r="F90" i="21"/>
  <c r="E82" i="21"/>
  <c r="E81" i="21"/>
  <c r="E80" i="21"/>
  <c r="E79" i="21"/>
  <c r="E78" i="21"/>
  <c r="I77" i="21"/>
  <c r="H77" i="21"/>
  <c r="G77" i="21"/>
  <c r="F77" i="21"/>
  <c r="E76" i="21"/>
  <c r="E75" i="21"/>
  <c r="E74" i="21"/>
  <c r="E73" i="21"/>
  <c r="E72" i="21"/>
  <c r="I71" i="21"/>
  <c r="H71" i="21"/>
  <c r="G71" i="21"/>
  <c r="F71" i="21"/>
  <c r="E70" i="21"/>
  <c r="E69" i="21"/>
  <c r="E68" i="21"/>
  <c r="E67" i="21"/>
  <c r="E66" i="21"/>
  <c r="I65" i="21"/>
  <c r="H65" i="21"/>
  <c r="G65" i="21"/>
  <c r="F65" i="21"/>
  <c r="I64" i="21"/>
  <c r="H64" i="21"/>
  <c r="G64" i="21"/>
  <c r="G22" i="21"/>
  <c r="F64" i="21"/>
  <c r="I63" i="21"/>
  <c r="H63" i="21"/>
  <c r="H21" i="21"/>
  <c r="G63" i="21"/>
  <c r="F63" i="21"/>
  <c r="I62" i="21"/>
  <c r="I20" i="21"/>
  <c r="H62" i="21"/>
  <c r="H60" i="21"/>
  <c r="H61" i="21"/>
  <c r="G62" i="21"/>
  <c r="F62" i="21"/>
  <c r="I61" i="21"/>
  <c r="G61" i="21"/>
  <c r="F61" i="21"/>
  <c r="F19" i="21"/>
  <c r="I60" i="21"/>
  <c r="G60" i="21"/>
  <c r="F60" i="21"/>
  <c r="E58" i="21"/>
  <c r="E57" i="21"/>
  <c r="E56" i="21"/>
  <c r="E55" i="21"/>
  <c r="E54" i="21"/>
  <c r="I53" i="21"/>
  <c r="H53" i="21"/>
  <c r="G53" i="21"/>
  <c r="F53" i="21"/>
  <c r="E52" i="21"/>
  <c r="E51" i="21"/>
  <c r="E50" i="21"/>
  <c r="E49" i="21"/>
  <c r="E48" i="21"/>
  <c r="I47" i="21"/>
  <c r="H47" i="21"/>
  <c r="G47" i="21"/>
  <c r="F47" i="21"/>
  <c r="E46" i="21"/>
  <c r="E45" i="21"/>
  <c r="E44" i="21"/>
  <c r="E43" i="21"/>
  <c r="E42" i="21"/>
  <c r="I41" i="21"/>
  <c r="H41" i="21"/>
  <c r="G41" i="21"/>
  <c r="F41" i="21"/>
  <c r="E40" i="21"/>
  <c r="E39" i="21"/>
  <c r="E38" i="21"/>
  <c r="E37" i="21"/>
  <c r="E36" i="21"/>
  <c r="I35" i="21"/>
  <c r="H35" i="21"/>
  <c r="G35" i="21"/>
  <c r="F35" i="21"/>
  <c r="E34" i="21"/>
  <c r="E33" i="21"/>
  <c r="E32" i="21"/>
  <c r="E31" i="21"/>
  <c r="E30" i="21"/>
  <c r="I29" i="21"/>
  <c r="H29" i="21"/>
  <c r="G29" i="21"/>
  <c r="F29" i="21"/>
  <c r="E28" i="21"/>
  <c r="E27" i="21"/>
  <c r="E26" i="21"/>
  <c r="E25" i="21"/>
  <c r="E24" i="21"/>
  <c r="I23" i="21"/>
  <c r="H23" i="21"/>
  <c r="G23" i="21"/>
  <c r="F23" i="21"/>
  <c r="I22" i="21"/>
  <c r="H22" i="21"/>
  <c r="F22" i="21"/>
  <c r="I21" i="21"/>
  <c r="G21" i="21"/>
  <c r="F21" i="21"/>
  <c r="H20" i="21"/>
  <c r="G20" i="21"/>
  <c r="F20" i="21"/>
  <c r="I19" i="21"/>
  <c r="H19" i="21"/>
  <c r="G19" i="21"/>
  <c r="I18" i="21"/>
  <c r="H18" i="21"/>
  <c r="G18" i="21"/>
  <c r="F18" i="21"/>
  <c r="F43" i="31"/>
  <c r="E97" i="31"/>
  <c r="H179" i="20"/>
  <c r="D73" i="31"/>
  <c r="F410" i="20"/>
  <c r="E410" i="20" s="1"/>
  <c r="H185" i="21" l="1"/>
  <c r="C12" i="31"/>
  <c r="C11" i="31" s="1"/>
  <c r="I413" i="20"/>
  <c r="F70" i="31"/>
  <c r="E70" i="31"/>
  <c r="E43" i="31"/>
  <c r="D44" i="36"/>
  <c r="I185" i="35"/>
  <c r="E68" i="36"/>
  <c r="E32" i="31"/>
  <c r="G15" i="20"/>
  <c r="E218" i="20"/>
  <c r="G213" i="20"/>
  <c r="E377" i="20"/>
  <c r="F74" i="31"/>
  <c r="G220" i="35"/>
  <c r="E30" i="36"/>
  <c r="F62" i="31"/>
  <c r="D92" i="36"/>
  <c r="F97" i="31"/>
  <c r="E64" i="20"/>
  <c r="G212" i="20"/>
  <c r="H213" i="20"/>
  <c r="F211" i="20"/>
  <c r="H210" i="20"/>
  <c r="F218" i="35"/>
  <c r="E298" i="20"/>
  <c r="E317" i="35"/>
  <c r="G16" i="21"/>
  <c r="E182" i="20"/>
  <c r="E216" i="20"/>
  <c r="E251" i="35"/>
  <c r="F103" i="36"/>
  <c r="J124" i="25"/>
  <c r="E131" i="21"/>
  <c r="E57" i="36"/>
  <c r="K108" i="25"/>
  <c r="F39" i="36"/>
  <c r="F34" i="36" s="1"/>
  <c r="F33" i="36" s="1"/>
  <c r="E24" i="31"/>
  <c r="D81" i="31"/>
  <c r="I165" i="25"/>
  <c r="E233" i="20"/>
  <c r="E257" i="20"/>
  <c r="I293" i="20"/>
  <c r="F293" i="20"/>
  <c r="E294" i="20"/>
  <c r="E16" i="31"/>
  <c r="F13" i="35"/>
  <c r="G216" i="35"/>
  <c r="F220" i="35"/>
  <c r="G305" i="35"/>
  <c r="I16" i="21"/>
  <c r="F299" i="21"/>
  <c r="E233" i="35"/>
  <c r="H15" i="20"/>
  <c r="F15" i="35"/>
  <c r="E62" i="35"/>
  <c r="I217" i="35"/>
  <c r="E299" i="35"/>
  <c r="E440" i="35"/>
  <c r="F57" i="36"/>
  <c r="F86" i="21"/>
  <c r="E91" i="31"/>
  <c r="E90" i="31" s="1"/>
  <c r="H12" i="35"/>
  <c r="C51" i="31"/>
  <c r="C50" i="31" s="1"/>
  <c r="I133" i="25"/>
  <c r="E287" i="35"/>
  <c r="F185" i="21"/>
  <c r="E190" i="21"/>
  <c r="I299" i="21"/>
  <c r="K116" i="25"/>
  <c r="H215" i="20"/>
  <c r="E305" i="20"/>
  <c r="E329" i="20"/>
  <c r="E353" i="20"/>
  <c r="E401" i="20"/>
  <c r="F220" i="21"/>
  <c r="I39" i="24"/>
  <c r="I111" i="24"/>
  <c r="I13" i="35"/>
  <c r="I16" i="35"/>
  <c r="G218" i="35"/>
  <c r="D18" i="36"/>
  <c r="D13" i="36" s="1"/>
  <c r="I14" i="21"/>
  <c r="E21" i="20"/>
  <c r="E245" i="20"/>
  <c r="E416" i="20"/>
  <c r="E74" i="31"/>
  <c r="F185" i="35"/>
  <c r="F73" i="31"/>
  <c r="I14" i="35"/>
  <c r="I58" i="25"/>
  <c r="H58" i="25" s="1"/>
  <c r="F86" i="35"/>
  <c r="F212" i="20"/>
  <c r="E173" i="20"/>
  <c r="E185" i="20"/>
  <c r="G15" i="35"/>
  <c r="E227" i="35"/>
  <c r="E245" i="35"/>
  <c r="E329" i="35"/>
  <c r="D12" i="31"/>
  <c r="D11" i="31" s="1"/>
  <c r="E11" i="31" s="1"/>
  <c r="E217" i="20"/>
  <c r="D90" i="31"/>
  <c r="D89" i="31" s="1"/>
  <c r="E89" i="31" s="1"/>
  <c r="H211" i="20"/>
  <c r="F60" i="36"/>
  <c r="E122" i="36"/>
  <c r="F16" i="31"/>
  <c r="F12" i="31" s="1"/>
  <c r="I14" i="20"/>
  <c r="F87" i="20"/>
  <c r="E197" i="20"/>
  <c r="E281" i="20"/>
  <c r="G14" i="35"/>
  <c r="E71" i="35"/>
  <c r="E77" i="35"/>
  <c r="E293" i="35"/>
  <c r="E323" i="35"/>
  <c r="I211" i="20"/>
  <c r="G13" i="35"/>
  <c r="H88" i="35"/>
  <c r="E179" i="35"/>
  <c r="F216" i="35"/>
  <c r="G217" i="35"/>
  <c r="F86" i="36"/>
  <c r="H100" i="25"/>
  <c r="E41" i="20"/>
  <c r="F15" i="20"/>
  <c r="F179" i="20"/>
  <c r="E347" i="35"/>
  <c r="H13" i="21"/>
  <c r="I216" i="21"/>
  <c r="I217" i="21"/>
  <c r="I218" i="21"/>
  <c r="I219" i="21"/>
  <c r="E434" i="21"/>
  <c r="C23" i="31"/>
  <c r="E23" i="31" s="1"/>
  <c r="F15" i="21"/>
  <c r="E179" i="21"/>
  <c r="E257" i="21"/>
  <c r="H216" i="21"/>
  <c r="G16" i="20"/>
  <c r="F155" i="35"/>
  <c r="G185" i="21"/>
  <c r="G15" i="21"/>
  <c r="H16" i="20"/>
  <c r="H17" i="20"/>
  <c r="F59" i="20"/>
  <c r="E77" i="20"/>
  <c r="E143" i="20"/>
  <c r="E353" i="35"/>
  <c r="E71" i="21"/>
  <c r="E101" i="21"/>
  <c r="E107" i="21"/>
  <c r="E167" i="21"/>
  <c r="E187" i="21"/>
  <c r="E203" i="21"/>
  <c r="E227" i="21"/>
  <c r="E233" i="21"/>
  <c r="E251" i="21"/>
  <c r="E275" i="21"/>
  <c r="E407" i="21"/>
  <c r="H23" i="25"/>
  <c r="I17" i="20"/>
  <c r="F14" i="20"/>
  <c r="E29" i="20"/>
  <c r="F213" i="20"/>
  <c r="E220" i="20"/>
  <c r="F91" i="31"/>
  <c r="F90" i="31" s="1"/>
  <c r="E219" i="20"/>
  <c r="E18" i="21"/>
  <c r="H14" i="21"/>
  <c r="F16" i="21"/>
  <c r="E47" i="21"/>
  <c r="I59" i="21"/>
  <c r="I13" i="21"/>
  <c r="H12" i="21"/>
  <c r="M67" i="25"/>
  <c r="M76" i="25"/>
  <c r="E341" i="20"/>
  <c r="E53" i="31"/>
  <c r="F24" i="36"/>
  <c r="C95" i="31"/>
  <c r="F95" i="31" s="1"/>
  <c r="E96" i="31"/>
  <c r="F96" i="31"/>
  <c r="G26" i="24"/>
  <c r="H67" i="25"/>
  <c r="H76" i="25"/>
  <c r="F16" i="20"/>
  <c r="E101" i="20"/>
  <c r="E119" i="20"/>
  <c r="E125" i="20"/>
  <c r="E275" i="20"/>
  <c r="I215" i="20"/>
  <c r="E359" i="20"/>
  <c r="E190" i="35"/>
  <c r="E209" i="35"/>
  <c r="E389" i="35"/>
  <c r="E93" i="36"/>
  <c r="F130" i="36"/>
  <c r="F129" i="36" s="1"/>
  <c r="E61" i="21"/>
  <c r="E191" i="21"/>
  <c r="E224" i="21"/>
  <c r="E287" i="21"/>
  <c r="H217" i="21"/>
  <c r="E329" i="21"/>
  <c r="E347" i="21"/>
  <c r="E353" i="21"/>
  <c r="E395" i="21"/>
  <c r="E401" i="21"/>
  <c r="E180" i="20"/>
  <c r="E183" i="20"/>
  <c r="G17" i="35"/>
  <c r="E60" i="21"/>
  <c r="K149" i="25"/>
  <c r="G17" i="20"/>
  <c r="E63" i="20"/>
  <c r="E395" i="20"/>
  <c r="H14" i="35"/>
  <c r="E80" i="36"/>
  <c r="E103" i="36"/>
  <c r="F87" i="31"/>
  <c r="E11" i="36"/>
  <c r="I84" i="21"/>
  <c r="G88" i="21"/>
  <c r="H49" i="25"/>
  <c r="J116" i="25"/>
  <c r="F12" i="20"/>
  <c r="E22" i="20"/>
  <c r="E53" i="20"/>
  <c r="I12" i="20"/>
  <c r="E71" i="20"/>
  <c r="F88" i="20"/>
  <c r="G179" i="20"/>
  <c r="E191" i="20"/>
  <c r="G215" i="20"/>
  <c r="H212" i="20"/>
  <c r="I213" i="20"/>
  <c r="H214" i="20"/>
  <c r="E239" i="20"/>
  <c r="F210" i="20"/>
  <c r="I212" i="20"/>
  <c r="G214" i="20"/>
  <c r="E297" i="20"/>
  <c r="E295" i="20"/>
  <c r="E335" i="20"/>
  <c r="E418" i="20"/>
  <c r="D52" i="31"/>
  <c r="C81" i="31"/>
  <c r="H13" i="35"/>
  <c r="E22" i="35"/>
  <c r="E53" i="35"/>
  <c r="F12" i="35"/>
  <c r="E107" i="35"/>
  <c r="E359" i="35"/>
  <c r="E407" i="35"/>
  <c r="E413" i="35"/>
  <c r="E438" i="35"/>
  <c r="E441" i="35"/>
  <c r="E16" i="36"/>
  <c r="C44" i="36"/>
  <c r="E44" i="36" s="1"/>
  <c r="F49" i="36"/>
  <c r="E60" i="36"/>
  <c r="C67" i="36"/>
  <c r="E86" i="36"/>
  <c r="F122" i="36"/>
  <c r="F135" i="36"/>
  <c r="E137" i="21"/>
  <c r="E239" i="21"/>
  <c r="E263" i="21"/>
  <c r="E302" i="21"/>
  <c r="I431" i="21"/>
  <c r="F24" i="31"/>
  <c r="G12" i="21"/>
  <c r="H17" i="21"/>
  <c r="F13" i="21"/>
  <c r="E62" i="21"/>
  <c r="F218" i="21"/>
  <c r="H218" i="21"/>
  <c r="H220" i="21"/>
  <c r="E293" i="21"/>
  <c r="E311" i="21"/>
  <c r="F431" i="21"/>
  <c r="E60" i="20"/>
  <c r="E131" i="20"/>
  <c r="H15" i="35"/>
  <c r="H16" i="35"/>
  <c r="E65" i="35"/>
  <c r="E137" i="35"/>
  <c r="E143" i="35"/>
  <c r="E149" i="35"/>
  <c r="E203" i="35"/>
  <c r="F221" i="35"/>
  <c r="E281" i="35"/>
  <c r="I220" i="35"/>
  <c r="E377" i="35"/>
  <c r="H217" i="35"/>
  <c r="H219" i="35"/>
  <c r="F45" i="36"/>
  <c r="C12" i="36"/>
  <c r="E160" i="35"/>
  <c r="E96" i="21"/>
  <c r="E90" i="21" s="1"/>
  <c r="E13" i="24"/>
  <c r="E29" i="24" s="1"/>
  <c r="H87" i="24"/>
  <c r="E131" i="24"/>
  <c r="H113" i="25"/>
  <c r="K19" i="25"/>
  <c r="K11" i="25" s="1"/>
  <c r="H121" i="25"/>
  <c r="H122" i="25"/>
  <c r="H123" i="25"/>
  <c r="H131" i="25"/>
  <c r="H140" i="25"/>
  <c r="L149" i="25"/>
  <c r="H156" i="25"/>
  <c r="G28" i="24"/>
  <c r="G88" i="35"/>
  <c r="E163" i="35"/>
  <c r="G225" i="35"/>
  <c r="G219" i="35" s="1"/>
  <c r="G84" i="21"/>
  <c r="E419" i="21"/>
  <c r="E413" i="21" s="1"/>
  <c r="G413" i="21"/>
  <c r="J133" i="25"/>
  <c r="E64" i="21"/>
  <c r="E63" i="21"/>
  <c r="H16" i="21"/>
  <c r="E77" i="21"/>
  <c r="F87" i="21"/>
  <c r="E113" i="21"/>
  <c r="F221" i="21"/>
  <c r="F216" i="21"/>
  <c r="H43" i="25"/>
  <c r="K40" i="25"/>
  <c r="I12" i="21"/>
  <c r="I17" i="21"/>
  <c r="F14" i="21"/>
  <c r="E35" i="21"/>
  <c r="E53" i="21"/>
  <c r="F59" i="21"/>
  <c r="F429" i="21"/>
  <c r="E429" i="21" s="1"/>
  <c r="E435" i="21"/>
  <c r="E436" i="21"/>
  <c r="F430" i="21"/>
  <c r="E430" i="21" s="1"/>
  <c r="E73" i="31"/>
  <c r="F428" i="21"/>
  <c r="E428" i="21" s="1"/>
  <c r="H17" i="25"/>
  <c r="H9" i="25" s="1"/>
  <c r="I221" i="21"/>
  <c r="E20" i="21"/>
  <c r="F12" i="21"/>
  <c r="G17" i="21"/>
  <c r="H15" i="21"/>
  <c r="E359" i="21"/>
  <c r="G431" i="21"/>
  <c r="E433" i="21"/>
  <c r="E188" i="21"/>
  <c r="E209" i="21"/>
  <c r="F217" i="21"/>
  <c r="F219" i="21"/>
  <c r="E281" i="21"/>
  <c r="E301" i="21"/>
  <c r="E317" i="21"/>
  <c r="E335" i="21"/>
  <c r="E383" i="21"/>
  <c r="G71" i="24"/>
  <c r="E107" i="24"/>
  <c r="E116" i="24"/>
  <c r="G119" i="24"/>
  <c r="H14" i="20"/>
  <c r="E107" i="20"/>
  <c r="H221" i="21"/>
  <c r="E226" i="21"/>
  <c r="G14" i="21"/>
  <c r="I15" i="21"/>
  <c r="E22" i="21"/>
  <c r="E41" i="21"/>
  <c r="G59" i="21"/>
  <c r="H59" i="21"/>
  <c r="E119" i="21"/>
  <c r="E143" i="21"/>
  <c r="E222" i="21"/>
  <c r="G217" i="21"/>
  <c r="I220" i="21"/>
  <c r="E269" i="21"/>
  <c r="G299" i="21"/>
  <c r="G218" i="21"/>
  <c r="E303" i="21"/>
  <c r="E341" i="21"/>
  <c r="E365" i="21"/>
  <c r="E389" i="21"/>
  <c r="F29" i="24"/>
  <c r="I31" i="24"/>
  <c r="E35" i="24"/>
  <c r="H16" i="25"/>
  <c r="H8" i="25" s="1"/>
  <c r="I13" i="20"/>
  <c r="E47" i="20"/>
  <c r="H13" i="20"/>
  <c r="E62" i="20"/>
  <c r="E186" i="21"/>
  <c r="E23" i="21"/>
  <c r="E29" i="21"/>
  <c r="E65" i="21"/>
  <c r="F85" i="21"/>
  <c r="F89" i="21"/>
  <c r="H86" i="21"/>
  <c r="E149" i="21"/>
  <c r="E173" i="21"/>
  <c r="I185" i="21"/>
  <c r="E185" i="21" s="1"/>
  <c r="E189" i="21"/>
  <c r="E245" i="21"/>
  <c r="H299" i="21"/>
  <c r="H219" i="21"/>
  <c r="G220" i="21"/>
  <c r="E305" i="21"/>
  <c r="E300" i="21"/>
  <c r="H27" i="24"/>
  <c r="G29" i="24"/>
  <c r="I29" i="24"/>
  <c r="F14" i="24"/>
  <c r="F30" i="24" s="1"/>
  <c r="H12" i="20"/>
  <c r="E167" i="20"/>
  <c r="E184" i="20"/>
  <c r="G211" i="20"/>
  <c r="I214" i="20"/>
  <c r="E263" i="20"/>
  <c r="I210" i="20"/>
  <c r="E311" i="20"/>
  <c r="E347" i="20"/>
  <c r="E371" i="20"/>
  <c r="E389" i="20"/>
  <c r="E417" i="20"/>
  <c r="F19" i="31"/>
  <c r="F25" i="31"/>
  <c r="C31" i="31"/>
  <c r="C30" i="31" s="1"/>
  <c r="F53" i="31"/>
  <c r="F84" i="31"/>
  <c r="E18" i="35"/>
  <c r="E186" i="35"/>
  <c r="I17" i="35"/>
  <c r="E21" i="35"/>
  <c r="E47" i="35"/>
  <c r="G59" i="35"/>
  <c r="E63" i="35"/>
  <c r="G16" i="35"/>
  <c r="F85" i="35"/>
  <c r="I88" i="35"/>
  <c r="G86" i="35"/>
  <c r="E131" i="35"/>
  <c r="E167" i="35"/>
  <c r="E307" i="35"/>
  <c r="E306" i="35"/>
  <c r="E383" i="35"/>
  <c r="E401" i="35"/>
  <c r="E425" i="35"/>
  <c r="E419" i="35" s="1"/>
  <c r="G437" i="35"/>
  <c r="F437" i="35"/>
  <c r="E442" i="35"/>
  <c r="E135" i="36"/>
  <c r="F19" i="36"/>
  <c r="E114" i="36"/>
  <c r="E14" i="36"/>
  <c r="F27" i="36"/>
  <c r="F30" i="36"/>
  <c r="E39" i="36"/>
  <c r="F93" i="36"/>
  <c r="C112" i="36"/>
  <c r="F112" i="36" s="1"/>
  <c r="E121" i="36"/>
  <c r="I179" i="20"/>
  <c r="H413" i="20"/>
  <c r="F59" i="35"/>
  <c r="E37" i="24"/>
  <c r="H14" i="24"/>
  <c r="H30" i="24" s="1"/>
  <c r="E42" i="24"/>
  <c r="E45" i="24"/>
  <c r="E53" i="24"/>
  <c r="E67" i="24"/>
  <c r="E69" i="24"/>
  <c r="E77" i="24"/>
  <c r="F79" i="24"/>
  <c r="E83" i="24"/>
  <c r="E96" i="24"/>
  <c r="H32" i="25"/>
  <c r="I92" i="25"/>
  <c r="J108" i="25"/>
  <c r="I141" i="25"/>
  <c r="I157" i="25"/>
  <c r="E19" i="20"/>
  <c r="G14" i="20"/>
  <c r="I59" i="20"/>
  <c r="H59" i="20"/>
  <c r="E65" i="20"/>
  <c r="F84" i="20"/>
  <c r="E113" i="20"/>
  <c r="E137" i="20"/>
  <c r="E161" i="20"/>
  <c r="E181" i="20"/>
  <c r="F215" i="20"/>
  <c r="E251" i="20"/>
  <c r="E269" i="20"/>
  <c r="E287" i="20"/>
  <c r="H293" i="20"/>
  <c r="E299" i="20"/>
  <c r="E383" i="20"/>
  <c r="E25" i="31"/>
  <c r="E62" i="31"/>
  <c r="E87" i="31"/>
  <c r="E41" i="35"/>
  <c r="F84" i="35"/>
  <c r="E101" i="35"/>
  <c r="E125" i="35"/>
  <c r="E188" i="35"/>
  <c r="E191" i="35"/>
  <c r="E197" i="35"/>
  <c r="E222" i="35"/>
  <c r="E223" i="35"/>
  <c r="E275" i="35"/>
  <c r="E371" i="35"/>
  <c r="E395" i="35"/>
  <c r="F217" i="35"/>
  <c r="I219" i="35"/>
  <c r="E439" i="35"/>
  <c r="E24" i="36"/>
  <c r="D12" i="36"/>
  <c r="E19" i="36"/>
  <c r="F11" i="36"/>
  <c r="E45" i="36"/>
  <c r="E49" i="36"/>
  <c r="D59" i="36"/>
  <c r="F59" i="36" s="1"/>
  <c r="E35" i="20"/>
  <c r="E61" i="20"/>
  <c r="I15" i="20"/>
  <c r="E203" i="20"/>
  <c r="G293" i="20"/>
  <c r="E365" i="20"/>
  <c r="D31" i="31"/>
  <c r="D30" i="31" s="1"/>
  <c r="G12" i="35"/>
  <c r="E61" i="35"/>
  <c r="E23" i="35"/>
  <c r="E35" i="35"/>
  <c r="F16" i="35"/>
  <c r="E113" i="35"/>
  <c r="E119" i="35"/>
  <c r="E173" i="35"/>
  <c r="E257" i="35"/>
  <c r="E269" i="35"/>
  <c r="F305" i="35"/>
  <c r="E311" i="35"/>
  <c r="E335" i="35"/>
  <c r="E341" i="35"/>
  <c r="E310" i="35"/>
  <c r="I437" i="35"/>
  <c r="C34" i="36"/>
  <c r="E34" i="36" s="1"/>
  <c r="E99" i="21"/>
  <c r="E93" i="21" s="1"/>
  <c r="E82" i="24"/>
  <c r="G155" i="20"/>
  <c r="K20" i="25"/>
  <c r="K12" i="25" s="1"/>
  <c r="I87" i="20"/>
  <c r="H161" i="35"/>
  <c r="H31" i="24"/>
  <c r="G95" i="24"/>
  <c r="F103" i="24"/>
  <c r="I161" i="35"/>
  <c r="H44" i="25"/>
  <c r="L116" i="25"/>
  <c r="L108" i="25"/>
  <c r="I88" i="20"/>
  <c r="E98" i="20"/>
  <c r="E92" i="20" s="1"/>
  <c r="H45" i="25"/>
  <c r="I155" i="20"/>
  <c r="H87" i="21"/>
  <c r="E60" i="24"/>
  <c r="F89" i="31"/>
  <c r="I95" i="21"/>
  <c r="I89" i="21" s="1"/>
  <c r="G221" i="21"/>
  <c r="G219" i="21"/>
  <c r="E84" i="31"/>
  <c r="E309" i="35"/>
  <c r="C133" i="36"/>
  <c r="F133" i="36" s="1"/>
  <c r="F134" i="36"/>
  <c r="I216" i="35"/>
  <c r="I221" i="35"/>
  <c r="E308" i="35"/>
  <c r="E134" i="36"/>
  <c r="F101" i="36"/>
  <c r="F17" i="21"/>
  <c r="E304" i="21"/>
  <c r="E296" i="20"/>
  <c r="E414" i="20"/>
  <c r="F408" i="20"/>
  <c r="F413" i="20"/>
  <c r="F89" i="35"/>
  <c r="H216" i="35"/>
  <c r="H305" i="35"/>
  <c r="I305" i="35"/>
  <c r="I218" i="35"/>
  <c r="F77" i="36"/>
  <c r="E77" i="36"/>
  <c r="H220" i="35"/>
  <c r="E226" i="35"/>
  <c r="H431" i="21"/>
  <c r="E432" i="21"/>
  <c r="G13" i="20"/>
  <c r="G413" i="20"/>
  <c r="E189" i="35"/>
  <c r="G185" i="35"/>
  <c r="H437" i="35"/>
  <c r="E130" i="36"/>
  <c r="E129" i="36" s="1"/>
  <c r="E21" i="21"/>
  <c r="L40" i="25"/>
  <c r="G13" i="21"/>
  <c r="E125" i="21"/>
  <c r="E197" i="21"/>
  <c r="E323" i="21"/>
  <c r="G59" i="20"/>
  <c r="E221" i="20"/>
  <c r="E317" i="20"/>
  <c r="H59" i="35"/>
  <c r="E60" i="35"/>
  <c r="E187" i="35"/>
  <c r="H185" i="35"/>
  <c r="E239" i="35"/>
  <c r="F80" i="36"/>
  <c r="E19" i="21"/>
  <c r="E18" i="20"/>
  <c r="E371" i="21"/>
  <c r="G12" i="20"/>
  <c r="E20" i="20"/>
  <c r="G84" i="20"/>
  <c r="E227" i="20"/>
  <c r="E323" i="20"/>
  <c r="F14" i="35"/>
  <c r="F17" i="35"/>
  <c r="E20" i="35"/>
  <c r="I59" i="35"/>
  <c r="E224" i="35"/>
  <c r="E365" i="35"/>
  <c r="E433" i="35"/>
  <c r="H218" i="35"/>
  <c r="H221" i="35"/>
  <c r="G86" i="21"/>
  <c r="E415" i="20"/>
  <c r="E377" i="21"/>
  <c r="E23" i="20"/>
  <c r="I15" i="35"/>
  <c r="E29" i="35"/>
  <c r="F121" i="36"/>
  <c r="F84" i="21"/>
  <c r="G87" i="21"/>
  <c r="E159" i="21"/>
  <c r="H161" i="21"/>
  <c r="M85" i="25"/>
  <c r="F13" i="20"/>
  <c r="E19" i="31"/>
  <c r="E64" i="35"/>
  <c r="E223" i="21"/>
  <c r="I18" i="25"/>
  <c r="I10" i="25" s="1"/>
  <c r="H112" i="25"/>
  <c r="I16" i="20"/>
  <c r="H17" i="35"/>
  <c r="E19" i="35"/>
  <c r="E159" i="35"/>
  <c r="E267" i="35"/>
  <c r="F434" i="35"/>
  <c r="E434" i="35" s="1"/>
  <c r="E101" i="36"/>
  <c r="C18" i="36"/>
  <c r="C13" i="36" s="1"/>
  <c r="D67" i="36"/>
  <c r="E89" i="36"/>
  <c r="D129" i="36"/>
  <c r="D128" i="36" s="1"/>
  <c r="E128" i="36" s="1"/>
  <c r="F28" i="24"/>
  <c r="I87" i="21"/>
  <c r="G216" i="21"/>
  <c r="E118" i="24"/>
  <c r="H152" i="25"/>
  <c r="F17" i="20"/>
  <c r="E225" i="21"/>
  <c r="I19" i="25"/>
  <c r="I11" i="25" s="1"/>
  <c r="H171" i="25"/>
  <c r="I87" i="35"/>
  <c r="F88" i="21"/>
  <c r="H88" i="20"/>
  <c r="F214" i="20"/>
  <c r="F87" i="35"/>
  <c r="E158" i="20"/>
  <c r="H28" i="24"/>
  <c r="F88" i="35"/>
  <c r="I85" i="35"/>
  <c r="E162" i="21"/>
  <c r="F24" i="24"/>
  <c r="H29" i="24"/>
  <c r="I84" i="25"/>
  <c r="H84" i="25" s="1"/>
  <c r="H119" i="25"/>
  <c r="H138" i="25"/>
  <c r="H98" i="25"/>
  <c r="H172" i="25"/>
  <c r="E98" i="21"/>
  <c r="E92" i="21" s="1"/>
  <c r="H168" i="25"/>
  <c r="G39" i="24"/>
  <c r="I63" i="24"/>
  <c r="E108" i="24"/>
  <c r="E114" i="24"/>
  <c r="E133" i="24"/>
  <c r="I22" i="25"/>
  <c r="I14" i="25" s="1"/>
  <c r="I28" i="24"/>
  <c r="I85" i="21"/>
  <c r="I88" i="21"/>
  <c r="E51" i="24"/>
  <c r="G55" i="24"/>
  <c r="I79" i="24"/>
  <c r="H79" i="24"/>
  <c r="E84" i="24"/>
  <c r="E86" i="24"/>
  <c r="E89" i="24"/>
  <c r="E110" i="24"/>
  <c r="E130" i="24"/>
  <c r="E132" i="24"/>
  <c r="K21" i="25"/>
  <c r="K13" i="25" s="1"/>
  <c r="H111" i="25"/>
  <c r="H163" i="25"/>
  <c r="E34" i="24"/>
  <c r="E36" i="24"/>
  <c r="E59" i="24"/>
  <c r="G79" i="24"/>
  <c r="E85" i="24"/>
  <c r="G87" i="24"/>
  <c r="F87" i="24"/>
  <c r="I87" i="24"/>
  <c r="E115" i="24"/>
  <c r="E117" i="24"/>
  <c r="H97" i="25"/>
  <c r="J21" i="25"/>
  <c r="J13" i="25" s="1"/>
  <c r="H95" i="25"/>
  <c r="H128" i="25"/>
  <c r="H130" i="25"/>
  <c r="E153" i="20"/>
  <c r="G86" i="20"/>
  <c r="H155" i="21"/>
  <c r="F27" i="24"/>
  <c r="E43" i="24"/>
  <c r="E61" i="24"/>
  <c r="E68" i="24"/>
  <c r="I95" i="24"/>
  <c r="G111" i="24"/>
  <c r="G17" i="24"/>
  <c r="G25" i="24" s="1"/>
  <c r="H114" i="25"/>
  <c r="H129" i="25"/>
  <c r="H137" i="25"/>
  <c r="H139" i="25"/>
  <c r="J141" i="25"/>
  <c r="H148" i="25"/>
  <c r="H155" i="25"/>
  <c r="F149" i="20"/>
  <c r="E66" i="24"/>
  <c r="F63" i="24"/>
  <c r="H46" i="25"/>
  <c r="I21" i="25"/>
  <c r="H85" i="20"/>
  <c r="I91" i="20"/>
  <c r="I85" i="20" s="1"/>
  <c r="E97" i="20"/>
  <c r="E91" i="20" s="1"/>
  <c r="E164" i="21"/>
  <c r="I161" i="21"/>
  <c r="I158" i="21"/>
  <c r="I86" i="21" s="1"/>
  <c r="J157" i="25"/>
  <c r="H162" i="25"/>
  <c r="H26" i="24"/>
  <c r="H127" i="24"/>
  <c r="G127" i="24"/>
  <c r="E134" i="24"/>
  <c r="H96" i="25"/>
  <c r="L19" i="25"/>
  <c r="L11" i="25" s="1"/>
  <c r="J18" i="25"/>
  <c r="H158" i="35"/>
  <c r="H86" i="35" s="1"/>
  <c r="E164" i="35"/>
  <c r="H39" i="24"/>
  <c r="E40" i="24"/>
  <c r="L157" i="25"/>
  <c r="H161" i="25"/>
  <c r="J149" i="25"/>
  <c r="H153" i="25"/>
  <c r="G27" i="24"/>
  <c r="I55" i="24"/>
  <c r="H55" i="24"/>
  <c r="E58" i="24"/>
  <c r="J40" i="25"/>
  <c r="H47" i="25"/>
  <c r="J22" i="25"/>
  <c r="J14" i="25" s="1"/>
  <c r="H120" i="25"/>
  <c r="I116" i="25"/>
  <c r="L124" i="25"/>
  <c r="K133" i="25"/>
  <c r="H136" i="25"/>
  <c r="H145" i="25"/>
  <c r="J19" i="25"/>
  <c r="J11" i="25" s="1"/>
  <c r="H147" i="25"/>
  <c r="K141" i="25"/>
  <c r="I149" i="25"/>
  <c r="I20" i="25"/>
  <c r="H154" i="25"/>
  <c r="H160" i="25"/>
  <c r="K157" i="25"/>
  <c r="E98" i="35"/>
  <c r="E92" i="35" s="1"/>
  <c r="I95" i="35"/>
  <c r="I89" i="35" s="1"/>
  <c r="I92" i="35"/>
  <c r="I86" i="35" s="1"/>
  <c r="G156" i="35"/>
  <c r="G155" i="35" s="1"/>
  <c r="E162" i="35"/>
  <c r="G161" i="35"/>
  <c r="H94" i="21"/>
  <c r="H88" i="21" s="1"/>
  <c r="E100" i="21"/>
  <c r="E94" i="21" s="1"/>
  <c r="H71" i="24"/>
  <c r="E74" i="24"/>
  <c r="L141" i="25"/>
  <c r="H146" i="25"/>
  <c r="L20" i="25"/>
  <c r="L12" i="25" s="1"/>
  <c r="F71" i="24"/>
  <c r="E75" i="24"/>
  <c r="L21" i="25"/>
  <c r="L13" i="25" s="1"/>
  <c r="H85" i="21"/>
  <c r="I26" i="24"/>
  <c r="E10" i="24"/>
  <c r="E26" i="24" s="1"/>
  <c r="E52" i="24"/>
  <c r="G47" i="24"/>
  <c r="E129" i="24"/>
  <c r="E121" i="24" s="1"/>
  <c r="E17" i="24" s="1"/>
  <c r="F121" i="24"/>
  <c r="F119" i="24" s="1"/>
  <c r="F127" i="24"/>
  <c r="J20" i="25"/>
  <c r="J12" i="25" s="1"/>
  <c r="K18" i="25"/>
  <c r="K124" i="25"/>
  <c r="L133" i="25"/>
  <c r="K165" i="25"/>
  <c r="H170" i="25"/>
  <c r="H90" i="35"/>
  <c r="H84" i="35" s="1"/>
  <c r="E96" i="35"/>
  <c r="E90" i="35" s="1"/>
  <c r="E163" i="21"/>
  <c r="G157" i="21"/>
  <c r="G161" i="21"/>
  <c r="H84" i="21"/>
  <c r="I121" i="24"/>
  <c r="I119" i="24" s="1"/>
  <c r="I127" i="24"/>
  <c r="E156" i="21"/>
  <c r="G95" i="21"/>
  <c r="E97" i="21"/>
  <c r="E91" i="21" s="1"/>
  <c r="I27" i="24"/>
  <c r="E44" i="24"/>
  <c r="F39" i="24"/>
  <c r="H47" i="24"/>
  <c r="E50" i="24"/>
  <c r="E76" i="24"/>
  <c r="E97" i="24"/>
  <c r="F95" i="24"/>
  <c r="E106" i="24"/>
  <c r="G103" i="24"/>
  <c r="E109" i="24"/>
  <c r="I103" i="24"/>
  <c r="L18" i="25"/>
  <c r="L10" i="25" s="1"/>
  <c r="L165" i="25"/>
  <c r="F85" i="20"/>
  <c r="I95" i="20"/>
  <c r="E96" i="20"/>
  <c r="E90" i="20" s="1"/>
  <c r="I90" i="20"/>
  <c r="E12" i="24"/>
  <c r="E28" i="24" s="1"/>
  <c r="J165" i="25"/>
  <c r="H169" i="25"/>
  <c r="H144" i="25"/>
  <c r="I108" i="25"/>
  <c r="J92" i="25"/>
  <c r="H95" i="21"/>
  <c r="H89" i="21" s="1"/>
  <c r="I40" i="25"/>
  <c r="F111" i="24"/>
  <c r="E160" i="21"/>
  <c r="F155" i="21"/>
  <c r="F26" i="24"/>
  <c r="H111" i="24"/>
  <c r="L92" i="25"/>
  <c r="H99" i="25"/>
  <c r="K22" i="25"/>
  <c r="K14" i="25" s="1"/>
  <c r="K92" i="25"/>
  <c r="H127" i="25"/>
  <c r="I124" i="25"/>
  <c r="G91" i="35"/>
  <c r="G85" i="35" s="1"/>
  <c r="E97" i="35"/>
  <c r="E91" i="35" s="1"/>
  <c r="G95" i="35"/>
  <c r="G89" i="35" s="1"/>
  <c r="E100" i="20"/>
  <c r="E94" i="20" s="1"/>
  <c r="E154" i="20"/>
  <c r="G87" i="35"/>
  <c r="H63" i="24"/>
  <c r="E78" i="24"/>
  <c r="E88" i="24"/>
  <c r="H95" i="24"/>
  <c r="H179" i="25"/>
  <c r="E157" i="20"/>
  <c r="F219" i="35"/>
  <c r="I84" i="35"/>
  <c r="H87" i="35"/>
  <c r="H9" i="35" s="1"/>
  <c r="E9" i="24"/>
  <c r="F31" i="24"/>
  <c r="F86" i="20"/>
  <c r="F8" i="20" s="1"/>
  <c r="H95" i="35"/>
  <c r="H89" i="35" s="1"/>
  <c r="E41" i="24"/>
  <c r="E46" i="24"/>
  <c r="F47" i="24"/>
  <c r="I47" i="24"/>
  <c r="F55" i="24"/>
  <c r="E62" i="24"/>
  <c r="G63" i="24"/>
  <c r="I71" i="24"/>
  <c r="H103" i="24"/>
  <c r="H17" i="24"/>
  <c r="H15" i="24" s="1"/>
  <c r="E99" i="20"/>
  <c r="E93" i="20" s="1"/>
  <c r="E11" i="24"/>
  <c r="E27" i="24" s="1"/>
  <c r="G31" i="24"/>
  <c r="H173" i="25"/>
  <c r="H87" i="20"/>
  <c r="F263" i="35"/>
  <c r="E263" i="35" s="1"/>
  <c r="H84" i="20"/>
  <c r="E150" i="20"/>
  <c r="I149" i="20"/>
  <c r="I86" i="20"/>
  <c r="E157" i="35"/>
  <c r="I155" i="35"/>
  <c r="G95" i="20"/>
  <c r="F15" i="24"/>
  <c r="E38" i="24"/>
  <c r="L22" i="25"/>
  <c r="H91" i="35"/>
  <c r="H85" i="35" s="1"/>
  <c r="H89" i="20"/>
  <c r="F89" i="20"/>
  <c r="G94" i="20"/>
  <c r="G88" i="20" s="1"/>
  <c r="E16" i="24"/>
  <c r="E70" i="24"/>
  <c r="G14" i="24"/>
  <c r="I14" i="24"/>
  <c r="G151" i="20"/>
  <c r="G85" i="20" s="1"/>
  <c r="H152" i="20"/>
  <c r="E152" i="20" s="1"/>
  <c r="E99" i="35"/>
  <c r="E93" i="35" s="1"/>
  <c r="E100" i="35"/>
  <c r="E94" i="35" s="1"/>
  <c r="E156" i="20"/>
  <c r="G24" i="24"/>
  <c r="H180" i="25"/>
  <c r="G93" i="20"/>
  <c r="H119" i="24"/>
  <c r="H95" i="20"/>
  <c r="H155" i="20"/>
  <c r="E8" i="24"/>
  <c r="E54" i="24"/>
  <c r="J189" i="3"/>
  <c r="H7" i="21" l="1"/>
  <c r="D10" i="36"/>
  <c r="I8" i="21"/>
  <c r="G209" i="20"/>
  <c r="G9" i="21"/>
  <c r="C10" i="31"/>
  <c r="F23" i="31"/>
  <c r="F81" i="31"/>
  <c r="E16" i="21"/>
  <c r="E179" i="20"/>
  <c r="I7" i="20"/>
  <c r="D10" i="31"/>
  <c r="F10" i="31" s="1"/>
  <c r="E95" i="31"/>
  <c r="I11" i="35"/>
  <c r="E219" i="21"/>
  <c r="I6" i="35"/>
  <c r="H8" i="35"/>
  <c r="G8" i="20"/>
  <c r="E13" i="35"/>
  <c r="F215" i="35"/>
  <c r="I7" i="35"/>
  <c r="I10" i="20"/>
  <c r="F31" i="31"/>
  <c r="E17" i="21"/>
  <c r="E16" i="35"/>
  <c r="E81" i="31"/>
  <c r="I8" i="20"/>
  <c r="E14" i="35"/>
  <c r="G10" i="20"/>
  <c r="G7" i="35"/>
  <c r="I215" i="21"/>
  <c r="H7" i="35"/>
  <c r="I9" i="20"/>
  <c r="F7" i="21"/>
  <c r="G215" i="35"/>
  <c r="H9" i="20"/>
  <c r="I9" i="21"/>
  <c r="H10" i="20"/>
  <c r="E217" i="35"/>
  <c r="G8" i="35"/>
  <c r="H11" i="35"/>
  <c r="E15" i="20"/>
  <c r="I7" i="21"/>
  <c r="E12" i="35"/>
  <c r="E210" i="20"/>
  <c r="F9" i="20"/>
  <c r="H8" i="21"/>
  <c r="H7" i="24"/>
  <c r="F6" i="35"/>
  <c r="H6" i="35"/>
  <c r="E12" i="31"/>
  <c r="G11" i="35"/>
  <c r="E215" i="20"/>
  <c r="C94" i="31"/>
  <c r="F94" i="31" s="1"/>
  <c r="F209" i="20"/>
  <c r="E17" i="20"/>
  <c r="F11" i="31"/>
  <c r="E220" i="21"/>
  <c r="F7" i="20"/>
  <c r="I10" i="21"/>
  <c r="E431" i="21"/>
  <c r="E12" i="36"/>
  <c r="E212" i="20"/>
  <c r="E213" i="20"/>
  <c r="I209" i="20"/>
  <c r="E88" i="35"/>
  <c r="I10" i="35"/>
  <c r="I6" i="21"/>
  <c r="F11" i="21"/>
  <c r="H209" i="20"/>
  <c r="E15" i="21"/>
  <c r="F128" i="36"/>
  <c r="F30" i="31"/>
  <c r="F9" i="21"/>
  <c r="H10" i="35"/>
  <c r="F7" i="24"/>
  <c r="E25" i="24"/>
  <c r="G221" i="35"/>
  <c r="E221" i="35" s="1"/>
  <c r="F83" i="21"/>
  <c r="E299" i="21"/>
  <c r="D51" i="31"/>
  <c r="F52" i="31"/>
  <c r="E52" i="31"/>
  <c r="E119" i="24"/>
  <c r="H25" i="24"/>
  <c r="H23" i="24" s="1"/>
  <c r="E103" i="24"/>
  <c r="E95" i="24"/>
  <c r="H7" i="20"/>
  <c r="F10" i="35"/>
  <c r="G10" i="21"/>
  <c r="I11" i="20"/>
  <c r="F11" i="20"/>
  <c r="F12" i="36"/>
  <c r="E12" i="20"/>
  <c r="C29" i="31"/>
  <c r="C9" i="31" s="1"/>
  <c r="E59" i="36"/>
  <c r="E211" i="20"/>
  <c r="E59" i="20"/>
  <c r="E31" i="31"/>
  <c r="E220" i="35"/>
  <c r="C33" i="36"/>
  <c r="E305" i="35"/>
  <c r="E293" i="20"/>
  <c r="H11" i="20"/>
  <c r="H215" i="21"/>
  <c r="E218" i="21"/>
  <c r="E14" i="20"/>
  <c r="E12" i="21"/>
  <c r="F215" i="21"/>
  <c r="G10" i="35"/>
  <c r="E47" i="24"/>
  <c r="E63" i="24"/>
  <c r="G9" i="35"/>
  <c r="G6" i="21"/>
  <c r="E225" i="35"/>
  <c r="E14" i="21"/>
  <c r="F7" i="35"/>
  <c r="I8" i="35"/>
  <c r="E59" i="35"/>
  <c r="E437" i="35"/>
  <c r="E15" i="35"/>
  <c r="E221" i="21"/>
  <c r="H9" i="21"/>
  <c r="C92" i="36"/>
  <c r="E30" i="31"/>
  <c r="G84" i="35"/>
  <c r="G6" i="35" s="1"/>
  <c r="H6" i="20"/>
  <c r="H165" i="25"/>
  <c r="F10" i="21"/>
  <c r="E86" i="21"/>
  <c r="E218" i="35"/>
  <c r="E185" i="35"/>
  <c r="E413" i="20"/>
  <c r="E16" i="20"/>
  <c r="I11" i="21"/>
  <c r="H11" i="21"/>
  <c r="G15" i="24"/>
  <c r="F83" i="35"/>
  <c r="I9" i="35"/>
  <c r="E17" i="35"/>
  <c r="G6" i="20"/>
  <c r="F425" i="21"/>
  <c r="E425" i="21" s="1"/>
  <c r="G11" i="21"/>
  <c r="F8" i="21"/>
  <c r="I215" i="35"/>
  <c r="E59" i="21"/>
  <c r="E217" i="21"/>
  <c r="H108" i="25"/>
  <c r="H116" i="25"/>
  <c r="E156" i="35"/>
  <c r="E111" i="24"/>
  <c r="H19" i="25"/>
  <c r="H11" i="25" s="1"/>
  <c r="G8" i="21"/>
  <c r="F23" i="24"/>
  <c r="E87" i="21"/>
  <c r="E31" i="24"/>
  <c r="G215" i="21"/>
  <c r="E216" i="21"/>
  <c r="F11" i="35"/>
  <c r="F431" i="35"/>
  <c r="E431" i="35" s="1"/>
  <c r="E214" i="20"/>
  <c r="F10" i="20"/>
  <c r="E408" i="20"/>
  <c r="F407" i="20"/>
  <c r="E407" i="20" s="1"/>
  <c r="E155" i="20"/>
  <c r="E13" i="36"/>
  <c r="E13" i="20"/>
  <c r="E216" i="35"/>
  <c r="E15" i="24"/>
  <c r="H40" i="25"/>
  <c r="E161" i="21"/>
  <c r="F83" i="20"/>
  <c r="E127" i="24"/>
  <c r="E87" i="24"/>
  <c r="M92" i="25"/>
  <c r="F6" i="21"/>
  <c r="F67" i="36"/>
  <c r="E67" i="36"/>
  <c r="D33" i="36"/>
  <c r="G11" i="20"/>
  <c r="F6" i="20"/>
  <c r="F9" i="35"/>
  <c r="E71" i="24"/>
  <c r="F8" i="35"/>
  <c r="F18" i="36"/>
  <c r="C10" i="36"/>
  <c r="E10" i="36" s="1"/>
  <c r="E18" i="36"/>
  <c r="E133" i="36"/>
  <c r="H215" i="35"/>
  <c r="E13" i="21"/>
  <c r="E79" i="24"/>
  <c r="M40" i="25"/>
  <c r="H133" i="25"/>
  <c r="H157" i="25"/>
  <c r="E85" i="35"/>
  <c r="I83" i="35"/>
  <c r="E39" i="24"/>
  <c r="H141" i="25"/>
  <c r="E55" i="24"/>
  <c r="H124" i="25"/>
  <c r="H92" i="25"/>
  <c r="H149" i="25"/>
  <c r="J15" i="25"/>
  <c r="J7" i="25" s="1"/>
  <c r="J10" i="25"/>
  <c r="H18" i="25"/>
  <c r="H10" i="25" s="1"/>
  <c r="I155" i="21"/>
  <c r="E158" i="21"/>
  <c r="K15" i="25"/>
  <c r="K7" i="25" s="1"/>
  <c r="K10" i="25"/>
  <c r="E161" i="35"/>
  <c r="E219" i="35"/>
  <c r="E95" i="20"/>
  <c r="I83" i="21"/>
  <c r="G89" i="21"/>
  <c r="E95" i="21"/>
  <c r="E89" i="21" s="1"/>
  <c r="H155" i="35"/>
  <c r="H6" i="21"/>
  <c r="H83" i="21"/>
  <c r="H20" i="25"/>
  <c r="H12" i="25" s="1"/>
  <c r="I12" i="25"/>
  <c r="I15" i="25"/>
  <c r="I7" i="25" s="1"/>
  <c r="H83" i="35"/>
  <c r="E158" i="35"/>
  <c r="I17" i="24"/>
  <c r="I89" i="20"/>
  <c r="I84" i="20"/>
  <c r="I6" i="20" s="1"/>
  <c r="G155" i="21"/>
  <c r="E157" i="21"/>
  <c r="E95" i="35"/>
  <c r="E89" i="35" s="1"/>
  <c r="H10" i="21"/>
  <c r="E88" i="21"/>
  <c r="E84" i="21"/>
  <c r="I13" i="25"/>
  <c r="H21" i="25"/>
  <c r="H13" i="25" s="1"/>
  <c r="E86" i="35"/>
  <c r="E87" i="35"/>
  <c r="H149" i="20"/>
  <c r="M141" i="25"/>
  <c r="G85" i="21"/>
  <c r="G89" i="20"/>
  <c r="G87" i="20"/>
  <c r="G83" i="20" s="1"/>
  <c r="E85" i="20"/>
  <c r="G7" i="20"/>
  <c r="E151" i="20"/>
  <c r="E149" i="20" s="1"/>
  <c r="G149" i="20"/>
  <c r="E24" i="24"/>
  <c r="I7" i="24"/>
  <c r="I30" i="24"/>
  <c r="H86" i="20"/>
  <c r="E14" i="24"/>
  <c r="E30" i="24" s="1"/>
  <c r="G30" i="24"/>
  <c r="G23" i="24" s="1"/>
  <c r="H22" i="25"/>
  <c r="H14" i="25" s="1"/>
  <c r="L15" i="25"/>
  <c r="L14" i="25"/>
  <c r="G7" i="24"/>
  <c r="E88" i="20"/>
  <c r="E10" i="31" l="1"/>
  <c r="E33" i="36"/>
  <c r="E209" i="20"/>
  <c r="E94" i="31"/>
  <c r="E10" i="20"/>
  <c r="E7" i="35"/>
  <c r="I5" i="20"/>
  <c r="I5" i="21"/>
  <c r="E11" i="20"/>
  <c r="H5" i="35"/>
  <c r="E11" i="21"/>
  <c r="E11" i="35"/>
  <c r="E9" i="35"/>
  <c r="G5" i="35"/>
  <c r="F5" i="20"/>
  <c r="E9" i="21"/>
  <c r="I5" i="35"/>
  <c r="G83" i="35"/>
  <c r="E83" i="35" s="1"/>
  <c r="E7" i="20"/>
  <c r="E8" i="21"/>
  <c r="E6" i="21"/>
  <c r="E10" i="35"/>
  <c r="E155" i="35"/>
  <c r="E84" i="35"/>
  <c r="E215" i="21"/>
  <c r="D50" i="31"/>
  <c r="E51" i="31"/>
  <c r="F51" i="31"/>
  <c r="E155" i="21"/>
  <c r="F5" i="35"/>
  <c r="F92" i="36"/>
  <c r="E92" i="36"/>
  <c r="E10" i="21"/>
  <c r="E8" i="35"/>
  <c r="E215" i="35"/>
  <c r="F5" i="21"/>
  <c r="C9" i="36"/>
  <c r="C7" i="36" s="1"/>
  <c r="F10" i="36"/>
  <c r="F13" i="36"/>
  <c r="D9" i="36"/>
  <c r="I83" i="20"/>
  <c r="E6" i="20"/>
  <c r="C7" i="31"/>
  <c r="E7" i="24"/>
  <c r="E89" i="20"/>
  <c r="E84" i="20"/>
  <c r="E85" i="21"/>
  <c r="G7" i="21"/>
  <c r="G83" i="21"/>
  <c r="E83" i="21" s="1"/>
  <c r="I25" i="24"/>
  <c r="I23" i="24" s="1"/>
  <c r="I15" i="24"/>
  <c r="H5" i="21"/>
  <c r="E23" i="24"/>
  <c r="H15" i="25"/>
  <c r="H7" i="25" s="1"/>
  <c r="L7" i="25"/>
  <c r="G9" i="20"/>
  <c r="E9" i="20" s="1"/>
  <c r="E87" i="20"/>
  <c r="H8" i="20"/>
  <c r="E86" i="20"/>
  <c r="H83" i="20"/>
  <c r="E6" i="35"/>
  <c r="E5" i="35" l="1"/>
  <c r="F9" i="36"/>
  <c r="E83" i="20"/>
  <c r="D29" i="31"/>
  <c r="E50" i="31"/>
  <c r="F50" i="31"/>
  <c r="E9" i="36"/>
  <c r="D7" i="36"/>
  <c r="E7" i="21"/>
  <c r="G5" i="21"/>
  <c r="E5" i="21" s="1"/>
  <c r="E8" i="20"/>
  <c r="H5" i="20"/>
  <c r="G5" i="20"/>
  <c r="D9" i="31" l="1"/>
  <c r="F29" i="31"/>
  <c r="E29" i="31"/>
  <c r="E7" i="36"/>
  <c r="H7" i="36"/>
  <c r="F7" i="36"/>
  <c r="E5" i="20"/>
  <c r="E9" i="31" l="1"/>
  <c r="F9" i="31"/>
  <c r="D7" i="31"/>
  <c r="F7" i="31" l="1"/>
  <c r="E7" i="31"/>
  <c r="D15" i="3" l="1"/>
  <c r="E15" i="3"/>
  <c r="F18" i="3"/>
  <c r="G18" i="3" s="1"/>
  <c r="F15" i="3" l="1"/>
  <c r="G15" i="3" s="1"/>
  <c r="J295" i="3" l="1"/>
  <c r="J299" i="3" l="1"/>
  <c r="J290" i="3"/>
  <c r="J294" i="3" l="1"/>
  <c r="J13" i="3"/>
  <c r="J12" i="3"/>
  <c r="J11" i="3"/>
  <c r="J10" i="3" l="1"/>
  <c r="J5" i="3" s="1"/>
  <c r="J14" i="3" l="1"/>
  <c r="J9" i="3"/>
</calcChain>
</file>

<file path=xl/comments1.xml><?xml version="1.0" encoding="utf-8"?>
<comments xmlns="http://schemas.openxmlformats.org/spreadsheetml/2006/main">
  <authors>
    <author>Веселовская Е.С.</author>
    <author>Пашинцева В.С.</author>
  </authors>
  <commentList>
    <comment ref="Q12" authorId="0">
      <text>
        <r>
          <rPr>
            <b/>
            <sz val="9"/>
            <color indexed="81"/>
            <rFont val="Tahoma"/>
            <family val="2"/>
            <charset val="204"/>
          </rPr>
          <t>Веселовская Е.С.:</t>
        </r>
        <r>
          <rPr>
            <sz val="9"/>
            <color indexed="81"/>
            <rFont val="Tahoma"/>
            <family val="2"/>
            <charset val="204"/>
          </rPr>
          <t xml:space="preserve">
Почему вопрос сижения проработан до 827 млн, когда общая стоимость объекта указана 457896,9?Требуется внесение изменений в ГП?</t>
        </r>
      </text>
    </comment>
    <comment ref="J16" authorId="1">
      <text>
        <r>
          <rPr>
            <b/>
            <sz val="8"/>
            <color indexed="81"/>
            <rFont val="Tahoma"/>
            <family val="2"/>
            <charset val="204"/>
          </rPr>
          <t>Пашинцева В.С.:</t>
        </r>
        <r>
          <rPr>
            <sz val="8"/>
            <color indexed="81"/>
            <rFont val="Tahoma"/>
            <family val="2"/>
            <charset val="204"/>
          </rPr>
          <t xml:space="preserve">
в разделе 4 ГП плановые значения (скорректировать в табл):
Всего 229 040; ОБ 49 080
ФБ 65 440
ВБС 114 520</t>
        </r>
      </text>
    </comment>
    <comment ref="J21" authorId="0">
      <text>
        <r>
          <rPr>
            <b/>
            <sz val="9"/>
            <color indexed="81"/>
            <rFont val="Tahoma"/>
            <family val="2"/>
            <charset val="204"/>
          </rPr>
          <t>Веселовская Е.С.:</t>
        </r>
        <r>
          <rPr>
            <sz val="9"/>
            <color indexed="81"/>
            <rFont val="Tahoma"/>
            <family val="2"/>
            <charset val="204"/>
          </rPr>
          <t xml:space="preserve">
Замечание аналогичное п. 2 - необходимо скорректировать значения в соответствии со значениями из 4 раздела ГП</t>
        </r>
      </text>
    </comment>
    <comment ref="J26" authorId="0">
      <text>
        <r>
          <rPr>
            <b/>
            <sz val="9"/>
            <color indexed="81"/>
            <rFont val="Tahoma"/>
            <family val="2"/>
            <charset val="204"/>
          </rPr>
          <t>Веселовская Е.С.:</t>
        </r>
        <r>
          <rPr>
            <sz val="9"/>
            <color indexed="81"/>
            <rFont val="Tahoma"/>
            <family val="2"/>
            <charset val="204"/>
          </rPr>
          <t xml:space="preserve">
Замечание аналогичное п. 2 - необходимо скорректировать значения в соответствии со значениями из 4 раздела ГП</t>
        </r>
      </text>
    </comment>
    <comment ref="N26" authorId="0">
      <text>
        <r>
          <rPr>
            <b/>
            <sz val="9"/>
            <color indexed="81"/>
            <rFont val="Tahoma"/>
            <family val="2"/>
            <charset val="204"/>
          </rPr>
          <t>Веселовская Е.С.:</t>
        </r>
        <r>
          <rPr>
            <sz val="9"/>
            <color indexed="81"/>
            <rFont val="Tahoma"/>
            <family val="2"/>
            <charset val="204"/>
          </rPr>
          <t xml:space="preserve">
Фомула должна состоять из M26/J26 (по аналогии с п/п5,где был внебюджет)
Исправьте после проставления корректных значений по предусмотренным программой деньгам</t>
        </r>
      </text>
    </comment>
    <comment ref="O26" authorId="0">
      <text>
        <r>
          <rPr>
            <b/>
            <sz val="9"/>
            <color indexed="81"/>
            <rFont val="Tahoma"/>
            <family val="2"/>
            <charset val="204"/>
          </rPr>
          <t>Веселовская Е.С.:</t>
        </r>
        <r>
          <rPr>
            <sz val="9"/>
            <color indexed="81"/>
            <rFont val="Tahoma"/>
            <family val="2"/>
            <charset val="204"/>
          </rPr>
          <t xml:space="preserve">
Формула должна быть (M26+L26+I26)/F26
Исправьте после проставления корректных значений по предусмотренным программой деньгам</t>
        </r>
      </text>
    </comment>
    <comment ref="P26" authorId="0">
      <text>
        <r>
          <rPr>
            <b/>
            <sz val="9"/>
            <color indexed="81"/>
            <rFont val="Tahoma"/>
            <family val="2"/>
            <charset val="204"/>
          </rPr>
          <t>Веселовская Е.С.:</t>
        </r>
        <r>
          <rPr>
            <sz val="9"/>
            <color indexed="81"/>
            <rFont val="Tahoma"/>
            <family val="2"/>
            <charset val="204"/>
          </rPr>
          <t xml:space="preserve">
Формула должна быыть F26-K26-H26
Исправьте после проставления корректных значений по предусмотренным программой деньгам</t>
        </r>
      </text>
    </comment>
    <comment ref="J31" authorId="1">
      <text>
        <r>
          <rPr>
            <b/>
            <sz val="9"/>
            <color indexed="81"/>
            <rFont val="Tahoma"/>
            <family val="2"/>
            <charset val="204"/>
          </rPr>
          <t>Пашинцева В.С.:</t>
        </r>
        <r>
          <rPr>
            <sz val="9"/>
            <color indexed="81"/>
            <rFont val="Tahoma"/>
            <family val="2"/>
            <charset val="204"/>
          </rPr>
          <t xml:space="preserve">
заполнен план в соотв с разделом 4 ГП</t>
        </r>
      </text>
    </comment>
    <comment ref="N31" authorId="1">
      <text>
        <r>
          <rPr>
            <b/>
            <sz val="9"/>
            <color indexed="81"/>
            <rFont val="Tahoma"/>
            <family val="2"/>
            <charset val="204"/>
          </rPr>
          <t>Пашинцева В.С.:</t>
        </r>
        <r>
          <rPr>
            <sz val="9"/>
            <color indexed="81"/>
            <rFont val="Tahoma"/>
            <family val="2"/>
            <charset val="204"/>
          </rPr>
          <t xml:space="preserve">
добавлены корректные формулы</t>
        </r>
      </text>
    </comment>
    <comment ref="E36" authorId="0">
      <text>
        <r>
          <rPr>
            <b/>
            <sz val="9"/>
            <color indexed="81"/>
            <rFont val="Tahoma"/>
            <family val="2"/>
            <charset val="204"/>
          </rPr>
          <t>Веселовская Е.С.:</t>
        </r>
        <r>
          <rPr>
            <sz val="9"/>
            <color indexed="81"/>
            <rFont val="Tahoma"/>
            <family val="2"/>
            <charset val="204"/>
          </rPr>
          <t xml:space="preserve">
Добавила СМР после ПСД, как указано в ГП</t>
        </r>
      </text>
    </comment>
    <comment ref="O36" authorId="0">
      <text>
        <r>
          <rPr>
            <b/>
            <sz val="9"/>
            <color indexed="81"/>
            <rFont val="Tahoma"/>
            <family val="2"/>
            <charset val="204"/>
          </rPr>
          <t>Веселовская Е.С.:</t>
        </r>
        <r>
          <rPr>
            <sz val="9"/>
            <color indexed="81"/>
            <rFont val="Tahoma"/>
            <family val="2"/>
            <charset val="204"/>
          </rPr>
          <t xml:space="preserve">
Добавлена корректная формула. Обратите внимание, как считается данный показатель</t>
        </r>
      </text>
    </comment>
    <comment ref="P36" authorId="0">
      <text>
        <r>
          <rPr>
            <b/>
            <sz val="9"/>
            <color indexed="81"/>
            <rFont val="Tahoma"/>
            <family val="2"/>
            <charset val="204"/>
          </rPr>
          <t>Веселовская Е.С.:</t>
        </r>
        <r>
          <rPr>
            <sz val="9"/>
            <color indexed="81"/>
            <rFont val="Tahoma"/>
            <family val="2"/>
            <charset val="204"/>
          </rPr>
          <t xml:space="preserve">
Добавила формулу для автоматизации расчетов</t>
        </r>
      </text>
    </comment>
  </commentList>
</comments>
</file>

<file path=xl/comments2.xml><?xml version="1.0" encoding="utf-8"?>
<comments xmlns="http://schemas.openxmlformats.org/spreadsheetml/2006/main">
  <authors>
    <author>Семенова</author>
  </authors>
  <commentList>
    <comment ref="F13" authorId="0">
      <text>
        <r>
          <rPr>
            <b/>
            <sz val="9"/>
            <color indexed="81"/>
            <rFont val="Tahoma"/>
            <family val="2"/>
            <charset val="204"/>
          </rPr>
          <t>Семенова:</t>
        </r>
        <r>
          <rPr>
            <sz val="9"/>
            <color indexed="81"/>
            <rFont val="Tahoma"/>
            <family val="2"/>
            <charset val="204"/>
          </rPr>
          <t xml:space="preserve">
в консультанте в гп 884016,7</t>
        </r>
      </text>
    </comment>
    <comment ref="J14" authorId="0">
      <text>
        <r>
          <rPr>
            <b/>
            <sz val="9"/>
            <color indexed="81"/>
            <rFont val="Tahoma"/>
            <family val="2"/>
            <charset val="204"/>
          </rPr>
          <t>Семенова:</t>
        </r>
        <r>
          <rPr>
            <sz val="9"/>
            <color indexed="81"/>
            <rFont val="Tahoma"/>
            <family val="2"/>
            <charset val="204"/>
          </rPr>
          <t xml:space="preserve">
в гп и плане реализации 84525,1</t>
        </r>
      </text>
    </comment>
    <comment ref="F17" authorId="0">
      <text>
        <r>
          <rPr>
            <b/>
            <sz val="9"/>
            <color indexed="81"/>
            <rFont val="Tahoma"/>
            <family val="2"/>
            <charset val="204"/>
          </rPr>
          <t>Семенова:</t>
        </r>
        <r>
          <rPr>
            <sz val="9"/>
            <color indexed="81"/>
            <rFont val="Tahoma"/>
            <family val="2"/>
            <charset val="204"/>
          </rPr>
          <t xml:space="preserve">
в ГП в консультанте другая стоимость</t>
        </r>
      </text>
    </comment>
    <comment ref="J18" authorId="0">
      <text>
        <r>
          <rPr>
            <b/>
            <sz val="9"/>
            <color indexed="81"/>
            <rFont val="Tahoma"/>
            <family val="2"/>
            <charset val="204"/>
          </rPr>
          <t>Семенова:</t>
        </r>
        <r>
          <rPr>
            <sz val="9"/>
            <color indexed="81"/>
            <rFont val="Tahoma"/>
            <family val="2"/>
            <charset val="204"/>
          </rPr>
          <t xml:space="preserve">
в ГП в консультанте и в плане реализации не стоит</t>
        </r>
      </text>
    </comment>
    <comment ref="F22" authorId="0">
      <text>
        <r>
          <rPr>
            <b/>
            <sz val="9"/>
            <color indexed="81"/>
            <rFont val="Tahoma"/>
            <family val="2"/>
            <charset val="204"/>
          </rPr>
          <t>Семенова:</t>
        </r>
        <r>
          <rPr>
            <sz val="9"/>
            <color indexed="81"/>
            <rFont val="Tahoma"/>
            <family val="2"/>
            <charset val="204"/>
          </rPr>
          <t xml:space="preserve">
в гп в консультанте другая стоимость</t>
        </r>
      </text>
    </comment>
    <comment ref="J23" authorId="0">
      <text>
        <r>
          <rPr>
            <b/>
            <sz val="9"/>
            <color indexed="81"/>
            <rFont val="Tahoma"/>
            <family val="2"/>
            <charset val="204"/>
          </rPr>
          <t>Семенова:</t>
        </r>
        <r>
          <rPr>
            <sz val="9"/>
            <color indexed="81"/>
            <rFont val="Tahoma"/>
            <family val="2"/>
            <charset val="204"/>
          </rPr>
          <t xml:space="preserve">
в гп в консультанте и в плане реализации не стоит</t>
        </r>
      </text>
    </comment>
    <comment ref="F42" authorId="0">
      <text>
        <r>
          <rPr>
            <b/>
            <sz val="9"/>
            <color indexed="81"/>
            <rFont val="Tahoma"/>
            <family val="2"/>
            <charset val="204"/>
          </rPr>
          <t>Семенова:</t>
        </r>
        <r>
          <rPr>
            <sz val="9"/>
            <color indexed="81"/>
            <rFont val="Tahoma"/>
            <family val="2"/>
            <charset val="204"/>
          </rPr>
          <t xml:space="preserve">
в гп в консультанте другая стоимость</t>
        </r>
      </text>
    </comment>
    <comment ref="E47" authorId="0">
      <text>
        <r>
          <rPr>
            <b/>
            <sz val="9"/>
            <color indexed="81"/>
            <rFont val="Tahoma"/>
            <family val="2"/>
            <charset val="204"/>
          </rPr>
          <t>Семенова:</t>
        </r>
        <r>
          <rPr>
            <sz val="9"/>
            <color indexed="81"/>
            <rFont val="Tahoma"/>
            <family val="2"/>
            <charset val="204"/>
          </rPr>
          <t xml:space="preserve">
обновить информацию</t>
        </r>
      </text>
    </comment>
    <comment ref="A52" authorId="0">
      <text>
        <r>
          <rPr>
            <b/>
            <sz val="9"/>
            <color indexed="81"/>
            <rFont val="Tahoma"/>
            <family val="2"/>
            <charset val="204"/>
          </rPr>
          <t>Семенова:</t>
        </r>
        <r>
          <rPr>
            <sz val="9"/>
            <color indexed="81"/>
            <rFont val="Tahoma"/>
            <family val="2"/>
            <charset val="204"/>
          </rPr>
          <t xml:space="preserve">
Отсутствуют ОКСы:
1. "Лыжная база в городе Полярные Зори Мурманской области"
2. Спортивный комплекс с плавательным бассейном "Энергетик", расположенный по адресу: Мурманская область, Кольский район, пгт. Мурмаши, ул. Мисякова, д. 6
3. Фитнес-центр "Престиж", расположенный в зданиях по адресам: Мурманская область, Кольский район, пгт. Мурмаши, ул. Мира, д. 14, ул. Мира, д. 13</t>
        </r>
      </text>
    </comment>
  </commentList>
</comments>
</file>

<file path=xl/sharedStrings.xml><?xml version="1.0" encoding="utf-8"?>
<sst xmlns="http://schemas.openxmlformats.org/spreadsheetml/2006/main" count="24222" uniqueCount="5476">
  <si>
    <t>План реализации государственной программы</t>
  </si>
  <si>
    <t xml:space="preserve"> № п/п</t>
  </si>
  <si>
    <t>Государственная программа, подпрограмма, основное мероприятие, мероприятие</t>
  </si>
  <si>
    <t xml:space="preserve"> Срок выполнения</t>
  </si>
  <si>
    <t>Объемы и источники финансирования (тыс. руб.)</t>
  </si>
  <si>
    <t>Связь основных мероприятий с показателями подпрограмм, ожидаемые результаты реализации (краткая характеристика) мероприятий</t>
  </si>
  <si>
    <t>Соисполнители, участники, исполнители</t>
  </si>
  <si>
    <t>По годам реализации</t>
  </si>
  <si>
    <t>Всего</t>
  </si>
  <si>
    <t>ОБ</t>
  </si>
  <si>
    <t>ФБ</t>
  </si>
  <si>
    <t>МБ</t>
  </si>
  <si>
    <t>ВБС</t>
  </si>
  <si>
    <t xml:space="preserve">Государственная программа "Развитие физической культуры и спорта" </t>
  </si>
  <si>
    <t>2014-2020</t>
  </si>
  <si>
    <t>КФКиС МО, Минстрой МО</t>
  </si>
  <si>
    <t>1.</t>
  </si>
  <si>
    <t>Подпрограмма 1 "Развитие массового спорта"</t>
  </si>
  <si>
    <t>КФКиС МО, подведомственные учреждения</t>
  </si>
  <si>
    <t>1.1.1.</t>
  </si>
  <si>
    <t>Основное мероприятие 1 "Обеспечение организации и проведения физкультурных мероприятий и массовых спортивных мероприятий"</t>
  </si>
  <si>
    <t xml:space="preserve">Доля обучающихся и студентов, систематически занимающихся физической культурой и спортом, в общей численности обучающихся и студентов. </t>
  </si>
  <si>
    <t>Субсидия на финансовое обеспечение выполнения государственного задания</t>
  </si>
  <si>
    <t>ГАУМО "ЦСП"</t>
  </si>
  <si>
    <t>Обучение навыкам плавания, проведение учебно-тренировочных занятий по плаванию для детей и подростков в возрасте  от 6 до 18 лет</t>
  </si>
  <si>
    <t xml:space="preserve">Обучение плаванию ежегодно не менее 500 человек </t>
  </si>
  <si>
    <t>КФКиС МО</t>
  </si>
  <si>
    <t>Организация оздоровительного процесса в плавательных бассейнах для граждан пожилого возраста, инвалидов, граждан, находящихся в трудной жизненной ситуации, детей-сирот, детей, оставшихся без попечения родителей</t>
  </si>
  <si>
    <t xml:space="preserve">Ежегодная организация оздоровительного процесса в плавательных бассейнах для граждан пожилого возраста, инвалидов, граждан, находящихся в трудной жизненной ситуации, детей-сирот, детей, оставшихся без попечения родителей в колличестве не менее 7000 чел./посещений </t>
  </si>
  <si>
    <t>Закупка спортивного оборудования для СДЮСШОР</t>
  </si>
  <si>
    <t>2016-2017</t>
  </si>
  <si>
    <t>Закупка спортивного оборудования, сертифицированного в соответствии с национальными стандартами (ГОСТ Р), для СДЮСШОР</t>
  </si>
  <si>
    <t>ГАУМО «МОСШОР по зимним видам спорта», ГАУМО "Кировская СШОР", ГАУМО "Мончегорская СШОР", ГАУМО "МОСШОР", КФКиС МО</t>
  </si>
  <si>
    <t>1.2.1.</t>
  </si>
  <si>
    <t>Основное мероприятие 2 "Реализация мероприятий по пропаганде здорового образа жизни и вовлечению населения в занятия физической культурой и массовым спортом"</t>
  </si>
  <si>
    <t xml:space="preserve"> Доля граждан Мурманской области, выполнивших нормативы Всероссийского физкультурно-спортивного комплекса "Готов к труду и обороне" (ГТО), в общей численности населения, принявшего участие в сдаче нормативов Всероссийского физкультурно-спортивного комплекса "Готов к труду и обороне" (ГТО). Доля граждан Мурманской области, занимающихся физической культурой и спортом по месту работы, в общей численности населения занятого в экономике.</t>
  </si>
  <si>
    <t>Изготовление видеофильмов и видеороликов, изданий методической литературы по вопросам здорового образа жизни, физической культуре и спорту. Трансляция на областных телеканалах физкультурно-оздоровительных программ в помощь самостоятельно занимающимся физическими упражнениями и спортом.</t>
  </si>
  <si>
    <t>Ежегодное изготовление и трансляция 1 физкультурно-оздоровительной программе</t>
  </si>
  <si>
    <t>Реализация плана мероприятий по поэтапному внедрению Всероссийского физкультурно-спортивного комплекса "Готов к труду и обороне" (ГТО)  в Мурманской области</t>
  </si>
  <si>
    <t xml:space="preserve"> ГАУМО «МОСШОР», ГАУМО "ЦСП"</t>
  </si>
  <si>
    <t>2.</t>
  </si>
  <si>
    <t>Подпрограмма 2 "Подготовка спортивного резерва"</t>
  </si>
  <si>
    <t>КФКиС МО, администрации муниципальных образований МО, подведомственные учреждения</t>
  </si>
  <si>
    <t>2.1.1.</t>
  </si>
  <si>
    <t>Основное мероприятие 1 "Проведение спортивных мероприятий, материально-техническое обеспечение спортивных сборных команд Мурманской области"</t>
  </si>
  <si>
    <t xml:space="preserve">Доля спортсменов-разрядников в общем количестве лиц, занимающихся в системе специализированых детско-юношеских спортивных школ олимпийского резерва. Численность спортсменов МО, включенных в список кандидатов в спортивные сборные команды Российской Федерации. </t>
  </si>
  <si>
    <t>Проведение ежегодно более 175 всероссийских, областных и межмуниципальных официальных спортивных мероприятий, тренировочных сборов спортивных сборных команд Мурманской области и сборных команд России на территории Мурманской области, обеспечение участия спортивных сборных команд Мурманской области в более 300 международных, всероссийских и межрегиональных официальных спортивных мероприятиях и организация мероприятий по подготовке спортивных сборных команд Мурманской обласити в соответствии с  календарным планом официальных физкультурных мероприятий и спортивных мероприятий Мурманской области на соответствующий год.</t>
  </si>
  <si>
    <r>
      <t xml:space="preserve">ГАУМО "ЦСП", ГАУМО «КСШОР»,  ГАУМО «Мончегорская СШОР», ГАУМО </t>
    </r>
    <r>
      <rPr>
        <sz val="6"/>
        <rFont val="Times New Roman"/>
        <family val="1"/>
        <charset val="204"/>
      </rPr>
      <t>«Кировская СШОР»</t>
    </r>
    <r>
      <rPr>
        <sz val="6"/>
        <color indexed="8"/>
        <rFont val="Times New Roman"/>
        <family val="1"/>
        <charset val="204"/>
      </rPr>
      <t xml:space="preserve"> </t>
    </r>
  </si>
  <si>
    <t>Проведение мероприятий международного традиционного Праздника Севера</t>
  </si>
  <si>
    <t>Ежегодное проведение не менее 10 мероприятий международного традиционного Праздника Севера.</t>
  </si>
  <si>
    <t>Организация и проведение церемонии награждения спортсменов, тренеров, ветеранов спорта и физкультурного актива  Мурманской области</t>
  </si>
  <si>
    <t>Ежегодная организация и проведение церемонии награждения спортсменов, тренеров, ветеранов спорта и физкультурного актива  Мурманской области с количеством награжденных не менее 3 человек, с участием в церемонии не менее 60 человек</t>
  </si>
  <si>
    <t>Организация и проведение смотров-конкурсов среди учреждений спортивной направленности</t>
  </si>
  <si>
    <t>Ежегодная организация и проведение не менее 2 смотров-конкурсов среди учреждений спортивной направленности</t>
  </si>
  <si>
    <t>Проведение тренировочных сборов сборных команд Мурманской области по видам спорта на спортсооружениях  ГОУП «УСЦ»</t>
  </si>
  <si>
    <t xml:space="preserve">Предоставление  субсидий из областного бюджета некоммерческим организациям осуществляющим деятельность в сфере физической культуры и спорта </t>
  </si>
  <si>
    <t>Выплата единовременного денежного вознаграждения спортсменам, проживающим в Мурманской области и выступившим в составе спортивных сборных команд Мурманской области и Российской Федерации по олимпийским видам спорта, и их тренерам за победу и призовые места на Олимпийских, Паралимпийских и Сурдлимпийских играх, чемпионатах, кубках мира и Европы, чемпионатах России</t>
  </si>
  <si>
    <t xml:space="preserve">Ежегодная выплата единовременного денежного вознаграждения не менее, чем 6 спортсменам,  их тренерам </t>
  </si>
  <si>
    <t>2.2.1.</t>
  </si>
  <si>
    <t>Основное мероприятие 2 "Реализация программ спортивной подготовки в сфере физичечской культуры и спорта подведомственными учреждениями"</t>
  </si>
  <si>
    <t>Доля спортсменов разрядников, имеющие разряды и звания (от 1 разряда до спортивного звания «Заслуженный мастер спорта»), в общем количестве спортсменов-разрядников в системе специализированных детско-юношеских спортивных школ олимпийского резерва.  Доля граждан в возрасте 6-15 лет, занимающихся в спортивных организациях, в общей численности детей и молодежи в возрасте 6-15 лет. Доля организаций, оказывающих услуги по спортивной подготовке в соответствии с федеральными стандартами спортивной подготовки, в общем количестве организаций в сфере физической культуры и спорта, в том числе для лиц с ограниченными возможностями здоровья и инвалидов. Доля занимающихся на этапе высшего спортивного мастерства в организациях, осуществляющих спортивную подготовку, в общем количестве занимающихся на этапе совершенствования спортивного мастерства в организациях, осуществляющих спортивную подготовку.</t>
  </si>
  <si>
    <t xml:space="preserve">ГАУМО «ЦСП», ГАУМО «КСШОР», ГАУМО «МОСШОР по зимним видам спорта», ГАУМО «МОСШОР», ГАУМО «Мончегорская СШОР», ГАУМО «Кировская СШОР» </t>
  </si>
  <si>
    <t>Компенсация расходов на оплату стоимости проезда и провоза багажа к месту использования отпуска и обратно лицам, работающим в организациях, финансируемых из областного бюджета</t>
  </si>
  <si>
    <t>Ежегодная компенсация расходов на оплату стоимости проезда и провоза багажа к месту использования отпуска и обратно лицам, работающим в 6 организациях, финансируемых из областного бюджета</t>
  </si>
  <si>
    <t xml:space="preserve">Оказание адресной финансовой поддержки спортивным организациям, осуществляющим подготовку спортивного резерва для сборных команд Российской Федерации </t>
  </si>
  <si>
    <t>Оказание адресной финансовой поддержки спортивным организациям, осуществляющим подготовку спортивного резерва для сборных команд Российской Федерации за счет федерального бюджета</t>
  </si>
  <si>
    <t>ГАУМО «ЦСП»</t>
  </si>
  <si>
    <t>2.2.2.</t>
  </si>
  <si>
    <t>Основное мероприятие 3 "Обеспечение спортивного резерва инвентарем и оборудованием"</t>
  </si>
  <si>
    <t>Доля спортсменов-разрядников в общем количестве лиц, занимающихся в системе специализированых детско-юношеских спортивных школ олимпийского резерва. Численность спортсменов МО, включенных в список кандидатов в спортивные сборные команды Российской Федерации. Доля спортсменов разрядников, имеющие разряды и звания (от 1 разряда до спортивного звания «Заслуженный мастер спорта» в общем количестве спортсменов-разрядников в системе специализированых детско-юношеских спортивных школ олимпийского резерва. Доля граждан  в возрасте 6-15 лет занимающихся в спортивных организациях в общей численности детей и молодежи в возрасте 6-15 лет.</t>
  </si>
  <si>
    <t>Развитие информационно-технологической инфраструктуры подведомственных учреждений</t>
  </si>
  <si>
    <t>Приобретение лицензированных программных продуктов, технических компьютерных средств для нужд 6 подведомственных учреждений</t>
  </si>
  <si>
    <t>Содержание имущества подведомственных учреждений</t>
  </si>
  <si>
    <t>Ремонт снегоуплотнительной техники с навесным оборудованием</t>
  </si>
  <si>
    <t>Приобретение оборудования и инвентаря (трактора и прицепа)</t>
  </si>
  <si>
    <t>Приобретение 2 единицы машиноуборочной (коммунальной) техники (трактора и прицепа)</t>
  </si>
  <si>
    <t>3.</t>
  </si>
  <si>
    <t>Подпрограмма 3 "Развитие спортивной инфраструктуры"</t>
  </si>
  <si>
    <t>КФКиС МО, Минстрой МО, ГОКУ «УКС МО», ГОУП УСЦ, ГАУМО «Мончегорская СШОР по горнолыжному спорту», муниципальные образования МО</t>
  </si>
  <si>
    <t>3.1.1.</t>
  </si>
  <si>
    <t>Основное мероприятие 1 "Строительство, реконструкция и модернизация спортивных объектов Мурманской области"</t>
  </si>
  <si>
    <t>Единовременная пропускная способность объектов спорта. Единовременная пропускная способность объектов спорта, введенных в эксплуатацию в рамках Программы. Эффективность использования существующих объектов спорта.</t>
  </si>
  <si>
    <t>КФКиС МО, Минстрой МО,  ГОКУ «УКС МО», ГОУП УСЦ, ГАУМО «Мончегорская СШОР по горнолыжному спорту», муниципальные образования МО</t>
  </si>
  <si>
    <t xml:space="preserve">Строительство объекта «Лыжероллерная трасса. Водоотводные сооружения лыжного стадиона спорткомплекса "Долина Уюта" в г. Мурманске»
</t>
  </si>
  <si>
    <t>2014-2016</t>
  </si>
  <si>
    <t>Минстрой МО, ГОУП УСЦ</t>
  </si>
  <si>
    <t>2015-2020</t>
  </si>
  <si>
    <t>Приобретение и установка не менее 5 спортивных площадок ежегодно.</t>
  </si>
  <si>
    <t xml:space="preserve">Строительство объекта "Межшкольный стадион в г. Мурманске"                                                                                                                                                                                                               </t>
  </si>
  <si>
    <t>Минстрой МО, ГОКУ «УКС МО»</t>
  </si>
  <si>
    <t>Минстрой МО,
МО г.Полярные Зори с п.т</t>
  </si>
  <si>
    <t>Строительство объекта "Физкультурно-оздоровительный комплекс открытого типа в жилом районе Росляково г. Мурманска"</t>
  </si>
  <si>
    <t>Ввод объекта в эксплуатацию в 2017 году.</t>
  </si>
  <si>
    <t>Минстрой МО, 
МО г. Мурманск</t>
  </si>
  <si>
    <t>Строительство объекта "Плавательный бассейн в г. Кандалакша"</t>
  </si>
  <si>
    <t>2011-2016</t>
  </si>
  <si>
    <t>Ввод объекта в эксплуатацию в 2016 году.</t>
  </si>
  <si>
    <t>Строительство объекта "Спортивно-оздоровительный центр с искуственным ледовым покрытием в г. Кировске"</t>
  </si>
  <si>
    <t>Минстрой МО, МО г. Кировск</t>
  </si>
  <si>
    <t>Разработка ПСД по объекту "Реконструкция здания плавательного бассейна по 
ул. Челюскинцев, д.2 в г. Мурманске"</t>
  </si>
  <si>
    <t>Минстрой МО, ГОУП "УСЦ"</t>
  </si>
  <si>
    <t>Разработка ПСД по объекту "Комплексное развитие спорткомплекса "Долина Уюта" в г. Мурманске"</t>
  </si>
  <si>
    <t>3.2.1.</t>
  </si>
  <si>
    <t>Основное мероприятие 2 "Проведение капитального и текущего ремонта, реализация мероприятий по энергоэффективности спортивных сооружений Мурманской области"</t>
  </si>
  <si>
    <t>Эффективность использования существующих объектов спорта. Количество спортивных сооружений, осуществивших капитальный и текущий  ремонт.</t>
  </si>
  <si>
    <t>Минстрой МО, КФКиС МО, администрации муниципальных образований МО, подведомственные учреждения</t>
  </si>
  <si>
    <t xml:space="preserve">Возмещение затрат юридических лиц  в части  содержания государственного имущества    </t>
  </si>
  <si>
    <t xml:space="preserve">Возмещение затрат ГОУП «УСЦ»  в части  содержания государственного имущества. В 2016 году проведение плановых ремонтных работ имущества ГОУП "УСЦ".    </t>
  </si>
  <si>
    <t>КФКиС МО, ГОУП УСЦ</t>
  </si>
  <si>
    <t>Капитальный ремонт здания дворца спорта "Металлург" в п.Никель</t>
  </si>
  <si>
    <t>Минстрой МО,
МО г.п. Никель Печенгского района</t>
  </si>
  <si>
    <t>Предоставление субсидии  из областного бюджета на капитальный ремонт тренажерного зала МБУ "Культурно спортивный центр" в гп Ревда</t>
  </si>
  <si>
    <t>Ремонт  2016 году тренажерного зала МБУ "Культурно спортивный центр" в гп Ревда</t>
  </si>
  <si>
    <t>КФКиС МО, администрация муниципального образования</t>
  </si>
  <si>
    <t>Предоставление субсидии  из областного бюджета на капитальный ремонт объекта "Спортивный зал", г. Полярные Зори</t>
  </si>
  <si>
    <t>Ремонт в 2016 году объекта "Спортивный зал ДЮСШ", г. Полярные Зори</t>
  </si>
  <si>
    <t>Предоставление субсидии  из областного бюджета на капитальный ремонт спортивного комплекса МАУДО ДЮСШ «Универсал», г.  Апатиты.</t>
  </si>
  <si>
    <t>Капитальный ремонт в 2016 году спортивного комплекса МАУДО ДЮСШ «Универсал», г.  Апатиты.</t>
  </si>
  <si>
    <t>Капитальный ремонт плавательного бассейна в г. Полярные Зори</t>
  </si>
  <si>
    <t>Капитальный ремонт в 2016 году плавательного бассейна, г. Полярные Зори.</t>
  </si>
  <si>
    <t>Ремонт (замена) искусственного покрытия футбольного поля</t>
  </si>
  <si>
    <t>Ремонт в 2016 году футбольного поля в муниципальном образовании г. Мурманск, в 2017 году футбольного поля в муниципальном образовании п. Никель.</t>
  </si>
  <si>
    <t>Компенсация расходов по поддержанию объектов спорткомплекса "Долина Уюта" в работоспособном состоянии до передачи его в оперативное управление ГАУМО "ЦСП"</t>
  </si>
  <si>
    <t>Компенсация расходов по поддержанию объектов спорткомплекса "Долина Уюта" в работоспособном состоянии в связи с изъятием из хозяйственного ведения ГОУП "УСЦ" и передачи в оперативное управление ГАУМО "ЦСП"</t>
  </si>
  <si>
    <t>Сертификация, гомологация, оформление технического паспорта спорткомплекса "Долина Уюта"</t>
  </si>
  <si>
    <t>Сертификация, гомологация, оформление технического паспорта спорткомплекса "Долина Уюта" в связи с изъятием из хозяйственного ведения ГОУП "УСЦ" и передачи в оперативное управление ГАУМО "ЦСП"</t>
  </si>
  <si>
    <t>Капитальный ремонт легкоатлетических дорожек спортивного комплекса "Локомотив", Кандалакша</t>
  </si>
  <si>
    <t>Капитальный ремонт в 2017 году легкоатлетических дорожек спортивного комплекса "Локомотив", Кандалакша</t>
  </si>
  <si>
    <t>Минстрой МО, МО г. Кандалакша</t>
  </si>
  <si>
    <t>4.</t>
  </si>
  <si>
    <t>Подпрограмма 4 "Обеспечение реализации государственной программы"</t>
  </si>
  <si>
    <t>4.1.</t>
  </si>
  <si>
    <t>Основное мероприятие 1 Обеспечение реализации государственных функций и оказание государственных услуг в сфере физической культуры и спорта</t>
  </si>
  <si>
    <t xml:space="preserve">Повышение эффективности управления финансовыми средствами областного бюджета  </t>
  </si>
  <si>
    <t>4.1.1.</t>
  </si>
  <si>
    <t>Обеспечение реализации государственных функций и оказание государственных услуг Комитетом по физической культуре и спорту  Мурманской области</t>
  </si>
  <si>
    <t xml:space="preserve">Ежегодно реализация 51 государственной функции и оказание государственных услуг </t>
  </si>
  <si>
    <t>Государственная программа, подпрограмма, основное мероприятие</t>
  </si>
  <si>
    <t xml:space="preserve"> Результаты выполнения мероприятий </t>
  </si>
  <si>
    <t>Источник</t>
  </si>
  <si>
    <t>Запланировано на отчетный год</t>
  </si>
  <si>
    <t>Фактическое исполнение</t>
  </si>
  <si>
    <t>Ожидаемые результаты реализации (краткая характеристика) мероприятий в соответствии с планом</t>
  </si>
  <si>
    <t>Фактические результаты реализации (краткая характеристика) мероприятий</t>
  </si>
  <si>
    <t>Выполнение (да/нет/частично)*</t>
  </si>
  <si>
    <t xml:space="preserve">Строительство объекта "Административно-спортивный комплекс специализированной детско-юношеской  спортивной школы олимпийского резерва  по горнолыжному спорту в г.  Кировске" </t>
  </si>
  <si>
    <t>Код ГРБС</t>
  </si>
  <si>
    <t>Кассовое исполнение</t>
  </si>
  <si>
    <t>Степень освоения средств</t>
  </si>
  <si>
    <t>Комитет по физической культуре и спорту Мурманской области</t>
  </si>
  <si>
    <t>823/807</t>
  </si>
  <si>
    <t>2016-2020</t>
  </si>
  <si>
    <t>Присвоение спортивных разрядов: "Первый юношеский спортивный разряд", "Второй юношеский спортивный разряд", "Третий юношеский спортивный разряд"</t>
  </si>
  <si>
    <t>Обеспечение процедуры присвоения спортивных разрядов</t>
  </si>
  <si>
    <t xml:space="preserve">ГАУМО «КСШОР», ГАУМО «МОСШОР по зимним видам спорта», ГАУМО «Кировская СШОР» </t>
  </si>
  <si>
    <t>Реализация программ спортивной подготовки в 2017 году и плановом периоде 2018-2019 г.г.: ГАУМО «КСШОР» - 335 человек, ГАУМО «МОСШОР по зимним видам спорта» - 579 человек, ГАУМО «МОСШОР» - 233 человека, ГАУМО «Мончегорская СШОР» - 256 человек, ГАУМО «Кировская СШОР» - 270 человек. Проведение не менее 35 тренировочных мероприятий, физкультурных и спортивных мероприятий.</t>
  </si>
  <si>
    <t>Компенсация расходов на оплату стоимости проезда и провоза багажа при переезде лиц (работников), а также членов их семей, при заключении (расторжении) трудовых договоров (контрактов) с организациями, финансируемыми из областного бюджета</t>
  </si>
  <si>
    <t>Приобретение снегоуплотнительной техники</t>
  </si>
  <si>
    <t xml:space="preserve">Приобретение в 2017 году 1 единицы снегоуплотнительной техники </t>
  </si>
  <si>
    <t>2014-2017</t>
  </si>
  <si>
    <t xml:space="preserve">Строительство в 2015 - 2017 годах объекта «Лыжероллерная трасса. Водоотводные сооружения лыжного стадиона спорткомплекса "Долина Уюта" в г. Мурманске». Ввод объекта в эксплуатацию в 2017 году.
</t>
  </si>
  <si>
    <t>2016-2019</t>
  </si>
  <si>
    <t xml:space="preserve">Разработка проектной документации, получение положительного заключения государственой экспертизы в 2017 году. </t>
  </si>
  <si>
    <t>Завершение капитального ремонта  2016 году</t>
  </si>
  <si>
    <t>Предоставление субсидии из областного бюджета на капитальный ремонт муниципального учреждения спорта "Учебно-спортивный центр" (Дом физкультуры), г. Оленегорск</t>
  </si>
  <si>
    <t>Капитальный ремонт в 2017 году кровли и  системы вентиляции муниципального учреждения спорта "Учебно-спортивный центр" (Дом физкультуры), г. Оленегорск</t>
  </si>
  <si>
    <t>Капитальный ремонт Дворца спорта МАУ ФСК «Атлет», г.  Апатиты</t>
  </si>
  <si>
    <t>Капитальный ремонт в 2017 году фасада и фойе 1 этажа Дворца спорта МАУ ФСК «Атлет», г.  Апатиты</t>
  </si>
  <si>
    <t>Минстрой МО, администрация муниципального образования</t>
  </si>
  <si>
    <t>В 2016 разработка ПСД. Привязка типового проекта. 2017 год - приобретение типового проекта Министерства спорта РФ. 2018 год - строительство 1-го этапа. 2019 год - строительство 2-го этапа и ввод объекта в эксплуатацию.</t>
  </si>
  <si>
    <t xml:space="preserve">В 2016 разработка ПСД. Привязка типового проекта.В 2017 году заключение контракта на строительство. 2018-2020 строительство объекта.
В 2017 году техническая готовность объекта 23%. Техническая готовность объекта в 2018 году 47%.
Ввод объекта в эксплуатацию в 2020 году. </t>
  </si>
  <si>
    <t xml:space="preserve">2016 год разработка проекта. В 2017 году заключение контракта, подготовительные работы, работы нулевого цикла.
Техническая готовность объекта в 2018 году 70%
Ввод объекта в эксплуатацию в 2019 году. </t>
  </si>
  <si>
    <t>1.1.</t>
  </si>
  <si>
    <t>1.2.</t>
  </si>
  <si>
    <t>2.1.</t>
  </si>
  <si>
    <t>2.2.</t>
  </si>
  <si>
    <t>2.3.</t>
  </si>
  <si>
    <t>3.1.</t>
  </si>
  <si>
    <t>3.2.</t>
  </si>
  <si>
    <t xml:space="preserve">В 2016-2017 годах  проведение не менее 10 областных и межмуниципальных официальных  физкультурных мероприятий, тренировочных сборов спортивных сборных команд. В 2018-2020 годах проведение не менее 22 областных и межмуниципальных официальных  физкультурных мероприятий, тренировочных сборов спортивных сборных команд. Проведение Универсиады России в 2018 году. </t>
  </si>
  <si>
    <t>1.1.2.</t>
  </si>
  <si>
    <t>Обучение навыкам плавания  детей и подростков в возрасте  от 6 до 18 лет</t>
  </si>
  <si>
    <t>1.1.3.</t>
  </si>
  <si>
    <t>1.1.4.</t>
  </si>
  <si>
    <t>1.1.5.</t>
  </si>
  <si>
    <t xml:space="preserve">Закупка комплекта искусственного покрытия
футбольного поля 
</t>
  </si>
  <si>
    <t>2018-2020</t>
  </si>
  <si>
    <t>Ежегодная закупка комплекта искусственного покрытия футбольного поля в рамках ФЦП "Развитие физической культуры и спорта в Росийской Федерации". В 2018 году укладка искусственного покрытия футбольного поля за счет средств муниципального образования г. Апатиты.</t>
  </si>
  <si>
    <t>1.1.6.</t>
  </si>
  <si>
    <t xml:space="preserve">Закупка оборудования для обеспечения антитеррористической защищенности объектов спорта 
</t>
  </si>
  <si>
    <t>Закупка оборудования для обеспечения антитеррористической защищенности объектов спорта учреждений, подведомственных КФКиС МО</t>
  </si>
  <si>
    <t>1.2.2.</t>
  </si>
  <si>
    <t xml:space="preserve">Проведение мероприятий, участие сборных команд Мурманской области во Всероссийских этапах комплекса ГТО, проведение  семинаров, конференций по внедрению комплекса ГТО, участие в семинарах, курсах, конференциях за пределами Мурманской области, материально-техническое обеспечение центров тестирования (приобретение спортивного оборудования и инвентаря), организация и проведение пропагандистских мероприятий, програмное обеспечение центров тестирования.  </t>
  </si>
  <si>
    <t>1.2.3.</t>
  </si>
  <si>
    <t>2017-2020</t>
  </si>
  <si>
    <t xml:space="preserve">Ежегодное изготовление и трансляция 1 физкультурно-оздоровительной программы. Проведение мероприятий, участие сборных команд Мурманской области во Всероссийских этапах комплекса ГТО, проведение  семинаров, конференций по внедрению комплекса ГТО, участие в семинарах, курсах, конференциях за пределами Мурманской области, материально-техническое обеспечение центров тестирования  (приобретение спортивного оборудования и инвентаря), организация и проведение пропагандистских мероприятий, програмное обеспечение центров тестирования.  </t>
  </si>
  <si>
    <t>2.1.2.</t>
  </si>
  <si>
    <t>2.1.3.</t>
  </si>
  <si>
    <t>2.1.4.</t>
  </si>
  <si>
    <t>2.1.5.</t>
  </si>
  <si>
    <t>Проведение в 2016 году тренировочных сборов сборных команд Мурманской области по видам спорта на спортсооружениях  ГОУП «УСЦ» в количестве не менее 15 час.</t>
  </si>
  <si>
    <t>2.1.6.</t>
  </si>
  <si>
    <t>Возмещение АНО »Клуб по хоккею с мячом «Мурман» расходов на оплату труда, на оплату проезда, проживания, питания, аренды автотранспорта и спортивных сооружений, оплату членских и заявочных (стартовых) взносов, оплату работы судей, расходов на обеспечение фоармакологическими и восстановительными средствами, приобретение спортивной экипировки</t>
  </si>
  <si>
    <t>2.1.7.</t>
  </si>
  <si>
    <t>2.1.8.</t>
  </si>
  <si>
    <t>2.1.9.</t>
  </si>
  <si>
    <t>Проведение мероприятий международной велосипедной гонки Арктик Райс</t>
  </si>
  <si>
    <t xml:space="preserve">Проведение в 2018 году международной велосипедной гонки </t>
  </si>
  <si>
    <t>2.2.3.</t>
  </si>
  <si>
    <t>2.2.4.</t>
  </si>
  <si>
    <t>2.3.1.</t>
  </si>
  <si>
    <t>2.3.2.</t>
  </si>
  <si>
    <t>2.3.3.</t>
  </si>
  <si>
    <t>2.3.4.</t>
  </si>
  <si>
    <t>3.1.2.</t>
  </si>
  <si>
    <t xml:space="preserve">Устройство спортивных площадок </t>
  </si>
  <si>
    <t>3.1.3.</t>
  </si>
  <si>
    <t>3.1.4.</t>
  </si>
  <si>
    <t>Строительство объекта "Физкультурно-оздоровительный комплекс в городе Полярные Зори Мурманская область"</t>
  </si>
  <si>
    <t>3.1.5.</t>
  </si>
  <si>
    <t>3.1.6.</t>
  </si>
  <si>
    <t>3.1.7.</t>
  </si>
  <si>
    <t>2014, 2018-2020</t>
  </si>
  <si>
    <t>Начало строительства объекта в 2018 году.
Техническая готовность объекта в 2018 году 9%,
техническая готовность объекта в 2019 году 45%,                                                                                                                                                                                ввод объекта в 2020 году.</t>
  </si>
  <si>
    <t>2019*</t>
  </si>
  <si>
    <t>2020*</t>
  </si>
  <si>
    <t>3.1.8.</t>
  </si>
  <si>
    <t>3.1.9.</t>
  </si>
  <si>
    <t>3.1.10.</t>
  </si>
  <si>
    <t>3.1.11.</t>
  </si>
  <si>
    <t>Строительство объекта "Пожарный водоем (резервуар) на горнолыжном комплексе ГАУМО "Мончегорская СШОР по горнолыжному спорту"</t>
  </si>
  <si>
    <t>Разработка ПСД, получение заключения Госэкспертизы, обустройство Пожарного водоема (резервуара) на горнолыжном комплексе ГАУМО "Мончегорская СШОР по горнолыжному спорту" в 2018 году</t>
  </si>
  <si>
    <t>ГАУМО "Мончегорская СШОР по горнолыжному спорту"</t>
  </si>
  <si>
    <t>3.1.12.</t>
  </si>
  <si>
    <t>Строительство объекта "Спортивная площадка на территории МОУ СОШ N 289 в ЗАТО город Заозерск"</t>
  </si>
  <si>
    <t>Разработка ПСД, получение заключения Госэкспертизы, обустройство Спортивной площадки на территории МОУ СОШ N 289 в ЗАТО город Заозерск в 2020 году</t>
  </si>
  <si>
    <t>3.2.2.</t>
  </si>
  <si>
    <t>3.2.3.</t>
  </si>
  <si>
    <t>3.2.4.</t>
  </si>
  <si>
    <t>3.2.5.</t>
  </si>
  <si>
    <t>3.2.6.</t>
  </si>
  <si>
    <t>3.2.7.</t>
  </si>
  <si>
    <t>3.2.8.</t>
  </si>
  <si>
    <t>3.2.9.</t>
  </si>
  <si>
    <t>3.2.10.</t>
  </si>
  <si>
    <t>3.2.11.</t>
  </si>
  <si>
    <t>Предоставление субсидии из областного бюджета на текущий ремонт спортивного зала МБУ "Ловозерский центр развития досуга и культуры"</t>
  </si>
  <si>
    <t>Текущий ремонт в 2017 году спортивного зала МБУ "Ловозерский центр развития досуга и культуры"</t>
  </si>
  <si>
    <t>3.2.12.</t>
  </si>
  <si>
    <t>3.2.13.</t>
  </si>
  <si>
    <t>3.2.14.</t>
  </si>
  <si>
    <t>Капитальный ремонт Спорткомплекса МБОУ ДО "ДЮСШ" администрации Ловозерского района, г.п. Ревда</t>
  </si>
  <si>
    <t>Капитальный ремонт Спорткомплекса МБОУ ДО "ДЮСШ" администрации Ловозерского района, г.п. Ревда в 2018 году (ремонт спортивного зала, кровли, коммуникаций, внутренних помещений, устройство пандуса</t>
  </si>
  <si>
    <t>3.2.15.</t>
  </si>
  <si>
    <t>Капитальный ремонт здания спортивного комплекса "Дельфин" в г. Заполярный</t>
  </si>
  <si>
    <t>2018-2019</t>
  </si>
  <si>
    <t>2018 год - реионт кровли, 2019 год - ремонт чаши бассейна, фасада, коммуникаций, внутренних помещений.</t>
  </si>
  <si>
    <t>3.2.16.</t>
  </si>
  <si>
    <t>Капитальный ремонт освещения лыжной трассы, г. Кола</t>
  </si>
  <si>
    <t>Капитальный ремонт освещения лыжной трассы, г. Кола (Замена столбов освещения и светильников)</t>
  </si>
  <si>
    <t>3.2.17.</t>
  </si>
  <si>
    <t>Ремонт спортивной площадки по ул. Молодежная в п. Молочный</t>
  </si>
  <si>
    <t>Ремонт спортивной площадки по ул. Молодежная в п. Молочный (В составе спортивного ядра предусмотрена установка: двух круговых беговых дорожек,  двух прямых беговых дорожек, сектора для прыжков, площадки для мини-футбола, площадки  для баскетбола, площадки для волейбола; площадки для спортивных уличных тренажеров, гимнастического комплекса Workout)</t>
  </si>
  <si>
    <t>3.2.18.</t>
  </si>
  <si>
    <t>Ремонт (замена) витражного остекления здания Ледового дворца спорта со стороны Ленинградского проспекта, частичный ремонт фасада, г. Оленегорск</t>
  </si>
  <si>
    <t>Ремонт в 2019 году витражного остекления здания Ледового дворца спорта со стороны Ленинградского проспекта, частичный ремонт фасада в г. Оленегорске</t>
  </si>
  <si>
    <t>* Прогнозные средства федерального бюджета</t>
  </si>
  <si>
    <t>Количество мероприятий, всего, в т.ч.:</t>
  </si>
  <si>
    <t>Выполнено в полном объеме</t>
  </si>
  <si>
    <t>Выполнено частично</t>
  </si>
  <si>
    <t>Не выполнено</t>
  </si>
  <si>
    <t>Степень выполнения мероприятий</t>
  </si>
  <si>
    <t>Причины низкой степени освоения средств, достижения показателей результативности (менее 20%)</t>
  </si>
  <si>
    <t>2.1.10.</t>
  </si>
  <si>
    <t>Обучение навыкам плавания  детей и подростков в возрасте  от 6 до 10 лет</t>
  </si>
  <si>
    <t xml:space="preserve">Ежегодная организация оздоровительного процесса в плавательном бассейне ГОУП "УСЦ" для граждан пожилого возраста, инвалидов, граждан, находящихся в трудной жизненной ситуации, детей-сирот, детей, оставшихся без попечения родителей в колличестве не менее 7000 чел./посещений </t>
  </si>
  <si>
    <t>ГАУМО «МОСШОР по зимним видам спорта», ГАУМО "Кировская СШОР", ГАУМО "Мончегорская СШОР", ГАУМО "МОСШОР", ГАУМО "КСШОР", КФКиС МО</t>
  </si>
  <si>
    <t xml:space="preserve">Ежегодное изготовление и трансляция 1 физкультурно-оздоровительной программы. Проведение мероприятий, участие сборных команд Мурманской области во Всероссийских этапах комплекса ГТО, проведение  семинаров, конференций по внедрению комплекса ГТО, участие в семинарах, курсах, конференциях за пределами Мурманской области, материально-техническое обеспечение центров тестирования  (приобретение спортивного оборудования и инвентаря), организация и проведение пропагандистских мероприятий, в том числе по защите прав потребителей, програмное обеспечение центров тестирования.  </t>
  </si>
  <si>
    <t>Проведение ежегодно более 176 всероссийских, областных и межмуниципальных официальных спортивных мероприятий, тренировочных сборов спортивных сборных команд Мурманской области и сборных команд России на территории Мурманской области, обеспечение участия спортивных сборных команд Мурманской области в более 300 международных, всероссийских и межрегиональных официальных спортивных мероприятиях и организация мероприятий по подготовке спортивных сборных команд Мурманской обласити в соответствии с  календарным планом официальных физкультурных мероприятий и спортивных мероприятий Мурманской области на соответствующий год.</t>
  </si>
  <si>
    <t>ГАУМО "ЦСП", ГБУДО "МОДЮСШ"</t>
  </si>
  <si>
    <t>Возмещение НКО расходов на оплату труда, на оплату проезда, проживания, питания, аренды автотранспорта и спортивных сооружений, оплату членских и заявочных (стартовых) взносов, оплату работы судей, расходов на обеспечение фоармакологическими и восстановительными средствами, приобретение спортивной экипировки</t>
  </si>
  <si>
    <t>Обеспечение процедуры присвоения  не менее  500 спортивных разрядов ежегодно</t>
  </si>
  <si>
    <t>ГАУМО «КСШОР», ГАУМО «МОСШОР по зимним видам спорта», ГАУМО «Кировская СШОР», ГАУМО "МОСШОР", ГАУМО "ЦСП"</t>
  </si>
  <si>
    <t>Проведение тренировочных мероприятий по специальной физической подготовке и ОФП кандидатов спортивных сборных команд Мурманской области по видам спорта</t>
  </si>
  <si>
    <t>Проведение тренировочных мероприятий по специальной физической подготовке и ОФП кандидатов спортивных сборных команд Мурманской области не менее чем по 10 видам спорта</t>
  </si>
  <si>
    <t xml:space="preserve">Реализация программ по спортивной подготовке в соответствии с федеральными стандартами спортивной подготовки по базовым  олимпийским, паралимпийским и сурдлимпийским видам спорта; повышение квалификации и переподготовка специалистов в сфере  физической культуры и спорта; приобретение автомобилей (не являющихся легковыми), массой более 3500 кг и с числом посадочных мест (без учета водительского места) более 8; осуществление, в соответствии с порядком, утверждаемым Министерством спорта Российской Федерации, поддержки одаренных спортсменов, занимающихся в организациях, осуществляющих спортивную подготовку и образовательных организациях, реализующих федеральные стандарты спортивной подготовки </t>
  </si>
  <si>
    <t>Строительство объекта "Физкультурно-оздоровительный комплекс в городе Полярные Зори Мурманской области"</t>
  </si>
  <si>
    <t xml:space="preserve">В 2016 разработка ПСД. Привязка типового проекта.В 2017 году заключение контракта на строительство. 2018-2020 строительство объекта. В 2017 году техническая готовность объекта 23%. Техническая готовность объекта в 2018 году 47%.
Ввод объекта в эксплуатацию в 2019 году. </t>
  </si>
  <si>
    <t>Строительство объекта "Плавательный бассейн в г. Кандалакше"</t>
  </si>
  <si>
    <t xml:space="preserve">2016 год разработка проекта. В 2017 году заключение контракта, подготовительные работы, работы нулевого цикла.
Техническая готовность объекта в 2018 году 70%. Ввод объекта в эксплуатацию в 2019 году. </t>
  </si>
  <si>
    <t>2017-2018</t>
  </si>
  <si>
    <t xml:space="preserve">Разработка проектной документации, получение положительного заключения государственой экспертизы в 2018 году. </t>
  </si>
  <si>
    <t>Минстрой МО, ГОКУ «УКС МО», ГАУМО "Мончегорская СШОР по горнолыжному спорту"</t>
  </si>
  <si>
    <t>Ремонт Спорткомплекса МБОУ ДО "ДЮСШ" администрации Ловозерского района, г.п. Ревда</t>
  </si>
  <si>
    <t>Ремонт Спорткомплекса МБОУ ДО "ДЮСШ" администрации Ловозерского района, г.п. Ревда в 2018 году (облицовка сайдингом, устройство вентилируемого фасада здания)</t>
  </si>
  <si>
    <t>3.3.</t>
  </si>
  <si>
    <t>Основное мероприятие 3 "Строительство, реконструкция и модернизация спортивных объектов Мурманской области в рамках государственно-частного партнерства"</t>
  </si>
  <si>
    <t>Минстрой МО, ГОКУ «УКС МО», Муниципальные образования МО</t>
  </si>
  <si>
    <t>3.3.1.</t>
  </si>
  <si>
    <t>Строительство объекта "Крытый каток с искусственным льдом в г.Мурманске"</t>
  </si>
  <si>
    <t>Строительство объекта в г. Мурманске. 2018 год - разработка ПСД, 2019-2020 годы - строительство.</t>
  </si>
  <si>
    <t>2019**</t>
  </si>
  <si>
    <t>2020**</t>
  </si>
  <si>
    <t>** Прогнозные средства областного бюджета</t>
  </si>
  <si>
    <t xml:space="preserve">ОБ </t>
  </si>
  <si>
    <t>Пожарный водоем (резервуар) на горнолыжном комплексе ГАУМО "Мончегорская СШОР по горнолыжному спорту"</t>
  </si>
  <si>
    <t>объем 100 куб. м</t>
  </si>
  <si>
    <t>Спортивно-оздоровительный центр с искусственным ледовым покрытием в г. Кировске</t>
  </si>
  <si>
    <t>Соисполнители, участники</t>
  </si>
  <si>
    <t>2018 год - ремонт кровли, 2019 год - ремонт чаши бассейна, фасада, коммуникаций, внутренних помещений.</t>
  </si>
  <si>
    <t>Приложение 4 к Методическим указаниям</t>
  </si>
  <si>
    <t>Перечень основных мероприятий и сведения об объемах финансирования государствннной программы</t>
  </si>
  <si>
    <t>Подпрограмма, задача, основное мероприятие, ведомственная целевая программа</t>
  </si>
  <si>
    <t xml:space="preserve"> Связь основных мероприятий с показателями подпрограмм</t>
  </si>
  <si>
    <t>Годы реализации</t>
  </si>
  <si>
    <t xml:space="preserve">Государственная программа Мурманской области "Развитие физической культуры и спорта" </t>
  </si>
  <si>
    <t>КФКиС МО, Минстрой МО, администрации муниципальных образований МО, подведомственные КФКиС МО учреждения</t>
  </si>
  <si>
    <t>КФКиС МО, администрации муниципальных образований МО, подведомственные КФКиС МО учреждения</t>
  </si>
  <si>
    <t>Министерство строительства и территориального развития Мурманской области</t>
  </si>
  <si>
    <t>Минстрой МО, администрации муниципальных образований МО, подведомственные КФКиС МО учреждения</t>
  </si>
  <si>
    <t>КФКиС МО, подведомственные КФКиС МО учреждения</t>
  </si>
  <si>
    <t>доля обучающихся и студентов, систематически занимающихся физической культурой и спортом, в общей численности обучающихся и студентов. Количество квалифицированных тренеров и тренеров-преподавателей физкультурно-спортивных организаций, работающих по специальности</t>
  </si>
  <si>
    <t xml:space="preserve">доля граждан Мурманской области, выполнивших нормативы Всероссийского физкультурно-спортивного комплекса "Готов к труду и обороне" (ГТО), в общей численности населения, принявшего участие в сдаче нормативов Всероссийского физкультурно-спортивного комплекса "Готов к труду и обороне" (ГТО). Доля граждан Мурманской области, занимающихся физической культурой и спортом по месту работы, в общей численности населения, занятого в экономике
</t>
  </si>
  <si>
    <t xml:space="preserve">доля спортсменов-разрядников в общем количестве лиц, занимающихся в системе специализированных детско-юношеских спортивных школ олимпийского резерва. Численность спортсменов МО, включенных в список кандидатов в спортивные сборные команды Российской Федерации
</t>
  </si>
  <si>
    <t>Основное мероприятие 2 "Реализация дополнительных общеобразовательных программ и программ спортивной подготовки в сфере физической культуры и спорта подведомственными учреждениями"</t>
  </si>
  <si>
    <t xml:space="preserve">доля спортсменов-разрядников, имеющих разряды и звания (от 1 разряда до спортивного звания «Заслуженный мастер спорта»), в общем количестве спортсменов-разрядников в системе специализированных детско-юношеских спортивных школ олимпийского резерва.  Доля граждан в возрасте 6-15 лет, занимающихся в спортивных организациях, в общей численности детей и молодежи в возрасте 6-15 лет
</t>
  </si>
  <si>
    <t>доля спортсменов-разрядников, имеющих разряды и звания (от 1 разряда до спортивного звания «Заслуженный мастер спорта»), в общем количестве спортсменов-разрядников в системе специализированных детско-юношеских спортивных школ олимпийского резерва</t>
  </si>
  <si>
    <t xml:space="preserve">единовременная пропускная способность объектов спорта. Единовременная пропускная способность объектов спорта, введенных в эксплуатацию в рамках Программы
</t>
  </si>
  <si>
    <t xml:space="preserve">эффективность использования существующих объектов спорта. Количество спортивных сооружений, в которых осуществлен капитальный и текущий ремонт
</t>
  </si>
  <si>
    <t>206-2017
(приобретение авторских прав, разработка ПСД, экспертиза)
2018-2019
(строительство)</t>
  </si>
  <si>
    <t>Минстрой МО, ГОКУ "УКС МО", ГАУМО «Мончегорская СШОР по горнолыжному спорту»</t>
  </si>
  <si>
    <t>Приложение 5 к Методическим указаниям</t>
  </si>
  <si>
    <t>Перечень объектов капитального строительства</t>
  </si>
  <si>
    <t>№</t>
  </si>
  <si>
    <t>Подпрограмма, объект капитального строительства</t>
  </si>
  <si>
    <t>Соисполнитель, заказчик-застройщик</t>
  </si>
  <si>
    <t xml:space="preserve">Проектная мощность </t>
  </si>
  <si>
    <t xml:space="preserve"> Срок строительства </t>
  </si>
  <si>
    <t>Общая стоимость строительства, тыс. рублей</t>
  </si>
  <si>
    <t xml:space="preserve"> Объемы и источники финансирования, тыс. рублей</t>
  </si>
  <si>
    <t xml:space="preserve"> Источник </t>
  </si>
  <si>
    <t xml:space="preserve">ФБ </t>
  </si>
  <si>
    <t>Всего с 2014</t>
  </si>
  <si>
    <t>КФКиС МО, Минстрой МО, ГОКУ «УКС МО», ГОУП УСЦ, администрации муниципальных образований МО</t>
  </si>
  <si>
    <t>Горнолыжный  подъемник специализированной детско-юношеской спортивной школы олимпийского резерва по горнолыжному спорту в г.  Кировске</t>
  </si>
  <si>
    <t xml:space="preserve"> длина дороги по склону – 765 м,
пропускная способность – 1600 чел./час
</t>
  </si>
  <si>
    <t>2014
(разработка ПСД, экспертиза)
(решение о строительстве не принято)</t>
  </si>
  <si>
    <t xml:space="preserve">288 471,5
(предельная стоимость в соответствии с экспертизой с учетом индексов-дефляторов)
</t>
  </si>
  <si>
    <t xml:space="preserve">Крытый каток с искусственным льдом в г. Апатиты </t>
  </si>
  <si>
    <t xml:space="preserve"> общая площадь 4466,5 кв. м пропускная способность – 170 чел./см</t>
  </si>
  <si>
    <t xml:space="preserve">2012-2014
(строительство)
</t>
  </si>
  <si>
    <t xml:space="preserve">228 742,8
(в соответствии с заключенными контрактами)
</t>
  </si>
  <si>
    <t>До 2014</t>
  </si>
  <si>
    <t xml:space="preserve">Административно-спортивный комплекс специализированной детско-юношеской  спортивной школы олимпийского резерва  по горнолыжному спорту в                   г.  Кировске  </t>
  </si>
  <si>
    <t>общая площадь 3588,90 кв. м  пропускная способность -   70 чел./см</t>
  </si>
  <si>
    <t xml:space="preserve">2014
(разработка ПСД, экспертиза)
2018-2020 (строительство)
</t>
  </si>
  <si>
    <t xml:space="preserve">452 299,1
(предельная стоимость в соответствии с экспертизой с учетом индексов-дефляторов)
</t>
  </si>
  <si>
    <t xml:space="preserve">Реконструкция систем вентиляции плавательного бассейна по ул. Челюскинцев, д. 2, г. Мурманск
</t>
  </si>
  <si>
    <t>общий объем 38745 куб. м</t>
  </si>
  <si>
    <t>2012 (разработка ПСД, экспертиза) 2013-2014 (строительство)</t>
  </si>
  <si>
    <t>10495,7                           (в соответствии с заключенными контрактами)</t>
  </si>
  <si>
    <t>5.</t>
  </si>
  <si>
    <t>Плавательный бассейн в                    г. Кандалакше</t>
  </si>
  <si>
    <t>пропускная способность - 54 чел. в смену</t>
  </si>
  <si>
    <t>2011 (разработка ПСД, экспертиза) 2011-2016 (строительство)</t>
  </si>
  <si>
    <t>150 323,4
(в соответствии с заключенными контрактами)</t>
  </si>
  <si>
    <t>6.</t>
  </si>
  <si>
    <t xml:space="preserve">Строительство и реконструкция спортивных сооружений спорткомплекса «Долина Уюта» в г. Мурманске
</t>
  </si>
  <si>
    <t>протяженность осв. лыжной трассы - 2,5 км;
количество стрелковых коридоров - 30 шт.;
вместимость трибуны - 800
чел.,
стр.объем АСК - 19689,78 куб. м</t>
  </si>
  <si>
    <t xml:space="preserve">2008-2011
(разработка ПСД, экспертиза)
2012-2015 (строительство)
</t>
  </si>
  <si>
    <t>609966,7                          (в соответствии с заключенными контрактами)</t>
  </si>
  <si>
    <t>7.</t>
  </si>
  <si>
    <t xml:space="preserve">Легкоатлетический  манеж в                 г. Мурманске
</t>
  </si>
  <si>
    <t xml:space="preserve">общая площадь объекта - 7381 кв.м         занимающиеся - не более 48 чел.,
зрители - 296 чел.
</t>
  </si>
  <si>
    <t xml:space="preserve">2012-2013 (разработка ПСД, экспертиза)
2013-2015 (строительство)
</t>
  </si>
  <si>
    <t>485108,7                       (в соответствии с заключенными контрактами)</t>
  </si>
  <si>
    <t>8.</t>
  </si>
  <si>
    <t xml:space="preserve">Лыжероллерная трасса. Водоотводные сооружения лыжного стадиона спорткомплекса "Долина Уюта" в г. Мурманске
</t>
  </si>
  <si>
    <t>общая площадь объекта - 42965 кв.м</t>
  </si>
  <si>
    <t xml:space="preserve">2014
(разработка ПСД, экспертиза)
2014-2017
(строительство)
</t>
  </si>
  <si>
    <t xml:space="preserve">86 057,7
(в соответствии с заключенными контрактами)
</t>
  </si>
  <si>
    <t>9.</t>
  </si>
  <si>
    <t xml:space="preserve">Физкультурно-оздоровительный комплекс в г. Полярные Зори Мурманской области
</t>
  </si>
  <si>
    <t>Минстрой МО,
МО г.Полярные Зори с подведомственной территорией</t>
  </si>
  <si>
    <t>общая площадь объекта - 2985 кв.м</t>
  </si>
  <si>
    <t xml:space="preserve">2016
(разработка ПСД, экспертиза)
2017-2019
строительство)
</t>
  </si>
  <si>
    <t>192 414,0
(предельная стоимость в соответствии с экспертизой с учетом индексов-дефляторов)</t>
  </si>
  <si>
    <t>10.</t>
  </si>
  <si>
    <t xml:space="preserve">Гостевая автостоянка к спорткомплексу «Долина Уюта» в Первомайском административном округе                  г. Мурманска
</t>
  </si>
  <si>
    <t>общая площадь объекта - 6273,0 кв.м</t>
  </si>
  <si>
    <t xml:space="preserve">2014 (разработка ПСД, экспертиза)
2015 (строительство)
</t>
  </si>
  <si>
    <t xml:space="preserve">17 563,8
(в соответствии с заключенными контрактами)
</t>
  </si>
  <si>
    <t>11.</t>
  </si>
  <si>
    <t>Физкультурно-оздоровительный комплекс открытого типа в жилом районе Росляково                      г. Мурманска</t>
  </si>
  <si>
    <t>Минстрой МО, администрация МО г. Мурманск,  МАУ ГСЦ «Авангард»</t>
  </si>
  <si>
    <t xml:space="preserve"> Площадь спортивных площадок 5 415,09  кв.м,    пропускная способность - 101 чел. в смену</t>
  </si>
  <si>
    <t>2016
(разработка ПСД, экспертиза)
2017
(строительство)</t>
  </si>
  <si>
    <t>43 076,4
(в соответствии с заключенными контрактами)</t>
  </si>
  <si>
    <t>12.</t>
  </si>
  <si>
    <t>Межшкольный стадион в                                      г. Мурманске</t>
  </si>
  <si>
    <t xml:space="preserve"> общая площадь 3000,0 кв.м</t>
  </si>
  <si>
    <t>48012,1
(в соотв. с экспертизой с учетом индекса пересчета сметной стоимости)</t>
  </si>
  <si>
    <t>13.</t>
  </si>
  <si>
    <t>2018 (разработка ПСД, экспертиза, строительство)</t>
  </si>
  <si>
    <t xml:space="preserve">2527,4
(на основании проекта-аналога с учетом индексов-дефляторов)
</t>
  </si>
  <si>
    <t>14.</t>
  </si>
  <si>
    <t xml:space="preserve">Спортивная площадка на территории МОУ СОШ № 289 в ЗАТО г. Заозерск
</t>
  </si>
  <si>
    <t>Минстрой МО, администрация ЗАТО г. Заозерск</t>
  </si>
  <si>
    <t>Общая площадь объекта 4066 кв. м</t>
  </si>
  <si>
    <t xml:space="preserve">2020
(разработка ПСД, экспертиза, строительство)
</t>
  </si>
  <si>
    <t xml:space="preserve">18945,4
(в соответствии с экспертизой с учетом индексов-дефляторов)
</t>
  </si>
  <si>
    <t>15.</t>
  </si>
  <si>
    <t>Минстрой МО, администрация муниципального образования г. Кировск</t>
  </si>
  <si>
    <t>общая площадь объекта
6 176 кв. м,
единовременная вместимость, включая зрителей,
300 чел.,
пропускная способность
50 чел. в смену</t>
  </si>
  <si>
    <t xml:space="preserve">2016
(разработка ПСД, экспертиза)
2017-2019
(строительство)
</t>
  </si>
  <si>
    <t>532 800,0
в том числе проектные 10 800,0
(на основании проекта-аналога с учетом индексов пересчета сметной стоимости)</t>
  </si>
  <si>
    <t>16.</t>
  </si>
  <si>
    <t>Реконструкцию здания плавательного бассейна по 
ул. Челюскинцев, д.2 в г. Мурманске</t>
  </si>
  <si>
    <t xml:space="preserve">после реконструкции общая площадь 
5 899,4  кв. м,
пропускная способность 542 тыс. чел. год
</t>
  </si>
  <si>
    <t xml:space="preserve">2018 – разработка ПСД, экспертиза
Решение о строительстве не принято
</t>
  </si>
  <si>
    <t xml:space="preserve">355 398,4
(на основании укрупненного норматива)
</t>
  </si>
  <si>
    <t>17.</t>
  </si>
  <si>
    <t>Комплексное развитие СК "Долина Уюта" в г. Мурманске</t>
  </si>
  <si>
    <t>Минстрой МО, ГАУМО ЦСП</t>
  </si>
  <si>
    <t xml:space="preserve">площадь застройки – 91 000 кв.м;
единая пропускная способность – 350 человек в смену
</t>
  </si>
  <si>
    <t xml:space="preserve">2017 – 2018 разработка ПСД.
Решение о строительстве не принято
</t>
  </si>
  <si>
    <t xml:space="preserve">554 952,0
(на основании коммерческих предложений и проектов-аналогов)
</t>
  </si>
  <si>
    <t>18.</t>
  </si>
  <si>
    <t>Крытый каток с искусственным льдом в г.Мурманске</t>
  </si>
  <si>
    <t>Администрация муниципального образования г. Мурманск</t>
  </si>
  <si>
    <t xml:space="preserve"> общая площадь                                4466,5 кв. м; пропускная способность – 170 чел. в смену</t>
  </si>
  <si>
    <t xml:space="preserve">2018 разработка ПСД.
Решение о строительстве не принято
</t>
  </si>
  <si>
    <t xml:space="preserve">350 000,0
(на основании коммерческих предложений и проектов-аналогов)
</t>
  </si>
  <si>
    <t>19.</t>
  </si>
  <si>
    <t xml:space="preserve">Крытый каток с искусственным льдом в г. Мончегорске </t>
  </si>
  <si>
    <t>Минстрой МО,
МО г. Мончегорск с п.т.</t>
  </si>
  <si>
    <t xml:space="preserve"> общая площадь 4466,5 кв.м</t>
  </si>
  <si>
    <t>2013
(разработка ПСД, экспертиза)
Решение о строительстве не принято</t>
  </si>
  <si>
    <t xml:space="preserve">326 517,0 
(в ценах II кв. 2013 в соответствии с экспертизой)
</t>
  </si>
  <si>
    <t>№ п/п</t>
  </si>
  <si>
    <t>Кассовые расходы</t>
  </si>
  <si>
    <r>
      <t xml:space="preserve">ГАУМО "ЦСП", ГАУМО «КСШОР»,  ГАУМО «Мончегорская СШОР», ГАУМО </t>
    </r>
    <r>
      <rPr>
        <sz val="8"/>
        <rFont val="Times New Roman"/>
        <family val="1"/>
        <charset val="204"/>
      </rPr>
      <t>«Кировская СШОР»</t>
    </r>
    <r>
      <rPr>
        <sz val="8"/>
        <color indexed="8"/>
        <rFont val="Times New Roman"/>
        <family val="1"/>
        <charset val="204"/>
      </rPr>
      <t xml:space="preserve"> </t>
    </r>
  </si>
  <si>
    <r>
      <t xml:space="preserve">Адресная финансовая поддержка спортивным организациям, осуществляющим подготовку спортивного резерва для сборных команд Российской Федерации </t>
    </r>
    <r>
      <rPr>
        <sz val="8"/>
        <color indexed="10"/>
        <rFont val="Times New Roman"/>
        <family val="1"/>
        <charset val="204"/>
      </rPr>
      <t xml:space="preserve"> </t>
    </r>
    <r>
      <rPr>
        <sz val="8"/>
        <rFont val="Times New Roman"/>
        <family val="1"/>
        <charset val="204"/>
      </rPr>
      <t xml:space="preserve">оказана не менее 4 государственным спортивным организациям, не менее 8 муниципальным спортивным организациям, в т.ч. на реализацию программ по спортивной подготовке в соответствии с федеральными стандартами спортивной подготовки по базовым  олимпийским, паралимпийским и сурдлимпийским видам спорта; повышение квалификации и переподготовка специалистов в сфере  физической культуры и спорта; приобретение автомобилей (не являющихся легковыми), массой более 3500 кг и с числом посадочных мест (без учета водительского места) более 8; осуществление, в соответствии с порядком, утверждаемым Министерством спорта Российской Федерации, поддержки одаренных спортсменов, занимающихся в организациях, осуществляющих спортивную подготовку и образовательных организациях, реализующих федеральные стандарты спортивной подготовки </t>
    </r>
  </si>
  <si>
    <t xml:space="preserve">КФКиС МО,  ГАУМО «ЦСП», ГАУМО «МОСШОР по зимним видам спорта»,  ГАУМО «Мончегорская СШОР», ГАУМО «Кировская СШОР», администрации муниципальных образований МО </t>
  </si>
  <si>
    <t xml:space="preserve">Строительство объекта "Межшкольный стадион в г. Мурманске" (первый этап)                                                                                                                                                                                                         </t>
  </si>
  <si>
    <t>В 2016-2017 годы - приобретение типового проекта Министерства спорта РФ и его привязка. 2018-2019 годы - строительство 1-го этапа. 2019 год - ввод объекта в эксплуатацию.</t>
  </si>
  <si>
    <t>2014, 2018-2022</t>
  </si>
  <si>
    <t>Начало строительства объекта в 2018 году. Техническая готовность объекта в 2018 году 9%, техническая готовность объекта в 2019 году 28%, техническая готовность объекта в 2020 году 53%, техническая готовность объекта в 2021 году 78%. Ввод объекта в 2022 году.</t>
  </si>
  <si>
    <t>Разработка ПСД, получение заключения Госэкспертизы в 2018 году</t>
  </si>
  <si>
    <t>3.1.13.</t>
  </si>
  <si>
    <t xml:space="preserve">Строительство объекта "Межшкольный стадион в г. Мурманске" (второй этап)                                                                                                                                                                                                         </t>
  </si>
  <si>
    <t xml:space="preserve">2019 год - строительство 2-го этапа и ввод объекта в эксплуатацию. </t>
  </si>
  <si>
    <t>Капитальный ремонт в 2017 году фасада и фойе 1 этажа Дворца спорта МАУ ФСК «Атлет», г. Апатиты</t>
  </si>
  <si>
    <t xml:space="preserve">Исполнение бюджета Комитета по состоянию на "01"января  2019 года </t>
  </si>
  <si>
    <t>№ пункта программы</t>
  </si>
  <si>
    <t>2018 план</t>
  </si>
  <si>
    <t>% ИСПОЛНЕНИЯ</t>
  </si>
  <si>
    <t>Остаток от плана  
(гр.3-гр.4)</t>
  </si>
  <si>
    <t>Наименование АУ - Исполнителя пункта программы</t>
  </si>
  <si>
    <t>бюджетные ассигнования</t>
  </si>
  <si>
    <t>на 01 января 2019</t>
  </si>
  <si>
    <t xml:space="preserve">ИСПОЛНЕНИЕ БЮДЖЕТА ВСЕГО </t>
  </si>
  <si>
    <t>Резервный фонд Мурманской области</t>
  </si>
  <si>
    <t>ГАУМО "ЦСП", Комитет</t>
  </si>
  <si>
    <t>ВСЕГО по Государственной программе "Развитие физической культуры и спорта" :</t>
  </si>
  <si>
    <t>Задача 1.1 "Развитие физической культуры и спорта  среди различных возрастных групп"</t>
  </si>
  <si>
    <t>Основное мероприятие 1.1.1. "Обеспечение организации и проведения физкультурных мероприятий и массовых спортивных мероприятий"</t>
  </si>
  <si>
    <r>
      <rPr>
        <u/>
        <sz val="10"/>
        <rFont val="Times New Roman"/>
        <family val="1"/>
        <charset val="204"/>
      </rPr>
      <t>СУБСИДИЯ НА ФИНАНСОВОЕ ОБЕСПЕЧЕНИЕ ВЫПОЛНЕНИЯ ГЗ</t>
    </r>
    <r>
      <rPr>
        <sz val="10"/>
        <rFont val="Times New Roman"/>
        <family val="1"/>
        <charset val="204"/>
      </rPr>
      <t xml:space="preserve">. Организация и проведение официальных физкультурных (физкультурно-оздоровительных) мероприятий (региональные)
</t>
    </r>
  </si>
  <si>
    <t>1.1.2</t>
  </si>
  <si>
    <t>Комитет</t>
  </si>
  <si>
    <t>1.1.3</t>
  </si>
  <si>
    <t>1.1.4</t>
  </si>
  <si>
    <t>федеральный бюджет</t>
  </si>
  <si>
    <t>Комитет,подвед.учр.</t>
  </si>
  <si>
    <t>областной бюджет</t>
  </si>
  <si>
    <t>1.1.5</t>
  </si>
  <si>
    <t>Закупка комплекта искусственного покрытия для футбольного поля</t>
  </si>
  <si>
    <t>1.1.6</t>
  </si>
  <si>
    <t>Закупка оборудования для обеспечения антитеррористической защищенности объектов спорта</t>
  </si>
  <si>
    <t>Задача 1.2 "Популяризация  физической культуры и спорта среди населения региона</t>
  </si>
  <si>
    <t>Основное мероприятие 1.2.1. "Реализация мероприятий по пропаганде здорового образа жизни и вовлечению населения в занятия физической культурой и массовым спортом"</t>
  </si>
  <si>
    <t>СУБСИДИЯ НА ФИНАНСОВОЕ ОБЕСПЕЧЕНИЕ ВЫПОЛНЕНИЯ ГЗ ("Готов к труду и обороне")</t>
  </si>
  <si>
    <t xml:space="preserve">Организация и проведение физкультурных и спортивных мероприятий в рамках Всероссийского физкультурно-спортивного комплекса "Готов к труду и обороне" (ГТО) ( заисключениемтестирования выполнения нормаьтивов испытания комплекса ГТО) </t>
  </si>
  <si>
    <t xml:space="preserve">Проведение тестирования исполнения нормативов испытаний (тестов) комплекса ГТО </t>
  </si>
  <si>
    <r>
      <rPr>
        <u/>
        <sz val="10"/>
        <rFont val="Times New Roman"/>
        <family val="1"/>
        <charset val="204"/>
      </rPr>
      <t>СУБСИДИЯ НА ФИНАНСОВОЕ ОБЕСПЕЧЕНИЕ ВЫПОЛНЕНИЯ ГЗ (Пропаганда здорового образа</t>
    </r>
    <r>
      <rPr>
        <sz val="10"/>
        <rFont val="Times New Roman"/>
        <family val="1"/>
        <charset val="204"/>
      </rPr>
      <t xml:space="preserve">
</t>
    </r>
  </si>
  <si>
    <t>2</t>
  </si>
  <si>
    <t>Задача 2.1 "Подготовка спортсменов сборных команд Мурманской области"</t>
  </si>
  <si>
    <t>Основное мероприятие 2.1.1. "Проведение спортивных мероприятий, материально-техническое обеспечение спортивных сборных команд Мурманской области"</t>
  </si>
  <si>
    <t>СУБСИДИЯ НА ФИНАНСОВОЕ ОБЕСПЕЧЕНИЕ ВЫПОЛНЕНИЯ ГЗ</t>
  </si>
  <si>
    <t xml:space="preserve">Организация и проведение официальных спортивных мероприятий (региональные) 
</t>
  </si>
  <si>
    <t xml:space="preserve">Обеспечение участия спортивных сборных команд в официальных спортивных мероприятиях (международные) 
</t>
  </si>
  <si>
    <t xml:space="preserve">Обеспечение участия спортивных сборных команд в официальных спортивных мероприятиях (Всероссийские) 
</t>
  </si>
  <si>
    <t xml:space="preserve">Организация мероприятий по подготовке спортивных сборных команд (спортивные сборные команды субъектов Российской Федерации) 
</t>
  </si>
  <si>
    <t xml:space="preserve">Организация и проведение официальных спортивных мероприятий (Всероссийские, на территории Российской Федерации) 
</t>
  </si>
  <si>
    <t>ГАУМО "ЦСП" ГБУДО "МОДЮСШ"</t>
  </si>
  <si>
    <t>Субсидия Федерация по хоккею с мячом Мурманской области (х/к "Мурман")</t>
  </si>
  <si>
    <t>Выплата ЕДВ</t>
  </si>
  <si>
    <t>ГАУМО "МОСШОР"</t>
  </si>
  <si>
    <t>ГАУМО "Комплексная СШОР"</t>
  </si>
  <si>
    <t>ГАУМО "МОСШОР по ЗВС"</t>
  </si>
  <si>
    <t>Тренировочные мероприятия по специальной физической подготовке и ОФП кандидатов спортивных сборных команд МО по видам спорта</t>
  </si>
  <si>
    <t>Задача 2.2 "Совершенствование системы подготовки спортивного резерва"</t>
  </si>
  <si>
    <t>Основное мероприятие 2.2.1. "Реализация программ спортивной подготовки в сфере физической культуры и спорта подведомственными учреждениями"</t>
  </si>
  <si>
    <t>Спортивная подготовка по олимпийским видам спорта, в том числе:</t>
  </si>
  <si>
    <t>ГАУМО "Кировская СШОР по горнолыжному спорту"</t>
  </si>
  <si>
    <t xml:space="preserve">Организация и обеспечение подготовки спортивного резерва 
</t>
  </si>
  <si>
    <t xml:space="preserve">Обеспечение доступа к объектам спорта </t>
  </si>
  <si>
    <t>ГБУДОД "МОДЮСШ"</t>
  </si>
  <si>
    <t>Компенсация расходов на оплату стоимости проезда и провоза багажа к месту использования отпуска лицам, работающим в организациях, финансируемых из областного бюджета</t>
  </si>
  <si>
    <t>2.2.3</t>
  </si>
  <si>
    <t>Оказание адресной финансовой поддержкиспортивным организациям, осуществляющим подготовку спортивного резерва дл сборных команд РФ</t>
  </si>
  <si>
    <t>федеральный бюджент</t>
  </si>
  <si>
    <t>Основное мероприятие 2.2.2. "Обеспечение спортивного резерва инвентарем и оборудованием"</t>
  </si>
  <si>
    <t xml:space="preserve">ГАУМО "ЦСП" </t>
  </si>
  <si>
    <t>Основное мероприятие 1. "Строительство, реконструкция и модернизация спортивных объектов Мурманской области"</t>
  </si>
  <si>
    <t>Основное мероприятие 2. "Проведение капитального и текущего ремонта, реализация мероприятий по энергоэффективности спортивных сооружений Мурманской области"</t>
  </si>
  <si>
    <t>Комитет м/б трансферт</t>
  </si>
  <si>
    <t>Основное мероприятие 4.1. Реализация государственных функций и оказание государственных услуг в сфере физической культуры и спорта"</t>
  </si>
  <si>
    <t>ГП-3 "Социальная поддержка граждан и развитие социально-трудовых отношений"</t>
  </si>
  <si>
    <t>Подпрограмма 2 "Улучшение положения и качества жизни социально уязвимых слоев населения"</t>
  </si>
  <si>
    <t>Основное мероприятие 3."Создание условий для развития физической культуры и спорта для инвалидов"</t>
  </si>
  <si>
    <t>Проведение на территории МО тренировочных сборов и занятий, областных, всероссийских соревнований и спартакиад по различным видам спорта для людей с ограниченными возможностями здоровья</t>
  </si>
  <si>
    <t xml:space="preserve">Участие спортсменов МО с ограниченными возможностями здоровья и тренировочных, межрегиональных, всероссийских, международных, спортивных мероприятиях, семинарах, совещаниях, конференциях по адаптивным видам спорта за пределами региона </t>
  </si>
  <si>
    <t>ГП-17 "Государственное управление и гражданское общество"</t>
  </si>
  <si>
    <t>Подпрограмма 3. "Укрепление этнокультурного многообразия, гражданского самосознания и патриотизма в Мурманской области"</t>
  </si>
  <si>
    <t>Задача 3.1. Формирование патриотического сознания граждан Мурманской области</t>
  </si>
  <si>
    <t>Основное мероприятие 3.1.1. проведение мероприятий, направленных на формирование патриотического сознания граждан Мурманской области</t>
  </si>
  <si>
    <t>Проведение мероприятий по поддержке технических прикладных видов спорта</t>
  </si>
  <si>
    <t>,</t>
  </si>
  <si>
    <t>1.3.</t>
  </si>
  <si>
    <t>1.4.</t>
  </si>
  <si>
    <t>Таблица № 11д</t>
  </si>
  <si>
    <t>Оценка эффективности реализации государственной программы «Развитие физической культуры и спорта" в 2018 году</t>
  </si>
  <si>
    <t>Государственная программа, подпрограмма</t>
  </si>
  <si>
    <t>Ответственный исполнитель</t>
  </si>
  <si>
    <t>К1 (степень достижения показателей)</t>
  </si>
  <si>
    <t>К2 (динамика значений показателей по сравнению с 2016 годом)</t>
  </si>
  <si>
    <t>К3 (степень выполнения мероприятий)</t>
  </si>
  <si>
    <t>ЭГП (интегральный показатель эффективности)</t>
  </si>
  <si>
    <t>Оценка*</t>
  </si>
  <si>
    <t>Государственная программа «_____»</t>
  </si>
  <si>
    <t>высокая</t>
  </si>
  <si>
    <t>1.1</t>
  </si>
  <si>
    <t>Подпрограмма 1 «_____»</t>
  </si>
  <si>
    <t>1.2</t>
  </si>
  <si>
    <t>Подпрограмма 2 «_____»</t>
  </si>
  <si>
    <t>Подпрограмма 3 «_____»</t>
  </si>
  <si>
    <t>Подпрограмма 4 «_____»</t>
  </si>
  <si>
    <t>…</t>
  </si>
  <si>
    <t>*Высокая, средняя, ниже среднего, низкая. Государственная программа считается реализуемой:
- с высоким уровнем эффективности, если значение ЭГП составляет не менее 97%;
- со средним уровнем эффективности, если значение ЭГП составляет не менее 92%.
- с уровнем эффективности ниже среднего, если значение ЭГП составляет не менее 85%.
 - с низким уровнем эффективности, если значение ЭГП составляет менее 85%.</t>
  </si>
  <si>
    <t>Таблица № 11г</t>
  </si>
  <si>
    <t>Информация о реализации мер государственного правового регулирования в 2018 году</t>
  </si>
  <si>
    <t xml:space="preserve">№ п/п </t>
  </si>
  <si>
    <t>Вид документа*</t>
  </si>
  <si>
    <t>Основные положения документа*</t>
  </si>
  <si>
    <t>Ответственный исполнитель и соисполнители*</t>
  </si>
  <si>
    <t>Ожидаемые сроки принятия*</t>
  </si>
  <si>
    <t>Результат (принят, не принят), причины невыполнения, отклонения от плановых параметров</t>
  </si>
  <si>
    <t>Наименование и реквизиты принятого акта</t>
  </si>
  <si>
    <t xml:space="preserve">Распоряжение Губернатора Мурамснкой области </t>
  </si>
  <si>
    <t>Утверждение положения и состава организационного комитета Праздника Севера</t>
  </si>
  <si>
    <t>принят</t>
  </si>
  <si>
    <t>Об утверждении Положения об Организационном комитете 
по подготовке и проведению традиционного Праздника Севера 
и Праздника Севера учащихся и его состава 
181-РГ  от 26.12.2016</t>
  </si>
  <si>
    <t xml:space="preserve">Постановление Правительства Мурманской области
</t>
  </si>
  <si>
    <t xml:space="preserve">О внесении изменений в государственную программу Мурманской области "Развитие физической культуры и спорта" на 2014 - 2020 годы
</t>
  </si>
  <si>
    <t>приняты</t>
  </si>
  <si>
    <t>*Графы заполняются в соответствии с Перечнем нормативных правовых актов и иных документов, планируемых к разработке в рамках реализации мер государственного регулирования.</t>
  </si>
  <si>
    <t xml:space="preserve">Исполнение бюджета Комитета по состоянию на "01" июля 2019 года </t>
  </si>
  <si>
    <t>2019 план</t>
  </si>
  <si>
    <t>на 01 июля 2019</t>
  </si>
  <si>
    <t>ВСЕГО по Государственной программе "Развитие физической культуры и спорта" , в том числе региональный проект</t>
  </si>
  <si>
    <t>ВСЕГО:  Региональный проект "Спорт -норма жизни"</t>
  </si>
  <si>
    <r>
      <rPr>
        <b/>
        <u/>
        <sz val="11"/>
        <rFont val="Times New Roman"/>
        <family val="1"/>
        <charset val="204"/>
      </rPr>
      <t>СУБСИДИЯ НА ФИНАНСОВОЕ ОБЕСПЕЧЕНИЕ ВЫПОЛНЕНИЯ ГЗ (Пропаганда физической культуры, спорта и здорового образа жизни)</t>
    </r>
    <r>
      <rPr>
        <b/>
        <sz val="11"/>
        <rFont val="Times New Roman"/>
        <family val="1"/>
        <charset val="204"/>
      </rPr>
      <t xml:space="preserve">
</t>
    </r>
  </si>
  <si>
    <t>Региональный проект "Спорт -норма жизни"</t>
  </si>
  <si>
    <r>
      <rPr>
        <b/>
        <u/>
        <sz val="10"/>
        <rFont val="Times New Roman"/>
        <family val="1"/>
        <charset val="204"/>
      </rPr>
      <t>СУБСИДИЯ НА ФИНАНСОВОЕ ОБЕСПЕЧЕНИЕ ВЫПОЛНЕНИЯ ГЗ</t>
    </r>
    <r>
      <rPr>
        <b/>
        <sz val="10"/>
        <rFont val="Times New Roman"/>
        <family val="1"/>
        <charset val="204"/>
      </rPr>
      <t xml:space="preserve">. 
</t>
    </r>
  </si>
  <si>
    <t xml:space="preserve">Организация и проведение официальных физкультурных (физкультурно-оздоровительных) мероприятий (региональные) 
</t>
  </si>
  <si>
    <t xml:space="preserve">Организация и проведение официальных физкультурных (физкультурно-оздоровительных) мероприятий (Всероссийские) 
</t>
  </si>
  <si>
    <t>Оснащение объектов спортивной инфраструктуры спортивно-технологическим оборудованием</t>
  </si>
  <si>
    <t>Оказание адресной финансовой поддержки спортивным организациям, осуществляющим подготовку спортивного резерва дл сборных команд РФ (возврат субсидии 2018 года)</t>
  </si>
  <si>
    <t>2.4.</t>
  </si>
  <si>
    <t xml:space="preserve">Обеспечение участия в официальных физкультурных (физкультурно-оздоровительных мероприятиях (всероссийские)
</t>
  </si>
  <si>
    <t xml:space="preserve">Организация и проведение официальных спортивных мероприятий (региональные, на территории РФ) 
</t>
  </si>
  <si>
    <t xml:space="preserve">Организация и проведение официальных спортивных мероприятий (межрегиональные, на территории РФ) 
</t>
  </si>
  <si>
    <t xml:space="preserve">Обеспечение участия спортивных сборных команд в официальных спортивных мероприятиях (межрегиональные) 
</t>
  </si>
  <si>
    <t>СУБСИДИЯ НА ФИНАНСОВОЕ ОБЕСПЕЧЕНИЕ ВЫПОЛНЕНИЯ ГЗ (Оказание государственной финансовой поддержки спортивным организациям, осуществляющим подготовку спортивного резерва для сборных команд РФ)</t>
  </si>
  <si>
    <t>МОСШОР</t>
  </si>
  <si>
    <t>СУБСИДИЯ НА ФИНАНСОВОЕ ОБЕСПЕЧЕНИЕ ВЫПОЛНЕНИЯ ГЗ (Закупка спортивного оборудования для спортивных школ олимпийского резерва)</t>
  </si>
  <si>
    <t>Мончегорская СШОР, МОСШОР</t>
  </si>
  <si>
    <t>3.1.15</t>
  </si>
  <si>
    <t>Проведение инженеоных изысканий для подготовки проекта планировки территории</t>
  </si>
  <si>
    <t>3.1.16</t>
  </si>
  <si>
    <t>Разработка проекта планировки территории и проекта межевания территории</t>
  </si>
  <si>
    <t>3.1.17</t>
  </si>
  <si>
    <t>Подготовка основания для установки спортивной площадки, ЗАТО Заозерск</t>
  </si>
  <si>
    <t>3.1.18</t>
  </si>
  <si>
    <t>Подготовка основания для установки спортивной площадк, гп Верхнетуломский</t>
  </si>
  <si>
    <t>3.1.19</t>
  </si>
  <si>
    <t>Подготовка основания для установки спортивной площадки, сп Алакуртти</t>
  </si>
  <si>
    <t>3.1.20</t>
  </si>
  <si>
    <t>Подготовка основания для установки спортивной площадки, пп Гаджиево</t>
  </si>
  <si>
    <t>3.1.21</t>
  </si>
  <si>
    <t>Подготовка основания для установки спортивной площадки, гп Никель</t>
  </si>
  <si>
    <t>3.2.1</t>
  </si>
  <si>
    <t>3.2.22</t>
  </si>
  <si>
    <t>Замена и установка пожарной, охранной сигнализации и системы видеонаблюдения, технологическое присоединение к электросетям</t>
  </si>
  <si>
    <t>МОДЮСШ, Кировская СШОР, МОСШОР</t>
  </si>
  <si>
    <t>3.2.23</t>
  </si>
  <si>
    <t xml:space="preserve">Сертификация спортсооружений </t>
  </si>
  <si>
    <t>ЦСП,Мончегорская СШОР</t>
  </si>
  <si>
    <t>3.2.24</t>
  </si>
  <si>
    <t>Капитальный ремонт дома физкультурника и системы водоочистки  плавательного бассейна г.Оленегорск</t>
  </si>
  <si>
    <t>3.2.25</t>
  </si>
  <si>
    <t>Капитальный ремонт стадиона "Локомотив", гп Кандалакша</t>
  </si>
  <si>
    <t>3.2.26</t>
  </si>
  <si>
    <t>Капитальный ремонт межшкольного стадиона, гп Умба</t>
  </si>
  <si>
    <t>3.2.27</t>
  </si>
  <si>
    <t>Капитальный ремонт межшкольного стадиона, гп Зеленоборский</t>
  </si>
  <si>
    <t>3.4.</t>
  </si>
  <si>
    <t>3.4.8</t>
  </si>
  <si>
    <t>Капитальный ремонт футбольного поля с искусственным покрытием, г. Кировск</t>
  </si>
  <si>
    <t>3.4.9</t>
  </si>
  <si>
    <t>Капитальный ремонт футбольного поля с искусственным покрытием и легкоатлетическими дорожками, гп Кандалакша</t>
  </si>
  <si>
    <t>3.4.10</t>
  </si>
  <si>
    <t>Подготовка основания и установка комплекта спортивно-технологического оборудования для создания малых спортивных площадок, ЗАТО Заозерск</t>
  </si>
  <si>
    <t>3.4.11</t>
  </si>
  <si>
    <t>Подготовка основания и установка комплекта спортивно-технологического оборудования для создания малых спортивных площадок, ЗАТО Североморск</t>
  </si>
  <si>
    <t>заработная плата и начисления</t>
  </si>
  <si>
    <t xml:space="preserve">командировочные расходы </t>
  </si>
  <si>
    <t>прочие расходы</t>
  </si>
  <si>
    <t>компенсация проезда в отпуск</t>
  </si>
  <si>
    <t>компенсация до 3 лет</t>
  </si>
  <si>
    <t xml:space="preserve">Региональный проект «Спорт - норма жизни» </t>
  </si>
  <si>
    <t>1.3.1.</t>
  </si>
  <si>
    <t>2.4.1.</t>
  </si>
  <si>
    <t>2.4.2.</t>
  </si>
  <si>
    <t>2.4.3.</t>
  </si>
  <si>
    <t>Закупка спортивного оборудования для спортивных школ олимпийского резерва и училищ олимпийского резерва</t>
  </si>
  <si>
    <t>Комплексное развитие спорткомплекса "Долина Уюта" в г. Мурманске</t>
  </si>
  <si>
    <t>3.1.14.</t>
  </si>
  <si>
    <t>3.1.15.</t>
  </si>
  <si>
    <t>Строительство объекта «Крытый каток с искусственным льдом МАУ ГСЦ «Авангард»»</t>
  </si>
  <si>
    <t>3.4.3.</t>
  </si>
  <si>
    <t xml:space="preserve">Строительство объекта "Административно-спортивный комплекс специализированной детско-юношеской спортивной школы олимпийского резерва по горнолыжному спорту в г. Кировске" </t>
  </si>
  <si>
    <t>3.4.5.</t>
  </si>
  <si>
    <t xml:space="preserve">Строительство объекта «Горнолыжный подъемник специализированной детско-юношеской спортивной школы олимпийского резерва по горнолыжному спорту в г. Кировске»  </t>
  </si>
  <si>
    <t>3.4.7.</t>
  </si>
  <si>
    <t>3.4.8.</t>
  </si>
  <si>
    <t>3.4.10.</t>
  </si>
  <si>
    <t>3.4.11.</t>
  </si>
  <si>
    <t>Строительство объекта "Быстровозводимый спортивный комплекс с плавательным бассейном в г. Кола"</t>
  </si>
  <si>
    <t>Строительство объекта "Физкультурно-оздоровительный комплекс  в г. Ковдоре"</t>
  </si>
  <si>
    <t>Строительство объекта "Горнолыжная база (г. Полярный, ул. Героев "Тумана", 13)"</t>
  </si>
  <si>
    <t>Министерство спорта и молодежной политики Мурманской области</t>
  </si>
  <si>
    <t>Министрество строительства Мурманской области</t>
  </si>
  <si>
    <t>Мероприятия в области информационно-коммуникационной и статистической системы управления спортом Мурманской области</t>
  </si>
  <si>
    <t>Реализация мероприятий по оснащению объектов спортивной инфраструктуры спортивно-технологическим оборудованием</t>
  </si>
  <si>
    <t>1.3.3.</t>
  </si>
  <si>
    <t>Обучение навыкам плавания детей и подростков в возрасте  от 6 до 10 лет</t>
  </si>
  <si>
    <t>1.3.4.</t>
  </si>
  <si>
    <t>Организация сеансов свободного плавания для лиц, достигших возраста 55 лет (для мужчин), и 50 лет (для женщин), инвалидов, детей-сирот, детей, оставшихся без попечения родителей</t>
  </si>
  <si>
    <t>1.3.5.</t>
  </si>
  <si>
    <t>1.3.6.</t>
  </si>
  <si>
    <t>Организация и проведение  Всероссийских конкурсов, смотров-конкурсов</t>
  </si>
  <si>
    <t xml:space="preserve">Предоставление субсидий из областного бюджета некоммерческим организациям осуществляющим деятельность в сфере физической культуры и спорта </t>
  </si>
  <si>
    <t xml:space="preserve">Организация и проведение тренировочных мероприятий для спортсменов, спортивных сборных команд Мурманской области по видам спорта, в том числе медицинских работников  </t>
  </si>
  <si>
    <t>Предоставление субсидий из областного бюджета некоммерческим организациям осуществляющим деятельность в сфере физической культуры и спорта</t>
  </si>
  <si>
    <t>Реализация мероприятий по приобретению спортивного оборудования и инвентаря для приведения  организаций спортивной подготовки в нормативное состояние, в том числе по хоккею</t>
  </si>
  <si>
    <t>Cубсидии бюджетам муниципальных образований Мурманской области на оказание финансовой поддержки спортивным организациям, осуществляющим подготовку спортивного резерва для сборных команд Российской Федерации в соответствии с федеральными стандартами спортивной подготовки</t>
  </si>
  <si>
    <t>2.4.4.</t>
  </si>
  <si>
    <t>3.2.19.</t>
  </si>
  <si>
    <t>Субсидия на капитальный ремонт футбольного поля с искусственным покрытием и легкоатлетическими беговыми дорожками</t>
  </si>
  <si>
    <t>3.4.12.</t>
  </si>
  <si>
    <t xml:space="preserve"> Основное мероприятие 1 Обеспечение реализации государственных функций и оказание государственных услуг в сфере физической культуры и спорта</t>
  </si>
  <si>
    <t>Обеспечение реализации государственных функций и государственных услуг Министерства спорта и молодежной политики Мурманской области</t>
  </si>
  <si>
    <t>Информация об исполнении государственных программ</t>
  </si>
  <si>
    <t>на 01 июля 2020 года</t>
  </si>
  <si>
    <t>Единица измерения: тыс.руб.</t>
  </si>
  <si>
    <t>Наименование целевой статьи</t>
  </si>
  <si>
    <t>Код целевой статьи</t>
  </si>
  <si>
    <t>Наименование ведомства</t>
  </si>
  <si>
    <t>Код ведомства</t>
  </si>
  <si>
    <t>Сводная бюджетная роспись</t>
  </si>
  <si>
    <t>Сводный лимит БО</t>
  </si>
  <si>
    <t xml:space="preserve">Финансирование </t>
  </si>
  <si>
    <t>Кассовый расход</t>
  </si>
  <si>
    <t xml:space="preserve">Степень освоения средств (кассовый расход к СБР), % </t>
  </si>
  <si>
    <t>Отнесение к ФБ</t>
  </si>
  <si>
    <t>1</t>
  </si>
  <si>
    <t>3</t>
  </si>
  <si>
    <t>4</t>
  </si>
  <si>
    <t>5</t>
  </si>
  <si>
    <t>6</t>
  </si>
  <si>
    <t>7</t>
  </si>
  <si>
    <t>8</t>
  </si>
  <si>
    <t>9</t>
  </si>
  <si>
    <t>10</t>
  </si>
  <si>
    <t>Государственная программа "Развитие здравоохранения"</t>
  </si>
  <si>
    <t>0100000000</t>
  </si>
  <si>
    <t>Подпрограмма 1. "Профилактика заболеваний и формирование здорового образа жизни. Развитие первичной медико-санитарной помощи"</t>
  </si>
  <si>
    <t>0110000000</t>
  </si>
  <si>
    <t>Основное мероприятие 1. Организация медицинской профилактики неинфекционных заболеваний</t>
  </si>
  <si>
    <t>0110100000</t>
  </si>
  <si>
    <t>Расходы на обеспечение деятельности (оказание услуг) подведомственных учреждений, в том числе на предоставление государственным бюджетным и автономным учреждениям субсидий</t>
  </si>
  <si>
    <t>0110100050</t>
  </si>
  <si>
    <t>Министерство здравоохранения Мурманской области</t>
  </si>
  <si>
    <t>805</t>
  </si>
  <si>
    <t>Прочие субсидии юридическим лицам и некоммерческим организациям</t>
  </si>
  <si>
    <t>0110160040</t>
  </si>
  <si>
    <t>Основное мероприятие 2. Формирование негативного отношения к потреблению наркотических средств и психотропных веществ, алкоголя, табакокурению</t>
  </si>
  <si>
    <t>0110200000</t>
  </si>
  <si>
    <t>0110200050</t>
  </si>
  <si>
    <t>Министерство образования и науки Мурманской области</t>
  </si>
  <si>
    <t>804</t>
  </si>
  <si>
    <t>Прочие направления расходов государственной программы</t>
  </si>
  <si>
    <t>0110229990</t>
  </si>
  <si>
    <t>Комитет по обеспечению безопасности населения Мурманской области</t>
  </si>
  <si>
    <t>832</t>
  </si>
  <si>
    <t>823</t>
  </si>
  <si>
    <t>Основное мероприятие 3. Организация оказания первичной медико-санитарной помощи</t>
  </si>
  <si>
    <t>0110300000</t>
  </si>
  <si>
    <t>0110300050</t>
  </si>
  <si>
    <t>0110329990</t>
  </si>
  <si>
    <t>Основное мероприятие 4. Обеспечение жителей Мурманской области необходимыми лекарственными препаратами, медицинскими изделиями и специализированными продуктами лечебного питания при амбулаторном лечении</t>
  </si>
  <si>
    <t>0110400000</t>
  </si>
  <si>
    <t>Реализация мероприятий по обеспечению населения медико-социальной помощью</t>
  </si>
  <si>
    <t>0110413390</t>
  </si>
  <si>
    <t>Реализация отдельных полномочий в области лекарственного обеспечения</t>
  </si>
  <si>
    <t>0110451610</t>
  </si>
  <si>
    <t>Реализация отдельных полномочий в области лекарственного обеспечения населения закрытых административно-территориальных образований, обслуживаемых федеральными государственными бюджетными учреждениями здравоохранения, находящимися в ведении Федерального медико-биологического агентства</t>
  </si>
  <si>
    <t>0110451970</t>
  </si>
  <si>
    <t>Иные межбюджетные трансферты на 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 также после трансплантации органов и (или) тканей</t>
  </si>
  <si>
    <t>0110452160</t>
  </si>
  <si>
    <t>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</si>
  <si>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0110454600</t>
  </si>
  <si>
    <t>Региональный проект "Развитие системы оказания первичной медико-санитарной помощи"</t>
  </si>
  <si>
    <t>011N100000</t>
  </si>
  <si>
    <t>Закупка авиационной услуги органами государственной власти субъектов Российской Федерации для оказания медицинской помощи с применением авиации</t>
  </si>
  <si>
    <t>011N155540</t>
  </si>
  <si>
    <t>Региональный проект "Борьба с сердечно-сосудистыми заболеваниями"</t>
  </si>
  <si>
    <t>011N200000</t>
  </si>
  <si>
    <t>Обеспечение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t>
  </si>
  <si>
    <t>011N255860</t>
  </si>
  <si>
    <t>Региональный проект "Укрепление общественного здоровья"</t>
  </si>
  <si>
    <t>011P400000</t>
  </si>
  <si>
    <t>Коммуникационная кампания по мотивированию граждан к ведению здорового образа жизни</t>
  </si>
  <si>
    <t>011P422280</t>
  </si>
  <si>
    <t>Подпрограмма 2. "Совершенствование оказания специализированной, включая высокотехнологичную, медицинской помощи, скорой, в том числе скорой специализированной, медицинской помощи, медицинской эвакуации, медицинской реабилитации и паллиативной помощи"</t>
  </si>
  <si>
    <t>0120000000</t>
  </si>
  <si>
    <t>Основное мероприятие 1. Предоставление услуг по оказанию специализированной медицинской помощи, паллиативной помощи</t>
  </si>
  <si>
    <t>0120100000</t>
  </si>
  <si>
    <t>0120100050</t>
  </si>
  <si>
    <t>0120113390</t>
  </si>
  <si>
    <t>0120129990</t>
  </si>
  <si>
    <t>Развитие паллиативной медицинской помощи</t>
  </si>
  <si>
    <t>01201R2010</t>
  </si>
  <si>
    <t>Реализация мероприятий по предупреждению и борьбе с социально значимыми инфекционными заболеваниями</t>
  </si>
  <si>
    <t>01201R2020</t>
  </si>
  <si>
    <t>Основное мероприятие 2. Предоставление услуг по оказанию специализированной, в том числе высокотехнологичной, медицинской помощи</t>
  </si>
  <si>
    <t>0120200000</t>
  </si>
  <si>
    <t>0120200050</t>
  </si>
  <si>
    <t>Оказание гражданам Российской Федерации высокотехнологичной медицинской помощи, не включенной в базовую программу обязательного медицинского страхования</t>
  </si>
  <si>
    <t>01202R4020</t>
  </si>
  <si>
    <t>Основное мероприятие 4. Организация оказания экстренной и скорой медицинской помощи, в том числе санитарно-авиационной</t>
  </si>
  <si>
    <t>0120400000</t>
  </si>
  <si>
    <t>0120400050</t>
  </si>
  <si>
    <t>Основное мероприятие 5. Привлечение населения к донорству</t>
  </si>
  <si>
    <t>0120500000</t>
  </si>
  <si>
    <t>0120500050</t>
  </si>
  <si>
    <t>Основное мероприятие 6. Обеспечение заготовки, хранения и переработки крови и ее компонентов</t>
  </si>
  <si>
    <t>0120600000</t>
  </si>
  <si>
    <t>0120600050</t>
  </si>
  <si>
    <t>Основное мероприятие 7. Обеспечение проведения судебно-медицинской и судебно-психиатрической экспертизы</t>
  </si>
  <si>
    <t>0120700000</t>
  </si>
  <si>
    <t>0120700050</t>
  </si>
  <si>
    <t>Основное мероприятие 8. Обеспечение проведения мероприятий, направленных на улучшение качества медицинской помощи, в том числе выполнение научно-исследовательской работы  по оценке системы здравоохранения Мурманской области и разработке рекомендаций по повышению ее эффективности</t>
  </si>
  <si>
    <t>0120800000</t>
  </si>
  <si>
    <t>0120800050</t>
  </si>
  <si>
    <t>012N200000</t>
  </si>
  <si>
    <t>Оснащение оборудованием региональных сосудистых центров и первичных сосудистых отделений</t>
  </si>
  <si>
    <t>012N251920</t>
  </si>
  <si>
    <t>Региональный проект "Борьба с онкологическими заболеваниями"</t>
  </si>
  <si>
    <t>012N300000</t>
  </si>
  <si>
    <t>Создание и оснащение референс-центров для проведения иммуногистохимических, патоморфологических исследований и лучевых методов исследований, переоснащение сети региональных медицинских организаций, оказывающих помощь больным онкологическими заболеваниями в субъектах Российской Федерации</t>
  </si>
  <si>
    <t>012N351900</t>
  </si>
  <si>
    <t>Подпрограмма 3. "Охрана здоровья матери и ребенка"</t>
  </si>
  <si>
    <t>0130000000</t>
  </si>
  <si>
    <t>Основное мероприятие 1. Применение современных методик диагностики и лечения матерей и детей</t>
  </si>
  <si>
    <t>0130100000</t>
  </si>
  <si>
    <t>0130100050</t>
  </si>
  <si>
    <t>Основное мероприятие 2. Обеспечение оказания медицинской помощи матерям и детям, проведения медицинской и медико-социальной реабилитации матерей и детей</t>
  </si>
  <si>
    <t>0130200000</t>
  </si>
  <si>
    <t>0130200050</t>
  </si>
  <si>
    <t>0130213390</t>
  </si>
  <si>
    <t>Региональный проект "Развитие детского здравоохранения, включая создание современной инфраструктуры оказания медицинской помощи детям"</t>
  </si>
  <si>
    <t>013N400000</t>
  </si>
  <si>
    <t>Развитие материально-технической базы детских поликлиник и детских поликлинических отделений медицинских организаций, оказывающих первичную медико-санитарную помощь</t>
  </si>
  <si>
    <t>013N451700</t>
  </si>
  <si>
    <t>Подпрограмма 4. "Развитие инфраструктуры системы здравоохранения"</t>
  </si>
  <si>
    <t>0140000000</t>
  </si>
  <si>
    <t>Основное мероприятие 1. Строительство и реконструкция зданий подведомственных учреждений</t>
  </si>
  <si>
    <t>0140100000</t>
  </si>
  <si>
    <t>Строительство объектов социального и производственного комплексов, в том числе объектов общегражданского назначения, жилья, инфраструктуры</t>
  </si>
  <si>
    <t>0140140010</t>
  </si>
  <si>
    <t>Министерство строительства Мурманской области</t>
  </si>
  <si>
    <t>807</t>
  </si>
  <si>
    <t>Основное мероприятие 2. Проведение капитальных и текущих ремонтов объектов системы здравоохранения</t>
  </si>
  <si>
    <t>0140200000</t>
  </si>
  <si>
    <t>0140200050</t>
  </si>
  <si>
    <t>Мероприятия по социальной поддержке инвалидов</t>
  </si>
  <si>
    <t>0140222110</t>
  </si>
  <si>
    <t>0140229990</t>
  </si>
  <si>
    <t>Основное мероприятие 3. Приобретение автотранспорта для подведомственных учреждений</t>
  </si>
  <si>
    <t>0140300000</t>
  </si>
  <si>
    <t>0140300050</t>
  </si>
  <si>
    <t>Подпрограмма 5. "Кадровое обеспечение системы здравоохранения"</t>
  </si>
  <si>
    <t>0150000000</t>
  </si>
  <si>
    <t>Основное мероприятие 1. Создание условий для обеспечения учреждений здравоохранения Мурманской области медицинскими кадрами</t>
  </si>
  <si>
    <t>0150100000</t>
  </si>
  <si>
    <t>0150100050</t>
  </si>
  <si>
    <t>Реализация Закона Мурманской области от 19.12.2014 № 1820-01-ЗМО "О мерах социальной поддержки, направленных на кадровое обеспечение системы здравоохранения Мурманской области"</t>
  </si>
  <si>
    <t>0150111760</t>
  </si>
  <si>
    <t>Основное мероприятие 2. Сохранение кадрового потенциала здравоохранения региона и обеспечение притока медицинских работников в Мурманскую область</t>
  </si>
  <si>
    <t>0150200000</t>
  </si>
  <si>
    <t>0150200050</t>
  </si>
  <si>
    <t>Единовременные компенсационные выплаты медицинским работникам в возрасте до 50 лет, имеющим высшее образование, прибывшим на работу в сельский населенный пункт, либо рабочий поселок, либо поселок городского типа или переехавшим на работу в сельский населенный пункт, либо рабочий поселок, либо поселок городского типа из другого населенного пункта</t>
  </si>
  <si>
    <t>01502R1380</t>
  </si>
  <si>
    <t>Региональный проект "Обеспечение медицинских организаций системы здравоохранения квалифицированными кадрами"</t>
  </si>
  <si>
    <t>015N500000</t>
  </si>
  <si>
    <t>015N500050</t>
  </si>
  <si>
    <t>Осуществление мер социальной поддержки и мер стимулирования отдельных категорий медицинских работников в части единовременной компенсационной выплаты</t>
  </si>
  <si>
    <t>015N510500</t>
  </si>
  <si>
    <t>Осуществление мер социальной поддержки и мер стимулирования отдельных категорий медицинских работников в части компенсации оплаты жилого помещения и коммунальных услуг</t>
  </si>
  <si>
    <t>015N510510</t>
  </si>
  <si>
    <t>Осуществление мер социальной поддержки и мер, направленных на привлечение в Мурманскую область специалистов в сфере здравоохранения</t>
  </si>
  <si>
    <t>015N510520</t>
  </si>
  <si>
    <t>Выплата стипендии студентам, получающим высшее медицинское или фармацевтическое образование и поступившим на обучение на условиях целевого приема и заключившим договор о целевом обучении</t>
  </si>
  <si>
    <t>015N510730</t>
  </si>
  <si>
    <t>Выплата стипендии лицам, поступившим на обучение в ординатуру на условиях  целевого приема и заключившим договор о целевом обучении</t>
  </si>
  <si>
    <t>015N510760</t>
  </si>
  <si>
    <t>015N513060</t>
  </si>
  <si>
    <t>Предоставление социальных выплат отдельным категориям медицинских работников на приобретение и (или) строительство жилого помещения за счет средств  областного бюджета</t>
  </si>
  <si>
    <t>015N513080</t>
  </si>
  <si>
    <t>Предоставление ежемесячной денежной выплаты на оплату жилого помещения и (или) коммунальных услуг отдельным категориям граждан, работающих в  областных учреждениях (организациях),  в соответствии с Законом Мурманской области от 27.12.2004 № 561-01-ЗМО "О мерах социальной поддержки отдельных категорий граждан, работающих в сельских населенных пунктах или поселках городского типа"</t>
  </si>
  <si>
    <t>015N513240</t>
  </si>
  <si>
    <t>Предоставление ежемесячной денежной выплаты на оплату жилого помещения и (или) коммунальных услуг отдельным категориям граждан, работающих в  областных учреждениях (организациях), в соответствии с Законом Мурманской области от 19.12.2014 № 1811-01-ЗМО  "О сохранении права на меры социальной поддержки отдельных категорий граждан в связи с упразднением поселка городского типа Росляково"</t>
  </si>
  <si>
    <t>015N513250</t>
  </si>
  <si>
    <t>015N513390</t>
  </si>
  <si>
    <t>Организация подготовки специалистов по программам дополнительного профессионального образования</t>
  </si>
  <si>
    <t>015N522320</t>
  </si>
  <si>
    <t>015N529990</t>
  </si>
  <si>
    <t>Подпрограмма 6. "Развитие информатизации в здравоохранении"</t>
  </si>
  <si>
    <t>0160000000</t>
  </si>
  <si>
    <t>Основное мероприятие 1. Совершенствование программно-технологической и коммуникационной инфраструктуры системы здравоохранения</t>
  </si>
  <si>
    <t>0160100000</t>
  </si>
  <si>
    <t>Расходы на обеспечение функций государственных органов, в том числе территориальных органов</t>
  </si>
  <si>
    <t>0160100030</t>
  </si>
  <si>
    <t>0160100050</t>
  </si>
  <si>
    <t>Основное мероприятие 2. Обеспечение поддержки принятия управленческих решений при управлении сферой здравоохранения с применением современных информационных систем</t>
  </si>
  <si>
    <t>0160200000</t>
  </si>
  <si>
    <t>0160200030</t>
  </si>
  <si>
    <t>0160200050</t>
  </si>
  <si>
    <t>Мероприятия в области информационно-коммуникационной и телекоммуникационной инфраструктуры информационного общества</t>
  </si>
  <si>
    <t>0160220100</t>
  </si>
  <si>
    <t>Региональный проект "Создание единого цифрового контура в здравоохранении на основе единой государственной информационной системы здравоохранения (ЕГИСЗ)"</t>
  </si>
  <si>
    <t>016N700000</t>
  </si>
  <si>
    <t>Обеспечение функционирования государственных информационных систем, защищенной сети передачи данных в здравоохранении Мурманской области</t>
  </si>
  <si>
    <t>016N722270</t>
  </si>
  <si>
    <t>Субсидия на реализацию региональных проектов "Создание единого цифрового контура в здравоохранении на основе единой государственной информационной системы здравоохранения (ЕГИСЗ)"</t>
  </si>
  <si>
    <t>016N751140</t>
  </si>
  <si>
    <t>Подпрограмма 7. "Управление системой здравоохранения, включая обеспечение реализации государственной программы"</t>
  </si>
  <si>
    <t>0170000000</t>
  </si>
  <si>
    <t>Основное мероприятие 1. Обеспечение реализации государственных функций в сфере охраны здоровья, координация деятельности государственных учреждений здравоохранения Мурманской области при размещении заказов на поставку товаров, выполнение работ, оказание услуг путем проведения совместных торгов</t>
  </si>
  <si>
    <t>0170100000</t>
  </si>
  <si>
    <t>Расходы на выплаты по оплате труда работников государственных органов</t>
  </si>
  <si>
    <t>0170100010</t>
  </si>
  <si>
    <t>0170100030</t>
  </si>
  <si>
    <t>0170100050</t>
  </si>
  <si>
    <t>0170113060</t>
  </si>
  <si>
    <t>0170129990</t>
  </si>
  <si>
    <t>Основное мероприятие 2. Предоставление межбюджетных трансфертов и иные платежи, производимые в целях  организации обязательного медицинского страхования на территории субъекта  Российской Федерации</t>
  </si>
  <si>
    <t>0170200000</t>
  </si>
  <si>
    <t>Страховые взносы на обязательное медицинское страхование неработающего населения</t>
  </si>
  <si>
    <t>0170277010</t>
  </si>
  <si>
    <t>Финансовое обеспечение дополнительных видов и условий оказания медицинской помощи, не установленных базовой программой обязательного медицинского страхования</t>
  </si>
  <si>
    <t>0170277020</t>
  </si>
  <si>
    <t>Основное мероприятие 3. Обеспечение реализации переданных Российской Федерации полномочий в области охраны здоровья граждан по лицензированию отдельных видов деятельности</t>
  </si>
  <si>
    <t>0170300000</t>
  </si>
  <si>
    <t>Осуществление переданных органам государственной власти субъектов Российской Федерации в соответствии с частью 1 статьи 15 Федерального закона от 21 ноября 2011 года № 323-ФЗ "Об основах охраны здоровья граждан в Российской Федерации" полномочий Российской Федерации в сфере охраны здоровья</t>
  </si>
  <si>
    <t>0170359800</t>
  </si>
  <si>
    <t>Государственная программа "Развитие образования"</t>
  </si>
  <si>
    <t>0200000000</t>
  </si>
  <si>
    <t>Подпрограмма 1. "Развитие профессионального образования"</t>
  </si>
  <si>
    <t>0210000000</t>
  </si>
  <si>
    <t>Основное мероприятие 1. Реализация образовательных программ среднего профессионального образования и профессионального обучения на основе государственного задания с учетом выхода на эффективный контракт с педагогическими работниками</t>
  </si>
  <si>
    <t>0210100000</t>
  </si>
  <si>
    <t>0210100050</t>
  </si>
  <si>
    <t>Министерство культуры Мурманской области</t>
  </si>
  <si>
    <t>822</t>
  </si>
  <si>
    <t>0210113240</t>
  </si>
  <si>
    <t>0210113250</t>
  </si>
  <si>
    <t>Выплата стипендии лицам, обучающимся в образовательных организациях, а также предоставление указанным лицам иных мер социальной поддержки</t>
  </si>
  <si>
    <t>0210113800</t>
  </si>
  <si>
    <t>0210129990</t>
  </si>
  <si>
    <t>Основное мероприятие 2. Переподготовка и повышение квалификации педагогических и управленческих кадров для системы образования</t>
  </si>
  <si>
    <t>0210200000</t>
  </si>
  <si>
    <t>0210200050</t>
  </si>
  <si>
    <t>0210229990</t>
  </si>
  <si>
    <t>Основное мероприятие 3. Формирование современной структуры сети государственных областных профессиональных образовательных организаций, отражающей изменения в потребностях экономики и запросах населения и поддерживающей единое образовательное пространство</t>
  </si>
  <si>
    <t>0210300000</t>
  </si>
  <si>
    <t>0210300050</t>
  </si>
  <si>
    <t>Реализация мероприятий государственной программы Российской Федерации "Доступная среда" на 2011-2020 годы</t>
  </si>
  <si>
    <t>02103R0270</t>
  </si>
  <si>
    <t>Региональный проект "Молодые профессионалы"</t>
  </si>
  <si>
    <t>021E600000</t>
  </si>
  <si>
    <t>Обеспечение проведения аттестации обучающихся по программам среднего профессионального образования с использованием механизма демонстрационного экзамена</t>
  </si>
  <si>
    <t>021E661634</t>
  </si>
  <si>
    <t>Подпрограмма 2. "Развитие дошкольного, общего и дополнительного образования детей"</t>
  </si>
  <si>
    <t>0220000000</t>
  </si>
  <si>
    <t>Основное мероприятие 1. Обеспечение предоставления услуг в сфере дошкольного, общего и дополнительного образования</t>
  </si>
  <si>
    <t>0220100000</t>
  </si>
  <si>
    <t>0220100050</t>
  </si>
  <si>
    <t>0220113240</t>
  </si>
  <si>
    <t>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</si>
  <si>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0220153030</t>
  </si>
  <si>
    <t>0220160040</t>
  </si>
  <si>
    <t>Реализация Закона Мурманской области "О региональных нормативах финансового обеспечения образовательной деятельности в Мурманской области" (в части финансового обеспечения частных общеобразовательных организаций)</t>
  </si>
  <si>
    <t>0220160550</t>
  </si>
  <si>
    <t>Реализация Закона Мурманской области "О региональных нормативах финансового обеспечения образовательной деятельности дошкольных образовательных организаций" (в части финансового обеспечения частных дошкольных организаций)</t>
  </si>
  <si>
    <t>0220160560</t>
  </si>
  <si>
    <t>Предоставление субвенции на реализацию Закона Мурманской области "О единой субвенции местным бюджетам на финансовое обеспечение образовательной деятельности"</t>
  </si>
  <si>
    <t>0220175310</t>
  </si>
  <si>
    <t>Субвенция на расходы, связанные с выплатой компенсации родительской платы за присмотр и уход за детьми, посещающими образовательные организации, реализующие общеобразовательные программы дошкольного образования (банковские, почтовые услуги, расходы на компенсацию затрат деятельности органов местного самоуправления и учреждений, находящихся в их ведении)</t>
  </si>
  <si>
    <t>0220175360</t>
  </si>
  <si>
    <t>Субвенция на выплату компенсации родительской платы за присмотр и уход за детьми, посещающими образовательные организации, реализующие общеобразовательные программы дошкольного образования</t>
  </si>
  <si>
    <t>0220175370</t>
  </si>
  <si>
    <t>Основное мероприятие 2. Создание условий для повышения качества образовательных услуг общего образования и дополнительного образования детей</t>
  </si>
  <si>
    <t>0220200000</t>
  </si>
  <si>
    <t>0220200050</t>
  </si>
  <si>
    <t>0220229990</t>
  </si>
  <si>
    <t>Расходы областного бюджета на софинансирование мероприятий федеральных целевых программ</t>
  </si>
  <si>
    <t>0220229998</t>
  </si>
  <si>
    <t>Единовременные компенсационные выплаты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</si>
  <si>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02202R2560</t>
  </si>
  <si>
    <t>Повышение качества образования в школах с низкими результатами обучения и в школах, функционирующих в неблагоприятных социальных условиях, путем реализации региональных проектов и распространения их результатов в субъектах Российской Федерации</t>
  </si>
  <si>
    <t>02202R5380</t>
  </si>
  <si>
    <t>Основное мероприятие 3. Организация качественного отдыха и оздоровления детей в возрасте от 6 до 18 лет</t>
  </si>
  <si>
    <t>0220300000</t>
  </si>
  <si>
    <t>Мероприятия, связанные с отдыхом и оздоровлением детей Мурманской области</t>
  </si>
  <si>
    <t>0220320110</t>
  </si>
  <si>
    <t>Субсидия на организацию отдыха детей Мурманской области в муниципальных образовательных организациях</t>
  </si>
  <si>
    <t>0220371070</t>
  </si>
  <si>
    <t>Региональный проект "Современная школа"</t>
  </si>
  <si>
    <t>022E100000</t>
  </si>
  <si>
    <t>Обновление материально-технической базы для формирования у обучающихся современных технологических и гуманитарных навыков</t>
  </si>
  <si>
    <t>022E151690</t>
  </si>
  <si>
    <t>Поддержка образования для детей с ограниченными возможностями здоровья</t>
  </si>
  <si>
    <t>022E151870</t>
  </si>
  <si>
    <t>Региональный проект "Успех каждого ребенка"</t>
  </si>
  <si>
    <t>022E200000</t>
  </si>
  <si>
    <t>Организация работы Регионального центра выявления и поддержки одаренных детей</t>
  </si>
  <si>
    <t>022E200150</t>
  </si>
  <si>
    <t>Развитие дополнительного образования детей</t>
  </si>
  <si>
    <t>022E200160</t>
  </si>
  <si>
    <t>Создание мобильных технопарков "Кванториум"</t>
  </si>
  <si>
    <t>022E252470</t>
  </si>
  <si>
    <t>Создание новых мест в образовательных организациях различных типов для реализации дополнительных общеразвивающих программ всех направленностей</t>
  </si>
  <si>
    <t>022E254910</t>
  </si>
  <si>
    <t>Формирование современных управленческих и организационно-экономических механизмов в системе дополнительного образования детей в субъектах Российской Федерации</t>
  </si>
  <si>
    <t>022E255370</t>
  </si>
  <si>
    <t>Региональный проект "Поддержка семей имеющих детей"</t>
  </si>
  <si>
    <t>022E300000</t>
  </si>
  <si>
    <t>Государственная поддержка некоммерческих организаций в целях оказания психолого-педагогической, методической и консультативной помощи гражданам, имеющим детей</t>
  </si>
  <si>
    <t>022E362292</t>
  </si>
  <si>
    <t>Подпрограмма 3. "Развитие современной инфраструктуры системы образования"</t>
  </si>
  <si>
    <t>0230000000</t>
  </si>
  <si>
    <t>Основное мероприятие 1. Строительство, реконструкция, капитальный и текущий ремонт организаций образования</t>
  </si>
  <si>
    <t>0230100000</t>
  </si>
  <si>
    <t>0230100050</t>
  </si>
  <si>
    <t>0230129990</t>
  </si>
  <si>
    <t>0230140010</t>
  </si>
  <si>
    <t>Субсидия на проведение капитальных и текущих ремонтов муниципальных образовательных организаций</t>
  </si>
  <si>
    <t>0230170780</t>
  </si>
  <si>
    <t>Субсидия на софинансирование капитальных вложений в объекты муниципальной собственности</t>
  </si>
  <si>
    <t>0230174000</t>
  </si>
  <si>
    <t>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t>
  </si>
  <si>
    <t>02301R2550</t>
  </si>
  <si>
    <t>Основное мероприятие 2. Комплексная безопасность и ресурсное обеспечение организаций образования</t>
  </si>
  <si>
    <t>0230200000</t>
  </si>
  <si>
    <t>0230200050</t>
  </si>
  <si>
    <t>0230229990</t>
  </si>
  <si>
    <t>Субсидии на реализацию проектов по улучшению социальной сферы (образование) и повышению качества жизни населения в рамках реализации соглашений между Правительством Мурманской области и градообразующими предприятиями</t>
  </si>
  <si>
    <t>0230270630</t>
  </si>
  <si>
    <t>Субсидии на обеспечение комплексной безопасности муниципальных образовательных организаций</t>
  </si>
  <si>
    <t>0230270790</t>
  </si>
  <si>
    <t>Субсидия на обеспечение бесплатным цельным молоком либо питьевым молоком обучающихся 1-4 классов общеобразовательных учреждений, муниципальных образовательных учреждений для детей дошкольного и младшего школьного возраста</t>
  </si>
  <si>
    <t>0230271040</t>
  </si>
  <si>
    <t>Субвенция на обеспечение бесплатным питанием отдельных категорий обучающихся</t>
  </si>
  <si>
    <t>0230275320</t>
  </si>
  <si>
    <t>02302R0270</t>
  </si>
  <si>
    <t>Основное мероприятие 3. Информатизация образования</t>
  </si>
  <si>
    <t>0230300000</t>
  </si>
  <si>
    <t>0230300050</t>
  </si>
  <si>
    <t>0230329990</t>
  </si>
  <si>
    <t>023E100000</t>
  </si>
  <si>
    <t>Реализация мероприятий по содействию созданию в субъектах Российской Федерации новых мест в общеобразовательных организациях</t>
  </si>
  <si>
    <t>023E155200</t>
  </si>
  <si>
    <t>023E200000</t>
  </si>
  <si>
    <t>Создание в общеобразовательных организациях, расположенных в сельской местности, условий для занятий физической культурой и спортом</t>
  </si>
  <si>
    <t>023E250970</t>
  </si>
  <si>
    <t>Региональный проект "Цифровая образовательная среда"</t>
  </si>
  <si>
    <t>023E400000</t>
  </si>
  <si>
    <t>Обеспечение доступа образовательных организаций к сети Интернет</t>
  </si>
  <si>
    <t>023E400170</t>
  </si>
  <si>
    <t>Внедрение целевой модели цифровой образовательной среды в общеобразовательных организациях и профессиональных образовательных организациях</t>
  </si>
  <si>
    <t>023E452100</t>
  </si>
  <si>
    <t>Региональный проект "Содействие занятости женщин - создание условий дошкольного образования для детей в возрасте до трех лет"</t>
  </si>
  <si>
    <t>023P200000</t>
  </si>
  <si>
    <t>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t>
  </si>
  <si>
    <t>023P252320</t>
  </si>
  <si>
    <t>Подпрограмма 4. "Обеспечение реализации государственной программы"</t>
  </si>
  <si>
    <t>0240000000</t>
  </si>
  <si>
    <t>Основное мероприятие 1. Реализация государственных функций, оказание государственных услуг, выполнение государственных работ в сфере образования</t>
  </si>
  <si>
    <t>0240100000</t>
  </si>
  <si>
    <t>0240100010</t>
  </si>
  <si>
    <t>0240100030</t>
  </si>
  <si>
    <t>0240113060</t>
  </si>
  <si>
    <t>0240113070</t>
  </si>
  <si>
    <t>Мероприятия, направленные на профессиональную подготовку, переподготовку и повышение квалификации государственных (муниципальных) служащих и работников государственных (муниципальных) учреждений</t>
  </si>
  <si>
    <t>0240120080</t>
  </si>
  <si>
    <t>Осуществление переданных органам государственной власти субъектов Российской Федерации в соответствии с частью 1 статьи 7 Федерального закона от 29 декабря 2012 года № 273-ФЗ "Об образовании в Российской Федерации" полномочий Российской Федерации в сфере образования</t>
  </si>
  <si>
    <t>0240159900</t>
  </si>
  <si>
    <t>Основное мероприятие 2. Реализация государственного задания и прочих мероприятий организациями, обеспечивающими предоставление услуг (выполнение работ) в сфере образования</t>
  </si>
  <si>
    <t>0240200000</t>
  </si>
  <si>
    <t>0240200050</t>
  </si>
  <si>
    <t>0240213060</t>
  </si>
  <si>
    <t>0240213070</t>
  </si>
  <si>
    <t>Государственная программа "Социальная поддержка граждан"</t>
  </si>
  <si>
    <t>0300000000</t>
  </si>
  <si>
    <t>Подпрограмма 1. "Модернизация системы социального обслуживания населения Мурманской области"</t>
  </si>
  <si>
    <t>0310000000</t>
  </si>
  <si>
    <t>Основное мероприятие 2. Укрепление материально-технической базы учреждений социального обслуживания населения, открытие и развитие отделений и служб</t>
  </si>
  <si>
    <t>0310200000</t>
  </si>
  <si>
    <t>0310200050</t>
  </si>
  <si>
    <t>Министерство труда и социального развития Мурманской области</t>
  </si>
  <si>
    <t>803</t>
  </si>
  <si>
    <t>0310229990</t>
  </si>
  <si>
    <t>Основное мероприятие 3. Обеспечение качества и своевременности предоставления услуг населению государственными областными учреждениями системы социального обслуживания населения, привлечение к оказанию услуг в сфере социального обслуживания негосударственных организаций</t>
  </si>
  <si>
    <t>0310300000</t>
  </si>
  <si>
    <t>0310300050</t>
  </si>
  <si>
    <t>0310313060</t>
  </si>
  <si>
    <t>0310313070</t>
  </si>
  <si>
    <t>0310313240</t>
  </si>
  <si>
    <t>Осуществление переданных органам государственной власти субъектов Российской Федерации в соответствии с пунктом 3 статьи 25 Федерального закона от 24 июня 1999 года № 120-ФЗ "Об основах системы профилактики безнадзорности и правонарушений несовершеннолетних" полномочий Российской Федерации по осуществлению деятельности, связанной с перевозкой между субъектами Российской Федерации, а также в пределах территорий государств - участников Содружества Независимых Государств несовершеннолетних, самовольно ушедших из семей, организаций для детей-сирот и детей, оставшихся без попечения родителей, образовательных организаций и иных организаций</t>
  </si>
  <si>
    <t>0310359400</t>
  </si>
  <si>
    <t>Выплата компенсации поставщикам социальных услуг, которые включены в реестр поставщиков социальных услуг Мурманской области, но не участвуют в выполнении государственного задания (заказа), оказывающим социальные услуги получателям социальных услуг в соответствии с индивидуальными программами предоставления социальных услуг</t>
  </si>
  <si>
    <t>0310360020</t>
  </si>
  <si>
    <t>Основное мероприятие 4. Устранение предписаний контрольно-надзорных органов, улучшение условий комплексной безопасности в учреждениях системы социального обслуживания населения</t>
  </si>
  <si>
    <t>0310400000</t>
  </si>
  <si>
    <t>0310400050</t>
  </si>
  <si>
    <t>Основное мероприятие 5. Повышение эффективности государственной поддержки социально ориентированных некоммерческих организаций</t>
  </si>
  <si>
    <t>0310500000</t>
  </si>
  <si>
    <t>0310560040</t>
  </si>
  <si>
    <t>Подпрограмма 2. "Улучшение положения и качества жизни социально уязвимых слоев населения"</t>
  </si>
  <si>
    <t>0320000000</t>
  </si>
  <si>
    <t>Основное мероприятие 1. Социальная поддержка инвалидов</t>
  </si>
  <si>
    <t>0320100000</t>
  </si>
  <si>
    <t>0320122110</t>
  </si>
  <si>
    <t>Государственная поддержка социально ориентированных некоммерческих организаций</t>
  </si>
  <si>
    <t>0320160030</t>
  </si>
  <si>
    <t>0320160040</t>
  </si>
  <si>
    <t>Реализация мероприятий субъектов Российской Федерации в сфере реабилитации и абилитации инвалидов</t>
  </si>
  <si>
    <t>03201R5140</t>
  </si>
  <si>
    <t>Основное мероприятие 2. Создание доступной информационной среды для инвалидов</t>
  </si>
  <si>
    <t>0320200000</t>
  </si>
  <si>
    <t>0320222110</t>
  </si>
  <si>
    <t>Основное мероприятие 4. Социальная поддержка граждан в трудной жизненной ситуации и повышение профессиональных компетенций сотрудников учреждений социального обслуживания населения</t>
  </si>
  <si>
    <t>0320400000</t>
  </si>
  <si>
    <t>Мероприятия по социальной поддержке граждан в трудной жизненной ситуации</t>
  </si>
  <si>
    <t>0320422210</t>
  </si>
  <si>
    <t>0320429990</t>
  </si>
  <si>
    <t>0320460040</t>
  </si>
  <si>
    <t>03204R5140</t>
  </si>
  <si>
    <t>Основное мероприятие 5. Обеспечение социальных гарантий и усиления адресной направленности мер социальной поддержки населению</t>
  </si>
  <si>
    <t>0320500000</t>
  </si>
  <si>
    <t>Региональная доплата к пенсии пенсионерам, получающим минимальную пенсию по старости и иные региональные доплаты к пенсиям</t>
  </si>
  <si>
    <t>0320510010</t>
  </si>
  <si>
    <t>Предоставление ежемесячной жилищно-коммунальной выплаты ветеранам труда и лицам, приравненным к ним по состоянию на 31 декабря 2004 года</t>
  </si>
  <si>
    <t>0320510020</t>
  </si>
  <si>
    <t>Предоставление ежемесячной жилищно-коммунальной выплаты реабилитированным лицам и лицам, признанным пострадавшими от политических репрессий</t>
  </si>
  <si>
    <t>0320510030</t>
  </si>
  <si>
    <t>Расходы на ежемесячную денежную выплату ветеранам труда</t>
  </si>
  <si>
    <t>0320510100</t>
  </si>
  <si>
    <t>Расходы на ежемесячную денежную выплату труженикам тыла</t>
  </si>
  <si>
    <t>0320510110</t>
  </si>
  <si>
    <t>Расходы на ежемесячную денежную выплату реабилитированным лицам и лицам, признанным пострадавшими от политических репрессий</t>
  </si>
  <si>
    <t>0320510120</t>
  </si>
  <si>
    <t>Расходы на ежемесячную денежную выплату пенсионерам по старости (женщины с 55 лет, мужчины с 60 лет)</t>
  </si>
  <si>
    <t>0320510130</t>
  </si>
  <si>
    <t>Ежемесячная денежная выплата при рождении  первого ребенка до достижения им возраста полутора лет</t>
  </si>
  <si>
    <t>0320510140</t>
  </si>
  <si>
    <t>Ежемесячное пособие на ребенка</t>
  </si>
  <si>
    <t>0320510200</t>
  </si>
  <si>
    <t>Предоставление регионального материнского (семейного) капитала</t>
  </si>
  <si>
    <t>0320510210</t>
  </si>
  <si>
    <t>Выплата единовременного пособия при поступлении ребенка в 1 класс</t>
  </si>
  <si>
    <t>0320510220</t>
  </si>
  <si>
    <t>Выплата единовременного пособия при рождении одновременно двух и более детей</t>
  </si>
  <si>
    <t>0320510240</t>
  </si>
  <si>
    <t>Предоставление единовременной денежной выплаты лицам, награжденным орденом "Родительская слава", почетным знаком Мурманской области "Материнская слава"</t>
  </si>
  <si>
    <t>0320510270</t>
  </si>
  <si>
    <t>Единовременное пособие семейным парам, прожившим в зарегистрированном браке 50 лет, 60 и более лет</t>
  </si>
  <si>
    <t>0320510300</t>
  </si>
  <si>
    <t>Единовременная денежная выплата в связи с празднованием Дня защитника Отечества</t>
  </si>
  <si>
    <t>0320510310</t>
  </si>
  <si>
    <t>Единовременная денежная выплата в связи с празднованием Дня Победы в Великой Отечественной войне 1941-1945 гг.</t>
  </si>
  <si>
    <t>0320510320</t>
  </si>
  <si>
    <t>Единовременная денежная выплата в связи с празднованием годовщины разгрома немецко-фашистских войск в Заполярье</t>
  </si>
  <si>
    <t>0320510330</t>
  </si>
  <si>
    <t>Единовременная денежная выплата гражданам, родившимся в период с 23 июня 1923 года по 3 сентября 1945 года</t>
  </si>
  <si>
    <t>0320510340</t>
  </si>
  <si>
    <t>Ежегодная единовременная денежная выплата ко Дню Мурманской области (28 мая)</t>
  </si>
  <si>
    <t>0320510360</t>
  </si>
  <si>
    <t>Выплата социального пособия на погребение за счет бюджетов субъектов Российской Федерации и местных бюджетов</t>
  </si>
  <si>
    <t>0320510380</t>
  </si>
  <si>
    <t>Выплата единовременного пособия при переезде на постоянное место жительства за пределы Мурманской области</t>
  </si>
  <si>
    <t>0320510390</t>
  </si>
  <si>
    <t>Оказание финансовой поддержки семьям, имеющим больных фенилкетонурией</t>
  </si>
  <si>
    <t>0320510400</t>
  </si>
  <si>
    <t>Реализация Закона Мурманской области "О физической культуре и спорте в Мурманской области" в части дополнительного материального обеспечения лицам, имеющим выдающиеся достижения и особые заслуги перед Российской Федерацией в сфере физической культуры и спорта</t>
  </si>
  <si>
    <t>0320510600</t>
  </si>
  <si>
    <t>Обеспечение равной доступности услуг общественного транспорта на территории соответствующего субъекта Российской Федерации для отдельных категорий граждан, оказание мер социальной поддержки которым относится к ведению субъектов Российской Федерации (социальные выплаты)</t>
  </si>
  <si>
    <t>0320510700</t>
  </si>
  <si>
    <t>Обеспечение равной доступности услуг общественного транспорта на территории соответствующего субъекта Российской Федерации для отдельных категорий граждан, оказание мер социальной поддержки которым относится к ведению Российской Федерации</t>
  </si>
  <si>
    <t>0320510710</t>
  </si>
  <si>
    <t>Предоставление ежемесячной денежной выплаты на оплату жилого помещения и коммунальных услуг гражданам, родившимся в период с 23 июня 1923 года по 3 сентября 1945 года</t>
  </si>
  <si>
    <t>0320510790</t>
  </si>
  <si>
    <t>Выплата региональной социальной доплаты к пенсии</t>
  </si>
  <si>
    <t>0320513010</t>
  </si>
  <si>
    <t>Доплаты к пенсиям государственных служащих субъектов Российской Федерации и муниципальных служащих</t>
  </si>
  <si>
    <t>0320513020</t>
  </si>
  <si>
    <t>Предоставление ежемесячной социальной выплаты спасателям аварийно-спасательной службы Мурманской области, аварийно-спасательных формирований Мурманской области</t>
  </si>
  <si>
    <t>0320513100</t>
  </si>
  <si>
    <t>Предоставление мер социальной поддержки в виде денежной выплаты в пределах установленного Правительством Мурманской области размера оплаты стоимости социальной услуги по изготовлению зубных ортопедических конструкций любой сложности</t>
  </si>
  <si>
    <t>0320513110</t>
  </si>
  <si>
    <t>Предоставление гражданам субсидий на оплату жилого помещения и коммунальных услуг</t>
  </si>
  <si>
    <t>0320513200</t>
  </si>
  <si>
    <t>Реализация мер социальной поддержки по оплате коммунальных услуг многодетным семьям</t>
  </si>
  <si>
    <t>0320513230</t>
  </si>
  <si>
    <t>Расходы на выплату адресной государственной социальной помощи</t>
  </si>
  <si>
    <t>0320513300</t>
  </si>
  <si>
    <t>Возмещение расходов по гарантированному перечню услуг по погребению</t>
  </si>
  <si>
    <t>0320513310</t>
  </si>
  <si>
    <t>Компенсация затрат и возмещение стоимости услуг, связанных с погребением реабилитированных лиц</t>
  </si>
  <si>
    <t>0320513320</t>
  </si>
  <si>
    <t>Реализация мер социальной поддержки реабилитированных лиц и лиц, признанных пострадавшими от политических репрессий, в части бесплатной установки телефона</t>
  </si>
  <si>
    <t>0320513330</t>
  </si>
  <si>
    <t>Средства на возмещение стоимости по оплате проезда один раз в год в противотуберкулезный санаторий и обратно неработающим гражданам, пенсионерам, детям и одному из родителей детей</t>
  </si>
  <si>
    <t>0320513340</t>
  </si>
  <si>
    <t>Оплата 50 % стоимости проезда к месту отдыха и обратно в пределах территории Российской Федерации (один раз в два года)</t>
  </si>
  <si>
    <t>0320513350</t>
  </si>
  <si>
    <t>Оказание материальной помощи пенсионерам, оказавшимся в трудной жизненной ситуации</t>
  </si>
  <si>
    <t>0320513360</t>
  </si>
  <si>
    <t>Оказание материальной помощи инвалидам, семьям, имеющим инвалидов, оказавшимся в трудной жизненной ситуации</t>
  </si>
  <si>
    <t>0320513370</t>
  </si>
  <si>
    <t>Возмещение расходов инвалидам, детям-инвалидам и лицам, сопровождающим инвалидов первой группы и детей-инвалидов, по проезду в Центр реабилитации слепых и в школы-интернаты для слепых и слабовидящих</t>
  </si>
  <si>
    <t>0320513380</t>
  </si>
  <si>
    <t>Обеспечение протезно-ортопедическими изделиями отдельных категорий граждан, проживающих на территории Мурманской области, не являющихся инвалидами, но по медицинским показаниям нуждающихся в протезно-ортопедической помощи (включая компенсацию расходов, связанных с приобретением протезно-ортопедических изделий)</t>
  </si>
  <si>
    <t>0320513750</t>
  </si>
  <si>
    <t>Реализация Закона Мурманской области "О пожарной безопасности в Мурманской области" в части предоставления ежемесячной социальной выплаты работникам Государственной противопожарной службы Мурманской области</t>
  </si>
  <si>
    <t>0320513760</t>
  </si>
  <si>
    <t>Предоставление ежемесячной денежной выплаты на оплату жилого помещения и (или) коммунальных услуг пенсионерам в соответствии с Законом Мурманской области от 19.12.2014 № 1811-01-ЗМО "О сохранении права на меры социальной поддержки отдельных категорий граждан в связи с упразднением поселка городского типа Росляково"</t>
  </si>
  <si>
    <t>0320513770</t>
  </si>
  <si>
    <t>Предоставление ежемесячной жилищно-коммунальной выплаты  пенсионерам в соответствии с Законом Мурманской области от 27.12.2004 № 561-01-ЗМО "О мерах социальной поддержки отдельных категорий граждан, работающих в сельских населенных пунктах или поселках городского типа"</t>
  </si>
  <si>
    <t>0320513780</t>
  </si>
  <si>
    <t>Предоставление ежемесячной доплаты до размера ежемесячного взноса на капитальный ремонт общего имущества в многоквартирном доме собственникам жилых помещений в многоквартирных домах, достигшим возраста 80 лет</t>
  </si>
  <si>
    <t>0320513790</t>
  </si>
  <si>
    <t>0320529990</t>
  </si>
  <si>
    <t>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</si>
  <si>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0320551370</t>
  </si>
  <si>
    <t>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</si>
  <si>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0320552200</t>
  </si>
  <si>
    <t>Выплата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 157-ФЗ "Об иммунопрофилактике инфекционных болезней"</t>
  </si>
  <si>
    <t>0320552400</t>
  </si>
  <si>
    <t>Оплата жилищно-коммунальных услуг отдельным категориям граждан</t>
  </si>
  <si>
    <t>0320552500</t>
  </si>
  <si>
    <t>Выплата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года № 81-ФЗ "О государственных пособиях гражданам, имеющим детей"</t>
  </si>
  <si>
    <t>0320552700</t>
  </si>
  <si>
    <t>Выплаты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года № 40-ФЗ "Об обязательном страховании гражданской ответственности владельцев транспортных средств"</t>
  </si>
  <si>
    <t>0320552800</t>
  </si>
  <si>
    <t>Выплата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 81-ФЗ "О государственных пособиях гражданам, имеющим детей"</t>
  </si>
  <si>
    <t>0320553800</t>
  </si>
  <si>
    <t>032055380F</t>
  </si>
  <si>
    <t>Субвенция на организацию предоставления мер социальной поддержки по оплате жилого помещения и коммунальных услуг отдельным категориям граждан, работающих в сельских населенных пунктах или поселках городского типа Мурманской области</t>
  </si>
  <si>
    <t>0320575100</t>
  </si>
  <si>
    <t>Субвенция на предоставление мер социальной поддержки по оплате жилого помещения и коммунальных услуг отдельным категориям граждан, работающих в сельских населенных пунктах или поселках городского типа Мурманской области</t>
  </si>
  <si>
    <t>0320575110</t>
  </si>
  <si>
    <t>Субвенция бюджету муниципального образования город Мурманск на осуществление органами местного самоуправления муниципального образования город Мурманск государственных полномочий по предоставлению ежемесячной денежной выплаты на оплату жилого помещения и (или) коммунальных услуг специалистам муниципальных учреждений (организаций), указанным в пункте 1 статьи 1, и лицам, указанным в статье 2 Закона Мурманской области "О сохранении права на меры социальной поддержки отдельных категорий граждан в связи с упразднением поселка городского типа Росляково"</t>
  </si>
  <si>
    <t>0320575120</t>
  </si>
  <si>
    <t>Субвенция бюджету муниципального образования город Мурманск на осуществление органами местного самоуправления муниципального образования город Мурманск государственных полномочий по организации предоставления ежемесячной денежной выплаты на оплату жилого помещения и (или) коммунальных услуг специалистам муниципальных учреждений (организаций), указанным в пункте 1 статьи 1, и лицам, указанным в статье 2 Закона Мурманской области "О сохранении права на меры социальной поддержки отдельных категорий граждан в связи с упразднением поселка городского типа Росляково"</t>
  </si>
  <si>
    <t>0320575130</t>
  </si>
  <si>
    <t>Субвенция на возмещение расходов по гарантированному перечню услуг по погребению</t>
  </si>
  <si>
    <t>0320575230</t>
  </si>
  <si>
    <t>Субвенция на реализацию Закона  Мурманской области "О наделении органов местного самоуправления муниципальных образований со статусом городского округа и муниципального района отдельными государственными полномочиями по опеке и попечительству в отношении совершеннолетних граждан"</t>
  </si>
  <si>
    <t>0320575530</t>
  </si>
  <si>
    <t>Иные межбюджетные трансферты бюджету муниципального образования город Мурманск на реализацию пункта 2 статьи 1 Закона Мурманской области "О сохранении права на меры социальной поддержки отдельных категорий граждан в связи с упразднением поселка городского типа Росляково"</t>
  </si>
  <si>
    <t>0320577050</t>
  </si>
  <si>
    <t>Выплата региональных социальных доплат к пенсии</t>
  </si>
  <si>
    <t>03205R0070</t>
  </si>
  <si>
    <t>Ежемесячная выплата на детей в возрасте от трех до семи лет включительно</t>
  </si>
  <si>
    <t>03205R3020</t>
  </si>
  <si>
    <t>Компенсация отдельным категориям граждан оплаты взноса на капитальный ремонт общего имущества в многоквартирном доме</t>
  </si>
  <si>
    <t>03205R4620</t>
  </si>
  <si>
    <t>Основное мероприятие 6. Организация оздоровления и отдыха в санаториях Мурманской области лиц старше 70 лет, реабилитированных лиц и лиц, признанных пострадавшими от политических репрессий</t>
  </si>
  <si>
    <t>0320600000</t>
  </si>
  <si>
    <t>0320622210</t>
  </si>
  <si>
    <t>Основное мероприятие 7. Организация оздоровления и отдыха за пределами Мурманской области ветеранов Великой Отечественной войны, ветеранов труда, ветеранов труда Мурманской области, тружеников тыла, реабилитированных лиц и лиц, признанных пострадавшими от политических репрессий, работников государственных областных и муниципальных учреждений и их детей до 18 лет</t>
  </si>
  <si>
    <t>0320700000</t>
  </si>
  <si>
    <t>0320722210</t>
  </si>
  <si>
    <t>Основное мероприятие 8. Обеспечение медико-социальной помощи отдельным категориям граждан</t>
  </si>
  <si>
    <t>0320800000</t>
  </si>
  <si>
    <t>Реализация мер социальной поддержки в части бесплатного изготовления и ремонта зубных протезов отдельным категориям граждан</t>
  </si>
  <si>
    <t>0320813400</t>
  </si>
  <si>
    <t>Реализация мер социальной поддержки в части бесплатного обеспечения слуховыми аппаратами отдельных категорий граждан</t>
  </si>
  <si>
    <t>0320813410</t>
  </si>
  <si>
    <t>Предоставление мер социальной поддержки больным туберкулезом</t>
  </si>
  <si>
    <t>0320813420</t>
  </si>
  <si>
    <t>Региональный проект "Финансовая поддержка семей при рождении детей"</t>
  </si>
  <si>
    <t>032P100000</t>
  </si>
  <si>
    <t>Ежемесячная денежная выплата, назначаемая в случае рождения третьего ребенка или последующих детей до достижения ребенком возраста трех лет</t>
  </si>
  <si>
    <t>032P150840</t>
  </si>
  <si>
    <t>Выполнение полномочий Российской Федерации по осуществлению ежемесячной выплаты в связи с рождением (усыновлением) первого ребенка</t>
  </si>
  <si>
    <t>032P155730</t>
  </si>
  <si>
    <t>032P1Д0840</t>
  </si>
  <si>
    <t>Региональный проект "Старшее поколение"</t>
  </si>
  <si>
    <t>032P300000</t>
  </si>
  <si>
    <t>Проведение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t>
  </si>
  <si>
    <t>032P354680</t>
  </si>
  <si>
    <t>Подпрограмма 3. "Оказание мер социальной поддержки детям-сиротам и детям, оставшимся без попечения родителей, лицам из их числа"</t>
  </si>
  <si>
    <t>0330000000</t>
  </si>
  <si>
    <t>Основное мероприятие 1. Социальная поддержка граждан, принявших на воспитание в семью детей-сирот и детей, оставшихся без попечения родителей</t>
  </si>
  <si>
    <t>0330100000</t>
  </si>
  <si>
    <t>0330100050</t>
  </si>
  <si>
    <t>Выплата регионального единовременного пособия при усыновлении (удочерении) ребенка, оставшегося без попечения родителей</t>
  </si>
  <si>
    <t>0330110260</t>
  </si>
  <si>
    <t>0330129990</t>
  </si>
  <si>
    <t>Выплата единовременного пособия при всех формах устройства детей, лишенных родительского попечения, в семью</t>
  </si>
  <si>
    <t>0330152600</t>
  </si>
  <si>
    <t>Субвенция на содержание ребенка в семье опекуна (попечителя) и приемной семье, а также вознаграждение, причитающееся приемному родителю</t>
  </si>
  <si>
    <t>0330175340</t>
  </si>
  <si>
    <t>Субвенция на реализацию Закона  Мурманской области "О наделении органов местного самоуправления муниципальных образований со статусом городского округа и муниципального района отдельными государственными полномочиями по опеке и попечительству в отношении несовершеннолетних"</t>
  </si>
  <si>
    <t>0330175520</t>
  </si>
  <si>
    <t>Основное мероприятие 2. Социальное обеспечение детей-сирот и детей, оставшихся без попечения родителей, лиц из их числа, проживающих в организациях, профилактика социального сиротства</t>
  </si>
  <si>
    <t>0330200000</t>
  </si>
  <si>
    <t>0330200050</t>
  </si>
  <si>
    <t>0330213240</t>
  </si>
  <si>
    <t>Субвенция на обеспечение выпускников муниципальных образовательных учреждений из числа детей-сирот и детей, оставшихся без попечения родителей, лиц из числа детей-сирот и детей, оставшихся без попечения родителей, за исключением лиц, продолжающих обучение по очной форме в образовательных учреждениях профессионального образования, одеждой, обувью, мягким инвентарем, оборудованием и единовременным денежным пособием</t>
  </si>
  <si>
    <t>0330275240</t>
  </si>
  <si>
    <t>Субвенция на реализацию Закона Мурманской области "О патронате" в части финансирования расходов по выплате денежного вознаграждения лицам, осуществляющим постинтернатный патронат в отношении несовершеннолетних и социальный патронат</t>
  </si>
  <si>
    <t>0330275350</t>
  </si>
  <si>
    <t>Основное мероприятие 3. Обеспечение детей-сирот и детей, оставшихся без попечения родителей, лиц из их числа жилыми помещениями специализированного жилищного фонда по договорам найма специализированных жилых помещений, в том числе на основании судебных решений об обеспечении граждан данной категории жилыми помещениями специализированного жилищного фонда по договорам найма специализированных жилых помещений</t>
  </si>
  <si>
    <t>0330300000</t>
  </si>
  <si>
    <t>Субвенция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</si>
  <si>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0330375570</t>
  </si>
  <si>
    <t>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</si>
  <si>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03303R0820</t>
  </si>
  <si>
    <t>Основное мероприятие 4. Предоставление дополнительных гарантий детям-сиротам и детям, оставшимся без попечения родителей, лицам из их числа, в части реализации жилищных прав</t>
  </si>
  <si>
    <t>0330400000</t>
  </si>
  <si>
    <t>Субвенция на предоставление мер социальной поддержки по оплате жилого помещения и коммунальных услуг детям-сиротам и детям, оставшимся без попечения родителей, лицам из числа детей-сирот и детей, оставшихся без попечения родителей</t>
  </si>
  <si>
    <t>0330475200</t>
  </si>
  <si>
    <t>Субвенция на организацию предоставления мер социальной поддержки по оплате жилого помещения и коммунальных услуг детям-сиротам и детям, оставшимся без попечения родителей, лицам из числа детей-сирот и детей, оставшихся без попечения родителей</t>
  </si>
  <si>
    <t>0330475210</t>
  </si>
  <si>
    <t>Субвенция на осуществление ремонта жилых помещений, собственниками которых являются дети-сироты и дети, оставшиеся без попечения родителей, лица из числа детей-сирот и детей, оставшихся без попечения родителей, либо текущего ремонта жилых помещений, право пользования которыми сохранено за детьми-сиротами и детьми, оставшимися без попечения родителей, лицами из числа детей-сирот и детей, оставшихся без попечения родителей</t>
  </si>
  <si>
    <t>0330475250</t>
  </si>
  <si>
    <t>Подпрограмма 5. "Обеспечение реализации государственной программы"</t>
  </si>
  <si>
    <t>0350000000</t>
  </si>
  <si>
    <t>Основное мероприятие 1. Нормативно-правовое регулирование и реализация государственной политики в сфере социального развития, функций по оказанию государственных услуг</t>
  </si>
  <si>
    <t>0350100000</t>
  </si>
  <si>
    <t>0350100010</t>
  </si>
  <si>
    <t>0350100030</t>
  </si>
  <si>
    <t>0350100050</t>
  </si>
  <si>
    <t>0350113060</t>
  </si>
  <si>
    <t>0350113070</t>
  </si>
  <si>
    <t>Основное мероприятие 2. Внедрение современных информационно-коммуникационных технологий</t>
  </si>
  <si>
    <t>0350200000</t>
  </si>
  <si>
    <t>0350200030</t>
  </si>
  <si>
    <t>0350220100</t>
  </si>
  <si>
    <t>Государственная программа "Развитие физической культуры и спорта"</t>
  </si>
  <si>
    <t>0400000000</t>
  </si>
  <si>
    <t>Подпрограмма 1. "Развитие массового спорта"</t>
  </si>
  <si>
    <t>0410000000</t>
  </si>
  <si>
    <t>Основное мероприятие 1. Обеспечение организации и проведения физкультурных мероприятий и массовых спортивных мероприятий</t>
  </si>
  <si>
    <t>0410100000</t>
  </si>
  <si>
    <t>0410129990</t>
  </si>
  <si>
    <t>Основное мероприятие 2. Реализация мероприятий по пропаганде здорового образа жизни и вовлечению населения в занятия физической культурой и массовым спортом</t>
  </si>
  <si>
    <t>0410200000</t>
  </si>
  <si>
    <t>0410200050</t>
  </si>
  <si>
    <t>Региональный проект "Спорт-норма жизни"</t>
  </si>
  <si>
    <t>041P500000</t>
  </si>
  <si>
    <t>041P500050</t>
  </si>
  <si>
    <t>041P529990</t>
  </si>
  <si>
    <t>041P552280</t>
  </si>
  <si>
    <t>Реализация мероприятий по развитию физической культуры и спорта в Российской Федерации</t>
  </si>
  <si>
    <t>041P554950</t>
  </si>
  <si>
    <t>Подпрограмма 2. "Подготовка спортивного резерва"</t>
  </si>
  <si>
    <t>0420000000</t>
  </si>
  <si>
    <t>Основное мероприятие 1. Проведение спортивных мероприятий, материально-техническое обеспечение спортивных сборных команд Мурманской области</t>
  </si>
  <si>
    <t>0420100000</t>
  </si>
  <si>
    <t>0420100050</t>
  </si>
  <si>
    <t>0420129990</t>
  </si>
  <si>
    <t>0420160030</t>
  </si>
  <si>
    <t>Основное мероприятие 2. Реализация программ спортивной подготовки в сфере физической культуры и спорта подведомственными учреждениями</t>
  </si>
  <si>
    <t>0420200000</t>
  </si>
  <si>
    <t>0420200050</t>
  </si>
  <si>
    <t>0420213060</t>
  </si>
  <si>
    <t>0420213070</t>
  </si>
  <si>
    <t>Основное мероприятие 3. Обеспечение спортивного резерва инвентарем и оборудованием</t>
  </si>
  <si>
    <t>0420300000</t>
  </si>
  <si>
    <t>0420300050</t>
  </si>
  <si>
    <t>042P500000</t>
  </si>
  <si>
    <t>042P500050</t>
  </si>
  <si>
    <t>Адресная финансовая поддержка спортивных организаций, осуществляющих подготовку спортивного резерва для сборных команд Российской Федерации</t>
  </si>
  <si>
    <t>042P550810</t>
  </si>
  <si>
    <t>Приобретение спортивного оборудования и инвентаря для приведения организаций спортивной подготовки в нормативное состояние</t>
  </si>
  <si>
    <t>042P552290</t>
  </si>
  <si>
    <t>Субсидия на оказание финансовой поддержки спортивным организациям, осуществляющим подготовку спортивного резерва для сборных команд Российской Федерации в соответствии с федеральными стандартами спортивной подготовки</t>
  </si>
  <si>
    <t>042P571170</t>
  </si>
  <si>
    <t>Подпрограмма 3. "Развитие спортивной инфраструктуры"</t>
  </si>
  <si>
    <t>0430000000</t>
  </si>
  <si>
    <t>Основное мероприятие 1. Строительство, реконструкция и модернизация спортивных объектов Мурманской области</t>
  </si>
  <si>
    <t>0430100000</t>
  </si>
  <si>
    <t>0430140010</t>
  </si>
  <si>
    <t>0430174000</t>
  </si>
  <si>
    <t>Софинансирование капитальных вложений в объекты государственной собственности субъектов Российской Федерации</t>
  </si>
  <si>
    <t>04301R1110</t>
  </si>
  <si>
    <t>Основное мероприятие 2. Проведение капитального и текущего ремонта, реализация мероприятий по энергоэффективности спортивных сооружений Мурманской области</t>
  </si>
  <si>
    <t>0430200000</t>
  </si>
  <si>
    <t>0430200050</t>
  </si>
  <si>
    <t>0430260040</t>
  </si>
  <si>
    <t>Субсидия на софинансирование капитального ремонта объектов, находящихся в муниципальной собственности</t>
  </si>
  <si>
    <t>0430270640</t>
  </si>
  <si>
    <t>043P500000</t>
  </si>
  <si>
    <t>043P529990</t>
  </si>
  <si>
    <t>043P554950</t>
  </si>
  <si>
    <t>043P570640</t>
  </si>
  <si>
    <t>043P574000</t>
  </si>
  <si>
    <t>0440000000</t>
  </si>
  <si>
    <t>Основное мероприятие 1. Обеспечение реализации государственных функций и оказание государственных услуг в сфере физической культуры и спорта</t>
  </si>
  <si>
    <t>0440100000</t>
  </si>
  <si>
    <t>0440100010</t>
  </si>
  <si>
    <t>0440100030</t>
  </si>
  <si>
    <t>0440113060</t>
  </si>
  <si>
    <t>Государственная программа "Развитие культуры и сохранение культурного наследия региона"</t>
  </si>
  <si>
    <t>0500000000</t>
  </si>
  <si>
    <t>Подпрограмма 1. "Наследие"</t>
  </si>
  <si>
    <t>0510000000</t>
  </si>
  <si>
    <t>Основное мероприятие 2. Развитие библиотечного дела Мурманской области</t>
  </si>
  <si>
    <t>0510200000</t>
  </si>
  <si>
    <t>0510200050</t>
  </si>
  <si>
    <t>Основное мероприятие 3. Укрепление материально-технической базы, ремонт и реконструкция библиотек Мурманской области</t>
  </si>
  <si>
    <t>0510300000</t>
  </si>
  <si>
    <t>0510300050</t>
  </si>
  <si>
    <t>0510340010</t>
  </si>
  <si>
    <t>Основное мероприятие 4. Развитие музейного дела Мурманской области</t>
  </si>
  <si>
    <t>0510400000</t>
  </si>
  <si>
    <t>0510400050</t>
  </si>
  <si>
    <t>0510413240</t>
  </si>
  <si>
    <t>Основное мероприятие 5. Укрепление материально-технической базы, ремонт и реконструкция музеев Мурманской области</t>
  </si>
  <si>
    <t>0510500000</t>
  </si>
  <si>
    <t>0510500050</t>
  </si>
  <si>
    <t>0510529990</t>
  </si>
  <si>
    <t>05105R1110</t>
  </si>
  <si>
    <t>Основное мероприятие 6. Организация хранения, комплектования, учета и использования архивных документов</t>
  </si>
  <si>
    <t>0510600000</t>
  </si>
  <si>
    <t>0510600050</t>
  </si>
  <si>
    <t>0510613060</t>
  </si>
  <si>
    <t>Подпрограмма 2. "Искусство"</t>
  </si>
  <si>
    <t>0520000000</t>
  </si>
  <si>
    <t>Основное мероприятие 1. Развитие профессионального искусства Мурманской области</t>
  </si>
  <si>
    <t>0520100000</t>
  </si>
  <si>
    <t>0520100050</t>
  </si>
  <si>
    <t>Поддержка творческой деятельности и техническое оснащение детских и кукольных театров</t>
  </si>
  <si>
    <t>05201R5170</t>
  </si>
  <si>
    <t>Основное мероприятие 2. Укрепление материально-технической базы, ремонт и реконструкция театрально-зрелищных организаций Мурманской области</t>
  </si>
  <si>
    <t>0520200000</t>
  </si>
  <si>
    <t>0520200050</t>
  </si>
  <si>
    <t>0520229990</t>
  </si>
  <si>
    <t>0520240010</t>
  </si>
  <si>
    <t>Основное мероприятие 3. Развитие творческого потенциала и организация досуга населения Мурманской области</t>
  </si>
  <si>
    <t>0520300000</t>
  </si>
  <si>
    <t>0520300050</t>
  </si>
  <si>
    <t>0520360040</t>
  </si>
  <si>
    <t>Основное мероприятие 4. Укрепление материально-технической базы, ремонт и реконструкция культурно-досуговых учреждений Мурманской области</t>
  </si>
  <si>
    <t>0520400000</t>
  </si>
  <si>
    <t>0520400050</t>
  </si>
  <si>
    <t>0520429990</t>
  </si>
  <si>
    <t>0520440010</t>
  </si>
  <si>
    <t>Субсидия на проведение ремонтных работ и укрепление материально-технической базы муниципальных учреждений культуры и образования в сфере культуры и искусства</t>
  </si>
  <si>
    <t>0520471060</t>
  </si>
  <si>
    <t>Региональный проект "Культурная среда"</t>
  </si>
  <si>
    <t>052A100000</t>
  </si>
  <si>
    <t>Реновация учреждений отрасли культуры</t>
  </si>
  <si>
    <t>052A154550</t>
  </si>
  <si>
    <t>Подпрограмма 3. "Обеспечение реализации государственной программы"</t>
  </si>
  <si>
    <t>0530000000</t>
  </si>
  <si>
    <t>Основное мероприятие 1. Обеспечение реализации государственных функций и оказания государственных услуг в сфере культуры</t>
  </si>
  <si>
    <t>0530100000</t>
  </si>
  <si>
    <t>0530100010</t>
  </si>
  <si>
    <t>0530100030</t>
  </si>
  <si>
    <t>0530113060</t>
  </si>
  <si>
    <t>0530129990</t>
  </si>
  <si>
    <t>Осуществление переданных органам государственной власти субъектов Российской Федерации в соответствии с пунктом 1 статьи 9.1 Федерального закона от 25 июня 2002 года  № 73-ФЗ "Об объектах культурного наследия (памятниках истории и культуры) народов Российской Федерации" полномочий Российской Федерации в отношении объектов культурного наследия</t>
  </si>
  <si>
    <t>0530159500</t>
  </si>
  <si>
    <t>0530160040</t>
  </si>
  <si>
    <t>Поддержка отрасли культуры</t>
  </si>
  <si>
    <t>05301R5190</t>
  </si>
  <si>
    <t>Основное мероприятие 3. Реализация государственного задания и прочих мероприятий учреждений, обеспечивающих предоставление услуг (выполнение работ) в сфере культуры и искусства</t>
  </si>
  <si>
    <t>0530300000</t>
  </si>
  <si>
    <t>0530300050</t>
  </si>
  <si>
    <t>Подпрограмма 4. "Поддержка мероприятий в сфере культуры муниципальных образований Мурманской области"</t>
  </si>
  <si>
    <t>0540000000</t>
  </si>
  <si>
    <t>Основное мероприятие 1. Укрепление материально-технической базы, ремонт и реконструкция учреждений культуры, искусства и образования в сфере культуры и искусства муниципальных образований Мурманской области</t>
  </si>
  <si>
    <t>0540100000</t>
  </si>
  <si>
    <t>0540170640</t>
  </si>
  <si>
    <t>0540171060</t>
  </si>
  <si>
    <t>Субсидия на модернизацию региональных и муниципальных школ искусств по видам искусств</t>
  </si>
  <si>
    <t>0540173060</t>
  </si>
  <si>
    <t>0540174000</t>
  </si>
  <si>
    <t>Софинансирования расходных обязательств субъектов Российской федерации, возникающих при реализации мероприятий по модернизации региональных и муниципальных детских школ искусств по видам искусств</t>
  </si>
  <si>
    <t>05401R3060</t>
  </si>
  <si>
    <t>Обеспечение развития и укрепления материально-технической базы муниципальных домов культуры</t>
  </si>
  <si>
    <t>05401R4670</t>
  </si>
  <si>
    <t>Основное мероприятие 2. Реализация мероприятий, направленных на увековечение памяти погибших при защите Отечества</t>
  </si>
  <si>
    <t>0540200000</t>
  </si>
  <si>
    <t>Обустройство и восстановление воинских захоронений, находящихся в государственной собственности</t>
  </si>
  <si>
    <t>05402R2990</t>
  </si>
  <si>
    <t>054A100000</t>
  </si>
  <si>
    <t>Создание модельных муниципальных библиотек</t>
  </si>
  <si>
    <t>054A154540</t>
  </si>
  <si>
    <t>Региональный проект "Цифровая культура"</t>
  </si>
  <si>
    <t>054A300000</t>
  </si>
  <si>
    <t>Создание виртуальных концертных залов</t>
  </si>
  <si>
    <t>054A354530</t>
  </si>
  <si>
    <t>Государственная программа "Управление развитием регионального рынка труда"</t>
  </si>
  <si>
    <t>0600000000</t>
  </si>
  <si>
    <t>Подпрограмма 1. "Содействие занятости населения Мурманской области"</t>
  </si>
  <si>
    <t>0610000000</t>
  </si>
  <si>
    <t>Основное мероприятие 1. Реализация мер активной политики занятости населения</t>
  </si>
  <si>
    <t>0610100000</t>
  </si>
  <si>
    <t>0610100050</t>
  </si>
  <si>
    <t>0610113060</t>
  </si>
  <si>
    <t>Социальные выплаты безработным гражданам в соответствии с Законом Российской Федерации от 19 апреля 1991 года № 1032-1 "О занятости населения в Российской Федерации"</t>
  </si>
  <si>
    <t>0610152900</t>
  </si>
  <si>
    <t>Cоциальные выплаты безработным гражданам в соответствии с Законом Российской Федерации от 19 апреля 1991 года № 1032-I "О занятости населения в Российской Федерации" за счет средств резервного фонда Правительства Российской Федерации</t>
  </si>
  <si>
    <t>061015290F</t>
  </si>
  <si>
    <t>0610160040</t>
  </si>
  <si>
    <t>Региональный проект "Содействие занятости женщин – создание условий дошкольного образования для детей в возрасте до трех лет"</t>
  </si>
  <si>
    <t>061P200000</t>
  </si>
  <si>
    <t>Переобучение и повышение квалификации женщин в период отпуска по уходу за ребенком в возрасте до трех лет</t>
  </si>
  <si>
    <t>061P254610</t>
  </si>
  <si>
    <t>Подпрограмма 2. "Оказание содействия добровольному переселению в Мурманскую область соотечественников, проживающих за рубежом"</t>
  </si>
  <si>
    <t>0620000000</t>
  </si>
  <si>
    <t>Основное мероприятие 1. Содействие в приeме и обустройстве на территории вселения соотечественников, переселившихся в Мурманскую область</t>
  </si>
  <si>
    <t>0620100000</t>
  </si>
  <si>
    <t>0620100050</t>
  </si>
  <si>
    <t>Реализация мероприятий по оказанию содействия добровольному переселению в Российскую Федерацию соотечественников, проживающих за рубежом</t>
  </si>
  <si>
    <t>06201R0860</t>
  </si>
  <si>
    <t>Подпрограмма 3. "Обеспечение реализации Государственной программы"</t>
  </si>
  <si>
    <t>0630000000</t>
  </si>
  <si>
    <t>Основное мероприятие 1. Осуществление функций по реализации государственной политики в сфере социально–трудовых отношений и занятости населения</t>
  </si>
  <si>
    <t>0630100000</t>
  </si>
  <si>
    <t>0630100010</t>
  </si>
  <si>
    <t>0630100030</t>
  </si>
  <si>
    <t>0630113060</t>
  </si>
  <si>
    <t>0630120080</t>
  </si>
  <si>
    <t>0630152900</t>
  </si>
  <si>
    <t>Подпрограмма 4. "Улучшение условий и охраны труда в Мурманской области"</t>
  </si>
  <si>
    <t>0640000000</t>
  </si>
  <si>
    <t>Основное мероприятие 3. Содействие повышению качества обучения и эффективности работы аккредитованных организаций, проводящих обучение и проверку знаний требований охраны труда руководителей и специалистов</t>
  </si>
  <si>
    <t>0640300000</t>
  </si>
  <si>
    <t>0640320080</t>
  </si>
  <si>
    <t>Основное мероприятие 5. Проведение мероприятий, посвященных пропаганде обеспечения безопасных условий трудовой деятельности и охраны труда</t>
  </si>
  <si>
    <t>0640500000</t>
  </si>
  <si>
    <t>Мероприятия по охране труда в Мурманской области</t>
  </si>
  <si>
    <t>0640520050</t>
  </si>
  <si>
    <t>Подпрограмма 7. "Организация мероприятий по профессиональному обучению и дополнительному профессиональному образованию лиц предпенсионного возраста"</t>
  </si>
  <si>
    <t>0670000000</t>
  </si>
  <si>
    <t>067P300000</t>
  </si>
  <si>
    <t>Организация профессионального обучения и дополнительного профессионального образования лиц предпенсионного возраста</t>
  </si>
  <si>
    <t>067P352940</t>
  </si>
  <si>
    <t>Государственная программа "Обеспечение комфортной среды проживания населения региона"</t>
  </si>
  <si>
    <t>0700000000</t>
  </si>
  <si>
    <t>Подпрограмма 1. "Обеспечение доступным и комфортным жильем и жилищно-коммунальными услугами граждан Мурманской области"</t>
  </si>
  <si>
    <t>0710000000</t>
  </si>
  <si>
    <t>Основное мероприятие 1. Вовлечение в оборот и развитие инфраструктуры земельных участков, предназначенных для жилищного строительства</t>
  </si>
  <si>
    <t>0710100000</t>
  </si>
  <si>
    <t>Субсидии на планировку территорий, формирование (образование) земельных участков, предоставленных на безвозмездной основе многодетным семьям, и обеспечение их объектами коммунальной и дорожной инфраструктуры</t>
  </si>
  <si>
    <t>0710170960</t>
  </si>
  <si>
    <t>Субсидии для предоставления социальных выплат многодетным семьям для строительства жилья на предоставленных на безвозмездной основе земельных участках</t>
  </si>
  <si>
    <t>0710171000</t>
  </si>
  <si>
    <t>Основное мероприятие 2. Создание условий для жилищного строительства</t>
  </si>
  <si>
    <t>0710200000</t>
  </si>
  <si>
    <t>0710229990</t>
  </si>
  <si>
    <t>Министерство градостроительства и благоустройства Мурманской области</t>
  </si>
  <si>
    <t>814</t>
  </si>
  <si>
    <t>0710240010</t>
  </si>
  <si>
    <t>Субсидия автономной некоммерческой организации "Фонд содействия жилищному строительству"</t>
  </si>
  <si>
    <t>0710260390</t>
  </si>
  <si>
    <t>Основное мероприятие 3. Содействие внедрению новых современных технологий в жилищное строительство и производство строительных материалов используемых в жилищном строительстве</t>
  </si>
  <si>
    <t>0710300000</t>
  </si>
  <si>
    <t>0710329990</t>
  </si>
  <si>
    <t>Основное мероприятие 4. Развитие систем водоснабжения и водоотведения</t>
  </si>
  <si>
    <t>0710400000</t>
  </si>
  <si>
    <t>0710440010</t>
  </si>
  <si>
    <t>Основное мероприятие 5. Переселение граждан из аварийного жилищного фонда</t>
  </si>
  <si>
    <t>0710500000</t>
  </si>
  <si>
    <t>Субсидия на устранение строительных недоделок, снижающих качество   жилых домов, построенных для переселения граждан из аварийного жилищного фонда</t>
  </si>
  <si>
    <t>0710571130</t>
  </si>
  <si>
    <t>Субсидия на ремонт пустующих жилых помещений муниципального жилищного фонда, для переселения граждан в рамках программы переселения из аварийного жилищного фонда</t>
  </si>
  <si>
    <t>0710571150</t>
  </si>
  <si>
    <t>Создание комфортных условий проживания коренных малочисленных народов Севера</t>
  </si>
  <si>
    <t>0710571180</t>
  </si>
  <si>
    <t>Субсидии муниципальным образованиям на снос аварийных расселеных  жилых домов</t>
  </si>
  <si>
    <t>0710571220</t>
  </si>
  <si>
    <t>Субсидия бюджетам муниципальных образований на софинансирование мероприятий по приобретению жилых помещений у застройщика в домах, введенных в эксплуатацию для переселения граждан  из многоквартирных домов, признанных аварийными и подлежащими сносу или реконструкции в разные годы, расположенные в границах одного элемента планировочной структуры (квартала, микрорайона) или смежных элементов планировочной структуры, переселение граждан из которых осуществляется без учёта первоочередного порядка переселения, за исключением многоквартирных домов, расселение которых предусмотрено региональной адресной программой "Переселение граждан из аварийного жилищного фонда в Мурманской области на 2019-2025 годы"</t>
  </si>
  <si>
    <t>0710571230</t>
  </si>
  <si>
    <t>Основное мероприятие 6. Оказание мер государственной поддержки по обеспечению жильем отдельных категорий граждан, установленных федеральным и региональным законодательством</t>
  </si>
  <si>
    <t>0710600000</t>
  </si>
  <si>
    <t>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t>
  </si>
  <si>
    <t>0710651350</t>
  </si>
  <si>
    <t>Осуществление полномочий по обеспечению жильем отдельных категорий граждан, установленных Федеральным законом от 24 ноября 1995 года № 181-ФЗ "О социальной защите инвалидов в Российской Федерации"</t>
  </si>
  <si>
    <t>0710651760</t>
  </si>
  <si>
    <t>Субвенция на осуществление государственных полномочий по предоставлению единовременной денежной выплаты многодетным семьям на улучшение жилищных условий</t>
  </si>
  <si>
    <t>0710675620</t>
  </si>
  <si>
    <t>Основное мероприятие 7. Предоставление государственной поддержки на приобретение жилья молодым семьям</t>
  </si>
  <si>
    <t>0710700000</t>
  </si>
  <si>
    <t>0710729990</t>
  </si>
  <si>
    <t>Реализация мероприятий по обеспечению жильем молодых семей</t>
  </si>
  <si>
    <t>07107R4970</t>
  </si>
  <si>
    <t>Основное мероприятие 9. Обеспечение реализации региональной программы капитального ремонта общего имущества в многоквартирных домах, расположенных на территории Мурманской области</t>
  </si>
  <si>
    <t>0710900000</t>
  </si>
  <si>
    <t>Имущественный взнос на обеспечение осуществления деятельности специализированной некоммерческой организации "Фонд капитального ремонта общего имущества в многоквартирных домах в Мурманской области"</t>
  </si>
  <si>
    <t>0710960240</t>
  </si>
  <si>
    <t>Субсидии некоммерческой организации "Фонд капитального ремонта общего имущества в многоквартирных домах в Мурманской области</t>
  </si>
  <si>
    <t>0710960400</t>
  </si>
  <si>
    <t>Субсидия  на софинансирование расходных обязательств муниципальных образований на оплату взносов на капитальный ремонт за муниципальный жилой фонд</t>
  </si>
  <si>
    <t>0710970850</t>
  </si>
  <si>
    <t>Региональный проект "Жилье"</t>
  </si>
  <si>
    <t>071F100000</t>
  </si>
  <si>
    <t>071F170960</t>
  </si>
  <si>
    <t>Региональный проект "Обеспечение устойчивого сокращения непригодного для проживания жилищного фонда"</t>
  </si>
  <si>
    <t>071F300000</t>
  </si>
  <si>
    <t>Обеспечение мероприятий по переселению граждан из аварийного жилищного фонда, в том числе переселению граждан из аварийного фонда с учетом необходимости развития малоэтажного жилищного строительства (за счет средств государственной корпорации - Фонд содействия реформированию жилищно-коммунального хозяйства)</t>
  </si>
  <si>
    <t>071F367483</t>
  </si>
  <si>
    <t>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t>
  </si>
  <si>
    <t>071F367484</t>
  </si>
  <si>
    <t>Региональный проект "Чистая вода"</t>
  </si>
  <si>
    <t>071G500000</t>
  </si>
  <si>
    <t>Строительство и реконструкция (модернизация) объектов питьевого водоснабжения</t>
  </si>
  <si>
    <t>071G552430</t>
  </si>
  <si>
    <t>Подпрограмма 2. "Обеспечение комплексного благоустройства территорий муниципальных образований Мурманской области"</t>
  </si>
  <si>
    <t>0720000000</t>
  </si>
  <si>
    <t>Основное мероприятие 1. Обустройство объектов внешнего благоустройства</t>
  </si>
  <si>
    <t>0720100000</t>
  </si>
  <si>
    <t>0720174000</t>
  </si>
  <si>
    <t>Основное мероприятие 3. Финансовое обеспечение исполнения городом Мурманском функций областного центра субъекта Российской Федерации - Мурманской области</t>
  </si>
  <si>
    <t>0720300000</t>
  </si>
  <si>
    <t>Субсидия бюджету муниципального образования г. Мурманск на осуществление городом Мурманском функций административного центра области</t>
  </si>
  <si>
    <t>0720370580</t>
  </si>
  <si>
    <t>Министерство транспорта и дорожного хозяйства Мурманской области</t>
  </si>
  <si>
    <t>806</t>
  </si>
  <si>
    <t>Подпрограмма 3. "Обеспечение выполнения государственных функций и оказания государственных услуг в строительстве, градостроительной и жилищной сферах, энергетики, энергосбережения и повышения энергетической эффективности, жилищных отношений и жилищно-коммунального хозяйства"</t>
  </si>
  <si>
    <t>0730000000</t>
  </si>
  <si>
    <t>Основное мероприятие 1. Обеспечение реализации государственных функций и оказания государственных услуг в строительстве, градостроительной и жилищной сферах</t>
  </si>
  <si>
    <t>0730100000</t>
  </si>
  <si>
    <t>0730100010</t>
  </si>
  <si>
    <t>0730100030</t>
  </si>
  <si>
    <t>0730100050</t>
  </si>
  <si>
    <t>0730113060</t>
  </si>
  <si>
    <t>0730120080</t>
  </si>
  <si>
    <t>Основное мероприятие 2. Обеспечение реализации государственных функций в сферах энергетики, энергосбережения и повышения энергетической эффективности, жилищных отношений и жилищно-коммунального хозяйства Мурманской области</t>
  </si>
  <si>
    <t>0730200000</t>
  </si>
  <si>
    <t>0730200010</t>
  </si>
  <si>
    <t>Министерство энергетики и жилищно-коммунального хозяйства Мурманской области</t>
  </si>
  <si>
    <t>813</t>
  </si>
  <si>
    <t>0730200030</t>
  </si>
  <si>
    <t>0730200050</t>
  </si>
  <si>
    <t>0730213060</t>
  </si>
  <si>
    <t>Подпрограмма 4. "Обеспечение осуществления государственного контроля (надзора) в жилищно-коммунальной сфере"</t>
  </si>
  <si>
    <t>0740000000</t>
  </si>
  <si>
    <t>Основное мероприятие 1. Организация и проведение проверок соблюдения органами государственной власти, органами местного самоуправления, а также юридическими лицами, индивидуальными предпринимателями и гражданами обязательных требований установленных жилищным законодательством, законодательством об энергосбережении и о повышении энергетической эффективности</t>
  </si>
  <si>
    <t>0740100000</t>
  </si>
  <si>
    <t>0740100010</t>
  </si>
  <si>
    <t>Государственная жилищная инспекция Мурманской области</t>
  </si>
  <si>
    <t>860</t>
  </si>
  <si>
    <t>0740100030</t>
  </si>
  <si>
    <t>0740113060</t>
  </si>
  <si>
    <t>Подпрограмма 5. "Обеспечение устойчивой деятельности топливно-энергетического комплекса Мурманской области и повышения энергетической эффективности"</t>
  </si>
  <si>
    <t>0750000000</t>
  </si>
  <si>
    <t>Основное мероприятие 1. Выполнение работ по разработке документов (программа комплексного развития систем коммунальной инфраструктуры муниципальных образований, схем), обеспечивающих строительство, реконструкцию объектов топливно-энергетического комплекса</t>
  </si>
  <si>
    <t>0750100000</t>
  </si>
  <si>
    <t>0750129990</t>
  </si>
  <si>
    <t>Основное мероприятие 2. Модернизация объектов теплоснабжения, электроснабжения</t>
  </si>
  <si>
    <t>0750200000</t>
  </si>
  <si>
    <t>0750274000</t>
  </si>
  <si>
    <t>Основное мероприятие 3. Компенсация недополученных доходов ресурсоснабжающим организациям</t>
  </si>
  <si>
    <t>0750300000</t>
  </si>
  <si>
    <t>Возмещение затрат (недополученных доходов) гарантирующим поставщикам электрической энергии, действующим на изолированных территориях и предоставляющим услугу электроснабжения</t>
  </si>
  <si>
    <t>0750360190</t>
  </si>
  <si>
    <t>Возмещение затрат (недополученных доходов) газоснабжающим организациям, поставляющим сжиженный газ для обеспечения коммунально-бытовых нужд населения по утвержденным розничным ценам</t>
  </si>
  <si>
    <t>0750360200</t>
  </si>
  <si>
    <t>Финансовое обеспечение затрат организациям в связи с производством (реализацией) тепловой энергии потребителям по регулируемым тарифам на территории Мурманской области</t>
  </si>
  <si>
    <t>0750360220</t>
  </si>
  <si>
    <t>Возмещение затрат (недополученных доходов) организациям, осуществляющим водоснабжение, водоотведение по установленным для населения тарифам</t>
  </si>
  <si>
    <t>0750360270</t>
  </si>
  <si>
    <t>Основное мероприятие 4. Обеспечение бесперебойного функционирования и повышения энергетической эффективности объектов и систем жизнеобеспечения муниципальных образований Мурманской области</t>
  </si>
  <si>
    <t>0750400000</t>
  </si>
  <si>
    <t>Субсидия на оказание государственной финансовой поддержки доставки нефтепродуктов и топлива в районы Мурманской области с ограниченными сроками завоза грузов</t>
  </si>
  <si>
    <t>0750470720</t>
  </si>
  <si>
    <t>Субсидия бюджетам муниципальных образований на подготовку к отопительному периоду</t>
  </si>
  <si>
    <t>0750470760</t>
  </si>
  <si>
    <t>Субсидии бюджетам муниципальных образований, предоставляемые в 2020 году в целях обеспечения надежности систем теплоснабжения</t>
  </si>
  <si>
    <t>0750471240</t>
  </si>
  <si>
    <t>Государственная программа "Обеспечение общественного порядка и безопасности населения региона"</t>
  </si>
  <si>
    <t>0800000000</t>
  </si>
  <si>
    <t>Подпрограмма 1. "Профилактика правонарушений"</t>
  </si>
  <si>
    <t>0810000000</t>
  </si>
  <si>
    <t>Основное мероприятие 1. Повышение уровня правовой культуры и информированности населения</t>
  </si>
  <si>
    <t>0810100000</t>
  </si>
  <si>
    <t>0810100050</t>
  </si>
  <si>
    <t>0810129990</t>
  </si>
  <si>
    <t>Основное мероприятие 2. Выявление и устранение причин и условий, способствующих безнадзорности, правонарушениям и антиобщественным действиям несовершеннолетних</t>
  </si>
  <si>
    <t>0810200000</t>
  </si>
  <si>
    <t>Субвенция на реализацию Закона Мурманской области "О комиссиях по делам несовершеннолетних и защите их прав в Мурманской области"</t>
  </si>
  <si>
    <t>0810275560</t>
  </si>
  <si>
    <t>Основное мероприятие 3. Разработка плана создания (развития) и создание аппаратно-программного комплекса «Безопасный город» на территории Мурманской области</t>
  </si>
  <si>
    <t>0810300000</t>
  </si>
  <si>
    <t>0810329990</t>
  </si>
  <si>
    <t>Основное мероприятие 5. Проведение комплекса мероприятий в области профилактики экстремизма и терроризма по выявлению и устранению факторов, способствующих распространению идеологии экстремизма и терроризма</t>
  </si>
  <si>
    <t>0810500000</t>
  </si>
  <si>
    <t>0810500050</t>
  </si>
  <si>
    <t>0810529990</t>
  </si>
  <si>
    <t>Министерство информационной политики Мурманской области</t>
  </si>
  <si>
    <t>817</t>
  </si>
  <si>
    <t>Основное мероприятие 6. Проведение комплекса мероприятий по содействию деятельности народных дружин, действующих на территории Мурманской области</t>
  </si>
  <si>
    <t>0810600000</t>
  </si>
  <si>
    <t>0810629990</t>
  </si>
  <si>
    <t>Подпрограмма 2. "Обеспечение пожарной безопасности"</t>
  </si>
  <si>
    <t>0820000000</t>
  </si>
  <si>
    <t>Основное мероприятие 1. Модернизация материально-технической базы подразделений Государственной противопожарной службы Мурманской области</t>
  </si>
  <si>
    <t>0820100000</t>
  </si>
  <si>
    <t>0820100050</t>
  </si>
  <si>
    <t>0820140010</t>
  </si>
  <si>
    <t>Основное мероприятие 2. Обеспечение реализации функций в области пожарной безопасности</t>
  </si>
  <si>
    <t>0820200000</t>
  </si>
  <si>
    <t>0820200050</t>
  </si>
  <si>
    <t>0820213060</t>
  </si>
  <si>
    <t>0820213070</t>
  </si>
  <si>
    <t>0820220080</t>
  </si>
  <si>
    <t>Основное мероприятие 3. Повышение качества рабочих мест и условий труда в подразделениях Государственной противопожарной службы Мурманской области</t>
  </si>
  <si>
    <t>0820300000</t>
  </si>
  <si>
    <t>0820300050</t>
  </si>
  <si>
    <t>Основное мероприятие 4. Реализация комплекса мероприятий, направленных на обеспечение охраны труда в подразделениях Государственной противопожарной службы Мурманской области</t>
  </si>
  <si>
    <t>0820400000</t>
  </si>
  <si>
    <t>0820400050</t>
  </si>
  <si>
    <t>0820420080</t>
  </si>
  <si>
    <t>Основное мероприятие 5. Совершенствование добровольной пожарной охраны</t>
  </si>
  <si>
    <t>0820500000</t>
  </si>
  <si>
    <t>0820529990</t>
  </si>
  <si>
    <t>Подпрограмма 3. "Обеспечение защиты населения и территорий от чрезвычайных ситуаций"</t>
  </si>
  <si>
    <t>0830000000</t>
  </si>
  <si>
    <t>Основное мероприятие 1. Поддержание в необходимой готовности сил и средств реагирования на угрозы возникновения чрезвычайных ситуаций</t>
  </si>
  <si>
    <t>0830100000</t>
  </si>
  <si>
    <t>0830100050</t>
  </si>
  <si>
    <t>0830120080</t>
  </si>
  <si>
    <t>Основное мероприятие 2. Обеспечение реализации функций в области гражданской обороны, предупреждения и ликвидации ЧС</t>
  </si>
  <si>
    <t>0830200000</t>
  </si>
  <si>
    <t>0830200050</t>
  </si>
  <si>
    <t>0830213060</t>
  </si>
  <si>
    <t>0830220080</t>
  </si>
  <si>
    <t>Основное мероприятие 3. Обеспечение информирования и оповещения населения об опасностях</t>
  </si>
  <si>
    <t>0830300000</t>
  </si>
  <si>
    <t>0830300050</t>
  </si>
  <si>
    <t>Основное мероприятие 4. Развитие системы мониторинга и прогнозирования чрезвычайных ситуаций природного и техногенного характера</t>
  </si>
  <si>
    <t>0830400000</t>
  </si>
  <si>
    <t>0830400050</t>
  </si>
  <si>
    <t>0830420080</t>
  </si>
  <si>
    <t>0840000000</t>
  </si>
  <si>
    <t>Основное мероприятие 1. Обеспечение реализации государственных функций в сфере обеспечения общественного порядка и безопасности населения региона</t>
  </si>
  <si>
    <t>0840100000</t>
  </si>
  <si>
    <t>0840100010</t>
  </si>
  <si>
    <t>0840100030</t>
  </si>
  <si>
    <t>0840113060</t>
  </si>
  <si>
    <t>0840120080</t>
  </si>
  <si>
    <t>0840129990</t>
  </si>
  <si>
    <t>Государственная программа "Охрана окружающей среды и воспроизводство природных ресурсов"</t>
  </si>
  <si>
    <t>0900000000</t>
  </si>
  <si>
    <t>Подпрограмма 1. "Обеспечение экологической безопасности"</t>
  </si>
  <si>
    <t>0910000000</t>
  </si>
  <si>
    <t>Основное мероприятие 1. Мониторинг атмосферного воздуха</t>
  </si>
  <si>
    <t>0910100000</t>
  </si>
  <si>
    <t>0910129990</t>
  </si>
  <si>
    <t>Министерство природных ресурсов и экологии Мурманской области</t>
  </si>
  <si>
    <t>811</t>
  </si>
  <si>
    <t>Основное мероприятие 2. Сохранение и развитие сети особо охраняемых природных территорий Мурманской области</t>
  </si>
  <si>
    <t>0910200000</t>
  </si>
  <si>
    <t>0910229990</t>
  </si>
  <si>
    <t>Основное мероприятие 3. Ведение Красной книги Мурманской области</t>
  </si>
  <si>
    <t>0910300000</t>
  </si>
  <si>
    <t>0910329990</t>
  </si>
  <si>
    <t>Основное мероприятие 4. Экологическое образование, воспитание, просвещение населения Мурманской области</t>
  </si>
  <si>
    <t>0910400000</t>
  </si>
  <si>
    <t>0910400050</t>
  </si>
  <si>
    <t>0910429990</t>
  </si>
  <si>
    <t>Подпрограмма 2. "Охрана, защита и воспроизводство лесов"</t>
  </si>
  <si>
    <t>0920000000</t>
  </si>
  <si>
    <t>Основное мероприятие 1. Обеспечение охраны лесов от пожаров</t>
  </si>
  <si>
    <t>0920100000</t>
  </si>
  <si>
    <t>Финансовое обеспечение осуществления полномочий Российской Федерации, переданных органам государственной власти субъектов Российской Федерации, осуществляемые дополнительно за счет средств областного бюджета</t>
  </si>
  <si>
    <t>0920100040</t>
  </si>
  <si>
    <t>0920100050</t>
  </si>
  <si>
    <t>0920113060</t>
  </si>
  <si>
    <t>Осуществление отдельных полномочий в области лесных отношений</t>
  </si>
  <si>
    <t>0920151290</t>
  </si>
  <si>
    <t>Основное мероприятие 2. Обеспечение защиты лесов от вредителей и болезней леса</t>
  </si>
  <si>
    <t>0920200000</t>
  </si>
  <si>
    <t>0920251290</t>
  </si>
  <si>
    <t>Основное мероприятие 3. Обеспечение воспроизводства лесов</t>
  </si>
  <si>
    <t>0920300000</t>
  </si>
  <si>
    <t>0920329990</t>
  </si>
  <si>
    <t>Основное мероприятие 4. Организация использования лесов, лесное планирование и регламентирование</t>
  </si>
  <si>
    <t>0920400000</t>
  </si>
  <si>
    <t>0920451290</t>
  </si>
  <si>
    <t>Региональный проект "Сохранение лесов"</t>
  </si>
  <si>
    <t>092GА00000</t>
  </si>
  <si>
    <t>Увеличение площади лесовосстановления</t>
  </si>
  <si>
    <t>092GА54290</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</si>
  <si>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</si>
  <si>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092GА54300</t>
  </si>
  <si>
    <t>Формирование запаса лесных семян для лесовосстановления</t>
  </si>
  <si>
    <t>092GА54310</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</si>
  <si>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</si>
  <si>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092GА54320</t>
  </si>
  <si>
    <t>Подпрограмма 3. "Охрана и рациональное использование природных ресурсов"</t>
  </si>
  <si>
    <t>0930000000</t>
  </si>
  <si>
    <t>Основное мероприятие 1. Экологическая реабилитация водных объектов</t>
  </si>
  <si>
    <t>0930100000</t>
  </si>
  <si>
    <t>Осуществление отдельных полномочий в области водных отношений</t>
  </si>
  <si>
    <t>0930151280</t>
  </si>
  <si>
    <t>Основное мероприятие 2. Предупреждение загрязнения и засорения водных объектов</t>
  </si>
  <si>
    <t>0930200000</t>
  </si>
  <si>
    <t>0930251280</t>
  </si>
  <si>
    <t>Основное мероприятие 4. Участие в системе наблюдений, оценки и прогноза изменений состояния водных объектов</t>
  </si>
  <si>
    <t>0930400000</t>
  </si>
  <si>
    <t>0930429990</t>
  </si>
  <si>
    <t>Основное мероприятие 7. Обеспечение учета состояния минерально-сырьевой базы общераспространенных полезных ископаемых</t>
  </si>
  <si>
    <t>0930700000</t>
  </si>
  <si>
    <t>0930729990</t>
  </si>
  <si>
    <t>0940000000</t>
  </si>
  <si>
    <t>Основное мероприятие 1. Обеспечение реализации государственных функций и предоставления государственных услуг в сферах охраны окружающей среды, воспроизводства и использования природных ресурсов</t>
  </si>
  <si>
    <t>0940100000</t>
  </si>
  <si>
    <t>0940100010</t>
  </si>
  <si>
    <t>0940100030</t>
  </si>
  <si>
    <t>0940100050</t>
  </si>
  <si>
    <t>0940113060</t>
  </si>
  <si>
    <t>0940151290</t>
  </si>
  <si>
    <t>Осуществление переданных органам государственной власти субъектов Российской Федерации в соответствии с частью 1 статьи 33 Федерального закона от 24 июля 2009 года № 209-ФЗ "Об охоте и о сохранении охотничьих ресурсов и о внесении изменений в отдельные законодательные акты Российской Федерации" полномочий Российской Федерации в области охраны и использования охотничьих ресурсов</t>
  </si>
  <si>
    <t>0940159700</t>
  </si>
  <si>
    <t>Подпрограмма 5. "Обращение с отходами"</t>
  </si>
  <si>
    <t>0950000000</t>
  </si>
  <si>
    <t>Основное мероприятие 1. Инвентаризация накопленного экологического ущерба</t>
  </si>
  <si>
    <t>0950100000</t>
  </si>
  <si>
    <t>0950129990</t>
  </si>
  <si>
    <t>Основное мероприятие 2. Ликвидация накопленного экологического ущерба в результате прошлой хозяйственной деятельности</t>
  </si>
  <si>
    <t>0950200000</t>
  </si>
  <si>
    <t>Субсидия на реализацию мероприятий, направленных на ликвидацию накопленного экологического ущерба</t>
  </si>
  <si>
    <t>0950270810</t>
  </si>
  <si>
    <t>Основное мероприятие 4. Организация деятельности по обращению с отходами, в том числе твердыми коммунальными отходами</t>
  </si>
  <si>
    <t>0950400000</t>
  </si>
  <si>
    <t>0950429990</t>
  </si>
  <si>
    <t>Региональный проект "Чистая страна"</t>
  </si>
  <si>
    <t>095G100000</t>
  </si>
  <si>
    <t>Ликвидация несанкционированных свалок в границах городов и наиболее опасных объектов накопленного экологического вреда окружающей среде</t>
  </si>
  <si>
    <t>095G152420</t>
  </si>
  <si>
    <t>Подпрограмма 6. "Охрана и рациональное использование животного мира и развитие охотничьего хозяйства"</t>
  </si>
  <si>
    <t>0960000000</t>
  </si>
  <si>
    <t>Основное мероприятие 1. Организация рационального использования охотничьих угодий и охотничьих ресурсов</t>
  </si>
  <si>
    <t>0960100000</t>
  </si>
  <si>
    <t>0960129990</t>
  </si>
  <si>
    <t>Осуществление переданных органам государственной власти субъектов Российской Федерации в соответствии с частью первой статьи 6 Федерального закона "О животном мире" полномочий Российской Федерации в области охраны и использования объектов животного мира (за исключением охотничьих ресурсов и водных биологических ресурсов)</t>
  </si>
  <si>
    <t>0960159200</t>
  </si>
  <si>
    <t>Основное мероприятие 2. Обеспечение соблюдения установленных требований законодательства в сфере охоты и сохранения охотничьих ресурсов</t>
  </si>
  <si>
    <t>0960200000</t>
  </si>
  <si>
    <t>0960229990</t>
  </si>
  <si>
    <t>0960259700</t>
  </si>
  <si>
    <t>Государственная программа "Развитие рыбного и сельского хозяйства, регулирование рынков сельскохозяйственной продукции, сырья и продовольствия"</t>
  </si>
  <si>
    <t>1000000000</t>
  </si>
  <si>
    <t>Подпрограмма 1. "Развитие агропромышленного комплекса"</t>
  </si>
  <si>
    <t>1010000000</t>
  </si>
  <si>
    <t>Основное мероприятие 1. Модернизация производства в агропромышленном комплексе</t>
  </si>
  <si>
    <t>1010100000</t>
  </si>
  <si>
    <t>Субсидия производителям пищевой промышленности, осуществляющим производство "социального хлеба", в том числе в отдаленных районах, на создание, обновление и реконструкцию основных фондов</t>
  </si>
  <si>
    <t>1010160310</t>
  </si>
  <si>
    <t>Министерство инвестиций, развития предпринимательства и рыбного хозяйства Мурманской области</t>
  </si>
  <si>
    <t>833</t>
  </si>
  <si>
    <t>Субсидия предприятиям агропромышленного комплекса на техническую и технологическую модернизацию</t>
  </si>
  <si>
    <t>1010160320</t>
  </si>
  <si>
    <t>Основное мероприятие 2. Развитие растениеводства (кормопроизводства)</t>
  </si>
  <si>
    <t>1010200000</t>
  </si>
  <si>
    <t>Поддержка сельскохозяйственного производства по отдельным подотраслям растениеводства и животноводства</t>
  </si>
  <si>
    <t>10102R5080</t>
  </si>
  <si>
    <t>Основное мероприятие 3. Развитие животноводства, переработки и реализации продукции животноводства</t>
  </si>
  <si>
    <t>1010300000</t>
  </si>
  <si>
    <t>Субсидии на реализацию мероприятий в области животноводства за счет средств областного бюджета</t>
  </si>
  <si>
    <t>1010360360</t>
  </si>
  <si>
    <t>Субсидия на оказание финансовой помощи государственным областным унитарным предприятиям Мурманской области в целях предупреждения банкротства и восстановления платежеспособности</t>
  </si>
  <si>
    <t>1010360410</t>
  </si>
  <si>
    <t>Стимулирование развития приоритетных подотраслей агропромышленного комплекса и развитие малых форм хозяйствования</t>
  </si>
  <si>
    <t>10103R5020</t>
  </si>
  <si>
    <t>10103R5080</t>
  </si>
  <si>
    <t>Основное мероприятие 4. Поддержка малых форм хозяйствования</t>
  </si>
  <si>
    <t>1010400000</t>
  </si>
  <si>
    <t>Субсидии на поддержку малых форм хозяйствования</t>
  </si>
  <si>
    <t>1010460500</t>
  </si>
  <si>
    <t>10104R5020</t>
  </si>
  <si>
    <t>Региональный проект "Создание системы поддержки фермеров и развитие сельской кооперации"</t>
  </si>
  <si>
    <t>101I700000</t>
  </si>
  <si>
    <t>Создание системы поддержки фермеров и развитие сельской кооперации</t>
  </si>
  <si>
    <t>101I754800</t>
  </si>
  <si>
    <t>Субсидия автономной некоммерческой организации "Центр компетенций в сфере сельскохозяйственной кооперации и поддержки фермеров Мурманской области"</t>
  </si>
  <si>
    <t>101I760580</t>
  </si>
  <si>
    <t>Подпрограмма 2. "Комплексное развитие сельских территорий Мурманской области"</t>
  </si>
  <si>
    <t>1020000000</t>
  </si>
  <si>
    <t>Основное мероприятие 1. Улучшение жилищных условий граждан, проживающих в сельской местности</t>
  </si>
  <si>
    <t>1020100000</t>
  </si>
  <si>
    <t>Обеспечение комплексного развития сельских территорий</t>
  </si>
  <si>
    <t>10201R5760</t>
  </si>
  <si>
    <t>Основное мероприятие 2. Обустройство населенных пунктов в сельской местности объектами социальной и инженерной инфраструктуры</t>
  </si>
  <si>
    <t>1020200000</t>
  </si>
  <si>
    <t>10202R5760</t>
  </si>
  <si>
    <t>Подпрограмма 3. "Развитие государственной ветеринарной службы Мурманской области"</t>
  </si>
  <si>
    <t>1030000000</t>
  </si>
  <si>
    <t>Основное мероприятие 2. Предупреждение и ликвидация болезней животных и проведение ветеринарно-санитарной экспертизы пищевых продуктов животного происхождения</t>
  </si>
  <si>
    <t>1030200000</t>
  </si>
  <si>
    <t>1030200050</t>
  </si>
  <si>
    <t>Комитет по ветеринарии Мурманской области</t>
  </si>
  <si>
    <t>826</t>
  </si>
  <si>
    <t>1030213060</t>
  </si>
  <si>
    <t>1030213240</t>
  </si>
  <si>
    <t>Основное мероприятие 3. Обеспечение надлежащего материально-технического и санитарного состояния объектов инфраструктуры ветеринарии</t>
  </si>
  <si>
    <t>1030300000</t>
  </si>
  <si>
    <t>1030300050</t>
  </si>
  <si>
    <t>Основное мероприятие 4. Обращение с животными без владельцев</t>
  </si>
  <si>
    <t>1030400000</t>
  </si>
  <si>
    <t>Субвенция бюджетам муниципальных образований Мурманской области на осуществление деятельности по отлову и содержанию животных без владельцев</t>
  </si>
  <si>
    <t>1030475590</t>
  </si>
  <si>
    <t>Подпрограмма 4. "Развитие рыбохозяйственного комплекса"</t>
  </si>
  <si>
    <t>1040000000</t>
  </si>
  <si>
    <t>Основное мероприятие 1. Организация рыболовства в прибрежной зоне и пресноводных объектах области</t>
  </si>
  <si>
    <t>1040100000</t>
  </si>
  <si>
    <t>Осуществление переданных органам государственной власти субъектов Российской Федерации в соответствии с частью первой статьи 6 Федерального закона от 24 апреля 1995 года  № 52-ФЗ "О животном мире" полномочий Российской Федерации в области организации, регулирования и охраны водных биологических ресурсов</t>
  </si>
  <si>
    <t>1040159100</t>
  </si>
  <si>
    <t>Основное мероприятие 2. Оказание государственной поддержки предприятиям региона, осуществляющим береговую переработку водных биоресурсов</t>
  </si>
  <si>
    <t>1040200000</t>
  </si>
  <si>
    <t>Субсидии на возмещение части затрат на уплату процентов по кредитным договорам предприятиям, осуществляющим  переработку водных биоресурсов или создание береговых производственных мощностей по переработке водных биоресурсов</t>
  </si>
  <si>
    <t>1040260340</t>
  </si>
  <si>
    <t>Основное мероприятие 5. Осуществление государственной поддержки субъектов аквакультуры</t>
  </si>
  <si>
    <t>1040500000</t>
  </si>
  <si>
    <t>10405R5080</t>
  </si>
  <si>
    <t>Предоставление субсидии сельскохозяйственным товаропроизводителям на возмещение части затрат на уплату процентов по кредитам, полученным в российских кредитных организациях, на развитие аквакультуры (рыбоводство) и товарного осетроводства</t>
  </si>
  <si>
    <t>10405R5260</t>
  </si>
  <si>
    <t>Подпрограмма 5. "Обеспечение реализации государственной  программы Мурманской области "Развитие рыбного и сельского хозяйства, регулирование рынков сельскохозяйственной продукции, сырья и продовольствия"</t>
  </si>
  <si>
    <t>1050000000</t>
  </si>
  <si>
    <t>Основное мероприятие 2. Обеспечение реализации государственных функций и оказания государственных услуг в сфере ветеринарии</t>
  </si>
  <si>
    <t>1050200000</t>
  </si>
  <si>
    <t>1050200010</t>
  </si>
  <si>
    <t>1050200030</t>
  </si>
  <si>
    <t>1050213060</t>
  </si>
  <si>
    <t>Государственная программа "Развитие транспортной системы"</t>
  </si>
  <si>
    <t>1200000000</t>
  </si>
  <si>
    <t>Подпрограмма 1. "Автомобильные дороги Мурманской области"</t>
  </si>
  <si>
    <t>1210000000</t>
  </si>
  <si>
    <t>Основное мероприятие 1. Строительство (реконструкция) автомобильных дорог общего пользования регионального (межмуниципального) значения</t>
  </si>
  <si>
    <t>1210100000</t>
  </si>
  <si>
    <t>Отдельные мероприятия, выполняемые за счет средств дорожного фонда</t>
  </si>
  <si>
    <t>1210149070</t>
  </si>
  <si>
    <t>Финансовое обеспечение дорожной деятельности</t>
  </si>
  <si>
    <t>1210153900</t>
  </si>
  <si>
    <t>Основное мероприятие 2. Капитальный ремонт, ремонт и содержание автомобильных дорог общего пользования регионального (межмуниципального значения)</t>
  </si>
  <si>
    <t>1210200000</t>
  </si>
  <si>
    <t>1210249070</t>
  </si>
  <si>
    <t>Основное мероприятие 3. Создание условий для реализации Программы в сфере дорожного хозяйства</t>
  </si>
  <si>
    <t>1210300000</t>
  </si>
  <si>
    <t>1210349070</t>
  </si>
  <si>
    <t>Основное мероприятие 4. Предоставление межбюджетных трансфертов бюджетам другого уровня</t>
  </si>
  <si>
    <t>1210400000</t>
  </si>
  <si>
    <t>Субсидии на финансовое обеспечение дорожной деятельности в отношении автомобильных дорог местного значения и искусственных дорожных сооружений на них  за счет средств дорожного фонда</t>
  </si>
  <si>
    <t>1210449100</t>
  </si>
  <si>
    <t>Субсидии бюджетам муниципальных образований на строительство, реконструкцию, ремонт и капитальный ремонт мостов и путепроводов, расположенных на автомобильных дорогах общего пользования местного значения за счет средств дорожного фонда</t>
  </si>
  <si>
    <t>1210449110</t>
  </si>
  <si>
    <t>Субсидии на разработку проектной документации по строительству, реконструкции, ремонту и капитальному ремонту мостов и путепроводов, расположенных на автомобильных дорогах общего пользования местного значения за счет средств дорожного фонда</t>
  </si>
  <si>
    <t>1210449130</t>
  </si>
  <si>
    <t>Региональный проект "Дорожная сеть"</t>
  </si>
  <si>
    <t>121R100000</t>
  </si>
  <si>
    <t>Финансовое обеспечение дорожной деятельности в рамках реализации национального проекта "Безопасные и качественные автомобильные дороги"</t>
  </si>
  <si>
    <t>121R153930</t>
  </si>
  <si>
    <t>Региональный проект "Общесистемные меры развития дорожного хозяйства"</t>
  </si>
  <si>
    <t>121R200000</t>
  </si>
  <si>
    <t>Установка информационных табло в рамках контракта на принципах контракта жизненного цикла</t>
  </si>
  <si>
    <t>121R249040</t>
  </si>
  <si>
    <t>Внедрение интеллектуальных транспортных систем, предусматривающих автоматизацию процессов управления дорожным движением в городских агломерациях</t>
  </si>
  <si>
    <t>121R249090</t>
  </si>
  <si>
    <t>Подпрограмма 2. "Организация транспортного обслуживания населения на территории Мурманской области"</t>
  </si>
  <si>
    <t>1220000000</t>
  </si>
  <si>
    <t>Основное мероприятие 1. Обеспечение потребностей населения в железнодорожных пригородных перевозках</t>
  </si>
  <si>
    <t>1220100000</t>
  </si>
  <si>
    <t>Возмещение затрат в связи с организацией пассажирских перевозок железнодорожным транспортом пригородного сообщения на территории Мурманской области</t>
  </si>
  <si>
    <t>1220160530</t>
  </si>
  <si>
    <t>Возмещение разницы в стоимости полного и льготного разового проездного билета при предоставлении отдельным категориям граждан льгот на проезд железнодорожным транспортом пригородного сообщения</t>
  </si>
  <si>
    <t>1220163710</t>
  </si>
  <si>
    <t>Компенсация части потерь в доходах организаций железнодорожного транспорта в связи с принятием субъектами Российской Федерации решений об установлении льгот по тарифам на проезд обучающихся и воспитанников общеобразовательных учреждений, учащихся очной формы обучения образовательных учреждений начального профессионального, среднего профессионального и высшего профессионального образования железнодорожным транспортом общего пользования в пригородном сообщении (за счет средств областного бюджета)</t>
  </si>
  <si>
    <t>1220163720</t>
  </si>
  <si>
    <t>Основное мероприятие 2. Обеспечение потребностей населения в перевозках автомобильным транспортом общего пользования</t>
  </si>
  <si>
    <t>1220200000</t>
  </si>
  <si>
    <t>1220229990</t>
  </si>
  <si>
    <t>Предоставление субсидии на возмещение недополученных доходов транспортным организациям, осуществляющим регулярные пассажирские перевозки по регулируемым тарифам, не обеспечивающим возмещение понесенных затрат</t>
  </si>
  <si>
    <t>1220260280</t>
  </si>
  <si>
    <t>Реализация Закона Мурманской области "О предоставлении льготного проезда на городском электрическом и автомобильном транспорте общего пользования обучающимся  государственных областных и муниципальных образовательных организаций Мурманской области" в части пригородных межмуниципальных перевозок</t>
  </si>
  <si>
    <t>1220263700</t>
  </si>
  <si>
    <t>Предоставление субсидий предприятиям электро- и автомобильного транспорта общего пользования городского и пригородного сообщения на компенсацию разницы стоимости полного и льготного единого социального проездного билета в целях обеспечения равной доступности услуг общественного транспорта  для отдельных категорий  граждан</t>
  </si>
  <si>
    <t>1220263730</t>
  </si>
  <si>
    <t>Субвенции на реализацию Закона Мурманской области "О предоставлении льготного проезда на городском электрическом и автомобильном транспорте общего пользования обучающимся  государственных областных и муниципальных образовательных организаций Мурманской области"</t>
  </si>
  <si>
    <t>1220276600</t>
  </si>
  <si>
    <t>Основное мероприятие 3. Транспортное обеспечение жителей Мурманской области</t>
  </si>
  <si>
    <t>1220300000</t>
  </si>
  <si>
    <t>Обеспечение перевозок пассажиров, грузов и багажа морским транспортом</t>
  </si>
  <si>
    <t>1220360540</t>
  </si>
  <si>
    <t>Субсидия на оказание государственной финансовой поддержки доставки продовольственных товаров (за исключением подакцизных) в районы Мурманской области с ограниченными сроками завоза грузов</t>
  </si>
  <si>
    <t>1220370900</t>
  </si>
  <si>
    <t>Субсидия на обеспечение авиационного обслуживания жителей отдаленных поселений</t>
  </si>
  <si>
    <t>1220370910</t>
  </si>
  <si>
    <t>Основное мероприятие 4. Развитие региональных воздушных перевозок</t>
  </si>
  <si>
    <t>1220400000</t>
  </si>
  <si>
    <t>1220429990</t>
  </si>
  <si>
    <t>Подпрограмма 3. "Безопасность дорожного движения и снижение дорожно-транспортного травматизма в Мурманской области"</t>
  </si>
  <si>
    <t>1230000000</t>
  </si>
  <si>
    <t>Основное мероприятие 2. Развитие системы предупреждения опасного поведения участников дорожного движения</t>
  </si>
  <si>
    <t>1230200000</t>
  </si>
  <si>
    <t>1230200050</t>
  </si>
  <si>
    <t>1230229990</t>
  </si>
  <si>
    <t>1230249070</t>
  </si>
  <si>
    <t>Иные межбюджетные трансферты бюджетам муниципальных образований на эксплуатацию и техническое обслуживание работающих в автоматическом режиме специальных технических средств фиксации административных правонарушений в области дорожного движения за счет средств дорожного фонда</t>
  </si>
  <si>
    <t>1230249120</t>
  </si>
  <si>
    <t>Основное мероприятие 3. Развитие системы оказания помощи пострадавшим в дорожно-транспортных происшествиях</t>
  </si>
  <si>
    <t>1230300000</t>
  </si>
  <si>
    <t>1230300050</t>
  </si>
  <si>
    <t>Региональный проект "Безопасность дорожного движения в Мурманской области"</t>
  </si>
  <si>
    <t>123R300000</t>
  </si>
  <si>
    <t>Профилактика дорожно-транспортного травматизма, включая развитие детско-юношеских автошкол, отрядов юных инспекторов движения и пр.</t>
  </si>
  <si>
    <t>123R300180</t>
  </si>
  <si>
    <t>1240000000</t>
  </si>
  <si>
    <t>Основное мероприятие 1. Обеспечение реализации функций в сфере развития транспорта</t>
  </si>
  <si>
    <t>1240100000</t>
  </si>
  <si>
    <t>1240100010</t>
  </si>
  <si>
    <t>1240100030</t>
  </si>
  <si>
    <t>1240113060</t>
  </si>
  <si>
    <t>1240160040</t>
  </si>
  <si>
    <t>Основное мероприятие 2. Обеспечение реализации функций в сфере развития дорожного хозяйства</t>
  </si>
  <si>
    <t>1240200000</t>
  </si>
  <si>
    <t>1240200050</t>
  </si>
  <si>
    <t>Расходы на обеспечение деятельности подведомственных учреждений за счет средств дорожного фонда</t>
  </si>
  <si>
    <t>1240249050</t>
  </si>
  <si>
    <t>Компенсация расходов на оплату стоимости проезда и провоза багажа к месту использования отпуска и обратно лицам, работающим в организациях, финансируемых из областного бюджета за счет средств дорожного фонда</t>
  </si>
  <si>
    <t>1240249060</t>
  </si>
  <si>
    <t>Основное мероприятие 3. Оказание услуг в сфере дорожного хозяйства</t>
  </si>
  <si>
    <t>1240300000</t>
  </si>
  <si>
    <t>1240349050</t>
  </si>
  <si>
    <t>Государственная программа "Развитие экономического потенциала и формирование благоприятного предпринимательского климата"</t>
  </si>
  <si>
    <t>1400000000</t>
  </si>
  <si>
    <t>Подпрограмма 1. "Формирование благоприятной инвестиционной среды"</t>
  </si>
  <si>
    <t>1410000000</t>
  </si>
  <si>
    <t>Основное мероприятие 1. Разработка, реализация и сопровождение инвестиционных программ и проектов</t>
  </si>
  <si>
    <t>1410100000</t>
  </si>
  <si>
    <t>Взнос в уставный капитал акционерного общества "Корпорация развития Мурманской области"</t>
  </si>
  <si>
    <t>1410167040</t>
  </si>
  <si>
    <t>Министерство имущественных отношений Мурманской области</t>
  </si>
  <si>
    <t>810</t>
  </si>
  <si>
    <t>Основное мероприятие 3. Стимулирование повышения инвестиционной привлекательности территории региона</t>
  </si>
  <si>
    <t>1410300000</t>
  </si>
  <si>
    <t>1410329990</t>
  </si>
  <si>
    <t>Комитет по конкурентной политике Мурманской области</t>
  </si>
  <si>
    <t>845</t>
  </si>
  <si>
    <t>Подпрограмма 2. "Поддержка малого и среднего предпринимательства"</t>
  </si>
  <si>
    <t>1420000000</t>
  </si>
  <si>
    <t>Основное мероприятие 1. Оказание финансовой поддержки субъектам малого и среднего предпринимательства</t>
  </si>
  <si>
    <t>1420100000</t>
  </si>
  <si>
    <t>Оказание неотложных мер поддержки субъектам малого и среднего предпринимательства в целях обеспечения устойчивого развития экономики в условиях ухудшения ситуации в связи с распространением новой коронавирусной инфекции</t>
  </si>
  <si>
    <t>1420158310</t>
  </si>
  <si>
    <t>Развитие малого и среднего предпринимательства, стимулирование инноваций в Мурманской области</t>
  </si>
  <si>
    <t>1420160120</t>
  </si>
  <si>
    <t>Основное мероприятие 2. Создание и развитие объектов инфраструктуры поддержки малого и среднего предпринимательства</t>
  </si>
  <si>
    <t>1420200000</t>
  </si>
  <si>
    <t>1420200050</t>
  </si>
  <si>
    <t>Субсидия автономной некоммерческой организации по развитию конгрессно-выставочной деятельности "Мурманконгресс"</t>
  </si>
  <si>
    <t>1420260290</t>
  </si>
  <si>
    <t>Основное мероприятие 3. Оказание информационной, консультационной поддержки субъектам малого и среднего предпринимательства, а также поддержки в области подготовки, переподготовки и повышения квалификации кадров субъектов малого и среднего предпринимательства</t>
  </si>
  <si>
    <t>1420300000</t>
  </si>
  <si>
    <t>1420329990</t>
  </si>
  <si>
    <t>1420360120</t>
  </si>
  <si>
    <t>Министерство цифрового развития Мурманской области</t>
  </si>
  <si>
    <t>831</t>
  </si>
  <si>
    <t>Подготовка управленческих кадров для организаций народного хозяйства Российской Федерации</t>
  </si>
  <si>
    <t>14203R0660</t>
  </si>
  <si>
    <t>Основное мероприятие 4. Поддержка начинающих предпринимателей, в том числе путем предоставления в аренду нежилых помещений и оказания услуг бизнес-инкубирования</t>
  </si>
  <si>
    <t>1420400000</t>
  </si>
  <si>
    <t>1420400050</t>
  </si>
  <si>
    <t>1420429990</t>
  </si>
  <si>
    <t>Региональный проект "Расширение доступа субъектов малого и среднего предпринимательства к финансовым ресурсам, в том числе к льготному финансированию"</t>
  </si>
  <si>
    <t>142I400000</t>
  </si>
  <si>
    <t>Государственная поддержка малого и среднего предпринимательства, включая крестьянские (фермерские) хозяйства, а также на реализацию мероприятий по поддержке молодежного предпринимательства</t>
  </si>
  <si>
    <t>142I455270</t>
  </si>
  <si>
    <t>Государственная поддержка малого и среднего предпринимательства в субъектах Российской Федерации</t>
  </si>
  <si>
    <t>142I45527F</t>
  </si>
  <si>
    <t>Региональный проект "Акселерация субъектов малого и среднего предпринимательства"</t>
  </si>
  <si>
    <t>142I500000</t>
  </si>
  <si>
    <t>142I555270</t>
  </si>
  <si>
    <t>Министерство экономического развития Мурманской области</t>
  </si>
  <si>
    <t>809</t>
  </si>
  <si>
    <t>Региональный проект "Популяризация предпринимательства"</t>
  </si>
  <si>
    <t>142I800000</t>
  </si>
  <si>
    <t>142I855270</t>
  </si>
  <si>
    <t>Подпрограмма 3. "Развитие промышленности, инновационной и научно-технической деятельности"</t>
  </si>
  <si>
    <t>1430000000</t>
  </si>
  <si>
    <t>Основное мероприятие 3. Оказание финансовой поддержки инновационным компаниям</t>
  </si>
  <si>
    <t>1430300000</t>
  </si>
  <si>
    <t>1430360120</t>
  </si>
  <si>
    <t>Основное мероприятие 4. Организация поддержки научных мероприятий, исследований и разработок в Мурманской области</t>
  </si>
  <si>
    <t>1430400000</t>
  </si>
  <si>
    <t>1430429990</t>
  </si>
  <si>
    <t>Субсидия автономной некоммерческой организации "Проектный офис Заполярного Арктического научно-образовательного центра Мурманской области"</t>
  </si>
  <si>
    <t>1430460380</t>
  </si>
  <si>
    <t>Подпрограмма 4. "Развитие внешнеэкономических связей, туризма и торговой деятельности в регионе"</t>
  </si>
  <si>
    <t>1440000000</t>
  </si>
  <si>
    <t>Основное мероприятие 1. Содействие в подготовке и проведении приоритетных с точки зрения экономики региона конгрессно-выставочных и презентационных мероприятий регионального, межрегионального и международного значения на территории региона и Российской Федерации, а также за рубежом</t>
  </si>
  <si>
    <t>1440100000</t>
  </si>
  <si>
    <t>1440129990</t>
  </si>
  <si>
    <t>1440160290</t>
  </si>
  <si>
    <t>Основное мероприятие 4. Продвижение Мурманской области как привлекательного для туристов региона</t>
  </si>
  <si>
    <t>1440400000</t>
  </si>
  <si>
    <t>1440429990</t>
  </si>
  <si>
    <t>Комитет по туризму Мурманской области</t>
  </si>
  <si>
    <t>834</t>
  </si>
  <si>
    <t>1440460290</t>
  </si>
  <si>
    <t>Основное мероприятие 5. Государственная поддержка субъектов туриндустрии</t>
  </si>
  <si>
    <t>1440500000</t>
  </si>
  <si>
    <t>1440529990</t>
  </si>
  <si>
    <t>Развитие внешнеэкономических связей и туризма в Мурманской области</t>
  </si>
  <si>
    <t>1440560100</t>
  </si>
  <si>
    <t>Основное мероприятие 6. Формирование туристско-рекреационного кластера</t>
  </si>
  <si>
    <t>1440600000</t>
  </si>
  <si>
    <t>1440674000</t>
  </si>
  <si>
    <t>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t>
  </si>
  <si>
    <t>14406R3840</t>
  </si>
  <si>
    <t>Основное мероприятие 8. Обеспечение формирования и ведения торгового реестра Мурманской области</t>
  </si>
  <si>
    <t>1440800000</t>
  </si>
  <si>
    <t>Субвенция на осуществление органами местного самоуправления муниципальных образований Мурманской области со статусом городского округа и муниципального района отдельных государственных полномочий по сбору сведений для формирования и ведения торгового реестра</t>
  </si>
  <si>
    <t>1440875510</t>
  </si>
  <si>
    <t>Подпрограмма 5. "Совершенствование системы государственного стратегического управления"</t>
  </si>
  <si>
    <t>1450000000</t>
  </si>
  <si>
    <t>Основное мероприятие 9. Организация мониторинга эффективности деятельности органов местного самоуправления</t>
  </si>
  <si>
    <t>1450900000</t>
  </si>
  <si>
    <t>Иные межбюджетные трансферты на предоставление грантов бюджетам муниципальных образований в целях содействия достижению и (или) поощрения достижения наилучших значений показателей деятельности органов местного самоуправления городских округов и муниципальных районов Мурманской области</t>
  </si>
  <si>
    <t>1450977070</t>
  </si>
  <si>
    <t>Основное мероприятие 10. Анализ удовлетворенности населения деятельностью органов местного самоуправления</t>
  </si>
  <si>
    <t>1451000000</t>
  </si>
  <si>
    <t>1451029990</t>
  </si>
  <si>
    <t>Основное мероприятие 11. Координация и мониторинг деятельности исполнительных органов государственной власти, направленной на повышение качества и эффективности предоставления государственных услуг</t>
  </si>
  <si>
    <t>1451100000</t>
  </si>
  <si>
    <t>1451129990</t>
  </si>
  <si>
    <t>Основное мероприятие 12. Реализация мер, направленных на обеспечение поэтапного доступа социально ориентированных некоммерческих организаций, осуществляющих деятельность в социальной сфере, к бюджетным средствам, выделяемым на предоставление социальных услуг населению</t>
  </si>
  <si>
    <t>1451200000</t>
  </si>
  <si>
    <t>1451260030</t>
  </si>
  <si>
    <t>Подпрограмма 6. "Осуществление государственного регулирования цен (тарифов) на территории Мурманской области"</t>
  </si>
  <si>
    <t>1460000000</t>
  </si>
  <si>
    <t>Основное мероприятие 3. Обеспечение реализации функций в сфере тарифного регулирования на территории Мурманской области</t>
  </si>
  <si>
    <t>1460300000</t>
  </si>
  <si>
    <t>1460300010</t>
  </si>
  <si>
    <t>Комитет по тарифному регулированию Мурманской области</t>
  </si>
  <si>
    <t>824</t>
  </si>
  <si>
    <t>1460300030</t>
  </si>
  <si>
    <t>1460313060</t>
  </si>
  <si>
    <t>1460320080</t>
  </si>
  <si>
    <t>Субвенция на осуществление отдельных государственных полномочий по установлению регулируемых тарифов на перевозки пассажиров и багажа автомобильным транспортом и городским наземным электрическим транспортом</t>
  </si>
  <si>
    <t>1460375610</t>
  </si>
  <si>
    <t>Подпрограмма 7. "Обеспечение реализации государственной программы"</t>
  </si>
  <si>
    <t>1470000000</t>
  </si>
  <si>
    <t>Основное мероприятие 1. Обеспечение реализации государственных функций в сферах стратегического планирования, налогового регулирования, экономики социальной сферы, внешнеэкономических связей, торговой деятельности</t>
  </si>
  <si>
    <t>1470100000</t>
  </si>
  <si>
    <t>1470100010</t>
  </si>
  <si>
    <t>1470100030</t>
  </si>
  <si>
    <t>1470113060</t>
  </si>
  <si>
    <t>1470120100</t>
  </si>
  <si>
    <t>Проведение Всероссийской переписи населения 2020 года</t>
  </si>
  <si>
    <t>1470154690</t>
  </si>
  <si>
    <t>Основное мероприятие 2. Обеспечение реализации государственных функций и оказания государственных услуг в сферах инвестиций, развития промышленности, предпринимательства и инноваций,  туризма, лицензирования отдельных видов деятельности</t>
  </si>
  <si>
    <t>1470200000</t>
  </si>
  <si>
    <t>1470200010</t>
  </si>
  <si>
    <t>1470200030</t>
  </si>
  <si>
    <t>1470213060</t>
  </si>
  <si>
    <t>1470220080</t>
  </si>
  <si>
    <t>Государственная программа "Информационное общество"</t>
  </si>
  <si>
    <t>1500000000</t>
  </si>
  <si>
    <t>Подпрограмма 1. "Развитие информационного общества и формирование электронного правительства"</t>
  </si>
  <si>
    <t>1510000000</t>
  </si>
  <si>
    <t>Основное мероприятие 1. Совершенствование и модернизация аппаратного и программного обеспечения информационно-вычислительной сети исполнительных органов государственной власти</t>
  </si>
  <si>
    <t>1510100000</t>
  </si>
  <si>
    <t>1510120100</t>
  </si>
  <si>
    <t>Основное мероприятие 2. Обеспечение комплексной защиты информации в информационно-вычислительной сети исполнительных органов государственной власти Мурманской области</t>
  </si>
  <si>
    <t>1510200000</t>
  </si>
  <si>
    <t>1510220100</t>
  </si>
  <si>
    <t>Основное мероприятие 3. Развитие инфокоммуникационных компонентов электронного правительства</t>
  </si>
  <si>
    <t>1510300000</t>
  </si>
  <si>
    <t>1510320100</t>
  </si>
  <si>
    <t>Осуществление переданных органам государственной власти субъектов Российской Федерации в соответствии с пунктом 1 статьи 4 Федерального закона от 15 ноября 1997 года № 143-ФЗ "Об актах гражданского состояния" полномочий Российской Федерации на государственную регистрацию актов гражданского состояния</t>
  </si>
  <si>
    <t>1510359300</t>
  </si>
  <si>
    <t>Министерство юстиции Мурманской области</t>
  </si>
  <si>
    <t>821</t>
  </si>
  <si>
    <t>Субсидия на техническое сопровождение программного обеспечения "Система автоматизированного рабочего места муниципального образования"</t>
  </si>
  <si>
    <t>1510370570</t>
  </si>
  <si>
    <t>Поддержка региональных проектов в сфере информационных технологий</t>
  </si>
  <si>
    <t>15103R0280</t>
  </si>
  <si>
    <t>Основное мероприятие 4. Организация предоставления государственных и муниципальных услуг по принципу "одного окна"</t>
  </si>
  <si>
    <t>1510400000</t>
  </si>
  <si>
    <t>1510429990</t>
  </si>
  <si>
    <t>Основное мероприятие 5. Обеспечение предоставления  государственных  и муниципальных услуг в ГОБУ "МФЦ МО"</t>
  </si>
  <si>
    <t>1510500000</t>
  </si>
  <si>
    <t>1510500050</t>
  </si>
  <si>
    <t>1510513060</t>
  </si>
  <si>
    <t>Основное мероприятие 7. Обеспечение реализации государственных функций и предоставления государственных услуг в сфере информационно-телекоммуникационных технологий</t>
  </si>
  <si>
    <t>1510700000</t>
  </si>
  <si>
    <t>1510700010</t>
  </si>
  <si>
    <t>1510700030</t>
  </si>
  <si>
    <t>1510700050</t>
  </si>
  <si>
    <t>1510713060</t>
  </si>
  <si>
    <t>1510720100</t>
  </si>
  <si>
    <t>Основное мероприятие 8. Создание условий для получения населением актуальной, достоверной информации о деятельности исполнительных органов государственной власти Мурманской области</t>
  </si>
  <si>
    <t>1510800000</t>
  </si>
  <si>
    <t>1510800010</t>
  </si>
  <si>
    <t>1510800030</t>
  </si>
  <si>
    <t>1510813060</t>
  </si>
  <si>
    <t>1510829990</t>
  </si>
  <si>
    <t>1510860040</t>
  </si>
  <si>
    <t>Закупка работ (услуг) по информационному освещению деятельности органов государственной власти и поддержку средств массовой информации</t>
  </si>
  <si>
    <t>1510898700</t>
  </si>
  <si>
    <t>Предоставление субсидий на финансовое обеспечение выполнения государственного задания</t>
  </si>
  <si>
    <t>1510898750</t>
  </si>
  <si>
    <t>1510898760</t>
  </si>
  <si>
    <t>Основное мероприятие 9. Цифровизация городского хозяйства</t>
  </si>
  <si>
    <t>1510900000</t>
  </si>
  <si>
    <t>1510920100</t>
  </si>
  <si>
    <t>Региональный проект "Информационная инфраструктура"</t>
  </si>
  <si>
    <t>151D200000</t>
  </si>
  <si>
    <t>Обеспечение подключения к сети Интернет органов государственной власти, органов местного самоуправления и социально значимых объектов государственной и муниципальной форм собственности</t>
  </si>
  <si>
    <t>151D220120</t>
  </si>
  <si>
    <t>Региональный проект "Информационная безопасность"</t>
  </si>
  <si>
    <t>151D400000</t>
  </si>
  <si>
    <t>Обеспечение информационной безопасности объектов критической информационной инфраструктуры органов государственной власти и органов местного самоуправления Мурманской области</t>
  </si>
  <si>
    <t>151D420130</t>
  </si>
  <si>
    <t>Региональный проект "Цифровое государственное управление"</t>
  </si>
  <si>
    <t>151D600000</t>
  </si>
  <si>
    <t>Предоставление государственных и муниципальных услуг в Мурманской области в электронном виде, в том числе в соответствии с целевой моделью цифровой трансформации</t>
  </si>
  <si>
    <t>151D622230</t>
  </si>
  <si>
    <t>Использование юридически значимого электронного документооборота в органах государственной власти Мурманской области, их подведомственных организациях и органах местного самоуправления</t>
  </si>
  <si>
    <t>151D622240</t>
  </si>
  <si>
    <t>Предоставление доступа гражданам посредством сети Интернет к информации, созданной органами государственной власти Мурманской области, органами местного самоуправления, включая доработку интерфейсов сайтов в соответствии с требованиями стандарта визуально-графического оформления</t>
  </si>
  <si>
    <t>151D622250</t>
  </si>
  <si>
    <t>Использование регионального сегмента СМЭВ</t>
  </si>
  <si>
    <t>151D622260</t>
  </si>
  <si>
    <t>Обеспечение развития системы межведомственного электронного взаимодействия на территории Мурманской области</t>
  </si>
  <si>
    <t>151D650080</t>
  </si>
  <si>
    <t>Подпрограмма 2. "Использование спутниковых навигационных технологий и других результатов космической деятельности в интересах социально-экономического развития Мурманской области"</t>
  </si>
  <si>
    <t>1520000000</t>
  </si>
  <si>
    <t>Основное мероприятие 2. Обеспечение развития геоинформационного портала Правительства Мурманской области</t>
  </si>
  <si>
    <t>1520200000</t>
  </si>
  <si>
    <t>1520220100</t>
  </si>
  <si>
    <t>Государственная программа "Управление региональными финансами, создание условий для эффективного и ответственного управления муниципальными финансами"</t>
  </si>
  <si>
    <t>1600000000</t>
  </si>
  <si>
    <t>Подпрограмма 1. "Управление региональными финансами"</t>
  </si>
  <si>
    <t>1610000000</t>
  </si>
  <si>
    <t>Основное мероприятие 1. Нормативно-методическое обеспечение и организация бюджетного процесса в Мурманской области</t>
  </si>
  <si>
    <t>1610100000</t>
  </si>
  <si>
    <t>1610100010</t>
  </si>
  <si>
    <t>Министерство финансов Мурманской области</t>
  </si>
  <si>
    <t>808</t>
  </si>
  <si>
    <t>1610100030</t>
  </si>
  <si>
    <t>1610113060</t>
  </si>
  <si>
    <t>1610113070</t>
  </si>
  <si>
    <t>1610120080</t>
  </si>
  <si>
    <t>1610129990</t>
  </si>
  <si>
    <t>Основное мероприятие 2. Повышение прозрачности бюджетов и открытости бюджетного процесса, публикация актуальной информации о бюджетной системе Мурманской области, в том числе в доступной для граждан форме</t>
  </si>
  <si>
    <t>1610200000</t>
  </si>
  <si>
    <t>1610229990</t>
  </si>
  <si>
    <t>Основное мероприятие 3. Повышение гибкости долговой политики Мурманской области, поддержание высокого уровня региональных кредитных рейтингов</t>
  </si>
  <si>
    <t>1610300000</t>
  </si>
  <si>
    <t>Процентные платежи по государственному долгу Мурманской области</t>
  </si>
  <si>
    <t>1610320030</t>
  </si>
  <si>
    <t>1610329990</t>
  </si>
  <si>
    <t>Основное мероприятие 4. Сопровождение и развитие информационно-технологической инфраструктуры в сфере управления общественными финансами</t>
  </si>
  <si>
    <t>1610400000</t>
  </si>
  <si>
    <t>1610420100</t>
  </si>
  <si>
    <t>Подпрограмма 2. "Создание условий для сбалансированного и устойчивого исполнения местных бюджетов, содействие повышению качества управления муниципальными финансами"</t>
  </si>
  <si>
    <t>1620000000</t>
  </si>
  <si>
    <t>Основное мероприятие 2. Выравнивание бюджетной обеспеченности муниципальных образований</t>
  </si>
  <si>
    <t>1620200000</t>
  </si>
  <si>
    <t>Дотации, связанные с особым режимом безопасного функционирования закрытых административно-территориальных образований</t>
  </si>
  <si>
    <t>1620250100</t>
  </si>
  <si>
    <t>Дотации на выравнивание бюджетной обеспеченности муниципальных районов (городских округов)</t>
  </si>
  <si>
    <t>1620270020</t>
  </si>
  <si>
    <t>Субсидии на софинансирование расходных обязательств, возникающих при осуществлении полномочий органов местного самоуправления муниципальных районов по выравниванию уровня бюджетной обеспеченности поселений</t>
  </si>
  <si>
    <t>1620270530</t>
  </si>
  <si>
    <t>Субвенции бюджетам муниципальных районов на  осуществление органами местного самоуправления государственных полномочий органов государственной власти Мурманской области по расчету и предоставлению дотаций бюджетам поселений</t>
  </si>
  <si>
    <t>1620275010</t>
  </si>
  <si>
    <t>Основное мероприятие 3. Поддержка мер по обеспечению сбалансированности местных бюджетов</t>
  </si>
  <si>
    <t>1620300000</t>
  </si>
  <si>
    <t>Дотации на поддержку мер по обеспечению сбалансированности бюджетов</t>
  </si>
  <si>
    <t>1620370030</t>
  </si>
  <si>
    <t>Субсидии бюджетам муниципальных образований на софинансирование расходов, направляемых на оплату труда и начисления на выплаты по оплате труда работникам муниципальных учреждений</t>
  </si>
  <si>
    <t>1620371100</t>
  </si>
  <si>
    <t>Иные межбюджетные трансферты из областного бюджета бюджетам муниципальных образований в целях поощрения достижения наилучших результатов увеличения доходного потенциал</t>
  </si>
  <si>
    <t>1620377030</t>
  </si>
  <si>
    <t>Подпрограмма 3. "Организация и осуществление контроля и надзора в бюджетно-финансовой сфере"</t>
  </si>
  <si>
    <t>1630000000</t>
  </si>
  <si>
    <t>Основное мероприятие 1. Осуществление внутреннего государственного финансового контроля</t>
  </si>
  <si>
    <t>1630100000</t>
  </si>
  <si>
    <t>1630100010</t>
  </si>
  <si>
    <t>Комитет государственного и финансового контроля Мурманской области</t>
  </si>
  <si>
    <t>830</t>
  </si>
  <si>
    <t>1630100030</t>
  </si>
  <si>
    <t>1630113060</t>
  </si>
  <si>
    <t>1630120080</t>
  </si>
  <si>
    <t>Подпрограмма 4. "Развитие системы управления государственными закупками Мурманской области"</t>
  </si>
  <si>
    <t>1640000000</t>
  </si>
  <si>
    <t>Основное мероприятие 1. Совершенствование организации деятельности заказчиков в сфере закупок товаров, работ, услуг для обеспечения государственных нужд</t>
  </si>
  <si>
    <t>1640100000</t>
  </si>
  <si>
    <t>1640100010</t>
  </si>
  <si>
    <t>1640100030</t>
  </si>
  <si>
    <t>1640113060</t>
  </si>
  <si>
    <t>Основное мероприятие 2. Обеспечение единого информационного пространства для заказчиков в сфере закупок</t>
  </si>
  <si>
    <t>1640200000</t>
  </si>
  <si>
    <t>1640220100</t>
  </si>
  <si>
    <t>Основное мероприятие 3. Совершенствование организации деятельности заказчиков в сфере закупок товаров, работ, услуг отдельными видами юридических лиц</t>
  </si>
  <si>
    <t>1640300000</t>
  </si>
  <si>
    <t>1640300050</t>
  </si>
  <si>
    <t>1640313060</t>
  </si>
  <si>
    <t>Государственная программа "Государственное управление и гражданское общество"</t>
  </si>
  <si>
    <t>1700000000</t>
  </si>
  <si>
    <t>Подпрограмма 1. "Создание условий для обеспечения государственного управления"</t>
  </si>
  <si>
    <t>1710000000</t>
  </si>
  <si>
    <t>Основное мероприятие 1. Развитие государственной гражданской службы Мурманской области</t>
  </si>
  <si>
    <t>1710100000</t>
  </si>
  <si>
    <t>1710120080</t>
  </si>
  <si>
    <t>Аппарат Правительства Мурманской области (министерство)</t>
  </si>
  <si>
    <t>812</t>
  </si>
  <si>
    <t>Основное мероприятие 3. Проведение правовой экспертизы проектов нормативных правовых актов, осуществление мониторинга законодательства</t>
  </si>
  <si>
    <t>1710300000</t>
  </si>
  <si>
    <t>1710300010</t>
  </si>
  <si>
    <t>Управление по реализации антикоррупционной политики Мурманской области</t>
  </si>
  <si>
    <t>850</t>
  </si>
  <si>
    <t>1710300030</t>
  </si>
  <si>
    <t>1710313060</t>
  </si>
  <si>
    <t>1710313070</t>
  </si>
  <si>
    <t>1710320080</t>
  </si>
  <si>
    <t>1710359300</t>
  </si>
  <si>
    <t>Основное мероприятие 4. Организация обеспечения деятельности Губернатора Мурманской области и Правительства Мурманской области</t>
  </si>
  <si>
    <t>1710400000</t>
  </si>
  <si>
    <t>1710400010</t>
  </si>
  <si>
    <t>1710400030</t>
  </si>
  <si>
    <t>Реализация Закона Мурманской области "О государственной гражданской службе Мурманской области" в части предоставления единовременной субсидии на приобретение жилой площади</t>
  </si>
  <si>
    <t>1710413040</t>
  </si>
  <si>
    <t>1710413060</t>
  </si>
  <si>
    <t>1710420080</t>
  </si>
  <si>
    <t>Основное мероприятие 5. Организационное обеспечение взаимодействия Правительства Мурманской области с Правительством Российской Федерации, администрацией Президента Российской Федерации, федеральными органами государственной власти</t>
  </si>
  <si>
    <t>1710500000</t>
  </si>
  <si>
    <t>1710500050</t>
  </si>
  <si>
    <t>Основное мероприятие 6. Обеспечение реализации Губернатором Мурманской области его полномочий в области государственных наград Российской Федерации и наград Мурманской области</t>
  </si>
  <si>
    <t>1710600000</t>
  </si>
  <si>
    <t>Реализация Закона Мурманской области "О наградах и премиях Мурманской области" в части единовременной денежной выплаты при присвоении наград области</t>
  </si>
  <si>
    <t>1710610610</t>
  </si>
  <si>
    <t>Реализация Закона Мурманской области "О наградах и премиях Мурманской области" в части ежегодной денежной выплаты лицам, удостоенным наград области</t>
  </si>
  <si>
    <t>1710610620</t>
  </si>
  <si>
    <t>Реализация Закона Мурманской области "О наградах и премиях Мурманской области" в части иных выплат</t>
  </si>
  <si>
    <t>1710613030</t>
  </si>
  <si>
    <t>Основное мероприятие 7. Материально-техническое, транспортное и документационное обеспечение деятельности органов государственной власти Мурманской области, лиц, замещающих государственные должности Мурманской области, обеспечение которых возложено на Аппарат Правительства Мурманской области</t>
  </si>
  <si>
    <t>1710700000</t>
  </si>
  <si>
    <t>1710700050</t>
  </si>
  <si>
    <t>1710713060</t>
  </si>
  <si>
    <t>1710720100</t>
  </si>
  <si>
    <t>Основное мероприятие 8. Противодействие коррупции в исполнительных органах государственной власти Мурманской области, мониторинг состояния коррупции</t>
  </si>
  <si>
    <t>1710800000</t>
  </si>
  <si>
    <t>1710829990</t>
  </si>
  <si>
    <t>Основное мероприятие 9. Антикоррупционное просвещение и пропаганда антикоррупционного поведения</t>
  </si>
  <si>
    <t>1710900000</t>
  </si>
  <si>
    <t>1710929990</t>
  </si>
  <si>
    <t>Основное мероприятие 10. Организация государственной регистрации актов гражданского состояния на территории Мурманской области в соответствии с законодательством Российской Федерации</t>
  </si>
  <si>
    <t>1711000000</t>
  </si>
  <si>
    <t>1711059300</t>
  </si>
  <si>
    <t>Основное мероприятие 11. Создание условий для эффективной  деятельности административных комиссий</t>
  </si>
  <si>
    <t>1711100000</t>
  </si>
  <si>
    <t>Субвенция на осуществление Министерством внутренних дел Российской Федерации части полномочий Мурманской области по составлению протоколов об административных правонарушениях, посягающих на общественный порядок и общественную безопасность, предусмотренных Законом Мурманской области от 06.06.2003 № 401-01-ЗМО "Об административных правонарушениях"</t>
  </si>
  <si>
    <t>1711175020</t>
  </si>
  <si>
    <t>Субвенция на осуществление органами местного самоуправления отдельных государственных полномочий Мурманской области по определению перечня должностных лиц, уполномоченных составлять протоколы об административных правонарушениях, предусмотренных Законом Мурманской области "Об административных правонарушениях"</t>
  </si>
  <si>
    <t>1711175540</t>
  </si>
  <si>
    <t>Субвенция на реализацию Закона Мурманской области "Об административных комиссиях"</t>
  </si>
  <si>
    <t>1711175550</t>
  </si>
  <si>
    <t>Основное мероприятие 12. Предоставление бесплатной юридической помощи гражданам Мурманской области и юридической помощи в труднодоступных и малонаселенных местностях региона</t>
  </si>
  <si>
    <t>1711200000</t>
  </si>
  <si>
    <t>Мероприятия по оказанию бесплатной юридической помощи гражданам на территории Мурманской области</t>
  </si>
  <si>
    <t>1711260010</t>
  </si>
  <si>
    <t>Основное мероприятие 14. Составление списков кандидатов в присяжные заседатели</t>
  </si>
  <si>
    <t>1711400000</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</si>
  <si>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</si>
  <si>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1711451200</t>
  </si>
  <si>
    <t>Основное мероприятие 17. Организация повышения квалификации лиц, замещающих муниципальные должности, и муниципальных служащих по основным вопросам деятельности органов местного самоуправления</t>
  </si>
  <si>
    <t>1711700000</t>
  </si>
  <si>
    <t>1711729990</t>
  </si>
  <si>
    <t>Министерство внутренней политики Мурманской области</t>
  </si>
  <si>
    <t>846</t>
  </si>
  <si>
    <t>Подпрограмма 2. "Управление государственным имуществом Мурманской области"</t>
  </si>
  <si>
    <t>1720000000</t>
  </si>
  <si>
    <t>Основное мероприятие 1. Совершенствование учета государственного имущества Мурманской области и предоставление информации об объектах учета заинтересованным  физическим и юридическим лицам</t>
  </si>
  <si>
    <t>1720100000</t>
  </si>
  <si>
    <t>1720120100</t>
  </si>
  <si>
    <t>Основное мероприятие 6. Обеспечение внесения сведений в Единый государственный реестр недвижимости</t>
  </si>
  <si>
    <t>1720600000</t>
  </si>
  <si>
    <t>1720629990</t>
  </si>
  <si>
    <t>Основное мероприятие 10. Обеспечение реализации государственных функций и выполнения государственных работ в сфере управления государственным имуществом Мурманской области</t>
  </si>
  <si>
    <t>1721000000</t>
  </si>
  <si>
    <t>1721000010</t>
  </si>
  <si>
    <t>1721000030</t>
  </si>
  <si>
    <t>1721000050</t>
  </si>
  <si>
    <t>1721013060</t>
  </si>
  <si>
    <t>1721020100</t>
  </si>
  <si>
    <t>1721029990</t>
  </si>
  <si>
    <t>1730000000</t>
  </si>
  <si>
    <t>Основное мероприятие 1. Осуществление государственной поддержки коренных малочисленных народов Севера Мурманской области</t>
  </si>
  <si>
    <t>1730100000</t>
  </si>
  <si>
    <t>1730100050</t>
  </si>
  <si>
    <t>1730160040</t>
  </si>
  <si>
    <t>Поддержка экономического и социального развития коренных малочисленных народов Севера, Сибири и Дальнего Востока</t>
  </si>
  <si>
    <t>17301R5150</t>
  </si>
  <si>
    <t>Реализация мероприятий по укреплению единства российской нации и этнокультурному развитию народов России</t>
  </si>
  <si>
    <t>17301R5160</t>
  </si>
  <si>
    <t>Основное мероприятие 4. Обеспечение реализации государственных функций в сферах взаимодействия с общественными организациями, государственной национальной политики и защиты прав коренных малочисленных народов Севера, проживающих на территории Мурманской области, информационно-аналитического обеспечения деятельности Губернатора Мурманской области и Правительства Мурманской области</t>
  </si>
  <si>
    <t>1730400000</t>
  </si>
  <si>
    <t>1730400010</t>
  </si>
  <si>
    <t>1730400030</t>
  </si>
  <si>
    <t>1730413060</t>
  </si>
  <si>
    <t>1730413070</t>
  </si>
  <si>
    <t>1730420080</t>
  </si>
  <si>
    <t>1730420100</t>
  </si>
  <si>
    <t>Основное мероприятие 5. Создание условий для укрепления единства народов России, проживающих в Мурманской области, развития межнационального сотрудничества, формирования чувства патриотизма, гражданской ответственности</t>
  </si>
  <si>
    <t>1730500000</t>
  </si>
  <si>
    <t>1730500050</t>
  </si>
  <si>
    <t>1730529990</t>
  </si>
  <si>
    <t>1730560040</t>
  </si>
  <si>
    <t>17305R5160</t>
  </si>
  <si>
    <t>Основное мероприятие 6. Осуществление комплекса мер, направленных на поддержку молодежных инициатив</t>
  </si>
  <si>
    <t>1730600000</t>
  </si>
  <si>
    <t>Выплата именных стипендий Губернатора Мурманской области одаренным детям и учащейся молодежи</t>
  </si>
  <si>
    <t>1730610770</t>
  </si>
  <si>
    <t>1730629990</t>
  </si>
  <si>
    <t>1730660040</t>
  </si>
  <si>
    <t>Региональный проект "Социальная активность"</t>
  </si>
  <si>
    <t>173E800000</t>
  </si>
  <si>
    <t>173E829990</t>
  </si>
  <si>
    <t>Проведение Всероссийского конкурса лучших региональных практик поддержки волонтерства "Регион добрых дел"</t>
  </si>
  <si>
    <t>173E854120</t>
  </si>
  <si>
    <t>Подпрограмма 4. "Развитие и укрепление института мировой юстиции в Мурманской области"</t>
  </si>
  <si>
    <t>1740000000</t>
  </si>
  <si>
    <t>Основное мероприятие 1. Организация непрерывного профессионального развития мировых судей и работников аппаратов мировых судей</t>
  </si>
  <si>
    <t>1740100000</t>
  </si>
  <si>
    <t>1740120080</t>
  </si>
  <si>
    <t>Основное мероприятие 2. Кадровое, материально-техническое и информационное обеспечение судебных участков мировых судей Мурманской области</t>
  </si>
  <si>
    <t>1740200000</t>
  </si>
  <si>
    <t>1740200010</t>
  </si>
  <si>
    <t>1740200030</t>
  </si>
  <si>
    <t>1740200050</t>
  </si>
  <si>
    <t>1740213060</t>
  </si>
  <si>
    <t>1740229990</t>
  </si>
  <si>
    <t>Государственная программа "Формирование современной городской среды Мурманской области"</t>
  </si>
  <si>
    <t>1800000000</t>
  </si>
  <si>
    <t>Подпрограмма "Комплексное развитие городской среды"</t>
  </si>
  <si>
    <t>1810000000</t>
  </si>
  <si>
    <t>Основное мероприятие 5. Обеспечение деятельности Автономной некоммерческой организации "Центр городского развития Мурманской области"</t>
  </si>
  <si>
    <t>1810500000</t>
  </si>
  <si>
    <t>Субсидия автономной некоммерческой организации "Центр городского развития Мурманской области"</t>
  </si>
  <si>
    <t>1810560350</t>
  </si>
  <si>
    <t>Основное мероприятие 7. Реализация проектов местных инициатив граждан в муниципальных образованиях Мурманской области</t>
  </si>
  <si>
    <t>1810700000</t>
  </si>
  <si>
    <t>Субсидия бюджетам муниципальных образований на реализацию проектов по поддержке местных инициатив</t>
  </si>
  <si>
    <t>1810771090</t>
  </si>
  <si>
    <t>Основное мероприятие 8. Выполнение работ по ямочному ремонту дворовых проездов</t>
  </si>
  <si>
    <t>1810800000</t>
  </si>
  <si>
    <t>Иные межбюджетные трансферты из областного бюджета бюджетам муниципальных образований на реализацию мероприятий, направленных на выполнение работ по ямочному ремонту дворовых проездов</t>
  </si>
  <si>
    <t>1810877150</t>
  </si>
  <si>
    <t>181E800000</t>
  </si>
  <si>
    <t>181E854120</t>
  </si>
  <si>
    <t>Региональный проект "Формирование комфортной городской среды"</t>
  </si>
  <si>
    <t>181F200000</t>
  </si>
  <si>
    <t>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</si>
  <si>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181F254240</t>
  </si>
  <si>
    <t>Поддержка государственных программ субъектов Российской Федерации  и муниципальных программ формирования современной городской среды</t>
  </si>
  <si>
    <t>181F255550</t>
  </si>
  <si>
    <t>Субсидии на поддержку муниципальных программ формирования современной городской среды в части выполнения мероприятий по благоустройству дворовых территорий</t>
  </si>
  <si>
    <t>181F271210</t>
  </si>
  <si>
    <t>Непрограммная деятельность</t>
  </si>
  <si>
    <t>9900000000</t>
  </si>
  <si>
    <t>Непрограммная деятельность Мурманской областной Думы</t>
  </si>
  <si>
    <t>9910000000</t>
  </si>
  <si>
    <t>9910000010</t>
  </si>
  <si>
    <t>Мурманская областная Дума</t>
  </si>
  <si>
    <t>801</t>
  </si>
  <si>
    <t>9910000030</t>
  </si>
  <si>
    <t>Выплата премий гражданам,  награжденным почетными грамотами,  по ходатайству депутата Мурманской областной Думы</t>
  </si>
  <si>
    <t>9910010630</t>
  </si>
  <si>
    <t>9910013060</t>
  </si>
  <si>
    <t>9910020080</t>
  </si>
  <si>
    <t>9910098700</t>
  </si>
  <si>
    <t>Непрограммная деятельность Правительства Мурманской области</t>
  </si>
  <si>
    <t>9920000000</t>
  </si>
  <si>
    <t>9920000010</t>
  </si>
  <si>
    <t>Правительство Мурманской области</t>
  </si>
  <si>
    <t>802</t>
  </si>
  <si>
    <t>9920000030</t>
  </si>
  <si>
    <t>9920013060</t>
  </si>
  <si>
    <t>Непрограммная деятельность Уполномоченного по правам ребенка в Мурманской области</t>
  </si>
  <si>
    <t>9930000000</t>
  </si>
  <si>
    <t>9930000010</t>
  </si>
  <si>
    <t>9930000030</t>
  </si>
  <si>
    <t>9930013060</t>
  </si>
  <si>
    <t>Непрограммная деятельность Уполномоченного по правам человека в Мурманской области</t>
  </si>
  <si>
    <t>9950000000</t>
  </si>
  <si>
    <t>9950000010</t>
  </si>
  <si>
    <t>Аппарат Уполномоченного по правам человека в Мурманской области</t>
  </si>
  <si>
    <t>880</t>
  </si>
  <si>
    <t>9950000030</t>
  </si>
  <si>
    <t>9950013060</t>
  </si>
  <si>
    <t>9950020080</t>
  </si>
  <si>
    <t>Непрограммная деятельность Избирательной комиссии Мурманской области</t>
  </si>
  <si>
    <t>9960000000</t>
  </si>
  <si>
    <t>9960000010</t>
  </si>
  <si>
    <t>Избирательная комиссия Мурманской области</t>
  </si>
  <si>
    <t>881</t>
  </si>
  <si>
    <t>9960000030</t>
  </si>
  <si>
    <t>9960013060</t>
  </si>
  <si>
    <t>Непрограммная деятельность Уполномоченного по защите прав предпринимателей в Мурманской области</t>
  </si>
  <si>
    <t>9970000000</t>
  </si>
  <si>
    <t>9970000010</t>
  </si>
  <si>
    <t>9970000030</t>
  </si>
  <si>
    <t>9970013060</t>
  </si>
  <si>
    <t>Непрограммная деятельность Контрольно-счетной палаты Мурманской области</t>
  </si>
  <si>
    <t>9980000000</t>
  </si>
  <si>
    <t>9980000010</t>
  </si>
  <si>
    <t>Контрольно-счетная палата Мурманской области</t>
  </si>
  <si>
    <t>882</t>
  </si>
  <si>
    <t>9980000030</t>
  </si>
  <si>
    <t>9980013060</t>
  </si>
  <si>
    <t>9980020080</t>
  </si>
  <si>
    <t>9980098700</t>
  </si>
  <si>
    <t>Иная непрограммная деятельность</t>
  </si>
  <si>
    <t>9990000000</t>
  </si>
  <si>
    <t>Реализация Закона Мурманской области "О государственных должностях Мурманской области"  и Закона Мурманской области "О государственной гражданской службе Мурманской области", за исключением предоставления единовременной субсидии на приобретение жилой площади</t>
  </si>
  <si>
    <t>9990000060</t>
  </si>
  <si>
    <t>Резервный фонд Правительства Мурманской области</t>
  </si>
  <si>
    <t>9990020010</t>
  </si>
  <si>
    <t>Выплаты по решениям судов</t>
  </si>
  <si>
    <t>9990020020</t>
  </si>
  <si>
    <t>Осуществление первичного воинского учета на территориях, где отсутствуют военные комиссариаты</t>
  </si>
  <si>
    <t>9990051180</t>
  </si>
  <si>
    <t>Обеспечение деятельности депутатов Государственной Думы и их помощников в избирательных округах</t>
  </si>
  <si>
    <t>9990051410</t>
  </si>
  <si>
    <t>Обеспечение членов Совета Федерации и их помощников в субъектах Российской Федерации</t>
  </si>
  <si>
    <t>9990051420</t>
  </si>
  <si>
    <t>Оказание содействия в подготовке проведения общероссийского голосования, а также информирования граждан Российской Федерации о такой подготовке</t>
  </si>
  <si>
    <t>999W000000</t>
  </si>
  <si>
    <t>999W020010</t>
  </si>
  <si>
    <t>Реализация мероприятий, связанных с обеспечением санитарно-эпидемиологической безопасности при подготовке к проведению общероссийского голосования по вопросу одобрения изменений в Конституцию Российской Федерации</t>
  </si>
  <si>
    <t>999W058530</t>
  </si>
  <si>
    <t>Профилактика и устранение последствий  распространения коронавирусной инфекции, а также предотвращение влияния ухудшения экономической ситуации на развитие отраслей экономики</t>
  </si>
  <si>
    <t>999К000000</t>
  </si>
  <si>
    <t>Выплаты стимулирующего характера работникам государственных учреждений за особые условия труда и дополнительную нагрузку (за счет средств резервного фонда Правительства Мурманской области)</t>
  </si>
  <si>
    <t>999К000101</t>
  </si>
  <si>
    <t>Единовременная региональная доплата гражданам, признанным в установленном порядке безработными (за счет средств резервного фонда Правительства Мурманской области)</t>
  </si>
  <si>
    <t>999К013901</t>
  </si>
  <si>
    <t>Расходы на обеспечение мероприятий направленных на профилактику и устранение последствий распространения коронавирусной инфекции (за счет средств резервного фонда Правительства Мурманской области)</t>
  </si>
  <si>
    <t>999К022101</t>
  </si>
  <si>
    <t>Осуществление выплат стимулирующего характера за выполнение особо важных работ медицинским и иным работникам, непосредственно участвующим в оказании медицинской помощи гражданам, у которых выявлена новая коронавирусная инфекция  (за счет средств резервного фонда Правительства Мурманской области)</t>
  </si>
  <si>
    <t>999К022102</t>
  </si>
  <si>
    <t>Осуществление единовременной  выплаты медицинским работникам отделений  для дифференциальной диагностики внебольничных пневмоний (за счет резервного фонда Правительства Мурманской области)</t>
  </si>
  <si>
    <t>999К022103</t>
  </si>
  <si>
    <t>Осуществление выплат стимулирующего характера за особые условия труда и дополнительную нагрузку  работникам стационарных организаций социального обслуживания, стационарных отделений, созданных не в стационарных организациях социального обслуживания, оказывающим социальные услуги гражданам, у которых выявлена новая коронавирусная инфекция, и лицам из групп риска заражения новой коронавирусной инфекцией, за счет средств резервного фонда Правительства Мурманской области</t>
  </si>
  <si>
    <t>999К022104</t>
  </si>
  <si>
    <t>Проведение государственной итоговой аттестации по образовательным программам среднего общего образования в условиях распространения новой коронавирусной инфекции (COVID-19) (за счет средств резервного фонда Правительства Мурманской области)</t>
  </si>
  <si>
    <t>999К022105</t>
  </si>
  <si>
    <t>Единовременная выплата работникам, привлекаемым к проведению единого государственного экзамена в 2020 году в условиях распространения новой коронавирусной инфекции (COVID-19) (за счет средств резервного фонда Правительства Мурманской области)</t>
  </si>
  <si>
    <t>999К022106</t>
  </si>
  <si>
    <t>Приобретение аппаратов для искусственной вентиляции легких для оснащения медицинских организаций за счет средств резервного фонда Правительства Российской Федерации</t>
  </si>
  <si>
    <t>999К058110</t>
  </si>
  <si>
    <t>Осуществление выплат стимулирующего характера за особые условия труда и дополнительную нагрузку медицинским работникам, оказывающим медицинскую помощь гражданам, у которых выявлена новая коронавирусная инфекция, и лицам из групп риска заражения новой коронавирусной инфекцией, за счет средств резервного фонда Правительства Российской Федерации</t>
  </si>
  <si>
    <t>999К058300</t>
  </si>
  <si>
    <t>Поддержка мер по обеспечению сбалансированности бюджетов на оснащение (переоснащение) дополнительно создаваемого или перепрофилируемого коечного фонда медицинских организаций для оказания медицинской помощи больным новой коронавирусной инфекцией за счет средств резервного фонда Правительства Российской Федерации</t>
  </si>
  <si>
    <t>999К058320</t>
  </si>
  <si>
    <t>Осуществление выплат стимулирующего характера за выполнение особо важных работ медицинским и иным работникам, непосредственно участвующим в оказании медицинской помощи гражданам, у которых выявлена новая коронавирусная инфекция, за счет средств резервного фонда Правительства Российской Федерации</t>
  </si>
  <si>
    <t>999К058330</t>
  </si>
  <si>
    <t>Осуществление выплат стимулирующего характера за особые условия труда и дополнительную нагрузку работникам стационарных организаций социального обслуживания, стационарных отделений, созданных не в стационарных организациях социального обслуживания, оказывающим социальные услуги гражданам, у которых выявлена новая коронавирусная инфекция, и лицам из групп риска заражения новой коронавирусной инфекцией, за счет средств резервного фонда Правительства Российской Федерации</t>
  </si>
  <si>
    <t>999К058340</t>
  </si>
  <si>
    <t>Софинансирование расходных обязательств по развертыванию в Кольском районе Мурманской области быстровозводимого полевого госпиталя для оказания медицинской помощи больным новой коронавирусной инфекцией (COVID-19) за счет средств резервного фонда Правительства Российской Федерации</t>
  </si>
  <si>
    <t>999К058350</t>
  </si>
  <si>
    <t>Поддержка субъектов малого и среднего предпринимательства в связи с ухудшением экономической ситуации в результате распространения коронавирусной инфекции</t>
  </si>
  <si>
    <t>999К060590</t>
  </si>
  <si>
    <t>Иные межбюджетные трансферты из областного бюджета муниципальным бюджетам для организации проведения дезинфекции помещений общего пользования в многоквартирных домах</t>
  </si>
  <si>
    <t>999К077130</t>
  </si>
  <si>
    <t>Иные межбюджетные трансферты из областного бюджета бюджетам муниципальных образований на финансовое обеспечение дополнительных мер поддержки в условиях негативного влияния на экономику распространения коронавирусной инфекции (за счет средств резервного фонда Правительства Мурманской области)</t>
  </si>
  <si>
    <t>999К077140</t>
  </si>
  <si>
    <t>Иные межбюджетные трансферты из областного бюджета местным бюджетам на финансовое обеспечение организации временного трудоустройства несовершеннолетних граждан в возрасте от 14 до 18 лет в свободное от учебы время в Мурманской области (за счет средств резервного фонда Правительства Мурманской области)</t>
  </si>
  <si>
    <t>999К077160</t>
  </si>
  <si>
    <t>Итого:</t>
  </si>
  <si>
    <t/>
  </si>
  <si>
    <t>Отчет об использовании средств по объектам капитального строительства, финансируемых за счет средств областного бюджета, передаваемых местным бюджетам в текущем финансовом году 
по состоянию на 1 июля 2020 года</t>
  </si>
  <si>
    <t>тыс.рублей</t>
  </si>
  <si>
    <t>Перечень объектов</t>
  </si>
  <si>
    <t>Бюджетные ассигнования, всего</t>
  </si>
  <si>
    <t>в том числе подтвержденные остатки прошлых лет</t>
  </si>
  <si>
    <t>Кассовые расходы на 01.07.2020</t>
  </si>
  <si>
    <t>ГП</t>
  </si>
  <si>
    <t>г. Апатиты с подведомственной территорией</t>
  </si>
  <si>
    <t>Государственная программа 4. "Развитие физической культуры и спорта"</t>
  </si>
  <si>
    <t>Другие вопросы в области физической культуры и спорта</t>
  </si>
  <si>
    <t>Физкультурно-оздоровительный комплекс в городе Апатиты (за счет федеральных средств)</t>
  </si>
  <si>
    <t>Физкультурно-оздоровительный комплекс в городе Апатиты (за счет областных средств)</t>
  </si>
  <si>
    <t>г. Кировск с подведомственной территорией</t>
  </si>
  <si>
    <t>Государственная программа 5. "Развитие культуры и сохранение культурного наследия региона"</t>
  </si>
  <si>
    <t>Культура</t>
  </si>
  <si>
    <t>Реконструкция объекта культурного наследия регионального значения "Здание первого хибиногорского кинотеатра "Большевик" расположенного по адресу : Мурманская область, г. Кировск , ул. Ленина, д. 12</t>
  </si>
  <si>
    <t>Создание на территории г. Кировска с п. т. (Юнный клуб "Ласточка")</t>
  </si>
  <si>
    <t>Государственная программа 14. "Развитие экономического потенциала и формирование благоприятного предпринимательского климата"</t>
  </si>
  <si>
    <t>Другие вопросы в области национальной экономики</t>
  </si>
  <si>
    <t>Строительство транспортных и инженерных коммуникаций, необходимых для реализации новых инвестиционных проектов по строительству гостиничных комплексов коттеджного типа в районе туристско-рекреационной зоны по ул. Ботанический сад в городе Кировске</t>
  </si>
  <si>
    <t>Система искусственного оснежения для горнолыжных трасс г. Айкуайвенчорр (за счет федеральных средств)</t>
  </si>
  <si>
    <t>Система искусственного оснежения для горнолыжных трасс г. Айкуайвенчорр (за счет областных средств)</t>
  </si>
  <si>
    <t>г. Мончегорск с подведомственной территорией</t>
  </si>
  <si>
    <t>Государственная программа 7. "Обеспечение комфортной среды проживания населения региона"</t>
  </si>
  <si>
    <t>Благоустройство</t>
  </si>
  <si>
    <t>Новое кладбище в городе Мончегорске</t>
  </si>
  <si>
    <t>Государственная программа 10. "Развитие рыбного и сельского хозяйства, регулирование рынков сельскохозяйственной продукции, сырья и  продовольствия"</t>
  </si>
  <si>
    <t>Коммунальное хозяйство</t>
  </si>
  <si>
    <t>Поселок 25. Канализационная насосная станция с напорным коллектором (за счет федеральных средств)</t>
  </si>
  <si>
    <t>Поселок 25. Канализационная насосная станция с напорным коллектором (за счет областных средств)</t>
  </si>
  <si>
    <t>г. Мурманск</t>
  </si>
  <si>
    <t>Государственная программа 2. "Развитие образования"</t>
  </si>
  <si>
    <t>Дошкольное образование</t>
  </si>
  <si>
    <t>Строительство детского сада на 80 мест в районе дома №44 по улице Капитана Орликовой в городе Мурманске (за счет федеральных средств)</t>
  </si>
  <si>
    <t>Строительство детского сада на 80 мест в районе дома №44 по улице Капитана Орликовой в городе Мурманске (за счет областных средств)</t>
  </si>
  <si>
    <t>Строительство детского сада на 196 мест в районе домов №31,32 по улице Достоевского в городе Мурманске (за счет федеральных средств)</t>
  </si>
  <si>
    <t>Строительство детского сада на 196 мест в районе домов №31,32 по улице Достоевского в городе Мурманске (за счет областных средств)</t>
  </si>
  <si>
    <t>Крытый каток с искусственным льдом МАУ ГЦС "Авангард" (за счет федеральных средств)</t>
  </si>
  <si>
    <t>Крытый каток с искусственным льдом МАУ ГЦС "Авангард" (за счет областных средств)</t>
  </si>
  <si>
    <t>г. Оленегорск с подведомственной территорией</t>
  </si>
  <si>
    <t>Городское кладбище г. Оленегорска</t>
  </si>
  <si>
    <t>ЗАТО Александровск</t>
  </si>
  <si>
    <t>Горнолыжная база (г. Полярный, ул. Героев "Тумана", 13)</t>
  </si>
  <si>
    <t>Строительство пешеходного моста в г. Полярный, ул. Моисеева - ул. Душенова</t>
  </si>
  <si>
    <t>ЗАТО г. Североморск</t>
  </si>
  <si>
    <t>Общее образование</t>
  </si>
  <si>
    <t>Общеобразовательная средняя школа на 1200 мест в ЗАТО г. Североморск Мурманской области (за счет федеральных средств)</t>
  </si>
  <si>
    <t>Общеобразовательная средняя школа на 1200 мест в ЗАТО г. Североморск Мурманской области (за счет областных средств)</t>
  </si>
  <si>
    <t>Детский сад в ЗАТО г. Североморск (за счет федеральных средств)</t>
  </si>
  <si>
    <t>Детский сад в ЗАТО г. Североморск (за счет областных средств)</t>
  </si>
  <si>
    <t>Ковдорский район</t>
  </si>
  <si>
    <t>Физкультурно-оздоровительный комплекс в г. Ковдоре</t>
  </si>
  <si>
    <t>Кандалакшский район</t>
  </si>
  <si>
    <t>Детский сад в с. Алакуртти Кандалакшского района (за счет федеральных средств)</t>
  </si>
  <si>
    <t>Детский сад в с. Алакуртти Кандалакшского района (за счет областных средств)</t>
  </si>
  <si>
    <t>Замена централизованного водяного теплоснабжения на электрическое по адресу: Мурманская область, Кандалакшский район, п. г. т. Зеленоборский,ул. Шоссейная, дом № 30</t>
  </si>
  <si>
    <t>Замена централизованного водяного теплоснабжения на электрическое по адресу: Мурманская область, Кандалакшский район, п. г. т. Зеленоборский,ул. Шоссейная, дом № 32</t>
  </si>
  <si>
    <t>Кладбище традиционного захоронения в районе н.п. Нивский</t>
  </si>
  <si>
    <t>Кольский район</t>
  </si>
  <si>
    <t>Детский сад в с. Мурмаши, ул. Причальная (за счет федеральных средств)</t>
  </si>
  <si>
    <t>Детский сад в с. Мурмаши, ул. Причальная (за счет областных средств)</t>
  </si>
  <si>
    <t>Быстровозводимый спортивный комплекс с плавательным бассейном (расположенный по адресу Мурманская область, г. Кола, пр. Защитников Заполярья, д. 3/1) (за счет федеральных средств)</t>
  </si>
  <si>
    <t>Быстровозводимый спортивный комплекс с плавательным бассейном (расположенный по адресу Мурманская область, г. Кола, пр. Защитников Заполярья, д. 3/1) (за счет областных средств)</t>
  </si>
  <si>
    <t>Другие вопросы в области жилищно-коммунального хозяйства</t>
  </si>
  <si>
    <t>Реконструкция водозаборных сооружений села Тулома Кольского района (за счет федеральных средств)</t>
  </si>
  <si>
    <t>Реконструкция водозаборных сооружений села Тулома Кольского района (за счет областных средств)</t>
  </si>
  <si>
    <t>Ловозерский район</t>
  </si>
  <si>
    <t>Реконструкция здания детского сада в с. Краснощелье под школу</t>
  </si>
  <si>
    <t>Печенгский  район</t>
  </si>
  <si>
    <t>Строительство здания начальной школы (пристройки) на 250 мест в поселке Печенга</t>
  </si>
  <si>
    <t>Новое кладбище МОГП Никель в районе 3 км автодороги Никель-Приречный Печенгского района</t>
  </si>
  <si>
    <t>Новое городское кладбище муниципального образования г. Заполярный</t>
  </si>
  <si>
    <t>Терский район</t>
  </si>
  <si>
    <t>Лыжная база Муниципального бюджетного образовательного учреждения дополнительного образования детей Центр детского творчества, пгт Умба</t>
  </si>
  <si>
    <t>ИТОГО, из них:</t>
  </si>
  <si>
    <t xml:space="preserve">средства федерального бюджета </t>
  </si>
  <si>
    <t xml:space="preserve">средства областного бюджета </t>
  </si>
  <si>
    <t>И.о. министра финансов Мурманской области</t>
  </si>
  <si>
    <t>М.А. Селезнёв</t>
  </si>
  <si>
    <t>исп.  А.В. Поддубная, (815 2) 48 60 38</t>
  </si>
  <si>
    <t>Государственная программа 10. "Развитие рыбного и сельского хозяйства, регулирование рынков сельскохозяйственной продукции, сырья и продовольствия"</t>
  </si>
  <si>
    <t>Отчет об использовании средств по объектам капитального строительства,</t>
  </si>
  <si>
    <t>финансируемых из областного бюджета в текущем финансовом году</t>
  </si>
  <si>
    <t>по состоянию на 1 июля 2020 года</t>
  </si>
  <si>
    <t>Государственная программа 1. "Развитие здравоохранения"</t>
  </si>
  <si>
    <t>Подпрограмма 4.  "Развитие инфраструктуры системы здравоохранения"</t>
  </si>
  <si>
    <t>Реконструкция каньонов ГОБУЗ "Мурманский областной онкологический диспансер", г. Мурманск, ул. Павлова, д. 6</t>
  </si>
  <si>
    <t>Амбулатория в п.г.т. Сафоново</t>
  </si>
  <si>
    <t>Фельдшерско-акушерский пункт в с. Краснощелье Ловозерского района</t>
  </si>
  <si>
    <t>Реконструкция комплекса зданий ГОБУЗ "Мурманский областной онкологический диспансер"</t>
  </si>
  <si>
    <t>Разработка проектной документации</t>
  </si>
  <si>
    <t>Жилой одноэтажный корпус на 50 койко-мест детского оздоровительного центра "Гандвиг"</t>
  </si>
  <si>
    <t>Спортивная площадка ГАПОУ МО "Мурманский индустриальный колледж, расположенная по адресу г. Мурманск, ул. Подгорная, 80"</t>
  </si>
  <si>
    <t>Создание регионального центра выявления, поддержки и развития способностей и талантов у детей и молодежи Мурманской области</t>
  </si>
  <si>
    <t>Комплексное развитие СК "Долина Уюта" в г. Мурманске (за счет федеральных средств)</t>
  </si>
  <si>
    <t>Комплексное развитие СК "Долина Уюта" в г. Мурманске (за счет областных средств)</t>
  </si>
  <si>
    <t>Административно-спортивный комплекс специализированной детско-юношеской спортивной школы олимпийского резерва по горнолыжному спорту в г. Кировске (за счет федеральных средств)</t>
  </si>
  <si>
    <t>Административно-спортивный комплекс специализированной детско-юношеской спортивной школы олимпийского резерва по горнолыжному спорту в г. Кировске (за счет областных средств)</t>
  </si>
  <si>
    <t>Горнолыжный подъемник специализированной детско-юношеской спортивной школы олимпийского резерва по горнолыжному спорту в г. Кировске (за счет федеральных средств)</t>
  </si>
  <si>
    <t>Горнолыжный подъемник специализированной детско-юношеской спортивной школы олимпийского резерва по горнолыжному спорту в г. Кировске (за счет областных средств)</t>
  </si>
  <si>
    <t>Строительство бассейна в г.Мурманске</t>
  </si>
  <si>
    <t>Реконструкция здания государственного областного бюджетного учреждения культуры "Мурманский областной краеведческий музей" в целях приспособления объекта культурного наследия для современного использования, г. Мурманск, просп. Ленина, д. 90 (за счет федеральных средств)</t>
  </si>
  <si>
    <t>Реконструкция здания государственного областного бюджетного учреждения культуры "Мурманский областной краеведческий музей" в целях приспособления объекта культурного наследия для современного использования, г. Мурманск, просп. Ленина, д. 90 (за счет областных средств)</t>
  </si>
  <si>
    <t>Реконструкция книгохранения здания ГОБУК «Мурманская государственная областная универсальная научная библиотека», по адресу: г. Мурманск, ул. Софьи Перовской, д. 21А</t>
  </si>
  <si>
    <t>Реконструкция здания государственного областного автономного учреждения культуры "Мурманский областной драматический театр" в целях приспособления объекта культурного наследия для современного использования, г. Мурманск, просп. Ленина, д. 49 (за счет федеральных средств)</t>
  </si>
  <si>
    <t>Реконструкция здания государственного областного автономного учреждения культуры "Мурманский областной драматический театр" в целях приспособления объекта культурного наследия для современного использования, г. Мурманск, просп. Ленина, д. 49 (за счет областных средств)</t>
  </si>
  <si>
    <t>Реконструкция здания ДК Моряков в г. Мурманске</t>
  </si>
  <si>
    <t>Реконструкция здания ГОАУК «Мурманский областной Дворец культуры и народного творчества им. С.М. Кирова» в целях приспособления объекта культурного наследия для современного использования, по адресу: г. Мурманск, ул. Пушкинская, д. 3</t>
  </si>
  <si>
    <t>Подпрограмма 1. "Обеспечение доступным и комфортным жильем и коммунальными услугами граждан Мурманской области"</t>
  </si>
  <si>
    <t>Комплекс крупного рогатого скота "Тулома". Очистные сооружения сточных вод производительностью 200 м3/сут</t>
  </si>
  <si>
    <t>Жилые дома в г. Мурманске на ул. Бондарной</t>
  </si>
  <si>
    <t>Строительство  Южных ОСК, г. Мурманск</t>
  </si>
  <si>
    <t>Реконструкция Северных очистных сооружений канализации. Строительство станции биологической очистки</t>
  </si>
  <si>
    <t>Государственная программа 8. "Обеспечение общественного порядка и безопасности населения региона"</t>
  </si>
  <si>
    <t>Пожарное депо на 4 автомобиля в п.г.т. Умба</t>
  </si>
  <si>
    <t xml:space="preserve">Подпрограмма 4. "Развитие внешнеэкономических связей, туризма и торговой деятельности в регионе"
</t>
  </si>
  <si>
    <t>Система искусственного оснежения для ГОАУМО "Кировская спортивная школа олимпийского резерва по горнолыжному спорту" (за счет федеральных средств)</t>
  </si>
  <si>
    <t>Система искусственного оснежения для ГОАУМО "Кировская спортивная школа олимпийского резерва по горнолыжному спорту" (за счет областных средств)</t>
  </si>
  <si>
    <t>Государственная программа 12. "Развитие транспортной системы"</t>
  </si>
  <si>
    <t>Проектно - изыскательские и прочие работы</t>
  </si>
  <si>
    <t>Реконструкция автоподъезда к селу Териберка, км 0 - км 10 (за счет федеральных средств)</t>
  </si>
  <si>
    <t>Реконструкция автоподъезда к селу Териберка, км 0 - км 10 (за счет областных средств)</t>
  </si>
  <si>
    <t>Техническое переоснащение музеев (установка подведомственным учреждением ГОАУ «Мурманский областной краеведческий музей»  оборудования специального типа для проведения специализированных выставок, показов, инсталляций и пр.) (за счет федеральных средств)</t>
  </si>
  <si>
    <t>Техническое переоснащение музеев (установка подведомственным учреждением ГОАУ «Мурманский областной краеведческий музей»  оборудования специального типа для проведения специализированных выставок, показов, инсталляций и пр.) (за счет областных средств)</t>
  </si>
  <si>
    <t>ВСЕГО, из них:</t>
  </si>
  <si>
    <t>Межбюджетные трансферты, из них:</t>
  </si>
  <si>
    <t>ИТОГО с учетом межбюджетных трансфертов</t>
  </si>
  <si>
    <t>План реализации государственной программы на 2019-2020 годы</t>
  </si>
  <si>
    <t>Министерство спорта и молодежной политики МО, Министерство строительства МО</t>
  </si>
  <si>
    <t>Министерство спорта и молодежной политики МО</t>
  </si>
  <si>
    <t>Министерство строительства МО</t>
  </si>
  <si>
    <t>2019-2020</t>
  </si>
  <si>
    <t>Министерство спорта и молодежной политики МО, подведомственные Минспорту МО учреждения</t>
  </si>
  <si>
    <t>Министерство спорта и молодежной политики МО, Министерство информационной политики МО, подведомственные учреждения</t>
  </si>
  <si>
    <t>Закупка оборудования для обеспечения антитеррористической защищенности объектов спорта учреждений, подведомственных Министерство спорта и молодежной политики МО</t>
  </si>
  <si>
    <t>Министерство спорта и молодежной политики МО, подведомственные учреждения</t>
  </si>
  <si>
    <t>Создание автоматизированной информационной системы информационно-коммуникационного и статистического обеспечения контроля и прогнозирования развития спортивной отрасли в 2020 году</t>
  </si>
  <si>
    <t xml:space="preserve"> Доля населения Мурманской области, выполнивших нормативы Всероссийского физкультурно-спортивного комплекса "Готов к труду и обороне" (ГТО), в общей численности населения, принявшего участие в сдаче нормативов Всероссийского физкультурно-спортивного комплекса "Готов к труду и обороне" (ГТО). Доля населения  Мурманской области, занимающихся физической культурой и спортом по месту работы, в общей численности населения занятого в экономике.</t>
  </si>
  <si>
    <t>Ежегодное изготовление и трансляция не менее 1  телевизионной программы по развитию физической культуры и спорта в Мурманской области.</t>
  </si>
  <si>
    <t xml:space="preserve"> Доля населения  Мурманской области, занимающихся физической культурой и спортом по месту работы, в общей численности населения занятого в экономике.</t>
  </si>
  <si>
    <t>Министерство спорта и молодежной политики МО, подведомственные Минспорту МО учреждения, администрации муниципальных образований МО</t>
  </si>
  <si>
    <t>2020 год - поставка комплектов спортивного оборудования: малые спортивные  формы в   пгт Алакуртти и футбольное  поле в ЗАТО  Александровск</t>
  </si>
  <si>
    <t>Министерство спорта и молодежной политики МО, муниципальные образования МО</t>
  </si>
  <si>
    <t>1.3.2.</t>
  </si>
  <si>
    <t>Закупка комплекта искусственного покрытия футбольного поля</t>
  </si>
  <si>
    <t xml:space="preserve">Закупка комплекта искусственного покрытия футбольного поля в рамках ФЦП "Развитие физической культуры и спорта в Росийской Федерации". Укладка искусственного покрытия футбольного поля за счет средств муниципального образования: в 2019 году г. Кировск. </t>
  </si>
  <si>
    <t xml:space="preserve">Ежегодная организация  сеансов свободного плавания в муниципальных образованиях МО в колличестве не менее 7000 чел./посещений </t>
  </si>
  <si>
    <t>Закупка спортивного оборудования по ОФП и СФП в соответствии с федеральными стандартами спортивной подготоки для  1 СШОР Мурманской области в 2020 году</t>
  </si>
  <si>
    <t>В 2019-2020 годах  проведение ежегодно не менее 22  всероссийских, областных,  и межмуниципальных официальных  физкультурных мероприятий, в том числе по защите прав потребителй. Внедрение Всероссийского физкультурно-спортивного комплекса ГТО, в том числе организация и проведение не менее 8 официальных физкультурных мероприятий. Организация и проведение тестирования населения нормама ГТО в региональном центре тестирования.</t>
  </si>
  <si>
    <t>Министерство спорта и молодежной политики МО, ГАУМО «ЦСП»</t>
  </si>
  <si>
    <t>Ежегодная организация и проведение не менее 1  регионального этапа Всероссийских конкурсов, смотров-конкурсов</t>
  </si>
  <si>
    <t>Организация и проведение тренировочных мероприятий по подготовке к официальным спортивным мероприятиям, по общей физической или специальной физической  подготовке, восстановительных мероприятий спортивных сборных команд Мурманской области не менее чем по 10  видам спорта</t>
  </si>
  <si>
    <t xml:space="preserve">Основное мероприятие 2 "Реализация программ спортивной подготовки в сфере физичечской культуры и спорта подведомственными учреждениями"
</t>
  </si>
  <si>
    <t xml:space="preserve">Обеспечение подготовки спортивного резерва для сборных команд Российской Федерации  </t>
  </si>
  <si>
    <t xml:space="preserve">ГАУМО «ЦСП»  </t>
  </si>
  <si>
    <t>Государственная поддержка  спортивных  организаций,  осуществляющих  подготовку  спортивного  резерва для  сборных  команд,  в том числе спортивных сборных команд Российской Федерации</t>
  </si>
  <si>
    <t xml:space="preserve">2020 год - закупка не менее 4 государственным спортивным организациям для отделений  по базовым  видам спорта спортивного оборудования, экипировки и инвентаря в соответствии с федеральными стандартами спортивной подготовки </t>
  </si>
  <si>
    <t>Компенсация расходов на оплату стоимости проезда и провоза багажа при переезде лиц (работников), а также членов их семей, при заключении (расторжении) трудовых договоров (контрактов) с организациями, финансируемыми из областного бюджета (1ед.)</t>
  </si>
  <si>
    <t>Приобретение лицензионных программных продуктов, технических компьютерных средств для нужд 6 подведомственных учреждений</t>
  </si>
  <si>
    <t>Доля спортсменов-разрядников в общем количестве лиц, занимающихся в системе специализированных детско-юношеских спортивных школ олимпийского резерва. Численность спортсменов МО, включенных в список кандидатов в спортивные сборные команды Российской Федерации. доля спортсменов-разрядников, имеющих разряды и звания (от 1 разряда до спортивного звания «Заслуженный мастер спорта»), в общем количестве спортсменов-разрядников в системе специализированных детско-юношеских спортивных школ олимпийского резерва.  Доля граждан в возрасте 6-15 лет, занимающихся в спортивных организациях, в общей численности детей и молодежи в возрасте 6-15 лет</t>
  </si>
  <si>
    <t>Приобретение в 2020 году спортивного оборудования и инвентаря для хоккея не менее 1 комлекта</t>
  </si>
  <si>
    <t>Ежегодное проведение не менее 10 соревнований международного традиционного Праздника Севера.</t>
  </si>
  <si>
    <t xml:space="preserve">Приобретение оборудования и инвентаря в соответствии с федеральными стандартами спортивной подготовки в не менее 6 спортивных школ осуществляющих спортивную подготовку муниципальных образований Мурманской области </t>
  </si>
  <si>
    <t>Министерство спорта и молодежной политики МО, Администрации муниципальных образований  МО</t>
  </si>
  <si>
    <t xml:space="preserve">Реализация программ спортивной подготовки в 2019 году и плановом периоде 2020-2021 г.г.: ГАУМО «КСШОР» - 335 человек, ГАУМО «МОСШОР по зимним видам спорта» - 579 человек, ГАУМО «МОСШОР» - 233 человека, ГАУМО «Мончегорская СШОР» - 256 человек, ГАУМО «Кировская СШОР» - 270 человек. </t>
  </si>
  <si>
    <t>Министерство спорта и молодежной политики МО Минстрой МО, ГОКУ «УКС МО», муниципальные образования МО</t>
  </si>
  <si>
    <t>2016 год разработка проекта. В 2017 году заключение контракта, подготовительные работы, работы нулевого цикла.
Техническая готовность объекта в 2018 году 42%. Объект введен в эксплуатацию (разрешение на ввод от 21.08.2019).</t>
  </si>
  <si>
    <t>Разработка ПСД по объекту "Реконструкция здания плавательного бассейна по ул. Челюскинцев, д.2 в г. Мурманске"</t>
  </si>
  <si>
    <t xml:space="preserve">Разработка проектной документации, получение положительного заключения государственой экспертизы в 2019 году. </t>
  </si>
  <si>
    <t>Разработка проектной документации, получение положительного заключения государственой экспертизы в 2017 году. 2019 - корректура проекта в целях выделения этапов строительства, получение экспертизы. Строительство 1 этапа - 2019</t>
  </si>
  <si>
    <t>2018 год - разработка ПСД, получение заключения по проверке достоверности определения сметной стоимости. 2019 - строительство.</t>
  </si>
  <si>
    <t xml:space="preserve">Строительство объекта «Физкультурно-оздоровительный комплекс в городе Апатиты»  </t>
  </si>
  <si>
    <t>Строительство объекта - 2019 г, техническая готовность в 2019 году - 26%</t>
  </si>
  <si>
    <t>Минстрой МО, МО г.Апатиты с п.т.</t>
  </si>
  <si>
    <t xml:space="preserve">Строительство объекта «Лыжная база Муниципального бюджетного образовательного учреждения дополнительного образования детей Центр детского творчества», пгт Умба                                                                                                                                                                 </t>
  </si>
  <si>
    <t>2019 год строительство и ввод объекта в эксплуатацию.</t>
  </si>
  <si>
    <t>Минстрой МО, МО Терский р-он</t>
  </si>
  <si>
    <t>Проведение инженерных изысканий для подготовки проекта планировки территории и проекта межевания территории для размещения спортивно-досугового многофункционального центра на территории г. Мурманска</t>
  </si>
  <si>
    <t>2019 год проведение инженерных изысканий для подготовки проекта планировки территории и проекта межевания территории для размещения спортивно-досугового многофункционального центра на территории г. Мурманска</t>
  </si>
  <si>
    <t xml:space="preserve">Разработка проекта планировки территории и проекта межевания территории для размещения на земельном участке, расположенном в городе Мурманске Мурманской области в кадастровом квартале 51:20:0001012, ограниченном улицами: Кольский проспект, Морская ул. </t>
  </si>
  <si>
    <t>2019 год разработка проекта планировки территории и проекта межевания территории для размещения на земельном участке, расположенном в городе Мурманске Мурманской области в кадастровом квартале 51:20:0001012, ограниченном улицами: Кольский проспект, Морская улица, улица Ломоносова, Лыжный проезд, ориентировочной площадью 22,5 га  объектов капитального строительства, в том числе объекта -  «Спортивно-досуговый  многофункциональный центр на территории  г. Мурманска в Долине Уюта», разработка проектной документации</t>
  </si>
  <si>
    <t>Субсидия на подготовку основания для установки спортивных площадок (ГТО)</t>
  </si>
  <si>
    <t>2019 - подготовка основания для установки спортивных площадок (псп Алакуртти, пгт Никель, п.Гаджиево, пгт. Верхнетуломский)</t>
  </si>
  <si>
    <t>Министерство спорта и молодежной политики МО, администрация муниципального образования</t>
  </si>
  <si>
    <t>Строительство быстровозводимого спортивного комплекса с плавательным бассейном на Кольском проспекте в г. Мурманске</t>
  </si>
  <si>
    <t>Подготовка проектной документации - 2020 г</t>
  </si>
  <si>
    <t>2019 - подготовка проектной документации, 2020 - строительство</t>
  </si>
  <si>
    <t>Межшкольный стадион в г. Мурманске» г. Мурманск, пр. Героев Североморцев, дом 2 (второй этап)</t>
  </si>
  <si>
    <t>2019 год - завершение строительства 2-го этапа (ввод в эксплуатацию не требуется).</t>
  </si>
  <si>
    <t>Реконструкция объектов спорта</t>
  </si>
  <si>
    <t>Разработка проектно-сметной документации в 2020 году</t>
  </si>
  <si>
    <t>Разработка ПСД объекта в 2020 году</t>
  </si>
  <si>
    <t>Строительство объекта в г. Полярный в 2020 году</t>
  </si>
  <si>
    <t>Основное мероприятие 2 «Проведение капитального и текущего ремонта, реализация мероприятий по энергоэффективности спортивных сооружений Мурманской области»</t>
  </si>
  <si>
    <t>Министерство строительства МО, администрации муниципальных образований</t>
  </si>
  <si>
    <t xml:space="preserve">Возмещение затрат юридических лиц в части содержания государственного имущества    </t>
  </si>
  <si>
    <t xml:space="preserve">Возмещение затрат ГОУП «УСЦ»  в части  содержания государственного имущества. </t>
  </si>
  <si>
    <t>Министерство спорта и молодежной политики МО, ГОУП УСЦ</t>
  </si>
  <si>
    <t>Капитальный ремонт здания спортивного комплекса «Дельфин» в г. Заполярный</t>
  </si>
  <si>
    <t xml:space="preserve"> 2019 год - ремонт чаши бассейна, фасада, коммуникаций, внутренних помещений. 2020 - ремонт бассейна, внутренний водопровод и канализация</t>
  </si>
  <si>
    <t>Минстрой МО, МО г.п. Заполярный Печенгского района</t>
  </si>
  <si>
    <t>Замена витражного остекления здания Ледового дворца спорта со стороны Ленинградского проспекта, частичный ремонт фасада, г. Оленегорск</t>
  </si>
  <si>
    <t xml:space="preserve">Ремонт в 2019 году витражного остекления здания Ледового дворца спорта со стороны Ленинградского проспекта, частичный ремонт фасада в г. Оленегорске.           </t>
  </si>
  <si>
    <t>Минстрой МО, МО г.Оленегорск с п.т.</t>
  </si>
  <si>
    <t>Капитальный ремонт стадиона в п. Мурмаши, ул. Позднякова, д. 8</t>
  </si>
  <si>
    <t>Капитальный ремонт в 2019 году стадиона в п. Мурмаши, ул. Позднякова, д. 8</t>
  </si>
  <si>
    <t>Минстрой МО, МО г.п.Мурмаши Кольского района</t>
  </si>
  <si>
    <t>Замена и установка пожарной, охранной сигнализации и системы видео наблюдения</t>
  </si>
  <si>
    <t>2019 - замена и установка пожарной, охранной сигнализации и системы видео наблюдения в подведомственных организациях</t>
  </si>
  <si>
    <t>Министерство спорта и молодежной политики МО, ГБУДО "МОСШ", ГАУМО "МОСШОР"</t>
  </si>
  <si>
    <t>Сертификация спортсооружений</t>
  </si>
  <si>
    <t>2019 - сертификация спортсооружений в подведомственных организациях</t>
  </si>
  <si>
    <t>Министерство спорта и молодежной политики МО, ГАУМО "Мончегорская СШОР", ГАУМО "ЦСП"</t>
  </si>
  <si>
    <t>Капитальный ремонт здания Дома физкультуры и системы водоочистки плавательного бассейна учреждения спорта "УСЦ" г. Оленегорск</t>
  </si>
  <si>
    <t>2019 - капитальный ремонт здания Дома физкультуры и системы водоочистки плаательного бассейна учреждения спорта "УСЦ" г. Оленегорск</t>
  </si>
  <si>
    <t>Текущий ремонт стадиона "Локомотив", г.Кандалакша</t>
  </si>
  <si>
    <t>2019 - капитальный ремонт стадиона "Локомотов", г.Кандалакша</t>
  </si>
  <si>
    <t>Ремонт межшкольных стадионов</t>
  </si>
  <si>
    <t>2019 - капитальный ремонт межшкольного стадиона, пгт Умба, пгт Зеленоборский</t>
  </si>
  <si>
    <t>Технологическое присоединение к электросетям</t>
  </si>
  <si>
    <t>Технологическое присоединение к электросетям АСК и Горнолыжного подъемника (г. Кировск)</t>
  </si>
  <si>
    <t>Министерство спорта и молодежной политики МО, ГАУМО "Кировская СШОР"</t>
  </si>
  <si>
    <t>Текущие и капитальные ремонтные работы в подведомственных учреждениях</t>
  </si>
  <si>
    <t>Субсидия на капитальный и текущий ремонт в подведомственных учреждениях. В 2020 году ремонты в 2ух подведомственных учреждениях</t>
  </si>
  <si>
    <t>2020 год проведение инженерных изысканий для подготовки проекта планировки территории и проекта межевания территории для размещения спортивно-досугового многофункционального центра на территории г. Мурманска</t>
  </si>
  <si>
    <t>Мероприятия по обеспечению техническими средствами адаптации для маломобильных групп населения</t>
  </si>
  <si>
    <t>Обеспечение доступности подведомственных учреждений для маломобильных групп населения</t>
  </si>
  <si>
    <t>Министерство спорта и молодежной политики МО, ГАУМО "ЦСП"</t>
  </si>
  <si>
    <t>Капитальный ремонт бассейна МАУ СШОР № 1 г. Мончегорска (водоподготовка и технологическое оборудовние)</t>
  </si>
  <si>
    <t>в 2020 году капитальный ремонт чаши бассейна и прилегающего к нему помещения с полной заменой их инженерных систем и оборудования в спортивно-оздоровительном комплексе МАУ "СШОР №1</t>
  </si>
  <si>
    <t>Минстрой МО, МО г.Мончегорск</t>
  </si>
  <si>
    <t xml:space="preserve">Капитальный ремонт чаши плавательного бассейна МБОУ ДО ДЮСШ г. Снежногорска </t>
  </si>
  <si>
    <t xml:space="preserve">в 2020 году капитальный ремонт чаши плавательного бассейна </t>
  </si>
  <si>
    <t>Минстрой МО, МО ЗАТО Александровск</t>
  </si>
  <si>
    <t xml:space="preserve">Капитальный ремонт спортивного зала МБУК "ЦТиД г. Гаджиево" </t>
  </si>
  <si>
    <t>в 2020 году капитальный ремонт спортивного зала МБУК "ЦТиД г. Гаджиево"</t>
  </si>
  <si>
    <t xml:space="preserve">Капитальный ремонт плавательного бассейна в г. Полярные Зори </t>
  </si>
  <si>
    <r>
      <t xml:space="preserve">в 2020 году капитальный ремонт </t>
    </r>
    <r>
      <rPr>
        <sz val="8"/>
        <color indexed="36"/>
        <rFont val="Times New Roman"/>
        <family val="1"/>
        <charset val="204"/>
      </rPr>
      <t>плавательного бассейна в рамках соглашения с РОСАТОМом</t>
    </r>
  </si>
  <si>
    <t>Минстрой МО</t>
  </si>
  <si>
    <t>Капитальный ремонт беговых дорожек, трибун и подтрибунных помещений стадиона МБУ СШ «Олимп» г. Оленегорска</t>
  </si>
  <si>
    <t xml:space="preserve">В 2020 году капитальный ремонт беговых дорожек, трибун с установкой кресел и поттрибунных помещений стадиона </t>
  </si>
  <si>
    <t>Капитальный ремонт кровли Ледового дворца спорта МУС «УСЦ» г. Оленегорска</t>
  </si>
  <si>
    <t xml:space="preserve">В 2020 - капитальный ремонт кровли здания </t>
  </si>
  <si>
    <t>Основное мероприятие 3 «Строительство, реконструкция и модернизация спортивных объектов Мурманской области в рамках государственно-частного партнерства»</t>
  </si>
  <si>
    <t>Министерство спорта и молодежной политики МО, подведомственные Минспорту МО учреждения, Минстрой МО, администрации муниципальных образований МО</t>
  </si>
  <si>
    <t>3.4.1.</t>
  </si>
  <si>
    <t>Строительство объекта "Межшкольный стадион в г. Мурманске" г. Мурманск, пр. Героев Североморцев, дом 2 (первый этап)</t>
  </si>
  <si>
    <t>2019 г - строительство 1-го этапа, ввод объекта  - октябрь 2019г.</t>
  </si>
  <si>
    <t>3.4.2.</t>
  </si>
  <si>
    <t>2019 г - строительство, ввод в эксплуатацию в 2019г.</t>
  </si>
  <si>
    <t>Техническая готовность объекта в 2019 году 48%, ввод объекта в 2020 году.</t>
  </si>
  <si>
    <t>3.4.4.</t>
  </si>
  <si>
    <t>Строительство объекта "Межшкольный стадион в г. Мурманске" г. Мурманск, пр. Героев Североморцев, дом 2 (второй этап)</t>
  </si>
  <si>
    <t xml:space="preserve">Строительство объекта - 2019-2020 год. Техническая готовность объекта в 2019 году  - 20% (уровень освоения установлен с учетом поставки дорогостоящего оборудования длительного изготовления). Ввод объекта в эксплуатацию в 2020 году. </t>
  </si>
  <si>
    <t>Минстрой МО, ГУАМО "Кировская СШОР"</t>
  </si>
  <si>
    <t>3.4.6.</t>
  </si>
  <si>
    <t>Создание или модернизация футбольных полей с искусственным покрытиеми легкоатлетическими беговыми дорожками</t>
  </si>
  <si>
    <t>Ремонт футбольных полей. 2019 год г. Кандалакша.</t>
  </si>
  <si>
    <t>Строительство объекта в г. Мурманске. 2019-2020 годы - строительство.Техническая готовность объекта в 2019 году - 40%. Ввод объект в эксплуатацию в 2020 году.</t>
  </si>
  <si>
    <t>Минстрой МО, МО г.Мурманск</t>
  </si>
  <si>
    <t>2020 - капитальный ремонт искусственного покрытия футбольного поля с легкоатлетическими дорожками ЗАТО Александровск</t>
  </si>
  <si>
    <t>3.4.9.</t>
  </si>
  <si>
    <t>Субсидия на подготовку основания  и установку комплекта спортивно технологического оборудования для создания малых спортивных площадок</t>
  </si>
  <si>
    <t>2019 - подготовка основания и установка комплекта спортивно-технологического оборудования для создания малой спортивной площадки ЗАТО Заозерск,  ЗАТО Североморск</t>
  </si>
  <si>
    <t>Приобретение и установка не менее 3 спортивных площадок ежегодно.</t>
  </si>
  <si>
    <t>Разработка проектной документации, получение положительного заключения государственой экспертизы в 2017 году. 2019 - корректура проекта в целях выделения этапов строительства, получение экспертизы. Строительство 1 этапа - 2019-2020 годы.</t>
  </si>
  <si>
    <t>Строительство объекта - 2020-2021 гг, техническая готовность в 2020 году - 80%, ввод в 2021 году</t>
  </si>
  <si>
    <t>Подпрограмма 4 "Обеспечение реализации государственной программы»</t>
  </si>
  <si>
    <t>Реализация мероприятия рачитана до конца т.г.</t>
  </si>
  <si>
    <t>Министерство спорта   Мурманской области</t>
  </si>
  <si>
    <t>Министерство спорта МО и Минстрой МО</t>
  </si>
  <si>
    <t>Министерство спорта МО и подведомственные организации Минспорту МО</t>
  </si>
  <si>
    <t>Министерство спорта МО</t>
  </si>
  <si>
    <t xml:space="preserve">Министерство спорта Мо и подведомственные учреждения администрации </t>
  </si>
  <si>
    <t>Миистерство спорта МО и подведомственные учреждения Минспорту МО</t>
  </si>
  <si>
    <t>Министерство спорта МО и подведомственные учреждения Минспорта МО</t>
  </si>
  <si>
    <t>Министерстов спорта МО</t>
  </si>
  <si>
    <t>Министерство спорта МО, подведомственные организации., Минстрой МО, Администрации МО.</t>
  </si>
  <si>
    <t>Предоставление субсидий из областного бюджета некомерческими оргаизациями, осуществляющими деятельность в сфере физической культуры т мпорта по виду спорта "Хокей с мячем"</t>
  </si>
  <si>
    <t>1.2.4.</t>
  </si>
  <si>
    <t>Предоставление субсидий и грантов  в форме субсидий по итогам проведения конкурса для реализации социально значимых проектов в сфере физической культуры и спорта</t>
  </si>
  <si>
    <t>1.2.5.</t>
  </si>
  <si>
    <t>Частичное финансовое обеспечение затрат, связанных с подготовкой и участием спортивной команды в физкультурных мероприятиях и спортивных мероприятиях по хоккею, а также с оплатой труда и начислениями на оплату труда работников</t>
  </si>
  <si>
    <t xml:space="preserve">Реализация социально значимых проектов и программ в сфере физической культуры и спорта </t>
  </si>
  <si>
    <t>Содействие развитию физической культуры и спорта на территории Мурманской области, достижение целевого показателя в рамках национальной цели "Сохранение населения, здоровья и благополучия людей"</t>
  </si>
  <si>
    <t>1.4 Доля граждан Мурманской области, занимающихся физической культурой и спортом по месту работы, в общей численности населения занятого в экономике</t>
  </si>
  <si>
    <t xml:space="preserve">Количество приобретенных зачетных книжек и нагрудных знаков </t>
  </si>
  <si>
    <t xml:space="preserve">Министерство спорта и подведомственные учреждения Минспорту МО "МОСШОР" по зимним видам спорта" ГАУМО "Кировская СОШ" ГАУМР "МОСШОР" ГАУМО "ЦСП" "Мончегорская СШОР"ГОБУ "МОСШ" </t>
  </si>
  <si>
    <t>Обеспечение подготовки спортивного резерва для сборных команд РФ</t>
  </si>
  <si>
    <t>Предоставление компенсации расходов на оплату стоимости проезда и провоза багажа при переезде лиц (работников), а также членов их семей, при заключении (расторжении) трудовых договоров (контрактов) с организациями, финансируемыми из областного бюджета</t>
  </si>
  <si>
    <t xml:space="preserve">2.2 Доля организаций, оказывающих услуги по спортивной подготовке в соответствии с федеральными стандартами спортивной подготовки, в общем количестве организаций в сфере физической культуры и спорта, в том числе для лиц с ограниченными возможностями здоровья и инвалидов. 2.3 Доля граждан в возрасте 6-15 лет, занимающихся в спортивных организациях, в общей численности детей и молодежи в возрасте 6-15 лет. </t>
  </si>
  <si>
    <t>Частичное финансовое обеспечение затрат, направленных на подготовку спортивного резерва в соответствии с федеральными стандартами  спортивной подготовки по виду спорта «хоккей», предусмотренных соглашениями между Правительством Мурманской области и градообразующим предприятием</t>
  </si>
  <si>
    <t>Субсидии бюджетам муниципальных образований Мурманской области на оказание финансовой поддержки спортивным организациям, осуществляющим спортивную подготовку в соответствии с федеральными стандартами спортивной подготовки</t>
  </si>
  <si>
    <t>Частичное финансовое обеспечение затрат, направленных на подготовку спортивного резерва в соответствии с федеральными стандартами  спортивной подготовки</t>
  </si>
  <si>
    <t xml:space="preserve"> Численность спортсменов МО, включенных в список кандидатов в спортивные сборные команды Российской Федерации. 2.3 Доля граждан в возрасте 6-15 лет, занимающихся в спортивных организациях, в общей численности детей и молодежи в возрасте 6-15 лет. 2.4 Доля спортсменов-разрядников в общем количестве лиц, занимающихся в системе  спортивных школ олимпийского резерва. </t>
  </si>
  <si>
    <t xml:space="preserve">3.3 Эффективность использования существующих объектов спорта. 3.4 Единовременная пропускная способность объектов спорта, введенных в эксплуатацию в рамках Программы. </t>
  </si>
  <si>
    <t>Строительство крытого бассейна в ЗАТО г. Североморск</t>
  </si>
  <si>
    <t>2021 – разработка ПСД</t>
  </si>
  <si>
    <t>2021 – реконструкция</t>
  </si>
  <si>
    <t xml:space="preserve">3.2 Количество спортивных сооружений, на которых осуществлен капитальный и текущий  ремонт. 3.3 Эффективность использования существующих объектов спорта. </t>
  </si>
  <si>
    <t>Субсидия на капитальный ремонт футбольного поля с искуственным покрытием и легкоатлетическими беговыми дорожками</t>
  </si>
  <si>
    <t>2021 - капитальный ремонт искусственного покрытия футбольного поля с легкоатлетическими дорожками ЗАТО Александровск</t>
  </si>
  <si>
    <t>Финансовое обеспечение затрат подведомственных учреждений, связанных с проведением текущих и капитальных ремонтных работ</t>
  </si>
  <si>
    <t>Подготовка основания для создания физкультурно-оздоровительного комплекса открытого типа</t>
  </si>
  <si>
    <t>Капитальный ремонт вентиляционной системы Ледового дворца МУС «Учебно­спортивный центр» в г. Оленегорск</t>
  </si>
  <si>
    <t>2021 год - ремонт вентиляционной системы Ледового дворца МБУ «Учебно­спортивный центр» в г. Оленегорск</t>
  </si>
  <si>
    <t>Капитальный ремонт полов спортивного зала Дома физкультуры МУС «Учебно­спортивный центр» в г. Оленегорск</t>
  </si>
  <si>
    <t>2021 год - капитальный ремонт полов спортивного зала Дома физкультуры МБУ «Учебно­спортивный центр» в г. Оленегорск</t>
  </si>
  <si>
    <t>2021 год - капитальный ремонт системы освещения арены стадиона в г. Мончегорск</t>
  </si>
  <si>
    <t>Капитальный ремонт системы освещения арены стадиона в г. Мончегорск</t>
  </si>
  <si>
    <t>2021 год - ремонт хоккейного корта г. Кандалакша</t>
  </si>
  <si>
    <t>2021 год - капитальный ремонт внутренних помещений, вентиляции и системы электроснабжения МБУ СШ "Олимп" г. Оленегорск</t>
  </si>
  <si>
    <t>Строительство объекта «Физкультурно-оздоровительный комплекс с бассейном в г. Заозерск»</t>
  </si>
  <si>
    <t>Строительство объекта в 2023 г. Средства местного бюджета указаны прогнозно. Будут уточнены после заключения соглашения с Министерством спорта РФ</t>
  </si>
  <si>
    <t>Строительство объекта «Физкультурно-оздоровительный комплекс со специализированной школой по самбо, дзюдо и вольной борьбе в г. Кандалакша»</t>
  </si>
  <si>
    <t xml:space="preserve">Ежегодно реализация 77 государственных функций и оказание 8 государственных услуг </t>
  </si>
  <si>
    <t>Обеспечение реализации государственных функций и государственных услуг Министерства спорта</t>
  </si>
  <si>
    <t>Министерство спорта и подведомственные организации</t>
  </si>
  <si>
    <t>2.1</t>
  </si>
  <si>
    <t>-</t>
  </si>
  <si>
    <t>Оказание услуг по организации сеансов свободного плавания для лиц, достигших возраста 55 лет (для мужчин), и 50 лет (для женщин), инвалидов, детей-сирот, детей, оставшихся без попечения родителей</t>
  </si>
  <si>
    <t xml:space="preserve">Министерство спорта МО </t>
  </si>
  <si>
    <t>Ежегодное назначение и выплата единовременного денежного вознаграждения спортсменам и их тренерам</t>
  </si>
  <si>
    <t>Министерстов спорта МО, ГАУМО "КСШОР"</t>
  </si>
  <si>
    <t xml:space="preserve">Ежегодная организация оздоровительного процесса в плавательном бассейне ГОУП "УСДЦ" и муниципальных образованиях МО для граждан пожилого возраста, инвалидов, граждан, находящихся в трудной жизненной ситуации, детей-сирот, детей, оставшихся без попечения родителей в колличестве не менее 7000 чел./посещений </t>
  </si>
  <si>
    <t>Министерство спорта МО, администрации муниципальных образований МО</t>
  </si>
  <si>
    <t>2.1.9</t>
  </si>
  <si>
    <t>Разработка дизайнерского решения единого пространства среды спортивного комплекса «Долина Уюта» и лесного массива Первомайского района</t>
  </si>
  <si>
    <t>ГАУМО «ЦСП», министерство спорта МО</t>
  </si>
  <si>
    <t>Поставка и установка информационных стендов для спортивных площадок, устанавливаемых в муниципальных образованиях</t>
  </si>
  <si>
    <t xml:space="preserve">2021 год -  завершение строительства здания "АСК" г. Кировск </t>
  </si>
  <si>
    <t>поставка и установка информационных стендов в количестве восьми штук для спортивных площадок, которые устанавливаются в муниципальных образованиях</t>
  </si>
  <si>
    <t xml:space="preserve">Строительство объекта «Лыжная база в городе Полярные Зори Мурманской области» </t>
  </si>
  <si>
    <t>Капитальный ремонт «Безопорной буксировочной канатной дороги на горнолыжном склоне по ул. Гагарина в   г. Полярном ЗАТО Александровск»</t>
  </si>
  <si>
    <t>Разработка рабочей документации капитального ремонта спортивного сооружения «Стрельбище для биатлона» на территории спортивного комплекса «Долина Уюта»</t>
  </si>
  <si>
    <t>Ремонт фасада МАУ спортивная школа ул.50 лет Октября 31 г. Кировск</t>
  </si>
  <si>
    <t>Министрой МО, администрации муниципальных образований</t>
  </si>
  <si>
    <t>Спортивная команда по хоккею с мячом "Мурман"в сезоне 2020-2021 гг.  принимала участие в чемпионате России Суперлиги. По тогам сезона заняла 13 место. С ноября т.г. начат новый сезон 2021-2022 гг.</t>
  </si>
  <si>
    <t>Спортивная команда по хоккею "Арктика" принимает участие в Первенстве НМХЛ сезона 2021-2022 гг.</t>
  </si>
  <si>
    <t>Финансовые средства будут использованы в 4 квартале 2021 г.</t>
  </si>
  <si>
    <t>На территории региона проведены мероприятия среди различных категорий населения</t>
  </si>
  <si>
    <t>в соответствии с госконтрактами мероприятия будут выполнены в 4 квартале</t>
  </si>
  <si>
    <t>Реализация мероприятия в 4 квартале.</t>
  </si>
  <si>
    <t>Региональный проект «Спорт - норма жизни»</t>
  </si>
  <si>
    <t>Выплачено 8 спортсменам и 8 тренерам</t>
  </si>
  <si>
    <t xml:space="preserve">Компенсация  расходов на оплату стоимости проезда и провоза багажа к месту использования отпуска и обратно лицам работающим в организациях,финансируемых из областного бюджета </t>
  </si>
  <si>
    <t>Реализация мероприятия запланирована в 4 квартале т.г.</t>
  </si>
  <si>
    <t>Приобретено оборудование, инвентарь и экипировка для спортивных школ, осуществляющих спортивную подготовку, спортсмены направлены на тренировочные мероприятия и спортивные соревнования</t>
  </si>
  <si>
    <t xml:space="preserve">Региональный проект «Спорт - норма жизни»  </t>
  </si>
  <si>
    <t>П 2.1.</t>
  </si>
  <si>
    <t>П 2.1.1.</t>
  </si>
  <si>
    <t>П 2.1.2.</t>
  </si>
  <si>
    <t>Реализация мероприятия запланирована в 4 квартале</t>
  </si>
  <si>
    <t>Оборудование по хоккею частично приобретено для СШ "Юность" г. Апатиты, оборудование и инвентарь в соответствии с федеральными стандартами спортивной подготовки полностью приобретен для СШОР № 3 и № 4 г. Мурманска. Частично приобретен инвентарь для СШОР г. Мончегорска</t>
  </si>
  <si>
    <t>Приобретение оборудования по хоккею для 1 спортивной школы, приобретено оборудование и инвентарь для 3 спортивных школ</t>
  </si>
  <si>
    <t>приобретен автобус, оборудование в соответствии с федеральными стандартами спортивной подготовки</t>
  </si>
  <si>
    <t>Приобретен автобус для ГАУМО "Кировская СШОР по горнолыжному спорту, приобретено оборудование для отделения по художественной гимнастике для ГБУМО "МОСШ"</t>
  </si>
  <si>
    <t>П 3.1</t>
  </si>
  <si>
    <t>П.3.1.1</t>
  </si>
  <si>
    <t>П 3.1.3</t>
  </si>
  <si>
    <t>Приобретение и установка не мене 8 спортивнх площадок</t>
  </si>
  <si>
    <t>П.3.1.4.</t>
  </si>
  <si>
    <t xml:space="preserve">Министерство спорта МО и подведомственные учреждения администрации </t>
  </si>
  <si>
    <t>Министерство строительства МО, ГОКУ «УКС МО»</t>
  </si>
  <si>
    <t xml:space="preserve">Работы выполнены частично </t>
  </si>
  <si>
    <t xml:space="preserve">Освение бюджетных средств заплаинровано в 4 квартале </t>
  </si>
  <si>
    <t>Основное мероприятие 1                                 "Информатизация сферы спорта"</t>
  </si>
  <si>
    <t>Министерство спорта МО  и Минстрой МО</t>
  </si>
  <si>
    <t>Министерство Спорта МО,ГОКУ "УКС МО", ГОУП УСДЦ,ГАУМО,Мончегорская, СШОР по горнолыжному спорту</t>
  </si>
  <si>
    <t xml:space="preserve">Численность спортсменов МО включенных в список кандидатов в споривне сборные команды РФ 2.4. Доля спортсменов рязрядников в общем количестве лиц, занимающихся в системе спортивнх школ. </t>
  </si>
  <si>
    <t>Возмещение НКО расходов на частичное финансовое обеспечение затрат, связанных с подготовкой и участием спортивной команды в физкультурных мероприятиях, а также с оплатой труда и начислениями на оплату труда работников</t>
  </si>
  <si>
    <t>Остаток возвращен в бюджет, в связи с не участием заявителей</t>
  </si>
  <si>
    <t>Установлено оборудование и инвентарь, отделение по хоккею принимает участие в официальных мероприятиях</t>
  </si>
  <si>
    <t>2021 год - ремонт фасада МАУ спортивная школа ул.50 лет Октября 31 г. Кировск</t>
  </si>
  <si>
    <t>Приобретение оборудования для зон награждения победителей и призеров официальных физкультурных и спортивных мероприятий, проводимых на территориях муниципальных образований Мурманской области</t>
  </si>
  <si>
    <t>Создание и функционирование «Агентство по проведению спортивно-массовых и культурно-зрелищных мероприятий «СпортКульт51»</t>
  </si>
  <si>
    <t xml:space="preserve">Предоставление субсидий из областного бюджета некоммерческим организациям осуществляющим деятельность в сфере физической культуры и спорта по виду спорта "футбол" </t>
  </si>
  <si>
    <t>Предоставление грантов в форме субсидий государственным областным и муниципальным общеобразовательным организациям, не являющимся казенными учреждениями, на развитие школьных спортивных клубов</t>
  </si>
  <si>
    <t>Предоставление грантов в форме субсидии муниципальным учреждениям по итогам соревнований «Кубок Губернатора Мурманской области среди школьных спортивных клубов»</t>
  </si>
  <si>
    <t xml:space="preserve">Субсидии муниципальным образованиям на развитие физкультурно-спортивной работы </t>
  </si>
  <si>
    <t>Субсидия муниципальным образованиям на открытие спортивных пространств для молодежи</t>
  </si>
  <si>
    <t>1.2.6</t>
  </si>
  <si>
    <t xml:space="preserve">Государственная программа "Физическая культура и спорта" </t>
  </si>
  <si>
    <t>Подпрограмма 1 "Развитие массового спорта, реализация мероприятий по профилактике терроризма и информированию граждан"</t>
  </si>
  <si>
    <t>Основное мероприятие 2                                 "Поддержка социально-ориентированных некоммерческих организаций, осуществляющих деятельность в сфере физической культуры и спорта"</t>
  </si>
  <si>
    <t>1.2.7</t>
  </si>
  <si>
    <t>1.2.9</t>
  </si>
  <si>
    <t>1.2.10</t>
  </si>
  <si>
    <t>1.2.11</t>
  </si>
  <si>
    <t>Подпрограмма 2 "Подготовка спортивного резерва, реализация календарного плана официальных физкультурных мероприятий и спортивных мероприятий Мурманской области"</t>
  </si>
  <si>
    <t xml:space="preserve">Основновное мероприятие 1 "Подготовка спортивного резерва , организация и проведение физкультурных и спортивных меропритяий , реализация программ споривной подготовки подведомственными Министерсту учреждениями" </t>
  </si>
  <si>
    <t>Выплата единовременного денежного вознаграждения спортсменам, проживающим в Мурманской области и выступившим в составе спортивных сборных команд Мурманской области и Российской Федерации по Олимпийским видам спорта, и их тренерам за победу и призовые места на Олимпийских, Паралимпийских и Сурдлимпийских Играх, чемпионатах, Кубка мира и Европы, чемпионатах России</t>
  </si>
  <si>
    <t>2.1.10</t>
  </si>
  <si>
    <t>Приобретение самоходной машины с заправочным баком для воды и специализированным съемным оборудованием, в том числе для заливки льда</t>
  </si>
  <si>
    <t>2.1.11</t>
  </si>
  <si>
    <t>Приобретением имущества (за исключением недвижимого имущества)</t>
  </si>
  <si>
    <t>2.1.12</t>
  </si>
  <si>
    <t>Выполнение работ по посадке зеленых насаждений хвойных пород на территории спортивного комплекса «Долина Уюта»</t>
  </si>
  <si>
    <t>2.1.13</t>
  </si>
  <si>
    <t>Проведение экспресс-тестирования на коронавирусную инфекцию (COVID-19) спортсменов, тренеров, персонала, судей и организаторов Всероссийских соревнований по горнолыжному спорту на территории Мурманской области</t>
  </si>
  <si>
    <t>2.1.14</t>
  </si>
  <si>
    <t>Поощрения в рамках церемонии награждения спортсменов, тренеров, ветеранов спорта и физкультурного актива  Мурманской области</t>
  </si>
  <si>
    <t>2.1.15</t>
  </si>
  <si>
    <t>Проведение мероприятий международного традиционного Праздника Севера и Праздника Севера учащихся</t>
  </si>
  <si>
    <t>2.1.16</t>
  </si>
  <si>
    <t>2.1.17</t>
  </si>
  <si>
    <t>Субсидия на реализацию мероприятий по приобретению спортивного оборудования и инвентаря для организации и проведения спортивных мероприятий по хоккею</t>
  </si>
  <si>
    <t>2.1.18</t>
  </si>
  <si>
    <t>2.1.19</t>
  </si>
  <si>
    <t xml:space="preserve">Основное мероприятие 2 "Поддержка спортивных организаций, осуществляющих спортивную подготовку в соответствии с федеральными стандартами спортивной подготовки" </t>
  </si>
  <si>
    <t>Субсидии бюджетам муниципальных образований Мурманской области на оказание финансовой поддержки спортивным организациям, осуществляющим спортивную подготовку в соответствии с федеральными стандартами спортивной подготовки в рамках реализации соглашений между Правительством Мурманской области и градообразующими предприятиями</t>
  </si>
  <si>
    <t>Поставка и установка оборудования по хоккею в Ледовый дворец Государственного областного унитарного предприятия «Универсальный спортивно-досуговый центр»</t>
  </si>
  <si>
    <t>Разработка ПСД на строительство полноразмерного футбольного манежа в г. Мурманске</t>
  </si>
  <si>
    <t>Разработка ПСД и строительство ФОК с бассейном но адресу: г. Мурманск, ул.Скальная</t>
  </si>
  <si>
    <t xml:space="preserve">Выполнение компенсационного озеленения в рамках обязательств по выданным разрешениям на снос, пересадку, санитарную обрезку зеленных насаждений от 15.07.2019 № 142 и от 23.07.2020 № 131 в рамках реализации проекта «Комплексное развитие спорткомплекса «Долина Уюта» </t>
  </si>
  <si>
    <t>Разработка проектной документации "Крытого катка с искусственным льдом в г. Кандалакше"</t>
  </si>
  <si>
    <t>Разработка проектно-сметной документации на строительство лыжной трассы в ЗАТО Видяево</t>
  </si>
  <si>
    <t>Лыжная трасса в ЗАТО Александровск</t>
  </si>
  <si>
    <t>Разработка ПСД на строительство лыжной трассы в ЗАТО  Заозерск</t>
  </si>
  <si>
    <t>Разработка ПСД и строительство ФОК с бассейном по адресу: г. Мурманск, ул. Копытова</t>
  </si>
  <si>
    <t>Строительство регионального центра по натурбану в г. Кандалакша</t>
  </si>
  <si>
    <t>Проект благоустройства общественной территории западной части комплекса "Долина Уюта" в границах улиц Ломоносова, Морской, Лыжного проезда и Кольского проспекта в городе Мурманск</t>
  </si>
  <si>
    <t>Разработка проектно-сметной документации на реконструкцию стадиона с.п. Ловозеро</t>
  </si>
  <si>
    <t>Капитальный ремонт здания ДЮСШ по адресу: Мурманская область, Печенгский район, нп Спутник, улица Новая, дом 6 (проведение наружных работ)</t>
  </si>
  <si>
    <t>Капитальный ремонт ограждающих конструкций с устройством вентилируемого фасада из композитных панелей здания Дома физкультуры МУС «Учебно-спортивный центр» по адресу: Мурманская область, г. Оленегорск, ул. Строительная, д. 47</t>
  </si>
  <si>
    <t xml:space="preserve">Устройство асфальто-бетонного покрытия лыжероллерной трассы в спорткомплексе "Долина Уюта" </t>
  </si>
  <si>
    <t xml:space="preserve">Подготовка проектно-сметной документации и капитальный ремонт здания Дома физкультуры МУС "УСЦ", расположенного по адресу: г. Оленегорск, ул. Строительная, д.47 </t>
  </si>
  <si>
    <t xml:space="preserve">Субсидия на содержание и эксплуатацию государственного имущества </t>
  </si>
  <si>
    <t>Разработка проектной документации на капитальный ремонт спортивного объекта "Межшкольный стадион" ЗАТО Видяево</t>
  </si>
  <si>
    <t>МБУДО "ДЮСШ" Капитальный ремонт универсального спортзала , расположеного по адресу г. Снежногорск, ул. Октябрьская, 25А</t>
  </si>
  <si>
    <t>МБУ ДО ДЮСШ Ремонт мягкой кровли здания, расположенного по адресу г. Гаджиево, ул. Душенова д. 86/А</t>
  </si>
  <si>
    <t>Капитальный ремонт (освещение, установка раздевалок) лыжной трассы в г. Заполярный</t>
  </si>
  <si>
    <t>Капитальный ремонт спортивно-оздоровительного комплекса МАУ СШОР № 1 г. Мончегорск</t>
  </si>
  <si>
    <t>Капитальный ремонт фасада здания водной станции МАУ "СШОР №1" г. Мончегорск</t>
  </si>
  <si>
    <t>Капитальный ремонт кровли и помещений спорткомплекса ДЮСШ п.Ревда</t>
  </si>
  <si>
    <t>Капитальный ремонт спорткомплекса Долина Уюта (разработка проектной документации на ремонт фасадов и ливневой канализации)</t>
  </si>
  <si>
    <t>Ремонт сетей электроснабжения административно-спортивного комплекса</t>
  </si>
  <si>
    <t>Основное мероприятие 3 «Закупка оборудования для создания «умных» спортивных площадок в рамках Федерального проекта «Бизнес-спринт (Я выбираю спорт)»</t>
  </si>
  <si>
    <t xml:space="preserve"> 3.3.1</t>
  </si>
  <si>
    <t>Реконструкция объекта спорта муниципальной собственности г. Оленегорска «МУС «Ледовый дворец»</t>
  </si>
  <si>
    <t>3.2.2</t>
  </si>
  <si>
    <t>3.2.3</t>
  </si>
  <si>
    <t>3.2.4</t>
  </si>
  <si>
    <t>3.2.5</t>
  </si>
  <si>
    <t>3.2.6</t>
  </si>
  <si>
    <t>3.2.7</t>
  </si>
  <si>
    <t>3.2.8</t>
  </si>
  <si>
    <t>3.2.9</t>
  </si>
  <si>
    <t>3.2.10</t>
  </si>
  <si>
    <t>3.2.11</t>
  </si>
  <si>
    <t>3.2.12</t>
  </si>
  <si>
    <t>3.2.13</t>
  </si>
  <si>
    <t>3.2.15</t>
  </si>
  <si>
    <t>3.2.17</t>
  </si>
  <si>
    <t>3.2.18</t>
  </si>
  <si>
    <t>3.2.19</t>
  </si>
  <si>
    <t>3.2.20</t>
  </si>
  <si>
    <t>3.2.21</t>
  </si>
  <si>
    <t xml:space="preserve"> затраты, направленные на подготовку спортивного резерва в соответствии с федеральными стандартами  спортивной подготовки и подготовки спортсменов -кандидатов в спортивные сборные команды России по видам спорта</t>
  </si>
  <si>
    <t>Министерство спорта МО и подведомственные Минспорту МО организации</t>
  </si>
  <si>
    <t>Реализация мероприятия в 3-4 квартале.</t>
  </si>
  <si>
    <t>Сведения о ходе реализации мероприятий государственной программы за 6 месяцев 2023 года</t>
  </si>
  <si>
    <t>2021-2025</t>
  </si>
  <si>
    <t>4.1.1</t>
  </si>
  <si>
    <t>повышение эффективности управления финансовыми средствами областного бюджета</t>
  </si>
  <si>
    <t>ОМ 4.1</t>
  </si>
  <si>
    <t>Министерство строительства МО, администрация муниципального образования МО</t>
  </si>
  <si>
    <t xml:space="preserve">Строительство объекта в 2023 г. </t>
  </si>
  <si>
    <t>2023-2024</t>
  </si>
  <si>
    <t>Реконструкция Ледового дворца, расположенного по адресу: Мурманская обл. г. Оленегорск ул. Строительная д. 40</t>
  </si>
  <si>
    <t>П 3.1.4</t>
  </si>
  <si>
    <t xml:space="preserve">2020 – разработка ПСД, заключение госэкспертизы, 2021-2022 – строительство, 2022 – ввод объекта в эксплуатацию. </t>
  </si>
  <si>
    <t>2021-2022</t>
  </si>
  <si>
    <t>2019-2020 – разработка ПСД, заключение госэкспертизы, 2021-2022 – строительство, 2022 – ввод объекта в эксплуатацию. Превышение уровня софинансирования, утвержденного постановлением Правительства МО, местным бюджетом в 2022 году за счет средств муниципалитета.</t>
  </si>
  <si>
    <t>П 3.1.2</t>
  </si>
  <si>
    <t>В рамках софинансирования к средствам ФБ местный бюджет составил 103817,25, в рамках дополнительных средств предусмотренных в ОБ софинансирование средств местного бюджнта составляет 8 868 707,76.</t>
  </si>
  <si>
    <t>2022 - приобретение и установка спортивных площадок в с.п. Зеленоборский и г. Кола</t>
  </si>
  <si>
    <t>П 3.1.1</t>
  </si>
  <si>
    <t>Министерство спорта МО, Минстрой МО, администрации муниципальных образований МО</t>
  </si>
  <si>
    <t>Минспорт МО,
 АО Корпорация развития МО</t>
  </si>
  <si>
    <t>2023-2024 - строительство объекта</t>
  </si>
  <si>
    <t>Строительство и эксплуатация  быстровозводимого спортивного комплекса с плавательным бассейном и тренажерным залом  на Кольском проспекте  в г. Мурманске</t>
  </si>
  <si>
    <t>Минстрой МО,
АО Корпорация развития МО</t>
  </si>
  <si>
    <t>Строительство и эксплуатация ФОК, расположенного в районе дома 13 по ул. Старостина г. Мурманск</t>
  </si>
  <si>
    <t>Министерство строительства  МО, ГОКУ «Управление капитального строительства Мурманской области»</t>
  </si>
  <si>
    <t>Министерство строительства  МО, Министерство спорта МО, ГОКУ «Управление капитального строительства Мурманской области»,
 АО Корпорация развития МО</t>
  </si>
  <si>
    <t xml:space="preserve">3.4 Единовременная пропускная способность объектов спорта, введенных в эксплуатацию в рамках Программы. </t>
  </si>
  <si>
    <t>Основное мероприятие 4 «Реализация мероприятий Плана социального развития центров экономического роста Мурманской области»</t>
  </si>
  <si>
    <t>ОМ 3.4</t>
  </si>
  <si>
    <t>2022 - закуплено оборудование для создания "умных" спортивных площадок</t>
  </si>
  <si>
    <t>2022-2025</t>
  </si>
  <si>
    <t>Реализация мероприятий по закупке оборудования для создания "умных" спортивных площадок</t>
  </si>
  <si>
    <t>ОМ 3.3</t>
  </si>
  <si>
    <t>Минстрой МО, администрация муниципального образования муниципального округа г. Мончегорск с подведомственной территорией</t>
  </si>
  <si>
    <t>2022- Капитальный ремонт стадиона. Благоустройство территории МАУ «СШОР» по адресу: Мурманская область, г. Мончегорск, пр. Кирова, д. 3</t>
  </si>
  <si>
    <t>Капитальный ремонт стадиона. Благоустройство территории МАУ «СШОР» по адресу: Мурманская область, г. Мончегорск, пр. Кирова, д. 3</t>
  </si>
  <si>
    <t>3.2.33</t>
  </si>
  <si>
    <t>2022 г - капитальный ремонт фасада здания МАУ «СШОР» по адресу: Мурманская область, г. Мончегорск, Арена стадиона (верхнее футбольное поле)</t>
  </si>
  <si>
    <t>Капитальный ремонт фасада здания МАУ «СШОР» по адресу: Мурманская область, г. Мончегорск, Арена стадиона (верхнее футбольное поле)</t>
  </si>
  <si>
    <t>3.2.32</t>
  </si>
  <si>
    <t>Министерство спорта МО, администрация муниципального образования МО</t>
  </si>
  <si>
    <t>Проведены дополнительные работы в рамках создания физкультурно-оздоровительного комплекса открытого типа</t>
  </si>
  <si>
    <t>Дополнительные работы для создания физкультурно-оздоровительного комплекса открытого типа</t>
  </si>
  <si>
    <t>3.2.31</t>
  </si>
  <si>
    <t>Поставлено дополнительное оборудование для завершения работ по установке видеонаблюдения в рамках проектного решения по подготовке территории-основания и установке комплекта спортивно-технологического оборудования для создания физкультурно-оздоровительного комплекса открытого типа</t>
  </si>
  <si>
    <t xml:space="preserve"> Видеонаблюдение. Проектное решение по подготовке территории-основания и установке комплекта спортивно-технологического оборудования для создания физкультурно-оздоровительного комплекса открытого типа</t>
  </si>
  <si>
    <t>3.2.30</t>
  </si>
  <si>
    <t>Министерство спорта МО, ГАУМО "ЦСП"</t>
  </si>
  <si>
    <t>Замена  и перекладка части электрического кабеля</t>
  </si>
  <si>
    <t>3.2.29</t>
  </si>
  <si>
    <t>Разработка одного эскиза концепции развития территории объекта «Центральный стадион профсоюзов», расположенного по адресу г. Мурманск ул. Челюскинцев д. 1.</t>
  </si>
  <si>
    <t>Выполнение работ по разработке эскиза концепции развития территории объекта «Центральный стадион профсоюзов», расположенного по адресу г. Мурманск ул. Челюскинцев д. 1</t>
  </si>
  <si>
    <t>3.2.28</t>
  </si>
  <si>
    <t>Министерство стротиельства МО, ГОКУ "УКС МО"</t>
  </si>
  <si>
    <t>2022 год - разработка проекта</t>
  </si>
  <si>
    <t>2022-2023</t>
  </si>
  <si>
    <t xml:space="preserve"> Выполнен капитальный ремонт кровли и помещений спорткомплекса ДЮСШ п.Ревда
2022 год - 60 %,
2023 год - 100%</t>
  </si>
  <si>
    <t>2022 год - выполнен капитальный ремонт фасада здания водной станции МАУ "СШОР №1" г. Мончегорск, ул. Бредова, 23</t>
  </si>
  <si>
    <t>2022 год - выполнен капитальный ремонт физкультурно-оздоровительного комплекса МАУ "СШОР №1"  г. Мончегорск</t>
  </si>
  <si>
    <t>2022 год - выполнен капитальный ремонт (освещение, установка раздевалок) лыжной трассы в г. Заполярный</t>
  </si>
  <si>
    <t>2022 год - выполнен ремонт мягкой кровли здания  МБУ ДО ДЮСШ, расположенного по адресу г. Гаджиево, ул. Душенова д. 86/А</t>
  </si>
  <si>
    <t>2022 год - выполнен капитальный ремонт универсального спортзала МБУДО "ДЮСШ", расположеного по адресу г. Снежногорск, ул. Октябрьская, 25А</t>
  </si>
  <si>
    <t>2022 год - разработана проектная документация на капитальный ремонт спортивного объекта "Межшкольный стадион" г. Видяево</t>
  </si>
  <si>
    <t>2022 год - выполнен капитальный ремонт зданий и сооружений МБУ СШ «Олимп», г. Оленегорск</t>
  </si>
  <si>
    <t>Капитальный ремонт зданий и сооружений МБУ СШ «Олимп», г. Оленегорск</t>
  </si>
  <si>
    <t>Министерство спорта МО, ГОУП "УСДЦ"</t>
  </si>
  <si>
    <t xml:space="preserve">Возмещение затрат ГОУП «УСДЦ»  в части  содержания и эксплуатации государственного имущества. </t>
  </si>
  <si>
    <t xml:space="preserve">2022-2023 год - подготовлена проектно-сметной документации и капитальный ремонт здания Дома физкультуры МУС "УСЦ", расположенного по адресу: г. Оленегорск, ул. Строительная, д.47 </t>
  </si>
  <si>
    <t>Министерство строительства МО, ГОКУ "УКС"</t>
  </si>
  <si>
    <t xml:space="preserve">2022 год - выполнено устройство асфальто-бетонного покрытия лыжероллерной трассы в спорткомплексе "Долина Уюта" </t>
  </si>
  <si>
    <t>2021 год - капитальный ремонт ограждающих конструкций с устройством вентилируемого фасада из композитных панелей здания Дома физкультуры МУС «Учебно-спортивный центр» по адресу: Мурманская область, г. Оленегорск, ул. Строительная, д. 47</t>
  </si>
  <si>
    <t>2021 - капитальный ремонт здания ДЮСШ по адресу: Мурманская область, Печенгский район, нп Спутник, улица Новая, дом 6 (проведение наружных работ)</t>
  </si>
  <si>
    <t>2021 год - Разработана рабочая документация капитального ремонта спортивного сооружения «Стрельбище для биатлона» на территории спортивного комплекса «Долина Уюта»</t>
  </si>
  <si>
    <t>2021 год - Капитальный ремонт ограждающих конструкций и устройство вентилируемого фасада из композитных панелей здания Дома физкультуры МУС "УСЦ"</t>
  </si>
  <si>
    <t>Капитальный ремонт ограждающих конструкций и устройство вентилируемого фасада из композитных панелей здания Дома физкультуры муниципального учреждения спорта «Учебно-спортивный центр» в г. Оленегорске</t>
  </si>
  <si>
    <t>2021-2022 годы Капитальный ремонт «Безопорной буксировочной канатной дороги на горнолыжном склоне по ул. Гагарина в г. Полярном ЗАТО Александровск»</t>
  </si>
  <si>
    <t>Капитальный ремонт внутренних помещений, вентиляции и системы электроснабжения МБУ СШ "Олимп" г. Оленегорск</t>
  </si>
  <si>
    <t>Ремонт хоккейного корта г. Кандалакша</t>
  </si>
  <si>
    <t xml:space="preserve">Субсидия на подготовку территории-основания и установку комплекта спортивно-технологического оборудования для создания или модернизации физкультурно-оздоровительных комплексов открытого типа  </t>
  </si>
  <si>
    <t>Министерство спорта МО, подведомственные Министерству учреждения</t>
  </si>
  <si>
    <t xml:space="preserve">Возмещение затрат ГОУП «УСДЦ»  в части  содержания государственного имущества. </t>
  </si>
  <si>
    <t>2022 - капитальный ремонт искусственного покрытия футбольного поля с легкоатлетическими дорожками ЗАТО Александровск</t>
  </si>
  <si>
    <t>2021-2023</t>
  </si>
  <si>
    <t>Министерство спорта МО, Министерство строительства МО, администрации муниципальных образований МО, ГОУП "УСДЦ"</t>
  </si>
  <si>
    <t>ОМ 3.2</t>
  </si>
  <si>
    <t xml:space="preserve">Строительство объекта СК с плавательных бассейном
3.3 Эффективность использования существующих объектов спорта. 3.4 Единовременная пропускная способность объектов спорта, введенных в эксплуатацию в рамках Программы. </t>
  </si>
  <si>
    <t xml:space="preserve">Строительство и эксплуатация быстровозводимого спортивного комплекса
с плавательным бассейном и тренажерным залом на Кольском проспекте в г. Мурманске 
</t>
  </si>
  <si>
    <t xml:space="preserve">2022 год - разработана проектно-сметная документация на строительство горнолыжного подъемника </t>
  </si>
  <si>
    <t>Разработка ПСД на строительство горнолыжного подъемника МБОУ ДО ДЮСШ п.Ревда, Ловозерского района на горе Кедыквырпахк</t>
  </si>
  <si>
    <t>2022 год - разработана проектно-сметная документация на реконструкцию стадиона с.п. Ловозеро</t>
  </si>
  <si>
    <t>Министерство строительства МО, ГОКУ "УКС МО"</t>
  </si>
  <si>
    <t xml:space="preserve">2022 год - строительство </t>
  </si>
  <si>
    <t>2023 год - разработана ПСД и строительство ФОК с бассейном по адресу: г. Мурманск, ул. Копытова</t>
  </si>
  <si>
    <t>3.1.14</t>
  </si>
  <si>
    <t>областной объект, УКС</t>
  </si>
  <si>
    <t xml:space="preserve">2022 год - разработана ПСД на строительство лыжной трассы в ЗАТО  Заозерск. </t>
  </si>
  <si>
    <t>3.1.13</t>
  </si>
  <si>
    <t>2022 год - разработана ПСД на строительство лыжной трассы в г. Снежногорске</t>
  </si>
  <si>
    <t>3.1.12</t>
  </si>
  <si>
    <t>2022 год - разработана ПСД на строительство лыжной трассы в ЗАТО Видяево</t>
  </si>
  <si>
    <t>3.1.11</t>
  </si>
  <si>
    <t xml:space="preserve">2022 год - разработана проектной документации "Крытого катка с искусственным льдом в г. Кандалакше". </t>
  </si>
  <si>
    <t>3.1.10</t>
  </si>
  <si>
    <t>Министерство строительства МО, ГОУП "УСДЦ"</t>
  </si>
  <si>
    <t xml:space="preserve">2022 год - выполнено компенсационное озеленение в рамках обязательств по выданным разрешениям на снос, пересадку, санитарную обрезку зеленных насаждений </t>
  </si>
  <si>
    <t>3.1.9</t>
  </si>
  <si>
    <t xml:space="preserve">2023 год - разработана ПСД, строительство ФОК с бассейном но адресу: г. Мурманск, ул.Старостина </t>
  </si>
  <si>
    <t>3.1.8</t>
  </si>
  <si>
    <t xml:space="preserve">2022 год - разработана ПСД на строительство полноразмерного футбольного манежа в г. Мурманске. </t>
  </si>
  <si>
    <t>3.1.7</t>
  </si>
  <si>
    <t>областной объек, УКСт</t>
  </si>
  <si>
    <t>2021 год - поставка и установка оборудования по хоккею в Ледовый дворец Государственного областного унитарного предприятия «Универсальный спортивно-досуговый центр»</t>
  </si>
  <si>
    <t>3.1.6</t>
  </si>
  <si>
    <t xml:space="preserve">2021 -2022  - строительство объекта «Лыжная база в г. Полярные Зори с подведомственной территорией Мурманской области». </t>
  </si>
  <si>
    <t>3.1.5</t>
  </si>
  <si>
    <t>исправила</t>
  </si>
  <si>
    <t>3.1.4</t>
  </si>
  <si>
    <t xml:space="preserve">Административно-спортивный комплекс специализированной детско-юношеской спортивной школы олимпийского резерва по горнолыжному спорту в г. Кировске  </t>
  </si>
  <si>
    <t>3.1.3</t>
  </si>
  <si>
    <t>Реконструкция стадиона МБОУ "Гимназия №1" г. Полярные Зори Мурманской области"</t>
  </si>
  <si>
    <t>3.1.2</t>
  </si>
  <si>
    <t>правильно</t>
  </si>
  <si>
    <t>3.1.1</t>
  </si>
  <si>
    <t xml:space="preserve"> Министерство строительства МО,   администрации муниципальных образований МО</t>
  </si>
  <si>
    <t xml:space="preserve"> 3.3 Эффективность использования существующих объектов спорта. 3.4 Единовременная пропускная способность объектов спорта, введенных в эксплуатацию в рамках Программы. </t>
  </si>
  <si>
    <t>ОМ 3.1</t>
  </si>
  <si>
    <t>Министерство спорта МО, Минстрой МО, ГОУП "УСДЦ", ГОКУ "УКС МО", администрации муниципальных образований МО, АО Корпорация развития</t>
  </si>
  <si>
    <t>Все организации спортивной подготовки предоставляют услуги населению в соответствии с федеральными стандартами спортивной подготовки</t>
  </si>
  <si>
    <t>2021-2024</t>
  </si>
  <si>
    <t>Государственная поддержка спортивных организаций, осуществляющих подготовку спортивного резерва для спортивных сборных команд, в том числе спортивных сборных команд Российской Федерации</t>
  </si>
  <si>
    <t>П 2.1.2</t>
  </si>
  <si>
    <t>В 2022 году поставка оборудования и инвентаря в 2 орагнизации спортивной подготовки (Кировская СШОР, Мончегорская СШОР)</t>
  </si>
  <si>
    <t>Реализация мероприятий по приобретению спортивного оборудования и инвентаря для приведения  организаций спортивной подготовки в нормативное состояние</t>
  </si>
  <si>
    <t>П 2.1.1</t>
  </si>
  <si>
    <t xml:space="preserve">2.1 Численность спортсменов МО, включенных в список кандидатов в спортивные сборные команды Российской Федерации. 2.3 Доля граждан в возрасте 6-15 лет, занимающихся в спортивных организациях, в общей численности детей и молодежи в возрасте 6-15 лет. 2.4 Доля спортсменов-разрядников в общем количестве лиц, занимающихся в системе  спортивных школ олимпийского резерва. </t>
  </si>
  <si>
    <t>П 2.1</t>
  </si>
  <si>
    <t>2.2.2</t>
  </si>
  <si>
    <t>2.2.1</t>
  </si>
  <si>
    <t>2.2 Доля организаций, оказывающих услуги по спортивной подготовке в соответствии с федеральными стандартами спортивной подготовки, в общем количестве организаций в сфере физической культуры и спорта, в том числе для лиц с ограниченными возможностями здоровья и инвалидов. 2.3 Доля граждан в возрасте 6-15 лет, занимающихся в спортивных организациях, в общей численности детей и молодежи в возрасте 6-15 лет. ДП 2.3 Доля занимающихся на этапе высшего спортивного мастерства в организациях, осуществляющих спортивную подготовку, в общем количестве занимающихся на этапе совершенствования спортивного мастерства в организациях, осуществляющих спортивную подготовку</t>
  </si>
  <si>
    <t>ОМ 2.2</t>
  </si>
  <si>
    <t>Министерство спорта МО,ГАУМО "ЦСП"</t>
  </si>
  <si>
    <t xml:space="preserve">Функционирование парка культуры и отдыха «Патриот» Северного флота </t>
  </si>
  <si>
    <t>Проведение мероприятий, направленных на эффективное использование и совершенствование объектов спортивный инфраструктуры, находящихся на территории военно-патриотического парка культуры и отдыха «Патриот» Северного флота</t>
  </si>
  <si>
    <t>2.1.21</t>
  </si>
  <si>
    <t>Проведен комплекс инженерных изысканий для получения необходимых и достаточных материалов с целью дальнейшей подготовки проектной и рабочей документации по объекту «Манеж с полноразмерным футбольным полем» в 2022-2023 году</t>
  </si>
  <si>
    <t xml:space="preserve">Проведение инженерных изысканий территории для оценки возможности размещения спортивных объектов» </t>
  </si>
  <si>
    <t>2.1.20</t>
  </si>
  <si>
    <t>Приобретение и установка блок-контейнеров для хранения и подготовки спортивного инвентаря команд - участников официальных физкультурных и спортивных мероприятий</t>
  </si>
  <si>
    <t>Реализация мероприятий по приобретению и установке блок-контейнеров для хранения и подготовки спортивного инвентаря ИСКЛЮЧЕНО</t>
  </si>
  <si>
    <t>Cоздание 4 объектов спортивной инфраструктуры (двух элементов комплексных полос препятствий, открытого уличного скалодрома и веревочного парка), находящихся на территории Военно-патриотического парка культуры и отдыха «Патриот» Северного флота.</t>
  </si>
  <si>
    <t xml:space="preserve">Создание объектов спортивной инфраструктуры, находящихся на территории Военно-патриотического парка культуры и отдыха «Патриот» Северного флота </t>
  </si>
  <si>
    <t>ГОУП "УСДЦ"</t>
  </si>
  <si>
    <t>Поставка оборудования и инвентаря</t>
  </si>
  <si>
    <t>Министерство спорта МО, ГАУМО "Кировская СШОР по горнолыжному спорту"</t>
  </si>
  <si>
    <t>2022 - оборудован медицинский кабинет</t>
  </si>
  <si>
    <t>Приобретение оборудование медицинского кабинета ИСКЛЮЧЕНО</t>
  </si>
  <si>
    <t>Ежегодное поощрение в рамках церемоний награждения спортсменов, тренеров, ветеранов спорта и физкультурного актива  Мурманской области с количеством награжденных не менее 3 человек</t>
  </si>
  <si>
    <t>2021 год - проведено экспресс-тестирование на коронавирусную инфекцию (COVID-19) спортсменов, тренеров, персонала, судей и организаторов Всероссийских соревнований по горнолыжному спорту на территории Мурманской области</t>
  </si>
  <si>
    <t>ГАУМО «ЦСП», Министерство спорта МО</t>
  </si>
  <si>
    <t>2021 год - выполнены работы по посадке зеленых насаждений хвойных пород на территории спортивного комплекса «Долина Уюта»</t>
  </si>
  <si>
    <t>Министерство спорта МО, ГАУМО "ЦСП", МКУ "СШ по санному спорту", ГАУМО "Кировская СШОР"</t>
  </si>
  <si>
    <t>Приобретение имущества (за исключением недвижимого имущества) подведомственными учреждениями</t>
  </si>
  <si>
    <t>Приобретение имущества (за исключением недвижимого имущества)</t>
  </si>
  <si>
    <t>2021 год - приобретение самоходной машины</t>
  </si>
  <si>
    <t>Проведение закупки «Разработка дизайнерского решения единого пространства среды спортивного комплекса «Долина Уюта» и лесного массива Первомайского района»</t>
  </si>
  <si>
    <t>2.1.8</t>
  </si>
  <si>
    <t>Финансовое обеспечение расходов, связанных с приобретением недвижимого имущества в государственную собственность Мурманской области.</t>
  </si>
  <si>
    <t xml:space="preserve">Расходы, связанные с приобретением недвижимого имущества, расположенного по адресу Мурманская область г. Мурманск ул. Челюскинцев д.1, в государственную собственность Мурманской области </t>
  </si>
  <si>
    <t>2.1.7</t>
  </si>
  <si>
    <t>ГАУМО «МОСШОР», ГАУМО «Кировская СШОР по горнолыжному спорту»</t>
  </si>
  <si>
    <t>Приобретение подведомственными учреждениями спортивного оборудования в соответствии с федеральными стандартами спортивной подготовки, программами спортивной подготовки</t>
  </si>
  <si>
    <t>Приобретение спортивного оборудования в соответствии с федеральными стандартами спортивной подготовки, программами спортивной подготовки</t>
  </si>
  <si>
    <t>2.1.6</t>
  </si>
  <si>
    <t>ГАУМО «КСШОР», ГАУМО «МОСШОР по ЗВС», ГАУМО «Кировская СШОР по горнолыжному спорту», ГАУМО "МОСШОР", ГАУМО "ЦСП", ГАУМО "Мончегорская СШОР по горнолыжному спорту", ГОБУ "МОСШ"</t>
  </si>
  <si>
    <t>Предоставление компенсации расходов на оплату стоимости проезда и провоза багажа к месту использования отпуска и обратно всем сотрудникам, заявившимся на получение указанной компенсации.</t>
  </si>
  <si>
    <t>2.1.5</t>
  </si>
  <si>
    <t>2.1.4</t>
  </si>
  <si>
    <t xml:space="preserve"> </t>
  </si>
  <si>
    <t>Количество приобретенных зачетных книжек и нагрудных знаков</t>
  </si>
  <si>
    <t>Присвоение спортивных разрядов : "Первый юношеский спортивный разряд", "Второй юношеский спортивный разряд", "Третий юношеский спортивный разряд"</t>
  </si>
  <si>
    <t>2.1.3</t>
  </si>
  <si>
    <t>2.1.2</t>
  </si>
  <si>
    <t>Ежегодная организация и проведение церемоний награждения спортсменов, тренеров, ветеранов спорта и физкультурного актива  Мурманской области с количеством награжденных не менее 3 человек, с участием в церемонии не менее 60 человек</t>
  </si>
  <si>
    <t>2.1.1</t>
  </si>
  <si>
    <t xml:space="preserve">2.1 Численность спортсменов МО, включенных в список кандидатов в спортивные сборные команды Российской Федерации.  2.4 Доля спортсменов-разрядников в общем количестве лиц, занимающихся в системе спортивных школ олимпийского резерва.      </t>
  </si>
  <si>
    <t>Основное мероприятие 1 "Подготовка спортивного резерва, организация и проведение физкультурных и спортивных мероприятий, реализация программ спортивной подготовки подведомственными Министерству учреждениями"</t>
  </si>
  <si>
    <t>ОМ 2.1</t>
  </si>
  <si>
    <t>не сверено, 1203,8</t>
  </si>
  <si>
    <t>Министерство спорта МО,  подведомственные Министерству учреждения</t>
  </si>
  <si>
    <t>Закупка комплекта спортивного оборудования для создания физкультурно-оздоровительного комплекса открытого типа в п. Сафоново ЗАТО Североморск</t>
  </si>
  <si>
    <t>П 1.1.4</t>
  </si>
  <si>
    <t>Оказание услуг по организации сеансов свободного плавания для мужчин, достигших возраста 55 лет, и женщин, достигших возраста 50 лет, инвалидов, граждан, находящихся в трудной жизненной ситуации, детей-сирот, детей, оставшихся без попечения родителей</t>
  </si>
  <si>
    <t>П 1.1.3</t>
  </si>
  <si>
    <t>Обучение навыкам плавания  детей и подростков в возрасте от 6 до 14 лет</t>
  </si>
  <si>
    <t>П 1.1.2</t>
  </si>
  <si>
    <t>Министерство спорта МО,  администрации муниципальных образований МО</t>
  </si>
  <si>
    <t>Закупка комплекта спортивного оборудования. 2021- ЗАТО Александровск. 2022 - Кольский район, н.п. Зверосовхоз</t>
  </si>
  <si>
    <t>П 1.1.1</t>
  </si>
  <si>
    <t>1.4 Доля граждан Мурманской области, занимающихся физической культурой и спортом по месту работы, в общей численности населения, занятого в экономике</t>
  </si>
  <si>
    <t>П 1.1</t>
  </si>
  <si>
    <t>Предоставление субсидии образовательным организациям на развитие студенческих спортивных клубов по различным видам спорта</t>
  </si>
  <si>
    <t>2023-2025</t>
  </si>
  <si>
    <t>Грант на развитие студенческих споривных клубов</t>
  </si>
  <si>
    <t>1.2.14</t>
  </si>
  <si>
    <t xml:space="preserve"> Субсидия распеределна между муниципальными образованиями для организации физкультурно-спортивной работы (администрация муниципального образования город Апатиты с подведомственной территорией Мурманской области,
администрация Ковдорского муниципального округа Мурманской области
администрация Кольского района,
Муниципальное образование Город-герой Мурманск,
Муниципальное образование городской округ закрытое административно-территориальное образование Александровск Мурманской области)</t>
  </si>
  <si>
    <t>Открытие спортивных пространств для молодежи</t>
  </si>
  <si>
    <t>1.2.13</t>
  </si>
  <si>
    <t xml:space="preserve">Развитие физкультурно-спортивной работы </t>
  </si>
  <si>
    <t>1.2.12</t>
  </si>
  <si>
    <t>Предоставлены гранты в форме субсидии муниципальным бюджетным и автономным учреждениям по итогам соревнований «Кубок Губернатора Мурманской области среди школьных спортивных клубов»</t>
  </si>
  <si>
    <t xml:space="preserve">Предоставление грантов в форме субсидии муниципальным автономным учреждениям на развитие школьных спортивных клубов </t>
  </si>
  <si>
    <t>2021-2026</t>
  </si>
  <si>
    <t>Предоставление грантов в форме субсидии муниципальным автономным учреждениям на развитие школьных спортивных клубов ИСКЛЮЧЕНО</t>
  </si>
  <si>
    <t>1.2.8</t>
  </si>
  <si>
    <t>Предоставлены гранты в форме субсидии государственным областным и муниципальным общеобразовательным организациям, не являющимся казенными учреждениями, на развитие школьных спортивных клубов</t>
  </si>
  <si>
    <t>Возмещение НКО расходов на частичное финансовое обеспечение затрат, связанных с подготовкой и участием спортивной команды в физкультурных мероприятиях по футболу, а также с оплатой труда и начислениями на оплату труда работников</t>
  </si>
  <si>
    <t>Финансовое обеспечение деятельности  автономной некоммерческой организации «Агентство по проведению спортивно-массовых и культурно-зрелищных мероприятий «СпортКульт51»</t>
  </si>
  <si>
    <t>1.2.5</t>
  </si>
  <si>
    <t>1.2.4</t>
  </si>
  <si>
    <t>Возмещение НКО расходов на частичное финансовое обеспечение затрат, связанных с подготовкой и участием спортивной команды в физкультурных мероприятиях и спортивных мероприятиях по хоккею, а также с оплатой труда и начислениями на оплату труда работников</t>
  </si>
  <si>
    <t>Предоставление субсидий из областного бюджета некоммерческим организациям, осуществляющим деятельность в сфере физической культуры и спорта по виду спорта "Хоккей"</t>
  </si>
  <si>
    <t>1.2.3</t>
  </si>
  <si>
    <t>Возмещение НКО расходов на частичное финансовое обеспечение затрат, связанных с подготовкой и участием спортивной команды в физкультурных мероприятиях по баскетболу, а также с оплатой труда и начислениями на оплату труда работников</t>
  </si>
  <si>
    <t>Предоставление субсидий из областного бюджета некоммерческим организациям, осуществляющим деятельность в сфере физической культуры и спорта по виду спорта "Баскетбол"</t>
  </si>
  <si>
    <t>1.2.2</t>
  </si>
  <si>
    <t>Возмещение НКО расходов на частичное финансовое обеспечение затрат, связанных с подготовкой и участием спортивной команды в физкультурных мероприятиях и спортивных мероприятиях, а также с оплатой труда и начислениями на оплату труда работников</t>
  </si>
  <si>
    <t>Предоставление субсидий из областного бюджета некоммерческим организациям, осуществляющим деятельность в сфере физической культуры и спорта по виду спорта "Хоккей с мячом"</t>
  </si>
  <si>
    <t>1.2.1</t>
  </si>
  <si>
    <t>1.1 Доля детей и молодежи, систематически занимающихся физической культурой и спортом, в общей численности детей и молодежи (возраст 3-29 лет)
1.2 Доля граждан среднего возраста, систематически занимающихся физической культурой и спортом, в общей численности граждан среднего возраста (женщины 30-54 года; мужчины 30-59 лет)                             1.3. Доля граждан старшего возраста, систематически занимающихся физической культурой и спортом, в общей численности граждан старшего возраста (женщины 55 - 79 лет; мужчины 60 - 79 лет)</t>
  </si>
  <si>
    <t>Основное мероприятие 2                                 "Поддержка социально ориентированных некоммерческих организаций, осуществляющих деятельность в сфере физической культуры и спорта"</t>
  </si>
  <si>
    <t>ОМ 1.2</t>
  </si>
  <si>
    <t>Министерство спорта МО, подведомственные Министерству учреждения, администрации муниципальных образований МО</t>
  </si>
  <si>
    <t>2021 год - приобретение оборудования для зон награждения победителей и призеров официальных физкультурных и спортивных мероприятий, проводимых на территориях муниципальных образований Мурманской области</t>
  </si>
  <si>
    <t>2021-2021</t>
  </si>
  <si>
    <t>Создание автоматизированной информационной системы информационно-коммуникационного и статистического обеспечения контроля и прогнозирования развития спортивной отрасли в 2021 году</t>
  </si>
  <si>
    <t>1.1.1</t>
  </si>
  <si>
    <t>Министерство спорта МО, подведомственные Министерству учреждения, организации</t>
  </si>
  <si>
    <t>0.1 доля населения, систематически занимающегося физической культурой и спортом, в общей численности населения</t>
  </si>
  <si>
    <t>ОМ 1.1</t>
  </si>
  <si>
    <t>сверено</t>
  </si>
  <si>
    <t xml:space="preserve">Министерство строительства Мурманской области </t>
  </si>
  <si>
    <t>Министерство спорта Мурманской области</t>
  </si>
  <si>
    <t>Министерство спорта МО, Министерство строительства МО</t>
  </si>
  <si>
    <t xml:space="preserve">Государственная программа Мурманской области "Физическая культура и спорт" </t>
  </si>
  <si>
    <t>План реализации государственной программы на 2021-2025 годы</t>
  </si>
  <si>
    <t>от 03.07.2023 № 507</t>
  </si>
  <si>
    <t xml:space="preserve">Мурманской области </t>
  </si>
  <si>
    <t>к приказу Министерства спорта</t>
  </si>
  <si>
    <t>Приложение</t>
  </si>
  <si>
    <t>П 1.1.</t>
  </si>
  <si>
    <t>П 1.1.1.</t>
  </si>
  <si>
    <t>П 1.1.2.</t>
  </si>
  <si>
    <t>П 1.1.3.</t>
  </si>
  <si>
    <t>МИНИСТЕРСТВО СПОРТА МУРМАНСКОЙ ОБЛАСТИ</t>
  </si>
  <si>
    <t>002</t>
  </si>
  <si>
    <t>Финансовое обеспечение выплат, предусмотренных Законом Мурманской области от 13.10.2005 № 660-01-ЗМО "О государственной гражданской службе Мурманской области", за исключением предоставления единовременной субсидии на приобретение жилой площади, и Зак</t>
  </si>
  <si>
    <t>9990000006</t>
  </si>
  <si>
    <t>Реализация Закона Мурманской области "О государственных должностях Мурманской области" и Закона Мурманской области "О государственной гражданской службе Мурманской области", за исключением предоставления единовременной субсидии на приобретение жилой площади</t>
  </si>
  <si>
    <t>Обеспечение  реализации государственных функций и государственных услуг Министерства спорта Мурманской области</t>
  </si>
  <si>
    <t>2440100001</t>
  </si>
  <si>
    <t>2440113060</t>
  </si>
  <si>
    <t>2440100030</t>
  </si>
  <si>
    <t>2440100010</t>
  </si>
  <si>
    <t>2440100000</t>
  </si>
  <si>
    <t>2440000000</t>
  </si>
  <si>
    <t>Устройство спортивных площадок</t>
  </si>
  <si>
    <t>243P500003</t>
  </si>
  <si>
    <t>243P529990</t>
  </si>
  <si>
    <t>243P500000</t>
  </si>
  <si>
    <t>Региональный проект "Спорт – норма жизни"</t>
  </si>
  <si>
    <t>001</t>
  </si>
  <si>
    <t>2430400002</t>
  </si>
  <si>
    <t>24304R5750</t>
  </si>
  <si>
    <t>Реализация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</si>
  <si>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2430400000</t>
  </si>
  <si>
    <t>Основное мероприятие 4. Реализация мероприятий Плана социального развития центров экономического роста Мурманской области</t>
  </si>
  <si>
    <t>2430300001</t>
  </si>
  <si>
    <t>24303R753L</t>
  </si>
  <si>
    <t>Закупка и монтаж оборудования для создания "умных" спортивных площадок (за счет подтвержденных остатков прошлых лет)</t>
  </si>
  <si>
    <t>2430300000</t>
  </si>
  <si>
    <t>Основное мероприятие 3. Закупка оборудования для создания "умных" спортивных площадок в рамках Федерального проекта "Бизнес-спринт (Я выбираю спорт)"</t>
  </si>
  <si>
    <t>2430200002</t>
  </si>
  <si>
    <t>2430270640</t>
  </si>
  <si>
    <t>Возмещение затрат юридических лиц  в части  содержания государственного имущества</t>
  </si>
  <si>
    <t>2430200027</t>
  </si>
  <si>
    <t>2430265060</t>
  </si>
  <si>
    <t>Возмещение затрат юридических лиц в части содержания государственного имущества</t>
  </si>
  <si>
    <t>Субсидия на содержание и эксплуатацию государственного имущества</t>
  </si>
  <si>
    <t>2430200013</t>
  </si>
  <si>
    <t>2430265050</t>
  </si>
  <si>
    <t>2430200000</t>
  </si>
  <si>
    <t>2430000000</t>
  </si>
  <si>
    <t>242P500001</t>
  </si>
  <si>
    <t>242P552290</t>
  </si>
  <si>
    <t>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t>
  </si>
  <si>
    <t>242P500004</t>
  </si>
  <si>
    <t>242P550810</t>
  </si>
  <si>
    <t>Государственная поддержка организаций, входящих в систему спортивной подготовки</t>
  </si>
  <si>
    <t>242P500000</t>
  </si>
  <si>
    <t>2420200006</t>
  </si>
  <si>
    <t>2420271170</t>
  </si>
  <si>
    <t>2420200000</t>
  </si>
  <si>
    <t>Основное мероприятие 2. Поддержка спортивных организаций осуществляющих спортивную подготовку в соответствии с федеральными стандартами спортивной подготовки</t>
  </si>
  <si>
    <t>2420100023</t>
  </si>
  <si>
    <t>2420129990</t>
  </si>
  <si>
    <t>Выплата единовременного денежного вознаграждения спортсменам, проживающим в Мурманской области и выступившим в составе спортивных сборных команд Мурманской области и Российской Федерации по олимпийским видам спорта, и их тренерам за победу и призовые</t>
  </si>
  <si>
    <t>2420100013</t>
  </si>
  <si>
    <t>2420100021</t>
  </si>
  <si>
    <t>2420113070</t>
  </si>
  <si>
    <t>2420100018</t>
  </si>
  <si>
    <t>2420113060</t>
  </si>
  <si>
    <t>2420199999</t>
  </si>
  <si>
    <t>2420100050</t>
  </si>
  <si>
    <t>2420100029</t>
  </si>
  <si>
    <t>Проведение инженерных изысканий для оценки возможности размещения спортивных объектов</t>
  </si>
  <si>
    <t>2420100028</t>
  </si>
  <si>
    <t>2420100020</t>
  </si>
  <si>
    <t>2420100004</t>
  </si>
  <si>
    <t>2420100003</t>
  </si>
  <si>
    <t>2420100000</t>
  </si>
  <si>
    <t>Основное мероприятие 1. Подготовка спортивного резерва, организация и проведение физкультурных и спортивных мероприятий, реализация программ спортивной подготовки подведомственными Министерству учреждениями</t>
  </si>
  <si>
    <t>2420000000</t>
  </si>
  <si>
    <t>Подпрограмма 2. "Подготовка спортивного резерва, реализация календарного плана официальных физкультурных мероприятий и спортивных мероприятий Мурманской области"</t>
  </si>
  <si>
    <t>241P500002</t>
  </si>
  <si>
    <t>241P552280</t>
  </si>
  <si>
    <t>241P500007</t>
  </si>
  <si>
    <t>241P529990</t>
  </si>
  <si>
    <t>Обучение навыкам плавания детей и подростков в возрасте от 6 до 14 лет</t>
  </si>
  <si>
    <t>241P500006</t>
  </si>
  <si>
    <t>241P500000</t>
  </si>
  <si>
    <t>2410200011</t>
  </si>
  <si>
    <t>2410271340</t>
  </si>
  <si>
    <t>Субсидия бюджетам муниципальных образований на открытие спортивных пространств для молодежи</t>
  </si>
  <si>
    <t>Развитие физкультурно-спортивной работы</t>
  </si>
  <si>
    <t>2410200009</t>
  </si>
  <si>
    <t>2410271320</t>
  </si>
  <si>
    <t>Субсидии бюджетам муниципальных образований на развитие физкультурно-спортивной работы</t>
  </si>
  <si>
    <t>2410200010</t>
  </si>
  <si>
    <t>2410264080</t>
  </si>
  <si>
    <t>Гранты в форме субсидий муниципальным учреждениям по итогам соревнований "Кубок Губернатора Мурманской области среди школьных спортивных клубов"</t>
  </si>
  <si>
    <t>Предоставление субсидий из областного бюджета некоммерческим организациям осуществляющим деятельность в сфере физической культуры и спорта по развитию вида спорта "хоккей с мячом"</t>
  </si>
  <si>
    <t>2410200001</t>
  </si>
  <si>
    <t>2410264070</t>
  </si>
  <si>
    <t>Субсидии некоммерческим организациям осуществляющим деятельность в сфере физической культуры и спорта по развитию вида спорта "хоккей с мячом"</t>
  </si>
  <si>
    <t>Предоставление  субсидий из областного бюджета некоммерческим организациям осуществляющим деятельность в сфере физической культуры и спорта по виду спорта "футбол"</t>
  </si>
  <si>
    <t>2410200006</t>
  </si>
  <si>
    <t>2410264050</t>
  </si>
  <si>
    <t>Субсидии некоммерческим организациям осуществляющим деятельность в сфере физической культуры и спорта по виду спорта "футбол"</t>
  </si>
  <si>
    <t>Предоставление  субсидий из областного бюджета некоммерческим организациям осуществляющим деятельность в сфере физической культуры и спорта по виду спорта "хоккей"</t>
  </si>
  <si>
    <t>2410200004</t>
  </si>
  <si>
    <t>2410264040</t>
  </si>
  <si>
    <t>Субсидии некоммерческим организациям осуществляющим деятельность в сфере физической культуры и спорта по виду спорта "хоккей"</t>
  </si>
  <si>
    <t>Предоставление грантов в форме субсидий по итогам проведения конкурса для реализации социально-значимых проектов в сфере физической культуры и спорта</t>
  </si>
  <si>
    <t>2410200003</t>
  </si>
  <si>
    <t>2410264030</t>
  </si>
  <si>
    <t>Гранты в форме субсидий по итогам проведения конкурса для реализации социально-значимых проектов в сфере физической культуры и спорта</t>
  </si>
  <si>
    <t>Грант на развитие студенческих спортивных клубов</t>
  </si>
  <si>
    <t>2410200012</t>
  </si>
  <si>
    <t>2410261930</t>
  </si>
  <si>
    <t>Грант в форме субсидии образовательным организациям на развитие студенческих спортивных клубов</t>
  </si>
  <si>
    <t>Финансовое обеспечение деятельности  автономной некоммерческой организации "Агентство по проведению спортивно-массовых и культурно-зрелищных мероприятий "СпортКульт51"</t>
  </si>
  <si>
    <t>2410200005</t>
  </si>
  <si>
    <t>2410260460</t>
  </si>
  <si>
    <t>Субсидия автономной некоммерческой организации "Агентство по проведению спортивно-массовых и культурно-зрелищных мероприятий "СпортКульт51"</t>
  </si>
  <si>
    <t>2410229990</t>
  </si>
  <si>
    <t>2410200000</t>
  </si>
  <si>
    <t>Основное мероприятие 2. Поддержка социально-ориентированных некоммерческих организаций, осуществляющих деятельность в сфере физической культуры и спорта</t>
  </si>
  <si>
    <t>2410000000</t>
  </si>
  <si>
    <t>Подпрограмма 1. "Развитие массового спорта, реализация мероприятий по профилактике терроризма и информированию граждан"</t>
  </si>
  <si>
    <t>2400000000</t>
  </si>
  <si>
    <t>Государственная программа "Физическая культура и спорт"</t>
  </si>
  <si>
    <t>12</t>
  </si>
  <si>
    <t>11</t>
  </si>
  <si>
    <t>Ведомство</t>
  </si>
  <si>
    <t>Название меропр.</t>
  </si>
  <si>
    <t>Мероприятие</t>
  </si>
  <si>
    <t>Единица измерения: руб.</t>
  </si>
  <si>
    <t>на 30 июня 2023 года</t>
  </si>
  <si>
    <t>Информация об исполнении государственных программ_для ГРБС</t>
  </si>
  <si>
    <t xml:space="preserve"> Субсидия распеределена между муниципальными образованиями для организации физкультурно-спортивной работы (администрация муниципального образования город Апатиты с подведомственной территорией Мурманской области,
администрация Ковдорского муниципального округа Мурманской области
администрация Кольского района,
Муниципальное образование Город-герой Мурманск,
Муниципальное образование городской округ закрытое административно-территориальное образование Александровск Мурманской области)</t>
  </si>
  <si>
    <t xml:space="preserve">Предоставление субсидии  муниципальным образованиями для организации физкультурно-спортивной работы </t>
  </si>
  <si>
    <t xml:space="preserve"> Субсидия  муниципальным образованиями для организации физкультурно-спортивной работы</t>
  </si>
  <si>
    <t>Закупка комплекта спортивного оборудования</t>
  </si>
  <si>
    <t>Кассовый расход, тыс. рублей</t>
  </si>
  <si>
    <t>Предоставление субсидий из областного бюждета некоммерческим организациям , осуществляющим деятельность в сфере физической культуры и спорта по виду спорта "Хоккей"</t>
  </si>
  <si>
    <t>В 2023 году субсидия распределена среди следующих муниципальных образований: Терский район (пгт Умба), Кольский район (п. Молочный), Кандалакшский район (пгт Алакуртти), Ковдорский муниципальный округ (г. Ковдор), город Мурманск, ЗАТО Александровск (г. Гаджиево), ЗАТО Североморск</t>
  </si>
  <si>
    <t>Закуплена малая площадка ГТО в с. Варзуга Терского района</t>
  </si>
  <si>
    <t>Обучение навыкам плавания детей и подростков в возрасте  от 6 до 14 лет</t>
  </si>
  <si>
    <t>Обучено плаванию 0 чел.</t>
  </si>
  <si>
    <t xml:space="preserve">Предоставлены услуги 3 644 человекам в 15 плавательных бассейнах Мурманской области </t>
  </si>
  <si>
    <t>Предоставление компенcации расходов на оплату стоимости и провоза багажа к месту использования отпуска и обратно.</t>
  </si>
  <si>
    <t xml:space="preserve">Расходы на оплату проезда и провоза багажа осуществлялись  по факту.     </t>
  </si>
  <si>
    <t xml:space="preserve">Проведение инженерных изысканий территории для оценки возможности размещения спортивных объектов </t>
  </si>
  <si>
    <t>Государственная поддержка спортивны организаций , осуществляющих подгтовку спортивного резерва для споривных сборных команд,в том числе спортивных сборных команд РФ</t>
  </si>
  <si>
    <t>Возмещение затрат ГОУП «УСДЦ»  в части  содержания и эксплуатации государственного имущества.</t>
  </si>
  <si>
    <t>Субсидии предоставлены 17 муниципальным бюджетным и автономным учреждениям по итогам соревнований «Кубок Губернатора Мурманской области среди школьных спортивных клубов» по следующим видам спорта: волейбол, баскетбол, мини-футбол, тэк-регби, лазертаг.</t>
  </si>
  <si>
    <t>нет</t>
  </si>
  <si>
    <t>Да</t>
  </si>
  <si>
    <t>Частично</t>
  </si>
  <si>
    <t>На основании проведенных процедур выделены гранты 4-м юр. лица и 3 физ. лицам</t>
  </si>
  <si>
    <t>На основании проведенных процедур выделены гранты 2-м юр. Лица и 4 физ. Лицам</t>
  </si>
  <si>
    <t>Техническая готовность 76%.  Выполняется монтаж слаботочной кабельной линии, монтаж ограждений лестничных маршей, сонтаж сантехнического оборудования 1 этажа, монтаж потолков раздевалок, монтаж декоративных стеновых панелей фойе, монтаж потолка спортивного зала, монтаж оборудования системы АПС, монтаж оборудования системы видеонаблюдения, монтаж пандуса входной группы (для МГН), укладка напольной плитки на лестничных маршах, укладка напольной плитики в машинном отделении (1 этаж), монтаж кабельной продукции, монтаж каркаса под стеновые панели помещений 1 этажа, обшивка стен помещений 1 этажа, укладка настенной плитки в душевых 2 этаж, устройство крыльца запасного входа, выравнивание стен чаши бассейна, монтаж системы водоотведения, демонтаж осветительных приборов помещений бассейна.</t>
  </si>
  <si>
    <t>частично</t>
  </si>
  <si>
    <t>Работы будут продолжаться во II квартале 2023</t>
  </si>
  <si>
    <t>Ремонт кровли выполнен. Техническая готовность 60%. Выпполянется ремонт санитарных комнат, душевых кабин, окраска и штукатурка стен, ремонт раздевалок</t>
  </si>
  <si>
    <t>Прохождение экспертизы сметной документации</t>
  </si>
  <si>
    <t>Подрядная организация с 06.07 приступила к организации работ подготовительного периода.Выполнена геодезическая разбивка. Выполнен подсчет зеленых насаждений. Оформляются документы для получения разрешения на земляные работы для устройства ограждения. ГОКУ УКС формирует документы для получения РНС.  
Со стороны ЗАТО Североморск организована передача ПД в адрес ГОКУ УКС (документация передана).
Предварительно проработан вопрос снижения цены до 827 млн рублей. Корректировка сметнойго расчета и получение достоверности возможна в период СМР.</t>
  </si>
  <si>
    <t>Продление сроков прохождения экспертизы в связи с внесением изменений в проектную документацию и решения вопроса в части финансирования</t>
  </si>
  <si>
    <t xml:space="preserve">Получено положительное заключение экспертизы. Планируется подача частной концессионной иннициативы в срок до 27.07.2023. 
</t>
  </si>
  <si>
    <t>Прохождение экспертизы.</t>
  </si>
  <si>
    <t>Продлено прохождение государственной экспертизы до 27.07.2023. От Минобр науки РФ получено согласие в передаче полномочий ГРБС в правительство МО, а также подтверждение в обеспеченности финансированием объекта (письмо от 11.07.2023), данное обращение загружено в ФАУ Главгосэкспертиза.
Эксперты ФАУ Главгос формируют положительное заключение.</t>
  </si>
  <si>
    <t>Продление сроков прохождения экспертизы в связи с внесением изменений в проектную документацию и решения вопроса по смене ГРБС</t>
  </si>
  <si>
    <t xml:space="preserve">Ведется работа по устранению замечаний экспертизы, согласно дополнительному соглашению от 11.07 до 30.07.
Подрядная организация завершает выполнение демонтажных работ.  После получения положительного заключения в ГСН будет направлено извещение о начале работ.  </t>
  </si>
  <si>
    <t>произведены расходы по выплате заработной плате, содержанию имущества (коммунальные расходы)</t>
  </si>
  <si>
    <t>Лыжная трасса в ЗАТО Александровск (мероприятие отсутствует в отчете) - кассовый расход 6 475,00 тыс.рублей  - не отражен в отчете, т.к. это подтвержденный переходящий остаток 2022 г.</t>
  </si>
  <si>
    <t>Разработка ПСД на строительство лыжной трассы в ЗАТО  Заозерск (мероприятие отсутствует в отчете) - кассовый расход 1 895,71 тыс.рублей  - не отражен в отчете, т.к. это подтвержденный переходящий остаток 2022 г.</t>
  </si>
  <si>
    <t>Разработка проектной документации на капитальный ремонт спортивного объекта «Межшкольный стадион» ЗАТО Видяево (мероприятие отсутствует в отчете) - кассовый расход 2 980,82 тыс.рублей  - не отражен в отчете, т.к. это подтвержденный переходящий остаток 2022 г.</t>
  </si>
  <si>
    <t>Приложение №2</t>
  </si>
  <si>
    <t>Информация о ходе работ на объектах капитального строительства за 6 месяцев 2023 года</t>
  </si>
  <si>
    <t>Государственная программа, подпрограмма, объект капитального строительства</t>
  </si>
  <si>
    <t>Соисполнитель (ГРБС), заказчик-застройщик</t>
  </si>
  <si>
    <t>Проектная мощность</t>
  </si>
  <si>
    <t>Сроки выполнения работ</t>
  </si>
  <si>
    <t>Общая стоимость объекта, тыс. рублей &lt;**&gt;</t>
  </si>
  <si>
    <t>Источ-ник</t>
  </si>
  <si>
    <t>По состоянию на 01.01.2023, тыс. рублей</t>
  </si>
  <si>
    <t>Предусмотрено программой на год, тыс. рублей &lt;**&gt;</t>
  </si>
  <si>
    <t>За 6 месяцев 2023 года, тыс. рублей</t>
  </si>
  <si>
    <t>Техническая готовность объекта  &lt;****&gt;%</t>
  </si>
  <si>
    <t>Остаточная стоимость работ, тыс. рублей &lt;*****&gt;</t>
  </si>
  <si>
    <t xml:space="preserve">Краткая характеристика работ, выполненных за отчетный период, причины отставания </t>
  </si>
  <si>
    <t>Кассовые расходы по состоянию на начало отчетного периода, тыс. рублей</t>
  </si>
  <si>
    <t>Стоимость работ, выполненных по состоянию на начало отчетного периода, тыс. рублей</t>
  </si>
  <si>
    <t>Выполнено за счет средств, предусмотренных на год, тыс. рублей</t>
  </si>
  <si>
    <t>Выполнено за счет средств, не использованных на начало года, тыс. рублей</t>
  </si>
  <si>
    <t xml:space="preserve">Степень выполнения  &lt;***&gt; % </t>
  </si>
  <si>
    <t>Государственная программа 4 "Развитие физической культуры и спорта"</t>
  </si>
  <si>
    <t>Подпрограмма "Развитие спортивной инфраструктуры"</t>
  </si>
  <si>
    <t xml:space="preserve">Минстрой МО, ГОКУ УКС
</t>
  </si>
  <si>
    <t xml:space="preserve">Общая площадь здания - 1835 кв. м
</t>
  </si>
  <si>
    <t xml:space="preserve">2023 - 2024 строительство
</t>
  </si>
  <si>
    <t xml:space="preserve">Минстрой МО, АО Корпорация развития МО
</t>
  </si>
  <si>
    <t xml:space="preserve">Будет установлена после разработки ПСД
</t>
  </si>
  <si>
    <t xml:space="preserve">2023 - 2032 строительство и эксплуатация
</t>
  </si>
  <si>
    <t xml:space="preserve">Минспорт МО, АО Корпорация развития МО
</t>
  </si>
  <si>
    <t xml:space="preserve">Минстрой МО, администрация муниципального образования городской округ ЗАТО Александровск МО
</t>
  </si>
  <si>
    <t xml:space="preserve"> 2023 разработка ПСД
</t>
  </si>
  <si>
    <t xml:space="preserve">6815,8 (стоимость будет определена после разработки ПСД)
</t>
  </si>
  <si>
    <t>Выполняется разработка ПСД</t>
  </si>
  <si>
    <t xml:space="preserve">Минстрой МО, администрация муниципального образования городской округ ЗАТО г. Заозерск МО
</t>
  </si>
  <si>
    <t xml:space="preserve">2022 - 2023 разработка ПСД
</t>
  </si>
  <si>
    <t xml:space="preserve">Реконструкция Ледового дворца, расположенного по адресу: Мурманская обл., г. Оленегорск, ул. Строительная, д. 40
</t>
  </si>
  <si>
    <t xml:space="preserve">Минстрой МО, администрация муниципального образования г. Оленегорск МО
</t>
  </si>
  <si>
    <t>&lt;**&gt; Указывается в соответствии с редакцией государственной программы, действующей по состоянию на конец отчетного периода.</t>
  </si>
  <si>
    <t>&lt;***&gt; Отношение объемов, указанных в графе "Выполнено за счет средств, предусмотренных на год", к объемам, предусмотренным на год в государственной программе.</t>
  </si>
  <si>
    <t>&lt;****&gt; Определяется исходя из общей стоимости выполненных работ по состоянию на конец отчетного периода и общей стоимости объекта (без учета стоимости проектно-изыскательских и подготовительных работ). Полная техническая готовность объекта (100 %) указывается в случае завершения и приемки в установленном порядке всех предусмотренных работ и получения разрешения на ввод объекта в эксплуатацию в отчетном периоде.</t>
  </si>
  <si>
    <t>&lt;*****&gt; Рассчитывается исходя из общей стоимости объекта и общего объема кассовых расходов по состоянию на конец отчетного периода.</t>
  </si>
  <si>
    <t xml:space="preserve">Исполнение бюджета Министерства по состоянию на "01" июля 2023 года </t>
  </si>
  <si>
    <t>на 01.07.2023</t>
  </si>
  <si>
    <t xml:space="preserve"> Государственная программа "Развитие физической культуры и спорта" </t>
  </si>
  <si>
    <t>Предоставление субсидий из областного бюджета некоммерческим организациям осуществляющим деятельность в сфере физической культуры и спорта по виду спорта "Хоккей с мячом"</t>
  </si>
  <si>
    <t>Предоставление субсидий и грантов в форме субсидий по итогам проведения конкурса для реализации социально-значимых проектов в сфере физической культуры и спорта</t>
  </si>
  <si>
    <t>Создание и функционирование АНО «СпортКульт51»</t>
  </si>
  <si>
    <t>АНО</t>
  </si>
  <si>
    <t xml:space="preserve">Предоставление  субсидий из областного бюджета некоммерческим организациям осуществляющим деятельность в сфере физической культуры и спорта по виду спорта "футбол" </t>
  </si>
  <si>
    <t>Предоставление грантов  на развитие школьных спортивных клубов по итогам соревнований «Кубок Губернатора Мурманской области среди школьных спортивных клубов»</t>
  </si>
  <si>
    <t>Субсидии муниципальным образованиям на развитие физкультурно-спортивной работы (конкурс)</t>
  </si>
  <si>
    <t>МБТ</t>
  </si>
  <si>
    <t>г. Апатиты</t>
  </si>
  <si>
    <t>Ковдорский округ</t>
  </si>
  <si>
    <t>Печенгский округ</t>
  </si>
  <si>
    <t>Кандалакшский р-н</t>
  </si>
  <si>
    <t>с.п. Алакуртти</t>
  </si>
  <si>
    <t>ЗАТО Александровск(г. Гаджиево)</t>
  </si>
  <si>
    <t>Кольский район(п. Молочный)</t>
  </si>
  <si>
    <t>Мурманск</t>
  </si>
  <si>
    <t>ЗАТО Североморск</t>
  </si>
  <si>
    <t>Терский район(пгт. Умба)</t>
  </si>
  <si>
    <t>Министерство</t>
  </si>
  <si>
    <t>Поставка спортивно-технологического оборудования для создания малых спортивных площадок</t>
  </si>
  <si>
    <t>Организация и проведение церемоний награждения спортсменов, тренеров, ветеранов спорта и физкультурного актива  Мурманской области</t>
  </si>
  <si>
    <t>ГОБУ "МОСШ"</t>
  </si>
  <si>
    <t>ГАУМО "Мончегорская СШОР"</t>
  </si>
  <si>
    <t>ГОКУ "Кандалакшская школа по санному спорту"</t>
  </si>
  <si>
    <t>Кандалакша</t>
  </si>
  <si>
    <t xml:space="preserve">ГАУМО "МОСШОР ЗВС" </t>
  </si>
  <si>
    <t xml:space="preserve"> ГАУМО "МОСШОР"</t>
  </si>
  <si>
    <t xml:space="preserve">Компенсация расходов на оплату стоимости проезда и провоза багажа при переезде лиц (работников), а также членов их семей, при заключении (расторжении) трудовых договоров (контрактов) с организациями, финансируемыми из областного бюджета </t>
  </si>
  <si>
    <t xml:space="preserve"> ГАУМО "ЦСП"</t>
  </si>
  <si>
    <t>ГАУМО ЦСП</t>
  </si>
  <si>
    <t>Содержание и функционирование парка культуры и отдыха «Патриот» Северного флота</t>
  </si>
  <si>
    <t>г. Кировск</t>
  </si>
  <si>
    <t>г. Мончегорск</t>
  </si>
  <si>
    <t xml:space="preserve">г. Оленегорск </t>
  </si>
  <si>
    <t>Поставка спортивного оборудования и инвентаря для приведения  организаций спортивной подготовки в нормативное состояние</t>
  </si>
  <si>
    <t>Возмещение затрат юридических лиц  в части  содержания государственного имущества (ГОУП "УСДЦ")</t>
  </si>
  <si>
    <t>Субсидия на содержание и эксплуатацию государственного имущества (ГОУП "УСДЦ"машина для заливки льда)</t>
  </si>
  <si>
    <t xml:space="preserve">Субсидия на капитальный ремонт футбольного поля с искусственным покрытием и легкоатлетическими беговыми дорожками </t>
  </si>
  <si>
    <t>Строительство и эксплуатация быстровозводимого спортивного комплекса с плавательным бассейном и тренажерным залом на Кольском проспекте в г. Мурманске</t>
  </si>
  <si>
    <t xml:space="preserve"> Остатки прошлых лет</t>
  </si>
  <si>
    <t>Субсидия распределена среди следующих муниципальных образований: г. Мурманск - 5 млн рублей, г. Апатиты - 1 млн рублей, Ковдорский округ - 1 млн рублей, Печенгский округ - 1 млн рублей, Кандалакшский район - 1 млн рублей</t>
  </si>
  <si>
    <t>Нет</t>
  </si>
  <si>
    <t xml:space="preserve">В регулярном чемпионате НМХЛ сезона 2022/2023 ХК «Арктика» занял 12 место из 22 и вышел в плей-офф (в конференции «Запад» 6 место). Выход в плей-офф обеспечили победы «Арктики» в домашних и гостевых матчах. Клуб надежно обосновался в пуле лучших молодёжных команд Западной конференции. В сезоне 2022/2023 хк «Арктика» провел 40 игр, из них 21 победа (16 в основное время, 4 в серии буллитов, 1 в овертайме), 19 поражений (18 в основное время, 1 в овертайме). 
Завоёвано 43 очка. Заброшена 161 шайба, пропущено 148 шайб.
</t>
  </si>
  <si>
    <t xml:space="preserve">Министерство спорта и подведомственные учреждения Минспорту МО: "МОСШОР" по зимним видам спорта", ГАУМО "Кировская СОШ", ГАУМО "МОСШОР", "Мончегорская СШОР", ГОБУ "МОСШ" </t>
  </si>
  <si>
    <t>Назначено и выплачено 93 единовременных денежных вознаграждения спортсменам и их тренерам</t>
  </si>
  <si>
    <t xml:space="preserve">Подведомственные учреждения Минспорту МО: "МОСШОР" по зимним видам спорта", ГАУМО "Кировская СОШ", ГАУМО "МОСШОР", ГАУМО "ЦСП", ГАУМО "Мончегорская СШОР", ГОБУ "МОСШ", ГОКУ "Кандалакшская школа по санному спорту", ГАУМО "Комплексная СШОР"  </t>
  </si>
  <si>
    <t>Приобретено 500 зачетных книжек и 400 нагрудных знаков</t>
  </si>
  <si>
    <t>В рамках международного праздника Севера и Правздника Севера учащихся проведено 41 мероприятие</t>
  </si>
  <si>
    <t>Реализация в 2024 году</t>
  </si>
  <si>
    <t>Министерстов спорта МО, ГАУМО "КСШОР", ГАУМО "МОСШОР по ЗВС"</t>
  </si>
  <si>
    <t>Министерстов спорта МО, ГАУМО "МОСШОР", ГОБУ "МОСШ"</t>
  </si>
  <si>
    <t>Основное мероприятие 2 "Поддержка социально ориентированных некоммерческих организаций, осуществляющих деятельность в сфере физической культуры и спорта"</t>
  </si>
  <si>
    <t>Предоставление грантов  в форме субсидий по итогам проведения конкурса для реализации социально значимых проектов в сфере физической культуры и спорта</t>
  </si>
  <si>
    <t>По результатам проведенного конкурса среди 6 студенческих спортивных клубов следующих образовательных организаций:
- ФГАОУ ВО "Мурманский государственный технический университет";
- ГАПОУ МО "Мурманский строительный колледж имени Н.Е. Момота";
- ГАПОУ МО "Печенгский политехнический техникум";
- ГАПОУ МО "Мурманский медицинский колледж";
- ГАПОУ МО "Кандалакшский индустриальный колледж";
- ГАПОУ МО "Северный колледж физической культуры и спорта", 
победителем конкурсного отбора стал ГАПОУ МО "Печенгский политехнический техникум"</t>
  </si>
  <si>
    <t>Подготовка спортивного резерва осуществляется в соответствии с федеральными стандартами  спортивной подготовки и подготовки спортсменов -кандидатов в спортивные сборные команды России по видам спорта</t>
  </si>
  <si>
    <t xml:space="preserve">Компенсация  расходов на оплату стоимости проезда и провоза багажа к месту использования отпуска и обратно лицам, работающим в организациях,финансируемых из областного бюджета </t>
  </si>
  <si>
    <t>Предоставление компенсации расходов на оплату стоимости проезда и провоза багажа к месту использования отпуска и обратно всем сотрудникам, заявившимся на получение указанной компенсации</t>
  </si>
  <si>
    <t>Компенсация фактически понесенных расходов на оплату проезда и провоза багажа осуществлялась всем сотрудникам, заявившимся на получение указанной компенсации</t>
  </si>
  <si>
    <t>3.4 Единовременная пропускная способность объектов спорта, введенных в эксплуатацию в рамках Программы</t>
  </si>
  <si>
    <t xml:space="preserve">Выполнен подсчет зеленых насаждений. Оформляются документы для получения разрешения на земляные работы для устройства ограждения. ГОКУ УКС формирует документы для получения РНС.  
Со стороны ЗАТО Североморск организована передача ПД в адрес ГОКУ УКС (документация передана).
Предварительно проработан вопрос снижения цены до 827 млн рублей. Корректировка сметного расчета и получение достоверности возможна в период СМР.
Подрядная организация с 06.07 приступит к организации работ подготовительного периода.Выполнена геодезическая разбивка. </t>
  </si>
  <si>
    <t xml:space="preserve">2023 - 2024 разработка ПСД,СМР
</t>
  </si>
  <si>
    <t>Ведется работа по устранению замечаний экспертизы.Подрядная организация завершает выполнение демонтажных работ.  После получения положительного заключения в ГСН будет направлено извещение о начале работ</t>
  </si>
  <si>
    <t>Предоставление субсидий из областного бюджета некомерческими оргаизациями, осуществляющими деятельность в сфере физической культуры и спорта по виду спорта "Хоккей с мячом"</t>
  </si>
  <si>
    <t xml:space="preserve">По результатам выступления в Чемпионате России, Суперлига, сезон 2022/2023 гг., команда по хоккею с мячом «Мурман» впервые вошла в 10-ку команд Суперлиги. Это стало возможно, в том числе благодаря обновленному составу команды, ее сыгранности и сплоченности, а также нацеленности на результат на протяжении всего игрового сезона.
</t>
  </si>
  <si>
    <t>Предоставление  грантов в форме субсидий по итогам проведения конкурса для реализации социально значимых проектов в сфере физической культуры и спорта</t>
  </si>
  <si>
    <t xml:space="preserve">Предоставлена субсидия региональной общественной организации "Федерация футбола Мурманской области" на возмещение расходов на подготовку и участие спортивной команды в спортивных и физкультурных мероприятиях </t>
  </si>
  <si>
    <t xml:space="preserve">На территории региона проведены мероприятия среди различных категорий населения: Проведены следующин основные мероприятия:
- Всероссийский спортивный фестиваль "Спортивная студенческая ночь"
- Предматчевые шоу ХК "Арктика" январь
- Предматчевые шоу ХК "Арктика" февраль
- Фестиваль по зимним видам спорта "Эривейв"
- Фестиваль молодежных субкультур. Летняя версия
- Всероссийский олимпийский день
- 10 000 шагов
- Бодрое воскресенье
</t>
  </si>
  <si>
    <t>Возмещение затрат в отчетном периоде не осуществлялось</t>
  </si>
  <si>
    <t>Возмещение затрат ГОУП «УСДЦ»  в части  содержания и эксплуатации государственного имущества в отчетном периоде не осуществлялось</t>
  </si>
  <si>
    <t>Приобретено для ГАУДОМО "МОСШОР по ЗВС" 27 пневматичнских винтовок газобалонного типа, для ГАУДОМО "Комплексная СШОР" приобретено 155 хоккейных клюшек</t>
  </si>
  <si>
    <t>Приобретение имущества (за исключением недвижимого имущества) в отчетном периоде не осуществлялось</t>
  </si>
  <si>
    <t>Причины низкой степени освоения средств, достижения показателей результативности (менее 45%)</t>
  </si>
  <si>
    <t>С целью обеспечения реализации функций и услуг произведены расходы по выплате заработной платы, содержанию имущества (коммунальные расходы)</t>
  </si>
  <si>
    <t>Реализация мероприятия рассчитана до конца т.г.</t>
  </si>
  <si>
    <t>Расходы связанные с организацией церемонии награждения спортсменов, тренеров, которая состялась в ЦИТ 18.05.2023</t>
  </si>
  <si>
    <t xml:space="preserve">Гранты в форме субсидий выданы в полном объеме до конца текущего года. Средства экономии перераспределены внутри  мероприятий государственной программы </t>
  </si>
  <si>
    <t>Проведен комплекс инженерных изысканий для получения необходимых и достаточных материалов. В настоящее время идет подготовка проектной и рабочей документации по объекту «Манеж с полноразмерным футбольным полем»</t>
  </si>
  <si>
    <t xml:space="preserve">Выполнен подсчет зеленых насаждений. Оформляются документы для получения разрешения на земляные работы для устройства ограждения. ГОКУ УКС формирует документы для получения РНС.  
Со стороны ЗАТО Североморск организована передача ПД в адрес ГОКУ УКС (документация передана).
Подрядная организация с 06.07 приступит к организации работ подготовительного периода.Выполнена геодезическая разбивка. </t>
  </si>
  <si>
    <t xml:space="preserve">Работы ведутся с 2022 года. В настоящее время техническая готовность 60%. </t>
  </si>
  <si>
    <t>В соответствии с госконтрактами мероприятия будут выполнены в 4 квартале 2023 года</t>
  </si>
  <si>
    <t>Кассовый расход реализации мероприятия запланирован 3-4 квартале 2023 года</t>
  </si>
  <si>
    <t>Реализация мероприятия в 3-4 квартале 2023 года</t>
  </si>
  <si>
    <t>Кассовое исполнение мероприятия запланировано в 3-4 квартале 2023 года</t>
  </si>
  <si>
    <t>Кассовое исполнение мероприятия запланировано в 3 квартале 2023 года</t>
  </si>
  <si>
    <t>В 1 полугодии 2023 года проведены мероприятия "Гонка Героев" и "Герои Севера"</t>
  </si>
  <si>
    <t>Субсидия бюджету муниципального образования г.  Кировскна на оказание финансовой поддержки спортивным организациям, осуществляющим спортивную подготовку в соответствии с федеральными стандартами спортивной подготовки в рамках реализации соглашений между Правительством Мурманской области и градообразующими предприятиями по состоянию на 01.07.2023 не предоставлена</t>
  </si>
  <si>
    <t>Освоение бюджетных средств заплаинровано в 4 квартале 2023 года</t>
  </si>
  <si>
    <t xml:space="preserve">Освоение бюджетных средств заплаинровано в 4 квартале 2023 года </t>
  </si>
  <si>
    <t>Освоение бюджетных средств заплаинровано в 3 квартале 2023 года</t>
  </si>
  <si>
    <t>В отчетном периоде устройство спортивных площадок на территории региона не осуществлялось</t>
  </si>
  <si>
    <t xml:space="preserve">Государственная программа "Физическая культура и спорт" </t>
  </si>
  <si>
    <t>Грант ФБ</t>
  </si>
  <si>
    <t>ОСТ.ПРОШ.Л.</t>
  </si>
  <si>
    <t>РЕЗ.Ф.</t>
  </si>
  <si>
    <t>в т.ч.</t>
  </si>
  <si>
    <t>Достижение показателей деятельности органов исполнительной власти субъектов Российской Федерации</t>
  </si>
  <si>
    <t>9990000068</t>
  </si>
  <si>
    <t>00001</t>
  </si>
  <si>
    <t>129</t>
  </si>
  <si>
    <t>9990055490</t>
  </si>
  <si>
    <t>1105</t>
  </si>
  <si>
    <t>121</t>
  </si>
  <si>
    <t>Финансовое обеспечение выплат, предусмотренных Законом Мурманской области от 13.10.2005 № 660-01-ЗМО "О государственной гражданской службе Мурманской области", за исключением предоставления единовременной субсидии на приобретение жилой площади, и Законом Мурманской области от 07.07.2005 № 652-01-ЗМО «О государственных должностях Мурманской области»</t>
  </si>
  <si>
    <t>99999</t>
  </si>
  <si>
    <t>321</t>
  </si>
  <si>
    <t>122</t>
  </si>
  <si>
    <t>244</t>
  </si>
  <si>
    <t>1103</t>
  </si>
  <si>
    <t>23-52290-00000-00000</t>
  </si>
  <si>
    <t>22-52290-00000-00000</t>
  </si>
  <si>
    <t>23-50810-00000-00000</t>
  </si>
  <si>
    <t>22-50810-00000-00000</t>
  </si>
  <si>
    <t>2420200005</t>
  </si>
  <si>
    <t>711701-23</t>
  </si>
  <si>
    <t>521</t>
  </si>
  <si>
    <t>71170-23</t>
  </si>
  <si>
    <t>71170-22</t>
  </si>
  <si>
    <t>350</t>
  </si>
  <si>
    <t>622</t>
  </si>
  <si>
    <t>612</t>
  </si>
  <si>
    <t>621</t>
  </si>
  <si>
    <t>611</t>
  </si>
  <si>
    <t>633</t>
  </si>
  <si>
    <t>Создание молодежного спортивного пространства</t>
  </si>
  <si>
    <t>9990000310</t>
  </si>
  <si>
    <t>М9993</t>
  </si>
  <si>
    <t>9990029930</t>
  </si>
  <si>
    <t>1102</t>
  </si>
  <si>
    <t>23-57530-00000-00000</t>
  </si>
  <si>
    <t>22-57530-00000-00000</t>
  </si>
  <si>
    <t>24303R7530</t>
  </si>
  <si>
    <t>706411-23</t>
  </si>
  <si>
    <t>23-52280-00000-00000</t>
  </si>
  <si>
    <t>22-52280-00000-00000</t>
  </si>
  <si>
    <t>71340-23</t>
  </si>
  <si>
    <t>71320-23</t>
  </si>
  <si>
    <t>623</t>
  </si>
  <si>
    <t>613</t>
  </si>
  <si>
    <t>Создание молодежного спортивного пространства "СОПКИ.СПОРТ"</t>
  </si>
  <si>
    <t>2410200013</t>
  </si>
  <si>
    <t>17</t>
  </si>
  <si>
    <t>16</t>
  </si>
  <si>
    <t>15</t>
  </si>
  <si>
    <t>14</t>
  </si>
  <si>
    <t>13</t>
  </si>
  <si>
    <t>Остаток по СБР</t>
  </si>
  <si>
    <t xml:space="preserve">СЛБО/П+У </t>
  </si>
  <si>
    <t>СЛБО/Справки</t>
  </si>
  <si>
    <t>СЛБО/Перв.</t>
  </si>
  <si>
    <t>СБР/П.+У.</t>
  </si>
  <si>
    <t>СБР/Справки</t>
  </si>
  <si>
    <t>СБР/Первонач.</t>
  </si>
  <si>
    <t>Наименование меропр.</t>
  </si>
  <si>
    <t>Доп.класс.</t>
  </si>
  <si>
    <t>Вид расхода</t>
  </si>
  <si>
    <t>Целевая статья</t>
  </si>
  <si>
    <t>Подраздел</t>
  </si>
  <si>
    <t>за период с 01.01.2023 по 30.09.2023</t>
  </si>
  <si>
    <t>Куликова-ГРК-Текущий период с Меропр._Для ГРБС</t>
  </si>
  <si>
    <t>за период с 01.01.2023 по 02.10.2023</t>
  </si>
  <si>
    <t>Получено положительное заключение экспертизы. Направлено письмо о перераспределении средств на 2024-2025 гг в целях заключения концессионного соглашения.</t>
  </si>
  <si>
    <t>По проекту быстровозводимого спортивного комплекса с плавательным бассейном и тренажерным залом на Кольском проспекте в г. Мурманске будет привлечена региональная специализированная организация АО «Корпорация развития Мурманской области».
 Получено положительное заключение государственной экспертизы на проектно-сметную документацию, осуществляется подготовка частной концессионной инициативы.</t>
  </si>
  <si>
    <t>Подрядной организацией выполняются работы подготовительного периода. Охрана стройплощадки обеспечена. На строительную площадку завезена первая партия свай,  03.11.2023 ожидается роставка на строительную площадку оставшихся свай и устройство свайного фундамента.</t>
  </si>
  <si>
    <t>Работы выполняются в два этапа:
- I этап – подготовка проектной документации.  Всего разделов 24, сняты замечания по 21 разделу, на проверке в экспертизе 2 раздела, на отработке у проектировщика 1 раздел. Ориентировочный срок выхода с экспертизы 31.10.2023                                     
- II этап – выполнение строительно-монтажных работ,  срок завершения работ - 31.08.2024.
Выполнены:демонтажные работы (100% ). 
По экспертизе осталось согласовать прайсы и КАЦ. По сметному расчету цена 495 млн, Муниципалитет подготовил письмо об обеспечении финансированием - экспертиза приняла.  В срок до 03.11.2023 планируется получить  положительное заключение экспертизы.</t>
  </si>
  <si>
    <t>Закупка комплекта спортивного оборудования. 2021- ЗАТО Александровск. 2022 - Кольский район, н.п. Зверосовхоз, 2023 - Варзуга</t>
  </si>
  <si>
    <t xml:space="preserve">В соответствии с федеральными стандартами спортивной подготовки приобретены: 1) гриф для пауэрлифтинга, гантельный ряд и борцовский ковер для вольной и греко-римской борьбы для ГОБУДО "МОСШ", 2) для Государственного автономного учреждения ДО Мурманской области "МОСШОР" 30 кайтов </t>
  </si>
  <si>
    <t>Предоставление  грантов в форме субсидий по итогам проведения конкурса для реализации социально-значимых проектов в сфере физической культуры и спорта</t>
  </si>
  <si>
    <t>уменьшение в связи с отказом участников и перераспределение на переезд</t>
  </si>
  <si>
    <t>1.2.15</t>
  </si>
  <si>
    <t>Создание молодежного спортивного пространства "СОПКИ.СПОРТ"*</t>
  </si>
  <si>
    <t xml:space="preserve">Обеспечение материально-технической базой нового спортивного пространства </t>
  </si>
  <si>
    <t>доп с софин фб</t>
  </si>
  <si>
    <t>в соотсвевии с бюджетной росписью, перераспределено с грантов</t>
  </si>
  <si>
    <t>Поставка оборудования и инвентаря в организации спортивной подготовки:
в 2022 году – 2 организации (Кировская СШОР, Мончегорская СШОР);
в 2023 году – 2 организации (ГАУМО "МОСШОР по ЗВС" и ГАУМО "Комплексная СШОР");
в 2024 году - 2 организации</t>
  </si>
  <si>
    <t>2022 -2023  год - разработка проекта</t>
  </si>
  <si>
    <t>Министерство строительства  МО, ГОКУ «Управление капитального строительства Мурманской области»,
 АО Корпорация развития МО</t>
  </si>
  <si>
    <t>Строительство объекта «ПСД на ФОК закрытого типа в районе дома 13 по ул. Старостина»(в рамках концессионного соглашения по строительству и эксплуатации объекта соглашения в соответствии с Федеральным законом от 21.07.2005 № 115-ФЗ «О концессионных соглашениях»)</t>
  </si>
  <si>
    <t>Минстрой МО,
 АО Корпорация развития МО</t>
  </si>
  <si>
    <t>Строительство объекта «Быстровозводимый спортивно-оздоровительный комплекс с плавательным бассейном и тренажерным залом» на Кольском проспекте в г. Мурманске» (в рамках концессионного соглашения по строительству и эксплуатации объекта соглашения в соответствии с Федеральным законом от 21.07.2005 № 115-ФЗ «О концессионных соглашениях»)</t>
  </si>
  <si>
    <t xml:space="preserve">ОМ 3.5  </t>
  </si>
  <si>
    <t>Основное мероприятие 5 "Реализация мероприятий по приобретению спортивных объектов в муниципальную собственность"</t>
  </si>
  <si>
    <t xml:space="preserve">0.1 Доля населения, систематически занимающегося физической культурой и спортом, в общей численности населения 
0.2 Количество спортивных сооружений (ед. на 100 тыс. населения)
</t>
  </si>
  <si>
    <t xml:space="preserve">Минстрой МО, администрацим муниципальных образований Мурманской области
</t>
  </si>
  <si>
    <t>3.5.1.</t>
  </si>
  <si>
    <t>Спортивный комплекс с плавательным бассейном «Энергетик», расположенный по адресу: Мурманская область, Кольский район, пгт. Мурмаши, ул. Мисякова, д.6</t>
  </si>
  <si>
    <t>2023-2025- приобретение объекта</t>
  </si>
  <si>
    <t xml:space="preserve">Минстрой МО, администрация муниципального образования Кольский муниципальный район Мурманской области
</t>
  </si>
  <si>
    <t>3.5.2.</t>
  </si>
  <si>
    <t>Фитнесс-центр «Престиж», расположенный в зданиях по адресам : Мурманская область, Кольский район, пгт. Мурмаши, ул. Мира, д.14,  ул. Мира, д. 13</t>
  </si>
  <si>
    <t>* Реализация мероприятий в рамках постановления Правительства Мурманской области от 25.05.2023 № 389-ПП, соглашения о сотрудничестве между Правительством Мурманской области и Военно-гражданской администрацией Приморского района Запорожской области</t>
  </si>
  <si>
    <t>0.1 Доля населения, систематически занимающегося физической культурой и спортом, в общей численности населения 
0.2 Количество спортивных сооружений (ед. на 100 тыс. населения)</t>
  </si>
  <si>
    <t>Минстрой МО, администрация муниципального образования Кольский муниципальный район Мурманской области</t>
  </si>
  <si>
    <t>В соответствии с федеральными стандартами спортивной подготовки приобретен гриф для пауэрлифтинга для ГОБУДО "МОСШ"</t>
  </si>
  <si>
    <t>Техническая готовность - 93%.  Ведутся работы по монтажу ограждений лестничных маршей, монтаж сантехнического оборудования (унитазы и раковины) санузлов 1 этажа, монтаж декоративных стеновых панелей фойе и большом и малом залах ОФП,  пандуса входной группы (для МГН), облицовка плиткой пандуса большого зала ОФП, замена дверных и оконных блоков входной группы, монтаж стеклянного козырька крыльца входной группы, установка шкафчиков в раздевалках, монтаж системы водоснабжения и водоотведения, монтаж пожарного водоснабжения, монтаж потолков в раздевалках 1 этажа, заливка цементной стяжкой пола обходных дорожек чаши бассейна, замена дверных блоков запасного входа, монтаж ограждений трибун, монтаж сидений на трибунах бассейна,  ремонт служебных помещений в машинном отделении, монтаж оборудования системы видеонаблюдения, ограждений лестничных маршей.</t>
  </si>
  <si>
    <t>Подрядной организацией выполняются работы подготовительного периода. Охрана стройплощадки обеспечена. На строительную площадку завезена первая партия свай,  03.11.2023 ожидается поставка на строительную площадку оставшихся свай и устройство свайного фундамента.</t>
  </si>
  <si>
    <t xml:space="preserve">Работы выполняются в два этапа:
- I этап – подготовка проектной документации.  Всего разделов 24, сняты замечания по 21 разделу, на проверке в экспертизе 2 раздела, на отработке у проектировщика 1 раздел. Ориентировочный срок выхода с экспертизы - 03.11.2023                                     
- II этап – выполнение строительно-монтажных работ,  срок завершения работ - 31.08.2024.
Выполнены:демонтажные работы (100% ). </t>
  </si>
  <si>
    <t xml:space="preserve"> 2.1. Численность спортсменов МО, включенных в список кандидатов в спортивные сборные команды Российской Федерации. 2.3 Доля граждан в возрасте 6-15 лет, занимающихся в спортивных организациях, в общей численности детей и молодежи в возрасте 6-15 лет. 2.4 Доля спортсменов-разрядников в общем количестве лиц, занимающихся в системе  спортивных школ олимпийского резерва. </t>
  </si>
  <si>
    <t>Строительство объекта "Быстровозводимый спортивно-оздоровительный комплекс с плавательным бассейном и тренажерным залом" на Кольском проспекте в г. Мурманске" (в рамках концессионного соглашения по строительству и эксплуатации объекта соглашения в соответствии с Федеральным законом от 21.07.2005 N 115-ФЗ "О концессионных соглашениях")</t>
  </si>
  <si>
    <t>Строительство объекта "ПСД на ФОК закрытого типа в районе дома 13 по ул. Старостина" (в рамках концессионного соглашения по строительству и эксплуатации объекта соглашения в соответствии с Федеральным законом от 21.07.2005 N 115-ФЗ "О концессионных соглашениях")</t>
  </si>
  <si>
    <t>на 1 октября 2023 года</t>
  </si>
  <si>
    <t>Государственная программа "Здравоохранение"</t>
  </si>
  <si>
    <t>2100000000</t>
  </si>
  <si>
    <t>2110000000</t>
  </si>
  <si>
    <t>2110100000</t>
  </si>
  <si>
    <t>2110100050</t>
  </si>
  <si>
    <t>Субсидии социально ориентированным некоммерческим организациям на реализацию мероприятий по проведению профилактики неинфекционных заболеваний и формированию здорового образа жизни</t>
  </si>
  <si>
    <t>2110165010</t>
  </si>
  <si>
    <t>2110200000</t>
  </si>
  <si>
    <t>2110200050</t>
  </si>
  <si>
    <t>2110229990</t>
  </si>
  <si>
    <t>Комитет молодежной политики Мурманской области</t>
  </si>
  <si>
    <t>815</t>
  </si>
  <si>
    <t>МИНИСТЕРСТВО РЕГИОНАЛЬНОЙ БЕЗОПАСНОСТИ МУРМАНСКОЙ ОБЛАСТИ</t>
  </si>
  <si>
    <t>2110300000</t>
  </si>
  <si>
    <t>2110300050</t>
  </si>
  <si>
    <t>2110400000</t>
  </si>
  <si>
    <t>2110400050</t>
  </si>
  <si>
    <t>2110413390</t>
  </si>
  <si>
    <t>2110451610</t>
  </si>
  <si>
    <t>2110451970</t>
  </si>
  <si>
    <t>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t>
  </si>
  <si>
    <t>2110452160</t>
  </si>
  <si>
    <t>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 (за счет подтвержденных остатков прошлых лет)</t>
  </si>
  <si>
    <t>211045216L</t>
  </si>
  <si>
    <t>2110454600</t>
  </si>
  <si>
    <t>211N100000</t>
  </si>
  <si>
    <t>Обеспечение закупки авиационных работ в целях оказания медицинской помощи</t>
  </si>
  <si>
    <t>211N155540</t>
  </si>
  <si>
    <t>211N200000</t>
  </si>
  <si>
    <t>211N255860</t>
  </si>
  <si>
    <t>211P400000</t>
  </si>
  <si>
    <t>211P422280</t>
  </si>
  <si>
    <t>2120000000</t>
  </si>
  <si>
    <t>2120100000</t>
  </si>
  <si>
    <t>2120100050</t>
  </si>
  <si>
    <t>2120113390</t>
  </si>
  <si>
    <t>Реализация мероприятий по обеспечению населения медико-социальной помощью (за счет средств резервного фонда Правительства Мурманской области)</t>
  </si>
  <si>
    <t>212011339U</t>
  </si>
  <si>
    <t>2120129990</t>
  </si>
  <si>
    <t>21201R2010</t>
  </si>
  <si>
    <t>21201R2020</t>
  </si>
  <si>
    <t>Основное мероприятие 2. Предоставление услуг по оказанию специализированной, в том числе высокотехнологичной медицинской помощи</t>
  </si>
  <si>
    <t>2120200000</t>
  </si>
  <si>
    <t>2120200050</t>
  </si>
  <si>
    <t>Оказание гражданам Российской Федерации высокотехнологичной медицинской помощи, не включенной в базовую программу обязательного медицинского страхования (за счет средств областного бюджета)</t>
  </si>
  <si>
    <t>2120224020</t>
  </si>
  <si>
    <t>21202R4020</t>
  </si>
  <si>
    <t>2120400000</t>
  </si>
  <si>
    <t>2120400050</t>
  </si>
  <si>
    <t>2120500000</t>
  </si>
  <si>
    <t>2120500050</t>
  </si>
  <si>
    <t>2120600000</t>
  </si>
  <si>
    <t>2120600050</t>
  </si>
  <si>
    <t>2120700000</t>
  </si>
  <si>
    <t>2120700050</t>
  </si>
  <si>
    <t>Основное мероприятие 8. Обеспечение проведения мероприятий, направленных на улучшение качества медицинской помощи, в том числе выполнение научно-исследовательской работы по оценке системы здравоохранения Мурманской области и разработке рекомендаций по повышению ее эффективности</t>
  </si>
  <si>
    <t>2120800000</t>
  </si>
  <si>
    <t>2120800050</t>
  </si>
  <si>
    <t>212N200000</t>
  </si>
  <si>
    <t>212N251920</t>
  </si>
  <si>
    <t>212N300000</t>
  </si>
  <si>
    <t>Переоснащение медицинских организаций, оказывающих медицинскую помощь больным с онкологическими заболеваниями</t>
  </si>
  <si>
    <t>212N351900</t>
  </si>
  <si>
    <t>2130000000</t>
  </si>
  <si>
    <t>2130100000</t>
  </si>
  <si>
    <t>2130100050</t>
  </si>
  <si>
    <t>Реализация мероприятий по проведению массового обследования новорожденных на врожденные и (или) наследственные заболевания (расширенный неонатальный скрининг)</t>
  </si>
  <si>
    <t>21301R3850</t>
  </si>
  <si>
    <t>2130200000</t>
  </si>
  <si>
    <t>2130200050</t>
  </si>
  <si>
    <t>2140000000</t>
  </si>
  <si>
    <t>Основное мероприятие 1. Укрепление материально-технической базы учреждений здравоохранения</t>
  </si>
  <si>
    <t>2140100000</t>
  </si>
  <si>
    <t>2140100050</t>
  </si>
  <si>
    <t>2140129990</t>
  </si>
  <si>
    <t>Основное мероприятие 2. Модернизация первичного звена здравоохранения Мурманской области</t>
  </si>
  <si>
    <t>2140200000</t>
  </si>
  <si>
    <t>2140200050</t>
  </si>
  <si>
    <t>2140240010</t>
  </si>
  <si>
    <t>Реализация региональных проектов модернизации первичного звена здравоохранения</t>
  </si>
  <si>
    <t>21402R3650</t>
  </si>
  <si>
    <t>Основное мероприятие 3. Строительство и реконструкция зданий учреждений здравоохранения</t>
  </si>
  <si>
    <t>2140300000</t>
  </si>
  <si>
    <t>2140300050</t>
  </si>
  <si>
    <t>Основное мероприятие 4. Оснащение (дооснащение и (или) переоснащение медицинскими изделиями медицинских организаций, имеющих в своей структуре подразделения, оказывающие медицинскую помощь по медицинской реабилитации</t>
  </si>
  <si>
    <t>2140400000</t>
  </si>
  <si>
    <t>Оснащение (дооснащение и (или) переоснащение) медицинскими изделиями медицинских организаций, имеющих в своей структуре подразделения, оказывающие медицинскую помощь по медицинской реабилитации</t>
  </si>
  <si>
    <t>21404R7520</t>
  </si>
  <si>
    <t>214N300000</t>
  </si>
  <si>
    <t>Новое строительство и реконструкция</t>
  </si>
  <si>
    <t>214N352270</t>
  </si>
  <si>
    <t>Региональный проект "Модернизация первичного звена здравоохранения Российской Федерации"</t>
  </si>
  <si>
    <t>214N900000</t>
  </si>
  <si>
    <t>214N900050</t>
  </si>
  <si>
    <t>214N929990</t>
  </si>
  <si>
    <t>214N953650</t>
  </si>
  <si>
    <t>2150000000</t>
  </si>
  <si>
    <t>Основное мероприятие 1. Обеспечение медицинских организаций системы здравоохранения Мурманской области квалифицированными кадрами</t>
  </si>
  <si>
    <t>2150100000</t>
  </si>
  <si>
    <t>2150100050</t>
  </si>
  <si>
    <t>Реализация Закона Мурманской области от 19.12.2014 № 1820-01-ЗМО в части предоставления ежемесячной стипендии студентам колледжей</t>
  </si>
  <si>
    <t>2150110900</t>
  </si>
  <si>
    <t>Реализация Закона Мурманской области от 19.12.2014 № 1820-01-ЗМО в части предоставления студентам и ординаторам оплаты проезда на практику</t>
  </si>
  <si>
    <t>2150110910</t>
  </si>
  <si>
    <t>Реализация Закона Мурманской области от 19.12.2014 № 1820-01-ЗМО в части предоставления студентам и ординаторам оплаты аренды жилья на время прохождения практики</t>
  </si>
  <si>
    <t>2150110920</t>
  </si>
  <si>
    <t>Предоставление отдельным категориям медицинских работников меры социальной поддержки в виде компенсационной выплаты по оплате (возмещению) стоимости аренды (найма) жилого помещения по договору аренды (найма) жилого помещения</t>
  </si>
  <si>
    <t>2150110930</t>
  </si>
  <si>
    <t>Реализация Закона Мурманской области от 19.12.2014 № 1820-01-ЗМО в части выплаты стипендии и компенсации стоимости платных образовательных услуг ординаторам, заключившим договоры о получении платных образовательных услуг</t>
  </si>
  <si>
    <t>2150111760</t>
  </si>
  <si>
    <t>2150113060</t>
  </si>
  <si>
    <t>2150113070</t>
  </si>
  <si>
    <t>Предоставление ежемесячной денежной выплаты на оплату жилого помещения и (или) коммунальных услуг отдельным категориям граждан, работающих в областных учреждениях (организациях), в соответствии с Законом Мурманской области от 27.12.2004 № 561-01-ЗМО "О мерах социальной поддержки отдельных категорий граждан, работающих в сельских населенных пунктах или поселках городского типа"</t>
  </si>
  <si>
    <t>2150113240</t>
  </si>
  <si>
    <t>Предоставление ежемесячной денежной выплаты на оплату жилого помещения и (или) коммунальных услуг отдельным категориям граждан, работающих в областных учреждениях (организациях), в соответствии с Законом Мурманской области от 19.12.2014 № 1811-01-ЗМО "О сохранении права на меры социальной поддержки отдельных категорий граждан в связи с упразднением поселка городского типа Росляково"</t>
  </si>
  <si>
    <t>2150113250</t>
  </si>
  <si>
    <t>2150113390</t>
  </si>
  <si>
    <t>Единовременные компенсационные выплаты медицинским работникам (врачам, фельдшерам, а также акушеркам и медицинским сестрам фельдшерских и фельдшерско-акушерских пунктов),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</si>
  <si>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21501R1380</t>
  </si>
  <si>
    <t>Основное мероприятие 2. Создание аккредитационно-симуляционного центра на базе ГООАУ ДПО "Мурманский областной центр повышения квалификации специалистов здравоохранения"</t>
  </si>
  <si>
    <t>2150200000</t>
  </si>
  <si>
    <t>2150200050</t>
  </si>
  <si>
    <t>215N500000</t>
  </si>
  <si>
    <t>215N510500</t>
  </si>
  <si>
    <t>215N510510</t>
  </si>
  <si>
    <t>215N510520</t>
  </si>
  <si>
    <t>Реализация Закона Мурманской области от 19.12.2014 № 1820-01-ЗМО в части предоставления ежемесячной стипендии студентам, обучающимся по договору о целевом обучении</t>
  </si>
  <si>
    <t>215N510730</t>
  </si>
  <si>
    <t>Реализация Закона Мурманской области от 19.12.2014 № 1820-01-ЗМО в части предоставления ежемесячной стипендии ординаторам, обучающимся по договору о целевом обучении</t>
  </si>
  <si>
    <t>215N510760</t>
  </si>
  <si>
    <t>Предоставление социальных выплат отдельным категориям медицинских работников на приобретение и (или) строительство жилого помещения за счет средств областного бюджета</t>
  </si>
  <si>
    <t>215N513080</t>
  </si>
  <si>
    <t>215N522320</t>
  </si>
  <si>
    <t>215N529990</t>
  </si>
  <si>
    <t>2160000000</t>
  </si>
  <si>
    <t>Основное мероприятие 1. Обеспечение поддержки принятия управленческих решений при управлении сферой здравоохранения с применением современных информационных систем</t>
  </si>
  <si>
    <t>2160100000</t>
  </si>
  <si>
    <t>2160100030</t>
  </si>
  <si>
    <t>2160100050</t>
  </si>
  <si>
    <t>2160120100</t>
  </si>
  <si>
    <t>216N700000</t>
  </si>
  <si>
    <t>216N722270</t>
  </si>
  <si>
    <t>Реализация региональных проектов "Создание единого цифрового контура в здравоохранении на основе единой государственной информационной системы в сфере здравоохранения (ЕГИСЗ)"</t>
  </si>
  <si>
    <t>216N751140</t>
  </si>
  <si>
    <t>2170000000</t>
  </si>
  <si>
    <t>Основное мероприятие 1. Обеспечение реализации государственных функций в сфере охраны здоровья</t>
  </si>
  <si>
    <t>2170100000</t>
  </si>
  <si>
    <t>2170100010</t>
  </si>
  <si>
    <t>2170100030</t>
  </si>
  <si>
    <t>2170100050</t>
  </si>
  <si>
    <t>2170113060</t>
  </si>
  <si>
    <t>2170113070</t>
  </si>
  <si>
    <t>2170129990</t>
  </si>
  <si>
    <t>Субсидия автономной некоммерческой организации по развитию конгрессно-выставочной, ярмарочной и информационной деятельности "Мурманконгресс" на проведение массовых мероприятий в сфере здравоохранения</t>
  </si>
  <si>
    <t>2170162010</t>
  </si>
  <si>
    <t>Основное мероприятие 2. Предоставление межбюджетных трансфертов и иные платежи, производимые в целях организации обязательного медицинского страхования на территории субъекта Российской Федерации</t>
  </si>
  <si>
    <t>2170200000</t>
  </si>
  <si>
    <t>2170277010</t>
  </si>
  <si>
    <t>2170277020</t>
  </si>
  <si>
    <t>2170300000</t>
  </si>
  <si>
    <t>Осуществление переданных полномочий Российской Федерации в сфере охраны здоровья</t>
  </si>
  <si>
    <t>2170359800</t>
  </si>
  <si>
    <t>Государственная программа "Образование и наука"</t>
  </si>
  <si>
    <t>2200000000</t>
  </si>
  <si>
    <t>2210000000</t>
  </si>
  <si>
    <t>Основное мероприятие 1. Реализация программ среднего профессионального образования и профессионального обучения</t>
  </si>
  <si>
    <t>2210100000</t>
  </si>
  <si>
    <t>2210100050</t>
  </si>
  <si>
    <t>Ежемесячное денежное вознаграждение за классное руководство (кураторство) педагогическим работникам государственных образовательных организаций субъектов Российской Федерации и г. Байконура,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 (за счет средств областного бюджета)</t>
  </si>
  <si>
    <t>2210103630</t>
  </si>
  <si>
    <t>2210113800</t>
  </si>
  <si>
    <t>2210129990</t>
  </si>
  <si>
    <t>Ежемесячное денежное вознаграждение за классное руководство (кураторство) педагогическим работникам государственных образовательных организаций субъектов Российской Федерации и г. Байконура,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t>
  </si>
  <si>
    <t>2210153630</t>
  </si>
  <si>
    <t>Грант в форме субсидии образовательным организациям высшего образования, реализующим образовательную программу по специальности высшего образования Лечебное дело, на территории Мурманской области, находящимся в ведении федеральных органов государственной власти</t>
  </si>
  <si>
    <t>2210161720</t>
  </si>
  <si>
    <t>Грант в форме субсидии образовательным организациям высшего образования, реализующим образовательные программы среднего профессионального образования по укрупненной группе специальностей 26.00.00 Техника и технологии кораблестроения и водного транспорта на территории Мурманской области</t>
  </si>
  <si>
    <t>2210161870</t>
  </si>
  <si>
    <t>Грант в форме субсидии профессиональным образовательным организациям (за исключением государственных областных образовательных организаций) на финансовое обеспечение обучения граждан Российской Федерации по образовательным программам среднего профессионального образования</t>
  </si>
  <si>
    <t>2210161890</t>
  </si>
  <si>
    <t>Грант в форме субсидии негосударственным организациям, осуществляющим образовательную деятельность по образовательным программам среднего профессионального образования, на финансовое обеспечение обучения граждан Российской Федерации по образовательным программам среднего профессионального образования</t>
  </si>
  <si>
    <t>2210161900</t>
  </si>
  <si>
    <t>Основное мероприятие 2. Создание условий для функционирования региональной системы инклюзивного среднего профессионального образования инвалидов</t>
  </si>
  <si>
    <t>2210200000</t>
  </si>
  <si>
    <t>2210200050</t>
  </si>
  <si>
    <t>Основное мероприятие 3. Развитие кадрового потенциала в сфере исследований и разработок</t>
  </si>
  <si>
    <t>2210300000</t>
  </si>
  <si>
    <t>Выплата стипендий молодым ученым</t>
  </si>
  <si>
    <t>2210310940</t>
  </si>
  <si>
    <t>2210329990</t>
  </si>
  <si>
    <t>Гранты в форме субсидий для поддержки молодых ученых Мурманской области</t>
  </si>
  <si>
    <t>2210361730</t>
  </si>
  <si>
    <t>Гранты в форме субсидий некоммерческим организациям, не являющимся казенными учреждениями, для поддержки научных исследований и поисковых научных исследований по приоритетным направлениям деятельности Мурманской области</t>
  </si>
  <si>
    <t>2210361740</t>
  </si>
  <si>
    <t>Субсидия автономной некоммерческой организации "Проектный офис "Арктический элемент"</t>
  </si>
  <si>
    <t>2210362500</t>
  </si>
  <si>
    <t>Основное мероприятие 4. Содействие развитию дополнительного профессионального образования</t>
  </si>
  <si>
    <t>2210400000</t>
  </si>
  <si>
    <t>Гранты в форме субсидий организациям, осуществляющим образовательную деятельность по дополнительным профессиональным программам</t>
  </si>
  <si>
    <t>2210461750</t>
  </si>
  <si>
    <t>Подпрограмма 2. "Развитие дошкольного и общего образования"</t>
  </si>
  <si>
    <t>2220000000</t>
  </si>
  <si>
    <t>Основное мероприятие 1. Развитие дошкольного образования</t>
  </si>
  <si>
    <t>2220100000</t>
  </si>
  <si>
    <t>2220100050</t>
  </si>
  <si>
    <t>2220160560</t>
  </si>
  <si>
    <t>2220175360</t>
  </si>
  <si>
    <t>2220175370</t>
  </si>
  <si>
    <t>Основное мероприятие 2. Развитие общего образования</t>
  </si>
  <si>
    <t>2220200000</t>
  </si>
  <si>
    <t>2220200050</t>
  </si>
  <si>
    <t>Ежемесячное денежное вознаграждение за классное руководство педагогическим работникам государственных общеобразовательных организаций (за счет средств областного бюджета)</t>
  </si>
  <si>
    <t>2220203030</t>
  </si>
  <si>
    <t>Предоставление единовременной компенсационной выплаты педагогическим работникам, переехавшим на работу в Мурманскую область и впервые трудоустроившимся на вакантные должности в образовательные организации Мурманской области</t>
  </si>
  <si>
    <t>2220213150</t>
  </si>
  <si>
    <t>2220229990</t>
  </si>
  <si>
    <t>2220260550</t>
  </si>
  <si>
    <t>Грант в форме субсидии на софинасирование расходов при участии в федеральных конкурсах</t>
  </si>
  <si>
    <t>2220261600</t>
  </si>
  <si>
    <t>Грант в форме субсидии на реализацию организационно-методических моделей и стандарта в дошкольном образовании путем актуализации нормативно-методической и методологической базы, а также экспертно-аналитическое сопровождение ее внедрения</t>
  </si>
  <si>
    <t>2220261770</t>
  </si>
  <si>
    <t>Грант в форме субсидии на создание сети школ, реализующих инновационные программы для отработки новых технологий и содержания обучения и воспитания, через конкурсную поддержку школьных инициатив и сетевых проектов</t>
  </si>
  <si>
    <t>2220261780</t>
  </si>
  <si>
    <t>Грант в форме субсидии на поощрение государственных областных и муниципальных образовательных организаций</t>
  </si>
  <si>
    <t>2220261790</t>
  </si>
  <si>
    <t>Грант в форме субсидии из областного бюджета государственным и муниципальным общеобразовательным организациям Мурманской области на создание условий для реализации модели "Ресурсный класс" для детей с расстройствами аутистического спектра</t>
  </si>
  <si>
    <t>2220261920</t>
  </si>
  <si>
    <t>Субсидия автономной некоммерческой организации "Проектный офис "Губернаторский лицей"</t>
  </si>
  <si>
    <t>2220262520</t>
  </si>
  <si>
    <t>Субсидии социально ориентированным некоммерческим организациям Мурманской области на предоставление услуги по психолого-педагогическому консультированию обучающихся, их родителей (законных представителей) и педагогических работников</t>
  </si>
  <si>
    <t>2220264110</t>
  </si>
  <si>
    <t>Субсидия на обеспечение бесплатным цельным молоком либо питьевым молоком обучающихся 1 – 4 классов общеобразовательных учреждений, муниципальных образовательных учреждений для детей дошкольного и младшего школьного возраста</t>
  </si>
  <si>
    <t>2220271040</t>
  </si>
  <si>
    <t>Субсидии бюджетам муниципальных образований на предоставление бесплатного питания отдельным категориям обучающихся по образовательным программам начального общего образования</t>
  </si>
  <si>
    <t>2220271250</t>
  </si>
  <si>
    <t>Субсидии бюджетам муниципальных образований на организацию бесплатного горячего питания обучающихся, получающих начальное общее образование в муниципальных образовательных организациях (доплата до регионального размера расходов)</t>
  </si>
  <si>
    <t>2220271380</t>
  </si>
  <si>
    <t>Иные межбюджетные трансферты на ежемесячное денежное вознаграждение за классное руководство педагогическим работникам муниципальных общеобразовательных организаций (за счет средств областного бюджета)</t>
  </si>
  <si>
    <t>2220273030</t>
  </si>
  <si>
    <t>2220275310</t>
  </si>
  <si>
    <t>2220275320</t>
  </si>
  <si>
    <t>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</si>
  <si>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22202R3030</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</si>
  <si>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</si>
  <si>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22202R3040</t>
  </si>
  <si>
    <t>Основное мероприятие 3. Развитие системы качества образования</t>
  </si>
  <si>
    <t>2220300000</t>
  </si>
  <si>
    <t>2220300050</t>
  </si>
  <si>
    <t>2220329990</t>
  </si>
  <si>
    <t>Гранты в форме субсидий из областного бюджета государственным областным и муниципальным образовательным организациям, не являющимся казенными учреждениями, на реализацию программ повышения качества образования школами Мурманской области с низкими результатами обучения и школами, функционирующими в неблагоприятных социальных условиях</t>
  </si>
  <si>
    <t>2220361800</t>
  </si>
  <si>
    <t>Грант в форме субсидии организациям высшего образования на финансовое обеспечение реализации дополнительных общеобразовательных программ социально-педагогической направленности для одаренных детей</t>
  </si>
  <si>
    <t>2220361810</t>
  </si>
  <si>
    <t>Гранты в форме субсидий на реализацию инновационных проектов в сфере дополнительного образования и выявления, поддержки и развития способностей и талантов у детей и молодежи Мурманской области</t>
  </si>
  <si>
    <t>2220361820</t>
  </si>
  <si>
    <t>Гранты в форме субсидий на реализацию программ индивидуального сопровождения обучающихся Мурманской области, достигших высоких результатов в научно-исследовательской, изобретательской и проектной деятельности</t>
  </si>
  <si>
    <t>2220361830</t>
  </si>
  <si>
    <t>2220400000</t>
  </si>
  <si>
    <t>22204R5750</t>
  </si>
  <si>
    <t>222E100000</t>
  </si>
  <si>
    <t>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t>
  </si>
  <si>
    <t>222E151720</t>
  </si>
  <si>
    <t>Обеспечение реализации мероприятий по осуществлению единовременных компенсационных выплат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</si>
  <si>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222E152560</t>
  </si>
  <si>
    <t>Создание новых мест в общеобразовательных организациях</t>
  </si>
  <si>
    <t>222E155200</t>
  </si>
  <si>
    <t>222E200000</t>
  </si>
  <si>
    <t>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t>
  </si>
  <si>
    <t>222E250980</t>
  </si>
  <si>
    <t>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t>
  </si>
  <si>
    <t>222E251710</t>
  </si>
  <si>
    <t>222E400000</t>
  </si>
  <si>
    <t>222E400170</t>
  </si>
  <si>
    <t>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t>
  </si>
  <si>
    <t>222E452130</t>
  </si>
  <si>
    <t>Региональный проект "Содействие занятости"</t>
  </si>
  <si>
    <t>222P200000</t>
  </si>
  <si>
    <t>Субсидия на софинансирование капитальных вложений в объекты муниципальной собственности (за счет средств резервного фонда Правительства Мурманской области)</t>
  </si>
  <si>
    <t>222P27400U</t>
  </si>
  <si>
    <t>Подпрограмма 3. "Развитие дополнительного образования детей"</t>
  </si>
  <si>
    <t>2230000000</t>
  </si>
  <si>
    <t>Основное мероприятие 1. Реализация образовательных программ дополнительного образования детей и мероприятия по их развитию</t>
  </si>
  <si>
    <t>2230100000</t>
  </si>
  <si>
    <t>2230100050</t>
  </si>
  <si>
    <t>2230140010</t>
  </si>
  <si>
    <t>Иные межбюджетные трансферты из областного бюджета местным бюджетам на обеспечение выплат педагогическим работникам муниципальных общеобразовательных организаций Мурманской области, реализующих образовательные программы начального общего, основного общего и среднего общего образования, в том числе адаптированные основные общеобразовательные программы, за руководство школьными спортивными клубами</t>
  </si>
  <si>
    <t>2230177080</t>
  </si>
  <si>
    <t>Основное мероприятие 2. Развитие дополнительного образования и социализации детей</t>
  </si>
  <si>
    <t>2230200000</t>
  </si>
  <si>
    <t>2230200050</t>
  </si>
  <si>
    <t>Грант в форме субсидии на финансовое обеспечение затрат, связанных с реализацией мероприятий, направленных на гражданско-патриотическое воспитание и спортивную подготовку детей и подростков в возрасте от 8 до 17 лет</t>
  </si>
  <si>
    <t>2230261880</t>
  </si>
  <si>
    <t>Грант в форме субсидии на финансовое обеспечение затрат, связанных с реализацией мероприятий, направленных на гражданско-патриотическое воспитание и спортивную подготовку детей и подростков в возрасте от 8 до 17 лет (за счет средств резервного фонда Правительства Мурманской области)</t>
  </si>
  <si>
    <t>223026188U</t>
  </si>
  <si>
    <t>Грант в форме субсидии некоммерческим организациям, не являющимся казенными учреждениями, на реализацию инициативных проектов обучающихся Мурманской области</t>
  </si>
  <si>
    <t>2230261940</t>
  </si>
  <si>
    <t>Субсидии негосударственным организациям на оказание услуг по реализации дополнительных общеобразовательных общеразвивающих программ</t>
  </si>
  <si>
    <t>2230265020</t>
  </si>
  <si>
    <t>2230300000</t>
  </si>
  <si>
    <t>2230300050</t>
  </si>
  <si>
    <t>2230320110</t>
  </si>
  <si>
    <t>2230371070</t>
  </si>
  <si>
    <t>Обеспечение отдыха и оздоровление детей, проживающих в Арктической зоне Российской Федерации</t>
  </si>
  <si>
    <t>22303R7800</t>
  </si>
  <si>
    <t>223E200000</t>
  </si>
  <si>
    <t>223E200160</t>
  </si>
  <si>
    <t>Региональный проект "Патриотическое воспитание граждан Российской Федерации"</t>
  </si>
  <si>
    <t>223EВ00000</t>
  </si>
  <si>
    <t>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</si>
  <si>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223EВ51790</t>
  </si>
  <si>
    <t>Обеспечение оснащения государственных и муниципальных общеобразовательных организаций, в том числе структурных подразделений указанных организаций, государственными символами Российской Федерации</t>
  </si>
  <si>
    <t>223EВ57860</t>
  </si>
  <si>
    <t>Подпрограмма 4. "Совершенствование управления системой образования"</t>
  </si>
  <si>
    <t>2240000000</t>
  </si>
  <si>
    <t>Основное мероприятие 1. Обеспечение соответствия организаций образования санитарно-гигиеническим, противопожарным нормам и требованиям, требованиям безопасности, модернизация школьных систем образования</t>
  </si>
  <si>
    <t>2240100000</t>
  </si>
  <si>
    <t>2240100050</t>
  </si>
  <si>
    <t>Расходы на обеспечение деятельности (оказание услуг) подведомственных учреждений, в том числе на предоставление государственным бюджетным и автономным учреждениям субсидий (за счет средств резервного фонда Правительства Мурманской области)</t>
  </si>
  <si>
    <t>224010005U</t>
  </si>
  <si>
    <t>Грант в форме субсидии образовательным организациям на реализацию проекта "Арктическая школа"</t>
  </si>
  <si>
    <t>2240161860</t>
  </si>
  <si>
    <t>2240170630</t>
  </si>
  <si>
    <t>2240170790</t>
  </si>
  <si>
    <t>Субсидии бюджетам муниципальных образований на мероприятия по модернизации школьных систем образования</t>
  </si>
  <si>
    <t>2240171350</t>
  </si>
  <si>
    <t>Cубсидии на реализацию мероприятий по замене окон в муниципальных общеобразовательных организациях</t>
  </si>
  <si>
    <t>2240173170</t>
  </si>
  <si>
    <t>Иные межбюджетные трансферты из областного бюджета местным бюджетам на укрепление и обновление материально-технической базы образовательных организаций</t>
  </si>
  <si>
    <t>2240177240</t>
  </si>
  <si>
    <t>Иные межбюджетные трансферты из областного бюджета местным бюджетам на  укрепление и обновление материально-технической базы образовательных организаций  (за счет средств резервного фонда Правительства Мурманской области)</t>
  </si>
  <si>
    <t>224017724U</t>
  </si>
  <si>
    <t>Реализация мероприятий по модернизации школьных систем образования (капитальный ремонт зданий муниципальных общеобразовательных организаций)</t>
  </si>
  <si>
    <t>22401R7501</t>
  </si>
  <si>
    <t>Реализация мероприятий по модернизации школьных систем образования (оснащение средствами обучения и воспитания зданий муниципальных общеобразовательных организаций)</t>
  </si>
  <si>
    <t>22401R7502</t>
  </si>
  <si>
    <t>Основное мероприятие 2. Реализация государственных функций, оказание государственных услуг, выполнение государственных работ в сфере образования</t>
  </si>
  <si>
    <t>2240200000</t>
  </si>
  <si>
    <t>2240200010</t>
  </si>
  <si>
    <t>2240200030</t>
  </si>
  <si>
    <t>2240213060</t>
  </si>
  <si>
    <t>2240220080</t>
  </si>
  <si>
    <t>2240229990</t>
  </si>
  <si>
    <t>Осуществление переданных полномочий Российской Федерации в сфере образования</t>
  </si>
  <si>
    <t>2240259900</t>
  </si>
  <si>
    <t>Основное мероприятие 3. Реализация прочих мероприятий организациями, обеспечивающими предоставление услуг (выполнение работ) в сфере образования</t>
  </si>
  <si>
    <t>2240300000</t>
  </si>
  <si>
    <t>2240300050</t>
  </si>
  <si>
    <t>2240313060</t>
  </si>
  <si>
    <t>2240313070</t>
  </si>
  <si>
    <t>2240313240</t>
  </si>
  <si>
    <t>2240313250</t>
  </si>
  <si>
    <t>2240329990</t>
  </si>
  <si>
    <t>Основное мероприятие 4. Строительство, реконструкция и капитальный ремонт организаций образования</t>
  </si>
  <si>
    <t>2240400000</t>
  </si>
  <si>
    <t>2240440010</t>
  </si>
  <si>
    <t>2240470780</t>
  </si>
  <si>
    <t>Государственная программа "Социальная поддержка"</t>
  </si>
  <si>
    <t>2300000000</t>
  </si>
  <si>
    <t>Подпрограмма 1. "Модернизация системы социальной защиты населения Мурманской области"</t>
  </si>
  <si>
    <t>2310000000</t>
  </si>
  <si>
    <t>Основное мероприятие 1. Обеспечение качества предоставления услуг населению государственными областными учреждениями системы социального обслуживания населения, привлечение к оказанию услуг в сфере социального обслуживания негосударственных организаций</t>
  </si>
  <si>
    <t>2310100000</t>
  </si>
  <si>
    <t>2310100050</t>
  </si>
  <si>
    <t>2310113060</t>
  </si>
  <si>
    <t>2310113070</t>
  </si>
  <si>
    <t>2310113240</t>
  </si>
  <si>
    <t>2310129990</t>
  </si>
  <si>
    <t>Осуществление переданных полномочий Российской Федерации по осуществлению деятельности, связанной с перевозкой между субъектами Российской Федерации, а также в пределах территорий государств – участников Содружества Независимых Государств несовершеннолетних, самовольно ушедших из семей, организаций для детей-сирот и детей, оставшихся без попечения родителей, образовательных организаций и иных организаций</t>
  </si>
  <si>
    <t>2310159400</t>
  </si>
  <si>
    <t>2310160020</t>
  </si>
  <si>
    <t>Основное мероприятие 2. Развитие материально-технической базы и обеспечение комплексной безопасности учреждений социальной защиты населения</t>
  </si>
  <si>
    <t>2310200000</t>
  </si>
  <si>
    <t>2310200050</t>
  </si>
  <si>
    <t>2310229990</t>
  </si>
  <si>
    <t>231P300000</t>
  </si>
  <si>
    <t>Субсидии на создание системы долговременного ухода за гражданами пожилого возраста и инвалидами за счет средств резервного фонда Правительства Российской Федерации</t>
  </si>
  <si>
    <t>231P35163F</t>
  </si>
  <si>
    <t>2320000000</t>
  </si>
  <si>
    <t>2320100000</t>
  </si>
  <si>
    <t>2320122110</t>
  </si>
  <si>
    <t>Субсидия социально ориентированным некоммерческим организациям Мурманской области на предоставление информационно-переводческих услуг инвалидам по слуху (диспетчерская служба)</t>
  </si>
  <si>
    <t>2320164010</t>
  </si>
  <si>
    <t>Субсидии социально-реабилитационным предприятиям общественных объединений инвалидов</t>
  </si>
  <si>
    <t>2320165030</t>
  </si>
  <si>
    <t>Субсидии региональным общественным организациям (учреждениям) инвалидов, учредителями которых являются всероссийские общественные организации (учреждения) инвалидов</t>
  </si>
  <si>
    <t>2320165040</t>
  </si>
  <si>
    <t>Субсидия муниципальным образованиям на обеспечение условий доступности входных групп многоквартирных домов с учетом потребностей инвалидов</t>
  </si>
  <si>
    <t>2320173150</t>
  </si>
  <si>
    <t>Иные межбюджетные трансферты из областного бюджета местным бюджетам на поощрение муниципальных образований по итогам проведения конкурса "Лучшая муниципальная практика по созданию доступной среды для инвалидов"</t>
  </si>
  <si>
    <t>2320177280</t>
  </si>
  <si>
    <t>Основное мероприятие 2. Создание доступной среды, направленной на социокультурную адаптацию инвалидов</t>
  </si>
  <si>
    <t>2320200000</t>
  </si>
  <si>
    <t>2320222110</t>
  </si>
  <si>
    <t>Основное мероприятие 3. Обеспечение медико-социальной помощи отдельным категориям граждан</t>
  </si>
  <si>
    <t>2320300000</t>
  </si>
  <si>
    <t>2320313400</t>
  </si>
  <si>
    <t>2320313410</t>
  </si>
  <si>
    <t>2320313420</t>
  </si>
  <si>
    <t>Основное мероприятие 4. Социальная поддержка граждан в трудной жизненной ситуации, финансовая поддержка социально ориентированных некоммерческих организаций, деятельность которых направлена на решение социальных проблем населения в сфере социальной защиты граждан, и повышение профессиональных компетенций сотрудников учреждений социального обслуживания населения</t>
  </si>
  <si>
    <t>2320400000</t>
  </si>
  <si>
    <t>2320422210</t>
  </si>
  <si>
    <t>2320429990</t>
  </si>
  <si>
    <t>Социальная реабилитация и ресоциализация лиц, потребляющих наркотические средства и психотропные вещества в немедицинских целях</t>
  </si>
  <si>
    <t>2320464020</t>
  </si>
  <si>
    <t>Субсидии социально ориентированным некоммерческим организациям Мурманской области на реализацию социально значимых программ (проектов)</t>
  </si>
  <si>
    <t>2320464120</t>
  </si>
  <si>
    <t>Основное мероприятие 5. Обеспечение социальных гарантий и усиление адресной направленности мер социальной поддержки населению</t>
  </si>
  <si>
    <t>2320500000</t>
  </si>
  <si>
    <t>2320510010</t>
  </si>
  <si>
    <t>2320510020</t>
  </si>
  <si>
    <t>2320510030</t>
  </si>
  <si>
    <t>Предоставление ежемесячной жилищно-коммунальной выплаты женщинам старше 55 лет, мужчинам старше 60 лет, награжденным знаком "Почетный донор России" или "Почетный донор СССР"</t>
  </si>
  <si>
    <t>2320510040</t>
  </si>
  <si>
    <t>Предоставление ежемесячной жилищно-коммунальной выплаты труженикам тыла</t>
  </si>
  <si>
    <t>2320510070</t>
  </si>
  <si>
    <t>2320510100</t>
  </si>
  <si>
    <t>2320510110</t>
  </si>
  <si>
    <t>2320510120</t>
  </si>
  <si>
    <t>2320510130</t>
  </si>
  <si>
    <t>Ежемесячная денежная выплата при рождении первого ребенка до достижения им возраста полутора лет</t>
  </si>
  <si>
    <t>2320510140</t>
  </si>
  <si>
    <t>2320510200</t>
  </si>
  <si>
    <t>2320510210</t>
  </si>
  <si>
    <t>2320510220</t>
  </si>
  <si>
    <t>2320510240</t>
  </si>
  <si>
    <t>2320510270</t>
  </si>
  <si>
    <t>Предоставление единовременной денежной выплаты лицам, награжденным орденом "Родительская слава" или медалью ордена "Родительская слава"</t>
  </si>
  <si>
    <t>2320510280</t>
  </si>
  <si>
    <t>2320510300</t>
  </si>
  <si>
    <t>2320510310</t>
  </si>
  <si>
    <t>2320510320</t>
  </si>
  <si>
    <t>2320510330</t>
  </si>
  <si>
    <t>2320510340</t>
  </si>
  <si>
    <t>Единовременная выплата участникам специальной военной операции, которым присвоено звание Героя Российской Федерации</t>
  </si>
  <si>
    <t>2320510350</t>
  </si>
  <si>
    <t>2320510360</t>
  </si>
  <si>
    <t>2320510380</t>
  </si>
  <si>
    <t>2320510390</t>
  </si>
  <si>
    <t>2320510400</t>
  </si>
  <si>
    <t>2320510600</t>
  </si>
  <si>
    <t>2320510700</t>
  </si>
  <si>
    <t>2320510710</t>
  </si>
  <si>
    <t>2320510790</t>
  </si>
  <si>
    <t>Предоставление мер социальной поддержки на обеспечение полноценным питанием беременных женщин, кормящих матерей, а также детей в возрасте до трех лет</t>
  </si>
  <si>
    <t>2320510810</t>
  </si>
  <si>
    <t>Единовременная материальная помощь отдельным категориям граждан из числа военнослужащих, проходивших службу в войсках национальной гвардии Российской Федерации, и членов их семей, а также граждан, зарегистрированных на территории Мурманской области, пребывавших в запасе и заключивших краткосрочный контракт о прохождении военной службы в зоне проведения специальной военной операции, проводимой с 24 февраля 2022 года</t>
  </si>
  <si>
    <t>2320510840</t>
  </si>
  <si>
    <t>Единовременная материальная помощь отдельным категориям граждан из числа военнослужащих, проходивших службу в войсках национальной гвардии Российской Федерации, и членов их семей, а также граждан, зарегистрированных на территории Мурманской области, пребывавших в запасе и заключивших краткосрочный контракт о прохождении военной службы в зоне проведения специальной военной операции, проводимой с 24 февраля 2022 года (за счет средств резервного фонда Правительства Мурманской области)</t>
  </si>
  <si>
    <t>232051084U</t>
  </si>
  <si>
    <t>Единовременная материальная помощь гражданам Российской Федерации, имеющим место жительства в Мурманской области, призванным на военную службу по мобилизации</t>
  </si>
  <si>
    <t>2320510850</t>
  </si>
  <si>
    <t>232051085U</t>
  </si>
  <si>
    <t>Осуществление выплаты на оплату проезда в медицинские организации и обратно беременным и родившим женщинам</t>
  </si>
  <si>
    <t>2320510870</t>
  </si>
  <si>
    <t>Единовременная денежная выплата на обзаведение имуществом гражданам, оказавшимся в трудной жизненной ситуации в связи с утратой ими жилого дома в результате воздействий бытового, природного или техногенного характера</t>
  </si>
  <si>
    <t>2320510880</t>
  </si>
  <si>
    <t>Предоставление денежной выплаты на оплату проезда в медицинские организации и обратно гражданам с ограниченными возможностями здоровья, осуществившим перевозку собственными силами</t>
  </si>
  <si>
    <t>2320510970</t>
  </si>
  <si>
    <t>Предоставление ежемесячных денежных выплат на детей из семей участников специальной военной операции</t>
  </si>
  <si>
    <t>2320510980</t>
  </si>
  <si>
    <t>Ежемесячная денежная выплата на оплату стоимости проезда детей из семей участников специальной военной операции, обучающихся в образовательных организациях, расположенных за пределами границ муниципальных образований по месту проживания детей и в пределах территории Мурманской области, к месту проживания и обратно</t>
  </si>
  <si>
    <t>2320510990</t>
  </si>
  <si>
    <t>2320513010</t>
  </si>
  <si>
    <t>2320513020</t>
  </si>
  <si>
    <t>2320513100</t>
  </si>
  <si>
    <t>2320513110</t>
  </si>
  <si>
    <t>Предоставление многодетным семьям компенсации на оплату части стоимости обучения детей</t>
  </si>
  <si>
    <t>2320513120</t>
  </si>
  <si>
    <t>Компенсация расходов на оплату стоимости проезда воздушным транспортом с целью посещения медицинских организаций и обратно лицам старше 65 лет, проживающим в отдаленных населенных пунктах Ловозерского и Терского муниципальных районов Мурманской области</t>
  </si>
  <si>
    <t>2320513130</t>
  </si>
  <si>
    <t>Предоставление компенсации расходов на оплату стоимости проезда в медицинские организации и обратно гражданам с ограниченными возможностями здоровья, воспользовавшимся услугами перевозки, оказываемыми специализированными организациями</t>
  </si>
  <si>
    <t>2320513140</t>
  </si>
  <si>
    <t>2320513200</t>
  </si>
  <si>
    <t>2320513230</t>
  </si>
  <si>
    <t>Предоставление ежемесячной доплаты до размера фактически начисленной платы за жилое помещение и коммунальные услуги отдельным категориям граждан</t>
  </si>
  <si>
    <t>2320513260</t>
  </si>
  <si>
    <t>2320513300</t>
  </si>
  <si>
    <t>2320513320</t>
  </si>
  <si>
    <t>2320513330</t>
  </si>
  <si>
    <t>2320513340</t>
  </si>
  <si>
    <t>2320513350</t>
  </si>
  <si>
    <t>2320513360</t>
  </si>
  <si>
    <t>2320513370</t>
  </si>
  <si>
    <t>2320513380</t>
  </si>
  <si>
    <t>2320513750</t>
  </si>
  <si>
    <t>2320513760</t>
  </si>
  <si>
    <t>2320513770</t>
  </si>
  <si>
    <t>Предоставление ежемесячной жилищно-коммунальной выплаты пенсионерам в соответствии с Законом Мурманской области от 27.12.2004 № 561-01-ЗМО "О мерах социальной поддержки отдельных категорий граждан, работающих в сельских населенных пунктах или поселках городского типа"</t>
  </si>
  <si>
    <t>2320513780</t>
  </si>
  <si>
    <t>2320513790</t>
  </si>
  <si>
    <t>Предоставление компенсации расходов на оплату стоимости проезда к месту проживания и обратно детей из семей участников специальной военной операции, обучающихся в образовательных организациях по программам высшего и среднего профессионального образования</t>
  </si>
  <si>
    <t>2320513910</t>
  </si>
  <si>
    <t>Компенсация расходов на оплату жилых помещений по договору найма научным работникам научных организаций</t>
  </si>
  <si>
    <t>2320513920</t>
  </si>
  <si>
    <t>2320514620</t>
  </si>
  <si>
    <t>Мероприятия, связанные с реализацией Закона Мурманской области "О ветеранах труда Мурманской области" по обеспечению социальных гарантий населению</t>
  </si>
  <si>
    <t>2320522220</t>
  </si>
  <si>
    <t>2320529990</t>
  </si>
  <si>
    <t>Субвенции бюджету Фонда пенсионного и социального страхования Российской Федерации на осуществление ежемесячной денежной выплаты на ребенка в возрасте от восьми до семнадцати лет</t>
  </si>
  <si>
    <t>2320531440</t>
  </si>
  <si>
    <t>Субвенции бюджету Фонда пенсионного и социального страхования Российской Федерации на выплату ежемесячного пособия в связи с рождением и воспитанием ребенка</t>
  </si>
  <si>
    <t>2320531460</t>
  </si>
  <si>
    <t>2320552200</t>
  </si>
  <si>
    <t>2320552400</t>
  </si>
  <si>
    <t>2320552500</t>
  </si>
  <si>
    <t>Социальная поддержка Героев Советского Союза, Героев Российской Федерации и полных кавалеров ордена Славы</t>
  </si>
  <si>
    <t>2320552520</t>
  </si>
  <si>
    <t>Субвенция местным бюджетам на осуществление органами местного самоуправления государственных полномочий по организации предоставления и предоставлению ежемесячной жилищно-коммунальной выплаты специалистам муниципальных учреждений (организаций), указанным в подпунктах 1 – 4, 6, 8 пункта 2 статьи 3 Закона Мурманской области "О мерах социальной поддержки отдельных категорий граждан, работающих в сельских населенных пунктах или поселках городского типа", имеющим право на предоставление ежемесячной жилищно-коммунальной выплаты в соответствии с указанным Законом</t>
  </si>
  <si>
    <t>2320575100</t>
  </si>
  <si>
    <t>Субвенция бюджету муниципального образования городской округ город-герой Мурманск на реализацию Закона Мурманской области от 19.12.2014 № 1811-01-ЗМО "О сохранении права на меры социальной поддержки отдельных категорий граждан в связи с упразднением поселка городского типа Росляково" в части предоставления мер социальной поддержки по оплате жилого помещения и (или) коммунальных услуг</t>
  </si>
  <si>
    <t>2320575120</t>
  </si>
  <si>
    <t>Субвенция бюджету муниципального образования городской округ город-герой Мурманск на реализацию Закона Мурманской области от 19.12.2014 № 1811-01-ЗМО "О сохранении права на меры социальной поддержки отдельных категорий граждан в связи с упразднением поселка городского типа Росляково" в части организации предоставления мер социальной поддержки по оплате жилого помещения и (или) коммунальных услуг</t>
  </si>
  <si>
    <t>2320575130</t>
  </si>
  <si>
    <t>2320575230</t>
  </si>
  <si>
    <t>Субвенция местным бюджетам на осуществление органами местного самоуправления государственных полномочий по предоставлению и организации выплаты вознаграждения опекунам совершеннолетних недееспособных граждан</t>
  </si>
  <si>
    <t>2320575330</t>
  </si>
  <si>
    <t>Субвенция на реализацию Закона Мурманской области "О наделении органов местного самоуправления муниципальных образований со статусом городского округа, муниципального округа и муниципального района отдельными государственными полномочиями по опеке и попечительству и иными полномочиями в отношении совершеннолетних граждан"</t>
  </si>
  <si>
    <t>2320575530</t>
  </si>
  <si>
    <t>Иные межбюджетные трансферты бюджету муниципального образования городской округ город-герой Мурманск на реализацию пункта 2 статьи 1 Закона Мурманской области "О сохранении права на меры социальной поддержки отдельных категорий граждан в связи с упразднением поселка городского типа Росляково"</t>
  </si>
  <si>
    <t>2320577050</t>
  </si>
  <si>
    <t>23205R0070</t>
  </si>
  <si>
    <t>Осуществление ежемесячных выплат на детей в возрасте от трех до семи лет включительно</t>
  </si>
  <si>
    <t>23205R3020</t>
  </si>
  <si>
    <t>Оказание государственной социальной помощи на основании социального контракта отдельным категориям граждан</t>
  </si>
  <si>
    <t>23205R4040</t>
  </si>
  <si>
    <t>23205R4620</t>
  </si>
  <si>
    <t>Основное мероприятие 6. Организация оздоровления, отдыха и лечения отдельных категорий граждан в санаториях Мурманской области</t>
  </si>
  <si>
    <t>2320600000</t>
  </si>
  <si>
    <t>2320622210</t>
  </si>
  <si>
    <t>Основное мероприятие 7. Организация оздоровления, отдыха и лечения отдельных категорий граждан за пределами Мурманской области</t>
  </si>
  <si>
    <t>2320700000</t>
  </si>
  <si>
    <t>2320722210</t>
  </si>
  <si>
    <t>232P100000</t>
  </si>
  <si>
    <t>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t>
  </si>
  <si>
    <t>232P150840</t>
  </si>
  <si>
    <t>232P300000</t>
  </si>
  <si>
    <t>232P354680</t>
  </si>
  <si>
    <t>Подпрограмма 3. "Оказание мер социальной поддержки детям-сиротам, детям, оставшимся без попечения родителей, лицам из числа указанной категории детей, а также гражданам, желающим взять детей на воспитание в семью"</t>
  </si>
  <si>
    <t>2330000000</t>
  </si>
  <si>
    <t>Основное мероприятие 1. Социальная поддержка граждан, принявших на воспитание в семью детей-сирот и детей, оставшихся без попечения родителей, профилактика социального сиротства</t>
  </si>
  <si>
    <t>2330100000</t>
  </si>
  <si>
    <t>2330100050</t>
  </si>
  <si>
    <t>2330110260</t>
  </si>
  <si>
    <t>2330129990</t>
  </si>
  <si>
    <t>2330175340</t>
  </si>
  <si>
    <t>2330175350</t>
  </si>
  <si>
    <t>Субвенция на реализацию Закона Мурманской области "О наделении органов местного самоуправления муниципальных образований со статусом городского округа, муниципального округа и муниципального района отдельными государственными полномочиями по опеке и попечительству в отношении несовершеннолетних"</t>
  </si>
  <si>
    <t>2330175520</t>
  </si>
  <si>
    <t>Основное мероприятие 2. Социальное обеспечение детей-сирот и детей, оставшихся без попечения родителей, лиц из их числа, проживающих в организациях</t>
  </si>
  <si>
    <t>2330200000</t>
  </si>
  <si>
    <t>2330200050</t>
  </si>
  <si>
    <t>2330213240</t>
  </si>
  <si>
    <t>2330275240</t>
  </si>
  <si>
    <t>2330300000</t>
  </si>
  <si>
    <t>2330375570</t>
  </si>
  <si>
    <t>Субвенция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Мурманской области)</t>
  </si>
  <si>
    <t>233037557U</t>
  </si>
  <si>
    <t>23303R0820</t>
  </si>
  <si>
    <t>2330400000</t>
  </si>
  <si>
    <t>2330475200</t>
  </si>
  <si>
    <t>2330475210</t>
  </si>
  <si>
    <t>2330475250</t>
  </si>
  <si>
    <t>2340000000</t>
  </si>
  <si>
    <t>Основное мероприятие 1. Нормативно-правовое регулирование и реализация государственной политики в сфере труда, занятости и социального развития, функций по оказанию государственных услуг</t>
  </si>
  <si>
    <t>2340100000</t>
  </si>
  <si>
    <t>2340100010</t>
  </si>
  <si>
    <t>2340100030</t>
  </si>
  <si>
    <t>2340100050</t>
  </si>
  <si>
    <t>2340113060</t>
  </si>
  <si>
    <t>2340113070</t>
  </si>
  <si>
    <t>2340120020</t>
  </si>
  <si>
    <t>2340200000</t>
  </si>
  <si>
    <t>2340220100</t>
  </si>
  <si>
    <t>2430100000</t>
  </si>
  <si>
    <t>2430174000</t>
  </si>
  <si>
    <t>2430229990</t>
  </si>
  <si>
    <t>Строительство объектов социального и производственного комплексов, в том числе объектов общегражданского назначения, жилья, инфраструктуры (за счет средств резервного фонда Правительства Мурманской области)</t>
  </si>
  <si>
    <t>243044001U</t>
  </si>
  <si>
    <t>Основное мероприятие 5. Реализация мероприятий по приобретению спортивных объектов в муниципальную собственность</t>
  </si>
  <si>
    <t>2430500000</t>
  </si>
  <si>
    <t>2430574000</t>
  </si>
  <si>
    <t>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t>
  </si>
  <si>
    <t>243P551390</t>
  </si>
  <si>
    <t>Государственная программа "Культура"</t>
  </si>
  <si>
    <t>2500000000</t>
  </si>
  <si>
    <t>2510000000</t>
  </si>
  <si>
    <t>Основное мероприятие 1. Осуществление мер по сохранению, использованию, популяризации и государственной охране объектов культурного наследия (памятников истории и культуры) народов Российской Федерации, расположенных на территории Мурманской области, а также популяризации памятных дат</t>
  </si>
  <si>
    <t>2510100000</t>
  </si>
  <si>
    <t>2510100050</t>
  </si>
  <si>
    <t>Основное мероприятие 2. Организация хранения, комплектования и использования документов Архивного фонда Мурманской области и иных архивных документов</t>
  </si>
  <si>
    <t>2510200000</t>
  </si>
  <si>
    <t>2510200050</t>
  </si>
  <si>
    <t>2510213060</t>
  </si>
  <si>
    <t>2510213070</t>
  </si>
  <si>
    <t>Основное мероприятие 3. Развитие музейного дела в Мурманской области</t>
  </si>
  <si>
    <t>2510300000</t>
  </si>
  <si>
    <t>2510300050</t>
  </si>
  <si>
    <t>2510313240</t>
  </si>
  <si>
    <t>Основное мероприятие 4. Укрепление материально-технической базы, ремонт и реконструкция музеев Мурманской области</t>
  </si>
  <si>
    <t>2510400000</t>
  </si>
  <si>
    <t>2510400050</t>
  </si>
  <si>
    <t>251040005U</t>
  </si>
  <si>
    <t>251A100000</t>
  </si>
  <si>
    <t>Техническое оснащение региональных и муниципальных музеев</t>
  </si>
  <si>
    <t>251A155900</t>
  </si>
  <si>
    <t>Подпрограмма 2. "Модернизация системы государственных и муниципальных библиотек и развитие литературного творчества в Мурманской области"</t>
  </si>
  <si>
    <t>2520000000</t>
  </si>
  <si>
    <t>Основное мероприятие 1. Развитие государственных библиотек Мурманской области</t>
  </si>
  <si>
    <t>2520100000</t>
  </si>
  <si>
    <t>2520100050</t>
  </si>
  <si>
    <t>2520129990</t>
  </si>
  <si>
    <t>Государственная поддержка отрасли культуры</t>
  </si>
  <si>
    <t>25201R5190</t>
  </si>
  <si>
    <t>Основное мероприятие 2. Поддержка и развитие литературного творчества в Мурманской области</t>
  </si>
  <si>
    <t>2520200000</t>
  </si>
  <si>
    <t>2520200050</t>
  </si>
  <si>
    <t>2520229990</t>
  </si>
  <si>
    <t>252A100000</t>
  </si>
  <si>
    <t>252A154540</t>
  </si>
  <si>
    <t>Подпрограмма 3. "Развитие искусства, творческого потенциала и организация досуга населения"</t>
  </si>
  <si>
    <t>2530000000</t>
  </si>
  <si>
    <t>Основное мероприятие 1. Развитие профессионального образования в сфере культуры</t>
  </si>
  <si>
    <t>2530100000</t>
  </si>
  <si>
    <t>2530100050</t>
  </si>
  <si>
    <t>2530103630</t>
  </si>
  <si>
    <t>2530113800</t>
  </si>
  <si>
    <t>2530153630</t>
  </si>
  <si>
    <t>Основное мероприятие 2. Развитие профессионального искусства в Мурманской области</t>
  </si>
  <si>
    <t>2530200000</t>
  </si>
  <si>
    <t>2530200050</t>
  </si>
  <si>
    <t>2530300000</t>
  </si>
  <si>
    <t>2530300050</t>
  </si>
  <si>
    <t>Основное мероприятие 4. Развитие негосударственного сектора в сфере культуры и искусства</t>
  </si>
  <si>
    <t>2530400000</t>
  </si>
  <si>
    <t>2530460460</t>
  </si>
  <si>
    <t>Гранты в форме субсидий на реализацию социально ориентированным некоммерческим организациям проектов в области культуры и искусства в Мурманской области</t>
  </si>
  <si>
    <t>2530464130</t>
  </si>
  <si>
    <t>Гранты в форме субсидий социально ориентированным некоммерческим организациям Мурманской области на реализацию проектов в сфере организации деятельности клубных формирований и любительских объединений в Мурманской области</t>
  </si>
  <si>
    <t>2530464140</t>
  </si>
  <si>
    <t>Гранты в форме субсидий на поддержку проектов современного искусства и креативных индустрий</t>
  </si>
  <si>
    <t>2530464150</t>
  </si>
  <si>
    <t>Субсидия на финансовое обеспечение затрат социально ориентированных некоммерческих организаций Мурманской области, осуществляющих деятельность, направленную на сохранение, развитие и популяризацию культуры коренных малочисленных народов Севера</t>
  </si>
  <si>
    <t>2530464170</t>
  </si>
  <si>
    <t>Субсидия на реализацию программ по пропаганде ценностей, связанных с сохранением регионального культурного и исторического наследия</t>
  </si>
  <si>
    <t>2530465070</t>
  </si>
  <si>
    <t>Основное мероприятие 5. Формирование благоприятных условий для развития кинопроизводства и кинопроката в Мурманской области</t>
  </si>
  <si>
    <t>2530500000</t>
  </si>
  <si>
    <t>2530529990</t>
  </si>
  <si>
    <t>Грант в форме субсидии некоммерческой организации Мурманской области на финансовое обеспечение деятельности Центра развития кинопроизводства Мурманской области</t>
  </si>
  <si>
    <t>2530565080</t>
  </si>
  <si>
    <t>Субсидии на производство национальных фильмов на территории Мурманской области</t>
  </si>
  <si>
    <t>2530565090</t>
  </si>
  <si>
    <t>Основное мероприятие 6. Сохранение кадрового потенциала работников культуры</t>
  </si>
  <si>
    <t>2530600000</t>
  </si>
  <si>
    <t>2530629990</t>
  </si>
  <si>
    <t>Основное мероприятие 7. Укрепление материально-технической базы, ремонт и реконструкция государственный театрально-зрелищных, культурно-досуговых учреждений, образовательных учреждений в сфере культуры</t>
  </si>
  <si>
    <t>2530700000</t>
  </si>
  <si>
    <t>2530700050</t>
  </si>
  <si>
    <t>2530729990</t>
  </si>
  <si>
    <t>2530740010</t>
  </si>
  <si>
    <t>25307R5170</t>
  </si>
  <si>
    <t>Основное мероприятие 8. Укрепление материально-технической базы, строительство и ремонт муниципальных культурно-досуговых учреждений, образовательных учреждений в сфере культуры</t>
  </si>
  <si>
    <t>2530800000</t>
  </si>
  <si>
    <t>Субсидии на проведение ремонтных работ и укрепление материально-технической базы муниципальных учреждений культуры, образования в сфере культуры и искусства и архивов</t>
  </si>
  <si>
    <t>2530871060</t>
  </si>
  <si>
    <t>2530874000</t>
  </si>
  <si>
    <t>Иной межбюджетный трансферт из областного бюджета местным бюджетам на развитие муниципальных учреждений культуры и учреждений дополнительного образования детей в сфере культуры и искусства (за счет средств резервного фонда Правительства Мурманской области)</t>
  </si>
  <si>
    <t>253087722U</t>
  </si>
  <si>
    <t>Основное мероприятие 9. Реализация проекта "Сопки.Семья"</t>
  </si>
  <si>
    <t>2530900000</t>
  </si>
  <si>
    <t>2530900050</t>
  </si>
  <si>
    <t>Иной межбюджетный трансферт из областного бюджета местным бюджетам на реализацию проекта "Сопки.Семья"</t>
  </si>
  <si>
    <t>2530977370</t>
  </si>
  <si>
    <t>Основное мероприятие 10. Реализация мероприятий Плана социального развития центров экономического роста Мурманской области</t>
  </si>
  <si>
    <t>2531000000</t>
  </si>
  <si>
    <t>25310R5750</t>
  </si>
  <si>
    <t>253A100000</t>
  </si>
  <si>
    <t>Развитие сети учреждений культурно-досугового типа</t>
  </si>
  <si>
    <t>253A155130</t>
  </si>
  <si>
    <t>253A155190</t>
  </si>
  <si>
    <t>Региональный проект "Творческие люди"</t>
  </si>
  <si>
    <t>253A200000</t>
  </si>
  <si>
    <t>253A255190</t>
  </si>
  <si>
    <t>253A300000</t>
  </si>
  <si>
    <t>253A354530</t>
  </si>
  <si>
    <t>2540000000</t>
  </si>
  <si>
    <t>2540100000</t>
  </si>
  <si>
    <t>2540100010</t>
  </si>
  <si>
    <t>2540100030</t>
  </si>
  <si>
    <t>2540113060</t>
  </si>
  <si>
    <t>2540113070</t>
  </si>
  <si>
    <t>2540129990</t>
  </si>
  <si>
    <t>Осуществление переданных полномочий Российской Федерации в отношении объектов культурного наследия</t>
  </si>
  <si>
    <t>2540159500</t>
  </si>
  <si>
    <t>Основное мероприятие 2. Реализация государственного задания и прочих мероприятий учреждений, обеспечивающих предоставление услуг (выполнение работ) в сфере культуры и искусства</t>
  </si>
  <si>
    <t>2540200000</t>
  </si>
  <si>
    <t>2540200050</t>
  </si>
  <si>
    <t>Государственная программа "Занятость и труд"</t>
  </si>
  <si>
    <t>2600000000</t>
  </si>
  <si>
    <t>2610000000</t>
  </si>
  <si>
    <t>2610100000</t>
  </si>
  <si>
    <t>2610100050</t>
  </si>
  <si>
    <t>2610113060</t>
  </si>
  <si>
    <t>2610113070</t>
  </si>
  <si>
    <t>Реализация полномочий Российской Федерации по осуществлению социальных выплат безработным гражданам в соответствии с Законом Российской Федерации от 19 апреля 1991 года № 1032-I "О занятости населения в Российской Федерации"</t>
  </si>
  <si>
    <t>2610152900</t>
  </si>
  <si>
    <t>Содействие в трудоустройстве незанятых инвалидов, в том числе инвалидов молодого возраста, на оборудованные (оснащенные) для них рабочие места, в том числе специальные</t>
  </si>
  <si>
    <t>2610165100</t>
  </si>
  <si>
    <t>Иные межбюджетные трансферты из областного бюджета местным бюджетам на проведение временных общественно полезных работ в Мурманской области (за счет средств резервного фонда Правительства Мурманской области)</t>
  </si>
  <si>
    <t>261017736U</t>
  </si>
  <si>
    <t>Иные межбюджетные трансферты из областного бюджета местным бюджетам на проведение временных общественно полезных работ в Мурманской области в мае – декабре 2023 года (за счет средств резервного фонда Правительства Мурманской области)</t>
  </si>
  <si>
    <t>261017740U</t>
  </si>
  <si>
    <t>261P200000</t>
  </si>
  <si>
    <t>Повышение эффективности службы занятости</t>
  </si>
  <si>
    <t>261P252910</t>
  </si>
  <si>
    <t>Организация профессионального обучения и дополнительного профессионального образования работников промышленных предприятий</t>
  </si>
  <si>
    <t>261P252920</t>
  </si>
  <si>
    <t>Реализация дополнительных мероприятий, направленных на снижение напряженности на рынке труда субъектов Российской Федерации, по организации временного трудоустройства</t>
  </si>
  <si>
    <t>261P252980</t>
  </si>
  <si>
    <t>Реализация дополнительных мероприятий, направленных на снижение напряженности на рынке труда субъектов Российской Федерации, по организации общественных работ</t>
  </si>
  <si>
    <t>261P253000</t>
  </si>
  <si>
    <t>2620000000</t>
  </si>
  <si>
    <t>Основное мероприятие 1. Реализация региональной программы переселения соотечественников</t>
  </si>
  <si>
    <t>2620100000</t>
  </si>
  <si>
    <t>2620100050</t>
  </si>
  <si>
    <t>Реализация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t>
  </si>
  <si>
    <t>26201R0860</t>
  </si>
  <si>
    <t>Подпрограмма 3. "Улучшение условий и охраны труда в Мурманской области"</t>
  </si>
  <si>
    <t>2630000000</t>
  </si>
  <si>
    <t>Основное мероприятие 1. Осуществление превентивных мер, направленных на снижение производственного травматизма и профессиональной заболеваемости работников организаций Мурманской области</t>
  </si>
  <si>
    <t>2630100000</t>
  </si>
  <si>
    <t>2630120050</t>
  </si>
  <si>
    <t>2630120080</t>
  </si>
  <si>
    <t>Государственная программа "Комфортное жилье и городская среда"</t>
  </si>
  <si>
    <t>2700000000</t>
  </si>
  <si>
    <t>Подпрограмма 1. "Жилье"</t>
  </si>
  <si>
    <t>2710000000</t>
  </si>
  <si>
    <t>Основное мероприятие 1. Внедрение механизмов комплексного и устойчивого развития территорий</t>
  </si>
  <si>
    <t>2710100000</t>
  </si>
  <si>
    <t>2710140010</t>
  </si>
  <si>
    <t>Субсидия автономной некоммерческой организации "Центр содействия жилищному строительству Мурманской области" на реализацию мероприятий в сфере жилищного строительства</t>
  </si>
  <si>
    <t>2710160390</t>
  </si>
  <si>
    <t>Субсидия автономной некоммерческой организации "Центр содействия жилищному строительству Мурманской области" на финансовое обеспечение деятельности</t>
  </si>
  <si>
    <t>2710162390</t>
  </si>
  <si>
    <t>Субсидия бюджетам муниципальных образований Мурманской области на софинансирование мероприятий по ремонту жилых помещений</t>
  </si>
  <si>
    <t>2710170670</t>
  </si>
  <si>
    <t>Субсидия из областного бюджета местным бюджетам Мурманской области на софинансирование мероприятий по проведению ремонтных работ в пустующих жилых помещениях (за счет средств резервного фонда Правительства Мурманской области)</t>
  </si>
  <si>
    <t>271017068U</t>
  </si>
  <si>
    <t>Субвенция бюджетам муниципальных образований на осуществление органами местного самоуправления отдельных государственных полномочий Мурманской области в области жилищных отношений и жилищного строительства</t>
  </si>
  <si>
    <t>2710175630</t>
  </si>
  <si>
    <t>Основное мероприятие 2. Поддержка предприятий стройиндустрии на внедрение передовых технологий и производство строительных материалов</t>
  </si>
  <si>
    <t>2710200000</t>
  </si>
  <si>
    <t>2710229990</t>
  </si>
  <si>
    <t>Основное мероприятие 3. Обеспечение реализации региональной программы капитального ремонта общего имущества в многоквартирных домах расположенных на территории Мурманской области</t>
  </si>
  <si>
    <t>2710300000</t>
  </si>
  <si>
    <t>Субсидия на финансовое обеспечение затрат специализированной некоммерческой организации "Фонд капитального ремонта общего имущества в многоквартирных домах в Мурманской области"</t>
  </si>
  <si>
    <t>2710360240</t>
  </si>
  <si>
    <t>Субсидия на финансовое обеспечение затрат специализированной некоммерческой организации "Фонд капитального ремонта общего имущества в многоквартирных домах в Мурманской области" (за счет средств резервного фонда Правительства Мурманской области)</t>
  </si>
  <si>
    <t>271036024U</t>
  </si>
  <si>
    <t>Субсидия юридическому лицу на возмещение части недополученных доходов возникших в связи с предоставлением рассрочки (отсрочки) на основании договора факторинга, заключенного в целях замены лифтов в многоквартирных домах</t>
  </si>
  <si>
    <t>2710360250</t>
  </si>
  <si>
    <t>Субсидия юридическому лицу на возмещение части недополученных доходов возникших в связи с предоставлением рассрочки (отсрочки) на основании договора факторинга, заключенного в целях замены лифтов в многоквартирных домах (за счет средств публично-правовой компании "Фонд развития территорий")</t>
  </si>
  <si>
    <t>2710360251</t>
  </si>
  <si>
    <t>Субсидия специализированной некоммерческой организации "Фонд капитального ремонта общего имущества в многоквартирных домах в Мурманской области"</t>
  </si>
  <si>
    <t>2710360400</t>
  </si>
  <si>
    <t>Субсидия некоммерческой организации "Фонд капитального ремонта общего имущества в многоквартирных домах в Мурманской области" (за счет средств резервного фонда Правительства Мурманской области)</t>
  </si>
  <si>
    <t>271036040U</t>
  </si>
  <si>
    <t>Субсидия из областного бюджета на увеличение уставного фонда государственных областных унитарных предприятий Мурманской области</t>
  </si>
  <si>
    <t>2710367050</t>
  </si>
  <si>
    <t>Субсидия на софинансирование расходных обязательств муниципальных образований на оплату взносов на капитальный ремонт за муниципальный жилой фонд</t>
  </si>
  <si>
    <t>2710370850</t>
  </si>
  <si>
    <t>Основное мероприятие 4. Финансовое обеспечение государственных обязательств по обеспечению жильем категорий граждан, установленных решениями Президента Российской Федерации и Правительства Российской Федерации</t>
  </si>
  <si>
    <t>2710400000</t>
  </si>
  <si>
    <t>Осуществление полномочий по обеспечению жильем отдельных категорий граждан, установленных Федеральным законом от 12 января 1995 года № 5-ФЗ "О ветеранах"</t>
  </si>
  <si>
    <t>2710451350</t>
  </si>
  <si>
    <t>2710451760</t>
  </si>
  <si>
    <t>Основное мероприятие 5. Оказание государственной поддержки в обеспечении жильем молодых семей, нуждающихся в улучшении жилищных условий</t>
  </si>
  <si>
    <t>2710500000</t>
  </si>
  <si>
    <t>2710529990</t>
  </si>
  <si>
    <t>Субсидия на софинансирование расходных обязательств муниципальных образований на предоставление социальных выплат молодым семьям, достигшим 36 лет на приобретение (строительство) жилых помещений</t>
  </si>
  <si>
    <t>2710570870</t>
  </si>
  <si>
    <t>27105R4970</t>
  </si>
  <si>
    <t>Основное мероприятие 6. Оказание государственной поддержки в обеспечении жильем многодетных семей</t>
  </si>
  <si>
    <t>2710600000</t>
  </si>
  <si>
    <t>2710675620</t>
  </si>
  <si>
    <t>Основное мероприятие 8. Реализация проектов развития жилищного строительства</t>
  </si>
  <si>
    <t>2710800000</t>
  </si>
  <si>
    <t>Предоставление дополнительных мер поддержки граждан на улучшение жилищных условий</t>
  </si>
  <si>
    <t>2710810820</t>
  </si>
  <si>
    <t>Предоставление дополнительных мер поддержки граждан на улучшение жилищных условий (за счет средств резервного фонда Правительства Мурманской области)</t>
  </si>
  <si>
    <t>271081082U</t>
  </si>
  <si>
    <t>Субсидия бюджетам муниципальных образований на обеспечение инженерной инфраструктурой земельных участков, на которых планируется реализация проектов развития индивидуального жилищного строительства, или земельных участков, предоставленных многодетным семьям и расположенных в общем или смежном с такими земельными участками кадастровом квартале</t>
  </si>
  <si>
    <t>2710871370</t>
  </si>
  <si>
    <t>Субсидия бюджетам муниципальных образований на обеспечение инженерной инфраструктурой земельных участков, на которых планируется реализация проектов развития индивидуального жилищного строительства, или земельных участков, предоставленных многодетным семьям и расположенных в общем или смежном с такими земельными участками кадастровом квартале (за счет средств резервного фонда Правительства Мурманской области)</t>
  </si>
  <si>
    <t>271087137U</t>
  </si>
  <si>
    <t>Основное мероприятие 11. Улучшение жилищных условий в результате проведения ремонтных работ МКД</t>
  </si>
  <si>
    <t>2711100000</t>
  </si>
  <si>
    <t>Субсидия специализированной некоммерческой организации "Фонд капитального ремонта общего имущества в многоквартирных домах в Мурманской области" на проведение капитального ремонта элементов общего имущества многоквартирных домов, не включенных в региональную программу капитального ремонта общего имущества в многоквартирных домах, расположенных на территории Мурманской области, на 2014-2043 годы</t>
  </si>
  <si>
    <t>2711160610</t>
  </si>
  <si>
    <t>Субсидия специализированной некоммерческой организации "Фонд капитального ремонта общего имущества в многоквартирных домах в Мурманской области" на проведение капитального ремонта элементов общего имущества многоквартирных домов, не включенных в региональную программу капитального ремонта общего имущества в многоквартирных домах, расположенных на территории Мурманской области, на 2014-2043 годы (за счет средств резервного фонда Правительства Мурманской области)</t>
  </si>
  <si>
    <t>271116061U</t>
  </si>
  <si>
    <t>271F100000</t>
  </si>
  <si>
    <t>Субсидия на обеспечение объектами коммунальной и дорожной инфраструктуры земельных участков, предоставленных на безвозмездной основе многодетным семьям</t>
  </si>
  <si>
    <t>271F170960</t>
  </si>
  <si>
    <t>Субсидия на обеспечение объектами коммунальной и дорожной инфраструктуры земельных участков, предоставленных на безвозмездной основе многодетным семьям (за счет средств резервного фонда Правительства Мурманской области)</t>
  </si>
  <si>
    <t>271F17096U</t>
  </si>
  <si>
    <t>271F500000</t>
  </si>
  <si>
    <t>271F552430</t>
  </si>
  <si>
    <t>Подпрограмма 2. "Формирование комфортной городской среды"</t>
  </si>
  <si>
    <t>2720000000</t>
  </si>
  <si>
    <t>Основное мероприятие 2. Формирование градостроительной политики в Мурманской области</t>
  </si>
  <si>
    <t>2720200000</t>
  </si>
  <si>
    <t>2720200010</t>
  </si>
  <si>
    <t>2720200030</t>
  </si>
  <si>
    <t>2720200050</t>
  </si>
  <si>
    <t>2720213060</t>
  </si>
  <si>
    <t>2720213070</t>
  </si>
  <si>
    <t>2720220080</t>
  </si>
  <si>
    <t>2720229990</t>
  </si>
  <si>
    <t>Основное мероприятие 3. Финансовое обеспечение исполнения городом Мурманском функций областного центра субъекта Российской Федерации – Мурманской области</t>
  </si>
  <si>
    <t>2720300000</t>
  </si>
  <si>
    <t>Субсидия бюджету муниципального образования городской округ город-герой Мурманск на осуществление городским округом городом-героем Мурманском функций административного центра области</t>
  </si>
  <si>
    <t>2720370580</t>
  </si>
  <si>
    <t>Основное мероприятие 4. Финансовое обеспечение мероприятий по обустройству мест захоронения</t>
  </si>
  <si>
    <t>2720400000</t>
  </si>
  <si>
    <t>2720474000</t>
  </si>
  <si>
    <t>Основное мероприятие 5. Обеспечение деятельности автономной некоммерческой организации "Центр городского развития Мурманской области"</t>
  </si>
  <si>
    <t>2720500000</t>
  </si>
  <si>
    <t>2720560350</t>
  </si>
  <si>
    <t>Субсидия автономной некоммерческой организации "Центр городского развития Мурманской области" (за счет средств резервного фонда Правительства Мурманской области)</t>
  </si>
  <si>
    <t>272056035U</t>
  </si>
  <si>
    <t>Основное мероприятие 6. Снос аварийных жилых домов</t>
  </si>
  <si>
    <t>2720600000</t>
  </si>
  <si>
    <t>Субсидия бюджетам муниципальных образований Мурманской области на софинансирование мероприятий по сносу объектов капитального строительства</t>
  </si>
  <si>
    <t>2720671220</t>
  </si>
  <si>
    <t>Субсидия бюджетам муниципальных образований Мурманской области на софинансирование мероприятий по сносу объектов капитального строительства (за счет средств резервного фонда Правительства Мурманской области)</t>
  </si>
  <si>
    <t>272067122U</t>
  </si>
  <si>
    <t>Основное мероприятие 7. Реализация Комплексного плана развития социальной и инженерной инфраструктур закрытых административно-территориальных образований Мурманской области и населенных пунктов Мурманской области с дислокацией военных формирований</t>
  </si>
  <si>
    <t>2720700000</t>
  </si>
  <si>
    <t>Реализация проектов развития социальной и инженерной инфраструктур</t>
  </si>
  <si>
    <t>2720777300</t>
  </si>
  <si>
    <t>Иной межбюджетный трансферт из областного бюджета бюджетам муниципальных образований Мурманской области на реализацию мероприятий Плана социального развития центров экономического роста Мурманской области</t>
  </si>
  <si>
    <t>2720777420</t>
  </si>
  <si>
    <t>Основное мероприятие 9. Выполнение работ по ямочному ремонту дворовых проездов</t>
  </si>
  <si>
    <t>2720900000</t>
  </si>
  <si>
    <t>Иной межбюджетный трансферт из областного бюджета местным бюджетам на реализацию мероприятий, направленных на выполнение работ по ямочному ремонту дворовых проездов за счет средств дорожного фонда</t>
  </si>
  <si>
    <t>2720949250</t>
  </si>
  <si>
    <t>Иной межбюджетный трансферт из областного бюджета местным бюджетам на реализацию мероприятий, направленных на выполнение работ по ямочному ремонту дворовых проездов (за счет средств резервного фонда Правительства Мурманской области)</t>
  </si>
  <si>
    <t>272097715U</t>
  </si>
  <si>
    <t>Основное мероприятие 10. Реализация программы обновления парка техники для уборки территорий муниципальных образований Мурманской области</t>
  </si>
  <si>
    <t>2721000000</t>
  </si>
  <si>
    <t>Субсидия на приобретение коммунальной техники для уборки территорий муниципальных образований Мурманской области</t>
  </si>
  <si>
    <t>2721073160</t>
  </si>
  <si>
    <t>272F200000</t>
  </si>
  <si>
    <t>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</si>
  <si>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272F254240</t>
  </si>
  <si>
    <t>Реализация программ формирования современной городской среды</t>
  </si>
  <si>
    <t>272F255550</t>
  </si>
  <si>
    <t>272F271210</t>
  </si>
  <si>
    <t>Подпрограмма 3. "Сокращение непригодного для проживания жилищного фонда"</t>
  </si>
  <si>
    <t>2730000000</t>
  </si>
  <si>
    <t>Основное мероприятие 3. Обеспечение граждан благоустроенными жилыми помещениями в целях переселения из непригодного для проживания жилищного фонда</t>
  </si>
  <si>
    <t>2730300000</t>
  </si>
  <si>
    <t>Субсидия из областного бюджета местным бюджетам Мурманской области на софинансирование мероприятий по расселению и последующему демонтажу многоквартирных жилых домов (или их части), пострадавших в результате пожара, (за счет средств резервного фонда Правительства Мурманской области)</t>
  </si>
  <si>
    <t>273037123U</t>
  </si>
  <si>
    <t>Субсидия на переселение граждан, проживающих в жилых помещениях, пострадавших в результате пожара</t>
  </si>
  <si>
    <t>2730373090</t>
  </si>
  <si>
    <t>Субсидия бюджетам муниципальных образований Мурманской области на софинансирование мероприятий по обеспечению жильем граждан, проживающих в многоквартирных домах, расселение и последующий снос которых предусмотрены в рамках реализации комплексного развития территорий</t>
  </si>
  <si>
    <t>2730373100</t>
  </si>
  <si>
    <t>Субсидия на приобретение жилых помещений для граждан, проживающих в аварийном жилищном фонде путем участия в долевом строительстве</t>
  </si>
  <si>
    <t>2730373110</t>
  </si>
  <si>
    <t>Иной межбюджетный трансферт из областного бюджета местным бюджетам на приобретение жилых помещений для граждан, проживающих в аварийном жилищном фонде</t>
  </si>
  <si>
    <t>2730377350</t>
  </si>
  <si>
    <t>Иной межбюджетный трансферт из областного бюджета местным бюджетам Мурманской области на расселение граждан, проживающих в аварийном жилищном фонде признанном таковым после 01.01.2017 года</t>
  </si>
  <si>
    <t>2730377380</t>
  </si>
  <si>
    <t>273F300000</t>
  </si>
  <si>
    <t>Обеспечение мероприятий по переселению граждан из аварийного жилищного фонда (за счет средств государственной корпорации – Фонд содействия реформированию жилищно-коммунального хозяйства)</t>
  </si>
  <si>
    <t>273F367483</t>
  </si>
  <si>
    <t>Обеспечение мероприятий по переселению граждан из аварийного жилищного фонда</t>
  </si>
  <si>
    <t>273F367484</t>
  </si>
  <si>
    <t>Подпрограмма 4. "Обеспечение устойчивой деятельности топливно-энергетического комплекса Мурманской области и повышения энергетической эффективности"</t>
  </si>
  <si>
    <t>2740000000</t>
  </si>
  <si>
    <t>Основное мероприятие 1. Модернизация объектов жилищно-коммунального комплекса: теплоснабжения, водоснабжения, водоотведения, электроснабжения</t>
  </si>
  <si>
    <t>2740100000</t>
  </si>
  <si>
    <t>Разработка прогнозного топливно-энергетического баланса Мурманской области</t>
  </si>
  <si>
    <t>2740122290</t>
  </si>
  <si>
    <t>2740140010</t>
  </si>
  <si>
    <t>2740174000</t>
  </si>
  <si>
    <t>Иной межбюджетный трансферт из областного бюджета на софинансирование капитальных вложений в линейные объекты муниципальной собственности (за счет средств резервного фонда Правительства Мурманской области)</t>
  </si>
  <si>
    <t>274017741U</t>
  </si>
  <si>
    <t>Основное мероприятие 2. Субсидии ресурсоснабжающим организациям</t>
  </si>
  <si>
    <t>2740200000</t>
  </si>
  <si>
    <t>2740260190</t>
  </si>
  <si>
    <t>2740260200</t>
  </si>
  <si>
    <t>2740260220</t>
  </si>
  <si>
    <t>Финансовое обеспечение затрат акционерного общества "Мурманэнергосбыт", связанных с обеспечением качественного и надежного теплоснабжения в Мурманской области, в форме безвозмездного вклада в денежной форме в имущество акционерного общества, единственным акционером которого является Мурманская область</t>
  </si>
  <si>
    <t>2740260260</t>
  </si>
  <si>
    <t>Финансовое обеспечение затрат акционерного общества "Мурманэнергосбыт", связанных с обеспечением качественного и надежного теплоснабжения в Мурманской области, в форме безвозмездного вклада в денежной форме в имущество акционерного общества, единственным акционером которого является Мурманская область (за счет средств резервного фонда Правительства Мурманской области)</t>
  </si>
  <si>
    <t>274026026U</t>
  </si>
  <si>
    <t>2740260270</t>
  </si>
  <si>
    <t>Возмещение затрат (недополученных доходов) организациям, осуществляющим производство (реализацию) тепловой энергии потребителям по регулируемым тарифам на территории Мурманской области, которым тариф на тепловую энергию установлен после окончания срока проведения отбора организаций для предоставления субсидии на финансовое обеспечение затрат (за счет средств резервного фонда Правительства Мурманской области)</t>
  </si>
  <si>
    <t>274026380U</t>
  </si>
  <si>
    <t>Финансовое обеспечение во втором полугодии 2023 года организациям затрат второго полугодия 2023 года, связанных  с производством (реализацией) тепловой энергии потребителям по регулируемым тарифам на территории Мурманской области, за исключением объектов теплоснабжения, использующим в качестве топлива мазут, а также за исключением объектов теплоснабжения, работающим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(за счет средств резервного фонда Правительства Мурманской области)</t>
  </si>
  <si>
    <t>274026381U</t>
  </si>
  <si>
    <t>Основное мероприятие 3. Обеспечение бесперебойного функционирования и повышения энергетической эффективности объектов и систем жизнеобеспечения муниципальных образований Мурманской области</t>
  </si>
  <si>
    <t>2740300000</t>
  </si>
  <si>
    <t>Субсидия на оказание государственной финансовой поддержки закупки и доставки нефтепродуктов и топлива в районы Мурманской области с ограниченными сроками завоза грузов</t>
  </si>
  <si>
    <t>2740370720</t>
  </si>
  <si>
    <t>Субсидия на оказание государственной финансовой поддержки закупки и доставки нефтепродуктов и топлива в районы Мурманской области с ограниченными сроками завоза грузов (за счет средств резервного фонда Правительства Мурманской области)</t>
  </si>
  <si>
    <t>274037072U</t>
  </si>
  <si>
    <t>2740370760</t>
  </si>
  <si>
    <t>Субсидия бюджетам муниципальных образований на подготовку к отопительному периоду (за счет средств резервного фонда Правительства Мурманской области)</t>
  </si>
  <si>
    <t>274037076U</t>
  </si>
  <si>
    <t>Основное мероприятие 4. Обеспечение реализации государственных функций в сферах энергетики, энергосбережения и повышения энергетической эффективности, жилищных отношений и жилищно-коммунального хозяйства Мурманской области</t>
  </si>
  <si>
    <t>2740400000</t>
  </si>
  <si>
    <t>2740400010</t>
  </si>
  <si>
    <t>2740400030</t>
  </si>
  <si>
    <t>2740400050</t>
  </si>
  <si>
    <t>2740413060</t>
  </si>
  <si>
    <t>Подпрограмма 5. "Обеспечение осуществления государственного контроля (надзора) в жилищно-коммунальной сфере"</t>
  </si>
  <si>
    <t>2750000000</t>
  </si>
  <si>
    <t>Основное мероприятие 1. Осуществление регионального государственного жилищного надзора, лицензионного контроля</t>
  </si>
  <si>
    <t>2750100000</t>
  </si>
  <si>
    <t>2750100010</t>
  </si>
  <si>
    <t>МИНИСТЕРСТВО ГОСУДАРСТВЕННОГО ЖИЛИЩНОГО И СТРОИТЕЛЬНОГО НАДЗОРА МУРМАНСКОЙ ОБЛАСТИ</t>
  </si>
  <si>
    <t>2750100030</t>
  </si>
  <si>
    <t>2750113060</t>
  </si>
  <si>
    <t>2750113070</t>
  </si>
  <si>
    <t>2750120080</t>
  </si>
  <si>
    <t>Государственная программа "Общественная безопасность"</t>
  </si>
  <si>
    <t>2800000000</t>
  </si>
  <si>
    <t>2810000000</t>
  </si>
  <si>
    <t>2810100000</t>
  </si>
  <si>
    <t>2810100050</t>
  </si>
  <si>
    <t>2810129990</t>
  </si>
  <si>
    <t>2810200000</t>
  </si>
  <si>
    <t>2810275560</t>
  </si>
  <si>
    <t>Основное мероприятие 3. Проведение комплекса мероприятий в области профилактики экстремизма и терроризма по выявлению и устранению факторов, способствующих распространению идеологии экстремизма и терроризма</t>
  </si>
  <si>
    <t>2810300000</t>
  </si>
  <si>
    <t>2810300050</t>
  </si>
  <si>
    <t>281030005U</t>
  </si>
  <si>
    <t>2810329990</t>
  </si>
  <si>
    <t>Основное мероприятие 4. Проведение комплекса мероприятий по содействию деятельности народных дружин, действующих на территории Мурманской области</t>
  </si>
  <si>
    <t>2810400000</t>
  </si>
  <si>
    <t>2810429990</t>
  </si>
  <si>
    <t>Основное мероприятие 5. Укрепление материально-технической базы в целях реализации возложенных на полицию обязанностей по охране общественного порядка и обеспечению общественной безопасности</t>
  </si>
  <si>
    <t>2810500000</t>
  </si>
  <si>
    <t>Субсидии федеральному бюджету в целях софинансирования исполнения расходных обязательств Российской Федерации по материально-техническому обеспечению деятельности полиции</t>
  </si>
  <si>
    <t>2810557200</t>
  </si>
  <si>
    <t>Основное мероприятие 6. Профилактика и предупреждение преступлений против собственности граждан</t>
  </si>
  <si>
    <t>2810600000</t>
  </si>
  <si>
    <t>2810629990</t>
  </si>
  <si>
    <t>Подпрограмма 2. "Обеспечение пожарной безопасности, защиты населения и территорий от чрезвычайных ситуаций"</t>
  </si>
  <si>
    <t>2820000000</t>
  </si>
  <si>
    <t>Основное мероприятие 1. Модернизация материально-технической базы подразделений Государственной противопожарной службы Мурманской области и служб, обеспечивающих предупреждение и ликвидацию чрезвычайных ситуаций</t>
  </si>
  <si>
    <t>2820100000</t>
  </si>
  <si>
    <t>2820100050</t>
  </si>
  <si>
    <t>Основное мероприятие 2. Обеспечение реализации функций в области пожарной безопасности, предупреждение и ликвидации чрезвычайных ситуаций</t>
  </si>
  <si>
    <t>2820200000</t>
  </si>
  <si>
    <t>2820200050</t>
  </si>
  <si>
    <t>2820213060</t>
  </si>
  <si>
    <t>2820213070</t>
  </si>
  <si>
    <t>2820220020</t>
  </si>
  <si>
    <t>2820220080</t>
  </si>
  <si>
    <t>Основное мероприятие 4. Обеспечение мер пожарной безопасности социально незащищенных групп населения</t>
  </si>
  <si>
    <t>2820400000</t>
  </si>
  <si>
    <t>Противопожарная защита мест проживания многодетных семей, получающих меры социальной поддержки с учетом нуждаемости (в соответствии с постановлением Правительства Мурманской области от 31.03.2023 № 240-ПП)</t>
  </si>
  <si>
    <t>2820413820</t>
  </si>
  <si>
    <t>Основное мероприятие 5. Развитие аппаратно-программного комплекса "Безопасный город" на территории Мурманской области</t>
  </si>
  <si>
    <t>2820500000</t>
  </si>
  <si>
    <t>2820500050</t>
  </si>
  <si>
    <t>2820520080</t>
  </si>
  <si>
    <t>Подпрограмма 3. "Обеспечение гражданской обороны"</t>
  </si>
  <si>
    <t>2830000000</t>
  </si>
  <si>
    <t>Основное мероприятие 1. Поддержание в необходимой готовности сил и средств гражданской обороны</t>
  </si>
  <si>
    <t>2830100000</t>
  </si>
  <si>
    <t>2830100050</t>
  </si>
  <si>
    <t>Прочие направления расходов государственной программы (за счет средств резервного фонда Правительства Мурманской области)</t>
  </si>
  <si>
    <t>283012999U</t>
  </si>
  <si>
    <t>Основное мероприятие 2. Обеспечение реализации функций в области гражданской обороны</t>
  </si>
  <si>
    <t>2830200000</t>
  </si>
  <si>
    <t>2830200050</t>
  </si>
  <si>
    <t>2830220080</t>
  </si>
  <si>
    <t>Основное мероприятие 3. Реализация отдельных мероприятий по обеспечению призыва граждан на военную службу по мобилизации в Вооруженные Силы Российской Федерации</t>
  </si>
  <si>
    <t>2830300000</t>
  </si>
  <si>
    <t>2830329990</t>
  </si>
  <si>
    <t>283032999U</t>
  </si>
  <si>
    <t>2840000000</t>
  </si>
  <si>
    <t>Основное мероприятие 1. Обеспечение реализации государственных функций в сфере обеспечения общественной безопасности</t>
  </si>
  <si>
    <t>2840100000</t>
  </si>
  <si>
    <t>2840100010</t>
  </si>
  <si>
    <t>2840100030</t>
  </si>
  <si>
    <t>2840113060</t>
  </si>
  <si>
    <t>2840120080</t>
  </si>
  <si>
    <t>Государственная программа "Природные ресурсы и экология"</t>
  </si>
  <si>
    <t>2900000000</t>
  </si>
  <si>
    <t>2910000000</t>
  </si>
  <si>
    <t>2910100000</t>
  </si>
  <si>
    <t>2910129990</t>
  </si>
  <si>
    <t>Министерство природных ресурсов, экологии и рыбного хозяйства Мурманской области</t>
  </si>
  <si>
    <t>2910200000</t>
  </si>
  <si>
    <t>2910229990</t>
  </si>
  <si>
    <t>2910300000</t>
  </si>
  <si>
    <t>2910329990</t>
  </si>
  <si>
    <t>Основное мероприятие 4. Экологическое просвещение и формирование экологической культуры населения Мурманской области</t>
  </si>
  <si>
    <t>2910400000</t>
  </si>
  <si>
    <t>2910429990</t>
  </si>
  <si>
    <t>Основное мероприятие 5. Сохранение водно-болотных угодий, имеющих международное значение, на территории Мурманской области</t>
  </si>
  <si>
    <t>2910500000</t>
  </si>
  <si>
    <t>2910529990</t>
  </si>
  <si>
    <t>2920000000</t>
  </si>
  <si>
    <t>2920100000</t>
  </si>
  <si>
    <t>2920100050</t>
  </si>
  <si>
    <t>2920113060</t>
  </si>
  <si>
    <t>2920120080</t>
  </si>
  <si>
    <t>Осуществление мер пожарной безопасности и тушение лесных пожаров</t>
  </si>
  <si>
    <t>2920153450</t>
  </si>
  <si>
    <t>2920200000</t>
  </si>
  <si>
    <t>2920251290</t>
  </si>
  <si>
    <t>2920300000</t>
  </si>
  <si>
    <t>2920329990</t>
  </si>
  <si>
    <t>2920351290</t>
  </si>
  <si>
    <t>2920400000</t>
  </si>
  <si>
    <t>2920429990</t>
  </si>
  <si>
    <t>2920451290</t>
  </si>
  <si>
    <t>292GА00000</t>
  </si>
  <si>
    <t>292GА54290</t>
  </si>
  <si>
    <t>292GА54310</t>
  </si>
  <si>
    <t>2930000000</t>
  </si>
  <si>
    <t>2930100000</t>
  </si>
  <si>
    <t>2930151280</t>
  </si>
  <si>
    <t>2930200000</t>
  </si>
  <si>
    <t>2930229990</t>
  </si>
  <si>
    <t>Основное мероприятие 3. Участие в системе наблюдений, оценки и прогноза изменений состояния водных объектов</t>
  </si>
  <si>
    <t>2930300000</t>
  </si>
  <si>
    <t>2930329990</t>
  </si>
  <si>
    <t>Основное мероприятие 4. Обеспечение учета состояния минерально-сырьевой базы общераспространенных полезных ископаемых</t>
  </si>
  <si>
    <t>2930400000</t>
  </si>
  <si>
    <t>2930429990</t>
  </si>
  <si>
    <t>Основное мероприятие 5. Обеспечение безопасности гидротехнических сооружений</t>
  </si>
  <si>
    <t>2930500000</t>
  </si>
  <si>
    <t>2930529990</t>
  </si>
  <si>
    <t>Основное мероприятие 6. Предупреждение и тушение природных ландшафтных пожаров</t>
  </si>
  <si>
    <t>2930600000</t>
  </si>
  <si>
    <t>2930600050</t>
  </si>
  <si>
    <t>2940000000</t>
  </si>
  <si>
    <t>2940100000</t>
  </si>
  <si>
    <t>2940100010</t>
  </si>
  <si>
    <t>2940100030</t>
  </si>
  <si>
    <t>2940100050</t>
  </si>
  <si>
    <t>2940113060</t>
  </si>
  <si>
    <t>2940120020</t>
  </si>
  <si>
    <t>Выплаты по решениям судов (за счет средств резервного фонда Правительства Мурманской области)</t>
  </si>
  <si>
    <t>294012002U</t>
  </si>
  <si>
    <t>2940120080</t>
  </si>
  <si>
    <t>2940129990</t>
  </si>
  <si>
    <t>2940151290</t>
  </si>
  <si>
    <t>Осуществление отдельных полномочий в области лесных отношений (за счет подтвержденных остатков прошлых лет)</t>
  </si>
  <si>
    <t>294015129L</t>
  </si>
  <si>
    <t>Осуществление переданных полномочий Российской Федерации в области охраны и использования охотничьих ресурсов</t>
  </si>
  <si>
    <t>2940159700</t>
  </si>
  <si>
    <t>2950000000</t>
  </si>
  <si>
    <t>Основное мероприятие 2. Ликвидация объектов накопленного вреда окружающей среде (накопленного экологического ущерба)</t>
  </si>
  <si>
    <t>2950200000</t>
  </si>
  <si>
    <t>2950270810</t>
  </si>
  <si>
    <t>295G100000</t>
  </si>
  <si>
    <t>Ликвидация несанкционированных свалок в границах городов и наиболее опасных объектов накопленного вреда окружающей среде (Рекультивация пометохранилища бывшего ОАО "Птицефабрика "Снежная")</t>
  </si>
  <si>
    <t>295G152421</t>
  </si>
  <si>
    <t>Ликвидация несанкционированных свалок в границах городов и наиболее опасных объектов накопленного вреда окружающей среде (Рекультивация городской свалки твердых отходов, расположенной по адресу: Мурманская область, муниципальное образование город Мурманск, сооружение 1)</t>
  </si>
  <si>
    <t>295G152422</t>
  </si>
  <si>
    <t>Ликвидация несанкционированных свалок в границах городов и наиболее опасных объектов накопленного вреда окружающей среде (Рекультивация санкционированной свалки на территории муниципального образования ЗАТО города Заозерска Мурманской области)</t>
  </si>
  <si>
    <t>295G152423</t>
  </si>
  <si>
    <t>2960000000</t>
  </si>
  <si>
    <t>2960100000</t>
  </si>
  <si>
    <t>2960129990</t>
  </si>
  <si>
    <t>296012999U</t>
  </si>
  <si>
    <t>Осуществление полномочий Российской Федерации в области охраны и использования объектов животного мира (за исключением охотничьих ресурсов и водных биологических ресурсов)</t>
  </si>
  <si>
    <t>2960159200</t>
  </si>
  <si>
    <t>2960200000</t>
  </si>
  <si>
    <t>2960229990</t>
  </si>
  <si>
    <t>2960259700</t>
  </si>
  <si>
    <t>Основное мероприятие 3. Осуществление полномочий в области охраны и использования объектов животного мира</t>
  </si>
  <si>
    <t>2960300000</t>
  </si>
  <si>
    <t>296032999U</t>
  </si>
  <si>
    <t>Государственная программа "Рыбное и сельское хозяйство"</t>
  </si>
  <si>
    <t>3000000000</t>
  </si>
  <si>
    <t>3010000000</t>
  </si>
  <si>
    <t>3010100000</t>
  </si>
  <si>
    <t>Субсидия на финансовое обеспечение затрат на обновление, восстановление и модернизацию основных средств государственному областному унитарному сельскохозяйственному предприятию (племенной репродуктор) "Тулома"</t>
  </si>
  <si>
    <t>3010160060</t>
  </si>
  <si>
    <t>3010160310</t>
  </si>
  <si>
    <t>3010160320</t>
  </si>
  <si>
    <t>3010200000</t>
  </si>
  <si>
    <t>Поддержка сельскохозяйственного производства по отдельным подотраслям растениеводства и животноводства (субсидия на поддержку производства кормовых культур в районах Крайнего Севера и приравненных к ним местностях в виде возмещения затрат на приобретение семян с учетом доставки в районы Крайнего Севера и приравненные к ним местности)</t>
  </si>
  <si>
    <t>30102R5081</t>
  </si>
  <si>
    <t>3010300000</t>
  </si>
  <si>
    <t>Субсидия на оказание финансовой помощи государственному областному унитарному сельскохозяйственному предприятию (племенной репродуктор) "Тулома" в целях предупреждения банкротства и восстановления платежеспособности</t>
  </si>
  <si>
    <t>3010360410</t>
  </si>
  <si>
    <t>Субсидия государственному областному унитарному сельскохозяйственному предприятию (племенной репродуктор) "Тулома" на возмещение части затрат, связанных с приобретением кормов</t>
  </si>
  <si>
    <t>3010360430</t>
  </si>
  <si>
    <t>Субсидия на поддержку селекционной работы и искусственного осеменения в скотоводстве молочного направления организациям агропромышленного комплекса</t>
  </si>
  <si>
    <t>3010361500</t>
  </si>
  <si>
    <t>Субсидия на продукцию животноводства сельскохозяйственным товаропроизводителям Мурманской области, за исключением крестьянских (фермерских) хозяйств, индивидуальных предпринимателей и граждан, ведущих личное подсобное хозяйство</t>
  </si>
  <si>
    <t>3010361510</t>
  </si>
  <si>
    <t>Субсидия на поддержку звероводства</t>
  </si>
  <si>
    <t>3010361520</t>
  </si>
  <si>
    <t>Стимулирование развития приоритетных подотраслей агропромышленного комплекса и развитие малых форм хозяйствования (Субсидия на возмещение части затрат, направленных на поддержку собственного производства молока в рамках стимулирования развития приоритетных подотраслей агропромышленного комплекса)</t>
  </si>
  <si>
    <t>30103R5023</t>
  </si>
  <si>
    <t>3010400000</t>
  </si>
  <si>
    <t>Субсидия на продукцию животноводства сельскохозяйственным товаропроизводителям Мурманской области – крестьянским (фермерским) хозяйствам, индивидуальным предпринимателям</t>
  </si>
  <si>
    <t>3010461100</t>
  </si>
  <si>
    <t>Субсидия на компенсацию части затрат на приобретение молодняка крупного рогатого скота для откорма</t>
  </si>
  <si>
    <t>3010461110</t>
  </si>
  <si>
    <t>Основное мероприятие 6. Развитие оленеводства</t>
  </si>
  <si>
    <t>3010600000</t>
  </si>
  <si>
    <t>Субсидия на возмещение части затрат направленных на переработку мяса оленей</t>
  </si>
  <si>
    <t>3010661210</t>
  </si>
  <si>
    <t>Поддержка сельскохозяйственного производства по отдельным подотраслям растениеводства и животноводства (Субсидия на развитие северного оленеводства)</t>
  </si>
  <si>
    <t>30106R5085</t>
  </si>
  <si>
    <t>301I500000</t>
  </si>
  <si>
    <t>Создание системы поддержки фермеров и развитие сельской кооперации (Субсидия автономной некоммерческой организации "Центр компетенций в сфере сельскохозяйственной кооперации и поддержки фермеров Мурманской области")</t>
  </si>
  <si>
    <t>301I554801</t>
  </si>
  <si>
    <t>Создание системы поддержки фермеров и развитие сельской кооперации (Грант "Агростартап")</t>
  </si>
  <si>
    <t>301I554802</t>
  </si>
  <si>
    <t>301I560580</t>
  </si>
  <si>
    <t>301I5Д4802</t>
  </si>
  <si>
    <t>Подпрограмма 2. "Развитие рыбохозяйственного комплекса"</t>
  </si>
  <si>
    <t>3020000000</t>
  </si>
  <si>
    <t>Основное мероприятие 2. Оказание государственной поддержки субъектам аквакультуры</t>
  </si>
  <si>
    <t>3020200000</t>
  </si>
  <si>
    <t>Поддержка сельскохозяйственного производства по отдельным подотраслям растениеводства и животноводства (Субсидии сельскохозяйственным товаропроизводителям на возмещение части затрат на уплату страховых премий, начисленных по договорам сельскохозяйственного страхования товарной аквакультуры (товарного рыбоводства))</t>
  </si>
  <si>
    <t>30202R5086</t>
  </si>
  <si>
    <t>Основное мероприятие 3. Осуществление мер по сохранению и пополнению запасов водных биоресурсов</t>
  </si>
  <si>
    <t>3020300000</t>
  </si>
  <si>
    <t>Осуществление переданных полномочий Российской Федерации в области организации, регулирования и охраны водных биологических ресурсов</t>
  </si>
  <si>
    <t>3020359100</t>
  </si>
  <si>
    <t>Основное мероприятие 4. Содействие в подготовке и проведении ярморочных мероприятий, направленных на развитие рынка рыбной продукции</t>
  </si>
  <si>
    <t>3020400000</t>
  </si>
  <si>
    <t>Субсидия автономной некоммерческой организации по развитию конгрессно-выставочной, ярмарочной и информационной деятельности "Мурманконгресс" на финансовое обеспечение затрат на организацию и проведение ярмарки "Наша рыба"</t>
  </si>
  <si>
    <t>3020462030</t>
  </si>
  <si>
    <t>Подпрограмма 3. "Обеспечение эпизоотического благополучия региона и защиты населения от болезней, общих для человека и животных"</t>
  </si>
  <si>
    <t>3030000000</t>
  </si>
  <si>
    <t>Основное мероприятие 1. Предупреждение и ликвидация заразных, в том числе особо опасных, болезней животных и проведение ветеринарно-санитарной экспертизы пищевых продуктов животного происхождения</t>
  </si>
  <si>
    <t>3030100000</t>
  </si>
  <si>
    <t>3030100050</t>
  </si>
  <si>
    <t>3030113060</t>
  </si>
  <si>
    <t>3030113240</t>
  </si>
  <si>
    <t>Основное мероприятие 2. Обеспечение надлежащего уровня материально-технической базы региональной государственной ветеринарной службы</t>
  </si>
  <si>
    <t>3030200000</t>
  </si>
  <si>
    <t>3030200050</t>
  </si>
  <si>
    <t>Основное мероприятие 3. Проведение мероприятий по предупреждению возникновения, распространения и ликвидации африканской чумы свиней на территории Мурманской области</t>
  </si>
  <si>
    <t>3030300000</t>
  </si>
  <si>
    <t>3030300050</t>
  </si>
  <si>
    <t>3030400000</t>
  </si>
  <si>
    <t>Субсидии некоммерческим организациям Мурманской области на возмещение затрат за оплату полученных ими услуг по теплоснабжению, электроснабжению, водоснабжению и водоотведению приютов для животных</t>
  </si>
  <si>
    <t>3030465120</t>
  </si>
  <si>
    <t>3030475590</t>
  </si>
  <si>
    <t>Основное мероприятие 5. Создание дополнительных мест для содержания животных без владельцев в приютах для животных</t>
  </si>
  <si>
    <t>3030500000</t>
  </si>
  <si>
    <t>Субсидия из областного бюджета местным бюджетам Мурманской области на текущий ремонт в помещениях приюта для животных (за счет средств резервного фонда Правительства Мурманской области)</t>
  </si>
  <si>
    <t>303057319U</t>
  </si>
  <si>
    <t>Подпрограмма 4. "Обеспечение эффективности деятельности исполнительных органов Мурманской области в сфере реализации государственной программы"</t>
  </si>
  <si>
    <t>3040000000</t>
  </si>
  <si>
    <t>Основное мероприятие 1. Обеспечение реализации государственных функций и оказания государственных услуг в сфере ветеринарии</t>
  </si>
  <si>
    <t>3040100000</t>
  </si>
  <si>
    <t>3040100010</t>
  </si>
  <si>
    <t>3040100030</t>
  </si>
  <si>
    <t>3040113060</t>
  </si>
  <si>
    <t>Подпрограмма 5. "Комплексное развитие сельских территорий Мурманской области"</t>
  </si>
  <si>
    <t>3050000000</t>
  </si>
  <si>
    <t>3050200000</t>
  </si>
  <si>
    <t>30502R5760</t>
  </si>
  <si>
    <t>Государственная программа "Экономический потенциал"</t>
  </si>
  <si>
    <t>3100000000</t>
  </si>
  <si>
    <t>Подпрограмма 1. "Создание условий для привлечения инвестиций, развития и модернизации промышленного комплекса, повышения конкурентоспособности производства (деятельности)"</t>
  </si>
  <si>
    <t>3110000000</t>
  </si>
  <si>
    <t>Основное мероприятие 1. Поддержка инвестиционной деятельности, сопровождение инвестиционных проектов, информирование бизнес-сообщества об инвестиционном потенциале территории региона</t>
  </si>
  <si>
    <t>3110100000</t>
  </si>
  <si>
    <t>3110129990</t>
  </si>
  <si>
    <t>Министерство развития Арктики и экономики Мурманской области</t>
  </si>
  <si>
    <t>Субсидия АО "Корпорация развития Мурманской области" в связи с исполнением полномочий специализированной организации по привлечению инвестиций и работе с инвесторами Мурманской области, в том числе реализации принципов "одного окна" для инвестора</t>
  </si>
  <si>
    <t>3110160050</t>
  </si>
  <si>
    <t>Основное мероприятие 2. Обеспечение условий для реализации инвестиционных проектов резидентами Арктической зоны Российской Федерации и территории опережающего социально-экономического развития "Столица Арктики"</t>
  </si>
  <si>
    <t>3110200000</t>
  </si>
  <si>
    <t>Предоставление субсидии ООО "КРДВ Мурманск", выполняющему функции управляющей компании по управлению территорией опережающего социально-экономического развития "Столица Арктики" и Арктической зоной Российской Федерации на территории Мурманской области</t>
  </si>
  <si>
    <t>3110260090</t>
  </si>
  <si>
    <t>Основное мероприятие 3. Реализация инфраструктурного проекта "Культурно-деловой центр "Новый Мурманск"</t>
  </si>
  <si>
    <t>3110300000</t>
  </si>
  <si>
    <t>Субсидия бюджетам муниципальных образований на реализацию инфраструктурного проекта "Культурно-деловой центр "Новый Мурманск"</t>
  </si>
  <si>
    <t>3110398010</t>
  </si>
  <si>
    <t>Реализация инфраструктурного проекта "Культурно-деловой центр "Новый Мурманск"</t>
  </si>
  <si>
    <t>3110398020</t>
  </si>
  <si>
    <t>Региональный проект "Адресная поддержка повышения производительности труда на предприятиях"</t>
  </si>
  <si>
    <t>311L200000</t>
  </si>
  <si>
    <t>Достижение результатов национального проекта "Производительность труда" (Субсидия автономной некоммерческой организации "Арктический центр компетенций")</t>
  </si>
  <si>
    <t>311L252891</t>
  </si>
  <si>
    <t>3120000000</t>
  </si>
  <si>
    <t>3120100000</t>
  </si>
  <si>
    <t>Субсидии субъектам малого и среднего предпринимательства на возмещение затрат, связанных с кредитно-лизинговыми обязательствами</t>
  </si>
  <si>
    <t>3120161400</t>
  </si>
  <si>
    <t>Субсидии субъектам предпринимательства, осуществляющим общественно значимую деятельность</t>
  </si>
  <si>
    <t>3120161410</t>
  </si>
  <si>
    <t>Предоставление гранта "Губернаторский старт" на поддержку предпринимательских инициатив</t>
  </si>
  <si>
    <t>3120161420</t>
  </si>
  <si>
    <t>Гранты в форме субсидий для действующих предпринимателей на приобретение франшизы</t>
  </si>
  <si>
    <t>3120161430</t>
  </si>
  <si>
    <t>3120200000</t>
  </si>
  <si>
    <t>Субсидия автономной некоммерческой организации "Агентство по проведению спортивно-массовых и культурно-зрелищных мероприятий "СпортКульт51" на финансовое обеспечение затрат в сфере выставочных, ярмарочных мероприятий, конференций, направленных в том числе на поддержку субъектов малого и среднего предпринимательства</t>
  </si>
  <si>
    <t>3120260480</t>
  </si>
  <si>
    <t>Субсидия автономной некоммерческой организации по развитию конгрессно-выставочной, ярмарочной и информационной деятельности "Мурманконгресс" на финансовое обеспечение затрат в сфере конгрессно-выставочной деятельности, направленной в том числе на поддержку субъектов малого и среднего предпринимательства</t>
  </si>
  <si>
    <t>3120262040</t>
  </si>
  <si>
    <t>3120300000</t>
  </si>
  <si>
    <t>3120360120</t>
  </si>
  <si>
    <t>Субсидии некоммерческой микрокредитной компании "Фонд развития малого и среднего предпринимательства Мурманской области" на реализацию мероприятий в сфере поддержки малого и среднего предпринимательства, не софинансируемых из федерального бюджета</t>
  </si>
  <si>
    <t>3120361440</t>
  </si>
  <si>
    <t>Предоставление финансовой поддержки некоммерческим организациям, выражающим интересы предпринимателей, иных организаций – инициаторов международных, межрегиональных и межмуниципальных проектов в сфере развития предпринимательства</t>
  </si>
  <si>
    <t>3120361450</t>
  </si>
  <si>
    <t>31203R0660</t>
  </si>
  <si>
    <t>3120400000</t>
  </si>
  <si>
    <t>3120400050</t>
  </si>
  <si>
    <t>3120413060</t>
  </si>
  <si>
    <t>Региональный проект "Создание благоприятных условий для осуществления деятельности самозанятыми гражданами"</t>
  </si>
  <si>
    <t>312I200000</t>
  </si>
  <si>
    <t>Государственная поддержка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(Субсидии некоммерческой микрокредитной компании "Фонд развития малого и среднего предпринимательства Мурманской области" на реализацию мероприятий в сфере поддержки малого и среднего предпринимательства, софинансируемых из федерального бюджета)</t>
  </si>
  <si>
    <t>312I255272</t>
  </si>
  <si>
    <t>Региональный проект "Создание условий для легкого старта и комфортного ведения бизнеса"</t>
  </si>
  <si>
    <t>312I400000</t>
  </si>
  <si>
    <t>312I455272</t>
  </si>
  <si>
    <t>Государственная поддержка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(Гранты в форме субсидий субъектам малого или среднего предпринимательства, осуществляющим деятельность в сфере социального предпринимательства)</t>
  </si>
  <si>
    <t>312I455273</t>
  </si>
  <si>
    <t>312I500000</t>
  </si>
  <si>
    <t>Государственная поддержка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(Субсидии автономной некоммерческой организации "Центр координации поддержки экспортно ориентированных субъектов малого и среднего предпринимательства Мурманской области" на финансовое обеспечение затрат в сфере поддержки экспортно ориентированных субъектов малого и среднего предпринимательства)</t>
  </si>
  <si>
    <t>312I555271</t>
  </si>
  <si>
    <t>312I555272</t>
  </si>
  <si>
    <t>Подпрограмма 3. "Развитие туризма"</t>
  </si>
  <si>
    <t>3130000000</t>
  </si>
  <si>
    <t>Основное мероприятие 1. Продвижение Мурманской области как привлекательного для туристов региона</t>
  </si>
  <si>
    <t>3130100000</t>
  </si>
  <si>
    <t>Субсидия некоммерческой микрокредитной компании "Фонд развития малого и среднего предпринимательства Мурманской области" на финансовое обеспечение затрат регионального Центра кластерного развития Мурманской области в сфере туризма</t>
  </si>
  <si>
    <t>3130160420</t>
  </si>
  <si>
    <t>Субсидия на функционирование автономной некоммерческой организации "Туристский информационный центр Мурманской области"</t>
  </si>
  <si>
    <t>3130160450</t>
  </si>
  <si>
    <t>Субсидия автономной некоммерческой организации по развитию конгрессно-выставочной, ярмарочной и информационной деятельности "Мурманконгресс" на финансовое обеспечение затрат в сфере конгрессно-выставочной деятельности, направленных на развитие туризма</t>
  </si>
  <si>
    <t>3130162050</t>
  </si>
  <si>
    <t>Основное мероприятие 2. Государственная поддержка субъектов туриндустрии</t>
  </si>
  <si>
    <t>3130200000</t>
  </si>
  <si>
    <t>3130229990</t>
  </si>
  <si>
    <t>Субсидии субъектам туриндустрии Мурманской области, осуществляющим деятельность в сфере развития внутреннего и въездного туризма</t>
  </si>
  <si>
    <t>3130261300</t>
  </si>
  <si>
    <t>Региональный проект "Развитие туристической инфраструктуры"</t>
  </si>
  <si>
    <t>313J100000</t>
  </si>
  <si>
    <t>Обеспечение поддержки реализации общественных инициатив, направленных на развитие туристической инфраструктуры</t>
  </si>
  <si>
    <t>313J153320</t>
  </si>
  <si>
    <t>Подпрограмма 4. "Развитие международных и внешнеэкономических связей, приграничного, межрегионального сотрудничества"</t>
  </si>
  <si>
    <t>3140000000</t>
  </si>
  <si>
    <t>Основное мероприятие 1. Содействие в подготовке и проведении приоритетных с точки зрения экономики региона мероприятий регионального, межрегионального и международного значения на территории региона и Российской Федерации, а также за рубежом</t>
  </si>
  <si>
    <t>3140100000</t>
  </si>
  <si>
    <t>3140129990</t>
  </si>
  <si>
    <t>Субсидия автономной некоммерческой организации по развитию конгрессно-выставочной, ярмарочной и информационной деятельности "Мурманконгресс" на финансовое обеспечение затрат по сопровождению проведения международных и межрегиональных мероприятий в сфере развития международных, внешнеэкономических связей и межрегионального сотрудничества</t>
  </si>
  <si>
    <t>3140162060</t>
  </si>
  <si>
    <t>Региональный проект "Системные меры развития международной кооперации и экспорта"</t>
  </si>
  <si>
    <t>314T600000</t>
  </si>
  <si>
    <t>314T629990</t>
  </si>
  <si>
    <t>3150000000</t>
  </si>
  <si>
    <t>Основное мероприятие 1. Обеспечение реализации государственных функций в сферах стратегического планирования, налогового регулирования, стимулирования развития производства в добывающих и обрабатывающих отраслях промышленности, поддержки и сопровождения крупных инвестиционных проектов, экономики социальной сферы, международных и внешнеэкономических связей, приграничного, межрегионального сотрудничества, торговой деятельности, инвестиций, предпринимательства и инноваций, лицензирования отдельных видов деятельности</t>
  </si>
  <si>
    <t>3150100000</t>
  </si>
  <si>
    <t>3150100010</t>
  </si>
  <si>
    <t>3150100030</t>
  </si>
  <si>
    <t>3150113060</t>
  </si>
  <si>
    <t>3150120080</t>
  </si>
  <si>
    <t>3150120100</t>
  </si>
  <si>
    <t>Субсидия автономной некоммерческой организации "Арктический центр компетенций"</t>
  </si>
  <si>
    <t>3150160470</t>
  </si>
  <si>
    <t>Субсидии некоммерческим организациям на осуществление деятельности Ресурсного центра социально ориентированных некоммерческих организаций</t>
  </si>
  <si>
    <t>3150164090</t>
  </si>
  <si>
    <t>Субвенция на осуществление органами местного самоуправления муниципальных образований Мурманской области со статусом городского округа, муниципального округа и муниципального района отдельных государственных полномочий по сбору сведений для формирования и ведения торгового реестра</t>
  </si>
  <si>
    <t>3150175510</t>
  </si>
  <si>
    <t>Иные межбюджетные трансферты на предоставление грантов бюджетам муниципальных образований в целях содействия достижению и (или) поощрения достижения наилучших значений показателей деятельности органов местного самоуправления городских и муниципальных округов, муниципальных районов Мурманской области</t>
  </si>
  <si>
    <t>3150177070</t>
  </si>
  <si>
    <t>3150300000</t>
  </si>
  <si>
    <t>3150300010</t>
  </si>
  <si>
    <t>3150300030</t>
  </si>
  <si>
    <t>3150313060</t>
  </si>
  <si>
    <t>3150320020</t>
  </si>
  <si>
    <t>3150320080</t>
  </si>
  <si>
    <t>Основное мероприятие 4. Обеспечение реализации государственных функций в сфере туризма</t>
  </si>
  <si>
    <t>3150400000</t>
  </si>
  <si>
    <t>3150400010</t>
  </si>
  <si>
    <t>3150400030</t>
  </si>
  <si>
    <t>3150413060</t>
  </si>
  <si>
    <t>3200000000</t>
  </si>
  <si>
    <t>Подпрограмма 1. "Развитие информационного общества и внедрение цифровых технологий"</t>
  </si>
  <si>
    <t>3210000000</t>
  </si>
  <si>
    <t>Основное мероприятие 1. Развитие устойчивой и безопасной информационно-телекоммуникационной инфраструктуры исполнительных органов Мурманской области для перехода к цифровой экономике</t>
  </si>
  <si>
    <t>3210100000</t>
  </si>
  <si>
    <t>3210100050</t>
  </si>
  <si>
    <t>3210113060</t>
  </si>
  <si>
    <t>3210120100</t>
  </si>
  <si>
    <t>Содействие развитию ИТ-отрасли на территории Мурманской области</t>
  </si>
  <si>
    <t>3210162540</t>
  </si>
  <si>
    <t>Основное мероприятие 2. Использование цифровых технологий в деятельности исполнительных органов Мурманской области и органов местного самоуправления</t>
  </si>
  <si>
    <t>3210200000</t>
  </si>
  <si>
    <t>3210220100</t>
  </si>
  <si>
    <t>Мероприятия в области информационно-коммуникационной и телекоммуникационной инфраструктуры информационного общества (за счет средств резервного фонда Правительства Мурманской области)</t>
  </si>
  <si>
    <t>321022010U</t>
  </si>
  <si>
    <t>Предоставление региональных услуг Мурманской области на Едином портале государственных (муниципальных) услуг (функций)</t>
  </si>
  <si>
    <t>3210222230</t>
  </si>
  <si>
    <t>3210222240</t>
  </si>
  <si>
    <t>3210222250</t>
  </si>
  <si>
    <t>Развитие и сопровождение регионального сегмента системы межведомственного электронного взаимодействия в Мурманской области</t>
  </si>
  <si>
    <t>3210222260</t>
  </si>
  <si>
    <t>3210270570</t>
  </si>
  <si>
    <t>32102R0280</t>
  </si>
  <si>
    <t>Основное мероприятие 3. Совершенствование процессов организации предоставления государственных и муниципальных услуг по принципу "одного окна" в МФЦ</t>
  </si>
  <si>
    <t>3210300000</t>
  </si>
  <si>
    <t>3210300050</t>
  </si>
  <si>
    <t>321030005U</t>
  </si>
  <si>
    <t>3210313060</t>
  </si>
  <si>
    <t>Основное мероприятие 4. Обеспечение реализации государственных функций и предоставления государственных услуг в сфере информационно-телекоммуникационных технологий</t>
  </si>
  <si>
    <t>3210400000</t>
  </si>
  <si>
    <t>3210400010</t>
  </si>
  <si>
    <t>3210400030</t>
  </si>
  <si>
    <t>3210413060</t>
  </si>
  <si>
    <t>3210429990</t>
  </si>
  <si>
    <t>Основное мероприятие 5. Содействие в создании условий для оказания услуг связи на всей территории Мурманской области</t>
  </si>
  <si>
    <t>3210500000</t>
  </si>
  <si>
    <t>3210500050</t>
  </si>
  <si>
    <t>321D200000</t>
  </si>
  <si>
    <t>321D220120</t>
  </si>
  <si>
    <t>321D400000</t>
  </si>
  <si>
    <t>321D420130</t>
  </si>
  <si>
    <t>Подпрограмма 2. "Цифровая трансформация форматов взаимодействия населения Мурманской области и исполнительных органов Мурманской области и органов местного самоуправления"</t>
  </si>
  <si>
    <t>3220000000</t>
  </si>
  <si>
    <t>Региональный проект "Цифровизация городского хозяйства "Умный регион"</t>
  </si>
  <si>
    <t>322W800000</t>
  </si>
  <si>
    <t>322W820100</t>
  </si>
  <si>
    <t>Государственная программа "Финансы"</t>
  </si>
  <si>
    <t>3300000000</t>
  </si>
  <si>
    <t>3310000000</t>
  </si>
  <si>
    <t>Основное мероприятие 1. Организация бюджетного процесса в Мурманской области</t>
  </si>
  <si>
    <t>3310100000</t>
  </si>
  <si>
    <t>3310100010</t>
  </si>
  <si>
    <t>3310100030</t>
  </si>
  <si>
    <t>3310113060</t>
  </si>
  <si>
    <t>3310113070</t>
  </si>
  <si>
    <t>3310120080</t>
  </si>
  <si>
    <t>3310129990</t>
  </si>
  <si>
    <t>Субсидия автономной некоммерческой организации по развитию конгрессно-выставочной, ярмарочной и информационной деятельности "Мурманконгресс" на финансовое обеспечение затрат по организации и проведению мероприятий в сфере совершенствования организации бюджетного процесса</t>
  </si>
  <si>
    <t>3310162210</t>
  </si>
  <si>
    <t>Основное мероприятие 2. Повышение прозрачности бюджетов и открытости бюджетного процесса, содействие повышению уровня финансовой грамотности населения</t>
  </si>
  <si>
    <t>3310200000</t>
  </si>
  <si>
    <t>3310229990</t>
  </si>
  <si>
    <t>Основное мероприятие 3. Повышение гибкости долговой политики Мурманской области, поддержание высокого уровня регионального кредитного рейтинга</t>
  </si>
  <si>
    <t>3310300000</t>
  </si>
  <si>
    <t>3310320030</t>
  </si>
  <si>
    <t>3310329990</t>
  </si>
  <si>
    <t>Основное мероприятие 4. Обеспечение деятельности ГОКУ "Центр учета и бюджетной аналитики"</t>
  </si>
  <si>
    <t>3310400000</t>
  </si>
  <si>
    <t>3310400050</t>
  </si>
  <si>
    <t>3310413060</t>
  </si>
  <si>
    <t>3310420080</t>
  </si>
  <si>
    <t>3320000000</t>
  </si>
  <si>
    <t>Основное мероприятие 1. Выравнивание бюджетной обеспеченности муниципальных образований</t>
  </si>
  <si>
    <t>3320100000</t>
  </si>
  <si>
    <t>3320150100</t>
  </si>
  <si>
    <t>Дотации на выравнивание бюджетной обеспеченности муниципальных районов (городских округов, муниципальных округов)</t>
  </si>
  <si>
    <t>3320170020</t>
  </si>
  <si>
    <t>3320170530</t>
  </si>
  <si>
    <t>Субвенции бюджетам муниципальных районов на осуществление органами местного самоуправления государственных полномочий органов государственной власти Мурманской области по расчету и предоставлению дотаций бюджетам поселений</t>
  </si>
  <si>
    <t>3320175010</t>
  </si>
  <si>
    <t>Основное мероприятие 2. Поддержка мер по обеспечению сбалансированности местных бюджетов</t>
  </si>
  <si>
    <t>3320200000</t>
  </si>
  <si>
    <t>3320270030</t>
  </si>
  <si>
    <t>3320271100</t>
  </si>
  <si>
    <t>Иные межбюджетные трансферты из областного бюджета бюджетам муниципальных образований в целях поощрения достижения наилучших результатов увеличения доходного потенциала</t>
  </si>
  <si>
    <t>3320277030</t>
  </si>
  <si>
    <t>Иные межбюджетные трансферты из областного бюджета бюджетам муниципальных образований на восстановление платежеспособности муниципального образования</t>
  </si>
  <si>
    <t>3320277180</t>
  </si>
  <si>
    <t>Подпрограмма 3. "Организация и осуществление контроля и надзора в бюджетно-финансовой сфере и в сфере закупок товаров, работ, услуг для государственных и муниципальных нужд"</t>
  </si>
  <si>
    <t>3330000000</t>
  </si>
  <si>
    <t>Основное мероприятие 1. Осуществление внутреннего государственного финансового контроля и контроля за соблюдением законодательства и иных нормативных правовых актов о контрактной системе в сфере закупок товаров, работ, услуг для обеспечения государственных и муниципальных нужд</t>
  </si>
  <si>
    <t>3330100000</t>
  </si>
  <si>
    <t>3330100010</t>
  </si>
  <si>
    <t>3330100030</t>
  </si>
  <si>
    <t>3330113060</t>
  </si>
  <si>
    <t>3330113070</t>
  </si>
  <si>
    <t>3330120080</t>
  </si>
  <si>
    <t>Подпрограмма 4. "Развитие системы управления государственными закупками Мурманской области, закупками отдельных видов юридических лиц"</t>
  </si>
  <si>
    <t>3340000000</t>
  </si>
  <si>
    <t>3340100000</t>
  </si>
  <si>
    <t>3340100010</t>
  </si>
  <si>
    <t>3340100030</t>
  </si>
  <si>
    <t>3340100050</t>
  </si>
  <si>
    <t>3340113060</t>
  </si>
  <si>
    <t>3340200000</t>
  </si>
  <si>
    <t>3340220100</t>
  </si>
  <si>
    <t>3340300000</t>
  </si>
  <si>
    <t>3340300050</t>
  </si>
  <si>
    <t>3340313060</t>
  </si>
  <si>
    <t>3400000000</t>
  </si>
  <si>
    <t>3410000000</t>
  </si>
  <si>
    <t>3410100000</t>
  </si>
  <si>
    <t>3410120080</t>
  </si>
  <si>
    <t>Основное мероприятие 2. Оказание организационной, методической и финансовой помощи органам местного самоуправления Мурманской области</t>
  </si>
  <si>
    <t>3410200000</t>
  </si>
  <si>
    <t>Субсидия Ассоциации "Совет муниципальных образований Мурманской области" на финансовое обеспечение затрат на содействие развития местного самоуправления в Мурманской области, изучение общественного мнения на территории Мурманской области, содействие развития форм непосредственного осуществления населением местного самоуправления</t>
  </si>
  <si>
    <t>3410262530</t>
  </si>
  <si>
    <t>Основное мероприятие 3. Обеспечение реализации функций Министерства юстиции Мурманской области в сфере правового обеспечения и координации законопроектной и нормотворческой деятельности исполнительных органов Мурманской области, государственного строительства и правового регулирования в области местного самоуправления, обеспечения деятельности коллегиальных органов</t>
  </si>
  <si>
    <t>3410300000</t>
  </si>
  <si>
    <t>3410300010</t>
  </si>
  <si>
    <t>3410300030</t>
  </si>
  <si>
    <t>3410313060</t>
  </si>
  <si>
    <t>3410320080</t>
  </si>
  <si>
    <t>Осуществление переданных полномочий Российской Федерации на государственную регистрацию актов гражданского состояния</t>
  </si>
  <si>
    <t>3410359300</t>
  </si>
  <si>
    <t>Основное мероприятие 4. Создание условий для защиты прав, свобод и законных интересов граждан</t>
  </si>
  <si>
    <t>3410400000</t>
  </si>
  <si>
    <t>3410451200</t>
  </si>
  <si>
    <t>Субвенции федеральному бюджету на осуществление части переданных полномочий по составлению протоколов об административных правонарушениях, посягающих на общественный порядок и общественную безопасность</t>
  </si>
  <si>
    <t>3410457010</t>
  </si>
  <si>
    <t>3410460010</t>
  </si>
  <si>
    <t>3410475540</t>
  </si>
  <si>
    <t>3410475550</t>
  </si>
  <si>
    <t>Основное мероприятие 5. Реализация комплекса мер, направленных на противодействие коррупции в исполнительных органах Мурманской области и органах местного самоуправления, на формирование антикоррупционного поведения в обществе</t>
  </si>
  <si>
    <t>3410500000</t>
  </si>
  <si>
    <t>3410500010</t>
  </si>
  <si>
    <t>3410500030</t>
  </si>
  <si>
    <t>3410513060</t>
  </si>
  <si>
    <t>3410529990</t>
  </si>
  <si>
    <t>Основное мероприятие 6. Организация обеспечения деятельности органов государственной власти Мурманской области, лиц, замещающих государственные должности Мурманской области, обеспечение которых возложено на Аппарат Правительства Мурманской области</t>
  </si>
  <si>
    <t>3410600000</t>
  </si>
  <si>
    <t>3410600010</t>
  </si>
  <si>
    <t>3410600030</t>
  </si>
  <si>
    <t>3410600050</t>
  </si>
  <si>
    <t>3410610610</t>
  </si>
  <si>
    <t>3410610620</t>
  </si>
  <si>
    <t>3410613030</t>
  </si>
  <si>
    <t>3410613040</t>
  </si>
  <si>
    <t>3410613060</t>
  </si>
  <si>
    <t>3410613070</t>
  </si>
  <si>
    <t>3410620080</t>
  </si>
  <si>
    <t>3410620100</t>
  </si>
  <si>
    <t>3410629990</t>
  </si>
  <si>
    <t>Основное мероприятие 7. Создание условий для привлечения в сферы государственного и муниципального управления перспективных и талантливых управленцев</t>
  </si>
  <si>
    <t>3410700000</t>
  </si>
  <si>
    <t>Субсидия автономной некоммерческой организации "Проектный офис "Арктический элемент" на организацию и проведение мероприятий, направленных на развитие кадрового потенциала</t>
  </si>
  <si>
    <t>3410762490</t>
  </si>
  <si>
    <t>Основное мероприятие 9. Реализация инициативных проектов граждан в муниципальных образованиях Мурманской области</t>
  </si>
  <si>
    <t>3410900000</t>
  </si>
  <si>
    <t>Субсидии на реализацию инициативных проектов в муниципальных образованиях Мурманской области</t>
  </si>
  <si>
    <t>3410970950</t>
  </si>
  <si>
    <t>Основное мероприятие 10. Создание условий для обеспечения антитеррористической защищенности и обновление систем безопасности административных зданий, помещений, закрепленных за ГОБУ "Управление по обеспечению деятельности Правительства Мурманской области" на праве оперативного управления, по договорам гражданско-правового характер</t>
  </si>
  <si>
    <t>3411000000</t>
  </si>
  <si>
    <t>3411000050</t>
  </si>
  <si>
    <t>3420000000</t>
  </si>
  <si>
    <t>Основное мероприятие 1. Совершенствование учета государственного имущества Мурманской области, учета договоров и неналоговых доходов</t>
  </si>
  <si>
    <t>3420100000</t>
  </si>
  <si>
    <t>3420120100</t>
  </si>
  <si>
    <t>Основное мероприятие 2. Обеспечение внесения сведений в Единый государственный реестр недвижимости</t>
  </si>
  <si>
    <t>3420200000</t>
  </si>
  <si>
    <t>3420200050</t>
  </si>
  <si>
    <t>3420220100</t>
  </si>
  <si>
    <t>3420229990</t>
  </si>
  <si>
    <t>Субсидия бюджетам муниципальных образований для проведения комплексных кадастровых работ на территории Мурманской области</t>
  </si>
  <si>
    <t>3420270650</t>
  </si>
  <si>
    <t>Основное мероприятие 3. Обеспечение реализации государственных функций и выполнения государственных работ в сфере управления государственным имуществом Мурманской области и земельными участками, собственность на которые не разграничена</t>
  </si>
  <si>
    <t>3420300000</t>
  </si>
  <si>
    <t>3420300010</t>
  </si>
  <si>
    <t>3420300030</t>
  </si>
  <si>
    <t>3420300050</t>
  </si>
  <si>
    <t>3420313060</t>
  </si>
  <si>
    <t>3420320080</t>
  </si>
  <si>
    <t>3420329990</t>
  </si>
  <si>
    <t>Подпрограмма 3. "Укрепление единства российской нации, развитие гражданского общества и сохранение этнокультурного многообразия в Мурманской области"</t>
  </si>
  <si>
    <t>3430000000</t>
  </si>
  <si>
    <t>3430100000</t>
  </si>
  <si>
    <t>3430100050</t>
  </si>
  <si>
    <t>3430113060</t>
  </si>
  <si>
    <t>Субсидии общинам коренных малочисленных народов Севера Мурманской области</t>
  </si>
  <si>
    <t>3430165130</t>
  </si>
  <si>
    <t>Гранты в форме субсидий на поддержку мастеров декоративно-прикладного искусства из числа коренных малочисленных народов Севера Мурманской области – саамов</t>
  </si>
  <si>
    <t>3430165190</t>
  </si>
  <si>
    <t>Единая субсидия на достижение показателей государственной программы Российской Федерации "Реализация государственной национальной политики"</t>
  </si>
  <si>
    <t>34301R5180</t>
  </si>
  <si>
    <t>Основное мероприятие 2. Создание условий для укрепления общероссийского гражданского единства, гражданского самосознания, гармонизации межнациональных (межэтнических) отношений в Мурманской области</t>
  </si>
  <si>
    <t>3430200000</t>
  </si>
  <si>
    <t>3430200050</t>
  </si>
  <si>
    <t>3430213060</t>
  </si>
  <si>
    <t>Комплекс мероприятий по увековечению памяти погибших при защите Отечества</t>
  </si>
  <si>
    <t>3430222340</t>
  </si>
  <si>
    <t>3430229990</t>
  </si>
  <si>
    <t>Субсидии некоммерческим организациям Мурманской области, осуществляющим поисковую деятельность в Мурманской области</t>
  </si>
  <si>
    <t>3430264100</t>
  </si>
  <si>
    <t>Гранты в форме субсидий из областного бюджета общественным объединениям, религиозным организациям, общинам коренных малочисленных народов Севера – саамов, казачьих обществ, зарегистрированных на территории Мурманской области</t>
  </si>
  <si>
    <t>3430265140</t>
  </si>
  <si>
    <t>Гранты в форме субсидии некоммерческим организациям на развитие гражданского общества (за счет средств Фонда президентских грантов)</t>
  </si>
  <si>
    <t>3430267460</t>
  </si>
  <si>
    <t>Субсидии бюджетам муниципальных образований на реализацию мероприятий, направленных на укрепление гражданского единства, межнационального согласия и этнокультурное развитие народов России на территории Мурманской области</t>
  </si>
  <si>
    <t>3430273140</t>
  </si>
  <si>
    <t>Реализация федеральной целевой программы "Увековечение памяти погибших при защите Отечества на 2019 – 2024 годы"</t>
  </si>
  <si>
    <t>34302R2990</t>
  </si>
  <si>
    <t>34302R5180</t>
  </si>
  <si>
    <t>Основное мероприятие 3. Осуществление комплекса мер, направленных на поддержку молодежных инициатив</t>
  </si>
  <si>
    <t>3430300000</t>
  </si>
  <si>
    <t>3430300050</t>
  </si>
  <si>
    <t>3430310770</t>
  </si>
  <si>
    <t>Выплата специальных стипендий Губернатора Мурманской области</t>
  </si>
  <si>
    <t>3430310890</t>
  </si>
  <si>
    <t>3430313060</t>
  </si>
  <si>
    <t>3430329990</t>
  </si>
  <si>
    <t>Субсидия автономной некоммерческой организации по развитию конгрессно-выставочной, ярмарочной и информационной деятельности "Мурманконгресс" на реализацию мероприятий, посвященных празднованию Дня молодежи России</t>
  </si>
  <si>
    <t>3430362080</t>
  </si>
  <si>
    <t>Гранты в форме субсидий по итогам проведения конкурса молодежных проектов</t>
  </si>
  <si>
    <t>3430365160</t>
  </si>
  <si>
    <t>Субсидии бюджетам муниципальных образований на мероприятия по развитию инфраструктуры молодежных пространств</t>
  </si>
  <si>
    <t>3430371260</t>
  </si>
  <si>
    <t>Субсидии бюджетам муниципальных образований на реализацию мероприятий по созданию условий для функционирования Комнат и Домов Всероссийского военно-патриотического общественного движения "ЮНАРМИЯ"</t>
  </si>
  <si>
    <t>3430371330</t>
  </si>
  <si>
    <t>Иные межбюджетные трансферты из областного бюджета бюджетам муниципальных образований Мурманской области в целях возмещения расходов на реализацию мероприятий по поддержке КВН-движения Мурманской области</t>
  </si>
  <si>
    <t>3430377390</t>
  </si>
  <si>
    <t>3430400000</t>
  </si>
  <si>
    <t>3430400010</t>
  </si>
  <si>
    <t>3430400030</t>
  </si>
  <si>
    <t>3430413060</t>
  </si>
  <si>
    <t>3430420080</t>
  </si>
  <si>
    <t>Основное мероприятие 5. Обеспечение реализации государственных функций в сферах молодежной политики и добровольчества (волонтерства)</t>
  </si>
  <si>
    <t>3430500000</t>
  </si>
  <si>
    <t>3430500010</t>
  </si>
  <si>
    <t>3430500030</t>
  </si>
  <si>
    <t>3430513060</t>
  </si>
  <si>
    <t>Основное мероприятие 6. Осуществление государственной поддержки казачьих обществ, внесенных в государственный реестр казачьих обществ в Российской Федерации</t>
  </si>
  <si>
    <t>3430600000</t>
  </si>
  <si>
    <t>Субсидии казачьим обществам, осуществляющим деятельность на территории Мурманской области, включенным в реестр казачьих обществ Российской Федерации, на оплату расходов, связанных с привлечением казаков к мероприятиям по охране общественного порядка</t>
  </si>
  <si>
    <t>3430665150</t>
  </si>
  <si>
    <t>Субсидии казачьим обществам, осуществляющим деятельность на территории Мурманской области, внесенным в государственный реестр казачьих обществ в Российской Федерации</t>
  </si>
  <si>
    <t>3430665180</t>
  </si>
  <si>
    <t>343E800000</t>
  </si>
  <si>
    <t>343E829990</t>
  </si>
  <si>
    <t>Региональный проект "Развитие системы поддержки молодежи ("Молодежь России")"</t>
  </si>
  <si>
    <t>343EГ00000</t>
  </si>
  <si>
    <t>343EГ29990</t>
  </si>
  <si>
    <t>Реализация программы комплексного развития молодежной политики в регионах Российской Федерации "Регион для молодых"</t>
  </si>
  <si>
    <t>343EГ51160</t>
  </si>
  <si>
    <t>Подпрограмма 4. "Развитие института мировой юстиции в Мурманской области"</t>
  </si>
  <si>
    <t>3440000000</t>
  </si>
  <si>
    <t>3440100000</t>
  </si>
  <si>
    <t>3440120080</t>
  </si>
  <si>
    <t>3440200000</t>
  </si>
  <si>
    <t>3440200010</t>
  </si>
  <si>
    <t>3440200050</t>
  </si>
  <si>
    <t>3440213060</t>
  </si>
  <si>
    <t>3440213070</t>
  </si>
  <si>
    <t>3440229990</t>
  </si>
  <si>
    <t>Подпрограмма 5. "Создание условий для позиционирования Мурманской области как ключевой территории опережающего развития в Арктической зоне Российской Федерации и повышения информационной открытости исполнительных органов Мурманской области"</t>
  </si>
  <si>
    <t>3450000000</t>
  </si>
  <si>
    <t>Основное мероприятие 1. Обеспечение реализации приоритетных мероприятий, проводимых в рамках Концепции позиционирования Мурманской области как ключевой территории опережающего развития в Арктической зоне Российской Федерации</t>
  </si>
  <si>
    <t>3450100000</t>
  </si>
  <si>
    <t>Субсидия на финансовое обеспечение деятельности автономной некоммерческой организации по развитию конгрессно-выставочной, ярмарочной и информационной деятельности "Мурманконгресс"</t>
  </si>
  <si>
    <t>3450162110</t>
  </si>
  <si>
    <t>Субсидия автономной некоммерческой организации по развитию конгрессно-выставочной, ярмарочной и информационной деятельности "Мурманконгресс" на финансовое обеспечение затрат по информационному сопровождению проведения отдельных конгрессных, выставочных и презентационных (имиджевых) мероприятий в сфере информационного продвижения Мурманской области</t>
  </si>
  <si>
    <t>3450162120</t>
  </si>
  <si>
    <t>Основное мероприятие 2. Создание условий для получения населением актуальной, достоверной информации о деятельности органов государственной власти Мурманской области</t>
  </si>
  <si>
    <t>3450200000</t>
  </si>
  <si>
    <t>3450200050</t>
  </si>
  <si>
    <t>3450229990</t>
  </si>
  <si>
    <t>Организация и проведение ежегодных творческих конкурсов среди журналистов и средств массовой информации Мурманской области</t>
  </si>
  <si>
    <t>3450265170</t>
  </si>
  <si>
    <t>Закупка работ (услуг) по информационному освещению деятельности органов государственной власти Мурманской области и поддержку средств массовой информации</t>
  </si>
  <si>
    <t>3450298700</t>
  </si>
  <si>
    <t>3450298750</t>
  </si>
  <si>
    <t>3450298760</t>
  </si>
  <si>
    <t>Основное мероприятие 3. Обеспечение реализации государственных функций в сферах формирования и реализации государственной информационной политики в части повышения открытости исполнительных органов Мурманской области, информационного и информационно-аналитического обеспечения деятельности Губернатора Мурманской области и Правительства Мурманской области, взаимодействия со средствами массовой информации и интернет-ресурсами</t>
  </si>
  <si>
    <t>3450300000</t>
  </si>
  <si>
    <t>3450300010</t>
  </si>
  <si>
    <t>3450300030</t>
  </si>
  <si>
    <t>3450313060</t>
  </si>
  <si>
    <t>Государственная программа "Транспортная система"</t>
  </si>
  <si>
    <t>3500000000</t>
  </si>
  <si>
    <t>3510000000</t>
  </si>
  <si>
    <t>3510100000</t>
  </si>
  <si>
    <t>3510149070</t>
  </si>
  <si>
    <t>Реализация инфраструктурного проекта "Реконструкция автомобильной дороги общего пользования регионального значения Апатиты – Кировск, км 2 + 688 - км 14 + 314"</t>
  </si>
  <si>
    <t>3510198050</t>
  </si>
  <si>
    <t>3510200000</t>
  </si>
  <si>
    <t>3510249070</t>
  </si>
  <si>
    <t>Финансирование дорожной деятельности в отношении автомобильных дорог общего пользования регионального или межмуниципального, местного значения</t>
  </si>
  <si>
    <t>35102R7840</t>
  </si>
  <si>
    <t>3510300000</t>
  </si>
  <si>
    <t>3510349070</t>
  </si>
  <si>
    <t>3510400000</t>
  </si>
  <si>
    <t>Субсидии на финансовое обеспечение дорожной деятельности в отношении автомобильных дорог местного значения и искусственных дорожных сооружений на них за счет средств дорожного фонда</t>
  </si>
  <si>
    <t>3510449100</t>
  </si>
  <si>
    <t>Субсидии на финансовое обеспечение дорожной деятельности в отношении автомобильных дорог местного значения (на конкурсной основе) за счет средств дорожного фонда</t>
  </si>
  <si>
    <t>3510449140</t>
  </si>
  <si>
    <t>Субсидии бюджетам муниципальных образований на разработку проектной документации по строительству, реконструкции и капитальному ремонту автомобильных дорог местного значения и искусственных дорожных сооружений на них (на конкурсной основе) за счет средств дорожного фонда</t>
  </si>
  <si>
    <t>3510449170</t>
  </si>
  <si>
    <t>Субсидии бюджетам муниципальных образований на строительство, реконструкцию, ремонт и капитальный ремонт мостов и путепроводов, расположенных на автомобильных дорогах общего пользования местного значения (на конкурсной основе), за счет средств дорожного фонда</t>
  </si>
  <si>
    <t>3510449210</t>
  </si>
  <si>
    <t>Иные межбюджетные трансферты бюджетам муниципальных образований на приведение в нормативное состояние сети автомобильных дорог общего пользования местного значения (на конкурсной основе) за счет средств дорожного фонда</t>
  </si>
  <si>
    <t>3510449220</t>
  </si>
  <si>
    <t>Основное мероприятие 7. Транспортная безопасность</t>
  </si>
  <si>
    <t>3510700000</t>
  </si>
  <si>
    <t>3510749070</t>
  </si>
  <si>
    <t>Основное мероприятие 8. Снос объектов капитального строительства</t>
  </si>
  <si>
    <t>3510800000</t>
  </si>
  <si>
    <t>3510849070</t>
  </si>
  <si>
    <t>351R100000</t>
  </si>
  <si>
    <t>Иные межбюджетные трансферты бюджетам муниципальных образований на финансовое обеспечение дорожной деятельности в рамках реализации национального проекта "Безопасные качественные дороги" за счет средств дорожного фонда</t>
  </si>
  <si>
    <t>351R149160</t>
  </si>
  <si>
    <t>Приведение в нормативное состояние автомобильных дорог и искусственных дорожных сооружений</t>
  </si>
  <si>
    <t>351R153940</t>
  </si>
  <si>
    <t>351R1М3940</t>
  </si>
  <si>
    <t>351R200000</t>
  </si>
  <si>
    <t>Увеличение количества камер фотовидеофиксации нарушений правил дорожного движения в целях установки на автомобильных дорогах федерального, регионального или межмуниципального, местного значения</t>
  </si>
  <si>
    <t>351R249090</t>
  </si>
  <si>
    <t>Выполнение работ в рамках контрактов жизненного цикла</t>
  </si>
  <si>
    <t>351R249200</t>
  </si>
  <si>
    <t>3520000000</t>
  </si>
  <si>
    <t>3520100000</t>
  </si>
  <si>
    <t>Возмещение недополученных доходов акционерному обществу "Северо-Западная пригородная пассажирская компания" в связи с организацией пассажирских перевозок железнодорожным транспортом общего пользования в пригородном сообщении на территории Мурманской области</t>
  </si>
  <si>
    <t>3520160530</t>
  </si>
  <si>
    <t>Возмещение недополученных доходов акционерному обществу "Северо-Западная пригородная пассажирская компания", возникающих в связи с предоставлением отдельным категориям граждан права льготного проезда на железнодорожном транспорте общего пользования в пригородном сообщении на территории Мурманской области</t>
  </si>
  <si>
    <t>3520163710</t>
  </si>
  <si>
    <t>Возмещение недополученных доходов акционерному обществу "Северо-Западная пригородная пассажирская компания", возникающих в результате предоставления обучающимся очной формы обучения общеобразовательных организаций, профессиональных образовательных организаций, образовательных организаций высшего образования права льготного проезда на железнодорожном транспорте общего пользования в пригородном сообщении</t>
  </si>
  <si>
    <t>3520163720</t>
  </si>
  <si>
    <t>3520200000</t>
  </si>
  <si>
    <t>3520229990</t>
  </si>
  <si>
    <t>352022999U</t>
  </si>
  <si>
    <t>Финансовое обеспечение затрат (части затрат), связанных с приобретением (обновлением) подвижного состава для осуществления на территории Мурманской области регулярных перевозок пассажиров и багажа автомобильным транспортом и городским наземным электрическим транспортом по маршрутам регулярных перевозок по регулируемым тарифам</t>
  </si>
  <si>
    <t>3520260110</t>
  </si>
  <si>
    <t>Возмещение недополученных доходов перевозчикам в связи с предоставлением права льготного проезда на автомобильном транспорте и городском наземном электрическом транспорте общего пользования (кроме такси) обучающимся очной формы обучения общеобразовательных организаций, профессиональных образовательных организаций, образовательных организаций высшего образования</t>
  </si>
  <si>
    <t>3520263700</t>
  </si>
  <si>
    <t>Возмещение недополученных доходов перевозчикам в связи с предоставлением права льготного проезда на автомобильном транспорте и городском наземном электрическом транспорте общего пользования (кроме такси) отдельным категориям граждан по единому социальному проездному билету на территории Мурманской области</t>
  </si>
  <si>
    <t>3520263730</t>
  </si>
  <si>
    <t>Основное мероприятие 3. Транспортное обеспечение жителей труднодоступных населенных пунктов Мурманской области</t>
  </si>
  <si>
    <t>3520300000</t>
  </si>
  <si>
    <t>Возмещение недополученных доходов в связи с организацией перевозок пассажиров, грузов и багажа на межмуниципальных маршрутах до ЗАТО г. Островной</t>
  </si>
  <si>
    <t>3520360540</t>
  </si>
  <si>
    <t>Субсидии бюджетам муниципальных образований на государственную финансовую поддержку доставки товаров в населенные пункты Мурманской области с ограниченными сроками завоза грузов</t>
  </si>
  <si>
    <t>3520370900</t>
  </si>
  <si>
    <t>3520370910</t>
  </si>
  <si>
    <t>3520400000</t>
  </si>
  <si>
    <t>Субсидии организациям воздушного транспорта на осуществление региональных воздушных перевозок пассажиров</t>
  </si>
  <si>
    <t>3520461700</t>
  </si>
  <si>
    <t>Субсидии организациям воздушного транспорта на осуществление региональных воздушных перевозок пассажиров (за счет средств резервного фонда Правительства Мурманской области)</t>
  </si>
  <si>
    <t>352046170U</t>
  </si>
  <si>
    <t>3530000000</t>
  </si>
  <si>
    <t>Основное мероприятие 1. Развитие системы предупреждения опасного поведения участников дорожного движения</t>
  </si>
  <si>
    <t>3530100000</t>
  </si>
  <si>
    <t>3530149070</t>
  </si>
  <si>
    <t>3530149120</t>
  </si>
  <si>
    <t>Основное мероприятие 2. Развитие системы оказания помощи пострадавшим в дорожно-транспортных происшествиях</t>
  </si>
  <si>
    <t>3530200000</t>
  </si>
  <si>
    <t>3530200050</t>
  </si>
  <si>
    <t>353R300000</t>
  </si>
  <si>
    <t>353R300180</t>
  </si>
  <si>
    <t>3540000000</t>
  </si>
  <si>
    <t>3540100000</t>
  </si>
  <si>
    <t>3540100010</t>
  </si>
  <si>
    <t>3540100030</t>
  </si>
  <si>
    <t>3540113060</t>
  </si>
  <si>
    <t>3540120080</t>
  </si>
  <si>
    <t>3540120100</t>
  </si>
  <si>
    <t>3540129990</t>
  </si>
  <si>
    <t>354012999U</t>
  </si>
  <si>
    <t>3540200000</t>
  </si>
  <si>
    <t>3540200050</t>
  </si>
  <si>
    <t>3540249050</t>
  </si>
  <si>
    <t>3540249060</t>
  </si>
  <si>
    <t>Компенсация фактически понесенных расходов на оплату проезда и провоза багажа при переезде осуществлялась всем сотрудникам, заявившимся на получение указанной компенсации</t>
  </si>
  <si>
    <t xml:space="preserve">одведомственные учреждения Минспорту МО: "МОСШОР" по зимним видам спорта", ГАУМО "Кировская СОШ", ГАУМО "МОСШОР", ГАУМО "ЦСП", ГАУМО "Мончегорская СШОР", ГОБУ "МОСШ", ГОКУ "Кандалакшская школа по санному спорту", ГАУМО "Комплексная СШОР"  </t>
  </si>
  <si>
    <t>В отчетном периоде установлено 2 площадки в ЗАТО ВИДЯЕВО и СЕВЕРОМОРСК</t>
  </si>
  <si>
    <t>Будут возвращены в бюджет</t>
  </si>
  <si>
    <t>Проектная документация проходит проверку гос.экспертизы. Работы по контракту с ГЭ не завершены, соответственно не оплачены</t>
  </si>
  <si>
    <t xml:space="preserve">Административно-спортивный комплекс специализированной детско-юношеской спортивной школы олимпийского резерва по горнолыжному спорту в г. Кировске
</t>
  </si>
  <si>
    <t>Минстрой МО, ГОКУ "УКС"</t>
  </si>
  <si>
    <t>общая площадь 3588,90 кв. м, пропускная способность - 70 чел./см</t>
  </si>
  <si>
    <t>2014
(разработка ПСД, экспертиза),
2018 - 2020
(строительство)</t>
  </si>
  <si>
    <t xml:space="preserve">500 275,8
</t>
  </si>
  <si>
    <t>Техническая готовность объекта - 100%. Неосвоение средств в полном объеме связано  невозможностью окончательной приемки и оплаты выполненных работ по причине того, что сметная документация  проходит проверку достоверности сметной стоимости.</t>
  </si>
  <si>
    <t xml:space="preserve">Минстрой МО, администрация муниципального образования Ловозерский муниципальный район МО
</t>
  </si>
  <si>
    <t xml:space="preserve">2022 - разработка ПСД
</t>
  </si>
  <si>
    <t xml:space="preserve">6 133,3
(стоимость будет определена после разработки ПСД)
</t>
  </si>
  <si>
    <t>Не получено положительное заключение государственной экспертизы. Длительность разработки проектной документации обусловлена непредоставлением исходных данных для проектирования, а именно  геологических извысканий.</t>
  </si>
  <si>
    <t>ПСД разработана</t>
  </si>
  <si>
    <t>3163.3</t>
  </si>
  <si>
    <t>Кассовый расход реализации мероприятия запланирован на 4 квартал 2023 года</t>
  </si>
  <si>
    <t>Сведения о ходе реализации мероприятий государственной программы за 2023 года</t>
  </si>
  <si>
    <t>Государственная программа, подпрограмма, показатель</t>
  </si>
  <si>
    <t>Ед. изм.</t>
  </si>
  <si>
    <t>Направленность</t>
  </si>
  <si>
    <t>Значение показателя</t>
  </si>
  <si>
    <t>Степень достижения показателя (ДП)*</t>
  </si>
  <si>
    <t>Динамика значения показателя по сравнению с предшествующим годом (Дин)*</t>
  </si>
  <si>
    <t>Причины отклонения от плана и (или) отсутствия положительной динамики</t>
  </si>
  <si>
    <t>Предлагаемые меры по улучшению значений показателя</t>
  </si>
  <si>
    <t>Соисполнитель, ответственный за выполнение показателя</t>
  </si>
  <si>
    <t>Степень достижения показателя для расчета К1**</t>
  </si>
  <si>
    <t>Динамика значения показателя для расчета К2**</t>
  </si>
  <si>
    <t>2022 год</t>
  </si>
  <si>
    <t>Факт</t>
  </si>
  <si>
    <t>План</t>
  </si>
  <si>
    <t>Государственная программа «Развитие физической культуры и спорта в Мурманской области»</t>
  </si>
  <si>
    <t>0.1</t>
  </si>
  <si>
    <t>Доля населения, систематически занимающегося физической культурой и спортом, в общей численности населения</t>
  </si>
  <si>
    <t>%</t>
  </si>
  <si>
    <t>Ввод в эксплуатацию новых спортивных сооружений</t>
  </si>
  <si>
    <t>0.2</t>
  </si>
  <si>
    <t xml:space="preserve">Количество спортивных сооружений </t>
  </si>
  <si>
    <t>ед. на 100 тыс. населения</t>
  </si>
  <si>
    <t>Подпрограмма 1 «Развитие массового спорта, реализация мероприятий по информированию граждан»</t>
  </si>
  <si>
    <t>Повышение физической активности населения региона</t>
  </si>
  <si>
    <t>Подпрограмма 2 «Подготовка спортивного резерва»</t>
  </si>
  <si>
    <t>Численность спортсменов МО, включенных в список кандидатов в спортивные сборные команды Российской Федерации</t>
  </si>
  <si>
    <t>чел.</t>
  </si>
  <si>
    <t>Данный показатель зависит от результативности спортсменов и выполнения ими критериев для включения в сборные команды страны</t>
  </si>
  <si>
    <t>В 2022 году в среднем в 5 раз увеличина единовременное денежное вознаграждение за высокие спортивные результаты спортсменов и их тренеров</t>
  </si>
  <si>
    <t>Доля организаций, оказывающих услуги по спортивной подготовке в соответствии с федеральными стандартами спортивной подготовки, в общем количестве организаций в сфере физической культуры и спорта, в том числе для лиц с ограниченными возможностями здоровья и инвалидов</t>
  </si>
  <si>
    <t>=</t>
  </si>
  <si>
    <t>Доля граждан в возрасте 6-15 лет, занимающихся в спортивных организациях, в общей численности детей и молодежи в возрасте 6-15 лет</t>
  </si>
  <si>
    <t>Доля спортсменов-разрядников в общем количестве лиц, занимающихся в системе спортивных школ олимпийского резерва</t>
  </si>
  <si>
    <t>Подпрограмма 3 «Развитие спортивной инфраструктуры»</t>
  </si>
  <si>
    <t>Единовременная пропускная способность объектов спорта (к всероссийскому нормативу)</t>
  </si>
  <si>
    <t>Количество спортивных сооружений, в которых осуществлен капитальный и текущий  ремонт</t>
  </si>
  <si>
    <t>ед.</t>
  </si>
  <si>
    <t>Эффективность использования существующих объектов спорта</t>
  </si>
  <si>
    <t>Единовременная пропускная способность объектов спорта, введенных в эксплуатацию в рамках Программы</t>
  </si>
  <si>
    <t>*Состав подпрограмм и показателей государственной программы, единицы измерения, направленность, плановые значения показателей и соисполнители, ответственные за их выполнение, указываются в соответствии с редакцией государственной программы, действующей по состоянию на конец отчетного периода.</t>
  </si>
  <si>
    <t>**Степень достижения показателя (ДП) и динамика значения показателя (Дин) определяются в соответствии с пунктами 2 и 4 приложения № 1 к Порядку.</t>
  </si>
  <si>
    <t>***В случае отсутствия официальных фактических данных за отчетный период дополнительно в данной графе указываются слова «Предварительные данные» или «Оценка», указывается способ определения оценочного значения показателя и ожидаемый срок получения фактических значений.</t>
  </si>
  <si>
    <t>****Степень достижения показателя для расчета К1 и Динамика значения показателя для расчета К2 определяются и указываются для каждого показателя в отдельности с учетом условий, указанных соответственно в пунктах 3 и 5 приложения № 1 к Порядку. Критерии К1 и К2 для государственной программы в целом рассчитываются с учетом всех показателей программы и подпрограмм.</t>
  </si>
  <si>
    <t>Перечень механизмов финансовой поддержки и иных мер государственного регулирования в сфере реализации государственной программы</t>
  </si>
  <si>
    <t>Вид документа</t>
  </si>
  <si>
    <t>Группа и наименование вида поддержки, меры регулирования</t>
  </si>
  <si>
    <t>Цель предоставления (применения)</t>
  </si>
  <si>
    <t xml:space="preserve">Нормативный акт &lt;*&gt;
</t>
  </si>
  <si>
    <t>Связь с показателями ГП</t>
  </si>
  <si>
    <t xml:space="preserve">Информация о реализации
</t>
  </si>
  <si>
    <t>Подпрограмма 4 "Обеспечение реализации государственной программы" **</t>
  </si>
  <si>
    <t>Приняты</t>
  </si>
  <si>
    <t>&lt;*&gt; В случае если соответствующие правила или порядок включены в состав государственной программы, указывается номер приложения к государственной программе.</t>
  </si>
  <si>
    <t>&lt;**&gt; В случае если мера государственного регулирования влияет на достижение целей нескольких подпрограмм или государственной программы в целом, то она отражается в подпрограмме, направленной на обеспечение реализации государственной программы (управление государственной программой).</t>
  </si>
  <si>
    <t>К2 (динамика значений показателей по сравнению с 2020 годом)</t>
  </si>
  <si>
    <t>Государственная программа «Развитие физической культуры и спорта»</t>
  </si>
  <si>
    <t>Подпрограмма 2 «Подготовка спортивного резерва, реализация спортивного плана  официальныз спортивных меропиятий и спорт.мероприятий Мурманской области»</t>
  </si>
  <si>
    <t xml:space="preserve">Исполнение бюджета Министерства по состоянию на "31" декабря 2023 года </t>
  </si>
  <si>
    <t>на 31.12.2023</t>
  </si>
  <si>
    <t xml:space="preserve">областной бюджет, в т.ч. </t>
  </si>
  <si>
    <t>ГАУМО "Кандалакшская школа по санному спорту"</t>
  </si>
  <si>
    <t xml:space="preserve">О внесении изменений в государственную программу Мурманской области " Физическая культур и спорт":
 от 02.07.2023 № 89-ПП,
 от 10.03.2023 № 186-ПП, 
от 24.03.2023 № 223-ПП, 
от 27.05.2023 № 399-ПП,
от 29.06.2023 № 475-ПП,
от 07.07.2023 № 504-ПП,
от 13.09.2023 № 668-ПП,
от 20.10.2023 № 750-ПП,
от 23.11.2023 № 877-ПП,
от 01.12.2023 № 901-ПП,
от 12.12.2023 № 962-ПП
</t>
  </si>
  <si>
    <t>Обучено плаванию 734 чел.</t>
  </si>
  <si>
    <t>Закуплена и установлена малая площадка ГТО в с. Варзуга Терского района</t>
  </si>
  <si>
    <t xml:space="preserve">Предоставлены услуги 6307 человекам в 15 плавательных бассейнах Мурманской области </t>
  </si>
  <si>
    <t>Мероприятие выполнено в полном объеме</t>
  </si>
  <si>
    <t xml:space="preserve">РЕГПРОЕКТ Минстрой МО </t>
  </si>
  <si>
    <t>кроме того, федеральный бюджет</t>
  </si>
  <si>
    <t>кроме того, внебюджетные средства</t>
  </si>
  <si>
    <t>кроме того, муниципальный бюджет</t>
  </si>
  <si>
    <t xml:space="preserve">За 2023 года проведены мероприятия:
 Физкультурное мероприятие «Герои Севера» 28/01/2023
Официальное физкультурное мероприятие «Гонка Героев» 25/03/2023
Физкультурное мероприятие «Герои Севера – Заполярный рубеж» 20/08/2023
</t>
  </si>
  <si>
    <t>за период с 01.01.2023 по 31.12.2023</t>
  </si>
  <si>
    <t>2420100006</t>
  </si>
  <si>
    <t>2430200050</t>
  </si>
  <si>
    <t>2430200003</t>
  </si>
  <si>
    <t xml:space="preserve">в т.ч. </t>
  </si>
  <si>
    <t>Поощрение в рамках церемрнии награждения спортсменов, тренеров, ветеранов споьрта и физкультурного актива Мурманской области</t>
  </si>
  <si>
    <t>Ежегодное поощрение в рамках церемрнии награждения спортсменов, тренеров, ветеранов споьрта и физкультурного актива Мурманской области не менее 3 человек</t>
  </si>
  <si>
    <t>ОМ 3.1.</t>
  </si>
  <si>
    <t>ОМ 3.2.</t>
  </si>
  <si>
    <t>Строительство объекта "Лыжная база в городе Полярные Зори Мурманской области"</t>
  </si>
  <si>
    <t>2021 -2023  - строительство объекта «Лыжная база в г. Полярные Зори с подведомственной территорией Мурманской области».</t>
  </si>
  <si>
    <t>Запланированные на 2023 год текущие и капитальные ремонтные работы в подведомственных учреждениях выполнены</t>
  </si>
  <si>
    <t>Возмещение затрат в отчетном периоде прооизведены в полном объеме</t>
  </si>
  <si>
    <t>Информация о ходе работ на объектах капитального строительства за 2023 года</t>
  </si>
  <si>
    <t>За 2023 года, тыс. рублей</t>
  </si>
  <si>
    <t>Имеет заявительный принцип</t>
  </si>
  <si>
    <t>2023 год</t>
  </si>
  <si>
    <t>Доля граждан в возрасте 3-29 лет, систематически занимающихся физической культурой и спортом, в общей численности граждан данной возрастной категории</t>
  </si>
  <si>
    <t>Доля граждан в возрасте от 55 лет (женщины) и от 60 лет (мужчины) до 79 лет включительно, систематически занимающихся физической культурой и спортом, в общей численности граждан данной возрастной категории</t>
  </si>
  <si>
    <t>Доля граждан трудоспособного возраста, систематически занимающихся физической культурой и спортом</t>
  </si>
  <si>
    <t>Доля лиц с ограниченными возможностями здоровья и инвалидов, систематически занимающихся физической культурой и спортом, в общей численности указанной категории населения, не имеющего противопоказаний для занятий физической культурой и спортом</t>
  </si>
  <si>
    <t>1.5.</t>
  </si>
  <si>
    <t>1.6.</t>
  </si>
  <si>
    <t xml:space="preserve">Доля сельского населения, систематически занимающегося физической культурой и спортом
</t>
  </si>
  <si>
    <t>Оценка эффективности реализации государственной программы «Развитие физической культуры и спорта» в 2023 году</t>
  </si>
  <si>
    <t>2023 - приобретение и установка спортивных площадок в ЗАТО Видяево и Североморске</t>
  </si>
  <si>
    <t>Сведения о достижении значений показателей государственной программы в 2023 году</t>
  </si>
  <si>
    <t>Расходы связанные с организацией церемонии награждения спортсменов, тренеров, которая состялась в ЦИТ 18.05.2023. В мероприятии приняли учатие 143 человека</t>
  </si>
  <si>
    <t xml:space="preserve">Техническая готовность - 2%. Завершены работы по испытанию свай. Продолжаются работы по забивке свай. (выполнено 70%, всего свай 1025шт. С 15.03.2024  начаты работы по устройству подбетонки под ростверки. С 18.03.2024 начаты работы по устройству каркаса здания. </t>
  </si>
  <si>
    <t>Получено разрешение на строительство. Подрядная организация планирует приступить к работам с 01.04.2024.</t>
  </si>
  <si>
    <t>Заключено концессионное соглашение. Проектная документация  передана концессионеру.Подготовка документов на конкурс.</t>
  </si>
  <si>
    <t>Работы завершены</t>
  </si>
  <si>
    <t xml:space="preserve">Проектная документация разработана. </t>
  </si>
  <si>
    <t xml:space="preserve">
Заключено концессионное соглашение. Проектная документация  передана концессионеру.Подготовка документов на конкурс.</t>
  </si>
  <si>
    <t xml:space="preserve">На территории региона проведены мероприятия среди различных категорий населения: Проведены следующие основные мероприятия:
- ВСЕРОССИЙСКИЙ СПОРТИВНЫЙ ФЕСТИВАЛЬ «СПОРТИВНАЯ СТУДЕНЧЕСКАЯ НОЧЬ»
- СПОРТИВНЫЙ СЕМЕЙНЫЙ ФЕСТИВАЛЬ «НА СЕВЕРЕ – СПОРТ!»
- XX СОРЕВНОВАНИЯ ПО ЛЁГКОЙ АТЛЕТИКЕ НА ПРИЗЫ ЗМС, СЕРЕБРЯНОГО ПРИЗЁРА XXVIII ОЛИМПИЙСКИХ ИГР Л.Н. КРУГЛОВОЙ
- ФЕСТИВАЛЬ ЗИМНИХ ДИСЦИПЛИН ПАРУСНОГО СПОРТА «ЭРИВЕЙВ»
- «БОДРОЕ ВОСКРЕСЕНЬЕ»  
- ПРЕДМАТЧЕВЫЕ ШОУ ДВОРОВОЙ ХОККЕЙНОЙ ЛИГИ
- ФЕСТИВАЛЬ МОЛОДЕЖНЫХ СУБКУЛЬТУР
- ВСЕРОССИЙСКИЙ ОЛИМПИЙСКИЙ ДЕНЬ
- ФИЗКУЛЬТУРНО-ОЗДОРОВИТЕЛЬНОЕ МЕРОПРИЯТИЕ «10 ТЫСЯЧ ШАГОВ К ЖИЗНИ» 
- ВСЕРОССИЙСКИЙ ФЕСТИВАЛЬ В ТЕРИБЕРКЕ «ТРЕЙЛ НА КРАЮ ВОЗМОЖНОСТЕЙ»
- ФИЗКУЛЬТУРНОЕ МЕРОПРИЯТИЕ ПО АРКТИЧЕСКОМУ ТРИАТЛОНУ «АРКТИК ЭПИК ТРИ 133 2023»
- ДЕНЬ ФИЗКУЛЬТУРНИКА
- ДЕНЬ РОССИЙСКОГО ФЛАГА
За отчетный период в мероприятиях приняли участие 19188 человек
</t>
  </si>
  <si>
    <t xml:space="preserve"> Субсидия распределяется между муниципальными образованиями для организации работы по открытию спортивных пространст для молодежи </t>
  </si>
  <si>
    <t>Подготовка спортивного резерва осуществлялась в соответствии с федеральными стандартами  спортивной подготовки и подготовки спортсменов -кандидатов в спортивные сборные команды России по видам спорта</t>
  </si>
  <si>
    <t>08 декабря состоялась церемония награждения спортсменов, тренеров, ветеранов спорта и физкультурного актива Мурманской области. В мероприятии приняли участие 120 человек</t>
  </si>
  <si>
    <t>В рамках международного праздника Севера и Праздника Севера учащихся проведено 41 мероприятие</t>
  </si>
  <si>
    <t>Проведен комплекс инженерных изысканий для получения необходимых и достаточных материалов. Проводились работы по подготовке проектной и рабочей документации по объекту «Манеж с полноразмерным футбольным полем»</t>
  </si>
  <si>
    <t>Субсидия бюджету муниципального образования г.  Кировска на оказание финансовой поддержки спортивным организациям, осуществляющим спортивную подготовку в соответствии с федеральными стандартами спортивной подготовки в рамках реализации соглашений между Правительством Мурманской области и градообразующими предприятиями предоставлена.</t>
  </si>
  <si>
    <t>2022 - 2023 капитальный ремонт искусственного покрытия футбольного поля с легкоатлетическими дорожками ЗАТО Александровск</t>
  </si>
  <si>
    <t>Возмещение затрат ГОУП «УСДЦ»  в части  содержания и эксплуатации государственного имущества в отчетном периоде осуществлялось на фактически произведенные расходы.</t>
  </si>
  <si>
    <t xml:space="preserve">Техническая готовность - 2%. Завершены работы по испытанию свай. Продолжаются работы по забивке свай. (выполнено 70%, всего свай 1025шт. С 15.03.2024  начаты работы по устройству подбетонки под ростверки. </t>
  </si>
  <si>
    <t>Контракт на приобретение в муниципальную собственность недвижимого имущества № 1/10-2023 от 18.10.2023 с ООО "Наяда" заключен</t>
  </si>
  <si>
    <t>Контракты на приобретение в муниципальную собственность недвижимого имущества № 2/10-2023 и № 3/10-2023 от 27.10.2023 с ИП Блинский В.Г. заключены</t>
  </si>
  <si>
    <t>Работы выполняются в два этапа:
- I этап – подготовка проектной документации.  Всего разделов 24, сняты замечания по 21 разделу, на проверке в экспертизе 2 раздела, на отработке у проектировщика 1 раздел.                                  
- II этап – выполнение строительно-монтажных работ,  срок завершения работ - 31.08.2024.
Выполнены:демонтажные работы (100% ). 
Техническая готовность 35%.</t>
  </si>
  <si>
    <t xml:space="preserve">2022-2023 - разработка ПСД
</t>
  </si>
  <si>
    <t>Техническая готовность - 38%. Выполнялись демонтажные работы АР, КР, инженерные сети ЭО, ВиК, ГВС, ХВС, ВРУ, устройство узлов учета ХВС и ГВС, системы воздуховодов, монтаж внутренних перегородок, штукатурка вновь возводимых перегородок, расчистка металлоконструкций (фермы, балки перекрытия), подготовка к нанесению огнезащитного материала  металлоконструкций, нанесение огнезащитного материала  на металлические конструкций, монтаж закладных деталей системы ЭОМ; ГВС и ХВС, монтаж металлического каркаса системы Knauf обшивки стен Ледовой арены. Закуплены строительные и отделочные материалы, сыпучих смесей,  лакокрасочных, металлопроката и металлоконструкций.</t>
  </si>
  <si>
    <t xml:space="preserve">2023 - 2033 строительство и эксплуатация
</t>
  </si>
  <si>
    <t>С 2023 года отчет 5-ФК предоставляют организации, реализующие дополнительные образовательные программы спортивной подготовки, разработанные на основе федеральных стандартов спортивной подготовки, их 25,а в 2022 году отчет предоставляли 40 школ</t>
  </si>
  <si>
    <t>С 2023 года отчет 5-ФК предоставляют организации, реализующие дополнительные образовательные программы спортивной подготовки, разработанные на основе федеральных стандартов спортивной подготовки, их 25, а в 2022 году отчет предоставляли 40 школ</t>
  </si>
  <si>
    <t xml:space="preserve"> Субсидия распределяется между муниципальными образованиями для организации физкультурно-спортивной работы </t>
  </si>
  <si>
    <t xml:space="preserve">2021 -2023  - строительство объекта «Лыжная база в г. Полярные Зори с подведомственной территорией Мурманской области». </t>
  </si>
  <si>
    <t>Приобретение и установка спортивных площадок:
2022 - с.п. Зеленоборский и г. Кола
2023 - ЗАТО Видяево и ЗАТО Североморск</t>
  </si>
  <si>
    <t xml:space="preserve">Реконструкция объекта в 2023 - 2024 гг. </t>
  </si>
  <si>
    <t>Увеличение количества школ реализующих дополнительные образовательные программы спортивной подготовки</t>
  </si>
  <si>
    <t xml:space="preserve">Доля граждан в возрасте от 30 до 54 года включительно (женщины) и до 59 лет включительно (мужчины), систематически занимающихся физической культурой и спортом, в общей численности граждан данной возрастной категории
</t>
  </si>
  <si>
    <t xml:space="preserve">Лыжная база в городе Полярные Зори Мурманской области </t>
  </si>
  <si>
    <t xml:space="preserve">Минстрой МО,
МАУ ДО «ДЮСШ» г. Полярные Зори
</t>
  </si>
  <si>
    <t xml:space="preserve">Площадь застройки - 560,9 кв. м.
Общая площадь - 498,0 кв. м.
Строительный объем - 2266,0 куб. м
</t>
  </si>
  <si>
    <t xml:space="preserve">2021 - строительство,
2023 - ввод объекта в эксплуатацию
</t>
  </si>
  <si>
    <t>Работы завершены в полном объеме</t>
  </si>
  <si>
    <t xml:space="preserve">Минстрой МО, администрация муниципального образования Кольский муниципальный район МО </t>
  </si>
  <si>
    <t>Общая площадь здания - 2510,9 кв.м</t>
  </si>
  <si>
    <t>2023-2025 приобретение</t>
  </si>
  <si>
    <t>Контракт на приобретение в муниципальную собственность недвижимого имущества № 1/10-2023 от 18.10.2023 с ООО "Наяда" заключен (оплата за 2023г -в полном объеме)</t>
  </si>
  <si>
    <t>Фитнес-центр «Престиж», расположенный в зданиях по адресам : Мурманская область, Кольский район, п.г.т. Мурмаши, ул. Мира, д.14, ул. Мира, д. 13</t>
  </si>
  <si>
    <t>Общая площадь зданий - 951,5 кв.м</t>
  </si>
  <si>
    <t>Контракты на приобретение в муниципальную собственность недвижимого имущества № 2/10-2023 и № 3/10-2023 от 27.10.2023 с ИП Блинский В.Г. заключены (оплата  за 2023 г - в полном объеме)</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</si>
</sst>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 #,##0.00\ &quot;₽&quot;_-;\-* #,##0.00\ &quot;₽&quot;_-;_-* &quot;-&quot;??\ &quot;₽&quot;_-;_-@_-"/>
    <numFmt numFmtId="43" formatCode="_-* #,##0.00\ _₽_-;\-* #,##0.00\ _₽_-;_-* &quot;-&quot;??\ _₽_-;_-@_-"/>
    <numFmt numFmtId="164" formatCode="_-* #,##0.00_р_._-;\-* #,##0.00_р_._-;_-* &quot;-&quot;??_р_._-;_-@_-"/>
    <numFmt numFmtId="165" formatCode="#,##0.0"/>
    <numFmt numFmtId="166" formatCode="0.0"/>
    <numFmt numFmtId="167" formatCode="0.0%"/>
    <numFmt numFmtId="168" formatCode="_(* #,##0.00_);_(* \(#,##0.00\);_(* &quot;-&quot;??_);_(@_)"/>
    <numFmt numFmtId="169" formatCode="#0.00"/>
    <numFmt numFmtId="170" formatCode="_-* #,##0.000_р_._-;\-* #,##0.000_р_._-;_-* &quot;-&quot;??_р_._-;_-@_-"/>
    <numFmt numFmtId="171" formatCode="#,##0.0_ ;[Red]\-#,##0.0\ "/>
    <numFmt numFmtId="172" formatCode="#,##0.0\ _₽"/>
  </numFmts>
  <fonts count="305">
    <font>
      <sz val="11"/>
      <color theme="1"/>
      <name val="Calibri"/>
      <family val="2"/>
      <charset val="204"/>
      <scheme val="minor"/>
    </font>
    <font>
      <sz val="12"/>
      <color indexed="8"/>
      <name val="Times New Roman"/>
      <family val="1"/>
      <charset val="204"/>
    </font>
    <font>
      <sz val="6"/>
      <color theme="1"/>
      <name val="Calibri"/>
      <family val="2"/>
      <charset val="204"/>
      <scheme val="minor"/>
    </font>
    <font>
      <sz val="6"/>
      <name val="Calibri"/>
      <family val="2"/>
      <charset val="204"/>
      <scheme val="minor"/>
    </font>
    <font>
      <sz val="6"/>
      <color theme="1"/>
      <name val="Times New Roman"/>
      <family val="1"/>
      <charset val="204"/>
    </font>
    <font>
      <sz val="8"/>
      <color indexed="8"/>
      <name val="Times New Roman"/>
      <family val="1"/>
      <charset val="204"/>
    </font>
    <font>
      <sz val="6"/>
      <color indexed="8"/>
      <name val="Times New Roman"/>
      <family val="1"/>
      <charset val="204"/>
    </font>
    <font>
      <sz val="6"/>
      <name val="Times New Roman"/>
      <family val="1"/>
      <charset val="204"/>
    </font>
    <font>
      <sz val="10"/>
      <color indexed="8"/>
      <name val="Times New Roman"/>
      <family val="1"/>
      <charset val="204"/>
    </font>
    <font>
      <sz val="9"/>
      <color indexed="8"/>
      <name val="Times New Roman"/>
      <family val="1"/>
      <charset val="204"/>
    </font>
    <font>
      <sz val="10"/>
      <name val="Times New Roman"/>
      <family val="1"/>
      <charset val="204"/>
    </font>
    <font>
      <sz val="10"/>
      <color indexed="8"/>
      <name val="Calibri"/>
      <family val="2"/>
      <charset val="204"/>
    </font>
    <font>
      <sz val="10"/>
      <color indexed="10"/>
      <name val="Calibri"/>
      <family val="2"/>
      <charset val="204"/>
    </font>
    <font>
      <sz val="7"/>
      <color indexed="8"/>
      <name val="Times New Roman"/>
      <family val="1"/>
      <charset val="204"/>
    </font>
    <font>
      <sz val="9"/>
      <name val="Times New Roman"/>
      <family val="1"/>
      <charset val="204"/>
    </font>
    <font>
      <sz val="6"/>
      <name val="Calibri"/>
      <family val="2"/>
      <charset val="204"/>
    </font>
    <font>
      <sz val="6"/>
      <color indexed="8"/>
      <name val="Calibri"/>
      <family val="2"/>
      <charset val="204"/>
    </font>
    <font>
      <sz val="11"/>
      <color indexed="8"/>
      <name val="Times New Roman"/>
      <family val="1"/>
      <charset val="204"/>
    </font>
    <font>
      <sz val="9"/>
      <color indexed="8"/>
      <name val="Calibri"/>
      <family val="2"/>
      <charset val="204"/>
    </font>
    <font>
      <sz val="11"/>
      <color indexed="8"/>
      <name val="Calibri"/>
      <family val="2"/>
      <charset val="204"/>
    </font>
    <font>
      <sz val="11"/>
      <name val="Times New Roman"/>
      <family val="1"/>
      <charset val="204"/>
    </font>
    <font>
      <sz val="11"/>
      <name val="Calibri"/>
      <family val="2"/>
      <charset val="204"/>
    </font>
    <font>
      <b/>
      <sz val="11"/>
      <color indexed="8"/>
      <name val="Times New Roman"/>
      <family val="1"/>
      <charset val="204"/>
    </font>
    <font>
      <sz val="10"/>
      <color rgb="FFFF0000"/>
      <name val="Times New Roman"/>
      <family val="1"/>
      <charset val="204"/>
    </font>
    <font>
      <sz val="10"/>
      <name val="Arial Cyr"/>
      <charset val="204"/>
    </font>
    <font>
      <sz val="12"/>
      <color indexed="8"/>
      <name val="Times New Roman"/>
      <family val="2"/>
      <charset val="204"/>
    </font>
    <font>
      <sz val="10"/>
      <name val="Arial"/>
      <family val="2"/>
      <charset val="204"/>
    </font>
    <font>
      <sz val="12"/>
      <color theme="1"/>
      <name val="Times New Roman"/>
      <family val="1"/>
      <charset val="204"/>
    </font>
    <font>
      <sz val="9"/>
      <color theme="1"/>
      <name val="Times New Roman"/>
      <family val="1"/>
      <charset val="204"/>
    </font>
    <font>
      <b/>
      <sz val="11"/>
      <name val="Times New Roman"/>
      <family val="1"/>
      <charset val="204"/>
    </font>
    <font>
      <sz val="8"/>
      <name val="Times New Roman"/>
      <family val="1"/>
      <charset val="204"/>
    </font>
    <font>
      <sz val="8"/>
      <color theme="1"/>
      <name val="Times New Roman"/>
      <family val="1"/>
      <charset val="204"/>
    </font>
    <font>
      <sz val="11"/>
      <color theme="1"/>
      <name val="Times New Roman"/>
      <family val="1"/>
      <charset val="204"/>
    </font>
    <font>
      <sz val="8"/>
      <color rgb="FF000000"/>
      <name val="Times New Roman"/>
      <family val="1"/>
      <charset val="204"/>
    </font>
    <font>
      <sz val="10"/>
      <name val="Arial"/>
      <family val="2"/>
      <charset val="204"/>
    </font>
    <font>
      <sz val="8"/>
      <name val="Calibri"/>
      <family val="2"/>
      <charset val="204"/>
    </font>
    <font>
      <sz val="12"/>
      <name val="Times New Roman"/>
      <family val="1"/>
      <charset val="204"/>
    </font>
    <font>
      <b/>
      <sz val="12"/>
      <name val="Times New Roman"/>
      <family val="1"/>
      <charset val="204"/>
    </font>
    <font>
      <b/>
      <sz val="12"/>
      <color indexed="8"/>
      <name val="Times New Roman"/>
      <family val="1"/>
      <charset val="204"/>
    </font>
    <font>
      <sz val="8"/>
      <color indexed="10"/>
      <name val="Times New Roman"/>
      <family val="1"/>
      <charset val="204"/>
    </font>
    <font>
      <sz val="8"/>
      <color indexed="8"/>
      <name val="Calibri"/>
      <family val="2"/>
      <charset val="204"/>
    </font>
    <font>
      <sz val="8"/>
      <color theme="1"/>
      <name val="Calibri"/>
      <family val="2"/>
      <charset val="204"/>
      <scheme val="minor"/>
    </font>
    <font>
      <sz val="8"/>
      <name val="Calibri"/>
      <family val="2"/>
      <charset val="204"/>
      <scheme val="minor"/>
    </font>
    <font>
      <sz val="10"/>
      <name val="Arial"/>
      <family val="2"/>
      <charset val="204"/>
    </font>
    <font>
      <b/>
      <sz val="16"/>
      <name val="Times New Roman"/>
      <family val="1"/>
      <charset val="204"/>
    </font>
    <font>
      <b/>
      <sz val="14"/>
      <name val="Times New Roman"/>
      <family val="1"/>
      <charset val="204"/>
    </font>
    <font>
      <b/>
      <sz val="16"/>
      <name val="Arial"/>
      <family val="2"/>
      <charset val="204"/>
    </font>
    <font>
      <sz val="8"/>
      <name val="SimHei"/>
      <family val="3"/>
    </font>
    <font>
      <b/>
      <sz val="13"/>
      <name val="Times New Roman"/>
      <family val="1"/>
      <charset val="204"/>
    </font>
    <font>
      <b/>
      <i/>
      <sz val="11"/>
      <name val="Times New Roman"/>
      <family val="1"/>
      <charset val="204"/>
    </font>
    <font>
      <b/>
      <i/>
      <sz val="12"/>
      <name val="Times New Roman"/>
      <family val="1"/>
      <charset val="204"/>
    </font>
    <font>
      <u/>
      <sz val="10"/>
      <name val="Times New Roman"/>
      <family val="1"/>
      <charset val="204"/>
    </font>
    <font>
      <i/>
      <sz val="10"/>
      <name val="Times New Roman"/>
      <family val="1"/>
      <charset val="204"/>
    </font>
    <font>
      <i/>
      <sz val="12"/>
      <name val="Times New Roman"/>
      <family val="1"/>
      <charset val="204"/>
    </font>
    <font>
      <i/>
      <sz val="13"/>
      <name val="Times New Roman"/>
      <family val="1"/>
      <charset val="204"/>
    </font>
    <font>
      <b/>
      <sz val="10"/>
      <name val="Times New Roman"/>
      <family val="1"/>
      <charset val="204"/>
    </font>
    <font>
      <b/>
      <i/>
      <sz val="11"/>
      <color indexed="8"/>
      <name val="Times New Roman"/>
      <family val="1"/>
      <charset val="204"/>
    </font>
    <font>
      <i/>
      <sz val="10"/>
      <color indexed="8"/>
      <name val="Times New Roman"/>
      <family val="1"/>
      <charset val="204"/>
    </font>
    <font>
      <sz val="12"/>
      <name val="Arial"/>
      <family val="2"/>
      <charset val="204"/>
    </font>
    <font>
      <sz val="11"/>
      <color theme="1"/>
      <name val="Calibri"/>
      <family val="2"/>
      <charset val="204"/>
      <scheme val="minor"/>
    </font>
    <font>
      <sz val="10"/>
      <color theme="1"/>
      <name val="Times New Roman"/>
      <family val="1"/>
      <charset val="204"/>
    </font>
    <font>
      <sz val="14"/>
      <color theme="1"/>
      <name val="Calibri"/>
      <family val="2"/>
      <charset val="204"/>
      <scheme val="minor"/>
    </font>
    <font>
      <strike/>
      <sz val="14"/>
      <color rgb="FFFF0000"/>
      <name val="Calibri"/>
      <family val="2"/>
      <charset val="204"/>
      <scheme val="minor"/>
    </font>
    <font>
      <sz val="12"/>
      <color theme="1"/>
      <name val="Calibri"/>
      <family val="2"/>
      <charset val="204"/>
      <scheme val="minor"/>
    </font>
    <font>
      <b/>
      <sz val="12"/>
      <color theme="1"/>
      <name val="Times New Roman"/>
      <family val="1"/>
      <charset val="204"/>
    </font>
    <font>
      <strike/>
      <sz val="12"/>
      <color rgb="FFFF0000"/>
      <name val="Calibri"/>
      <family val="2"/>
      <charset val="204"/>
      <scheme val="minor"/>
    </font>
    <font>
      <b/>
      <i/>
      <sz val="14"/>
      <name val="Times New Roman"/>
      <family val="1"/>
      <charset val="204"/>
    </font>
    <font>
      <b/>
      <u/>
      <sz val="11"/>
      <name val="Times New Roman"/>
      <family val="1"/>
      <charset val="204"/>
    </font>
    <font>
      <b/>
      <u/>
      <sz val="10"/>
      <name val="Times New Roman"/>
      <family val="1"/>
      <charset val="204"/>
    </font>
    <font>
      <b/>
      <i/>
      <sz val="12"/>
      <color indexed="8"/>
      <name val="Times New Roman"/>
      <family val="1"/>
      <charset val="204"/>
    </font>
    <font>
      <b/>
      <sz val="8"/>
      <name val="Times New Roman"/>
      <family val="1"/>
      <charset val="204"/>
    </font>
    <font>
      <b/>
      <sz val="11"/>
      <color theme="1"/>
      <name val="Calibri"/>
      <family val="2"/>
      <charset val="204"/>
      <scheme val="minor"/>
    </font>
    <font>
      <b/>
      <sz val="12"/>
      <color rgb="FF000000"/>
      <name val="Arial"/>
      <family val="2"/>
      <charset val="204"/>
    </font>
    <font>
      <sz val="11"/>
      <name val="Calibri"/>
      <family val="2"/>
      <scheme val="minor"/>
    </font>
    <font>
      <sz val="10"/>
      <color rgb="FF000000"/>
      <name val="Arial"/>
      <family val="2"/>
      <charset val="204"/>
    </font>
    <font>
      <b/>
      <sz val="10"/>
      <color rgb="FF000000"/>
      <name val="Arial"/>
      <family val="2"/>
      <charset val="204"/>
    </font>
    <font>
      <b/>
      <sz val="11"/>
      <color rgb="FF000000"/>
      <name val="Arial"/>
      <family val="2"/>
      <charset val="204"/>
    </font>
    <font>
      <sz val="10"/>
      <color rgb="FF000000"/>
      <name val="Arial Cyr"/>
    </font>
    <font>
      <sz val="10"/>
      <color rgb="FF000000"/>
      <name val="Times New Roman"/>
      <family val="1"/>
      <charset val="204"/>
    </font>
    <font>
      <sz val="10"/>
      <color rgb="FF000000"/>
      <name val="Times New Roman"/>
      <family val="1"/>
      <charset val="204"/>
    </font>
    <font>
      <b/>
      <sz val="10"/>
      <color rgb="FF000000"/>
      <name val="Times New Roman"/>
      <family val="1"/>
      <charset val="204"/>
    </font>
    <font>
      <i/>
      <sz val="10"/>
      <color rgb="FF000000"/>
      <name val="Times New Roman"/>
      <family val="1"/>
      <charset val="204"/>
    </font>
    <font>
      <sz val="16"/>
      <color theme="1"/>
      <name val="Times New Roman"/>
      <family val="1"/>
      <charset val="204"/>
    </font>
    <font>
      <b/>
      <i/>
      <sz val="10"/>
      <color rgb="FF000000"/>
      <name val="Times New Roman"/>
      <family val="1"/>
      <charset val="204"/>
    </font>
    <font>
      <b/>
      <sz val="10"/>
      <color theme="1"/>
      <name val="Times New Roman"/>
      <family val="1"/>
      <charset val="204"/>
    </font>
    <font>
      <sz val="11"/>
      <color rgb="FFFF0000"/>
      <name val="Calibri"/>
      <family val="2"/>
      <charset val="204"/>
      <scheme val="minor"/>
    </font>
    <font>
      <b/>
      <sz val="8"/>
      <color indexed="8"/>
      <name val="Times New Roman"/>
      <family val="1"/>
      <charset val="204"/>
    </font>
    <font>
      <b/>
      <sz val="10"/>
      <color indexed="8"/>
      <name val="Times New Roman"/>
      <family val="1"/>
      <charset val="204"/>
    </font>
    <font>
      <b/>
      <sz val="9"/>
      <color indexed="8"/>
      <name val="Times New Roman"/>
      <family val="1"/>
      <charset val="204"/>
    </font>
    <font>
      <b/>
      <sz val="10"/>
      <color rgb="FF7030A0"/>
      <name val="Times New Roman"/>
      <family val="1"/>
      <charset val="204"/>
    </font>
    <font>
      <b/>
      <sz val="8"/>
      <color rgb="FF7030A0"/>
      <name val="Times New Roman"/>
      <family val="1"/>
      <charset val="204"/>
    </font>
    <font>
      <b/>
      <sz val="9"/>
      <color rgb="FF7030A0"/>
      <name val="Times New Roman"/>
      <family val="1"/>
      <charset val="204"/>
    </font>
    <font>
      <sz val="8"/>
      <color rgb="FFFF0000"/>
      <name val="Times New Roman"/>
      <family val="1"/>
      <charset val="204"/>
    </font>
    <font>
      <sz val="9"/>
      <color rgb="FFFF0000"/>
      <name val="Times New Roman"/>
      <family val="1"/>
      <charset val="204"/>
    </font>
    <font>
      <b/>
      <sz val="9"/>
      <name val="Times New Roman"/>
      <family val="1"/>
      <charset val="204"/>
    </font>
    <font>
      <sz val="10"/>
      <color rgb="FF7030A0"/>
      <name val="Times New Roman"/>
      <family val="1"/>
      <charset val="204"/>
    </font>
    <font>
      <sz val="8"/>
      <color rgb="FF7030A0"/>
      <name val="Times New Roman"/>
      <family val="1"/>
      <charset val="204"/>
    </font>
    <font>
      <sz val="9"/>
      <color rgb="FF7030A0"/>
      <name val="Times New Roman"/>
      <family val="1"/>
      <charset val="204"/>
    </font>
    <font>
      <sz val="10"/>
      <color rgb="FF7030A0"/>
      <name val="Calibri"/>
      <family val="2"/>
      <charset val="204"/>
    </font>
    <font>
      <sz val="11"/>
      <color rgb="FF7030A0"/>
      <name val="Calibri"/>
      <family val="2"/>
      <charset val="204"/>
      <scheme val="minor"/>
    </font>
    <font>
      <sz val="8"/>
      <color indexed="36"/>
      <name val="Times New Roman"/>
      <family val="1"/>
      <charset val="204"/>
    </font>
    <font>
      <sz val="10"/>
      <color rgb="FFFF0000"/>
      <name val="Calibri"/>
      <family val="2"/>
      <charset val="204"/>
    </font>
    <font>
      <b/>
      <sz val="8"/>
      <name val="Calibri"/>
      <family val="2"/>
      <charset val="204"/>
    </font>
    <font>
      <sz val="11"/>
      <color rgb="FF000000"/>
      <name val="Times New Roman"/>
      <family val="1"/>
      <charset val="204"/>
    </font>
    <font>
      <b/>
      <sz val="11"/>
      <color theme="1"/>
      <name val="Times New Roman"/>
      <family val="1"/>
      <charset val="204"/>
    </font>
    <font>
      <sz val="11"/>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theme="0"/>
      <name val="Calibri"/>
      <family val="2"/>
      <charset val="204"/>
      <scheme val="minor"/>
    </font>
    <font>
      <sz val="11"/>
      <color theme="1"/>
      <name val="Calibri"/>
      <family val="2"/>
      <charset val="204"/>
      <scheme val="minor"/>
    </font>
    <font>
      <sz val="11"/>
      <name val="Calibri"/>
      <family val="2"/>
      <charset val="204"/>
      <scheme val="minor"/>
    </font>
    <font>
      <sz val="8"/>
      <name val="Times New Roman"/>
      <family val="1"/>
      <charset val="204"/>
    </font>
    <font>
      <sz val="8"/>
      <name val="Calibri"/>
      <family val="2"/>
      <charset val="204"/>
      <scheme val="minor"/>
    </font>
    <font>
      <sz val="9"/>
      <name val="Calibri"/>
      <family val="2"/>
      <charset val="204"/>
      <scheme val="minor"/>
    </font>
    <font>
      <sz val="10"/>
      <name val="Calibri"/>
      <family val="2"/>
      <charset val="204"/>
      <scheme val="minor"/>
    </font>
    <font>
      <sz val="9"/>
      <name val="Times New Roman"/>
      <family val="1"/>
      <charset val="204"/>
    </font>
    <font>
      <sz val="10"/>
      <name val="Times New Roman"/>
      <family val="1"/>
      <charset val="204"/>
    </font>
    <font>
      <b/>
      <sz val="8"/>
      <name val="Times New Roman"/>
      <family val="1"/>
      <charset val="204"/>
    </font>
    <font>
      <b/>
      <sz val="9"/>
      <name val="Times New Roman"/>
      <family val="1"/>
      <charset val="204"/>
    </font>
    <font>
      <b/>
      <sz val="10"/>
      <name val="Times New Roman"/>
      <family val="1"/>
      <charset val="204"/>
    </font>
    <font>
      <b/>
      <sz val="8"/>
      <name val="Calibri"/>
      <family val="2"/>
      <charset val="204"/>
    </font>
    <font>
      <sz val="10"/>
      <name val="Calibri"/>
      <family val="2"/>
      <charset val="204"/>
    </font>
    <font>
      <sz val="10"/>
      <name val="Arial Cyr"/>
    </font>
    <font>
      <sz val="9"/>
      <color indexed="2"/>
      <name val="Times New Roman"/>
      <family val="1"/>
      <charset val="204"/>
    </font>
    <font>
      <sz val="11"/>
      <color theme="0"/>
      <name val="Calibri"/>
      <family val="2"/>
      <charset val="204"/>
      <scheme val="minor"/>
    </font>
    <font>
      <b/>
      <sz val="12"/>
      <name val="Times New Roman"/>
      <family val="1"/>
      <charset val="204"/>
    </font>
    <font>
      <sz val="14"/>
      <name val="Times New Roman"/>
      <family val="1"/>
      <charset val="204"/>
    </font>
    <font>
      <sz val="11"/>
      <color indexed="64"/>
      <name val="Calibri"/>
      <family val="2"/>
      <charset val="204"/>
    </font>
    <font>
      <sz val="11"/>
      <color indexed="65"/>
      <name val="Calibri"/>
      <family val="2"/>
      <charset val="204"/>
    </font>
    <font>
      <sz val="11"/>
      <color indexed="9"/>
      <name val="Calibri"/>
      <family val="2"/>
      <charset val="204"/>
    </font>
    <font>
      <sz val="11"/>
      <color rgb="FF9C0006"/>
      <name val="Calibri"/>
      <family val="2"/>
      <charset val="204"/>
      <scheme val="minor"/>
    </font>
    <font>
      <sz val="11"/>
      <name val="Calibri"/>
      <family val="2"/>
      <charset val="204"/>
    </font>
    <font>
      <sz val="11"/>
      <name val="Calibri"/>
      <family val="2"/>
    </font>
    <font>
      <b/>
      <sz val="11"/>
      <color rgb="FFFA7D00"/>
      <name val="Calibri"/>
      <family val="2"/>
      <charset val="204"/>
      <scheme val="minor"/>
    </font>
    <font>
      <b/>
      <sz val="11"/>
      <color theme="0"/>
      <name val="Calibri"/>
      <family val="2"/>
      <charset val="204"/>
      <scheme val="minor"/>
    </font>
    <font>
      <b/>
      <sz val="11"/>
      <color indexed="64"/>
      <name val="Arial"/>
      <family val="2"/>
      <charset val="204"/>
    </font>
    <font>
      <b/>
      <sz val="10"/>
      <color indexed="64"/>
      <name val="Arial"/>
      <family val="2"/>
      <charset val="204"/>
    </font>
    <font>
      <sz val="10"/>
      <color indexed="64"/>
      <name val="Arial Cyr"/>
    </font>
    <font>
      <sz val="10"/>
      <name val="Arial"/>
      <family val="2"/>
      <charset val="204"/>
    </font>
    <font>
      <sz val="10"/>
      <color indexed="64"/>
      <name val="Arial"/>
      <family val="2"/>
      <charset val="204"/>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sz val="10"/>
      <color rgb="FF000000"/>
      <name val="Arial"/>
      <family val="2"/>
    </font>
    <font>
      <b/>
      <sz val="11"/>
      <color rgb="FF3F3F3F"/>
      <name val="Calibri"/>
      <family val="2"/>
      <charset val="204"/>
      <scheme val="minor"/>
    </font>
    <font>
      <b/>
      <sz val="18"/>
      <color theme="3"/>
      <name val="Cambria"/>
      <family val="1"/>
      <charset val="204"/>
    </font>
    <font>
      <b/>
      <sz val="18"/>
      <color theme="3"/>
      <name val="Calibri Light"/>
      <family val="2"/>
      <charset val="204"/>
      <scheme val="major"/>
    </font>
    <font>
      <b/>
      <sz val="18"/>
      <color theme="3"/>
      <name val="Calibri Light"/>
      <family val="1"/>
      <charset val="204"/>
      <scheme val="major"/>
    </font>
    <font>
      <b/>
      <sz val="18"/>
      <color theme="3"/>
      <name val="Cambria"/>
      <family val="1"/>
      <charset val="204"/>
    </font>
    <font>
      <b/>
      <sz val="11"/>
      <color theme="1"/>
      <name val="Calibri"/>
      <family val="2"/>
      <charset val="204"/>
      <scheme val="minor"/>
    </font>
    <font>
      <sz val="11"/>
      <color indexed="2"/>
      <name val="Calibri"/>
      <family val="2"/>
      <charset val="204"/>
      <scheme val="minor"/>
    </font>
    <font>
      <sz val="10"/>
      <color rgb="FF000000"/>
      <name val="Arial Cyr"/>
      <family val="2"/>
    </font>
    <font>
      <b/>
      <sz val="10"/>
      <color indexed="64"/>
      <name val="Arial Cyr"/>
    </font>
    <font>
      <b/>
      <sz val="10"/>
      <color rgb="FF000000"/>
      <name val="Arial Cyr"/>
    </font>
    <font>
      <sz val="12"/>
      <color indexed="65"/>
      <name val="Times New Roman"/>
      <family val="1"/>
      <charset val="204"/>
    </font>
    <font>
      <sz val="12"/>
      <color indexed="9"/>
      <name val="Times New Roman"/>
      <family val="2"/>
      <charset val="204"/>
    </font>
    <font>
      <sz val="11"/>
      <color indexed="62"/>
      <name val="Calibri"/>
      <family val="2"/>
      <charset val="204"/>
    </font>
    <font>
      <sz val="12"/>
      <color indexed="62"/>
      <name val="Times New Roman"/>
      <family val="1"/>
      <charset val="204"/>
    </font>
    <font>
      <sz val="12"/>
      <color indexed="62"/>
      <name val="Times New Roman"/>
      <family val="2"/>
      <charset val="204"/>
    </font>
    <font>
      <sz val="11"/>
      <color indexed="62"/>
      <name val="Calibri"/>
      <family val="2"/>
      <charset val="204"/>
    </font>
    <font>
      <b/>
      <sz val="11"/>
      <color indexed="63"/>
      <name val="Calibri"/>
      <family val="2"/>
      <charset val="204"/>
    </font>
    <font>
      <b/>
      <sz val="12"/>
      <color indexed="63"/>
      <name val="Times New Roman"/>
      <family val="1"/>
      <charset val="204"/>
    </font>
    <font>
      <b/>
      <sz val="12"/>
      <color indexed="63"/>
      <name val="Times New Roman"/>
      <family val="2"/>
      <charset val="204"/>
    </font>
    <font>
      <b/>
      <sz val="11"/>
      <color indexed="63"/>
      <name val="Calibri"/>
      <family val="2"/>
      <charset val="204"/>
    </font>
    <font>
      <b/>
      <sz val="11"/>
      <color indexed="52"/>
      <name val="Calibri"/>
      <family val="2"/>
      <charset val="204"/>
    </font>
    <font>
      <b/>
      <sz val="12"/>
      <color indexed="52"/>
      <name val="Times New Roman"/>
      <family val="1"/>
      <charset val="204"/>
    </font>
    <font>
      <b/>
      <sz val="12"/>
      <color indexed="52"/>
      <name val="Times New Roman"/>
      <family val="2"/>
      <charset val="204"/>
    </font>
    <font>
      <b/>
      <sz val="11"/>
      <color indexed="52"/>
      <name val="Calibri"/>
      <family val="2"/>
      <charset val="204"/>
    </font>
    <font>
      <u/>
      <sz val="11"/>
      <color theme="10"/>
      <name val="Calibri"/>
      <family val="2"/>
      <charset val="204"/>
      <scheme val="minor"/>
    </font>
    <font>
      <u/>
      <sz val="11"/>
      <color theme="10"/>
      <name val="Calibri"/>
      <family val="2"/>
      <charset val="204"/>
      <scheme val="minor"/>
    </font>
    <font>
      <u/>
      <sz val="11"/>
      <color indexed="4"/>
      <name val="Calibri"/>
      <family val="2"/>
      <charset val="204"/>
    </font>
    <font>
      <u/>
      <sz val="11"/>
      <color indexed="12"/>
      <name val="Calibri"/>
      <family val="2"/>
      <charset val="204"/>
    </font>
    <font>
      <u/>
      <sz val="11"/>
      <color rgb="FF0000FF"/>
      <name val="Calibri"/>
      <family val="2"/>
      <charset val="204"/>
    </font>
    <font>
      <b/>
      <sz val="15"/>
      <color indexed="56"/>
      <name val="Calibri"/>
      <family val="2"/>
      <charset val="204"/>
    </font>
    <font>
      <b/>
      <sz val="15"/>
      <color indexed="56"/>
      <name val="Times New Roman"/>
      <family val="1"/>
      <charset val="204"/>
    </font>
    <font>
      <b/>
      <sz val="15"/>
      <color indexed="56"/>
      <name val="Times New Roman"/>
      <family val="2"/>
      <charset val="204"/>
    </font>
    <font>
      <b/>
      <sz val="15"/>
      <color indexed="56"/>
      <name val="Calibri"/>
      <family val="2"/>
      <charset val="204"/>
    </font>
    <font>
      <b/>
      <sz val="13"/>
      <color indexed="56"/>
      <name val="Calibri"/>
      <family val="2"/>
      <charset val="204"/>
    </font>
    <font>
      <b/>
      <sz val="13"/>
      <color indexed="56"/>
      <name val="Times New Roman"/>
      <family val="1"/>
      <charset val="204"/>
    </font>
    <font>
      <b/>
      <sz val="13"/>
      <color indexed="56"/>
      <name val="Times New Roman"/>
      <family val="2"/>
      <charset val="204"/>
    </font>
    <font>
      <b/>
      <sz val="13"/>
      <color indexed="56"/>
      <name val="Calibri"/>
      <family val="2"/>
      <charset val="204"/>
    </font>
    <font>
      <b/>
      <sz val="11"/>
      <color indexed="56"/>
      <name val="Calibri"/>
      <family val="2"/>
      <charset val="204"/>
    </font>
    <font>
      <b/>
      <sz val="11"/>
      <color indexed="56"/>
      <name val="Times New Roman"/>
      <family val="1"/>
      <charset val="204"/>
    </font>
    <font>
      <b/>
      <sz val="11"/>
      <color indexed="56"/>
      <name val="Times New Roman"/>
      <family val="2"/>
      <charset val="204"/>
    </font>
    <font>
      <b/>
      <sz val="11"/>
      <color indexed="56"/>
      <name val="Calibri"/>
      <family val="2"/>
      <charset val="204"/>
    </font>
    <font>
      <b/>
      <sz val="11"/>
      <color indexed="64"/>
      <name val="Calibri"/>
      <family val="2"/>
      <charset val="204"/>
    </font>
    <font>
      <b/>
      <sz val="12"/>
      <color indexed="64"/>
      <name val="Times New Roman"/>
      <family val="1"/>
      <charset val="204"/>
    </font>
    <font>
      <b/>
      <sz val="12"/>
      <color indexed="8"/>
      <name val="Times New Roman"/>
      <family val="2"/>
      <charset val="204"/>
    </font>
    <font>
      <b/>
      <sz val="11"/>
      <color indexed="8"/>
      <name val="Calibri"/>
      <family val="2"/>
      <charset val="204"/>
    </font>
    <font>
      <b/>
      <sz val="11"/>
      <color indexed="65"/>
      <name val="Calibri"/>
      <family val="2"/>
      <charset val="204"/>
    </font>
    <font>
      <b/>
      <sz val="12"/>
      <color indexed="65"/>
      <name val="Times New Roman"/>
      <family val="1"/>
      <charset val="204"/>
    </font>
    <font>
      <b/>
      <sz val="12"/>
      <color indexed="9"/>
      <name val="Times New Roman"/>
      <family val="2"/>
      <charset val="204"/>
    </font>
    <font>
      <b/>
      <sz val="11"/>
      <color indexed="9"/>
      <name val="Calibri"/>
      <family val="2"/>
      <charset val="204"/>
    </font>
    <font>
      <b/>
      <sz val="18"/>
      <color indexed="56"/>
      <name val="Cambria"/>
      <family val="1"/>
      <charset val="204"/>
    </font>
    <font>
      <b/>
      <sz val="18"/>
      <color indexed="56"/>
      <name val="Cambria"/>
      <family val="2"/>
      <charset val="204"/>
    </font>
    <font>
      <sz val="11"/>
      <color indexed="60"/>
      <name val="Calibri"/>
      <family val="2"/>
      <charset val="204"/>
    </font>
    <font>
      <sz val="12"/>
      <color indexed="60"/>
      <name val="Times New Roman"/>
      <family val="1"/>
      <charset val="204"/>
    </font>
    <font>
      <sz val="12"/>
      <color indexed="60"/>
      <name val="Times New Roman"/>
      <family val="2"/>
      <charset val="204"/>
    </font>
    <font>
      <sz val="11"/>
      <color indexed="60"/>
      <name val="Calibri"/>
      <family val="2"/>
      <charset val="204"/>
    </font>
    <font>
      <sz val="12"/>
      <color theme="1"/>
      <name val="Calibri"/>
      <family val="2"/>
      <charset val="204"/>
      <scheme val="minor"/>
    </font>
    <font>
      <sz val="14"/>
      <color theme="1"/>
      <name val="Times New Roman"/>
      <family val="1"/>
      <charset val="204"/>
    </font>
    <font>
      <sz val="14"/>
      <color theme="1"/>
      <name val="Times New Roman"/>
      <family val="2"/>
      <charset val="204"/>
    </font>
    <font>
      <sz val="11"/>
      <color indexed="8"/>
      <name val="Calibri"/>
      <family val="2"/>
    </font>
    <font>
      <sz val="11"/>
      <color theme="1"/>
      <name val="Calibri"/>
      <family val="2"/>
      <scheme val="minor"/>
    </font>
    <font>
      <sz val="11"/>
      <color rgb="FF000000"/>
      <name val="Calibri"/>
      <family val="2"/>
      <charset val="204"/>
    </font>
    <font>
      <sz val="12"/>
      <color theme="1"/>
      <name val="Times New Roman"/>
      <family val="1"/>
      <charset val="204"/>
    </font>
    <font>
      <sz val="12"/>
      <color theme="1"/>
      <name val="times new roman"/>
      <family val="2"/>
      <charset val="204"/>
    </font>
    <font>
      <sz val="10"/>
      <color indexed="64"/>
      <name val="Times New Roman"/>
      <family val="1"/>
      <charset val="204"/>
    </font>
    <font>
      <sz val="11"/>
      <color indexed="64"/>
      <name val="Times New Roman"/>
      <family val="1"/>
      <charset val="204"/>
    </font>
    <font>
      <sz val="11"/>
      <color indexed="64"/>
      <name val="Arial"/>
      <family val="2"/>
      <charset val="204"/>
    </font>
    <font>
      <sz val="11"/>
      <color rgb="FF000000"/>
      <name val="Arial"/>
      <family val="2"/>
      <charset val="204"/>
    </font>
    <font>
      <sz val="12"/>
      <color indexed="64"/>
      <name val="Times New Roman"/>
      <family val="1"/>
      <charset val="204"/>
    </font>
    <font>
      <sz val="11"/>
      <color theme="1"/>
      <name val="Calibri"/>
      <family val="2"/>
      <charset val="204"/>
    </font>
    <font>
      <sz val="11"/>
      <color theme="1"/>
      <name val="Calibri"/>
      <family val="2"/>
      <charset val="204"/>
    </font>
    <font>
      <sz val="11"/>
      <name val="Arial Cyr"/>
    </font>
    <font>
      <sz val="11"/>
      <name val="Arial Cyr"/>
      <charset val="204"/>
    </font>
    <font>
      <sz val="11"/>
      <color indexed="20"/>
      <name val="Calibri"/>
      <family val="2"/>
      <charset val="204"/>
    </font>
    <font>
      <sz val="12"/>
      <color indexed="20"/>
      <name val="Times New Roman"/>
      <family val="1"/>
      <charset val="204"/>
    </font>
    <font>
      <sz val="12"/>
      <color indexed="20"/>
      <name val="Times New Roman"/>
      <family val="2"/>
      <charset val="204"/>
    </font>
    <font>
      <sz val="11"/>
      <color indexed="20"/>
      <name val="Calibri"/>
      <family val="2"/>
      <charset val="204"/>
    </font>
    <font>
      <i/>
      <sz val="11"/>
      <color indexed="23"/>
      <name val="Calibri"/>
      <family val="2"/>
      <charset val="204"/>
    </font>
    <font>
      <i/>
      <sz val="12"/>
      <color indexed="23"/>
      <name val="Times New Roman"/>
      <family val="1"/>
      <charset val="204"/>
    </font>
    <font>
      <i/>
      <sz val="12"/>
      <color indexed="23"/>
      <name val="Times New Roman"/>
      <family val="2"/>
      <charset val="204"/>
    </font>
    <font>
      <i/>
      <sz val="11"/>
      <color indexed="23"/>
      <name val="Calibri"/>
      <family val="2"/>
      <charset val="204"/>
    </font>
    <font>
      <sz val="11"/>
      <color indexed="52"/>
      <name val="Calibri"/>
      <family val="2"/>
      <charset val="204"/>
    </font>
    <font>
      <sz val="12"/>
      <color indexed="52"/>
      <name val="Times New Roman"/>
      <family val="1"/>
      <charset val="204"/>
    </font>
    <font>
      <sz val="12"/>
      <color indexed="52"/>
      <name val="Times New Roman"/>
      <family val="2"/>
      <charset val="204"/>
    </font>
    <font>
      <sz val="11"/>
      <color indexed="52"/>
      <name val="Calibri"/>
      <family val="2"/>
      <charset val="204"/>
    </font>
    <font>
      <sz val="10"/>
      <name val="Helv"/>
    </font>
    <font>
      <sz val="11"/>
      <color indexed="2"/>
      <name val="Calibri"/>
      <family val="2"/>
      <charset val="204"/>
    </font>
    <font>
      <sz val="12"/>
      <color indexed="2"/>
      <name val="Times New Roman"/>
      <family val="1"/>
      <charset val="204"/>
    </font>
    <font>
      <sz val="12"/>
      <color indexed="10"/>
      <name val="Times New Roman"/>
      <family val="2"/>
      <charset val="204"/>
    </font>
    <font>
      <sz val="11"/>
      <color indexed="10"/>
      <name val="Calibri"/>
      <family val="2"/>
      <charset val="204"/>
    </font>
    <font>
      <sz val="11"/>
      <color indexed="17"/>
      <name val="Calibri"/>
      <family val="2"/>
      <charset val="204"/>
    </font>
    <font>
      <sz val="11"/>
      <color indexed="17"/>
      <name val="Calibri"/>
      <family val="2"/>
      <charset val="204"/>
    </font>
    <font>
      <sz val="12"/>
      <color indexed="17"/>
      <name val="Times New Roman"/>
      <family val="1"/>
      <charset val="204"/>
    </font>
    <font>
      <sz val="12"/>
      <color indexed="17"/>
      <name val="Times New Roman"/>
      <family val="2"/>
      <charset val="204"/>
    </font>
    <font>
      <sz val="12"/>
      <color rgb="FFFF0000"/>
      <name val="Times New Roman"/>
      <family val="1"/>
      <charset val="204"/>
    </font>
    <font>
      <b/>
      <sz val="8"/>
      <color theme="1"/>
      <name val="Times New Roman"/>
      <family val="1"/>
      <charset val="204"/>
    </font>
    <font>
      <b/>
      <sz val="9"/>
      <color indexed="81"/>
      <name val="Tahoma"/>
      <family val="2"/>
      <charset val="204"/>
    </font>
    <font>
      <sz val="9"/>
      <color indexed="81"/>
      <name val="Tahoma"/>
      <family val="2"/>
      <charset val="204"/>
    </font>
    <font>
      <i/>
      <sz val="11"/>
      <name val="Times New Roman"/>
      <family val="1"/>
      <charset val="204"/>
    </font>
    <font>
      <sz val="13"/>
      <name val="Times New Roman"/>
      <family val="1"/>
      <charset val="204"/>
    </font>
    <font>
      <b/>
      <i/>
      <sz val="10"/>
      <name val="Times New Roman"/>
      <family val="1"/>
      <charset val="204"/>
    </font>
    <font>
      <sz val="12"/>
      <color rgb="FF000000"/>
      <name val="Times New Roman"/>
      <family val="1"/>
      <charset val="204"/>
    </font>
    <font>
      <b/>
      <i/>
      <sz val="13"/>
      <name val="Times New Roman"/>
      <family val="1"/>
      <charset val="204"/>
    </font>
    <font>
      <b/>
      <sz val="8"/>
      <color indexed="81"/>
      <name val="Tahoma"/>
      <family val="2"/>
      <charset val="204"/>
    </font>
    <font>
      <sz val="8"/>
      <color indexed="81"/>
      <name val="Tahoma"/>
      <family val="2"/>
      <charset val="204"/>
    </font>
    <font>
      <sz val="10"/>
      <color rgb="FFFF0000"/>
      <name val="Arial"/>
      <family val="2"/>
      <charset val="204"/>
    </font>
    <font>
      <b/>
      <sz val="11"/>
      <name val="Calibri"/>
      <family val="2"/>
      <charset val="204"/>
      <scheme val="minor"/>
    </font>
    <font>
      <b/>
      <sz val="11"/>
      <name val="Calibri"/>
      <family val="2"/>
      <scheme val="minor"/>
    </font>
    <font>
      <b/>
      <sz val="10"/>
      <color rgb="FFFF0000"/>
      <name val="Arial"/>
      <family val="2"/>
      <charset val="204"/>
    </font>
    <font>
      <sz val="11"/>
      <color theme="1"/>
      <name val="Calibri"/>
      <family val="2"/>
      <charset val="204"/>
      <scheme val="minor"/>
    </font>
    <font>
      <sz val="11"/>
      <color indexed="64"/>
      <name val="Calibri"/>
      <family val="2"/>
      <charset val="204"/>
    </font>
    <font>
      <sz val="12"/>
      <color indexed="64"/>
      <name val="Times New Roman"/>
      <family val="1"/>
      <charset val="204"/>
    </font>
    <font>
      <sz val="11"/>
      <color indexed="64"/>
      <name val="Times New Roman"/>
      <family val="1"/>
      <charset val="204"/>
    </font>
    <font>
      <b/>
      <sz val="11"/>
      <color indexed="64"/>
      <name val="Times New Roman"/>
      <family val="1"/>
      <charset val="204"/>
    </font>
    <font>
      <sz val="10"/>
      <color theme="1"/>
      <name val="Times New Roman"/>
      <family val="1"/>
      <charset val="204"/>
    </font>
    <font>
      <sz val="8"/>
      <name val="Times New Roman"/>
      <family val="1"/>
      <charset val="204"/>
    </font>
    <font>
      <sz val="10"/>
      <name val="Arial"/>
      <family val="2"/>
      <charset val="204"/>
    </font>
    <font>
      <b/>
      <sz val="8"/>
      <name val="Times New Roman"/>
      <family val="1"/>
      <charset val="204"/>
    </font>
    <font>
      <sz val="8"/>
      <color theme="1"/>
      <name val="Times New Roman"/>
      <family val="1"/>
      <charset val="204"/>
    </font>
    <font>
      <b/>
      <sz val="8"/>
      <color theme="1"/>
      <name val="Times New Roman"/>
      <family val="1"/>
      <charset val="204"/>
    </font>
    <font>
      <b/>
      <sz val="9"/>
      <color theme="1"/>
      <name val="Times New Roman"/>
      <family val="1"/>
      <charset val="204"/>
    </font>
    <font>
      <sz val="10"/>
      <color theme="1"/>
      <name val="Calibri"/>
      <family val="2"/>
      <charset val="204"/>
    </font>
    <font>
      <sz val="10"/>
      <color indexed="64"/>
      <name val="Calibri"/>
      <family val="2"/>
      <charset val="204"/>
    </font>
    <font>
      <sz val="10"/>
      <color indexed="64"/>
      <name val="Times New Roman"/>
      <family val="1"/>
      <charset val="204"/>
    </font>
    <font>
      <sz val="12"/>
      <name val="Times New Roman"/>
      <family val="1"/>
      <charset val="204"/>
    </font>
    <font>
      <sz val="8"/>
      <color indexed="64"/>
      <name val="Times New Roman"/>
      <family val="1"/>
      <charset val="204"/>
    </font>
    <font>
      <sz val="11"/>
      <name val="Times New Roman"/>
      <family val="1"/>
      <charset val="204"/>
    </font>
    <font>
      <sz val="12"/>
      <color theme="1"/>
      <name val="Times New Roman"/>
      <family val="1"/>
      <charset val="204"/>
    </font>
    <font>
      <b/>
      <sz val="11"/>
      <name val="Times New Roman"/>
      <family val="1"/>
      <charset val="204"/>
    </font>
    <font>
      <sz val="10"/>
      <name val="Times New Roman"/>
      <family val="1"/>
      <charset val="204"/>
    </font>
    <font>
      <sz val="11"/>
      <color theme="1"/>
      <name val="Times New Roman"/>
      <family val="1"/>
      <charset val="204"/>
    </font>
    <font>
      <b/>
      <sz val="11"/>
      <color theme="1"/>
      <name val="Times New Roman"/>
      <family val="1"/>
      <charset val="204"/>
    </font>
    <font>
      <sz val="11"/>
      <name val="Calibri"/>
      <family val="2"/>
      <charset val="204"/>
    </font>
    <font>
      <sz val="11"/>
      <name val="Calibri"/>
      <family val="2"/>
      <charset val="204"/>
      <scheme val="minor"/>
    </font>
    <font>
      <sz val="12"/>
      <color indexed="2"/>
      <name val="Times New Roman"/>
      <family val="1"/>
      <charset val="204"/>
    </font>
    <font>
      <b/>
      <sz val="10"/>
      <color indexed="64"/>
      <name val="Times New Roman"/>
      <family val="1"/>
      <charset val="204"/>
    </font>
    <font>
      <sz val="9"/>
      <color indexed="64"/>
      <name val="Calibri"/>
      <family val="2"/>
      <charset val="204"/>
    </font>
    <font>
      <b/>
      <sz val="12"/>
      <color theme="1"/>
      <name val="Times New Roman"/>
      <family val="1"/>
      <charset val="204"/>
    </font>
    <font>
      <b/>
      <sz val="12"/>
      <color indexed="64"/>
      <name val="Times New Roman"/>
      <family val="1"/>
      <charset val="204"/>
    </font>
    <font>
      <sz val="10"/>
      <color theme="1"/>
      <name val="Calibri"/>
      <family val="2"/>
      <charset val="204"/>
      <scheme val="minor"/>
    </font>
    <font>
      <b/>
      <sz val="14"/>
      <color theme="1"/>
      <name val="Times New Roman"/>
      <family val="1"/>
      <charset val="204"/>
    </font>
    <font>
      <sz val="10"/>
      <name val="Arial"/>
      <family val="2"/>
      <charset val="204"/>
    </font>
    <font>
      <b/>
      <sz val="12"/>
      <color rgb="FF000000"/>
      <name val="Arial"/>
      <family val="2"/>
      <charset val="204"/>
    </font>
    <font>
      <sz val="10"/>
      <color rgb="FF000000"/>
      <name val="Arial"/>
      <family val="2"/>
      <charset val="204"/>
    </font>
    <font>
      <b/>
      <sz val="10"/>
      <color rgb="FF000000"/>
      <name val="Arial"/>
      <family val="2"/>
      <charset val="204"/>
    </font>
    <font>
      <b/>
      <sz val="11"/>
      <color rgb="FF000000"/>
      <name val="Arial"/>
      <family val="2"/>
      <charset val="204"/>
    </font>
    <font>
      <sz val="11"/>
      <color theme="1"/>
      <name val="Calibri"/>
      <scheme val="minor"/>
    </font>
  </fonts>
  <fills count="18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65"/>
        <bgColor indexed="64"/>
      </patternFill>
    </fill>
    <fill>
      <patternFill patternType="solid">
        <fgColor rgb="FFFFFF00"/>
        <bgColor indexed="64"/>
      </patternFill>
    </fill>
    <fill>
      <patternFill patternType="solid">
        <fgColor rgb="FFFFC000"/>
        <bgColor indexed="64"/>
      </patternFill>
    </fill>
    <fill>
      <patternFill patternType="solid">
        <fgColor indexed="42"/>
        <bgColor indexed="64"/>
      </patternFill>
    </fill>
    <fill>
      <patternFill patternType="solid">
        <fgColor indexed="13"/>
        <bgColor indexed="64"/>
      </patternFill>
    </fill>
    <fill>
      <patternFill patternType="solid">
        <fgColor rgb="FF92D050"/>
        <bgColor indexed="64"/>
      </patternFill>
    </fill>
    <fill>
      <patternFill patternType="solid">
        <fgColor indexed="1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indexed="47"/>
        <bgColor indexed="64"/>
      </patternFill>
    </fill>
    <fill>
      <patternFill patternType="solid">
        <fgColor theme="9" tint="0.39997558519241921"/>
        <bgColor indexed="64"/>
      </patternFill>
    </fill>
    <fill>
      <patternFill patternType="solid">
        <fgColor indexed="9"/>
        <bgColor indexed="9"/>
      </patternFill>
    </fill>
    <fill>
      <patternFill patternType="solid">
        <fgColor theme="6" tint="0.59996337778862885"/>
        <bgColor indexed="64"/>
      </patternFill>
    </fill>
    <fill>
      <patternFill patternType="solid">
        <fgColor theme="9" tint="0.79998168889431442"/>
        <bgColor indexed="64"/>
      </patternFill>
    </fill>
    <fill>
      <patternFill patternType="solid">
        <fgColor theme="9" tint="0.79998168889431442"/>
        <bgColor indexed="9"/>
      </patternFill>
    </fill>
    <fill>
      <patternFill patternType="solid">
        <fgColor theme="5" tint="0.79998168889431442"/>
        <bgColor indexed="64"/>
      </patternFill>
    </fill>
    <fill>
      <patternFill patternType="solid">
        <fgColor rgb="FFB9CDE5"/>
      </patternFill>
    </fill>
    <fill>
      <patternFill patternType="solid">
        <fgColor rgb="FFDCE6F2"/>
      </patternFill>
    </fill>
    <fill>
      <patternFill patternType="solid">
        <fgColor rgb="FFF1F5F9"/>
      </patternFill>
    </fill>
    <fill>
      <patternFill patternType="solid">
        <fgColor rgb="FFFFD5AB"/>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F0000"/>
        <bgColor indexed="64"/>
      </patternFill>
    </fill>
    <fill>
      <patternFill patternType="solid">
        <fgColor theme="4" tint="0.59999389629810485"/>
        <bgColor indexed="64"/>
      </patternFill>
    </fill>
    <fill>
      <patternFill patternType="solid">
        <fgColor rgb="FFFFC7CE"/>
      </patternFill>
    </fill>
    <fill>
      <patternFill patternType="solid">
        <fgColor indexed="65"/>
      </patternFill>
    </fill>
    <fill>
      <patternFill patternType="solid">
        <fgColor indexed="5"/>
        <bgColor indexed="5"/>
      </patternFill>
    </fill>
    <fill>
      <patternFill patternType="solid">
        <fgColor theme="4" tint="0.80001220740379042"/>
        <bgColor theme="4" tint="0.80001220740379042"/>
      </patternFill>
    </fill>
    <fill>
      <patternFill patternType="solid">
        <fgColor theme="4" tint="0.80001220740379042"/>
        <bgColor indexed="64"/>
      </patternFill>
    </fill>
    <fill>
      <patternFill patternType="solid">
        <fgColor indexed="45"/>
        <bgColor indexed="45"/>
      </patternFill>
    </fill>
    <fill>
      <patternFill patternType="solid">
        <fgColor theme="5" tint="0.80001220740379042"/>
        <bgColor theme="5" tint="0.80001220740379042"/>
      </patternFill>
    </fill>
    <fill>
      <patternFill patternType="solid">
        <fgColor theme="5" tint="0.80001220740379042"/>
        <bgColor indexed="64"/>
      </patternFill>
    </fill>
    <fill>
      <patternFill patternType="solid">
        <fgColor indexed="45"/>
        <bgColor indexed="64"/>
      </patternFill>
    </fill>
    <fill>
      <patternFill patternType="solid">
        <fgColor theme="6" tint="0.80001220740379042"/>
        <bgColor theme="6" tint="0.80001220740379042"/>
      </patternFill>
    </fill>
    <fill>
      <patternFill patternType="solid">
        <fgColor theme="6" tint="0.80001220740379042"/>
        <bgColor indexed="64"/>
      </patternFill>
    </fill>
    <fill>
      <patternFill patternType="solid">
        <fgColor theme="7" tint="0.80001220740379042"/>
        <bgColor theme="7" tint="0.80001220740379042"/>
      </patternFill>
    </fill>
    <fill>
      <patternFill patternType="solid">
        <fgColor theme="7" tint="0.80001220740379042"/>
        <bgColor indexed="64"/>
      </patternFill>
    </fill>
    <fill>
      <patternFill patternType="solid">
        <fgColor theme="8" tint="0.80001220740379042"/>
        <bgColor theme="8" tint="0.80001220740379042"/>
      </patternFill>
    </fill>
    <fill>
      <patternFill patternType="solid">
        <fgColor theme="8" tint="0.80001220740379042"/>
        <bgColor indexed="64"/>
      </patternFill>
    </fill>
    <fill>
      <patternFill patternType="solid">
        <fgColor theme="9" tint="0.80001220740379042"/>
        <bgColor theme="9" tint="0.80001220740379042"/>
      </patternFill>
    </fill>
    <fill>
      <patternFill patternType="solid">
        <fgColor theme="9" tint="0.80001220740379042"/>
        <bgColor indexed="64"/>
      </patternFill>
    </fill>
    <fill>
      <patternFill patternType="solid">
        <fgColor indexed="31"/>
        <bgColor indexed="31"/>
      </patternFill>
    </fill>
    <fill>
      <patternFill patternType="solid">
        <fgColor indexed="31"/>
      </patternFill>
    </fill>
    <fill>
      <patternFill patternType="solid">
        <fgColor indexed="45"/>
      </patternFill>
    </fill>
    <fill>
      <patternFill patternType="solid">
        <fgColor indexed="42"/>
        <bgColor indexed="42"/>
      </patternFill>
    </fill>
    <fill>
      <patternFill patternType="solid">
        <fgColor indexed="42"/>
      </patternFill>
    </fill>
    <fill>
      <patternFill patternType="solid">
        <fgColor indexed="46"/>
        <bgColor indexed="46"/>
      </patternFill>
    </fill>
    <fill>
      <patternFill patternType="solid">
        <fgColor indexed="46"/>
      </patternFill>
    </fill>
    <fill>
      <patternFill patternType="solid">
        <fgColor indexed="27"/>
        <bgColor indexed="27"/>
      </patternFill>
    </fill>
    <fill>
      <patternFill patternType="solid">
        <fgColor indexed="27"/>
      </patternFill>
    </fill>
    <fill>
      <patternFill patternType="solid">
        <fgColor indexed="47"/>
        <bgColor indexed="47"/>
      </patternFill>
    </fill>
    <fill>
      <patternFill patternType="solid">
        <fgColor indexed="47"/>
      </patternFill>
    </fill>
    <fill>
      <patternFill patternType="solid">
        <fgColor theme="4" tint="0.59999389629810485"/>
        <bgColor theme="4" tint="0.59999389629810485"/>
      </patternFill>
    </fill>
    <fill>
      <patternFill patternType="solid">
        <fgColor theme="5" tint="0.59999389629810485"/>
        <bgColor theme="5" tint="0.59999389629810485"/>
      </patternFill>
    </fill>
    <fill>
      <patternFill patternType="solid">
        <fgColor theme="5" tint="0.59999389629810485"/>
        <bgColor indexed="64"/>
      </patternFill>
    </fill>
    <fill>
      <patternFill patternType="solid">
        <fgColor indexed="3"/>
        <bgColor indexed="3"/>
      </patternFill>
    </fill>
    <fill>
      <patternFill patternType="solid">
        <fgColor theme="6" tint="0.59999389629810485"/>
        <bgColor theme="6" tint="0.59999389629810485"/>
      </patternFill>
    </fill>
    <fill>
      <patternFill patternType="solid">
        <fgColor indexed="11"/>
        <bgColor indexed="64"/>
      </patternFill>
    </fill>
    <fill>
      <patternFill patternType="solid">
        <fgColor theme="7" tint="0.59999389629810485"/>
        <bgColor theme="7" tint="0.59999389629810485"/>
      </patternFill>
    </fill>
    <fill>
      <patternFill patternType="solid">
        <fgColor theme="8" tint="0.59999389629810485"/>
        <bgColor theme="8" tint="0.59999389629810485"/>
      </patternFill>
    </fill>
    <fill>
      <patternFill patternType="solid">
        <fgColor theme="8" tint="0.59999389629810485"/>
        <bgColor indexed="64"/>
      </patternFill>
    </fill>
    <fill>
      <patternFill patternType="solid">
        <fgColor theme="9" tint="0.59999389629810485"/>
        <bgColor theme="9" tint="0.59999389629810485"/>
      </patternFill>
    </fill>
    <fill>
      <patternFill patternType="solid">
        <fgColor theme="9" tint="0.59999389629810485"/>
        <bgColor indexed="64"/>
      </patternFill>
    </fill>
    <fill>
      <patternFill patternType="solid">
        <fgColor indexed="44"/>
        <bgColor indexed="44"/>
      </patternFill>
    </fill>
    <fill>
      <patternFill patternType="solid">
        <fgColor indexed="44"/>
      </patternFill>
    </fill>
    <fill>
      <patternFill patternType="solid">
        <fgColor indexed="29"/>
        <bgColor indexed="29"/>
      </patternFill>
    </fill>
    <fill>
      <patternFill patternType="solid">
        <fgColor indexed="29"/>
      </patternFill>
    </fill>
    <fill>
      <patternFill patternType="solid">
        <fgColor indexed="11"/>
      </patternFill>
    </fill>
    <fill>
      <patternFill patternType="solid">
        <fgColor indexed="51"/>
        <bgColor indexed="51"/>
      </patternFill>
    </fill>
    <fill>
      <patternFill patternType="solid">
        <fgColor indexed="51"/>
      </patternFill>
    </fill>
    <fill>
      <patternFill patternType="solid">
        <fgColor theme="4" tint="0.40000610370189521"/>
        <bgColor theme="4" tint="0.40000610370189521"/>
      </patternFill>
    </fill>
    <fill>
      <patternFill patternType="solid">
        <fgColor theme="4" tint="0.40000610370189521"/>
        <bgColor indexed="64"/>
      </patternFill>
    </fill>
    <fill>
      <patternFill patternType="solid">
        <fgColor theme="5" tint="0.40000610370189521"/>
        <bgColor theme="5" tint="0.40000610370189521"/>
      </patternFill>
    </fill>
    <fill>
      <patternFill patternType="solid">
        <fgColor theme="5" tint="0.40000610370189521"/>
        <bgColor indexed="64"/>
      </patternFill>
    </fill>
    <fill>
      <patternFill patternType="solid">
        <fgColor theme="6" tint="0.40000610370189521"/>
        <bgColor theme="6" tint="0.40000610370189521"/>
      </patternFill>
    </fill>
    <fill>
      <patternFill patternType="solid">
        <fgColor theme="6" tint="0.40000610370189521"/>
        <bgColor indexed="64"/>
      </patternFill>
    </fill>
    <fill>
      <patternFill patternType="solid">
        <fgColor theme="7" tint="0.40000610370189521"/>
        <bgColor theme="7" tint="0.40000610370189521"/>
      </patternFill>
    </fill>
    <fill>
      <patternFill patternType="solid">
        <fgColor theme="7" tint="0.40000610370189521"/>
        <bgColor indexed="64"/>
      </patternFill>
    </fill>
    <fill>
      <patternFill patternType="solid">
        <fgColor theme="8" tint="0.40000610370189521"/>
        <bgColor theme="8" tint="0.40000610370189521"/>
      </patternFill>
    </fill>
    <fill>
      <patternFill patternType="solid">
        <fgColor theme="8" tint="0.40000610370189521"/>
        <bgColor indexed="64"/>
      </patternFill>
    </fill>
    <fill>
      <patternFill patternType="solid">
        <fgColor theme="9" tint="0.40000610370189521"/>
        <bgColor theme="9" tint="0.40000610370189521"/>
      </patternFill>
    </fill>
    <fill>
      <patternFill patternType="solid">
        <fgColor theme="9" tint="0.40000610370189521"/>
        <bgColor indexed="64"/>
      </patternFill>
    </fill>
    <fill>
      <patternFill patternType="solid">
        <fgColor indexed="30"/>
        <bgColor indexed="30"/>
      </patternFill>
    </fill>
    <fill>
      <patternFill patternType="solid">
        <fgColor indexed="30"/>
      </patternFill>
    </fill>
    <fill>
      <patternFill patternType="solid">
        <fgColor indexed="20"/>
        <bgColor indexed="20"/>
      </patternFill>
    </fill>
    <fill>
      <patternFill patternType="solid">
        <fgColor indexed="36"/>
      </patternFill>
    </fill>
    <fill>
      <patternFill patternType="solid">
        <fgColor indexed="49"/>
        <bgColor indexed="49"/>
      </patternFill>
    </fill>
    <fill>
      <patternFill patternType="solid">
        <fgColor indexed="49"/>
      </patternFill>
    </fill>
    <fill>
      <patternFill patternType="solid">
        <fgColor indexed="52"/>
        <bgColor indexed="52"/>
      </patternFill>
    </fill>
    <fill>
      <patternFill patternType="solid">
        <fgColor indexed="52"/>
      </patternFill>
    </fill>
    <fill>
      <patternFill patternType="solid">
        <fgColor theme="4"/>
        <bgColor theme="4"/>
      </patternFill>
    </fill>
    <fill>
      <patternFill patternType="solid">
        <fgColor theme="4"/>
        <bgColor indexed="64"/>
      </patternFill>
    </fill>
    <fill>
      <patternFill patternType="solid">
        <fgColor theme="5"/>
        <bgColor theme="5"/>
      </patternFill>
    </fill>
    <fill>
      <patternFill patternType="solid">
        <fgColor theme="5"/>
        <bgColor indexed="64"/>
      </patternFill>
    </fill>
    <fill>
      <patternFill patternType="solid">
        <fgColor theme="6"/>
        <bgColor theme="6"/>
      </patternFill>
    </fill>
    <fill>
      <patternFill patternType="solid">
        <fgColor theme="6"/>
        <bgColor indexed="64"/>
      </patternFill>
    </fill>
    <fill>
      <patternFill patternType="solid">
        <fgColor theme="7"/>
        <bgColor theme="7"/>
      </patternFill>
    </fill>
    <fill>
      <patternFill patternType="solid">
        <fgColor theme="7"/>
        <bgColor indexed="64"/>
      </patternFill>
    </fill>
    <fill>
      <patternFill patternType="solid">
        <fgColor theme="8"/>
        <bgColor theme="8"/>
      </patternFill>
    </fill>
    <fill>
      <patternFill patternType="solid">
        <fgColor theme="8"/>
        <bgColor indexed="64"/>
      </patternFill>
    </fill>
    <fill>
      <patternFill patternType="solid">
        <fgColor theme="9"/>
        <bgColor theme="9"/>
      </patternFill>
    </fill>
    <fill>
      <patternFill patternType="solid">
        <fgColor theme="9"/>
        <bgColor indexed="64"/>
      </patternFill>
    </fill>
    <fill>
      <patternFill patternType="solid">
        <fgColor rgb="FFFFC7CE"/>
        <bgColor rgb="FFFFC7CE"/>
      </patternFill>
    </fill>
    <fill>
      <patternFill patternType="solid">
        <fgColor rgb="FFFFC7CE"/>
        <bgColor indexed="64"/>
      </patternFill>
    </fill>
    <fill>
      <patternFill patternType="solid">
        <fgColor rgb="FFF2F2F2"/>
        <bgColor rgb="FFF2F2F2"/>
      </patternFill>
    </fill>
    <fill>
      <patternFill patternType="solid">
        <fgColor rgb="FFF2F2F2"/>
        <bgColor indexed="64"/>
      </patternFill>
    </fill>
    <fill>
      <patternFill patternType="solid">
        <fgColor rgb="FFA5A5A5"/>
        <bgColor rgb="FFA5A5A5"/>
      </patternFill>
    </fill>
    <fill>
      <patternFill patternType="solid">
        <fgColor rgb="FFA5A5A5"/>
        <bgColor indexed="64"/>
      </patternFill>
    </fill>
    <fill>
      <patternFill patternType="solid">
        <fgColor rgb="FFFFD5AB"/>
        <bgColor rgb="FFFFD5AB"/>
      </patternFill>
    </fill>
    <fill>
      <patternFill patternType="solid">
        <fgColor rgb="FFB9CDE5"/>
        <bgColor rgb="FFB9CDE5"/>
      </patternFill>
    </fill>
    <fill>
      <patternFill patternType="solid">
        <fgColor rgb="FFF1F5F9"/>
        <bgColor rgb="FFF1F5F9"/>
      </patternFill>
    </fill>
    <fill>
      <patternFill patternType="solid">
        <fgColor rgb="FFDCE6F2"/>
        <bgColor rgb="FFDCE6F2"/>
      </patternFill>
    </fill>
    <fill>
      <patternFill patternType="solid">
        <fgColor rgb="FFC6EFCE"/>
        <bgColor rgb="FFC6EFCE"/>
      </patternFill>
    </fill>
    <fill>
      <patternFill patternType="solid">
        <fgColor rgb="FFC6EFCE"/>
        <bgColor indexed="64"/>
      </patternFill>
    </fill>
    <fill>
      <patternFill patternType="solid">
        <fgColor rgb="FFFFCC99"/>
        <bgColor indexed="64"/>
      </patternFill>
    </fill>
    <fill>
      <patternFill patternType="solid">
        <fgColor rgb="FFFFEB9C"/>
        <bgColor rgb="FFFFEB9C"/>
      </patternFill>
    </fill>
    <fill>
      <patternFill patternType="solid">
        <fgColor rgb="FFFFEB9C"/>
        <bgColor indexed="64"/>
      </patternFill>
    </fill>
    <fill>
      <patternFill patternType="solid">
        <fgColor indexed="26"/>
        <bgColor indexed="26"/>
      </patternFill>
    </fill>
    <fill>
      <patternFill patternType="solid">
        <fgColor rgb="FFFFFFCC"/>
        <bgColor indexed="64"/>
      </patternFill>
    </fill>
    <fill>
      <patternFill patternType="solid">
        <fgColor rgb="FFCCFFFF"/>
      </patternFill>
    </fill>
    <fill>
      <patternFill patternType="solid">
        <fgColor indexed="62"/>
        <bgColor indexed="62"/>
      </patternFill>
    </fill>
    <fill>
      <patternFill patternType="solid">
        <fgColor indexed="62"/>
        <bgColor indexed="56"/>
      </patternFill>
    </fill>
    <fill>
      <patternFill patternType="solid">
        <fgColor indexed="62"/>
      </patternFill>
    </fill>
    <fill>
      <patternFill patternType="solid">
        <fgColor indexed="2"/>
        <bgColor indexed="2"/>
      </patternFill>
    </fill>
    <fill>
      <patternFill patternType="solid">
        <fgColor indexed="2"/>
        <bgColor indexed="60"/>
      </patternFill>
    </fill>
    <fill>
      <patternFill patternType="solid">
        <fgColor indexed="10"/>
        <bgColor indexed="60"/>
      </patternFill>
    </fill>
    <fill>
      <patternFill patternType="solid">
        <fgColor indexed="10"/>
      </patternFill>
    </fill>
    <fill>
      <patternFill patternType="solid">
        <fgColor indexed="57"/>
        <bgColor indexed="57"/>
      </patternFill>
    </fill>
    <fill>
      <patternFill patternType="solid">
        <fgColor indexed="57"/>
        <bgColor indexed="21"/>
      </patternFill>
    </fill>
    <fill>
      <patternFill patternType="solid">
        <fgColor indexed="57"/>
      </patternFill>
    </fill>
    <fill>
      <patternFill patternType="solid">
        <fgColor indexed="20"/>
        <bgColor indexed="36"/>
      </patternFill>
    </fill>
    <fill>
      <patternFill patternType="solid">
        <fgColor indexed="49"/>
        <bgColor indexed="40"/>
      </patternFill>
    </fill>
    <fill>
      <patternFill patternType="solid">
        <fgColor indexed="53"/>
        <bgColor indexed="53"/>
      </patternFill>
    </fill>
    <fill>
      <patternFill patternType="solid">
        <fgColor indexed="53"/>
        <bgColor indexed="52"/>
      </patternFill>
    </fill>
    <fill>
      <patternFill patternType="solid">
        <fgColor indexed="53"/>
      </patternFill>
    </fill>
    <fill>
      <patternFill patternType="solid">
        <fgColor indexed="47"/>
        <bgColor indexed="22"/>
      </patternFill>
    </fill>
    <fill>
      <patternFill patternType="solid">
        <fgColor indexed="22"/>
        <bgColor indexed="22"/>
      </patternFill>
    </fill>
    <fill>
      <patternFill patternType="solid">
        <fgColor indexed="22"/>
        <bgColor indexed="31"/>
      </patternFill>
    </fill>
    <fill>
      <patternFill patternType="solid">
        <fgColor indexed="22"/>
      </patternFill>
    </fill>
    <fill>
      <patternFill patternType="solid">
        <fgColor indexed="55"/>
        <bgColor indexed="55"/>
      </patternFill>
    </fill>
    <fill>
      <patternFill patternType="solid">
        <fgColor indexed="55"/>
        <bgColor indexed="23"/>
      </patternFill>
    </fill>
    <fill>
      <patternFill patternType="solid">
        <fgColor indexed="55"/>
      </patternFill>
    </fill>
    <fill>
      <patternFill patternType="solid">
        <fgColor indexed="43"/>
        <bgColor indexed="43"/>
      </patternFill>
    </fill>
    <fill>
      <patternFill patternType="solid">
        <fgColor indexed="43"/>
        <bgColor indexed="26"/>
      </patternFill>
    </fill>
    <fill>
      <patternFill patternType="solid">
        <fgColor indexed="43"/>
      </patternFill>
    </fill>
    <fill>
      <patternFill patternType="solid">
        <fgColor indexed="45"/>
        <bgColor indexed="29"/>
      </patternFill>
    </fill>
    <fill>
      <patternFill patternType="solid">
        <fgColor indexed="26"/>
      </patternFill>
    </fill>
    <fill>
      <patternFill patternType="solid">
        <fgColor indexed="26"/>
        <bgColor indexed="9"/>
      </patternFill>
    </fill>
    <fill>
      <patternFill patternType="solid">
        <fgColor indexed="42"/>
        <bgColor indexed="27"/>
      </patternFill>
    </fill>
    <fill>
      <patternFill patternType="solid">
        <fgColor rgb="FFCC66FF"/>
        <bgColor indexed="64"/>
      </patternFill>
    </fill>
    <fill>
      <patternFill patternType="solid">
        <fgColor rgb="FF00B0F0"/>
        <bgColor indexed="64"/>
      </patternFill>
    </fill>
    <fill>
      <patternFill patternType="solid">
        <fgColor rgb="FFB3A3F5"/>
        <bgColor indexed="64"/>
      </patternFill>
    </fill>
    <fill>
      <patternFill patternType="solid">
        <fgColor theme="5" tint="-0.249977111117893"/>
        <bgColor indexed="64"/>
      </patternFill>
    </fill>
    <fill>
      <patternFill patternType="solid">
        <fgColor rgb="FFB3A3F5"/>
        <bgColor rgb="FF000000"/>
      </patternFill>
    </fill>
    <fill>
      <patternFill patternType="solid">
        <fgColor theme="4" tint="0.79998168889431442"/>
        <bgColor indexed="64"/>
      </patternFill>
    </fill>
    <fill>
      <patternFill patternType="solid">
        <fgColor rgb="FFCCCCFF"/>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0066"/>
        <bgColor indexed="64"/>
      </patternFill>
    </fill>
    <fill>
      <patternFill patternType="solid">
        <fgColor theme="0"/>
        <bgColor theme="0"/>
      </patternFill>
    </fill>
    <fill>
      <patternFill patternType="solid">
        <fgColor theme="7" tint="0.39997558519241921"/>
        <bgColor theme="7" tint="0.39997558519241921"/>
      </patternFill>
    </fill>
    <fill>
      <patternFill patternType="solid">
        <fgColor theme="5" tint="0.39997558519241921"/>
        <bgColor theme="5" tint="0.39997558519241921"/>
      </patternFill>
    </fill>
    <fill>
      <patternFill patternType="solid">
        <fgColor theme="5" tint="0.79998168889431442"/>
        <bgColor theme="5" tint="0.79998168889431442"/>
      </patternFill>
    </fill>
    <fill>
      <patternFill patternType="solid">
        <fgColor rgb="FFCC00FF"/>
        <bgColor rgb="FFCC00FF"/>
      </patternFill>
    </fill>
    <fill>
      <patternFill patternType="solid">
        <fgColor theme="4" tint="0.79998168889431442"/>
        <bgColor theme="4" tint="0.79998168889431442"/>
      </patternFill>
    </fill>
    <fill>
      <patternFill patternType="solid">
        <fgColor theme="9" tint="0.39997558519241921"/>
        <bgColor theme="9" tint="0.39997558519241921"/>
      </patternFill>
    </fill>
    <fill>
      <patternFill patternType="solid">
        <fgColor theme="0"/>
        <bgColor indexed="5"/>
      </patternFill>
    </fill>
    <fill>
      <patternFill patternType="solid">
        <fgColor theme="0"/>
        <bgColor rgb="FF92D050"/>
      </patternFill>
    </fill>
    <fill>
      <patternFill patternType="solid">
        <fgColor theme="0"/>
        <bgColor theme="4" tint="0.39997558519241921"/>
      </patternFill>
    </fill>
    <fill>
      <patternFill patternType="solid">
        <fgColor rgb="FFCC00FF"/>
        <bgColor indexed="64"/>
      </patternFill>
    </fill>
    <fill>
      <patternFill patternType="solid">
        <fgColor rgb="FFFF0000"/>
        <bgColor indexed="5"/>
      </patternFill>
    </fill>
    <fill>
      <patternFill patternType="solid">
        <fgColor theme="0"/>
        <bgColor rgb="FF00B0F0"/>
      </patternFill>
    </fill>
    <fill>
      <patternFill patternType="solid">
        <fgColor rgb="FFFF0000"/>
        <bgColor theme="0"/>
      </patternFill>
    </fill>
    <fill>
      <patternFill patternType="solid">
        <fgColor theme="9" tint="-0.249977111117893"/>
        <bgColor indexed="64"/>
      </patternFill>
    </fill>
    <fill>
      <patternFill patternType="solid">
        <fgColor theme="8" tint="0.39997558519241921"/>
        <bgColor indexed="64"/>
      </patternFill>
    </fill>
  </fills>
  <borders count="9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8"/>
      </top>
      <bottom style="thin">
        <color indexed="8"/>
      </bottom>
      <diagonal/>
    </border>
    <border>
      <left/>
      <right style="thin">
        <color indexed="64"/>
      </right>
      <top/>
      <bottom/>
      <diagonal/>
    </border>
    <border>
      <left style="thin">
        <color rgb="FFA6A6A6"/>
      </left>
      <right style="thin">
        <color rgb="FFD9D9D9"/>
      </right>
      <top style="thin">
        <color rgb="FFA6A6A6"/>
      </top>
      <bottom style="thin">
        <color rgb="FFD9D9D9"/>
      </bottom>
      <diagonal/>
    </border>
    <border>
      <left style="thin">
        <color rgb="FFD9D9D9"/>
      </left>
      <right style="thin">
        <color rgb="FFD9D9D9"/>
      </right>
      <top style="thin">
        <color rgb="FFA6A6A6"/>
      </top>
      <bottom style="thin">
        <color rgb="FFD9D9D9"/>
      </bottom>
      <diagonal/>
    </border>
    <border>
      <left style="thin">
        <color rgb="FFD9D9D9"/>
      </left>
      <right style="thin">
        <color rgb="FFA6A6A6"/>
      </right>
      <top style="thin">
        <color rgb="FFA6A6A6"/>
      </top>
      <bottom style="thin">
        <color rgb="FFD9D9D9"/>
      </bottom>
      <diagonal/>
    </border>
    <border>
      <left style="thin">
        <color rgb="FFA6A6A6"/>
      </left>
      <right style="thin">
        <color rgb="FFD9D9D9"/>
      </right>
      <top style="thin">
        <color rgb="FFD9D9D9"/>
      </top>
      <bottom style="thin">
        <color rgb="FFA6A6A6"/>
      </bottom>
      <diagonal/>
    </border>
    <border>
      <left style="thin">
        <color rgb="FFD9D9D9"/>
      </left>
      <right style="thin">
        <color rgb="FFD9D9D9"/>
      </right>
      <top style="thin">
        <color rgb="FFD9D9D9"/>
      </top>
      <bottom style="thin">
        <color rgb="FFA6A6A6"/>
      </bottom>
      <diagonal/>
    </border>
    <border>
      <left style="thin">
        <color rgb="FFD9D9D9"/>
      </left>
      <right style="thin">
        <color rgb="FFA6A6A6"/>
      </right>
      <top style="thin">
        <color rgb="FFD9D9D9"/>
      </top>
      <bottom style="thin">
        <color rgb="FFA6A6A6"/>
      </bottom>
      <diagonal/>
    </border>
    <border>
      <left style="thin">
        <color rgb="FF95B3D7"/>
      </left>
      <right/>
      <top/>
      <bottom style="medium">
        <color rgb="FF95B3D7"/>
      </bottom>
      <diagonal/>
    </border>
    <border>
      <left/>
      <right/>
      <top/>
      <bottom style="medium">
        <color rgb="FF95B3D7"/>
      </bottom>
      <diagonal/>
    </border>
    <border>
      <left/>
      <right style="thin">
        <color rgb="FF95B3D7"/>
      </right>
      <top/>
      <bottom style="medium">
        <color rgb="FF95B3D7"/>
      </bottom>
      <diagonal/>
    </border>
    <border>
      <left style="thin">
        <color rgb="FFB9CDE5"/>
      </left>
      <right style="thin">
        <color rgb="FFD9D9D9"/>
      </right>
      <top/>
      <bottom style="thin">
        <color rgb="FFB9CDE5"/>
      </bottom>
      <diagonal/>
    </border>
    <border>
      <left style="thin">
        <color rgb="FFD9D9D9"/>
      </left>
      <right style="thin">
        <color rgb="FFD9D9D9"/>
      </right>
      <top/>
      <bottom style="thin">
        <color rgb="FFB9CDE5"/>
      </bottom>
      <diagonal/>
    </border>
    <border>
      <left style="thin">
        <color rgb="FFD9D9D9"/>
      </left>
      <right style="thin">
        <color rgb="FFB9CDE5"/>
      </right>
      <top/>
      <bottom style="thin">
        <color rgb="FFB9CDE5"/>
      </bottom>
      <diagonal/>
    </border>
    <border>
      <left style="thin">
        <color rgb="FFBFBFBF"/>
      </left>
      <right style="thin">
        <color rgb="FFD9D9D9"/>
      </right>
      <top/>
      <bottom style="thin">
        <color rgb="FFD9D9D9"/>
      </bottom>
      <diagonal/>
    </border>
    <border>
      <left style="thin">
        <color rgb="FFD9D9D9"/>
      </left>
      <right style="thin">
        <color rgb="FFD9D9D9"/>
      </right>
      <top/>
      <bottom style="thin">
        <color rgb="FFD9D9D9"/>
      </bottom>
      <diagonal/>
    </border>
    <border>
      <left style="thin">
        <color rgb="FFD9D9D9"/>
      </left>
      <right style="thin">
        <color rgb="FFBFBFBF"/>
      </right>
      <top/>
      <bottom style="thin">
        <color rgb="FFD9D9D9"/>
      </bottom>
      <diagonal/>
    </border>
    <border>
      <left style="thin">
        <color rgb="FFBFBFBF"/>
      </left>
      <right/>
      <top style="thin">
        <color rgb="FFBFBFBF"/>
      </top>
      <bottom style="medium">
        <color rgb="FFFAC090"/>
      </bottom>
      <diagonal/>
    </border>
    <border>
      <left/>
      <right/>
      <top style="thin">
        <color rgb="FFBFBFBF"/>
      </top>
      <bottom style="medium">
        <color rgb="FFFAC090"/>
      </bottom>
      <diagonal/>
    </border>
    <border>
      <left/>
      <right style="thin">
        <color rgb="FFBFBFBF"/>
      </right>
      <top style="thin">
        <color rgb="FFBFBFBF"/>
      </top>
      <bottom style="medium">
        <color rgb="FFFAC090"/>
      </bottom>
      <diagonal/>
    </border>
    <border>
      <left style="thin">
        <color rgb="FFFAC090"/>
      </left>
      <right/>
      <top style="medium">
        <color rgb="FFFAC090"/>
      </top>
      <bottom style="medium">
        <color rgb="FFFAC090"/>
      </bottom>
      <diagonal/>
    </border>
    <border>
      <left/>
      <right/>
      <top style="medium">
        <color rgb="FFFAC090"/>
      </top>
      <bottom style="medium">
        <color rgb="FFFAC090"/>
      </bottom>
      <diagonal/>
    </border>
    <border>
      <left/>
      <right style="thin">
        <color rgb="FFFAC090"/>
      </right>
      <top style="medium">
        <color rgb="FFFAC090"/>
      </top>
      <bottom style="medium">
        <color rgb="FFFAC090"/>
      </bottom>
      <diagonal/>
    </border>
    <border>
      <left/>
      <right/>
      <top style="medium">
        <color rgb="FFFAC09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diagonal/>
    </border>
    <border>
      <left style="medium">
        <color indexed="64"/>
      </left>
      <right style="thin">
        <color rgb="FF000000"/>
      </right>
      <top style="thin">
        <color rgb="FF000000"/>
      </top>
      <bottom style="thin">
        <color rgb="FF000000"/>
      </bottom>
      <diagonal/>
    </border>
    <border>
      <left style="medium">
        <color indexed="64"/>
      </left>
      <right/>
      <top style="thin">
        <color rgb="FF000000"/>
      </top>
      <bottom/>
      <diagonal/>
    </border>
    <border>
      <left style="medium">
        <color indexed="64"/>
      </left>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style="thin">
        <color rgb="FF000000"/>
      </left>
      <right style="thin">
        <color rgb="FF000000"/>
      </right>
      <top style="thin">
        <color rgb="FF000000"/>
      </top>
      <bottom style="thin">
        <color rgb="FF00000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style="thin">
        <color rgb="FFBFBFBF"/>
      </right>
      <top/>
      <bottom style="thin">
        <color rgb="FFD9D9D9"/>
      </bottom>
      <diagonal/>
    </border>
    <border>
      <left style="thin">
        <color rgb="FFD9D9D9"/>
      </left>
      <right style="thin">
        <color rgb="FFD9D9D9"/>
      </right>
      <top/>
      <bottom/>
      <diagonal/>
    </border>
    <border>
      <left style="thin">
        <color rgb="FFBFBFBF"/>
      </left>
      <right style="thin">
        <color rgb="FFD9D9D9"/>
      </right>
      <top/>
      <bottom/>
      <diagonal/>
    </border>
    <border>
      <left style="thin">
        <color rgb="FFD9D9D9"/>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3904">
    <xf numFmtId="0" fontId="0" fillId="0" borderId="0"/>
    <xf numFmtId="164" fontId="19" fillId="0" borderId="0" applyFont="0" applyFill="0" applyBorder="0" applyAlignment="0" applyProtection="0"/>
    <xf numFmtId="0" fontId="24" fillId="4" borderId="0"/>
    <xf numFmtId="9" fontId="19" fillId="0" borderId="0" applyFont="0" applyFill="0" applyBorder="0" applyAlignment="0" applyProtection="0"/>
    <xf numFmtId="0" fontId="25" fillId="0" borderId="0"/>
    <xf numFmtId="0" fontId="26" fillId="0" borderId="0"/>
    <xf numFmtId="0" fontId="34" fillId="0" borderId="0"/>
    <xf numFmtId="168" fontId="34" fillId="0" borderId="0" applyFont="0" applyFill="0" applyBorder="0" applyAlignment="0" applyProtection="0"/>
    <xf numFmtId="0" fontId="43" fillId="0" borderId="0"/>
    <xf numFmtId="168" fontId="43" fillId="0" borderId="0" applyFont="0" applyFill="0" applyBorder="0" applyAlignment="0" applyProtection="0"/>
    <xf numFmtId="9" fontId="59" fillId="0" borderId="0" applyFont="0" applyFill="0" applyBorder="0" applyAlignment="0" applyProtection="0"/>
    <xf numFmtId="0" fontId="72" fillId="0" borderId="0">
      <alignment horizontal="center" vertical="top" wrapText="1"/>
    </xf>
    <xf numFmtId="0" fontId="73" fillId="0" borderId="0"/>
    <xf numFmtId="0" fontId="74" fillId="0" borderId="0">
      <alignment horizontal="right" vertical="top" wrapText="1"/>
    </xf>
    <xf numFmtId="49" fontId="75" fillId="0" borderId="18">
      <alignment horizontal="center" vertical="center" wrapText="1"/>
    </xf>
    <xf numFmtId="49" fontId="75" fillId="0" borderId="19">
      <alignment horizontal="center" vertical="center" wrapText="1"/>
    </xf>
    <xf numFmtId="49" fontId="75" fillId="0" borderId="20">
      <alignment horizontal="center" vertical="center" wrapText="1"/>
    </xf>
    <xf numFmtId="49" fontId="75" fillId="0" borderId="21">
      <alignment horizontal="center" vertical="center" wrapText="1"/>
    </xf>
    <xf numFmtId="49" fontId="75" fillId="0" borderId="22">
      <alignment horizontal="center" vertical="center" wrapText="1"/>
    </xf>
    <xf numFmtId="49" fontId="75" fillId="0" borderId="23">
      <alignment horizontal="center" vertical="center" wrapText="1"/>
    </xf>
    <xf numFmtId="0" fontId="76" fillId="21" borderId="24">
      <alignment horizontal="left" vertical="top" wrapText="1"/>
    </xf>
    <xf numFmtId="49" fontId="76" fillId="21" borderId="25">
      <alignment horizontal="center" vertical="top" wrapText="1" shrinkToFit="1"/>
    </xf>
    <xf numFmtId="0" fontId="76" fillId="21" borderId="25">
      <alignment horizontal="left" vertical="top" wrapText="1"/>
    </xf>
    <xf numFmtId="4" fontId="76" fillId="21" borderId="25">
      <alignment horizontal="right" vertical="top" wrapText="1" shrinkToFit="1"/>
    </xf>
    <xf numFmtId="0" fontId="76" fillId="21" borderId="26">
      <alignment horizontal="right" vertical="top" shrinkToFit="1"/>
    </xf>
    <xf numFmtId="0" fontId="75" fillId="22" borderId="27">
      <alignment horizontal="left" vertical="top" wrapText="1"/>
    </xf>
    <xf numFmtId="49" fontId="75" fillId="22" borderId="28">
      <alignment horizontal="center" vertical="top" shrinkToFit="1"/>
    </xf>
    <xf numFmtId="0" fontId="75" fillId="22" borderId="28">
      <alignment horizontal="left" vertical="top" wrapText="1"/>
    </xf>
    <xf numFmtId="4" fontId="75" fillId="22" borderId="28">
      <alignment horizontal="right" vertical="top" shrinkToFit="1"/>
    </xf>
    <xf numFmtId="0" fontId="75" fillId="22" borderId="29">
      <alignment horizontal="right" vertical="top" shrinkToFit="1"/>
    </xf>
    <xf numFmtId="0" fontId="75" fillId="23" borderId="30">
      <alignment horizontal="left" vertical="top" wrapText="1"/>
    </xf>
    <xf numFmtId="49" fontId="75" fillId="23" borderId="31">
      <alignment horizontal="center" vertical="top" shrinkToFit="1"/>
    </xf>
    <xf numFmtId="0" fontId="75" fillId="23" borderId="31">
      <alignment horizontal="left" vertical="top" wrapText="1"/>
    </xf>
    <xf numFmtId="4" fontId="75" fillId="23" borderId="31">
      <alignment horizontal="right" vertical="top" shrinkToFit="1"/>
    </xf>
    <xf numFmtId="0" fontId="75" fillId="23" borderId="32">
      <alignment horizontal="right" vertical="top" shrinkToFit="1"/>
    </xf>
    <xf numFmtId="0" fontId="77" fillId="0" borderId="30">
      <alignment horizontal="left" vertical="top" wrapText="1"/>
    </xf>
    <xf numFmtId="49" fontId="74" fillId="0" borderId="31">
      <alignment horizontal="center" vertical="top" shrinkToFit="1"/>
    </xf>
    <xf numFmtId="0" fontId="74" fillId="0" borderId="31">
      <alignment horizontal="left" vertical="top" wrapText="1"/>
    </xf>
    <xf numFmtId="4" fontId="74" fillId="0" borderId="31">
      <alignment horizontal="right" vertical="top" shrinkToFit="1"/>
    </xf>
    <xf numFmtId="0" fontId="74" fillId="0" borderId="32">
      <alignment horizontal="right" vertical="top" shrinkToFit="1"/>
    </xf>
    <xf numFmtId="0" fontId="77" fillId="0" borderId="30">
      <alignment horizontal="left" vertical="top" wrapText="1"/>
    </xf>
    <xf numFmtId="49" fontId="74" fillId="0" borderId="31">
      <alignment horizontal="center" vertical="top" shrinkToFit="1"/>
    </xf>
    <xf numFmtId="0" fontId="74" fillId="0" borderId="31">
      <alignment horizontal="left" vertical="top" wrapText="1"/>
    </xf>
    <xf numFmtId="4" fontId="74" fillId="0" borderId="31">
      <alignment horizontal="right" vertical="top" shrinkToFit="1"/>
    </xf>
    <xf numFmtId="0" fontId="74" fillId="0" borderId="33"/>
    <xf numFmtId="0" fontId="74" fillId="0" borderId="34"/>
    <xf numFmtId="0" fontId="74" fillId="0" borderId="35"/>
    <xf numFmtId="0" fontId="76" fillId="24" borderId="36"/>
    <xf numFmtId="0" fontId="76" fillId="24" borderId="37"/>
    <xf numFmtId="4" fontId="76" fillId="24" borderId="37">
      <alignment horizontal="right" shrinkToFit="1"/>
    </xf>
    <xf numFmtId="0" fontId="76" fillId="24" borderId="38"/>
    <xf numFmtId="0" fontId="74" fillId="0" borderId="39"/>
    <xf numFmtId="0" fontId="74" fillId="0" borderId="0">
      <alignment horizontal="left" vertical="top" wrapText="1"/>
    </xf>
    <xf numFmtId="0" fontId="78" fillId="0" borderId="0">
      <alignment vertical="top" wrapText="1"/>
    </xf>
    <xf numFmtId="0" fontId="79" fillId="0" borderId="0">
      <alignment vertical="top" wrapText="1"/>
    </xf>
    <xf numFmtId="0" fontId="24" fillId="4" borderId="0"/>
    <xf numFmtId="0" fontId="119" fillId="0" borderId="0"/>
    <xf numFmtId="0" fontId="132" fillId="30" borderId="0"/>
    <xf numFmtId="0" fontId="119" fillId="32" borderId="0" applyNumberFormat="0" applyBorder="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19" fillId="32" borderId="0" applyNumberFormat="0" applyBorder="0" applyProtection="0"/>
    <xf numFmtId="0" fontId="119" fillId="34" borderId="0" applyNumberFormat="0" applyBorder="0" applyProtection="0"/>
    <xf numFmtId="0" fontId="119" fillId="35" borderId="0" applyNumberFormat="0" applyBorder="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119" fillId="35" borderId="0" applyNumberFormat="0" applyBorder="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119" fillId="34" borderId="0" applyNumberFormat="0" applyBorder="0" applyProtection="0"/>
    <xf numFmtId="0" fontId="119" fillId="38" borderId="0" applyNumberFormat="0" applyBorder="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119" fillId="38" borderId="0" applyNumberFormat="0" applyBorder="0" applyProtection="0"/>
    <xf numFmtId="0" fontId="119" fillId="40" borderId="0" applyNumberFormat="0" applyBorder="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119" fillId="40" borderId="0" applyNumberFormat="0" applyBorder="0" applyProtection="0"/>
    <xf numFmtId="0" fontId="119" fillId="42" borderId="0" applyNumberFormat="0" applyBorder="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119" fillId="42" borderId="0" applyNumberFormat="0" applyBorder="0" applyProtection="0"/>
    <xf numFmtId="0" fontId="119" fillId="44" borderId="0" applyNumberFormat="0" applyBorder="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119" fillId="44" borderId="0" applyNumberFormat="0" applyBorder="0" applyProtection="0"/>
    <xf numFmtId="0" fontId="137" fillId="46" borderId="0" applyNumberFormat="0" applyBorder="0" applyProtection="0"/>
    <xf numFmtId="0" fontId="137" fillId="46" borderId="0" applyNumberFormat="0" applyBorder="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37" fillId="46" borderId="0" applyNumberFormat="0" applyBorder="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37" fillId="46" borderId="0" applyNumberFormat="0" applyBorder="0" applyProtection="0"/>
    <xf numFmtId="0" fontId="137" fillId="46" borderId="0" applyNumberFormat="0" applyBorder="0" applyProtection="0"/>
    <xf numFmtId="0" fontId="137" fillId="34" borderId="0" applyNumberFormat="0" applyBorder="0" applyProtection="0"/>
    <xf numFmtId="0" fontId="137" fillId="34" borderId="0" applyNumberFormat="0" applyBorder="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37" fillId="34" borderId="0" applyNumberFormat="0" applyBorder="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37" fillId="34" borderId="0" applyNumberFormat="0" applyBorder="0" applyProtection="0"/>
    <xf numFmtId="0" fontId="137" fillId="34" borderId="0" applyNumberFormat="0" applyBorder="0" applyProtection="0"/>
    <xf numFmtId="0" fontId="137" fillId="49" borderId="0" applyNumberFormat="0" applyBorder="0" applyProtection="0"/>
    <xf numFmtId="0" fontId="137" fillId="49" borderId="0" applyNumberFormat="0" applyBorder="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37" fillId="49" borderId="0" applyNumberFormat="0" applyBorder="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37" fillId="49" borderId="0" applyNumberFormat="0" applyBorder="0" applyProtection="0"/>
    <xf numFmtId="0" fontId="137" fillId="49" borderId="0" applyNumberFormat="0" applyBorder="0" applyProtection="0"/>
    <xf numFmtId="0" fontId="137" fillId="51" borderId="0" applyNumberFormat="0" applyBorder="0" applyProtection="0"/>
    <xf numFmtId="0" fontId="137" fillId="51" borderId="0" applyNumberFormat="0" applyBorder="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37" fillId="51" borderId="0" applyNumberFormat="0" applyBorder="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37" fillId="51" borderId="0" applyNumberFormat="0" applyBorder="0" applyProtection="0"/>
    <xf numFmtId="0" fontId="137" fillId="51" borderId="0" applyNumberFormat="0" applyBorder="0" applyProtection="0"/>
    <xf numFmtId="0" fontId="137" fillId="53" borderId="0" applyNumberFormat="0" applyBorder="0" applyProtection="0"/>
    <xf numFmtId="0" fontId="137" fillId="53" borderId="0" applyNumberFormat="0" applyBorder="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37" fillId="53" borderId="0" applyNumberFormat="0" applyBorder="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37" fillId="53" borderId="0" applyNumberFormat="0" applyBorder="0" applyProtection="0"/>
    <xf numFmtId="0" fontId="137" fillId="53" borderId="0" applyNumberFormat="0" applyBorder="0" applyProtection="0"/>
    <xf numFmtId="0" fontId="137" fillId="55" borderId="0" applyNumberFormat="0" applyBorder="0" applyProtection="0"/>
    <xf numFmtId="0" fontId="137" fillId="55" borderId="0" applyNumberFormat="0" applyBorder="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37" fillId="55" borderId="0" applyNumberFormat="0" applyBorder="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37" fillId="55" borderId="0" applyNumberFormat="0" applyBorder="0" applyProtection="0"/>
    <xf numFmtId="0" fontId="137" fillId="55" borderId="0" applyNumberFormat="0" applyBorder="0" applyProtection="0"/>
    <xf numFmtId="0" fontId="119" fillId="57" borderId="0" applyNumberFormat="0" applyBorder="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119" fillId="57" borderId="0" applyNumberFormat="0" applyBorder="0" applyProtection="0"/>
    <xf numFmtId="0" fontId="119" fillId="58" borderId="0" applyNumberFormat="0" applyBorder="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119" fillId="58" borderId="0" applyNumberFormat="0" applyBorder="0" applyProtection="0"/>
    <xf numFmtId="0" fontId="119" fillId="60" borderId="0" applyNumberFormat="0" applyBorder="0" applyProtection="0"/>
    <xf numFmtId="0" fontId="119" fillId="61" borderId="0" applyNumberFormat="0" applyBorder="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119" fillId="61" borderId="0" applyNumberFormat="0" applyBorder="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119" fillId="60" borderId="0" applyNumberFormat="0" applyBorder="0" applyProtection="0"/>
    <xf numFmtId="0" fontId="119" fillId="63" borderId="0" applyNumberFormat="0" applyBorder="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119" fillId="63" borderId="0" applyNumberFormat="0" applyBorder="0" applyProtection="0"/>
    <xf numFmtId="0" fontId="119" fillId="64" borderId="0" applyNumberFormat="0" applyBorder="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119" fillId="64" borderId="0" applyNumberFormat="0" applyBorder="0" applyProtection="0"/>
    <xf numFmtId="0" fontId="119" fillId="66" borderId="0" applyNumberFormat="0" applyBorder="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119" fillId="66" borderId="0" applyNumberFormat="0" applyBorder="0" applyProtection="0"/>
    <xf numFmtId="0" fontId="137" fillId="68" borderId="0" applyNumberFormat="0" applyBorder="0" applyProtection="0"/>
    <xf numFmtId="0" fontId="137" fillId="68" borderId="0" applyNumberFormat="0" applyBorder="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37" fillId="68" borderId="0" applyNumberFormat="0" applyBorder="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37" fillId="68" borderId="0" applyNumberFormat="0" applyBorder="0" applyProtection="0"/>
    <xf numFmtId="0" fontId="137" fillId="68" borderId="0" applyNumberFormat="0" applyBorder="0" applyProtection="0"/>
    <xf numFmtId="0" fontId="137" fillId="70" borderId="0" applyNumberFormat="0" applyBorder="0" applyProtection="0"/>
    <xf numFmtId="0" fontId="137" fillId="70" borderId="0" applyNumberFormat="0" applyBorder="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37" fillId="70" borderId="0" applyNumberFormat="0" applyBorder="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37" fillId="70" borderId="0" applyNumberFormat="0" applyBorder="0" applyProtection="0"/>
    <xf numFmtId="0" fontId="137" fillId="70" borderId="0" applyNumberFormat="0" applyBorder="0" applyProtection="0"/>
    <xf numFmtId="0" fontId="137" fillId="60" borderId="0" applyNumberFormat="0" applyBorder="0" applyProtection="0"/>
    <xf numFmtId="0" fontId="137" fillId="60" borderId="0" applyNumberFormat="0" applyBorder="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37" fillId="60" borderId="0" applyNumberFormat="0" applyBorder="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37" fillId="60" borderId="0" applyNumberFormat="0" applyBorder="0" applyProtection="0"/>
    <xf numFmtId="0" fontId="137" fillId="60" borderId="0" applyNumberFormat="0" applyBorder="0" applyProtection="0"/>
    <xf numFmtId="0" fontId="137" fillId="51" borderId="0" applyNumberFormat="0" applyBorder="0" applyProtection="0"/>
    <xf numFmtId="0" fontId="137" fillId="51" borderId="0" applyNumberFormat="0" applyBorder="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37" fillId="51" borderId="0" applyNumberFormat="0" applyBorder="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37" fillId="51" borderId="0" applyNumberFormat="0" applyBorder="0" applyProtection="0"/>
    <xf numFmtId="0" fontId="137" fillId="51" borderId="0" applyNumberFormat="0" applyBorder="0" applyProtection="0"/>
    <xf numFmtId="0" fontId="137" fillId="68" borderId="0" applyNumberFormat="0" applyBorder="0" applyProtection="0"/>
    <xf numFmtId="0" fontId="137" fillId="68" borderId="0" applyNumberFormat="0" applyBorder="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37" fillId="68" borderId="0" applyNumberFormat="0" applyBorder="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37" fillId="68" borderId="0" applyNumberFormat="0" applyBorder="0" applyProtection="0"/>
    <xf numFmtId="0" fontId="137" fillId="68" borderId="0" applyNumberFormat="0" applyBorder="0" applyProtection="0"/>
    <xf numFmtId="0" fontId="137" fillId="73" borderId="0" applyNumberFormat="0" applyBorder="0" applyProtection="0"/>
    <xf numFmtId="0" fontId="137" fillId="73" borderId="0" applyNumberFormat="0" applyBorder="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37" fillId="73" borderId="0" applyNumberFormat="0" applyBorder="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37" fillId="73" borderId="0" applyNumberFormat="0" applyBorder="0" applyProtection="0"/>
    <xf numFmtId="0" fontId="137" fillId="73" borderId="0" applyNumberFormat="0" applyBorder="0" applyProtection="0"/>
    <xf numFmtId="0" fontId="134" fillId="75" borderId="0" applyNumberFormat="0" applyBorder="0" applyProtection="0"/>
    <xf numFmtId="0" fontId="118" fillId="7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34" fillId="75" borderId="0" applyNumberFormat="0" applyBorder="0" applyProtection="0"/>
    <xf numFmtId="0" fontId="134" fillId="77" borderId="0" applyNumberFormat="0" applyBorder="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34" fillId="77" borderId="0" applyNumberFormat="0" applyBorder="0" applyProtection="0"/>
    <xf numFmtId="0" fontId="134" fillId="79" borderId="0" applyNumberFormat="0" applyBorder="0" applyProtection="0"/>
    <xf numFmtId="0" fontId="118" fillId="80" borderId="0" applyNumberFormat="0" applyBorder="0" applyAlignment="0" applyProtection="0"/>
    <xf numFmtId="0" fontId="118" fillId="80" borderId="0" applyNumberFormat="0" applyBorder="0" applyAlignment="0" applyProtection="0"/>
    <xf numFmtId="0" fontId="118" fillId="80" borderId="0" applyNumberFormat="0" applyBorder="0" applyAlignment="0" applyProtection="0"/>
    <xf numFmtId="0" fontId="118" fillId="80" borderId="0" applyNumberFormat="0" applyBorder="0" applyAlignment="0" applyProtection="0"/>
    <xf numFmtId="0" fontId="134" fillId="79" borderId="0" applyNumberFormat="0" applyBorder="0" applyProtection="0"/>
    <xf numFmtId="0" fontId="134" fillId="81" borderId="0" applyNumberFormat="0" applyBorder="0" applyProtection="0"/>
    <xf numFmtId="0" fontId="118" fillId="82" borderId="0" applyNumberFormat="0" applyBorder="0" applyAlignment="0" applyProtection="0"/>
    <xf numFmtId="0" fontId="118" fillId="82" borderId="0" applyNumberFormat="0" applyBorder="0" applyAlignment="0" applyProtection="0"/>
    <xf numFmtId="0" fontId="118" fillId="82" borderId="0" applyNumberFormat="0" applyBorder="0" applyAlignment="0" applyProtection="0"/>
    <xf numFmtId="0" fontId="118" fillId="82" borderId="0" applyNumberFormat="0" applyBorder="0" applyAlignment="0" applyProtection="0"/>
    <xf numFmtId="0" fontId="134" fillId="81" borderId="0" applyNumberFormat="0" applyBorder="0" applyProtection="0"/>
    <xf numFmtId="0" fontId="134" fillId="83" borderId="0" applyNumberFormat="0" applyBorder="0" applyProtection="0"/>
    <xf numFmtId="0" fontId="118" fillId="8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34" fillId="83" borderId="0" applyNumberFormat="0" applyBorder="0" applyProtection="0"/>
    <xf numFmtId="0" fontId="134" fillId="85" borderId="0" applyNumberFormat="0" applyBorder="0" applyProtection="0"/>
    <xf numFmtId="0" fontId="118" fillId="86"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34" fillId="85" borderId="0" applyNumberFormat="0" applyBorder="0" applyProtection="0"/>
    <xf numFmtId="0" fontId="138" fillId="87" borderId="0" applyNumberFormat="0" applyBorder="0" applyProtection="0"/>
    <xf numFmtId="0" fontId="139" fillId="88" borderId="0" applyNumberFormat="0" applyBorder="0" applyAlignment="0" applyProtection="0"/>
    <xf numFmtId="0" fontId="139" fillId="88" borderId="0" applyNumberFormat="0" applyBorder="0" applyAlignment="0" applyProtection="0"/>
    <xf numFmtId="0" fontId="139" fillId="88" borderId="0" applyNumberFormat="0" applyBorder="0" applyAlignment="0" applyProtection="0"/>
    <xf numFmtId="0" fontId="139" fillId="88" borderId="0" applyNumberFormat="0" applyBorder="0" applyAlignment="0" applyProtection="0"/>
    <xf numFmtId="0" fontId="138" fillId="87" borderId="0" applyNumberFormat="0" applyBorder="0" applyProtection="0"/>
    <xf numFmtId="0" fontId="138" fillId="70" borderId="0" applyNumberFormat="0" applyBorder="0" applyProtection="0"/>
    <xf numFmtId="0" fontId="139" fillId="71" borderId="0" applyNumberFormat="0" applyBorder="0" applyAlignment="0" applyProtection="0"/>
    <xf numFmtId="0" fontId="139" fillId="71" borderId="0" applyNumberFormat="0" applyBorder="0" applyAlignment="0" applyProtection="0"/>
    <xf numFmtId="0" fontId="139" fillId="71" borderId="0" applyNumberFormat="0" applyBorder="0" applyAlignment="0" applyProtection="0"/>
    <xf numFmtId="0" fontId="139" fillId="71" borderId="0" applyNumberFormat="0" applyBorder="0" applyAlignment="0" applyProtection="0"/>
    <xf numFmtId="0" fontId="138" fillId="70" borderId="0" applyNumberFormat="0" applyBorder="0" applyProtection="0"/>
    <xf numFmtId="0" fontId="138" fillId="60" borderId="0" applyNumberFormat="0" applyBorder="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8" fillId="60" borderId="0" applyNumberFormat="0" applyBorder="0" applyProtection="0"/>
    <xf numFmtId="0" fontId="138" fillId="89" borderId="0" applyNumberFormat="0" applyBorder="0" applyProtection="0"/>
    <xf numFmtId="0" fontId="139" fillId="90" borderId="0" applyNumberFormat="0" applyBorder="0" applyAlignment="0" applyProtection="0"/>
    <xf numFmtId="0" fontId="139" fillId="90" borderId="0" applyNumberFormat="0" applyBorder="0" applyAlignment="0" applyProtection="0"/>
    <xf numFmtId="0" fontId="139" fillId="90" borderId="0" applyNumberFormat="0" applyBorder="0" applyAlignment="0" applyProtection="0"/>
    <xf numFmtId="0" fontId="139" fillId="90" borderId="0" applyNumberFormat="0" applyBorder="0" applyAlignment="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91" borderId="0" applyNumberFormat="0" applyBorder="0" applyProtection="0"/>
    <xf numFmtId="0" fontId="139" fillId="92" borderId="0" applyNumberFormat="0" applyBorder="0" applyAlignment="0" applyProtection="0"/>
    <xf numFmtId="0" fontId="139" fillId="92" borderId="0" applyNumberFormat="0" applyBorder="0" applyAlignment="0" applyProtection="0"/>
    <xf numFmtId="0" fontId="139" fillId="92" borderId="0" applyNumberFormat="0" applyBorder="0" applyAlignment="0" applyProtection="0"/>
    <xf numFmtId="0" fontId="139" fillId="92" borderId="0" applyNumberFormat="0" applyBorder="0" applyAlignment="0" applyProtection="0"/>
    <xf numFmtId="0" fontId="138" fillId="91" borderId="0" applyNumberFormat="0" applyBorder="0" applyProtection="0"/>
    <xf numFmtId="0" fontId="138" fillId="93" borderId="0" applyNumberFormat="0" applyBorder="0" applyProtection="0"/>
    <xf numFmtId="0" fontId="139" fillId="94" borderId="0" applyNumberFormat="0" applyBorder="0" applyAlignment="0" applyProtection="0"/>
    <xf numFmtId="0" fontId="139" fillId="94" borderId="0" applyNumberFormat="0" applyBorder="0" applyAlignment="0" applyProtection="0"/>
    <xf numFmtId="0" fontId="139" fillId="94" borderId="0" applyNumberFormat="0" applyBorder="0" applyAlignment="0" applyProtection="0"/>
    <xf numFmtId="0" fontId="139" fillId="94" borderId="0" applyNumberFormat="0" applyBorder="0" applyAlignment="0" applyProtection="0"/>
    <xf numFmtId="0" fontId="138" fillId="93" borderId="0" applyNumberFormat="0" applyBorder="0" applyProtection="0"/>
    <xf numFmtId="0" fontId="134" fillId="95" borderId="0" applyNumberFormat="0" applyBorder="0" applyProtection="0"/>
    <xf numFmtId="0" fontId="118" fillId="96"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34" fillId="95" borderId="0" applyNumberFormat="0" applyBorder="0" applyProtection="0"/>
    <xf numFmtId="0" fontId="134" fillId="97" borderId="0" applyNumberFormat="0" applyBorder="0" applyProtection="0"/>
    <xf numFmtId="0" fontId="118" fillId="98" borderId="0" applyNumberFormat="0" applyBorder="0" applyAlignment="0" applyProtection="0"/>
    <xf numFmtId="0" fontId="118" fillId="98" borderId="0" applyNumberFormat="0" applyBorder="0" applyAlignment="0" applyProtection="0"/>
    <xf numFmtId="0" fontId="118" fillId="98" borderId="0" applyNumberFormat="0" applyBorder="0" applyAlignment="0" applyProtection="0"/>
    <xf numFmtId="0" fontId="118" fillId="98" borderId="0" applyNumberFormat="0" applyBorder="0" applyAlignment="0" applyProtection="0"/>
    <xf numFmtId="0" fontId="134" fillId="97" borderId="0" applyNumberFormat="0" applyBorder="0" applyProtection="0"/>
    <xf numFmtId="0" fontId="134" fillId="99" borderId="0" applyNumberFormat="0" applyBorder="0" applyProtection="0"/>
    <xf numFmtId="0" fontId="118" fillId="100" borderId="0" applyNumberFormat="0" applyBorder="0" applyAlignment="0" applyProtection="0"/>
    <xf numFmtId="0" fontId="118" fillId="100" borderId="0" applyNumberFormat="0" applyBorder="0" applyAlignment="0" applyProtection="0"/>
    <xf numFmtId="0" fontId="118" fillId="100" borderId="0" applyNumberFormat="0" applyBorder="0" applyAlignment="0" applyProtection="0"/>
    <xf numFmtId="0" fontId="118" fillId="100" borderId="0" applyNumberFormat="0" applyBorder="0" applyAlignment="0" applyProtection="0"/>
    <xf numFmtId="0" fontId="134" fillId="99" borderId="0" applyNumberFormat="0" applyBorder="0" applyProtection="0"/>
    <xf numFmtId="0" fontId="134" fillId="101" borderId="0" applyNumberFormat="0" applyBorder="0" applyProtection="0"/>
    <xf numFmtId="0" fontId="118" fillId="102" borderId="0" applyNumberFormat="0" applyBorder="0" applyAlignment="0" applyProtection="0"/>
    <xf numFmtId="0" fontId="118" fillId="102" borderId="0" applyNumberFormat="0" applyBorder="0" applyAlignment="0" applyProtection="0"/>
    <xf numFmtId="0" fontId="118" fillId="102" borderId="0" applyNumberFormat="0" applyBorder="0" applyAlignment="0" applyProtection="0"/>
    <xf numFmtId="0" fontId="118" fillId="102" borderId="0" applyNumberFormat="0" applyBorder="0" applyAlignment="0" applyProtection="0"/>
    <xf numFmtId="0" fontId="134" fillId="101" borderId="0" applyNumberFormat="0" applyBorder="0" applyProtection="0"/>
    <xf numFmtId="0" fontId="134" fillId="103" borderId="0" applyNumberFormat="0" applyBorder="0" applyProtection="0"/>
    <xf numFmtId="0" fontId="118" fillId="104" borderId="0" applyNumberFormat="0" applyBorder="0" applyAlignment="0" applyProtection="0"/>
    <xf numFmtId="0" fontId="118" fillId="104" borderId="0" applyNumberFormat="0" applyBorder="0" applyAlignment="0" applyProtection="0"/>
    <xf numFmtId="0" fontId="118" fillId="104" borderId="0" applyNumberFormat="0" applyBorder="0" applyAlignment="0" applyProtection="0"/>
    <xf numFmtId="0" fontId="118" fillId="104" borderId="0" applyNumberFormat="0" applyBorder="0" applyAlignment="0" applyProtection="0"/>
    <xf numFmtId="0" fontId="134" fillId="103" borderId="0" applyNumberFormat="0" applyBorder="0" applyProtection="0"/>
    <xf numFmtId="0" fontId="134" fillId="105" borderId="0" applyNumberFormat="0" applyBorder="0" applyProtection="0"/>
    <xf numFmtId="0" fontId="118" fillId="106" borderId="0" applyNumberFormat="0" applyBorder="0" applyAlignment="0" applyProtection="0"/>
    <xf numFmtId="0" fontId="118" fillId="106" borderId="0" applyNumberFormat="0" applyBorder="0" applyAlignment="0" applyProtection="0"/>
    <xf numFmtId="0" fontId="118" fillId="106" borderId="0" applyNumberFormat="0" applyBorder="0" applyAlignment="0" applyProtection="0"/>
    <xf numFmtId="0" fontId="118" fillId="106" borderId="0" applyNumberFormat="0" applyBorder="0" applyAlignment="0" applyProtection="0"/>
    <xf numFmtId="0" fontId="134" fillId="105" borderId="0" applyNumberFormat="0" applyBorder="0" applyProtection="0"/>
    <xf numFmtId="0" fontId="140" fillId="107" borderId="0" applyNumberFormat="0" applyBorder="0" applyProtection="0"/>
    <xf numFmtId="0" fontId="110" fillId="108" borderId="0" applyNumberFormat="0" applyBorder="0" applyAlignment="0" applyProtection="0"/>
    <xf numFmtId="0" fontId="110" fillId="108" borderId="0" applyNumberFormat="0" applyBorder="0" applyAlignment="0" applyProtection="0"/>
    <xf numFmtId="0" fontId="110" fillId="108" borderId="0" applyNumberFormat="0" applyBorder="0" applyAlignment="0" applyProtection="0"/>
    <xf numFmtId="0" fontId="110" fillId="108" borderId="0" applyNumberFormat="0" applyBorder="0" applyAlignment="0" applyProtection="0"/>
    <xf numFmtId="0" fontId="140" fillId="107" borderId="0" applyNumberFormat="0" applyBorder="0" applyProtection="0"/>
    <xf numFmtId="0" fontId="120" fillId="0" borderId="0"/>
    <xf numFmtId="0" fontId="120" fillId="0" borderId="0"/>
    <xf numFmtId="0" fontId="73" fillId="0" borderId="0"/>
    <xf numFmtId="0" fontId="73" fillId="0" borderId="0"/>
    <xf numFmtId="0" fontId="73" fillId="0" borderId="0"/>
    <xf numFmtId="0" fontId="73" fillId="0" borderId="0"/>
    <xf numFmtId="0" fontId="120" fillId="0" borderId="0"/>
    <xf numFmtId="0" fontId="141" fillId="0" borderId="0"/>
    <xf numFmtId="0" fontId="142" fillId="0" borderId="0"/>
    <xf numFmtId="0" fontId="142" fillId="0" borderId="0"/>
    <xf numFmtId="0" fontId="142" fillId="0" borderId="0"/>
    <xf numFmtId="0" fontId="142" fillId="0" borderId="0"/>
    <xf numFmtId="0" fontId="141" fillId="0" borderId="0"/>
    <xf numFmtId="0" fontId="73" fillId="0" borderId="0"/>
    <xf numFmtId="0" fontId="73" fillId="0" borderId="0"/>
    <xf numFmtId="0" fontId="73" fillId="0" borderId="0"/>
    <xf numFmtId="0" fontId="73" fillId="0" borderId="0"/>
    <xf numFmtId="0" fontId="120" fillId="0" borderId="0"/>
    <xf numFmtId="0" fontId="143" fillId="109" borderId="67" applyNumberFormat="0" applyProtection="0"/>
    <xf numFmtId="0" fontId="114" fillId="110" borderId="67" applyNumberFormat="0" applyAlignment="0" applyProtection="0"/>
    <xf numFmtId="0" fontId="114" fillId="110" borderId="67" applyNumberFormat="0" applyAlignment="0" applyProtection="0"/>
    <xf numFmtId="0" fontId="114" fillId="110" borderId="67" applyNumberFormat="0" applyAlignment="0" applyProtection="0"/>
    <xf numFmtId="0" fontId="114" fillId="110" borderId="67" applyNumberFormat="0" applyAlignment="0" applyProtection="0"/>
    <xf numFmtId="0" fontId="143" fillId="109" borderId="67" applyNumberFormat="0" applyProtection="0"/>
    <xf numFmtId="0" fontId="144" fillId="111" borderId="70" applyNumberFormat="0" applyProtection="0"/>
    <xf numFmtId="0" fontId="116" fillId="112" borderId="70" applyNumberFormat="0" applyAlignment="0" applyProtection="0"/>
    <xf numFmtId="0" fontId="116" fillId="112" borderId="70" applyNumberFormat="0" applyAlignment="0" applyProtection="0"/>
    <xf numFmtId="0" fontId="116" fillId="112" borderId="70" applyNumberFormat="0" applyAlignment="0" applyProtection="0"/>
    <xf numFmtId="0" fontId="116" fillId="112" borderId="70" applyNumberFormat="0" applyAlignment="0" applyProtection="0"/>
    <xf numFmtId="0" fontId="144" fillId="111" borderId="70" applyNumberFormat="0" applyProtection="0"/>
    <xf numFmtId="0" fontId="120" fillId="0" borderId="0"/>
    <xf numFmtId="0" fontId="120" fillId="0" borderId="0"/>
    <xf numFmtId="0" fontId="73" fillId="0" borderId="0"/>
    <xf numFmtId="0" fontId="73" fillId="0" borderId="0"/>
    <xf numFmtId="0" fontId="73" fillId="0" borderId="0"/>
    <xf numFmtId="0" fontId="73" fillId="0" borderId="0"/>
    <xf numFmtId="0" fontId="120" fillId="0" borderId="0"/>
    <xf numFmtId="0" fontId="141" fillId="0" borderId="0"/>
    <xf numFmtId="0" fontId="142" fillId="0" borderId="0"/>
    <xf numFmtId="0" fontId="142" fillId="0" borderId="0"/>
    <xf numFmtId="0" fontId="142" fillId="0" borderId="0"/>
    <xf numFmtId="0" fontId="142" fillId="0" borderId="0"/>
    <xf numFmtId="0" fontId="141" fillId="0" borderId="0"/>
    <xf numFmtId="0" fontId="73" fillId="0" borderId="0"/>
    <xf numFmtId="0" fontId="73" fillId="0" borderId="0"/>
    <xf numFmtId="0" fontId="73" fillId="0" borderId="0"/>
    <xf numFmtId="0" fontId="73" fillId="0" borderId="0"/>
    <xf numFmtId="0" fontId="120" fillId="0" borderId="0"/>
    <xf numFmtId="4" fontId="145" fillId="113" borderId="37">
      <alignment horizontal="right" shrinkToFit="1"/>
    </xf>
    <xf numFmtId="4" fontId="76" fillId="24" borderId="37">
      <alignment horizontal="right" shrinkToFit="1"/>
    </xf>
    <xf numFmtId="4" fontId="76" fillId="24" borderId="37">
      <alignment horizontal="right" shrinkToFit="1"/>
    </xf>
    <xf numFmtId="4" fontId="76" fillId="24" borderId="37">
      <alignment horizontal="right" shrinkToFit="1"/>
    </xf>
    <xf numFmtId="4" fontId="76" fillId="24" borderId="37">
      <alignment horizontal="right" shrinkToFit="1"/>
    </xf>
    <xf numFmtId="4" fontId="145" fillId="113" borderId="37">
      <alignment horizontal="right" shrinkToFit="1"/>
    </xf>
    <xf numFmtId="4" fontId="145" fillId="113" borderId="37">
      <alignment horizontal="right" shrinkToFit="1"/>
    </xf>
    <xf numFmtId="4" fontId="76" fillId="24" borderId="37">
      <alignment horizontal="right" shrinkToFit="1"/>
    </xf>
    <xf numFmtId="4" fontId="76" fillId="24" borderId="37">
      <alignment horizontal="right" shrinkToFit="1"/>
    </xf>
    <xf numFmtId="4" fontId="76" fillId="24" borderId="37">
      <alignment horizontal="right" shrinkToFit="1"/>
    </xf>
    <xf numFmtId="4" fontId="76" fillId="24" borderId="37">
      <alignment horizontal="right" shrinkToFit="1"/>
    </xf>
    <xf numFmtId="4" fontId="145" fillId="113" borderId="37">
      <alignment horizontal="right" shrinkToFit="1"/>
    </xf>
    <xf numFmtId="169" fontId="145" fillId="113" borderId="38">
      <alignment horizontal="right" shrinkToFit="1"/>
    </xf>
    <xf numFmtId="169" fontId="76" fillId="24" borderId="38">
      <alignment horizontal="right" shrinkToFit="1"/>
    </xf>
    <xf numFmtId="169" fontId="76" fillId="24" borderId="38">
      <alignment horizontal="right" shrinkToFit="1"/>
    </xf>
    <xf numFmtId="169" fontId="76" fillId="24" borderId="38">
      <alignment horizontal="right" shrinkToFit="1"/>
    </xf>
    <xf numFmtId="169" fontId="76" fillId="24" borderId="38">
      <alignment horizontal="right" shrinkToFit="1"/>
    </xf>
    <xf numFmtId="169" fontId="145" fillId="113" borderId="38">
      <alignment horizontal="right" shrinkToFit="1"/>
    </xf>
    <xf numFmtId="4" fontId="76" fillId="24" borderId="38">
      <alignment horizontal="right" shrinkToFit="1"/>
    </xf>
    <xf numFmtId="4" fontId="76" fillId="24" borderId="38">
      <alignment horizontal="right" shrinkToFit="1"/>
    </xf>
    <xf numFmtId="4" fontId="76" fillId="24" borderId="38">
      <alignment horizontal="right" shrinkToFit="1"/>
    </xf>
    <xf numFmtId="4" fontId="76" fillId="24" borderId="38">
      <alignment horizontal="right" shrinkToFit="1"/>
    </xf>
    <xf numFmtId="4" fontId="145" fillId="113" borderId="38">
      <alignment horizontal="right" shrinkToFit="1"/>
    </xf>
    <xf numFmtId="4" fontId="145" fillId="113" borderId="37">
      <alignment horizontal="right" shrinkToFit="1"/>
    </xf>
    <xf numFmtId="4" fontId="145" fillId="113" borderId="38">
      <alignment horizontal="right" shrinkToFit="1"/>
    </xf>
    <xf numFmtId="4" fontId="76" fillId="24" borderId="38">
      <alignment horizontal="right" shrinkToFit="1"/>
    </xf>
    <xf numFmtId="4" fontId="76" fillId="24" borderId="38">
      <alignment horizontal="right" shrinkToFit="1"/>
    </xf>
    <xf numFmtId="4" fontId="76" fillId="24" borderId="38">
      <alignment horizontal="right" shrinkToFit="1"/>
    </xf>
    <xf numFmtId="4" fontId="76" fillId="24" borderId="38">
      <alignment horizontal="right" shrinkToFit="1"/>
    </xf>
    <xf numFmtId="4" fontId="145" fillId="113" borderId="38">
      <alignment horizontal="right" shrinkToFit="1"/>
    </xf>
    <xf numFmtId="4" fontId="76" fillId="24" borderId="37">
      <alignment horizontal="right" shrinkToFit="1"/>
    </xf>
    <xf numFmtId="4" fontId="76" fillId="24" borderId="37">
      <alignment horizontal="right" shrinkToFit="1"/>
    </xf>
    <xf numFmtId="4" fontId="76" fillId="24" borderId="37">
      <alignment horizontal="right" shrinkToFit="1"/>
    </xf>
    <xf numFmtId="4" fontId="76" fillId="24" borderId="37">
      <alignment horizontal="right" shrinkToFit="1"/>
    </xf>
    <xf numFmtId="4" fontId="145" fillId="113" borderId="37">
      <alignment horizontal="right" shrinkToFit="1"/>
    </xf>
    <xf numFmtId="4" fontId="145" fillId="113" borderId="38">
      <alignment horizontal="right" shrinkToFit="1"/>
    </xf>
    <xf numFmtId="4" fontId="76" fillId="24" borderId="38">
      <alignment horizontal="right" shrinkToFit="1"/>
    </xf>
    <xf numFmtId="4" fontId="76" fillId="24" borderId="38">
      <alignment horizontal="right" shrinkToFit="1"/>
    </xf>
    <xf numFmtId="4" fontId="76" fillId="24" borderId="38">
      <alignment horizontal="right" shrinkToFit="1"/>
    </xf>
    <xf numFmtId="4" fontId="76" fillId="24" borderId="38">
      <alignment horizontal="right" shrinkToFit="1"/>
    </xf>
    <xf numFmtId="4" fontId="145" fillId="113" borderId="38">
      <alignment horizontal="right" shrinkToFit="1"/>
    </xf>
    <xf numFmtId="4" fontId="145" fillId="113" borderId="38">
      <alignment horizontal="right" shrinkToFit="1"/>
    </xf>
    <xf numFmtId="4" fontId="76" fillId="24" borderId="38">
      <alignment horizontal="right" shrinkToFit="1"/>
    </xf>
    <xf numFmtId="4" fontId="76" fillId="24" borderId="38">
      <alignment horizontal="right" shrinkToFit="1"/>
    </xf>
    <xf numFmtId="4" fontId="76" fillId="24" borderId="38">
      <alignment horizontal="right" shrinkToFit="1"/>
    </xf>
    <xf numFmtId="4" fontId="76" fillId="24" borderId="38">
      <alignment horizontal="right" shrinkToFit="1"/>
    </xf>
    <xf numFmtId="4" fontId="145" fillId="113" borderId="38">
      <alignment horizontal="right" shrinkToFit="1"/>
    </xf>
    <xf numFmtId="4" fontId="145" fillId="113" borderId="38">
      <alignment horizontal="right" shrinkToFit="1"/>
    </xf>
    <xf numFmtId="4" fontId="76" fillId="24" borderId="38">
      <alignment horizontal="right" shrinkToFit="1"/>
    </xf>
    <xf numFmtId="4" fontId="76" fillId="24" borderId="38">
      <alignment horizontal="right" shrinkToFit="1"/>
    </xf>
    <xf numFmtId="4" fontId="76" fillId="24" borderId="38">
      <alignment horizontal="right" shrinkToFit="1"/>
    </xf>
    <xf numFmtId="4" fontId="76" fillId="24" borderId="38">
      <alignment horizontal="right" shrinkToFit="1"/>
    </xf>
    <xf numFmtId="4" fontId="145" fillId="113" borderId="38">
      <alignment horizontal="right" shrinkToFit="1"/>
    </xf>
    <xf numFmtId="4" fontId="145" fillId="113" borderId="38">
      <alignment horizontal="right" shrinkToFit="1"/>
    </xf>
    <xf numFmtId="4" fontId="76" fillId="24" borderId="38">
      <alignment horizontal="right" shrinkToFit="1"/>
    </xf>
    <xf numFmtId="4" fontId="76" fillId="24" borderId="38">
      <alignment horizontal="right" shrinkToFit="1"/>
    </xf>
    <xf numFmtId="4" fontId="76" fillId="24" borderId="38">
      <alignment horizontal="right" shrinkToFit="1"/>
    </xf>
    <xf numFmtId="4" fontId="76" fillId="24" borderId="38">
      <alignment horizontal="right" shrinkToFit="1"/>
    </xf>
    <xf numFmtId="4" fontId="145" fillId="113" borderId="38">
      <alignment horizontal="right" shrinkToFit="1"/>
    </xf>
    <xf numFmtId="4" fontId="145" fillId="113" borderId="38">
      <alignment horizontal="right" shrinkToFit="1"/>
    </xf>
    <xf numFmtId="4" fontId="76" fillId="24" borderId="38">
      <alignment horizontal="right" shrinkToFit="1"/>
    </xf>
    <xf numFmtId="4" fontId="76" fillId="24" borderId="38">
      <alignment horizontal="right" shrinkToFit="1"/>
    </xf>
    <xf numFmtId="4" fontId="76" fillId="24" borderId="38">
      <alignment horizontal="right" shrinkToFit="1"/>
    </xf>
    <xf numFmtId="4" fontId="76" fillId="24" borderId="38">
      <alignment horizontal="right" shrinkToFit="1"/>
    </xf>
    <xf numFmtId="4" fontId="145" fillId="113" borderId="38">
      <alignment horizontal="right" shrinkToFit="1"/>
    </xf>
    <xf numFmtId="4" fontId="145" fillId="113" borderId="38">
      <alignment horizontal="right" shrinkToFit="1"/>
    </xf>
    <xf numFmtId="4" fontId="76" fillId="24" borderId="38">
      <alignment horizontal="right" shrinkToFit="1"/>
    </xf>
    <xf numFmtId="4" fontId="76" fillId="24" borderId="38">
      <alignment horizontal="right" shrinkToFit="1"/>
    </xf>
    <xf numFmtId="4" fontId="76" fillId="24" borderId="38">
      <alignment horizontal="right" shrinkToFit="1"/>
    </xf>
    <xf numFmtId="4" fontId="76" fillId="24" borderId="38">
      <alignment horizontal="right" shrinkToFit="1"/>
    </xf>
    <xf numFmtId="4" fontId="145" fillId="113" borderId="38">
      <alignment horizontal="right" shrinkToFit="1"/>
    </xf>
    <xf numFmtId="4" fontId="145" fillId="113" borderId="38">
      <alignment horizontal="right" shrinkToFit="1"/>
    </xf>
    <xf numFmtId="4" fontId="76" fillId="24" borderId="38">
      <alignment horizontal="right" shrinkToFit="1"/>
    </xf>
    <xf numFmtId="4" fontId="76" fillId="24" borderId="38">
      <alignment horizontal="right" shrinkToFit="1"/>
    </xf>
    <xf numFmtId="4" fontId="76" fillId="24" borderId="38">
      <alignment horizontal="right" shrinkToFit="1"/>
    </xf>
    <xf numFmtId="4" fontId="76" fillId="24" borderId="38">
      <alignment horizontal="right" shrinkToFit="1"/>
    </xf>
    <xf numFmtId="4" fontId="145" fillId="113" borderId="38">
      <alignment horizontal="right" shrinkToFit="1"/>
    </xf>
    <xf numFmtId="4" fontId="145" fillId="113" borderId="38">
      <alignment horizontal="right" shrinkToFit="1"/>
    </xf>
    <xf numFmtId="4" fontId="76" fillId="24" borderId="38">
      <alignment horizontal="right" shrinkToFit="1"/>
    </xf>
    <xf numFmtId="4" fontId="76" fillId="24" borderId="38">
      <alignment horizontal="right" shrinkToFit="1"/>
    </xf>
    <xf numFmtId="4" fontId="76" fillId="24" borderId="38">
      <alignment horizontal="right" shrinkToFit="1"/>
    </xf>
    <xf numFmtId="4" fontId="76" fillId="24" borderId="38">
      <alignment horizontal="right" shrinkToFit="1"/>
    </xf>
    <xf numFmtId="4" fontId="145" fillId="113" borderId="38">
      <alignment horizontal="right" shrinkToFit="1"/>
    </xf>
    <xf numFmtId="4" fontId="145" fillId="113" borderId="37">
      <alignment horizontal="right" shrinkToFit="1"/>
    </xf>
    <xf numFmtId="4" fontId="76" fillId="24" borderId="37">
      <alignment horizontal="right" shrinkToFit="1"/>
    </xf>
    <xf numFmtId="4" fontId="76" fillId="24" borderId="37">
      <alignment horizontal="right" shrinkToFit="1"/>
    </xf>
    <xf numFmtId="4" fontId="76" fillId="24" borderId="37">
      <alignment horizontal="right" shrinkToFit="1"/>
    </xf>
    <xf numFmtId="4" fontId="76" fillId="24" borderId="37">
      <alignment horizontal="right" shrinkToFit="1"/>
    </xf>
    <xf numFmtId="4" fontId="145" fillId="113" borderId="37">
      <alignment horizontal="right" shrinkToFit="1"/>
    </xf>
    <xf numFmtId="4" fontId="145" fillId="113" borderId="37">
      <alignment horizontal="right" shrinkToFit="1"/>
    </xf>
    <xf numFmtId="4" fontId="76" fillId="24" borderId="37">
      <alignment horizontal="right" shrinkToFit="1"/>
    </xf>
    <xf numFmtId="4" fontId="76" fillId="24" borderId="37">
      <alignment horizontal="right" shrinkToFit="1"/>
    </xf>
    <xf numFmtId="4" fontId="76" fillId="24" borderId="37">
      <alignment horizontal="right" shrinkToFit="1"/>
    </xf>
    <xf numFmtId="4" fontId="76" fillId="24" borderId="37">
      <alignment horizontal="right" shrinkToFit="1"/>
    </xf>
    <xf numFmtId="4" fontId="145" fillId="113" borderId="37">
      <alignment horizontal="right" shrinkToFit="1"/>
    </xf>
    <xf numFmtId="4" fontId="145" fillId="113" borderId="37">
      <alignment horizontal="right" shrinkToFit="1"/>
    </xf>
    <xf numFmtId="4" fontId="76" fillId="24" borderId="37">
      <alignment horizontal="right" shrinkToFit="1"/>
    </xf>
    <xf numFmtId="4" fontId="76" fillId="24" borderId="37">
      <alignment horizontal="right" shrinkToFit="1"/>
    </xf>
    <xf numFmtId="4" fontId="76" fillId="24" borderId="37">
      <alignment horizontal="right" shrinkToFit="1"/>
    </xf>
    <xf numFmtId="4" fontId="76" fillId="24" borderId="37">
      <alignment horizontal="right" shrinkToFit="1"/>
    </xf>
    <xf numFmtId="4" fontId="145" fillId="113" borderId="37">
      <alignment horizontal="right" shrinkToFit="1"/>
    </xf>
    <xf numFmtId="4" fontId="145" fillId="113" borderId="37">
      <alignment horizontal="right" shrinkToFit="1"/>
    </xf>
    <xf numFmtId="4" fontId="76" fillId="24" borderId="37">
      <alignment horizontal="right" shrinkToFit="1"/>
    </xf>
    <xf numFmtId="4" fontId="76" fillId="24" borderId="37">
      <alignment horizontal="right" shrinkToFit="1"/>
    </xf>
    <xf numFmtId="4" fontId="76" fillId="24" borderId="37">
      <alignment horizontal="right" shrinkToFit="1"/>
    </xf>
    <xf numFmtId="4" fontId="76" fillId="24" borderId="37">
      <alignment horizontal="right" shrinkToFit="1"/>
    </xf>
    <xf numFmtId="4" fontId="145" fillId="113" borderId="37">
      <alignment horizontal="right" shrinkToFit="1"/>
    </xf>
    <xf numFmtId="4" fontId="145" fillId="113" borderId="37">
      <alignment horizontal="right" shrinkToFit="1"/>
    </xf>
    <xf numFmtId="4" fontId="76" fillId="24" borderId="37">
      <alignment horizontal="right" shrinkToFit="1"/>
    </xf>
    <xf numFmtId="4" fontId="76" fillId="24" borderId="37">
      <alignment horizontal="right" shrinkToFit="1"/>
    </xf>
    <xf numFmtId="4" fontId="76" fillId="24" borderId="37">
      <alignment horizontal="right" shrinkToFit="1"/>
    </xf>
    <xf numFmtId="4" fontId="76" fillId="24" borderId="37">
      <alignment horizontal="right" shrinkToFit="1"/>
    </xf>
    <xf numFmtId="4" fontId="145" fillId="113" borderId="37">
      <alignment horizontal="right" shrinkToFit="1"/>
    </xf>
    <xf numFmtId="4" fontId="145" fillId="113" borderId="37">
      <alignment horizontal="right" shrinkToFit="1"/>
    </xf>
    <xf numFmtId="4" fontId="76" fillId="24" borderId="37">
      <alignment horizontal="right" shrinkToFit="1"/>
    </xf>
    <xf numFmtId="4" fontId="76" fillId="24" borderId="37">
      <alignment horizontal="right" shrinkToFit="1"/>
    </xf>
    <xf numFmtId="4" fontId="76" fillId="24" borderId="37">
      <alignment horizontal="right" shrinkToFit="1"/>
    </xf>
    <xf numFmtId="4" fontId="76" fillId="24" borderId="37">
      <alignment horizontal="right" shrinkToFit="1"/>
    </xf>
    <xf numFmtId="4" fontId="145" fillId="113" borderId="37">
      <alignment horizontal="right" shrinkToFit="1"/>
    </xf>
    <xf numFmtId="4" fontId="145" fillId="113" borderId="37">
      <alignment horizontal="right" shrinkToFit="1"/>
    </xf>
    <xf numFmtId="4" fontId="76" fillId="24" borderId="37">
      <alignment horizontal="right" shrinkToFit="1"/>
    </xf>
    <xf numFmtId="4" fontId="76" fillId="24" borderId="37">
      <alignment horizontal="right" shrinkToFit="1"/>
    </xf>
    <xf numFmtId="4" fontId="76" fillId="24" borderId="37">
      <alignment horizontal="right" shrinkToFit="1"/>
    </xf>
    <xf numFmtId="4" fontId="76" fillId="24" borderId="37">
      <alignment horizontal="right" shrinkToFit="1"/>
    </xf>
    <xf numFmtId="4" fontId="145" fillId="113" borderId="37">
      <alignment horizontal="right" shrinkToFit="1"/>
    </xf>
    <xf numFmtId="0" fontId="145" fillId="114" borderId="24">
      <alignment horizontal="left" vertical="top" wrapText="1"/>
    </xf>
    <xf numFmtId="0" fontId="76" fillId="21" borderId="24">
      <alignment horizontal="left" vertical="top" wrapText="1"/>
    </xf>
    <xf numFmtId="0" fontId="76" fillId="21" borderId="24">
      <alignment horizontal="left" vertical="top" wrapText="1"/>
    </xf>
    <xf numFmtId="0" fontId="76" fillId="21" borderId="24">
      <alignment horizontal="left" vertical="top" wrapText="1"/>
    </xf>
    <xf numFmtId="0" fontId="76" fillId="21" borderId="24">
      <alignment horizontal="left" vertical="top" wrapText="1"/>
    </xf>
    <xf numFmtId="0" fontId="145" fillId="114" borderId="24">
      <alignment horizontal="left" vertical="top" wrapText="1"/>
    </xf>
    <xf numFmtId="49" fontId="75" fillId="23" borderId="30">
      <alignment horizontal="center" vertical="top" shrinkToFit="1"/>
    </xf>
    <xf numFmtId="49" fontId="75" fillId="23" borderId="30">
      <alignment horizontal="center" vertical="top" shrinkToFit="1"/>
    </xf>
    <xf numFmtId="49" fontId="75" fillId="23" borderId="30">
      <alignment horizontal="center" vertical="top" shrinkToFit="1"/>
    </xf>
    <xf numFmtId="49" fontId="75" fillId="23" borderId="30">
      <alignment horizontal="center" vertical="top" shrinkToFit="1"/>
    </xf>
    <xf numFmtId="49" fontId="146" fillId="115" borderId="30">
      <alignment horizontal="center" vertical="top" shrinkToFit="1"/>
    </xf>
    <xf numFmtId="0" fontId="145" fillId="114" borderId="24">
      <alignment horizontal="left" vertical="top" wrapText="1"/>
    </xf>
    <xf numFmtId="49" fontId="145" fillId="114"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145" fillId="114" borderId="24">
      <alignment horizontal="center" vertical="top" shrinkToFit="1"/>
    </xf>
    <xf numFmtId="0" fontId="76" fillId="21" borderId="24">
      <alignment horizontal="left" vertical="top" wrapText="1"/>
    </xf>
    <xf numFmtId="0" fontId="76" fillId="21" borderId="24">
      <alignment horizontal="left" vertical="top" wrapText="1"/>
    </xf>
    <xf numFmtId="0" fontId="76" fillId="21" borderId="24">
      <alignment horizontal="left" vertical="top" wrapText="1"/>
    </xf>
    <xf numFmtId="0" fontId="76" fillId="21" borderId="24">
      <alignment horizontal="left" vertical="top" wrapText="1"/>
    </xf>
    <xf numFmtId="0" fontId="145" fillId="114" borderId="24">
      <alignment horizontal="left" vertical="top" wrapText="1"/>
    </xf>
    <xf numFmtId="49" fontId="145" fillId="114"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76" fillId="21" borderId="24">
      <alignment horizontal="center" vertical="top" shrinkToFit="1"/>
    </xf>
    <xf numFmtId="49" fontId="145" fillId="114" borderId="24">
      <alignment horizontal="center" vertical="top" shrinkToFit="1"/>
    </xf>
    <xf numFmtId="0" fontId="145" fillId="114" borderId="24">
      <alignment horizontal="left" vertical="top" wrapText="1"/>
    </xf>
    <xf numFmtId="0" fontId="76" fillId="21" borderId="24">
      <alignment horizontal="left" vertical="top" wrapText="1"/>
    </xf>
    <xf numFmtId="0" fontId="76" fillId="21" borderId="24">
      <alignment horizontal="left" vertical="top" wrapText="1"/>
    </xf>
    <xf numFmtId="0" fontId="76" fillId="21" borderId="24">
      <alignment horizontal="left" vertical="top" wrapText="1"/>
    </xf>
    <xf numFmtId="0" fontId="76" fillId="21" borderId="24">
      <alignment horizontal="left" vertical="top" wrapText="1"/>
    </xf>
    <xf numFmtId="0" fontId="145" fillId="114" borderId="24">
      <alignment horizontal="left" vertical="top" wrapText="1"/>
    </xf>
    <xf numFmtId="0" fontId="145" fillId="114" borderId="24">
      <alignment horizontal="left" vertical="top" wrapText="1"/>
    </xf>
    <xf numFmtId="0" fontId="76" fillId="21" borderId="24">
      <alignment horizontal="left" vertical="top" wrapText="1"/>
    </xf>
    <xf numFmtId="0" fontId="76" fillId="21" borderId="24">
      <alignment horizontal="left" vertical="top" wrapText="1"/>
    </xf>
    <xf numFmtId="0" fontId="76" fillId="21" borderId="24">
      <alignment horizontal="left" vertical="top" wrapText="1"/>
    </xf>
    <xf numFmtId="0" fontId="76" fillId="21" borderId="24">
      <alignment horizontal="left" vertical="top" wrapText="1"/>
    </xf>
    <xf numFmtId="0" fontId="145" fillId="114" borderId="24">
      <alignment horizontal="left" vertical="top" wrapText="1"/>
    </xf>
    <xf numFmtId="0" fontId="145" fillId="114" borderId="24">
      <alignment horizontal="left" vertical="top" wrapText="1"/>
    </xf>
    <xf numFmtId="0" fontId="76" fillId="21" borderId="24">
      <alignment horizontal="left" vertical="top" wrapText="1"/>
    </xf>
    <xf numFmtId="0" fontId="76" fillId="21" borderId="24">
      <alignment horizontal="left" vertical="top" wrapText="1"/>
    </xf>
    <xf numFmtId="0" fontId="76" fillId="21" borderId="24">
      <alignment horizontal="left" vertical="top" wrapText="1"/>
    </xf>
    <xf numFmtId="0" fontId="76" fillId="21" borderId="24">
      <alignment horizontal="left" vertical="top" wrapText="1"/>
    </xf>
    <xf numFmtId="0" fontId="145" fillId="114" borderId="24">
      <alignment horizontal="left" vertical="top" wrapText="1"/>
    </xf>
    <xf numFmtId="0" fontId="145" fillId="114" borderId="24">
      <alignment horizontal="left" vertical="top" wrapText="1"/>
    </xf>
    <xf numFmtId="0" fontId="76" fillId="21" borderId="24">
      <alignment horizontal="left" vertical="top" wrapText="1"/>
    </xf>
    <xf numFmtId="0" fontId="76" fillId="21" borderId="24">
      <alignment horizontal="left" vertical="top" wrapText="1"/>
    </xf>
    <xf numFmtId="0" fontId="76" fillId="21" borderId="24">
      <alignment horizontal="left" vertical="top" wrapText="1"/>
    </xf>
    <xf numFmtId="0" fontId="76" fillId="21" borderId="24">
      <alignment horizontal="left" vertical="top" wrapText="1"/>
    </xf>
    <xf numFmtId="0" fontId="145" fillId="114" borderId="24">
      <alignment horizontal="left" vertical="top" wrapText="1"/>
    </xf>
    <xf numFmtId="0" fontId="145" fillId="114" borderId="24">
      <alignment horizontal="left" vertical="top" wrapText="1"/>
    </xf>
    <xf numFmtId="0" fontId="76" fillId="21" borderId="24">
      <alignment horizontal="left" vertical="top" wrapText="1"/>
    </xf>
    <xf numFmtId="0" fontId="76" fillId="21" borderId="24">
      <alignment horizontal="left" vertical="top" wrapText="1"/>
    </xf>
    <xf numFmtId="0" fontId="76" fillId="21" borderId="24">
      <alignment horizontal="left" vertical="top" wrapText="1"/>
    </xf>
    <xf numFmtId="0" fontId="76" fillId="21" borderId="24">
      <alignment horizontal="left" vertical="top" wrapText="1"/>
    </xf>
    <xf numFmtId="0" fontId="145" fillId="114" borderId="24">
      <alignment horizontal="left" vertical="top" wrapText="1"/>
    </xf>
    <xf numFmtId="0" fontId="145" fillId="114" borderId="24">
      <alignment horizontal="left" vertical="top" wrapText="1"/>
    </xf>
    <xf numFmtId="0" fontId="76" fillId="21" borderId="24">
      <alignment horizontal="left" vertical="top" wrapText="1"/>
    </xf>
    <xf numFmtId="0" fontId="76" fillId="21" borderId="24">
      <alignment horizontal="left" vertical="top" wrapText="1"/>
    </xf>
    <xf numFmtId="0" fontId="76" fillId="21" borderId="24">
      <alignment horizontal="left" vertical="top" wrapText="1"/>
    </xf>
    <xf numFmtId="0" fontId="76" fillId="21" borderId="24">
      <alignment horizontal="left" vertical="top" wrapText="1"/>
    </xf>
    <xf numFmtId="0" fontId="145" fillId="114" borderId="24">
      <alignment horizontal="left" vertical="top" wrapText="1"/>
    </xf>
    <xf numFmtId="0" fontId="145" fillId="114" borderId="24">
      <alignment horizontal="left" vertical="top" wrapText="1"/>
    </xf>
    <xf numFmtId="0" fontId="76" fillId="21" borderId="24">
      <alignment horizontal="left" vertical="top" wrapText="1"/>
    </xf>
    <xf numFmtId="0" fontId="76" fillId="21" borderId="24">
      <alignment horizontal="left" vertical="top" wrapText="1"/>
    </xf>
    <xf numFmtId="0" fontId="76" fillId="21" borderId="24">
      <alignment horizontal="left" vertical="top" wrapText="1"/>
    </xf>
    <xf numFmtId="0" fontId="76" fillId="21" borderId="24">
      <alignment horizontal="left" vertical="top" wrapText="1"/>
    </xf>
    <xf numFmtId="0" fontId="145" fillId="114" borderId="24">
      <alignment horizontal="left" vertical="top" wrapText="1"/>
    </xf>
    <xf numFmtId="49" fontId="145" fillId="114"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145" fillId="114" borderId="25">
      <alignment horizontal="center" vertical="top" wrapText="1" shrinkToFit="1"/>
    </xf>
    <xf numFmtId="0" fontId="75" fillId="23" borderId="31">
      <alignment horizontal="left" vertical="top" wrapText="1"/>
    </xf>
    <xf numFmtId="0" fontId="75" fillId="23" borderId="31">
      <alignment horizontal="left" vertical="top" wrapText="1"/>
    </xf>
    <xf numFmtId="0" fontId="75" fillId="23" borderId="31">
      <alignment horizontal="left" vertical="top" wrapText="1"/>
    </xf>
    <xf numFmtId="0" fontId="75" fillId="23" borderId="31">
      <alignment horizontal="left" vertical="top" wrapText="1"/>
    </xf>
    <xf numFmtId="0" fontId="146" fillId="115" borderId="31">
      <alignment horizontal="left" vertical="top" wrapText="1"/>
    </xf>
    <xf numFmtId="49" fontId="145" fillId="114" borderId="25">
      <alignment horizontal="center" vertical="top" wrapText="1" shrinkToFit="1"/>
    </xf>
    <xf numFmtId="0" fontId="145" fillId="114" borderId="25">
      <alignment horizontal="left" vertical="top" wrapText="1"/>
    </xf>
    <xf numFmtId="0" fontId="76" fillId="21" borderId="25">
      <alignment horizontal="left" vertical="top" wrapText="1"/>
    </xf>
    <xf numFmtId="0" fontId="76" fillId="21" borderId="25">
      <alignment horizontal="left" vertical="top" wrapText="1"/>
    </xf>
    <xf numFmtId="0" fontId="76" fillId="21" borderId="25">
      <alignment horizontal="left" vertical="top" wrapText="1"/>
    </xf>
    <xf numFmtId="0" fontId="76" fillId="21" borderId="25">
      <alignment horizontal="left" vertical="top" wrapText="1"/>
    </xf>
    <xf numFmtId="0" fontId="145" fillId="114" borderId="25">
      <alignment horizontal="left" vertical="top" wrapText="1"/>
    </xf>
    <xf numFmtId="49" fontId="76" fillId="21"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145" fillId="114" borderId="25">
      <alignment horizontal="center" vertical="top" wrapText="1" shrinkToFit="1"/>
    </xf>
    <xf numFmtId="0" fontId="145" fillId="114" borderId="25">
      <alignment horizontal="left" vertical="top" wrapText="1"/>
    </xf>
    <xf numFmtId="0" fontId="76" fillId="21" borderId="25">
      <alignment horizontal="left" vertical="top" wrapText="1"/>
    </xf>
    <xf numFmtId="0" fontId="76" fillId="21" borderId="25">
      <alignment horizontal="left" vertical="top" wrapText="1"/>
    </xf>
    <xf numFmtId="0" fontId="76" fillId="21" borderId="25">
      <alignment horizontal="left" vertical="top" wrapText="1"/>
    </xf>
    <xf numFmtId="0" fontId="76" fillId="21" borderId="25">
      <alignment horizontal="left" vertical="top" wrapText="1"/>
    </xf>
    <xf numFmtId="0" fontId="145" fillId="114" borderId="25">
      <alignment horizontal="left" vertical="top" wrapText="1"/>
    </xf>
    <xf numFmtId="49" fontId="75" fillId="23" borderId="31">
      <alignment horizontal="center" vertical="top" shrinkToFit="1"/>
    </xf>
    <xf numFmtId="49" fontId="75" fillId="23" borderId="31">
      <alignment horizontal="center" vertical="top" shrinkToFit="1"/>
    </xf>
    <xf numFmtId="49" fontId="75" fillId="23" borderId="31">
      <alignment horizontal="center" vertical="top" shrinkToFit="1"/>
    </xf>
    <xf numFmtId="49" fontId="75" fillId="23" borderId="31">
      <alignment horizontal="center" vertical="top" shrinkToFit="1"/>
    </xf>
    <xf numFmtId="49" fontId="146" fillId="115" borderId="31">
      <alignment horizontal="center" vertical="top" shrinkToFit="1"/>
    </xf>
    <xf numFmtId="0" fontId="145" fillId="114" borderId="25">
      <alignment horizontal="left" vertical="top" wrapText="1"/>
    </xf>
    <xf numFmtId="49" fontId="145" fillId="114"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76" fillId="21" borderId="25">
      <alignment horizontal="center" vertical="top" wrapText="1" shrinkToFit="1"/>
    </xf>
    <xf numFmtId="49" fontId="145" fillId="114" borderId="25">
      <alignment horizontal="center" vertical="top" wrapText="1" shrinkToFit="1"/>
    </xf>
    <xf numFmtId="0" fontId="76" fillId="21" borderId="25">
      <alignment horizontal="left" vertical="top" wrapText="1"/>
    </xf>
    <xf numFmtId="0" fontId="76" fillId="21" borderId="25">
      <alignment horizontal="left" vertical="top" wrapText="1"/>
    </xf>
    <xf numFmtId="0" fontId="76" fillId="21" borderId="25">
      <alignment horizontal="left" vertical="top" wrapText="1"/>
    </xf>
    <xf numFmtId="0" fontId="76" fillId="21" borderId="25">
      <alignment horizontal="left" vertical="top" wrapText="1"/>
    </xf>
    <xf numFmtId="0" fontId="145" fillId="114" borderId="25">
      <alignment horizontal="left" vertical="top" wrapText="1"/>
    </xf>
    <xf numFmtId="0" fontId="145" fillId="114" borderId="25">
      <alignment horizontal="left" vertical="top" wrapText="1"/>
    </xf>
    <xf numFmtId="0" fontId="76" fillId="21" borderId="25">
      <alignment horizontal="left" vertical="top" wrapText="1"/>
    </xf>
    <xf numFmtId="0" fontId="76" fillId="21" borderId="25">
      <alignment horizontal="left" vertical="top" wrapText="1"/>
    </xf>
    <xf numFmtId="0" fontId="76" fillId="21" borderId="25">
      <alignment horizontal="left" vertical="top" wrapText="1"/>
    </xf>
    <xf numFmtId="0" fontId="76" fillId="21" borderId="25">
      <alignment horizontal="left" vertical="top" wrapText="1"/>
    </xf>
    <xf numFmtId="0" fontId="145" fillId="114" borderId="25">
      <alignment horizontal="left" vertical="top" wrapText="1"/>
    </xf>
    <xf numFmtId="0" fontId="145" fillId="114" borderId="25">
      <alignment horizontal="left" vertical="top" wrapText="1"/>
    </xf>
    <xf numFmtId="0" fontId="76" fillId="21" borderId="25">
      <alignment horizontal="left" vertical="top" wrapText="1"/>
    </xf>
    <xf numFmtId="0" fontId="76" fillId="21" borderId="25">
      <alignment horizontal="left" vertical="top" wrapText="1"/>
    </xf>
    <xf numFmtId="0" fontId="76" fillId="21" borderId="25">
      <alignment horizontal="left" vertical="top" wrapText="1"/>
    </xf>
    <xf numFmtId="0" fontId="76" fillId="21" borderId="25">
      <alignment horizontal="left" vertical="top" wrapText="1"/>
    </xf>
    <xf numFmtId="0" fontId="145" fillId="114" borderId="25">
      <alignment horizontal="left" vertical="top" wrapText="1"/>
    </xf>
    <xf numFmtId="0" fontId="145" fillId="114" borderId="25">
      <alignment horizontal="left" vertical="top" wrapText="1"/>
    </xf>
    <xf numFmtId="0" fontId="76" fillId="21" borderId="25">
      <alignment horizontal="left" vertical="top" wrapText="1"/>
    </xf>
    <xf numFmtId="0" fontId="76" fillId="21" borderId="25">
      <alignment horizontal="left" vertical="top" wrapText="1"/>
    </xf>
    <xf numFmtId="0" fontId="76" fillId="21" borderId="25">
      <alignment horizontal="left" vertical="top" wrapText="1"/>
    </xf>
    <xf numFmtId="0" fontId="76" fillId="21" borderId="25">
      <alignment horizontal="left" vertical="top" wrapText="1"/>
    </xf>
    <xf numFmtId="0" fontId="145" fillId="114" borderId="25">
      <alignment horizontal="left" vertical="top" wrapText="1"/>
    </xf>
    <xf numFmtId="0" fontId="145" fillId="114" borderId="25">
      <alignment horizontal="left" vertical="top" wrapText="1"/>
    </xf>
    <xf numFmtId="0" fontId="76" fillId="21" borderId="25">
      <alignment horizontal="left" vertical="top" wrapText="1"/>
    </xf>
    <xf numFmtId="0" fontId="76" fillId="21" borderId="25">
      <alignment horizontal="left" vertical="top" wrapText="1"/>
    </xf>
    <xf numFmtId="0" fontId="76" fillId="21" borderId="25">
      <alignment horizontal="left" vertical="top" wrapText="1"/>
    </xf>
    <xf numFmtId="0" fontId="76" fillId="21" borderId="25">
      <alignment horizontal="left" vertical="top" wrapText="1"/>
    </xf>
    <xf numFmtId="0" fontId="145" fillId="114" borderId="25">
      <alignment horizontal="left" vertical="top" wrapText="1"/>
    </xf>
    <xf numFmtId="0" fontId="145" fillId="114" borderId="25">
      <alignment horizontal="left" vertical="top" wrapText="1"/>
    </xf>
    <xf numFmtId="0" fontId="76" fillId="21" borderId="25">
      <alignment horizontal="left" vertical="top" wrapText="1"/>
    </xf>
    <xf numFmtId="0" fontId="76" fillId="21" borderId="25">
      <alignment horizontal="left" vertical="top" wrapText="1"/>
    </xf>
    <xf numFmtId="0" fontId="76" fillId="21" borderId="25">
      <alignment horizontal="left" vertical="top" wrapText="1"/>
    </xf>
    <xf numFmtId="0" fontId="76" fillId="21" borderId="25">
      <alignment horizontal="left" vertical="top" wrapText="1"/>
    </xf>
    <xf numFmtId="0" fontId="145" fillId="114" borderId="25">
      <alignment horizontal="left" vertical="top" wrapText="1"/>
    </xf>
    <xf numFmtId="0" fontId="145" fillId="114" borderId="25">
      <alignment horizontal="left" vertical="top" wrapText="1"/>
    </xf>
    <xf numFmtId="0" fontId="76" fillId="21" borderId="25">
      <alignment horizontal="left" vertical="top" wrapText="1"/>
    </xf>
    <xf numFmtId="0" fontId="76" fillId="21" borderId="25">
      <alignment horizontal="left" vertical="top" wrapText="1"/>
    </xf>
    <xf numFmtId="0" fontId="76" fillId="21" borderId="25">
      <alignment horizontal="left" vertical="top" wrapText="1"/>
    </xf>
    <xf numFmtId="0" fontId="76" fillId="21" borderId="25">
      <alignment horizontal="left" vertical="top" wrapText="1"/>
    </xf>
    <xf numFmtId="0" fontId="145" fillId="114" borderId="25">
      <alignment horizontal="left" vertical="top" wrapText="1"/>
    </xf>
    <xf numFmtId="0" fontId="145" fillId="114" borderId="25">
      <alignment horizontal="left" vertical="top" wrapText="1"/>
    </xf>
    <xf numFmtId="0" fontId="76" fillId="21" borderId="25">
      <alignment horizontal="left" vertical="top" wrapText="1"/>
    </xf>
    <xf numFmtId="0" fontId="76" fillId="21" borderId="25">
      <alignment horizontal="left" vertical="top" wrapText="1"/>
    </xf>
    <xf numFmtId="0" fontId="76" fillId="21" borderId="25">
      <alignment horizontal="left" vertical="top" wrapText="1"/>
    </xf>
    <xf numFmtId="0" fontId="76" fillId="21" borderId="25">
      <alignment horizontal="left" vertical="top" wrapText="1"/>
    </xf>
    <xf numFmtId="0" fontId="145" fillId="114" borderId="25">
      <alignment horizontal="left" vertical="top" wrapText="1"/>
    </xf>
    <xf numFmtId="4" fontId="145" fillId="114"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145" fillId="114" borderId="25">
      <alignment horizontal="right" vertical="top" wrapText="1" shrinkToFit="1"/>
    </xf>
    <xf numFmtId="4" fontId="75" fillId="23" borderId="31">
      <alignment horizontal="right" vertical="top" shrinkToFit="1"/>
    </xf>
    <xf numFmtId="4" fontId="75" fillId="23" borderId="31">
      <alignment horizontal="right" vertical="top" shrinkToFit="1"/>
    </xf>
    <xf numFmtId="4" fontId="75" fillId="23" borderId="31">
      <alignment horizontal="right" vertical="top" shrinkToFit="1"/>
    </xf>
    <xf numFmtId="4" fontId="75" fillId="23" borderId="31">
      <alignment horizontal="right" vertical="top" shrinkToFit="1"/>
    </xf>
    <xf numFmtId="4" fontId="146" fillId="115" borderId="31">
      <alignment horizontal="right" vertical="top" shrinkToFit="1"/>
    </xf>
    <xf numFmtId="4" fontId="145" fillId="114"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76" fillId="21" borderId="25">
      <alignment horizontal="right" vertical="top" wrapText="1" shrinkToFit="1"/>
    </xf>
    <xf numFmtId="4" fontId="145" fillId="114" borderId="25">
      <alignment horizontal="right" vertical="top" wrapText="1" shrinkToFit="1"/>
    </xf>
    <xf numFmtId="4" fontId="146" fillId="115" borderId="32">
      <alignment horizontal="right" vertical="top" shrinkToFit="1"/>
    </xf>
    <xf numFmtId="0" fontId="145" fillId="114" borderId="26">
      <alignment vertical="top" shrinkToFit="1"/>
    </xf>
    <xf numFmtId="0" fontId="76" fillId="21" borderId="26">
      <alignment vertical="top" shrinkToFit="1"/>
    </xf>
    <xf numFmtId="0" fontId="76" fillId="21" borderId="26">
      <alignment vertical="top" shrinkToFit="1"/>
    </xf>
    <xf numFmtId="0" fontId="76" fillId="21" borderId="26">
      <alignment vertical="top" shrinkToFit="1"/>
    </xf>
    <xf numFmtId="0" fontId="76" fillId="21" borderId="26">
      <alignment vertical="top" shrinkToFit="1"/>
    </xf>
    <xf numFmtId="0" fontId="145" fillId="114" borderId="26">
      <alignment vertical="top" shrinkToFit="1"/>
    </xf>
    <xf numFmtId="169" fontId="145" fillId="114" borderId="26">
      <alignment horizontal="right" vertical="top" shrinkToFit="1"/>
    </xf>
    <xf numFmtId="169" fontId="76" fillId="21" borderId="26">
      <alignment horizontal="right" vertical="top" shrinkToFit="1"/>
    </xf>
    <xf numFmtId="169" fontId="76" fillId="21" borderId="26">
      <alignment horizontal="right" vertical="top" shrinkToFit="1"/>
    </xf>
    <xf numFmtId="169" fontId="76" fillId="21" borderId="26">
      <alignment horizontal="right" vertical="top" shrinkToFit="1"/>
    </xf>
    <xf numFmtId="169" fontId="76" fillId="21" borderId="26">
      <alignment horizontal="right" vertical="top" shrinkToFit="1"/>
    </xf>
    <xf numFmtId="169" fontId="145" fillId="114" borderId="26">
      <alignment horizontal="right" vertical="top" shrinkToFit="1"/>
    </xf>
    <xf numFmtId="4" fontId="75" fillId="23" borderId="32">
      <alignment horizontal="right" vertical="top" shrinkToFit="1"/>
    </xf>
    <xf numFmtId="4" fontId="75" fillId="23" borderId="32">
      <alignment horizontal="right" vertical="top" shrinkToFit="1"/>
    </xf>
    <xf numFmtId="4" fontId="75" fillId="23" borderId="32">
      <alignment horizontal="right" vertical="top" shrinkToFit="1"/>
    </xf>
    <xf numFmtId="4" fontId="75" fillId="23" borderId="32">
      <alignment horizontal="right" vertical="top" shrinkToFit="1"/>
    </xf>
    <xf numFmtId="4" fontId="146" fillId="115" borderId="32">
      <alignment horizontal="right" vertical="top" shrinkToFit="1"/>
    </xf>
    <xf numFmtId="0" fontId="145" fillId="114" borderId="26">
      <alignment vertical="top" shrinkToFit="1"/>
    </xf>
    <xf numFmtId="4" fontId="145" fillId="114" borderId="26">
      <alignment horizontal="right" vertical="top" shrinkToFit="1"/>
    </xf>
    <xf numFmtId="4" fontId="76" fillId="21" borderId="26">
      <alignment horizontal="right" vertical="top" shrinkToFit="1"/>
    </xf>
    <xf numFmtId="4" fontId="76" fillId="21" borderId="26">
      <alignment horizontal="right" vertical="top" shrinkToFit="1"/>
    </xf>
    <xf numFmtId="4" fontId="76" fillId="21" borderId="26">
      <alignment horizontal="right" vertical="top" shrinkToFit="1"/>
    </xf>
    <xf numFmtId="4" fontId="76" fillId="21" borderId="26">
      <alignment horizontal="right" vertical="top" shrinkToFit="1"/>
    </xf>
    <xf numFmtId="4" fontId="145" fillId="114" borderId="26">
      <alignment horizontal="right" vertical="top" shrinkToFit="1"/>
    </xf>
    <xf numFmtId="0" fontId="76" fillId="21" borderId="26">
      <alignment vertical="top" shrinkToFit="1"/>
    </xf>
    <xf numFmtId="0" fontId="76" fillId="21" borderId="26">
      <alignment vertical="top" shrinkToFit="1"/>
    </xf>
    <xf numFmtId="0" fontId="76" fillId="21" borderId="26">
      <alignment vertical="top" shrinkToFit="1"/>
    </xf>
    <xf numFmtId="0" fontId="76" fillId="21" borderId="26">
      <alignment vertical="top" shrinkToFit="1"/>
    </xf>
    <xf numFmtId="0" fontId="145" fillId="114" borderId="26">
      <alignment vertical="top" shrinkToFit="1"/>
    </xf>
    <xf numFmtId="4" fontId="145" fillId="114" borderId="26">
      <alignment horizontal="right" vertical="top" shrinkToFit="1"/>
    </xf>
    <xf numFmtId="4" fontId="76" fillId="21" borderId="26">
      <alignment horizontal="right" vertical="top" shrinkToFit="1"/>
    </xf>
    <xf numFmtId="4" fontId="76" fillId="21" borderId="26">
      <alignment horizontal="right" vertical="top" shrinkToFit="1"/>
    </xf>
    <xf numFmtId="4" fontId="76" fillId="21" borderId="26">
      <alignment horizontal="right" vertical="top" shrinkToFit="1"/>
    </xf>
    <xf numFmtId="4" fontId="76" fillId="21"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76" fillId="21" borderId="26">
      <alignment horizontal="right" vertical="top" shrinkToFit="1"/>
    </xf>
    <xf numFmtId="4" fontId="76" fillId="21" borderId="26">
      <alignment horizontal="right" vertical="top" shrinkToFit="1"/>
    </xf>
    <xf numFmtId="4" fontId="76" fillId="21" borderId="26">
      <alignment horizontal="right" vertical="top" shrinkToFit="1"/>
    </xf>
    <xf numFmtId="4" fontId="76" fillId="21"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76" fillId="21" borderId="26">
      <alignment horizontal="right" vertical="top" shrinkToFit="1"/>
    </xf>
    <xf numFmtId="4" fontId="76" fillId="21" borderId="26">
      <alignment horizontal="right" vertical="top" shrinkToFit="1"/>
    </xf>
    <xf numFmtId="4" fontId="76" fillId="21" borderId="26">
      <alignment horizontal="right" vertical="top" shrinkToFit="1"/>
    </xf>
    <xf numFmtId="4" fontId="76" fillId="21"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76" fillId="21" borderId="26">
      <alignment horizontal="right" vertical="top" shrinkToFit="1"/>
    </xf>
    <xf numFmtId="4" fontId="76" fillId="21" borderId="26">
      <alignment horizontal="right" vertical="top" shrinkToFit="1"/>
    </xf>
    <xf numFmtId="4" fontId="76" fillId="21" borderId="26">
      <alignment horizontal="right" vertical="top" shrinkToFit="1"/>
    </xf>
    <xf numFmtId="4" fontId="76" fillId="21"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76" fillId="21" borderId="26">
      <alignment horizontal="right" vertical="top" shrinkToFit="1"/>
    </xf>
    <xf numFmtId="4" fontId="76" fillId="21" borderId="26">
      <alignment horizontal="right" vertical="top" shrinkToFit="1"/>
    </xf>
    <xf numFmtId="4" fontId="76" fillId="21" borderId="26">
      <alignment horizontal="right" vertical="top" shrinkToFit="1"/>
    </xf>
    <xf numFmtId="4" fontId="76" fillId="21"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76" fillId="21" borderId="26">
      <alignment horizontal="right" vertical="top" shrinkToFit="1"/>
    </xf>
    <xf numFmtId="4" fontId="76" fillId="21" borderId="26">
      <alignment horizontal="right" vertical="top" shrinkToFit="1"/>
    </xf>
    <xf numFmtId="4" fontId="76" fillId="21" borderId="26">
      <alignment horizontal="right" vertical="top" shrinkToFit="1"/>
    </xf>
    <xf numFmtId="4" fontId="76" fillId="21"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76" fillId="21" borderId="26">
      <alignment horizontal="right" vertical="top" shrinkToFit="1"/>
    </xf>
    <xf numFmtId="4" fontId="76" fillId="21" borderId="26">
      <alignment horizontal="right" vertical="top" shrinkToFit="1"/>
    </xf>
    <xf numFmtId="4" fontId="76" fillId="21" borderId="26">
      <alignment horizontal="right" vertical="top" shrinkToFit="1"/>
    </xf>
    <xf numFmtId="4" fontId="76" fillId="21"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76" fillId="21" borderId="26">
      <alignment horizontal="right" vertical="top" shrinkToFit="1"/>
    </xf>
    <xf numFmtId="4" fontId="76" fillId="21" borderId="26">
      <alignment horizontal="right" vertical="top" shrinkToFit="1"/>
    </xf>
    <xf numFmtId="4" fontId="76" fillId="21" borderId="26">
      <alignment horizontal="right" vertical="top" shrinkToFit="1"/>
    </xf>
    <xf numFmtId="4" fontId="76" fillId="21" borderId="26">
      <alignment horizontal="right" vertical="top" shrinkToFit="1"/>
    </xf>
    <xf numFmtId="4" fontId="145" fillId="114" borderId="26">
      <alignment horizontal="right" vertical="top" shrinkToFit="1"/>
    </xf>
    <xf numFmtId="0" fontId="145" fillId="114" borderId="26">
      <alignment vertical="top" shrinkToFit="1"/>
    </xf>
    <xf numFmtId="0" fontId="76" fillId="21" borderId="26">
      <alignment vertical="top" shrinkToFit="1"/>
    </xf>
    <xf numFmtId="0" fontId="76" fillId="21" borderId="26">
      <alignment vertical="top" shrinkToFit="1"/>
    </xf>
    <xf numFmtId="0" fontId="76" fillId="21" borderId="26">
      <alignment vertical="top" shrinkToFit="1"/>
    </xf>
    <xf numFmtId="0" fontId="76" fillId="21" borderId="26">
      <alignment vertical="top" shrinkToFit="1"/>
    </xf>
    <xf numFmtId="0" fontId="145" fillId="114" borderId="26">
      <alignment vertical="top" shrinkToFit="1"/>
    </xf>
    <xf numFmtId="0" fontId="145" fillId="114" borderId="26">
      <alignment vertical="top" shrinkToFit="1"/>
    </xf>
    <xf numFmtId="0" fontId="76" fillId="21" borderId="26">
      <alignment vertical="top" shrinkToFit="1"/>
    </xf>
    <xf numFmtId="0" fontId="76" fillId="21" borderId="26">
      <alignment vertical="top" shrinkToFit="1"/>
    </xf>
    <xf numFmtId="0" fontId="76" fillId="21" borderId="26">
      <alignment vertical="top" shrinkToFit="1"/>
    </xf>
    <xf numFmtId="0" fontId="76" fillId="21" borderId="26">
      <alignment vertical="top" shrinkToFit="1"/>
    </xf>
    <xf numFmtId="0" fontId="145" fillId="114" borderId="26">
      <alignment vertical="top" shrinkToFit="1"/>
    </xf>
    <xf numFmtId="0" fontId="145" fillId="114" borderId="26">
      <alignment vertical="top" shrinkToFit="1"/>
    </xf>
    <xf numFmtId="0" fontId="76" fillId="21" borderId="26">
      <alignment vertical="top" shrinkToFit="1"/>
    </xf>
    <xf numFmtId="0" fontId="76" fillId="21" borderId="26">
      <alignment vertical="top" shrinkToFit="1"/>
    </xf>
    <xf numFmtId="0" fontId="76" fillId="21" borderId="26">
      <alignment vertical="top" shrinkToFit="1"/>
    </xf>
    <xf numFmtId="0" fontId="76" fillId="21" borderId="26">
      <alignment vertical="top" shrinkToFit="1"/>
    </xf>
    <xf numFmtId="0" fontId="145" fillId="114" borderId="26">
      <alignment vertical="top" shrinkToFit="1"/>
    </xf>
    <xf numFmtId="0" fontId="145" fillId="114" borderId="26">
      <alignment vertical="top" shrinkToFit="1"/>
    </xf>
    <xf numFmtId="0" fontId="76" fillId="21" borderId="26">
      <alignment vertical="top" shrinkToFit="1"/>
    </xf>
    <xf numFmtId="0" fontId="76" fillId="21" borderId="26">
      <alignment vertical="top" shrinkToFit="1"/>
    </xf>
    <xf numFmtId="0" fontId="76" fillId="21" borderId="26">
      <alignment vertical="top" shrinkToFit="1"/>
    </xf>
    <xf numFmtId="0" fontId="76" fillId="21" borderId="26">
      <alignment vertical="top" shrinkToFit="1"/>
    </xf>
    <xf numFmtId="0" fontId="145" fillId="114" borderId="26">
      <alignment vertical="top" shrinkToFit="1"/>
    </xf>
    <xf numFmtId="0" fontId="145" fillId="114" borderId="26">
      <alignment vertical="top" shrinkToFit="1"/>
    </xf>
    <xf numFmtId="0" fontId="76" fillId="21" borderId="26">
      <alignment vertical="top" shrinkToFit="1"/>
    </xf>
    <xf numFmtId="0" fontId="76" fillId="21" borderId="26">
      <alignment vertical="top" shrinkToFit="1"/>
    </xf>
    <xf numFmtId="0" fontId="76" fillId="21" borderId="26">
      <alignment vertical="top" shrinkToFit="1"/>
    </xf>
    <xf numFmtId="0" fontId="76" fillId="21" borderId="26">
      <alignment vertical="top" shrinkToFit="1"/>
    </xf>
    <xf numFmtId="0" fontId="145" fillId="114" borderId="26">
      <alignment vertical="top" shrinkToFit="1"/>
    </xf>
    <xf numFmtId="0" fontId="145" fillId="114" borderId="26">
      <alignment vertical="top" shrinkToFit="1"/>
    </xf>
    <xf numFmtId="0" fontId="76" fillId="21" borderId="26">
      <alignment vertical="top" shrinkToFit="1"/>
    </xf>
    <xf numFmtId="0" fontId="76" fillId="21" borderId="26">
      <alignment vertical="top" shrinkToFit="1"/>
    </xf>
    <xf numFmtId="0" fontId="76" fillId="21" borderId="26">
      <alignment vertical="top" shrinkToFit="1"/>
    </xf>
    <xf numFmtId="0" fontId="76" fillId="21" borderId="26">
      <alignment vertical="top" shrinkToFit="1"/>
    </xf>
    <xf numFmtId="0" fontId="145" fillId="114" borderId="26">
      <alignment vertical="top" shrinkToFit="1"/>
    </xf>
    <xf numFmtId="0" fontId="145" fillId="114" borderId="26">
      <alignment vertical="top" shrinkToFit="1"/>
    </xf>
    <xf numFmtId="0" fontId="76" fillId="21" borderId="26">
      <alignment vertical="top" shrinkToFit="1"/>
    </xf>
    <xf numFmtId="0" fontId="76" fillId="21" borderId="26">
      <alignment vertical="top" shrinkToFit="1"/>
    </xf>
    <xf numFmtId="0" fontId="76" fillId="21" borderId="26">
      <alignment vertical="top" shrinkToFit="1"/>
    </xf>
    <xf numFmtId="0" fontId="76" fillId="21" borderId="26">
      <alignment vertical="top" shrinkToFit="1"/>
    </xf>
    <xf numFmtId="0" fontId="145" fillId="114" borderId="26">
      <alignment vertical="top" shrinkToFit="1"/>
    </xf>
    <xf numFmtId="0" fontId="146" fillId="116" borderId="27">
      <alignment horizontal="left" vertical="top" wrapText="1"/>
    </xf>
    <xf numFmtId="0" fontId="75" fillId="22" borderId="27">
      <alignment horizontal="left" vertical="top" wrapText="1"/>
    </xf>
    <xf numFmtId="0" fontId="75" fillId="22" borderId="27">
      <alignment horizontal="left" vertical="top" wrapText="1"/>
    </xf>
    <xf numFmtId="0" fontId="75" fillId="22" borderId="27">
      <alignment horizontal="left" vertical="top" wrapText="1"/>
    </xf>
    <xf numFmtId="0" fontId="75" fillId="22" borderId="27">
      <alignment horizontal="left" vertical="top" wrapText="1"/>
    </xf>
    <xf numFmtId="0" fontId="146" fillId="116" borderId="27">
      <alignment horizontal="left" vertical="top" wrapText="1"/>
    </xf>
    <xf numFmtId="49" fontId="77" fillId="0" borderId="30">
      <alignment horizontal="center" vertical="top" shrinkToFit="1"/>
    </xf>
    <xf numFmtId="49" fontId="77" fillId="0" borderId="30">
      <alignment horizontal="center" vertical="top" shrinkToFit="1"/>
    </xf>
    <xf numFmtId="49" fontId="77" fillId="0" borderId="30">
      <alignment horizontal="center" vertical="top" shrinkToFit="1"/>
    </xf>
    <xf numFmtId="49" fontId="77" fillId="0" borderId="30">
      <alignment horizontal="center" vertical="top" shrinkToFit="1"/>
    </xf>
    <xf numFmtId="49" fontId="147" fillId="0" borderId="30">
      <alignment horizontal="center" vertical="top" shrinkToFit="1"/>
    </xf>
    <xf numFmtId="0" fontId="146" fillId="116" borderId="27">
      <alignment horizontal="left" vertical="top" wrapText="1"/>
    </xf>
    <xf numFmtId="49" fontId="146" fillId="116"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146" fillId="116" borderId="27">
      <alignment horizontal="center" vertical="top" shrinkToFit="1"/>
    </xf>
    <xf numFmtId="0" fontId="75" fillId="22" borderId="27">
      <alignment horizontal="left" vertical="top" wrapText="1"/>
    </xf>
    <xf numFmtId="0" fontId="75" fillId="22" borderId="27">
      <alignment horizontal="left" vertical="top" wrapText="1"/>
    </xf>
    <xf numFmtId="0" fontId="75" fillId="22" borderId="27">
      <alignment horizontal="left" vertical="top" wrapText="1"/>
    </xf>
    <xf numFmtId="0" fontId="75" fillId="22" borderId="27">
      <alignment horizontal="left" vertical="top" wrapText="1"/>
    </xf>
    <xf numFmtId="0" fontId="146" fillId="116" borderId="27">
      <alignment horizontal="left" vertical="top" wrapText="1"/>
    </xf>
    <xf numFmtId="49" fontId="146" fillId="116"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75" fillId="22" borderId="27">
      <alignment horizontal="center" vertical="top" shrinkToFit="1"/>
    </xf>
    <xf numFmtId="49" fontId="146" fillId="116" borderId="27">
      <alignment horizontal="center" vertical="top" shrinkToFit="1"/>
    </xf>
    <xf numFmtId="0" fontId="146" fillId="116" borderId="27">
      <alignment horizontal="left" vertical="top" wrapText="1"/>
    </xf>
    <xf numFmtId="0" fontId="75" fillId="22" borderId="27">
      <alignment horizontal="left" vertical="top" wrapText="1"/>
    </xf>
    <xf numFmtId="0" fontId="75" fillId="22" borderId="27">
      <alignment horizontal="left" vertical="top" wrapText="1"/>
    </xf>
    <xf numFmtId="0" fontId="75" fillId="22" borderId="27">
      <alignment horizontal="left" vertical="top" wrapText="1"/>
    </xf>
    <xf numFmtId="0" fontId="75" fillId="22" borderId="27">
      <alignment horizontal="left" vertical="top" wrapText="1"/>
    </xf>
    <xf numFmtId="0" fontId="146" fillId="116" borderId="27">
      <alignment horizontal="left" vertical="top" wrapText="1"/>
    </xf>
    <xf numFmtId="0" fontId="146" fillId="116" borderId="27">
      <alignment horizontal="left" vertical="top" wrapText="1"/>
    </xf>
    <xf numFmtId="0" fontId="75" fillId="22" borderId="27">
      <alignment horizontal="left" vertical="top" wrapText="1"/>
    </xf>
    <xf numFmtId="0" fontId="75" fillId="22" borderId="27">
      <alignment horizontal="left" vertical="top" wrapText="1"/>
    </xf>
    <xf numFmtId="0" fontId="75" fillId="22" borderId="27">
      <alignment horizontal="left" vertical="top" wrapText="1"/>
    </xf>
    <xf numFmtId="0" fontId="75" fillId="22" borderId="27">
      <alignment horizontal="left" vertical="top" wrapText="1"/>
    </xf>
    <xf numFmtId="0" fontId="146" fillId="116" borderId="27">
      <alignment horizontal="left" vertical="top" wrapText="1"/>
    </xf>
    <xf numFmtId="0" fontId="146" fillId="116" borderId="27">
      <alignment horizontal="left" vertical="top" wrapText="1"/>
    </xf>
    <xf numFmtId="0" fontId="75" fillId="22" borderId="27">
      <alignment horizontal="left" vertical="top" wrapText="1"/>
    </xf>
    <xf numFmtId="0" fontId="75" fillId="22" borderId="27">
      <alignment horizontal="left" vertical="top" wrapText="1"/>
    </xf>
    <xf numFmtId="0" fontId="75" fillId="22" borderId="27">
      <alignment horizontal="left" vertical="top" wrapText="1"/>
    </xf>
    <xf numFmtId="0" fontId="75" fillId="22" borderId="27">
      <alignment horizontal="left" vertical="top" wrapText="1"/>
    </xf>
    <xf numFmtId="0" fontId="146" fillId="116" borderId="27">
      <alignment horizontal="left" vertical="top" wrapText="1"/>
    </xf>
    <xf numFmtId="0" fontId="146" fillId="116" borderId="27">
      <alignment horizontal="left" vertical="top" wrapText="1"/>
    </xf>
    <xf numFmtId="0" fontId="75" fillId="22" borderId="27">
      <alignment horizontal="left" vertical="top" wrapText="1"/>
    </xf>
    <xf numFmtId="0" fontId="75" fillId="22" borderId="27">
      <alignment horizontal="left" vertical="top" wrapText="1"/>
    </xf>
    <xf numFmtId="0" fontId="75" fillId="22" borderId="27">
      <alignment horizontal="left" vertical="top" wrapText="1"/>
    </xf>
    <xf numFmtId="0" fontId="75" fillId="22" borderId="27">
      <alignment horizontal="left" vertical="top" wrapText="1"/>
    </xf>
    <xf numFmtId="0" fontId="146" fillId="116" borderId="27">
      <alignment horizontal="left" vertical="top" wrapText="1"/>
    </xf>
    <xf numFmtId="0" fontId="146" fillId="116" borderId="27">
      <alignment horizontal="left" vertical="top" wrapText="1"/>
    </xf>
    <xf numFmtId="0" fontId="75" fillId="22" borderId="27">
      <alignment horizontal="left" vertical="top" wrapText="1"/>
    </xf>
    <xf numFmtId="0" fontId="75" fillId="22" borderId="27">
      <alignment horizontal="left" vertical="top" wrapText="1"/>
    </xf>
    <xf numFmtId="0" fontId="75" fillId="22" borderId="27">
      <alignment horizontal="left" vertical="top" wrapText="1"/>
    </xf>
    <xf numFmtId="0" fontId="75" fillId="22" borderId="27">
      <alignment horizontal="left" vertical="top" wrapText="1"/>
    </xf>
    <xf numFmtId="0" fontId="146" fillId="116" borderId="27">
      <alignment horizontal="left" vertical="top" wrapText="1"/>
    </xf>
    <xf numFmtId="0" fontId="146" fillId="116" borderId="27">
      <alignment horizontal="left" vertical="top" wrapText="1"/>
    </xf>
    <xf numFmtId="0" fontId="75" fillId="22" borderId="27">
      <alignment horizontal="left" vertical="top" wrapText="1"/>
    </xf>
    <xf numFmtId="0" fontId="75" fillId="22" borderId="27">
      <alignment horizontal="left" vertical="top" wrapText="1"/>
    </xf>
    <xf numFmtId="0" fontId="75" fillId="22" borderId="27">
      <alignment horizontal="left" vertical="top" wrapText="1"/>
    </xf>
    <xf numFmtId="0" fontId="75" fillId="22" borderId="27">
      <alignment horizontal="left" vertical="top" wrapText="1"/>
    </xf>
    <xf numFmtId="0" fontId="146" fillId="116" borderId="27">
      <alignment horizontal="left" vertical="top" wrapText="1"/>
    </xf>
    <xf numFmtId="0" fontId="146" fillId="116" borderId="27">
      <alignment horizontal="left" vertical="top" wrapText="1"/>
    </xf>
    <xf numFmtId="0" fontId="75" fillId="22" borderId="27">
      <alignment horizontal="left" vertical="top" wrapText="1"/>
    </xf>
    <xf numFmtId="0" fontId="75" fillId="22" borderId="27">
      <alignment horizontal="left" vertical="top" wrapText="1"/>
    </xf>
    <xf numFmtId="0" fontId="75" fillId="22" borderId="27">
      <alignment horizontal="left" vertical="top" wrapText="1"/>
    </xf>
    <xf numFmtId="0" fontId="75" fillId="22" borderId="27">
      <alignment horizontal="left" vertical="top" wrapText="1"/>
    </xf>
    <xf numFmtId="0" fontId="146" fillId="116" borderId="27">
      <alignment horizontal="left" vertical="top" wrapText="1"/>
    </xf>
    <xf numFmtId="49" fontId="146" fillId="116"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146" fillId="116" borderId="28">
      <alignment horizontal="center" vertical="top" shrinkToFit="1"/>
    </xf>
    <xf numFmtId="0" fontId="148"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148" fillId="0" borderId="31">
      <alignment horizontal="left" vertical="top" wrapText="1"/>
    </xf>
    <xf numFmtId="0" fontId="148"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148" fillId="0" borderId="31">
      <alignment horizontal="left" vertical="top" wrapText="1"/>
    </xf>
    <xf numFmtId="0" fontId="74" fillId="0" borderId="31">
      <alignment horizontal="left" vertical="top" wrapText="1"/>
    </xf>
    <xf numFmtId="0" fontId="74" fillId="0" borderId="31">
      <alignment horizontal="left" vertical="top" wrapText="1"/>
    </xf>
    <xf numFmtId="0" fontId="74" fillId="0" borderId="31">
      <alignment horizontal="left" vertical="top" wrapText="1"/>
    </xf>
    <xf numFmtId="0" fontId="74" fillId="0" borderId="31">
      <alignment horizontal="left" vertical="top" wrapText="1"/>
    </xf>
    <xf numFmtId="0" fontId="149" fillId="0" borderId="31">
      <alignment horizontal="left" vertical="top" wrapText="1"/>
    </xf>
    <xf numFmtId="49" fontId="146" fillId="116" borderId="28">
      <alignment horizontal="center" vertical="top" shrinkToFit="1"/>
    </xf>
    <xf numFmtId="0" fontId="146" fillId="116" borderId="28">
      <alignment horizontal="left" vertical="top" wrapText="1"/>
    </xf>
    <xf numFmtId="0" fontId="75" fillId="22" borderId="28">
      <alignment horizontal="left" vertical="top" wrapText="1"/>
    </xf>
    <xf numFmtId="0" fontId="75" fillId="22" borderId="28">
      <alignment horizontal="left" vertical="top" wrapText="1"/>
    </xf>
    <xf numFmtId="0" fontId="75" fillId="22" borderId="28">
      <alignment horizontal="left" vertical="top" wrapText="1"/>
    </xf>
    <xf numFmtId="0" fontId="75" fillId="22" borderId="28">
      <alignment horizontal="left" vertical="top" wrapText="1"/>
    </xf>
    <xf numFmtId="0" fontId="146" fillId="116" borderId="28">
      <alignment horizontal="left" vertical="top" wrapText="1"/>
    </xf>
    <xf numFmtId="49" fontId="75" fillId="22"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146" fillId="116" borderId="28">
      <alignment horizontal="center" vertical="top" shrinkToFit="1"/>
    </xf>
    <xf numFmtId="0" fontId="146" fillId="116" borderId="28">
      <alignment horizontal="left" vertical="top" wrapText="1"/>
    </xf>
    <xf numFmtId="0" fontId="75" fillId="22" borderId="28">
      <alignment horizontal="left" vertical="top" wrapText="1"/>
    </xf>
    <xf numFmtId="0" fontId="75" fillId="22" borderId="28">
      <alignment horizontal="left" vertical="top" wrapText="1"/>
    </xf>
    <xf numFmtId="0" fontId="75" fillId="22" borderId="28">
      <alignment horizontal="left" vertical="top" wrapText="1"/>
    </xf>
    <xf numFmtId="0" fontId="75" fillId="22" borderId="28">
      <alignment horizontal="left" vertical="top" wrapText="1"/>
    </xf>
    <xf numFmtId="0" fontId="146" fillId="116" borderId="28">
      <alignment horizontal="left" vertical="top" wrapText="1"/>
    </xf>
    <xf numFmtId="49" fontId="148"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148" fillId="0" borderId="31">
      <alignment horizontal="center" vertical="top" shrinkToFit="1"/>
    </xf>
    <xf numFmtId="49" fontId="148"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148" fillId="0" borderId="31">
      <alignment horizontal="center" vertical="top" shrinkToFit="1"/>
    </xf>
    <xf numFmtId="49" fontId="74" fillId="0" borderId="31">
      <alignment horizontal="center" vertical="top" shrinkToFit="1"/>
    </xf>
    <xf numFmtId="49" fontId="74" fillId="0" borderId="31">
      <alignment horizontal="center" vertical="top" shrinkToFit="1"/>
    </xf>
    <xf numFmtId="49" fontId="74" fillId="0" borderId="31">
      <alignment horizontal="center" vertical="top" shrinkToFit="1"/>
    </xf>
    <xf numFmtId="49" fontId="74" fillId="0" borderId="31">
      <alignment horizontal="center" vertical="top" shrinkToFit="1"/>
    </xf>
    <xf numFmtId="49" fontId="149" fillId="0" borderId="31">
      <alignment horizontal="center" vertical="top" shrinkToFit="1"/>
    </xf>
    <xf numFmtId="0" fontId="146" fillId="116" borderId="28">
      <alignment horizontal="left" vertical="top" wrapText="1"/>
    </xf>
    <xf numFmtId="49" fontId="146" fillId="116"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75" fillId="22" borderId="28">
      <alignment horizontal="center" vertical="top" shrinkToFit="1"/>
    </xf>
    <xf numFmtId="49" fontId="146" fillId="116" borderId="28">
      <alignment horizontal="center" vertical="top" shrinkToFit="1"/>
    </xf>
    <xf numFmtId="0" fontId="75" fillId="22" borderId="28">
      <alignment horizontal="left" vertical="top" wrapText="1"/>
    </xf>
    <xf numFmtId="0" fontId="75" fillId="22" borderId="28">
      <alignment horizontal="left" vertical="top" wrapText="1"/>
    </xf>
    <xf numFmtId="0" fontId="75" fillId="22" borderId="28">
      <alignment horizontal="left" vertical="top" wrapText="1"/>
    </xf>
    <xf numFmtId="0" fontId="75" fillId="22" borderId="28">
      <alignment horizontal="left" vertical="top" wrapText="1"/>
    </xf>
    <xf numFmtId="0" fontId="146" fillId="116" borderId="28">
      <alignment horizontal="left" vertical="top" wrapText="1"/>
    </xf>
    <xf numFmtId="0" fontId="146" fillId="116" borderId="28">
      <alignment horizontal="left" vertical="top" wrapText="1"/>
    </xf>
    <xf numFmtId="0" fontId="75" fillId="22" borderId="28">
      <alignment horizontal="left" vertical="top" wrapText="1"/>
    </xf>
    <xf numFmtId="0" fontId="75" fillId="22" borderId="28">
      <alignment horizontal="left" vertical="top" wrapText="1"/>
    </xf>
    <xf numFmtId="0" fontId="75" fillId="22" borderId="28">
      <alignment horizontal="left" vertical="top" wrapText="1"/>
    </xf>
    <xf numFmtId="0" fontId="75" fillId="22" borderId="28">
      <alignment horizontal="left" vertical="top" wrapText="1"/>
    </xf>
    <xf numFmtId="0" fontId="146" fillId="116" borderId="28">
      <alignment horizontal="left" vertical="top" wrapText="1"/>
    </xf>
    <xf numFmtId="0" fontId="146" fillId="116" borderId="28">
      <alignment horizontal="left" vertical="top" wrapText="1"/>
    </xf>
    <xf numFmtId="0" fontId="75" fillId="22" borderId="28">
      <alignment horizontal="left" vertical="top" wrapText="1"/>
    </xf>
    <xf numFmtId="0" fontId="75" fillId="22" borderId="28">
      <alignment horizontal="left" vertical="top" wrapText="1"/>
    </xf>
    <xf numFmtId="0" fontId="75" fillId="22" borderId="28">
      <alignment horizontal="left" vertical="top" wrapText="1"/>
    </xf>
    <xf numFmtId="0" fontId="75" fillId="22" borderId="28">
      <alignment horizontal="left" vertical="top" wrapText="1"/>
    </xf>
    <xf numFmtId="0" fontId="146" fillId="116" borderId="28">
      <alignment horizontal="left" vertical="top" wrapText="1"/>
    </xf>
    <xf numFmtId="0" fontId="146" fillId="116" borderId="28">
      <alignment horizontal="left" vertical="top" wrapText="1"/>
    </xf>
    <xf numFmtId="0" fontId="75" fillId="22" borderId="28">
      <alignment horizontal="left" vertical="top" wrapText="1"/>
    </xf>
    <xf numFmtId="0" fontId="75" fillId="22" borderId="28">
      <alignment horizontal="left" vertical="top" wrapText="1"/>
    </xf>
    <xf numFmtId="0" fontId="75" fillId="22" borderId="28">
      <alignment horizontal="left" vertical="top" wrapText="1"/>
    </xf>
    <xf numFmtId="0" fontId="75" fillId="22" borderId="28">
      <alignment horizontal="left" vertical="top" wrapText="1"/>
    </xf>
    <xf numFmtId="0" fontId="146" fillId="116" borderId="28">
      <alignment horizontal="left" vertical="top" wrapText="1"/>
    </xf>
    <xf numFmtId="0" fontId="146" fillId="116" borderId="28">
      <alignment horizontal="left" vertical="top" wrapText="1"/>
    </xf>
    <xf numFmtId="0" fontId="75" fillId="22" borderId="28">
      <alignment horizontal="left" vertical="top" wrapText="1"/>
    </xf>
    <xf numFmtId="0" fontId="75" fillId="22" borderId="28">
      <alignment horizontal="left" vertical="top" wrapText="1"/>
    </xf>
    <xf numFmtId="0" fontId="75" fillId="22" borderId="28">
      <alignment horizontal="left" vertical="top" wrapText="1"/>
    </xf>
    <xf numFmtId="0" fontId="75" fillId="22" borderId="28">
      <alignment horizontal="left" vertical="top" wrapText="1"/>
    </xf>
    <xf numFmtId="0" fontId="146" fillId="116" borderId="28">
      <alignment horizontal="left" vertical="top" wrapText="1"/>
    </xf>
    <xf numFmtId="0" fontId="146" fillId="116" borderId="28">
      <alignment horizontal="left" vertical="top" wrapText="1"/>
    </xf>
    <xf numFmtId="0" fontId="75" fillId="22" borderId="28">
      <alignment horizontal="left" vertical="top" wrapText="1"/>
    </xf>
    <xf numFmtId="0" fontId="75" fillId="22" borderId="28">
      <alignment horizontal="left" vertical="top" wrapText="1"/>
    </xf>
    <xf numFmtId="0" fontId="75" fillId="22" borderId="28">
      <alignment horizontal="left" vertical="top" wrapText="1"/>
    </xf>
    <xf numFmtId="0" fontId="75" fillId="22" borderId="28">
      <alignment horizontal="left" vertical="top" wrapText="1"/>
    </xf>
    <xf numFmtId="0" fontId="146" fillId="116" borderId="28">
      <alignment horizontal="left" vertical="top" wrapText="1"/>
    </xf>
    <xf numFmtId="0" fontId="146" fillId="116" borderId="28">
      <alignment horizontal="left" vertical="top" wrapText="1"/>
    </xf>
    <xf numFmtId="0" fontId="75" fillId="22" borderId="28">
      <alignment horizontal="left" vertical="top" wrapText="1"/>
    </xf>
    <xf numFmtId="0" fontId="75" fillId="22" borderId="28">
      <alignment horizontal="left" vertical="top" wrapText="1"/>
    </xf>
    <xf numFmtId="0" fontId="75" fillId="22" borderId="28">
      <alignment horizontal="left" vertical="top" wrapText="1"/>
    </xf>
    <xf numFmtId="0" fontId="75" fillId="22" borderId="28">
      <alignment horizontal="left" vertical="top" wrapText="1"/>
    </xf>
    <xf numFmtId="0" fontId="146" fillId="116" borderId="28">
      <alignment horizontal="left" vertical="top" wrapText="1"/>
    </xf>
    <xf numFmtId="0" fontId="146" fillId="116" borderId="28">
      <alignment horizontal="left" vertical="top" wrapText="1"/>
    </xf>
    <xf numFmtId="0" fontId="75" fillId="22" borderId="28">
      <alignment horizontal="left" vertical="top" wrapText="1"/>
    </xf>
    <xf numFmtId="0" fontId="75" fillId="22" borderId="28">
      <alignment horizontal="left" vertical="top" wrapText="1"/>
    </xf>
    <xf numFmtId="0" fontId="75" fillId="22" borderId="28">
      <alignment horizontal="left" vertical="top" wrapText="1"/>
    </xf>
    <xf numFmtId="0" fontId="75" fillId="22" borderId="28">
      <alignment horizontal="left" vertical="top" wrapText="1"/>
    </xf>
    <xf numFmtId="0" fontId="146" fillId="116" borderId="28">
      <alignment horizontal="left" vertical="top" wrapText="1"/>
    </xf>
    <xf numFmtId="4" fontId="146" fillId="116" borderId="28">
      <alignment horizontal="right" vertical="top" shrinkToFit="1"/>
    </xf>
    <xf numFmtId="4" fontId="75" fillId="22" borderId="28">
      <alignment horizontal="right" vertical="top" shrinkToFit="1"/>
    </xf>
    <xf numFmtId="4" fontId="75" fillId="22" borderId="28">
      <alignment horizontal="right" vertical="top" shrinkToFit="1"/>
    </xf>
    <xf numFmtId="4" fontId="75" fillId="22" borderId="28">
      <alignment horizontal="right" vertical="top" shrinkToFit="1"/>
    </xf>
    <xf numFmtId="4" fontId="75" fillId="22" borderId="28">
      <alignment horizontal="right" vertical="top" shrinkToFit="1"/>
    </xf>
    <xf numFmtId="4" fontId="146" fillId="116" borderId="28">
      <alignment horizontal="right" vertical="top" shrinkToFit="1"/>
    </xf>
    <xf numFmtId="4" fontId="148"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148" fillId="0" borderId="31">
      <alignment horizontal="right" vertical="top" shrinkToFit="1"/>
    </xf>
    <xf numFmtId="4" fontId="148"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148"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149" fillId="0" borderId="31">
      <alignment horizontal="right" vertical="top" shrinkToFit="1"/>
    </xf>
    <xf numFmtId="4" fontId="146" fillId="116" borderId="28">
      <alignment horizontal="right" vertical="top" shrinkToFit="1"/>
    </xf>
    <xf numFmtId="4" fontId="75" fillId="22" borderId="28">
      <alignment horizontal="right" vertical="top" shrinkToFit="1"/>
    </xf>
    <xf numFmtId="4" fontId="75" fillId="22" borderId="28">
      <alignment horizontal="right" vertical="top" shrinkToFit="1"/>
    </xf>
    <xf numFmtId="4" fontId="75" fillId="22" borderId="28">
      <alignment horizontal="right" vertical="top" shrinkToFit="1"/>
    </xf>
    <xf numFmtId="4" fontId="75" fillId="22"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75" fillId="22" borderId="28">
      <alignment horizontal="right" vertical="top" shrinkToFit="1"/>
    </xf>
    <xf numFmtId="4" fontId="75" fillId="22" borderId="28">
      <alignment horizontal="right" vertical="top" shrinkToFit="1"/>
    </xf>
    <xf numFmtId="4" fontId="75" fillId="22" borderId="28">
      <alignment horizontal="right" vertical="top" shrinkToFit="1"/>
    </xf>
    <xf numFmtId="4" fontId="75" fillId="22"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75" fillId="22" borderId="28">
      <alignment horizontal="right" vertical="top" shrinkToFit="1"/>
    </xf>
    <xf numFmtId="4" fontId="75" fillId="22" borderId="28">
      <alignment horizontal="right" vertical="top" shrinkToFit="1"/>
    </xf>
    <xf numFmtId="4" fontId="75" fillId="22" borderId="28">
      <alignment horizontal="right" vertical="top" shrinkToFit="1"/>
    </xf>
    <xf numFmtId="4" fontId="75" fillId="22"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75" fillId="22" borderId="28">
      <alignment horizontal="right" vertical="top" shrinkToFit="1"/>
    </xf>
    <xf numFmtId="4" fontId="75" fillId="22" borderId="28">
      <alignment horizontal="right" vertical="top" shrinkToFit="1"/>
    </xf>
    <xf numFmtId="4" fontId="75" fillId="22" borderId="28">
      <alignment horizontal="right" vertical="top" shrinkToFit="1"/>
    </xf>
    <xf numFmtId="4" fontId="75" fillId="22"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75" fillId="22" borderId="28">
      <alignment horizontal="right" vertical="top" shrinkToFit="1"/>
    </xf>
    <xf numFmtId="4" fontId="75" fillId="22" borderId="28">
      <alignment horizontal="right" vertical="top" shrinkToFit="1"/>
    </xf>
    <xf numFmtId="4" fontId="75" fillId="22" borderId="28">
      <alignment horizontal="right" vertical="top" shrinkToFit="1"/>
    </xf>
    <xf numFmtId="4" fontId="75" fillId="22"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75" fillId="22" borderId="28">
      <alignment horizontal="right" vertical="top" shrinkToFit="1"/>
    </xf>
    <xf numFmtId="4" fontId="75" fillId="22" borderId="28">
      <alignment horizontal="right" vertical="top" shrinkToFit="1"/>
    </xf>
    <xf numFmtId="4" fontId="75" fillId="22" borderId="28">
      <alignment horizontal="right" vertical="top" shrinkToFit="1"/>
    </xf>
    <xf numFmtId="4" fontId="75" fillId="22"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75" fillId="22" borderId="28">
      <alignment horizontal="right" vertical="top" shrinkToFit="1"/>
    </xf>
    <xf numFmtId="4" fontId="75" fillId="22" borderId="28">
      <alignment horizontal="right" vertical="top" shrinkToFit="1"/>
    </xf>
    <xf numFmtId="4" fontId="75" fillId="22" borderId="28">
      <alignment horizontal="right" vertical="top" shrinkToFit="1"/>
    </xf>
    <xf numFmtId="4" fontId="75" fillId="22"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75" fillId="22" borderId="28">
      <alignment horizontal="right" vertical="top" shrinkToFit="1"/>
    </xf>
    <xf numFmtId="4" fontId="75" fillId="22" borderId="28">
      <alignment horizontal="right" vertical="top" shrinkToFit="1"/>
    </xf>
    <xf numFmtId="4" fontId="75" fillId="22" borderId="28">
      <alignment horizontal="right" vertical="top" shrinkToFit="1"/>
    </xf>
    <xf numFmtId="4" fontId="75" fillId="22" borderId="28">
      <alignment horizontal="right" vertical="top" shrinkToFit="1"/>
    </xf>
    <xf numFmtId="4" fontId="146" fillId="116" borderId="28">
      <alignment horizontal="right" vertical="top" shrinkToFit="1"/>
    </xf>
    <xf numFmtId="4" fontId="149" fillId="0" borderId="32">
      <alignment horizontal="right" vertical="top" shrinkToFit="1"/>
    </xf>
    <xf numFmtId="0" fontId="146" fillId="116" borderId="29">
      <alignment vertical="top" shrinkToFit="1"/>
    </xf>
    <xf numFmtId="0" fontId="75" fillId="22" borderId="29">
      <alignment vertical="top" shrinkToFit="1"/>
    </xf>
    <xf numFmtId="0" fontId="75" fillId="22" borderId="29">
      <alignment vertical="top" shrinkToFit="1"/>
    </xf>
    <xf numFmtId="0" fontId="75" fillId="22" borderId="29">
      <alignment vertical="top" shrinkToFit="1"/>
    </xf>
    <xf numFmtId="0" fontId="75" fillId="22" borderId="29">
      <alignment vertical="top" shrinkToFit="1"/>
    </xf>
    <xf numFmtId="0" fontId="146" fillId="116" borderId="29">
      <alignment vertical="top" shrinkToFit="1"/>
    </xf>
    <xf numFmtId="169" fontId="146" fillId="116" borderId="29">
      <alignment horizontal="right" vertical="top" shrinkToFit="1"/>
    </xf>
    <xf numFmtId="169" fontId="75" fillId="22" borderId="29">
      <alignment horizontal="right" vertical="top" shrinkToFit="1"/>
    </xf>
    <xf numFmtId="169" fontId="75" fillId="22" borderId="29">
      <alignment horizontal="right" vertical="top" shrinkToFit="1"/>
    </xf>
    <xf numFmtId="169" fontId="75" fillId="22" borderId="29">
      <alignment horizontal="right" vertical="top" shrinkToFit="1"/>
    </xf>
    <xf numFmtId="169" fontId="75" fillId="22" borderId="29">
      <alignment horizontal="right" vertical="top" shrinkToFit="1"/>
    </xf>
    <xf numFmtId="169" fontId="146" fillId="116" borderId="29">
      <alignment horizontal="right" vertical="top" shrinkToFit="1"/>
    </xf>
    <xf numFmtId="4" fontId="74" fillId="0" borderId="32">
      <alignment horizontal="right" vertical="top" shrinkToFit="1"/>
    </xf>
    <xf numFmtId="4" fontId="74" fillId="0" borderId="32">
      <alignment horizontal="right" vertical="top" shrinkToFit="1"/>
    </xf>
    <xf numFmtId="4" fontId="74" fillId="0" borderId="32">
      <alignment horizontal="right" vertical="top" shrinkToFit="1"/>
    </xf>
    <xf numFmtId="4" fontId="74" fillId="0" borderId="32">
      <alignment horizontal="right" vertical="top" shrinkToFit="1"/>
    </xf>
    <xf numFmtId="4" fontId="149" fillId="0" borderId="32">
      <alignment horizontal="right" vertical="top" shrinkToFit="1"/>
    </xf>
    <xf numFmtId="0" fontId="146" fillId="116" borderId="29">
      <alignment vertical="top" shrinkToFit="1"/>
    </xf>
    <xf numFmtId="4" fontId="146" fillId="116" borderId="29">
      <alignment horizontal="right" vertical="top" shrinkToFit="1"/>
    </xf>
    <xf numFmtId="4" fontId="75" fillId="22" borderId="29">
      <alignment horizontal="right" vertical="top" shrinkToFit="1"/>
    </xf>
    <xf numFmtId="4" fontId="75" fillId="22" borderId="29">
      <alignment horizontal="right" vertical="top" shrinkToFit="1"/>
    </xf>
    <xf numFmtId="4" fontId="75" fillId="22" borderId="29">
      <alignment horizontal="right" vertical="top" shrinkToFit="1"/>
    </xf>
    <xf numFmtId="4" fontId="75" fillId="22" borderId="29">
      <alignment horizontal="right" vertical="top" shrinkToFit="1"/>
    </xf>
    <xf numFmtId="4" fontId="146" fillId="116" borderId="29">
      <alignment horizontal="right" vertical="top" shrinkToFit="1"/>
    </xf>
    <xf numFmtId="0" fontId="75" fillId="22" borderId="29">
      <alignment vertical="top" shrinkToFit="1"/>
    </xf>
    <xf numFmtId="0" fontId="75" fillId="22" borderId="29">
      <alignment vertical="top" shrinkToFit="1"/>
    </xf>
    <xf numFmtId="0" fontId="75" fillId="22" borderId="29">
      <alignment vertical="top" shrinkToFit="1"/>
    </xf>
    <xf numFmtId="0" fontId="75" fillId="22" borderId="29">
      <alignment vertical="top" shrinkToFit="1"/>
    </xf>
    <xf numFmtId="0" fontId="146" fillId="116" borderId="29">
      <alignment vertical="top" shrinkToFit="1"/>
    </xf>
    <xf numFmtId="4" fontId="146" fillId="116" borderId="29">
      <alignment horizontal="right" vertical="top" shrinkToFit="1"/>
    </xf>
    <xf numFmtId="4" fontId="75" fillId="22" borderId="29">
      <alignment horizontal="right" vertical="top" shrinkToFit="1"/>
    </xf>
    <xf numFmtId="4" fontId="75" fillId="22" borderId="29">
      <alignment horizontal="right" vertical="top" shrinkToFit="1"/>
    </xf>
    <xf numFmtId="4" fontId="75" fillId="22" borderId="29">
      <alignment horizontal="right" vertical="top" shrinkToFit="1"/>
    </xf>
    <xf numFmtId="4" fontId="75" fillId="22"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75" fillId="22" borderId="29">
      <alignment horizontal="right" vertical="top" shrinkToFit="1"/>
    </xf>
    <xf numFmtId="4" fontId="75" fillId="22" borderId="29">
      <alignment horizontal="right" vertical="top" shrinkToFit="1"/>
    </xf>
    <xf numFmtId="4" fontId="75" fillId="22" borderId="29">
      <alignment horizontal="right" vertical="top" shrinkToFit="1"/>
    </xf>
    <xf numFmtId="4" fontId="75" fillId="22"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75" fillId="22" borderId="29">
      <alignment horizontal="right" vertical="top" shrinkToFit="1"/>
    </xf>
    <xf numFmtId="4" fontId="75" fillId="22" borderId="29">
      <alignment horizontal="right" vertical="top" shrinkToFit="1"/>
    </xf>
    <xf numFmtId="4" fontId="75" fillId="22" borderId="29">
      <alignment horizontal="right" vertical="top" shrinkToFit="1"/>
    </xf>
    <xf numFmtId="4" fontId="75" fillId="22"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75" fillId="22" borderId="29">
      <alignment horizontal="right" vertical="top" shrinkToFit="1"/>
    </xf>
    <xf numFmtId="4" fontId="75" fillId="22" borderId="29">
      <alignment horizontal="right" vertical="top" shrinkToFit="1"/>
    </xf>
    <xf numFmtId="4" fontId="75" fillId="22" borderId="29">
      <alignment horizontal="right" vertical="top" shrinkToFit="1"/>
    </xf>
    <xf numFmtId="4" fontId="75" fillId="22"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75" fillId="22" borderId="29">
      <alignment horizontal="right" vertical="top" shrinkToFit="1"/>
    </xf>
    <xf numFmtId="4" fontId="75" fillId="22" borderId="29">
      <alignment horizontal="right" vertical="top" shrinkToFit="1"/>
    </xf>
    <xf numFmtId="4" fontId="75" fillId="22" borderId="29">
      <alignment horizontal="right" vertical="top" shrinkToFit="1"/>
    </xf>
    <xf numFmtId="4" fontId="75" fillId="22"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75" fillId="22" borderId="29">
      <alignment horizontal="right" vertical="top" shrinkToFit="1"/>
    </xf>
    <xf numFmtId="4" fontId="75" fillId="22" borderId="29">
      <alignment horizontal="right" vertical="top" shrinkToFit="1"/>
    </xf>
    <xf numFmtId="4" fontId="75" fillId="22" borderId="29">
      <alignment horizontal="right" vertical="top" shrinkToFit="1"/>
    </xf>
    <xf numFmtId="4" fontId="75" fillId="22"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75" fillId="22" borderId="29">
      <alignment horizontal="right" vertical="top" shrinkToFit="1"/>
    </xf>
    <xf numFmtId="4" fontId="75" fillId="22" borderId="29">
      <alignment horizontal="right" vertical="top" shrinkToFit="1"/>
    </xf>
    <xf numFmtId="4" fontId="75" fillId="22" borderId="29">
      <alignment horizontal="right" vertical="top" shrinkToFit="1"/>
    </xf>
    <xf numFmtId="4" fontId="75" fillId="22"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75" fillId="22" borderId="29">
      <alignment horizontal="right" vertical="top" shrinkToFit="1"/>
    </xf>
    <xf numFmtId="4" fontId="75" fillId="22" borderId="29">
      <alignment horizontal="right" vertical="top" shrinkToFit="1"/>
    </xf>
    <xf numFmtId="4" fontId="75" fillId="22" borderId="29">
      <alignment horizontal="right" vertical="top" shrinkToFit="1"/>
    </xf>
    <xf numFmtId="4" fontId="75" fillId="22" borderId="29">
      <alignment horizontal="right" vertical="top" shrinkToFit="1"/>
    </xf>
    <xf numFmtId="4" fontId="146" fillId="116" borderId="29">
      <alignment horizontal="right" vertical="top" shrinkToFit="1"/>
    </xf>
    <xf numFmtId="0" fontId="146" fillId="116" borderId="29">
      <alignment vertical="top" shrinkToFit="1"/>
    </xf>
    <xf numFmtId="0" fontId="75" fillId="22" borderId="29">
      <alignment vertical="top" shrinkToFit="1"/>
    </xf>
    <xf numFmtId="0" fontId="75" fillId="22" borderId="29">
      <alignment vertical="top" shrinkToFit="1"/>
    </xf>
    <xf numFmtId="0" fontId="75" fillId="22" borderId="29">
      <alignment vertical="top" shrinkToFit="1"/>
    </xf>
    <xf numFmtId="0" fontId="75" fillId="22" borderId="29">
      <alignment vertical="top" shrinkToFit="1"/>
    </xf>
    <xf numFmtId="0" fontId="146" fillId="116" borderId="29">
      <alignment vertical="top" shrinkToFit="1"/>
    </xf>
    <xf numFmtId="0" fontId="146" fillId="116" borderId="29">
      <alignment vertical="top" shrinkToFit="1"/>
    </xf>
    <xf numFmtId="0" fontId="75" fillId="22" borderId="29">
      <alignment vertical="top" shrinkToFit="1"/>
    </xf>
    <xf numFmtId="0" fontId="75" fillId="22" borderId="29">
      <alignment vertical="top" shrinkToFit="1"/>
    </xf>
    <xf numFmtId="0" fontId="75" fillId="22" borderId="29">
      <alignment vertical="top" shrinkToFit="1"/>
    </xf>
    <xf numFmtId="0" fontId="75" fillId="22" borderId="29">
      <alignment vertical="top" shrinkToFit="1"/>
    </xf>
    <xf numFmtId="0" fontId="146" fillId="116" borderId="29">
      <alignment vertical="top" shrinkToFit="1"/>
    </xf>
    <xf numFmtId="0" fontId="146" fillId="116" borderId="29">
      <alignment vertical="top" shrinkToFit="1"/>
    </xf>
    <xf numFmtId="0" fontId="75" fillId="22" borderId="29">
      <alignment vertical="top" shrinkToFit="1"/>
    </xf>
    <xf numFmtId="0" fontId="75" fillId="22" borderId="29">
      <alignment vertical="top" shrinkToFit="1"/>
    </xf>
    <xf numFmtId="0" fontId="75" fillId="22" borderId="29">
      <alignment vertical="top" shrinkToFit="1"/>
    </xf>
    <xf numFmtId="0" fontId="75" fillId="22" borderId="29">
      <alignment vertical="top" shrinkToFit="1"/>
    </xf>
    <xf numFmtId="0" fontId="146" fillId="116" borderId="29">
      <alignment vertical="top" shrinkToFit="1"/>
    </xf>
    <xf numFmtId="0" fontId="146" fillId="116" borderId="29">
      <alignment vertical="top" shrinkToFit="1"/>
    </xf>
    <xf numFmtId="0" fontId="75" fillId="22" borderId="29">
      <alignment vertical="top" shrinkToFit="1"/>
    </xf>
    <xf numFmtId="0" fontId="75" fillId="22" borderId="29">
      <alignment vertical="top" shrinkToFit="1"/>
    </xf>
    <xf numFmtId="0" fontId="75" fillId="22" borderId="29">
      <alignment vertical="top" shrinkToFit="1"/>
    </xf>
    <xf numFmtId="0" fontId="75" fillId="22" borderId="29">
      <alignment vertical="top" shrinkToFit="1"/>
    </xf>
    <xf numFmtId="0" fontId="146" fillId="116" borderId="29">
      <alignment vertical="top" shrinkToFit="1"/>
    </xf>
    <xf numFmtId="0" fontId="146" fillId="116" borderId="29">
      <alignment vertical="top" shrinkToFit="1"/>
    </xf>
    <xf numFmtId="0" fontId="75" fillId="22" borderId="29">
      <alignment vertical="top" shrinkToFit="1"/>
    </xf>
    <xf numFmtId="0" fontId="75" fillId="22" borderId="29">
      <alignment vertical="top" shrinkToFit="1"/>
    </xf>
    <xf numFmtId="0" fontId="75" fillId="22" borderId="29">
      <alignment vertical="top" shrinkToFit="1"/>
    </xf>
    <xf numFmtId="0" fontId="75" fillId="22" borderId="29">
      <alignment vertical="top" shrinkToFit="1"/>
    </xf>
    <xf numFmtId="0" fontId="146" fillId="116" borderId="29">
      <alignment vertical="top" shrinkToFit="1"/>
    </xf>
    <xf numFmtId="0" fontId="146" fillId="116" borderId="29">
      <alignment vertical="top" shrinkToFit="1"/>
    </xf>
    <xf numFmtId="0" fontId="75" fillId="22" borderId="29">
      <alignment vertical="top" shrinkToFit="1"/>
    </xf>
    <xf numFmtId="0" fontId="75" fillId="22" borderId="29">
      <alignment vertical="top" shrinkToFit="1"/>
    </xf>
    <xf numFmtId="0" fontId="75" fillId="22" borderId="29">
      <alignment vertical="top" shrinkToFit="1"/>
    </xf>
    <xf numFmtId="0" fontId="75" fillId="22" borderId="29">
      <alignment vertical="top" shrinkToFit="1"/>
    </xf>
    <xf numFmtId="0" fontId="146" fillId="116" borderId="29">
      <alignment vertical="top" shrinkToFit="1"/>
    </xf>
    <xf numFmtId="0" fontId="146" fillId="116" borderId="29">
      <alignment vertical="top" shrinkToFit="1"/>
    </xf>
    <xf numFmtId="0" fontId="75" fillId="22" borderId="29">
      <alignment vertical="top" shrinkToFit="1"/>
    </xf>
    <xf numFmtId="0" fontId="75" fillId="22" borderId="29">
      <alignment vertical="top" shrinkToFit="1"/>
    </xf>
    <xf numFmtId="0" fontId="75" fillId="22" borderId="29">
      <alignment vertical="top" shrinkToFit="1"/>
    </xf>
    <xf numFmtId="0" fontId="75" fillId="22" borderId="29">
      <alignment vertical="top" shrinkToFit="1"/>
    </xf>
    <xf numFmtId="0" fontId="146" fillId="116" borderId="29">
      <alignment vertical="top" shrinkToFit="1"/>
    </xf>
    <xf numFmtId="49" fontId="146" fillId="115" borderId="30">
      <alignment horizontal="center" vertical="top" shrinkToFit="1"/>
    </xf>
    <xf numFmtId="49" fontId="75" fillId="23" borderId="30">
      <alignment horizontal="center" vertical="top" shrinkToFit="1"/>
    </xf>
    <xf numFmtId="49" fontId="75" fillId="23" borderId="30">
      <alignment horizontal="center" vertical="top" shrinkToFit="1"/>
    </xf>
    <xf numFmtId="49" fontId="75" fillId="23" borderId="30">
      <alignment horizontal="center" vertical="top" shrinkToFit="1"/>
    </xf>
    <xf numFmtId="49" fontId="75" fillId="23" borderId="30">
      <alignment horizontal="center" vertical="top" shrinkToFit="1"/>
    </xf>
    <xf numFmtId="49" fontId="146" fillId="115" borderId="30">
      <alignment horizontal="center" vertical="top" shrinkToFit="1"/>
    </xf>
    <xf numFmtId="0" fontId="75" fillId="23" borderId="30">
      <alignment horizontal="left" vertical="top" wrapText="1"/>
    </xf>
    <xf numFmtId="0" fontId="75" fillId="23" borderId="30">
      <alignment horizontal="left" vertical="top" wrapText="1"/>
    </xf>
    <xf numFmtId="0" fontId="75" fillId="23" borderId="30">
      <alignment horizontal="left" vertical="top" wrapText="1"/>
    </xf>
    <xf numFmtId="0" fontId="75" fillId="23" borderId="30">
      <alignment horizontal="left" vertical="top" wrapText="1"/>
    </xf>
    <xf numFmtId="0" fontId="146" fillId="115" borderId="30">
      <alignment horizontal="left" vertical="top" wrapText="1"/>
    </xf>
    <xf numFmtId="49" fontId="146" fillId="115" borderId="31">
      <alignment horizontal="center" vertical="top" shrinkToFit="1"/>
    </xf>
    <xf numFmtId="0" fontId="146" fillId="115" borderId="31">
      <alignment horizontal="left" vertical="top" wrapText="1"/>
    </xf>
    <xf numFmtId="0" fontId="75" fillId="23" borderId="31">
      <alignment horizontal="left" vertical="top" wrapText="1"/>
    </xf>
    <xf numFmtId="0" fontId="75" fillId="23" borderId="31">
      <alignment horizontal="left" vertical="top" wrapText="1"/>
    </xf>
    <xf numFmtId="0" fontId="75" fillId="23" borderId="31">
      <alignment horizontal="left" vertical="top" wrapText="1"/>
    </xf>
    <xf numFmtId="0" fontId="75" fillId="23" borderId="31">
      <alignment horizontal="left" vertical="top" wrapText="1"/>
    </xf>
    <xf numFmtId="0" fontId="146" fillId="115" borderId="31">
      <alignment horizontal="left" vertical="top" wrapText="1"/>
    </xf>
    <xf numFmtId="49" fontId="75" fillId="23" borderId="31">
      <alignment horizontal="center" vertical="top" shrinkToFit="1"/>
    </xf>
    <xf numFmtId="49" fontId="75" fillId="23" borderId="31">
      <alignment horizontal="center" vertical="top" shrinkToFit="1"/>
    </xf>
    <xf numFmtId="49" fontId="75" fillId="23" borderId="31">
      <alignment horizontal="center" vertical="top" shrinkToFit="1"/>
    </xf>
    <xf numFmtId="49" fontId="75" fillId="23" borderId="31">
      <alignment horizontal="center" vertical="top" shrinkToFit="1"/>
    </xf>
    <xf numFmtId="49" fontId="146" fillId="115" borderId="31">
      <alignment horizontal="center" vertical="top" shrinkToFit="1"/>
    </xf>
    <xf numFmtId="49" fontId="75" fillId="23" borderId="31">
      <alignment horizontal="center" vertical="top" shrinkToFit="1"/>
    </xf>
    <xf numFmtId="49" fontId="75" fillId="23" borderId="31">
      <alignment horizontal="center" vertical="top" shrinkToFit="1"/>
    </xf>
    <xf numFmtId="49" fontId="75" fillId="23" borderId="31">
      <alignment horizontal="center" vertical="top" shrinkToFit="1"/>
    </xf>
    <xf numFmtId="49" fontId="75" fillId="23" borderId="31">
      <alignment horizontal="center" vertical="top" shrinkToFit="1"/>
    </xf>
    <xf numFmtId="49" fontId="146" fillId="115" borderId="31">
      <alignment horizontal="center" vertical="top" shrinkToFit="1"/>
    </xf>
    <xf numFmtId="0" fontId="146" fillId="115" borderId="31">
      <alignment horizontal="left" vertical="top" wrapText="1"/>
    </xf>
    <xf numFmtId="49" fontId="146" fillId="115" borderId="31">
      <alignment horizontal="center" vertical="top" shrinkToFit="1"/>
    </xf>
    <xf numFmtId="49" fontId="75" fillId="23" borderId="31">
      <alignment horizontal="center" vertical="top" shrinkToFit="1"/>
    </xf>
    <xf numFmtId="49" fontId="75" fillId="23" borderId="31">
      <alignment horizontal="center" vertical="top" shrinkToFit="1"/>
    </xf>
    <xf numFmtId="49" fontId="75" fillId="23" borderId="31">
      <alignment horizontal="center" vertical="top" shrinkToFit="1"/>
    </xf>
    <xf numFmtId="49" fontId="75" fillId="23" borderId="31">
      <alignment horizontal="center" vertical="top" shrinkToFit="1"/>
    </xf>
    <xf numFmtId="49" fontId="146" fillId="115" borderId="31">
      <alignment horizontal="center" vertical="top" shrinkToFit="1"/>
    </xf>
    <xf numFmtId="0" fontId="75" fillId="23" borderId="31">
      <alignment horizontal="left" vertical="top" wrapText="1"/>
    </xf>
    <xf numFmtId="0" fontId="75" fillId="23" borderId="31">
      <alignment horizontal="left" vertical="top" wrapText="1"/>
    </xf>
    <xf numFmtId="0" fontId="75" fillId="23" borderId="31">
      <alignment horizontal="left" vertical="top" wrapText="1"/>
    </xf>
    <xf numFmtId="0" fontId="75" fillId="23" borderId="31">
      <alignment horizontal="left" vertical="top" wrapText="1"/>
    </xf>
    <xf numFmtId="0" fontId="146" fillId="115" borderId="31">
      <alignment horizontal="left" vertical="top" wrapText="1"/>
    </xf>
    <xf numFmtId="0" fontId="75" fillId="23" borderId="31">
      <alignment horizontal="left" vertical="top" wrapText="1"/>
    </xf>
    <xf numFmtId="0" fontId="75" fillId="23" borderId="31">
      <alignment horizontal="left" vertical="top" wrapText="1"/>
    </xf>
    <xf numFmtId="0" fontId="75" fillId="23" borderId="31">
      <alignment horizontal="left" vertical="top" wrapText="1"/>
    </xf>
    <xf numFmtId="0" fontId="75" fillId="23" borderId="31">
      <alignment horizontal="left" vertical="top" wrapText="1"/>
    </xf>
    <xf numFmtId="0" fontId="146" fillId="115" borderId="31">
      <alignment horizontal="left" vertical="top" wrapText="1"/>
    </xf>
    <xf numFmtId="4" fontId="146" fillId="115" borderId="31">
      <alignment horizontal="right" vertical="top" shrinkToFit="1"/>
    </xf>
    <xf numFmtId="4" fontId="75" fillId="23" borderId="31">
      <alignment horizontal="right" vertical="top" shrinkToFit="1"/>
    </xf>
    <xf numFmtId="4" fontId="75" fillId="23" borderId="31">
      <alignment horizontal="right" vertical="top" shrinkToFit="1"/>
    </xf>
    <xf numFmtId="4" fontId="75" fillId="23" borderId="31">
      <alignment horizontal="right" vertical="top" shrinkToFit="1"/>
    </xf>
    <xf numFmtId="4" fontId="75" fillId="23" borderId="31">
      <alignment horizontal="right" vertical="top" shrinkToFit="1"/>
    </xf>
    <xf numFmtId="4" fontId="146" fillId="115" borderId="31">
      <alignment horizontal="right" vertical="top" shrinkToFit="1"/>
    </xf>
    <xf numFmtId="4" fontId="75" fillId="23" borderId="31">
      <alignment horizontal="right" vertical="top" shrinkToFit="1"/>
    </xf>
    <xf numFmtId="4" fontId="75" fillId="23" borderId="31">
      <alignment horizontal="right" vertical="top" shrinkToFit="1"/>
    </xf>
    <xf numFmtId="4" fontId="75" fillId="23" borderId="31">
      <alignment horizontal="right" vertical="top" shrinkToFit="1"/>
    </xf>
    <xf numFmtId="4" fontId="75" fillId="23" borderId="31">
      <alignment horizontal="right" vertical="top" shrinkToFit="1"/>
    </xf>
    <xf numFmtId="4" fontId="146" fillId="115" borderId="31">
      <alignment horizontal="right" vertical="top" shrinkToFit="1"/>
    </xf>
    <xf numFmtId="0" fontId="146" fillId="115" borderId="32">
      <alignment vertical="top" shrinkToFit="1"/>
    </xf>
    <xf numFmtId="4" fontId="146" fillId="115" borderId="32">
      <alignment horizontal="right" vertical="top" shrinkToFit="1"/>
    </xf>
    <xf numFmtId="4" fontId="75" fillId="23" borderId="32">
      <alignment horizontal="right" vertical="top" shrinkToFit="1"/>
    </xf>
    <xf numFmtId="4" fontId="75" fillId="23" borderId="32">
      <alignment horizontal="right" vertical="top" shrinkToFit="1"/>
    </xf>
    <xf numFmtId="4" fontId="75" fillId="23" borderId="32">
      <alignment horizontal="right" vertical="top" shrinkToFit="1"/>
    </xf>
    <xf numFmtId="4" fontId="75" fillId="23" borderId="32">
      <alignment horizontal="right" vertical="top" shrinkToFit="1"/>
    </xf>
    <xf numFmtId="4" fontId="146" fillId="115" borderId="32">
      <alignment horizontal="right" vertical="top" shrinkToFit="1"/>
    </xf>
    <xf numFmtId="169" fontId="146" fillId="115" borderId="32">
      <alignment horizontal="right" vertical="top" shrinkToFit="1"/>
    </xf>
    <xf numFmtId="169" fontId="75" fillId="23" borderId="32">
      <alignment horizontal="right" vertical="top" shrinkToFit="1"/>
    </xf>
    <xf numFmtId="169" fontId="75" fillId="23" borderId="32">
      <alignment horizontal="right" vertical="top" shrinkToFit="1"/>
    </xf>
    <xf numFmtId="169" fontId="75" fillId="23" borderId="32">
      <alignment horizontal="right" vertical="top" shrinkToFit="1"/>
    </xf>
    <xf numFmtId="169" fontId="75" fillId="23" borderId="32">
      <alignment horizontal="right" vertical="top" shrinkToFit="1"/>
    </xf>
    <xf numFmtId="169" fontId="146" fillId="115" borderId="32">
      <alignment horizontal="right" vertical="top" shrinkToFit="1"/>
    </xf>
    <xf numFmtId="0" fontId="75" fillId="23" borderId="32">
      <alignment vertical="top" shrinkToFit="1"/>
    </xf>
    <xf numFmtId="0" fontId="75" fillId="23" borderId="32">
      <alignment vertical="top" shrinkToFit="1"/>
    </xf>
    <xf numFmtId="0" fontId="75" fillId="23" borderId="32">
      <alignment vertical="top" shrinkToFit="1"/>
    </xf>
    <xf numFmtId="0" fontId="75" fillId="23" borderId="32">
      <alignment vertical="top" shrinkToFit="1"/>
    </xf>
    <xf numFmtId="0" fontId="146" fillId="115" borderId="32">
      <alignment vertical="top" shrinkToFit="1"/>
    </xf>
    <xf numFmtId="49" fontId="147" fillId="0" borderId="30">
      <alignment horizontal="center" vertical="top" shrinkToFit="1"/>
    </xf>
    <xf numFmtId="49" fontId="77" fillId="0" borderId="30">
      <alignment horizontal="center" vertical="top" shrinkToFit="1"/>
    </xf>
    <xf numFmtId="49" fontId="77" fillId="0" borderId="30">
      <alignment horizontal="center" vertical="top" shrinkToFit="1"/>
    </xf>
    <xf numFmtId="49" fontId="77" fillId="0" borderId="30">
      <alignment horizontal="center" vertical="top" shrinkToFit="1"/>
    </xf>
    <xf numFmtId="49" fontId="77" fillId="0" borderId="30">
      <alignment horizontal="center" vertical="top" shrinkToFit="1"/>
    </xf>
    <xf numFmtId="49" fontId="147" fillId="0" borderId="30">
      <alignment horizontal="center" vertical="top" shrinkToFit="1"/>
    </xf>
    <xf numFmtId="0" fontId="77" fillId="0" borderId="30">
      <alignment horizontal="left" vertical="top" wrapText="1"/>
    </xf>
    <xf numFmtId="0" fontId="77" fillId="0" borderId="30">
      <alignment horizontal="left" vertical="top" wrapText="1"/>
    </xf>
    <xf numFmtId="0" fontId="77" fillId="0" borderId="30">
      <alignment horizontal="left" vertical="top" wrapText="1"/>
    </xf>
    <xf numFmtId="0" fontId="77" fillId="0" borderId="30">
      <alignment horizontal="left" vertical="top" wrapText="1"/>
    </xf>
    <xf numFmtId="0" fontId="147" fillId="0" borderId="30">
      <alignment horizontal="left" vertical="top" wrapText="1"/>
    </xf>
    <xf numFmtId="49" fontId="149" fillId="0" borderId="31">
      <alignment horizontal="center" vertical="top" shrinkToFit="1"/>
    </xf>
    <xf numFmtId="0" fontId="149" fillId="0" borderId="31">
      <alignment horizontal="left" vertical="top" wrapText="1"/>
    </xf>
    <xf numFmtId="0" fontId="74" fillId="0" borderId="31">
      <alignment horizontal="left" vertical="top" wrapText="1"/>
    </xf>
    <xf numFmtId="0" fontId="74" fillId="0" borderId="31">
      <alignment horizontal="left" vertical="top" wrapText="1"/>
    </xf>
    <xf numFmtId="0" fontId="74" fillId="0" borderId="31">
      <alignment horizontal="left" vertical="top" wrapText="1"/>
    </xf>
    <xf numFmtId="0" fontId="74" fillId="0" borderId="31">
      <alignment horizontal="left" vertical="top" wrapText="1"/>
    </xf>
    <xf numFmtId="0" fontId="149" fillId="0" borderId="31">
      <alignment horizontal="left" vertical="top" wrapText="1"/>
    </xf>
    <xf numFmtId="49" fontId="74" fillId="0" borderId="31">
      <alignment horizontal="center" vertical="top" shrinkToFit="1"/>
    </xf>
    <xf numFmtId="49" fontId="74" fillId="0" borderId="31">
      <alignment horizontal="center" vertical="top" shrinkToFit="1"/>
    </xf>
    <xf numFmtId="49" fontId="74" fillId="0" borderId="31">
      <alignment horizontal="center" vertical="top" shrinkToFit="1"/>
    </xf>
    <xf numFmtId="49" fontId="74" fillId="0" borderId="31">
      <alignment horizontal="center" vertical="top" shrinkToFit="1"/>
    </xf>
    <xf numFmtId="49" fontId="149" fillId="0" borderId="31">
      <alignment horizontal="center" vertical="top" shrinkToFit="1"/>
    </xf>
    <xf numFmtId="49" fontId="74" fillId="0" borderId="31">
      <alignment horizontal="center" vertical="top" shrinkToFit="1"/>
    </xf>
    <xf numFmtId="49" fontId="74" fillId="0" borderId="31">
      <alignment horizontal="center" vertical="top" shrinkToFit="1"/>
    </xf>
    <xf numFmtId="49" fontId="74" fillId="0" borderId="31">
      <alignment horizontal="center" vertical="top" shrinkToFit="1"/>
    </xf>
    <xf numFmtId="49" fontId="74" fillId="0" borderId="31">
      <alignment horizontal="center" vertical="top" shrinkToFit="1"/>
    </xf>
    <xf numFmtId="49" fontId="149" fillId="0" borderId="31">
      <alignment horizontal="center" vertical="top" shrinkToFit="1"/>
    </xf>
    <xf numFmtId="0" fontId="149" fillId="0" borderId="31">
      <alignment horizontal="left" vertical="top" wrapText="1"/>
    </xf>
    <xf numFmtId="49" fontId="149" fillId="0" borderId="31">
      <alignment horizontal="center" vertical="top" shrinkToFit="1"/>
    </xf>
    <xf numFmtId="49" fontId="74" fillId="0" borderId="31">
      <alignment horizontal="center" vertical="top" shrinkToFit="1"/>
    </xf>
    <xf numFmtId="49" fontId="74" fillId="0" borderId="31">
      <alignment horizontal="center" vertical="top" shrinkToFit="1"/>
    </xf>
    <xf numFmtId="49" fontId="74" fillId="0" borderId="31">
      <alignment horizontal="center" vertical="top" shrinkToFit="1"/>
    </xf>
    <xf numFmtId="49" fontId="74" fillId="0" borderId="31">
      <alignment horizontal="center" vertical="top" shrinkToFit="1"/>
    </xf>
    <xf numFmtId="49" fontId="149" fillId="0" borderId="31">
      <alignment horizontal="center" vertical="top" shrinkToFit="1"/>
    </xf>
    <xf numFmtId="0" fontId="74" fillId="0" borderId="31">
      <alignment horizontal="left" vertical="top" wrapText="1"/>
    </xf>
    <xf numFmtId="0" fontId="74" fillId="0" borderId="31">
      <alignment horizontal="left" vertical="top" wrapText="1"/>
    </xf>
    <xf numFmtId="0" fontId="74" fillId="0" borderId="31">
      <alignment horizontal="left" vertical="top" wrapText="1"/>
    </xf>
    <xf numFmtId="0" fontId="74" fillId="0" borderId="31">
      <alignment horizontal="left" vertical="top" wrapText="1"/>
    </xf>
    <xf numFmtId="0" fontId="149" fillId="0" borderId="31">
      <alignment horizontal="left" vertical="top" wrapText="1"/>
    </xf>
    <xf numFmtId="0" fontId="74" fillId="0" borderId="31">
      <alignment horizontal="left" vertical="top" wrapText="1"/>
    </xf>
    <xf numFmtId="0" fontId="74" fillId="0" borderId="31">
      <alignment horizontal="left" vertical="top" wrapText="1"/>
    </xf>
    <xf numFmtId="0" fontId="74" fillId="0" borderId="31">
      <alignment horizontal="left" vertical="top" wrapText="1"/>
    </xf>
    <xf numFmtId="0" fontId="74" fillId="0" borderId="31">
      <alignment horizontal="left" vertical="top" wrapText="1"/>
    </xf>
    <xf numFmtId="0" fontId="149" fillId="0" borderId="31">
      <alignment horizontal="left" vertical="top" wrapText="1"/>
    </xf>
    <xf numFmtId="4" fontId="149"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149"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149" fillId="0" borderId="31">
      <alignment horizontal="right" vertical="top" shrinkToFit="1"/>
    </xf>
    <xf numFmtId="0" fontId="149" fillId="0" borderId="32">
      <alignment vertical="top" shrinkToFit="1"/>
    </xf>
    <xf numFmtId="4" fontId="149" fillId="0" borderId="32">
      <alignment horizontal="right" vertical="top" shrinkToFit="1"/>
    </xf>
    <xf numFmtId="4" fontId="74" fillId="0" borderId="32">
      <alignment horizontal="right" vertical="top" shrinkToFit="1"/>
    </xf>
    <xf numFmtId="4" fontId="74" fillId="0" borderId="32">
      <alignment horizontal="right" vertical="top" shrinkToFit="1"/>
    </xf>
    <xf numFmtId="4" fontId="74" fillId="0" borderId="32">
      <alignment horizontal="right" vertical="top" shrinkToFit="1"/>
    </xf>
    <xf numFmtId="4" fontId="74" fillId="0" borderId="32">
      <alignment horizontal="right" vertical="top" shrinkToFit="1"/>
    </xf>
    <xf numFmtId="4" fontId="149" fillId="0" borderId="32">
      <alignment horizontal="right" vertical="top" shrinkToFit="1"/>
    </xf>
    <xf numFmtId="169" fontId="149" fillId="0" borderId="32">
      <alignment horizontal="right" vertical="top" shrinkToFit="1"/>
    </xf>
    <xf numFmtId="169" fontId="74" fillId="0" borderId="32">
      <alignment horizontal="right" vertical="top" shrinkToFit="1"/>
    </xf>
    <xf numFmtId="169" fontId="74" fillId="0" borderId="32">
      <alignment horizontal="right" vertical="top" shrinkToFit="1"/>
    </xf>
    <xf numFmtId="169" fontId="74" fillId="0" borderId="32">
      <alignment horizontal="right" vertical="top" shrinkToFit="1"/>
    </xf>
    <xf numFmtId="169" fontId="74" fillId="0" borderId="32">
      <alignment horizontal="right" vertical="top" shrinkToFit="1"/>
    </xf>
    <xf numFmtId="169" fontId="149" fillId="0" borderId="32">
      <alignment horizontal="right" vertical="top" shrinkToFit="1"/>
    </xf>
    <xf numFmtId="0" fontId="74" fillId="0" borderId="32">
      <alignment vertical="top" shrinkToFit="1"/>
    </xf>
    <xf numFmtId="0" fontId="74" fillId="0" borderId="32">
      <alignment vertical="top" shrinkToFit="1"/>
    </xf>
    <xf numFmtId="0" fontId="74" fillId="0" borderId="32">
      <alignment vertical="top" shrinkToFit="1"/>
    </xf>
    <xf numFmtId="0" fontId="74" fillId="0" borderId="32">
      <alignment vertical="top" shrinkToFit="1"/>
    </xf>
    <xf numFmtId="0" fontId="149" fillId="0" borderId="32">
      <alignment vertical="top" shrinkToFit="1"/>
    </xf>
    <xf numFmtId="49" fontId="147" fillId="0" borderId="30">
      <alignment horizontal="center" vertical="top" shrinkToFit="1"/>
    </xf>
    <xf numFmtId="49" fontId="77" fillId="0" borderId="30">
      <alignment horizontal="center" vertical="top" shrinkToFit="1"/>
    </xf>
    <xf numFmtId="49" fontId="77" fillId="0" borderId="30">
      <alignment horizontal="center" vertical="top" shrinkToFit="1"/>
    </xf>
    <xf numFmtId="49" fontId="77" fillId="0" borderId="30">
      <alignment horizontal="center" vertical="top" shrinkToFit="1"/>
    </xf>
    <xf numFmtId="49" fontId="77" fillId="0" borderId="30">
      <alignment horizontal="center" vertical="top" shrinkToFit="1"/>
    </xf>
    <xf numFmtId="49" fontId="147" fillId="0" borderId="30">
      <alignment horizontal="center" vertical="top" shrinkToFit="1"/>
    </xf>
    <xf numFmtId="0" fontId="77" fillId="0" borderId="30">
      <alignment horizontal="left" vertical="top" wrapText="1"/>
    </xf>
    <xf numFmtId="0" fontId="77" fillId="0" borderId="30">
      <alignment horizontal="left" vertical="top" wrapText="1"/>
    </xf>
    <xf numFmtId="0" fontId="77" fillId="0" borderId="30">
      <alignment horizontal="left" vertical="top" wrapText="1"/>
    </xf>
    <xf numFmtId="0" fontId="77" fillId="0" borderId="30">
      <alignment horizontal="left" vertical="top" wrapText="1"/>
    </xf>
    <xf numFmtId="0" fontId="147" fillId="0" borderId="30">
      <alignment horizontal="left" vertical="top" wrapText="1"/>
    </xf>
    <xf numFmtId="49" fontId="149" fillId="0" borderId="31">
      <alignment horizontal="center" vertical="top" shrinkToFit="1"/>
    </xf>
    <xf numFmtId="49" fontId="74" fillId="0" borderId="31">
      <alignment horizontal="center" vertical="top" shrinkToFit="1"/>
    </xf>
    <xf numFmtId="49" fontId="74" fillId="0" borderId="31">
      <alignment horizontal="center" vertical="top" shrinkToFit="1"/>
    </xf>
    <xf numFmtId="49" fontId="74" fillId="0" borderId="31">
      <alignment horizontal="center" vertical="top" shrinkToFit="1"/>
    </xf>
    <xf numFmtId="49" fontId="74" fillId="0" borderId="31">
      <alignment horizontal="center" vertical="top" shrinkToFit="1"/>
    </xf>
    <xf numFmtId="49" fontId="149" fillId="0" borderId="31">
      <alignment horizontal="center" vertical="top" shrinkToFit="1"/>
    </xf>
    <xf numFmtId="49" fontId="74" fillId="0" borderId="31">
      <alignment horizontal="center" vertical="top" shrinkToFit="1"/>
    </xf>
    <xf numFmtId="49" fontId="74" fillId="0" borderId="31">
      <alignment horizontal="center" vertical="top" shrinkToFit="1"/>
    </xf>
    <xf numFmtId="49" fontId="74" fillId="0" borderId="31">
      <alignment horizontal="center" vertical="top" shrinkToFit="1"/>
    </xf>
    <xf numFmtId="49" fontId="74" fillId="0" borderId="31">
      <alignment horizontal="center" vertical="top" shrinkToFit="1"/>
    </xf>
    <xf numFmtId="49" fontId="149" fillId="0" borderId="31">
      <alignment horizontal="center" vertical="top" shrinkToFit="1"/>
    </xf>
    <xf numFmtId="0" fontId="149" fillId="0" borderId="31">
      <alignment horizontal="left" vertical="top" wrapText="1"/>
    </xf>
    <xf numFmtId="0" fontId="74" fillId="0" borderId="31">
      <alignment horizontal="left" vertical="top" wrapText="1"/>
    </xf>
    <xf numFmtId="0" fontId="74" fillId="0" borderId="31">
      <alignment horizontal="left" vertical="top" wrapText="1"/>
    </xf>
    <xf numFmtId="0" fontId="74" fillId="0" borderId="31">
      <alignment horizontal="left" vertical="top" wrapText="1"/>
    </xf>
    <xf numFmtId="0" fontId="74" fillId="0" borderId="31">
      <alignment horizontal="left" vertical="top" wrapText="1"/>
    </xf>
    <xf numFmtId="0" fontId="149" fillId="0" borderId="31">
      <alignment horizontal="left" vertical="top" wrapText="1"/>
    </xf>
    <xf numFmtId="0" fontId="74" fillId="0" borderId="31">
      <alignment horizontal="left" vertical="top" wrapText="1"/>
    </xf>
    <xf numFmtId="0" fontId="74" fillId="0" borderId="31">
      <alignment horizontal="left" vertical="top" wrapText="1"/>
    </xf>
    <xf numFmtId="0" fontId="74" fillId="0" borderId="31">
      <alignment horizontal="left" vertical="top" wrapText="1"/>
    </xf>
    <xf numFmtId="0" fontId="74" fillId="0" borderId="31">
      <alignment horizontal="left" vertical="top" wrapText="1"/>
    </xf>
    <xf numFmtId="0" fontId="149" fillId="0" borderId="31">
      <alignment horizontal="left" vertical="top" wrapText="1"/>
    </xf>
    <xf numFmtId="4" fontId="149"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149"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149" fillId="0" borderId="31">
      <alignment horizontal="right" vertical="top" shrinkToFit="1"/>
    </xf>
    <xf numFmtId="0" fontId="149" fillId="0" borderId="32">
      <alignment vertical="top" shrinkToFit="1"/>
    </xf>
    <xf numFmtId="4" fontId="149" fillId="0" borderId="32">
      <alignment horizontal="right" vertical="top" shrinkToFit="1"/>
    </xf>
    <xf numFmtId="4" fontId="74" fillId="0" borderId="32">
      <alignment horizontal="right" vertical="top" shrinkToFit="1"/>
    </xf>
    <xf numFmtId="4" fontId="74" fillId="0" borderId="32">
      <alignment horizontal="right" vertical="top" shrinkToFit="1"/>
    </xf>
    <xf numFmtId="4" fontId="74" fillId="0" borderId="32">
      <alignment horizontal="right" vertical="top" shrinkToFit="1"/>
    </xf>
    <xf numFmtId="4" fontId="74" fillId="0" borderId="32">
      <alignment horizontal="right" vertical="top" shrinkToFit="1"/>
    </xf>
    <xf numFmtId="4" fontId="149" fillId="0" borderId="32">
      <alignment horizontal="right" vertical="top" shrinkToFit="1"/>
    </xf>
    <xf numFmtId="0" fontId="74" fillId="0" borderId="32">
      <alignment vertical="top" shrinkToFit="1"/>
    </xf>
    <xf numFmtId="0" fontId="74" fillId="0" borderId="32">
      <alignment vertical="top" shrinkToFit="1"/>
    </xf>
    <xf numFmtId="0" fontId="74" fillId="0" borderId="32">
      <alignment vertical="top" shrinkToFit="1"/>
    </xf>
    <xf numFmtId="0" fontId="74" fillId="0" borderId="32">
      <alignment vertical="top" shrinkToFit="1"/>
    </xf>
    <xf numFmtId="0" fontId="149" fillId="0" borderId="32">
      <alignment vertical="top" shrinkToFit="1"/>
    </xf>
    <xf numFmtId="49" fontId="147" fillId="0" borderId="30">
      <alignment horizontal="center" vertical="top" shrinkToFit="1"/>
    </xf>
    <xf numFmtId="49" fontId="77" fillId="0" borderId="30">
      <alignment horizontal="center" vertical="top" shrinkToFit="1"/>
    </xf>
    <xf numFmtId="49" fontId="77" fillId="0" borderId="30">
      <alignment horizontal="center" vertical="top" shrinkToFit="1"/>
    </xf>
    <xf numFmtId="49" fontId="77" fillId="0" borderId="30">
      <alignment horizontal="center" vertical="top" shrinkToFit="1"/>
    </xf>
    <xf numFmtId="49" fontId="77" fillId="0" borderId="30">
      <alignment horizontal="center" vertical="top" shrinkToFit="1"/>
    </xf>
    <xf numFmtId="49" fontId="147" fillId="0" borderId="30">
      <alignment horizontal="center" vertical="top" shrinkToFit="1"/>
    </xf>
    <xf numFmtId="49" fontId="149" fillId="0" borderId="31">
      <alignment horizontal="center" vertical="top" shrinkToFit="1"/>
    </xf>
    <xf numFmtId="49" fontId="74" fillId="0" borderId="31">
      <alignment horizontal="center" vertical="top" shrinkToFit="1"/>
    </xf>
    <xf numFmtId="49" fontId="74" fillId="0" borderId="31">
      <alignment horizontal="center" vertical="top" shrinkToFit="1"/>
    </xf>
    <xf numFmtId="49" fontId="74" fillId="0" borderId="31">
      <alignment horizontal="center" vertical="top" shrinkToFit="1"/>
    </xf>
    <xf numFmtId="49" fontId="74" fillId="0" borderId="31">
      <alignment horizontal="center" vertical="top" shrinkToFit="1"/>
    </xf>
    <xf numFmtId="49" fontId="149" fillId="0" borderId="31">
      <alignment horizontal="center" vertical="top" shrinkToFit="1"/>
    </xf>
    <xf numFmtId="0" fontId="149" fillId="0" borderId="31">
      <alignment horizontal="left" vertical="top" wrapText="1"/>
    </xf>
    <xf numFmtId="0" fontId="74" fillId="0" borderId="31">
      <alignment horizontal="left" vertical="top" wrapText="1"/>
    </xf>
    <xf numFmtId="0" fontId="74" fillId="0" borderId="31">
      <alignment horizontal="left" vertical="top" wrapText="1"/>
    </xf>
    <xf numFmtId="0" fontId="74" fillId="0" borderId="31">
      <alignment horizontal="left" vertical="top" wrapText="1"/>
    </xf>
    <xf numFmtId="0" fontId="74" fillId="0" borderId="31">
      <alignment horizontal="left" vertical="top" wrapText="1"/>
    </xf>
    <xf numFmtId="0" fontId="149" fillId="0" borderId="31">
      <alignment horizontal="left" vertical="top" wrapText="1"/>
    </xf>
    <xf numFmtId="4" fontId="149"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149" fillId="0" borderId="31">
      <alignment horizontal="right" vertical="top" shrinkToFit="1"/>
    </xf>
    <xf numFmtId="4" fontId="149" fillId="0" borderId="32">
      <alignment horizontal="right" vertical="top" shrinkToFit="1"/>
    </xf>
    <xf numFmtId="4" fontId="74" fillId="0" borderId="32">
      <alignment horizontal="right" vertical="top" shrinkToFit="1"/>
    </xf>
    <xf numFmtId="4" fontId="74" fillId="0" borderId="32">
      <alignment horizontal="right" vertical="top" shrinkToFit="1"/>
    </xf>
    <xf numFmtId="4" fontId="74" fillId="0" borderId="32">
      <alignment horizontal="right" vertical="top" shrinkToFit="1"/>
    </xf>
    <xf numFmtId="4" fontId="74" fillId="0" borderId="32">
      <alignment horizontal="right" vertical="top" shrinkToFit="1"/>
    </xf>
    <xf numFmtId="4" fontId="149" fillId="0" borderId="32">
      <alignment horizontal="right" vertical="top" shrinkToFit="1"/>
    </xf>
    <xf numFmtId="0" fontId="150" fillId="0" borderId="0" applyNumberFormat="0" applyFill="0" applyBorder="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50" fillId="0" borderId="0" applyNumberFormat="0" applyFill="0" applyBorder="0" applyProtection="0"/>
    <xf numFmtId="0" fontId="151" fillId="117" borderId="0" applyNumberFormat="0" applyBorder="0" applyProtection="0"/>
    <xf numFmtId="0" fontId="109" fillId="118" borderId="0" applyNumberFormat="0" applyBorder="0" applyAlignment="0" applyProtection="0"/>
    <xf numFmtId="0" fontId="109" fillId="118" borderId="0" applyNumberFormat="0" applyBorder="0" applyAlignment="0" applyProtection="0"/>
    <xf numFmtId="0" fontId="109" fillId="118" borderId="0" applyNumberFormat="0" applyBorder="0" applyAlignment="0" applyProtection="0"/>
    <xf numFmtId="0" fontId="109" fillId="118" borderId="0" applyNumberFormat="0" applyBorder="0" applyAlignment="0" applyProtection="0"/>
    <xf numFmtId="0" fontId="151" fillId="117" borderId="0" applyNumberFormat="0" applyBorder="0" applyProtection="0"/>
    <xf numFmtId="0" fontId="152" fillId="0" borderId="64" applyNumberFormat="0" applyFill="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52" fillId="0" borderId="64" applyNumberFormat="0" applyFill="0" applyProtection="0"/>
    <xf numFmtId="0" fontId="153" fillId="0" borderId="65" applyNumberFormat="0" applyFill="0" applyProtection="0"/>
    <xf numFmtId="0" fontId="107" fillId="0" borderId="65" applyNumberFormat="0" applyFill="0" applyAlignment="0" applyProtection="0"/>
    <xf numFmtId="0" fontId="107" fillId="0" borderId="65" applyNumberFormat="0" applyFill="0" applyAlignment="0" applyProtection="0"/>
    <xf numFmtId="0" fontId="107" fillId="0" borderId="65" applyNumberFormat="0" applyFill="0" applyAlignment="0" applyProtection="0"/>
    <xf numFmtId="0" fontId="107" fillId="0" borderId="65" applyNumberFormat="0" applyFill="0" applyAlignment="0" applyProtection="0"/>
    <xf numFmtId="0" fontId="153" fillId="0" borderId="65" applyNumberFormat="0" applyFill="0" applyProtection="0"/>
    <xf numFmtId="0" fontId="154" fillId="0" borderId="66" applyNumberFormat="0" applyFill="0" applyProtection="0"/>
    <xf numFmtId="0" fontId="108" fillId="0" borderId="66" applyNumberFormat="0" applyFill="0" applyAlignment="0" applyProtection="0"/>
    <xf numFmtId="0" fontId="108" fillId="0" borderId="66" applyNumberFormat="0" applyFill="0" applyAlignment="0" applyProtection="0"/>
    <xf numFmtId="0" fontId="108" fillId="0" borderId="66" applyNumberFormat="0" applyFill="0" applyAlignment="0" applyProtection="0"/>
    <xf numFmtId="0" fontId="108" fillId="0" borderId="66" applyNumberFormat="0" applyFill="0" applyAlignment="0" applyProtection="0"/>
    <xf numFmtId="0" fontId="154" fillId="0" borderId="66" applyNumberFormat="0" applyFill="0" applyProtection="0"/>
    <xf numFmtId="0" fontId="154" fillId="0" borderId="0" applyNumberFormat="0" applyFill="0" applyBorder="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54" fillId="0" borderId="0" applyNumberFormat="0" applyFill="0" applyBorder="0" applyProtection="0"/>
    <xf numFmtId="0" fontId="155" fillId="55" borderId="67" applyNumberFormat="0" applyProtection="0"/>
    <xf numFmtId="0" fontId="112" fillId="119" borderId="67" applyNumberFormat="0" applyAlignment="0" applyProtection="0"/>
    <xf numFmtId="0" fontId="112" fillId="119" borderId="67" applyNumberFormat="0" applyAlignment="0" applyProtection="0"/>
    <xf numFmtId="0" fontId="112" fillId="119" borderId="67" applyNumberFormat="0" applyAlignment="0" applyProtection="0"/>
    <xf numFmtId="0" fontId="112" fillId="119" borderId="67" applyNumberFormat="0" applyAlignment="0" applyProtection="0"/>
    <xf numFmtId="0" fontId="155" fillId="55" borderId="67" applyNumberFormat="0" applyProtection="0"/>
    <xf numFmtId="0" fontId="156" fillId="0" borderId="69" applyNumberFormat="0" applyFill="0" applyProtection="0"/>
    <xf numFmtId="0" fontId="115" fillId="0" borderId="69" applyNumberFormat="0" applyFill="0" applyAlignment="0" applyProtection="0"/>
    <xf numFmtId="0" fontId="115" fillId="0" borderId="69" applyNumberFormat="0" applyFill="0" applyAlignment="0" applyProtection="0"/>
    <xf numFmtId="0" fontId="115" fillId="0" borderId="69" applyNumberFormat="0" applyFill="0" applyAlignment="0" applyProtection="0"/>
    <xf numFmtId="0" fontId="115" fillId="0" borderId="69" applyNumberFormat="0" applyFill="0" applyAlignment="0" applyProtection="0"/>
    <xf numFmtId="0" fontId="156" fillId="0" borderId="69" applyNumberFormat="0" applyFill="0" applyProtection="0"/>
    <xf numFmtId="0" fontId="157" fillId="120" borderId="0" applyNumberFormat="0" applyBorder="0" applyProtection="0"/>
    <xf numFmtId="0" fontId="111" fillId="121" borderId="0" applyNumberFormat="0" applyBorder="0" applyAlignment="0" applyProtection="0"/>
    <xf numFmtId="0" fontId="111" fillId="121" borderId="0" applyNumberFormat="0" applyBorder="0" applyAlignment="0" applyProtection="0"/>
    <xf numFmtId="0" fontId="111" fillId="121" borderId="0" applyNumberFormat="0" applyBorder="0" applyAlignment="0" applyProtection="0"/>
    <xf numFmtId="0" fontId="111" fillId="121" borderId="0" applyNumberFormat="0" applyBorder="0" applyAlignment="0" applyProtection="0"/>
    <xf numFmtId="0" fontId="157" fillId="120" borderId="0" applyNumberFormat="0" applyBorder="0" applyProtection="0"/>
    <xf numFmtId="0" fontId="149" fillId="0" borderId="0"/>
    <xf numFmtId="0" fontId="158" fillId="0" borderId="0"/>
    <xf numFmtId="0" fontId="158" fillId="0" borderId="0"/>
    <xf numFmtId="0" fontId="158" fillId="0" borderId="0"/>
    <xf numFmtId="0" fontId="158" fillId="0" borderId="0"/>
    <xf numFmtId="0" fontId="149" fillId="0" borderId="0"/>
    <xf numFmtId="0" fontId="137" fillId="122" borderId="71" applyNumberFormat="0" applyFont="0" applyProtection="0"/>
    <xf numFmtId="0" fontId="137" fillId="122" borderId="71" applyNumberFormat="0" applyFont="0" applyProtection="0"/>
    <xf numFmtId="0" fontId="19" fillId="123" borderId="71" applyNumberFormat="0" applyFont="0" applyAlignment="0" applyProtection="0"/>
    <xf numFmtId="0" fontId="19" fillId="123" borderId="71" applyNumberFormat="0" applyFont="0" applyAlignment="0" applyProtection="0"/>
    <xf numFmtId="0" fontId="19" fillId="123" borderId="71" applyNumberFormat="0" applyFont="0" applyAlignment="0" applyProtection="0"/>
    <xf numFmtId="0" fontId="19" fillId="123" borderId="71" applyNumberFormat="0" applyFont="0" applyAlignment="0" applyProtection="0"/>
    <xf numFmtId="0" fontId="137" fillId="122" borderId="71" applyNumberFormat="0" applyFont="0" applyProtection="0"/>
    <xf numFmtId="0" fontId="137" fillId="122" borderId="71" applyNumberFormat="0" applyFont="0" applyProtection="0"/>
    <xf numFmtId="0" fontId="19" fillId="123" borderId="71" applyNumberFormat="0" applyFont="0" applyAlignment="0" applyProtection="0"/>
    <xf numFmtId="0" fontId="19" fillId="123" borderId="71" applyNumberFormat="0" applyFont="0" applyAlignment="0" applyProtection="0"/>
    <xf numFmtId="0" fontId="19" fillId="123" borderId="71" applyNumberFormat="0" applyFont="0" applyAlignment="0" applyProtection="0"/>
    <xf numFmtId="0" fontId="19" fillId="123" borderId="71" applyNumberFormat="0" applyFont="0" applyAlignment="0" applyProtection="0"/>
    <xf numFmtId="0" fontId="137" fillId="122" borderId="71" applyNumberFormat="0" applyFont="0" applyProtection="0"/>
    <xf numFmtId="0" fontId="137" fillId="122" borderId="71" applyNumberFormat="0" applyFont="0" applyProtection="0"/>
    <xf numFmtId="0" fontId="19" fillId="123" borderId="71" applyNumberFormat="0" applyFont="0" applyAlignment="0" applyProtection="0"/>
    <xf numFmtId="0" fontId="19" fillId="123" borderId="71" applyNumberFormat="0" applyFont="0" applyAlignment="0" applyProtection="0"/>
    <xf numFmtId="0" fontId="19" fillId="123" borderId="71" applyNumberFormat="0" applyFont="0" applyAlignment="0" applyProtection="0"/>
    <xf numFmtId="0" fontId="19" fillId="123" borderId="71" applyNumberFormat="0" applyFont="0" applyAlignment="0" applyProtection="0"/>
    <xf numFmtId="0" fontId="137" fillId="122" borderId="71" applyNumberFormat="0" applyFont="0" applyProtection="0"/>
    <xf numFmtId="0" fontId="137" fillId="122" borderId="71" applyNumberFormat="0" applyFont="0" applyProtection="0"/>
    <xf numFmtId="0" fontId="19" fillId="123" borderId="71" applyNumberFormat="0" applyFont="0" applyAlignment="0" applyProtection="0"/>
    <xf numFmtId="0" fontId="19" fillId="123" borderId="71" applyNumberFormat="0" applyFont="0" applyAlignment="0" applyProtection="0"/>
    <xf numFmtId="0" fontId="19" fillId="123" borderId="71" applyNumberFormat="0" applyFont="0" applyAlignment="0" applyProtection="0"/>
    <xf numFmtId="0" fontId="19" fillId="123" borderId="71" applyNumberFormat="0" applyFont="0" applyAlignment="0" applyProtection="0"/>
    <xf numFmtId="0" fontId="137" fillId="122" borderId="71" applyNumberFormat="0" applyFont="0" applyProtection="0"/>
    <xf numFmtId="0" fontId="137" fillId="122" borderId="71" applyNumberFormat="0" applyFont="0" applyProtection="0"/>
    <xf numFmtId="0" fontId="19" fillId="123" borderId="71" applyNumberFormat="0" applyFont="0" applyAlignment="0" applyProtection="0"/>
    <xf numFmtId="0" fontId="19" fillId="123" borderId="71" applyNumberFormat="0" applyFont="0" applyAlignment="0" applyProtection="0"/>
    <xf numFmtId="0" fontId="19" fillId="123" borderId="71" applyNumberFormat="0" applyFont="0" applyAlignment="0" applyProtection="0"/>
    <xf numFmtId="0" fontId="19" fillId="123" borderId="71" applyNumberFormat="0" applyFont="0" applyAlignment="0" applyProtection="0"/>
    <xf numFmtId="0" fontId="137" fillId="122" borderId="71" applyNumberFormat="0" applyFont="0" applyProtection="0"/>
    <xf numFmtId="0" fontId="19" fillId="123" borderId="71" applyNumberFormat="0" applyFont="0" applyAlignment="0" applyProtection="0"/>
    <xf numFmtId="0" fontId="19" fillId="123" borderId="71" applyNumberFormat="0" applyFont="0" applyAlignment="0" applyProtection="0"/>
    <xf numFmtId="0" fontId="19" fillId="123" borderId="71" applyNumberFormat="0" applyFont="0" applyAlignment="0" applyProtection="0"/>
    <xf numFmtId="0" fontId="19" fillId="123" borderId="71" applyNumberFormat="0" applyFont="0" applyAlignment="0" applyProtection="0"/>
    <xf numFmtId="0" fontId="137" fillId="122" borderId="71" applyNumberFormat="0" applyFont="0" applyProtection="0"/>
    <xf numFmtId="0" fontId="159" fillId="109" borderId="68" applyNumberFormat="0" applyProtection="0"/>
    <xf numFmtId="0" fontId="113" fillId="110" borderId="68" applyNumberFormat="0" applyAlignment="0" applyProtection="0"/>
    <xf numFmtId="0" fontId="113" fillId="110" borderId="68" applyNumberFormat="0" applyAlignment="0" applyProtection="0"/>
    <xf numFmtId="0" fontId="113" fillId="110" borderId="68" applyNumberFormat="0" applyAlignment="0" applyProtection="0"/>
    <xf numFmtId="0" fontId="113" fillId="110" borderId="68" applyNumberFormat="0" applyAlignment="0" applyProtection="0"/>
    <xf numFmtId="0" fontId="159" fillId="109" borderId="68" applyNumberFormat="0" applyProtection="0"/>
    <xf numFmtId="0" fontId="149" fillId="0" borderId="0">
      <alignment horizontal="right" vertical="top" wrapText="1"/>
    </xf>
    <xf numFmtId="0" fontId="74" fillId="0" borderId="0">
      <alignment horizontal="right" vertical="top" wrapText="1"/>
    </xf>
    <xf numFmtId="0" fontId="74" fillId="0" borderId="0">
      <alignment horizontal="right" vertical="top" wrapText="1"/>
    </xf>
    <xf numFmtId="0" fontId="74" fillId="0" borderId="0">
      <alignment horizontal="right" vertical="top" wrapText="1"/>
    </xf>
    <xf numFmtId="0" fontId="74" fillId="0" borderId="0">
      <alignment horizontal="right" vertical="top" wrapText="1"/>
    </xf>
    <xf numFmtId="0" fontId="149" fillId="0" borderId="0">
      <alignment horizontal="right" vertical="top" wrapText="1"/>
    </xf>
    <xf numFmtId="0" fontId="74" fillId="0" borderId="0">
      <alignment horizontal="right" vertical="top" wrapText="1"/>
    </xf>
    <xf numFmtId="0" fontId="74" fillId="0" borderId="0">
      <alignment horizontal="right" vertical="top" wrapText="1"/>
    </xf>
    <xf numFmtId="0" fontId="74" fillId="0" borderId="0">
      <alignment horizontal="right" vertical="top" wrapText="1"/>
    </xf>
    <xf numFmtId="0" fontId="74" fillId="0" borderId="0">
      <alignment horizontal="right" vertical="top" wrapText="1"/>
    </xf>
    <xf numFmtId="0" fontId="149" fillId="0" borderId="0">
      <alignment horizontal="right" vertical="top" wrapText="1"/>
    </xf>
    <xf numFmtId="4" fontId="146" fillId="113" borderId="37">
      <alignment horizontal="right" shrinkToFit="1"/>
    </xf>
    <xf numFmtId="4" fontId="75" fillId="24" borderId="37">
      <alignment horizontal="right" shrinkToFit="1"/>
    </xf>
    <xf numFmtId="4" fontId="75" fillId="24" borderId="37">
      <alignment horizontal="right" shrinkToFit="1"/>
    </xf>
    <xf numFmtId="4" fontId="75" fillId="24" borderId="37">
      <alignment horizontal="right" shrinkToFit="1"/>
    </xf>
    <xf numFmtId="4" fontId="75" fillId="24" borderId="37">
      <alignment horizontal="right" shrinkToFit="1"/>
    </xf>
    <xf numFmtId="4" fontId="146" fillId="113" borderId="37">
      <alignment horizontal="right" shrinkToFit="1"/>
    </xf>
    <xf numFmtId="169" fontId="146" fillId="113" borderId="38">
      <alignment horizontal="right" shrinkToFit="1"/>
    </xf>
    <xf numFmtId="169" fontId="75" fillId="24" borderId="38">
      <alignment horizontal="right" shrinkToFit="1"/>
    </xf>
    <xf numFmtId="169" fontId="75" fillId="24" borderId="38">
      <alignment horizontal="right" shrinkToFit="1"/>
    </xf>
    <xf numFmtId="169" fontId="75" fillId="24" borderId="38">
      <alignment horizontal="right" shrinkToFit="1"/>
    </xf>
    <xf numFmtId="169" fontId="75" fillId="24" borderId="38">
      <alignment horizontal="right" shrinkToFit="1"/>
    </xf>
    <xf numFmtId="169" fontId="146" fillId="113" borderId="38">
      <alignment horizontal="right" shrinkToFit="1"/>
    </xf>
    <xf numFmtId="0" fontId="149" fillId="0" borderId="39"/>
    <xf numFmtId="0" fontId="74" fillId="0" borderId="39"/>
    <xf numFmtId="0" fontId="74" fillId="0" borderId="39"/>
    <xf numFmtId="0" fontId="74" fillId="0" borderId="39"/>
    <xf numFmtId="0" fontId="74" fillId="0" borderId="39"/>
    <xf numFmtId="0" fontId="149" fillId="0" borderId="39"/>
    <xf numFmtId="0" fontId="149" fillId="0" borderId="32">
      <alignment horizontal="right" vertical="top" wrapText="1"/>
    </xf>
    <xf numFmtId="49" fontId="146" fillId="0" borderId="22">
      <alignment horizontal="center" vertical="center" wrapText="1"/>
    </xf>
    <xf numFmtId="49" fontId="75" fillId="0" borderId="22">
      <alignment horizontal="center" vertical="center" wrapText="1"/>
    </xf>
    <xf numFmtId="49" fontId="75" fillId="0" borderId="22">
      <alignment horizontal="center" vertical="center" wrapText="1"/>
    </xf>
    <xf numFmtId="49" fontId="75" fillId="0" borderId="22">
      <alignment horizontal="center" vertical="center" wrapText="1"/>
    </xf>
    <xf numFmtId="49" fontId="75" fillId="0" borderId="22">
      <alignment horizontal="center" vertical="center" wrapText="1"/>
    </xf>
    <xf numFmtId="49" fontId="146" fillId="0" borderId="22">
      <alignment horizontal="center" vertical="center" wrapText="1"/>
    </xf>
    <xf numFmtId="4" fontId="146" fillId="115" borderId="31">
      <alignment horizontal="right" vertical="top" shrinkToFit="1"/>
    </xf>
    <xf numFmtId="4" fontId="75" fillId="23" borderId="31">
      <alignment horizontal="right" vertical="top" shrinkToFit="1"/>
    </xf>
    <xf numFmtId="4" fontId="75" fillId="23" borderId="31">
      <alignment horizontal="right" vertical="top" shrinkToFit="1"/>
    </xf>
    <xf numFmtId="4" fontId="75" fillId="23" borderId="31">
      <alignment horizontal="right" vertical="top" shrinkToFit="1"/>
    </xf>
    <xf numFmtId="4" fontId="75" fillId="23" borderId="31">
      <alignment horizontal="right" vertical="top" shrinkToFit="1"/>
    </xf>
    <xf numFmtId="4" fontId="146" fillId="115" borderId="31">
      <alignment horizontal="right" vertical="top" shrinkToFit="1"/>
    </xf>
    <xf numFmtId="0" fontId="74" fillId="0" borderId="32">
      <alignment horizontal="right" vertical="top" wrapText="1"/>
    </xf>
    <xf numFmtId="0" fontId="74" fillId="0" borderId="32">
      <alignment horizontal="right" vertical="top" wrapText="1"/>
    </xf>
    <xf numFmtId="0" fontId="74" fillId="0" borderId="32">
      <alignment horizontal="right" vertical="top" wrapText="1"/>
    </xf>
    <xf numFmtId="0" fontId="74" fillId="0" borderId="32">
      <alignment horizontal="right" vertical="top" wrapText="1"/>
    </xf>
    <xf numFmtId="0" fontId="149" fillId="0" borderId="32">
      <alignment horizontal="right" vertical="top" wrapText="1"/>
    </xf>
    <xf numFmtId="169" fontId="146" fillId="115" borderId="32">
      <alignment horizontal="right" vertical="top" shrinkToFit="1"/>
    </xf>
    <xf numFmtId="49" fontId="146" fillId="0" borderId="23">
      <alignment horizontal="center" vertical="center" wrapText="1"/>
    </xf>
    <xf numFmtId="49" fontId="75" fillId="0" borderId="23">
      <alignment horizontal="center" vertical="center" wrapText="1"/>
    </xf>
    <xf numFmtId="49" fontId="75" fillId="0" borderId="23">
      <alignment horizontal="center" vertical="center" wrapText="1"/>
    </xf>
    <xf numFmtId="49" fontId="75" fillId="0" borderId="23">
      <alignment horizontal="center" vertical="center" wrapText="1"/>
    </xf>
    <xf numFmtId="49" fontId="75" fillId="0" borderId="23">
      <alignment horizontal="center" vertical="center" wrapText="1"/>
    </xf>
    <xf numFmtId="49" fontId="146" fillId="0" borderId="23">
      <alignment horizontal="center" vertical="center" wrapText="1"/>
    </xf>
    <xf numFmtId="169" fontId="75" fillId="23" borderId="32">
      <alignment horizontal="right" vertical="top" shrinkToFit="1"/>
    </xf>
    <xf numFmtId="169" fontId="75" fillId="23" borderId="32">
      <alignment horizontal="right" vertical="top" shrinkToFit="1"/>
    </xf>
    <xf numFmtId="169" fontId="75" fillId="23" borderId="32">
      <alignment horizontal="right" vertical="top" shrinkToFit="1"/>
    </xf>
    <xf numFmtId="169" fontId="75" fillId="23" borderId="32">
      <alignment horizontal="right" vertical="top" shrinkToFit="1"/>
    </xf>
    <xf numFmtId="169" fontId="146" fillId="115" borderId="32">
      <alignment horizontal="right" vertical="top" shrinkToFit="1"/>
    </xf>
    <xf numFmtId="4" fontId="146" fillId="114" borderId="25">
      <alignment horizontal="right" vertical="top" wrapText="1" shrinkToFit="1"/>
    </xf>
    <xf numFmtId="4" fontId="75" fillId="21" borderId="25">
      <alignment horizontal="right" vertical="top" wrapText="1" shrinkToFit="1"/>
    </xf>
    <xf numFmtId="4" fontId="75" fillId="21" borderId="25">
      <alignment horizontal="right" vertical="top" wrapText="1" shrinkToFit="1"/>
    </xf>
    <xf numFmtId="4" fontId="75" fillId="21" borderId="25">
      <alignment horizontal="right" vertical="top" wrapText="1" shrinkToFit="1"/>
    </xf>
    <xf numFmtId="4" fontId="75" fillId="21" borderId="25">
      <alignment horizontal="right" vertical="top" wrapText="1" shrinkToFit="1"/>
    </xf>
    <xf numFmtId="4" fontId="146" fillId="114" borderId="25">
      <alignment horizontal="right" vertical="top" wrapText="1" shrinkToFit="1"/>
    </xf>
    <xf numFmtId="4" fontId="149"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149" fillId="0" borderId="31">
      <alignment horizontal="right" vertical="top" shrinkToFit="1"/>
    </xf>
    <xf numFmtId="0" fontId="74" fillId="0" borderId="32">
      <alignment horizontal="right" vertical="top" shrinkToFit="1"/>
    </xf>
    <xf numFmtId="0" fontId="74" fillId="0" borderId="32">
      <alignment horizontal="right" vertical="top" shrinkToFit="1"/>
    </xf>
    <xf numFmtId="0" fontId="74" fillId="0" borderId="32">
      <alignment horizontal="right" vertical="top" shrinkToFit="1"/>
    </xf>
    <xf numFmtId="0" fontId="74" fillId="0" borderId="32">
      <alignment horizontal="right" vertical="top" shrinkToFit="1"/>
    </xf>
    <xf numFmtId="0" fontId="149" fillId="0" borderId="32">
      <alignment horizontal="right" vertical="top" shrinkToFit="1"/>
    </xf>
    <xf numFmtId="169" fontId="146" fillId="114" borderId="26">
      <alignment horizontal="right" vertical="top" shrinkToFit="1"/>
    </xf>
    <xf numFmtId="169" fontId="75" fillId="21" borderId="26">
      <alignment horizontal="right" vertical="top" shrinkToFit="1"/>
    </xf>
    <xf numFmtId="169" fontId="75" fillId="21" borderId="26">
      <alignment horizontal="right" vertical="top" shrinkToFit="1"/>
    </xf>
    <xf numFmtId="169" fontId="75" fillId="21" borderId="26">
      <alignment horizontal="right" vertical="top" shrinkToFit="1"/>
    </xf>
    <xf numFmtId="169" fontId="75" fillId="21" borderId="26">
      <alignment horizontal="right" vertical="top" shrinkToFit="1"/>
    </xf>
    <xf numFmtId="169" fontId="146" fillId="114" borderId="26">
      <alignment horizontal="right" vertical="top" shrinkToFit="1"/>
    </xf>
    <xf numFmtId="169" fontId="149" fillId="0" borderId="32">
      <alignment horizontal="right" vertical="top" shrinkToFit="1"/>
    </xf>
    <xf numFmtId="169" fontId="74" fillId="0" borderId="32">
      <alignment horizontal="right" vertical="top" shrinkToFit="1"/>
    </xf>
    <xf numFmtId="169" fontId="74" fillId="0" borderId="32">
      <alignment horizontal="right" vertical="top" shrinkToFit="1"/>
    </xf>
    <xf numFmtId="169" fontId="74" fillId="0" borderId="32">
      <alignment horizontal="right" vertical="top" shrinkToFit="1"/>
    </xf>
    <xf numFmtId="169" fontId="74" fillId="0" borderId="32">
      <alignment horizontal="right" vertical="top" shrinkToFit="1"/>
    </xf>
    <xf numFmtId="169" fontId="149" fillId="0" borderId="32">
      <alignment horizontal="right" vertical="top" shrinkToFit="1"/>
    </xf>
    <xf numFmtId="0" fontId="75" fillId="23" borderId="32">
      <alignment horizontal="right" vertical="top" shrinkToFit="1"/>
    </xf>
    <xf numFmtId="0" fontId="75" fillId="23" borderId="32">
      <alignment horizontal="right" vertical="top" shrinkToFit="1"/>
    </xf>
    <xf numFmtId="0" fontId="75" fillId="23" borderId="32">
      <alignment horizontal="right" vertical="top" shrinkToFit="1"/>
    </xf>
    <xf numFmtId="0" fontId="75" fillId="23" borderId="32">
      <alignment horizontal="right" vertical="top" shrinkToFit="1"/>
    </xf>
    <xf numFmtId="0" fontId="146" fillId="115" borderId="32">
      <alignment horizontal="right" vertical="top" shrinkToFit="1"/>
    </xf>
    <xf numFmtId="4" fontId="146" fillId="116" borderId="28">
      <alignment horizontal="right" vertical="top" shrinkToFit="1"/>
    </xf>
    <xf numFmtId="4" fontId="75" fillId="22" borderId="28">
      <alignment horizontal="right" vertical="top" shrinkToFit="1"/>
    </xf>
    <xf numFmtId="4" fontId="75" fillId="22" borderId="28">
      <alignment horizontal="right" vertical="top" shrinkToFit="1"/>
    </xf>
    <xf numFmtId="4" fontId="75" fillId="22" borderId="28">
      <alignment horizontal="right" vertical="top" shrinkToFit="1"/>
    </xf>
    <xf numFmtId="4" fontId="75" fillId="22" borderId="28">
      <alignment horizontal="right" vertical="top" shrinkToFit="1"/>
    </xf>
    <xf numFmtId="4" fontId="146" fillId="116" borderId="28">
      <alignment horizontal="right" vertical="top" shrinkToFit="1"/>
    </xf>
    <xf numFmtId="0" fontId="75" fillId="22" borderId="29">
      <alignment horizontal="right" vertical="top" shrinkToFit="1"/>
    </xf>
    <xf numFmtId="0" fontId="75" fillId="22" borderId="29">
      <alignment horizontal="right" vertical="top" shrinkToFit="1"/>
    </xf>
    <xf numFmtId="0" fontId="75" fillId="22" borderId="29">
      <alignment horizontal="right" vertical="top" shrinkToFit="1"/>
    </xf>
    <xf numFmtId="0" fontId="75" fillId="22" borderId="29">
      <alignment horizontal="right" vertical="top" shrinkToFit="1"/>
    </xf>
    <xf numFmtId="0" fontId="146" fillId="116" borderId="29">
      <alignment horizontal="right" vertical="top" shrinkToFit="1"/>
    </xf>
    <xf numFmtId="169" fontId="146" fillId="116" borderId="29">
      <alignment horizontal="right" vertical="top" shrinkToFit="1"/>
    </xf>
    <xf numFmtId="169" fontId="75" fillId="22" borderId="29">
      <alignment horizontal="right" vertical="top" shrinkToFit="1"/>
    </xf>
    <xf numFmtId="169" fontId="75" fillId="22" borderId="29">
      <alignment horizontal="right" vertical="top" shrinkToFit="1"/>
    </xf>
    <xf numFmtId="169" fontId="75" fillId="22" borderId="29">
      <alignment horizontal="right" vertical="top" shrinkToFit="1"/>
    </xf>
    <xf numFmtId="169" fontId="75" fillId="22" borderId="29">
      <alignment horizontal="right" vertical="top" shrinkToFit="1"/>
    </xf>
    <xf numFmtId="169" fontId="146" fillId="116" borderId="29">
      <alignment horizontal="right" vertical="top" shrinkToFit="1"/>
    </xf>
    <xf numFmtId="0" fontId="76" fillId="21" borderId="26">
      <alignment horizontal="right" vertical="top" shrinkToFit="1"/>
    </xf>
    <xf numFmtId="0" fontId="76" fillId="21" borderId="26">
      <alignment horizontal="right" vertical="top" shrinkToFit="1"/>
    </xf>
    <xf numFmtId="0" fontId="76" fillId="21" borderId="26">
      <alignment horizontal="right" vertical="top" shrinkToFit="1"/>
    </xf>
    <xf numFmtId="0" fontId="76" fillId="21" borderId="26">
      <alignment horizontal="right" vertical="top" shrinkToFit="1"/>
    </xf>
    <xf numFmtId="0" fontId="145" fillId="114" borderId="26">
      <alignment horizontal="right" vertical="top" shrinkToFit="1"/>
    </xf>
    <xf numFmtId="4" fontId="146" fillId="115" borderId="31">
      <alignment horizontal="right" vertical="top" shrinkToFit="1"/>
    </xf>
    <xf numFmtId="4" fontId="75" fillId="23" borderId="31">
      <alignment horizontal="right" vertical="top" shrinkToFit="1"/>
    </xf>
    <xf numFmtId="4" fontId="75" fillId="23" borderId="31">
      <alignment horizontal="right" vertical="top" shrinkToFit="1"/>
    </xf>
    <xf numFmtId="4" fontId="75" fillId="23" borderId="31">
      <alignment horizontal="right" vertical="top" shrinkToFit="1"/>
    </xf>
    <xf numFmtId="4" fontId="75" fillId="23" borderId="31">
      <alignment horizontal="right" vertical="top" shrinkToFit="1"/>
    </xf>
    <xf numFmtId="4" fontId="146" fillId="115" borderId="31">
      <alignment horizontal="right" vertical="top" shrinkToFit="1"/>
    </xf>
    <xf numFmtId="169" fontId="146" fillId="115" borderId="32">
      <alignment horizontal="right" vertical="top" shrinkToFit="1"/>
    </xf>
    <xf numFmtId="169" fontId="75" fillId="23" borderId="32">
      <alignment horizontal="right" vertical="top" shrinkToFit="1"/>
    </xf>
    <xf numFmtId="169" fontId="75" fillId="23" borderId="32">
      <alignment horizontal="right" vertical="top" shrinkToFit="1"/>
    </xf>
    <xf numFmtId="169" fontId="75" fillId="23" borderId="32">
      <alignment horizontal="right" vertical="top" shrinkToFit="1"/>
    </xf>
    <xf numFmtId="169" fontId="75" fillId="23" borderId="32">
      <alignment horizontal="right" vertical="top" shrinkToFit="1"/>
    </xf>
    <xf numFmtId="169" fontId="146" fillId="115" borderId="32">
      <alignment horizontal="right" vertical="top" shrinkToFit="1"/>
    </xf>
    <xf numFmtId="4" fontId="149"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74" fillId="0" borderId="31">
      <alignment horizontal="right" vertical="top" shrinkToFit="1"/>
    </xf>
    <xf numFmtId="4" fontId="149" fillId="0" borderId="31">
      <alignment horizontal="right" vertical="top" shrinkToFit="1"/>
    </xf>
    <xf numFmtId="169" fontId="149" fillId="0" borderId="32">
      <alignment horizontal="right" vertical="top" shrinkToFit="1"/>
    </xf>
    <xf numFmtId="169" fontId="74" fillId="0" borderId="32">
      <alignment horizontal="right" vertical="top" shrinkToFit="1"/>
    </xf>
    <xf numFmtId="169" fontId="74" fillId="0" borderId="32">
      <alignment horizontal="right" vertical="top" shrinkToFit="1"/>
    </xf>
    <xf numFmtId="169" fontId="74" fillId="0" borderId="32">
      <alignment horizontal="right" vertical="top" shrinkToFit="1"/>
    </xf>
    <xf numFmtId="169" fontId="74" fillId="0" borderId="32">
      <alignment horizontal="right" vertical="top" shrinkToFit="1"/>
    </xf>
    <xf numFmtId="169" fontId="149" fillId="0" borderId="32">
      <alignment horizontal="right" vertical="top" shrinkToFit="1"/>
    </xf>
    <xf numFmtId="0" fontId="149" fillId="0" borderId="0"/>
    <xf numFmtId="0" fontId="149" fillId="0" borderId="0"/>
    <xf numFmtId="0" fontId="74" fillId="0" borderId="0"/>
    <xf numFmtId="0" fontId="74" fillId="0" borderId="0"/>
    <xf numFmtId="0" fontId="74" fillId="0" borderId="0"/>
    <xf numFmtId="0" fontId="74" fillId="0" borderId="0"/>
    <xf numFmtId="0" fontId="149" fillId="0" borderId="0"/>
    <xf numFmtId="0" fontId="74" fillId="0" borderId="0"/>
    <xf numFmtId="0" fontId="74" fillId="0" borderId="0"/>
    <xf numFmtId="0" fontId="74" fillId="0" borderId="0"/>
    <xf numFmtId="0" fontId="74" fillId="0" borderId="0"/>
    <xf numFmtId="0" fontId="149" fillId="0" borderId="0"/>
    <xf numFmtId="0" fontId="149" fillId="0" borderId="0"/>
    <xf numFmtId="0" fontId="149" fillId="0" borderId="0"/>
    <xf numFmtId="0" fontId="74" fillId="0" borderId="0"/>
    <xf numFmtId="0" fontId="74" fillId="0" borderId="0"/>
    <xf numFmtId="0" fontId="74" fillId="0" borderId="0"/>
    <xf numFmtId="0" fontId="74" fillId="0" borderId="0"/>
    <xf numFmtId="0" fontId="149" fillId="0" borderId="0"/>
    <xf numFmtId="0" fontId="74" fillId="0" borderId="0"/>
    <xf numFmtId="0" fontId="74" fillId="0" borderId="0"/>
    <xf numFmtId="0" fontId="74" fillId="0" borderId="0"/>
    <xf numFmtId="0" fontId="74" fillId="0" borderId="0"/>
    <xf numFmtId="0" fontId="149" fillId="0" borderId="0"/>
    <xf numFmtId="0" fontId="160" fillId="0" borderId="0" applyNumberFormat="0" applyFill="0" applyBorder="0" applyProtection="0"/>
    <xf numFmtId="0" fontId="161" fillId="0" borderId="0" applyNumberFormat="0" applyFill="0" applyBorder="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1" fillId="0" borderId="0" applyNumberFormat="0" applyFill="0" applyBorder="0" applyProtection="0"/>
    <xf numFmtId="0" fontId="161" fillId="0" borderId="0" applyNumberFormat="0" applyFill="0" applyBorder="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1" fillId="0" borderId="0" applyNumberFormat="0" applyFill="0" applyBorder="0" applyProtection="0"/>
    <xf numFmtId="0" fontId="161" fillId="0" borderId="0" applyNumberFormat="0" applyFill="0" applyBorder="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1" fillId="0" borderId="0" applyNumberFormat="0" applyFill="0" applyBorder="0" applyProtection="0"/>
    <xf numFmtId="0" fontId="161" fillId="0" borderId="0" applyNumberFormat="0" applyFill="0" applyBorder="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1" fillId="0" borderId="0" applyNumberFormat="0" applyFill="0" applyBorder="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0" fillId="0" borderId="0" applyNumberFormat="0" applyFill="0" applyBorder="0" applyProtection="0"/>
    <xf numFmtId="0" fontId="164" fillId="0" borderId="72" applyNumberFormat="0" applyFill="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164" fillId="0" borderId="72" applyNumberFormat="0" applyFill="0" applyProtection="0"/>
    <xf numFmtId="0" fontId="120" fillId="0" borderId="0"/>
    <xf numFmtId="0" fontId="120" fillId="0" borderId="0"/>
    <xf numFmtId="0" fontId="73" fillId="0" borderId="0"/>
    <xf numFmtId="0" fontId="73" fillId="0" borderId="0"/>
    <xf numFmtId="0" fontId="73" fillId="0" borderId="0"/>
    <xf numFmtId="0" fontId="73" fillId="0" borderId="0"/>
    <xf numFmtId="0" fontId="120" fillId="0" borderId="0"/>
    <xf numFmtId="0" fontId="141" fillId="0" borderId="0"/>
    <xf numFmtId="0" fontId="142" fillId="0" borderId="0"/>
    <xf numFmtId="0" fontId="142" fillId="0" borderId="0"/>
    <xf numFmtId="0" fontId="142" fillId="0" borderId="0"/>
    <xf numFmtId="0" fontId="142" fillId="0" borderId="0"/>
    <xf numFmtId="0" fontId="141" fillId="0" borderId="0"/>
    <xf numFmtId="0" fontId="73" fillId="0" borderId="0"/>
    <xf numFmtId="0" fontId="73" fillId="0" borderId="0"/>
    <xf numFmtId="0" fontId="73" fillId="0" borderId="0"/>
    <xf numFmtId="0" fontId="73" fillId="0" borderId="0"/>
    <xf numFmtId="0" fontId="120" fillId="0" borderId="0"/>
    <xf numFmtId="0" fontId="165" fillId="0" borderId="0" applyNumberFormat="0" applyFill="0" applyBorder="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65" fillId="0" borderId="0" applyNumberFormat="0" applyFill="0" applyBorder="0" applyProtection="0"/>
    <xf numFmtId="4" fontId="147" fillId="0" borderId="1">
      <alignment horizontal="right" vertical="top" shrinkToFit="1"/>
    </xf>
    <xf numFmtId="4" fontId="166" fillId="0" borderId="78">
      <alignment horizontal="right" vertical="top" shrinkToFit="1"/>
    </xf>
    <xf numFmtId="4" fontId="166" fillId="0" borderId="78">
      <alignment horizontal="right" vertical="top" shrinkToFit="1"/>
    </xf>
    <xf numFmtId="4" fontId="166" fillId="0" borderId="78">
      <alignment horizontal="right" vertical="top" shrinkToFit="1"/>
    </xf>
    <xf numFmtId="4" fontId="166" fillId="0" borderId="78">
      <alignment horizontal="right" vertical="top" shrinkToFit="1"/>
    </xf>
    <xf numFmtId="4" fontId="147" fillId="0" borderId="1">
      <alignment horizontal="right" vertical="top" shrinkToFit="1"/>
    </xf>
    <xf numFmtId="4" fontId="167" fillId="53" borderId="1">
      <alignment horizontal="right" vertical="top" shrinkToFit="1"/>
    </xf>
    <xf numFmtId="4" fontId="168" fillId="124" borderId="78">
      <alignment horizontal="right" vertical="top" shrinkToFit="1"/>
    </xf>
    <xf numFmtId="4" fontId="168" fillId="124" borderId="78">
      <alignment horizontal="right" vertical="top" shrinkToFit="1"/>
    </xf>
    <xf numFmtId="4" fontId="168" fillId="124" borderId="78">
      <alignment horizontal="right" vertical="top" shrinkToFit="1"/>
    </xf>
    <xf numFmtId="4" fontId="168" fillId="124" borderId="78">
      <alignment horizontal="right" vertical="top" shrinkToFit="1"/>
    </xf>
    <xf numFmtId="4" fontId="167" fillId="53" borderId="1">
      <alignment horizontal="right" vertical="top" shrinkToFit="1"/>
    </xf>
    <xf numFmtId="0" fontId="138" fillId="125" borderId="0" applyNumberFormat="0" applyBorder="0" applyProtection="0"/>
    <xf numFmtId="0" fontId="169" fillId="126" borderId="0" applyNumberFormat="0" applyBorder="0" applyProtection="0"/>
    <xf numFmtId="0" fontId="170" fillId="126" borderId="0" applyNumberFormat="0" applyBorder="0" applyAlignment="0" applyProtection="0"/>
    <xf numFmtId="0" fontId="170" fillId="126" borderId="0" applyNumberFormat="0" applyBorder="0" applyAlignment="0" applyProtection="0"/>
    <xf numFmtId="0" fontId="170" fillId="126" borderId="0" applyNumberFormat="0" applyBorder="0" applyAlignment="0" applyProtection="0"/>
    <xf numFmtId="0" fontId="170" fillId="126" borderId="0" applyNumberFormat="0" applyBorder="0" applyAlignment="0" applyProtection="0"/>
    <xf numFmtId="0" fontId="169" fillId="126" borderId="0" applyNumberFormat="0" applyBorder="0" applyProtection="0"/>
    <xf numFmtId="0" fontId="139" fillId="127" borderId="0" applyNumberFormat="0" applyBorder="0" applyAlignment="0" applyProtection="0"/>
    <xf numFmtId="0" fontId="139" fillId="127" borderId="0" applyNumberFormat="0" applyBorder="0" applyAlignment="0" applyProtection="0"/>
    <xf numFmtId="0" fontId="139" fillId="127" borderId="0" applyNumberFormat="0" applyBorder="0" applyAlignment="0" applyProtection="0"/>
    <xf numFmtId="0" fontId="139" fillId="127" borderId="0" applyNumberFormat="0" applyBorder="0" applyAlignment="0" applyProtection="0"/>
    <xf numFmtId="0" fontId="138" fillId="125" borderId="0" applyNumberFormat="0" applyBorder="0" applyProtection="0"/>
    <xf numFmtId="0" fontId="138" fillId="125" borderId="0" applyNumberFormat="0" applyBorder="0" applyProtection="0"/>
    <xf numFmtId="0" fontId="139" fillId="127" borderId="0" applyNumberFormat="0" applyBorder="0" applyAlignment="0" applyProtection="0"/>
    <xf numFmtId="0" fontId="139" fillId="127" borderId="0" applyNumberFormat="0" applyBorder="0" applyAlignment="0" applyProtection="0"/>
    <xf numFmtId="0" fontId="139" fillId="127" borderId="0" applyNumberFormat="0" applyBorder="0" applyAlignment="0" applyProtection="0"/>
    <xf numFmtId="0" fontId="139" fillId="127" borderId="0" applyNumberFormat="0" applyBorder="0" applyAlignment="0" applyProtection="0"/>
    <xf numFmtId="0" fontId="138" fillId="125" borderId="0" applyNumberFormat="0" applyBorder="0" applyProtection="0"/>
    <xf numFmtId="0" fontId="138" fillId="125" borderId="0" applyNumberFormat="0" applyBorder="0" applyProtection="0"/>
    <xf numFmtId="0" fontId="139" fillId="127" borderId="0" applyNumberFormat="0" applyBorder="0" applyAlignment="0" applyProtection="0"/>
    <xf numFmtId="0" fontId="139" fillId="127" borderId="0" applyNumberFormat="0" applyBorder="0" applyAlignment="0" applyProtection="0"/>
    <xf numFmtId="0" fontId="139" fillId="127" borderId="0" applyNumberFormat="0" applyBorder="0" applyAlignment="0" applyProtection="0"/>
    <xf numFmtId="0" fontId="139" fillId="127" borderId="0" applyNumberFormat="0" applyBorder="0" applyAlignment="0" applyProtection="0"/>
    <xf numFmtId="0" fontId="138" fillId="125" borderId="0" applyNumberFormat="0" applyBorder="0" applyProtection="0"/>
    <xf numFmtId="0" fontId="138" fillId="125" borderId="0" applyNumberFormat="0" applyBorder="0" applyProtection="0"/>
    <xf numFmtId="0" fontId="139" fillId="127" borderId="0" applyNumberFormat="0" applyBorder="0" applyAlignment="0" applyProtection="0"/>
    <xf numFmtId="0" fontId="139" fillId="127" borderId="0" applyNumberFormat="0" applyBorder="0" applyAlignment="0" applyProtection="0"/>
    <xf numFmtId="0" fontId="139" fillId="127" borderId="0" applyNumberFormat="0" applyBorder="0" applyAlignment="0" applyProtection="0"/>
    <xf numFmtId="0" fontId="139" fillId="127" borderId="0" applyNumberFormat="0" applyBorder="0" applyAlignment="0" applyProtection="0"/>
    <xf numFmtId="0" fontId="138" fillId="125" borderId="0" applyNumberFormat="0" applyBorder="0" applyProtection="0"/>
    <xf numFmtId="0" fontId="138" fillId="125" borderId="0" applyNumberFormat="0" applyBorder="0" applyProtection="0"/>
    <xf numFmtId="0" fontId="139" fillId="127" borderId="0" applyNumberFormat="0" applyBorder="0" applyAlignment="0" applyProtection="0"/>
    <xf numFmtId="0" fontId="139" fillId="127" borderId="0" applyNumberFormat="0" applyBorder="0" applyAlignment="0" applyProtection="0"/>
    <xf numFmtId="0" fontId="139" fillId="127" borderId="0" applyNumberFormat="0" applyBorder="0" applyAlignment="0" applyProtection="0"/>
    <xf numFmtId="0" fontId="139" fillId="127" borderId="0" applyNumberFormat="0" applyBorder="0" applyAlignment="0" applyProtection="0"/>
    <xf numFmtId="0" fontId="138" fillId="125" borderId="0" applyNumberFormat="0" applyBorder="0" applyProtection="0"/>
    <xf numFmtId="0" fontId="138" fillId="128" borderId="0" applyNumberFormat="0" applyBorder="0" applyProtection="0"/>
    <xf numFmtId="0" fontId="169" fillId="129" borderId="0" applyNumberFormat="0" applyBorder="0" applyProtection="0"/>
    <xf numFmtId="0" fontId="170" fillId="130" borderId="0" applyNumberFormat="0" applyBorder="0" applyAlignment="0" applyProtection="0"/>
    <xf numFmtId="0" fontId="170" fillId="130" borderId="0" applyNumberFormat="0" applyBorder="0" applyAlignment="0" applyProtection="0"/>
    <xf numFmtId="0" fontId="170" fillId="130" borderId="0" applyNumberFormat="0" applyBorder="0" applyAlignment="0" applyProtection="0"/>
    <xf numFmtId="0" fontId="170" fillId="130" borderId="0" applyNumberFormat="0" applyBorder="0" applyAlignment="0" applyProtection="0"/>
    <xf numFmtId="0" fontId="169" fillId="129" borderId="0" applyNumberFormat="0" applyBorder="0" applyProtection="0"/>
    <xf numFmtId="0" fontId="139" fillId="131" borderId="0" applyNumberFormat="0" applyBorder="0" applyAlignment="0" applyProtection="0"/>
    <xf numFmtId="0" fontId="139" fillId="131" borderId="0" applyNumberFormat="0" applyBorder="0" applyAlignment="0" applyProtection="0"/>
    <xf numFmtId="0" fontId="139" fillId="131" borderId="0" applyNumberFormat="0" applyBorder="0" applyAlignment="0" applyProtection="0"/>
    <xf numFmtId="0" fontId="139" fillId="131" borderId="0" applyNumberFormat="0" applyBorder="0" applyAlignment="0" applyProtection="0"/>
    <xf numFmtId="0" fontId="138" fillId="128" borderId="0" applyNumberFormat="0" applyBorder="0" applyProtection="0"/>
    <xf numFmtId="0" fontId="138" fillId="128" borderId="0" applyNumberFormat="0" applyBorder="0" applyProtection="0"/>
    <xf numFmtId="0" fontId="139" fillId="131" borderId="0" applyNumberFormat="0" applyBorder="0" applyAlignment="0" applyProtection="0"/>
    <xf numFmtId="0" fontId="139" fillId="131" borderId="0" applyNumberFormat="0" applyBorder="0" applyAlignment="0" applyProtection="0"/>
    <xf numFmtId="0" fontId="139" fillId="131" borderId="0" applyNumberFormat="0" applyBorder="0" applyAlignment="0" applyProtection="0"/>
    <xf numFmtId="0" fontId="139" fillId="131" borderId="0" applyNumberFormat="0" applyBorder="0" applyAlignment="0" applyProtection="0"/>
    <xf numFmtId="0" fontId="138" fillId="128" borderId="0" applyNumberFormat="0" applyBorder="0" applyProtection="0"/>
    <xf numFmtId="0" fontId="138" fillId="128" borderId="0" applyNumberFormat="0" applyBorder="0" applyProtection="0"/>
    <xf numFmtId="0" fontId="139" fillId="131" borderId="0" applyNumberFormat="0" applyBorder="0" applyAlignment="0" applyProtection="0"/>
    <xf numFmtId="0" fontId="139" fillId="131" borderId="0" applyNumberFormat="0" applyBorder="0" applyAlignment="0" applyProtection="0"/>
    <xf numFmtId="0" fontId="139" fillId="131" borderId="0" applyNumberFormat="0" applyBorder="0" applyAlignment="0" applyProtection="0"/>
    <xf numFmtId="0" fontId="139" fillId="131" borderId="0" applyNumberFormat="0" applyBorder="0" applyAlignment="0" applyProtection="0"/>
    <xf numFmtId="0" fontId="138" fillId="128" borderId="0" applyNumberFormat="0" applyBorder="0" applyProtection="0"/>
    <xf numFmtId="0" fontId="138" fillId="128" borderId="0" applyNumberFormat="0" applyBorder="0" applyProtection="0"/>
    <xf numFmtId="0" fontId="139" fillId="131" borderId="0" applyNumberFormat="0" applyBorder="0" applyAlignment="0" applyProtection="0"/>
    <xf numFmtId="0" fontId="139" fillId="131" borderId="0" applyNumberFormat="0" applyBorder="0" applyAlignment="0" applyProtection="0"/>
    <xf numFmtId="0" fontId="139" fillId="131" borderId="0" applyNumberFormat="0" applyBorder="0" applyAlignment="0" applyProtection="0"/>
    <xf numFmtId="0" fontId="139" fillId="131" borderId="0" applyNumberFormat="0" applyBorder="0" applyAlignment="0" applyProtection="0"/>
    <xf numFmtId="0" fontId="138" fillId="128" borderId="0" applyNumberFormat="0" applyBorder="0" applyProtection="0"/>
    <xf numFmtId="0" fontId="138" fillId="128" borderId="0" applyNumberFormat="0" applyBorder="0" applyProtection="0"/>
    <xf numFmtId="0" fontId="139" fillId="131" borderId="0" applyNumberFormat="0" applyBorder="0" applyAlignment="0" applyProtection="0"/>
    <xf numFmtId="0" fontId="139" fillId="131" borderId="0" applyNumberFormat="0" applyBorder="0" applyAlignment="0" applyProtection="0"/>
    <xf numFmtId="0" fontId="139" fillId="131" borderId="0" applyNumberFormat="0" applyBorder="0" applyAlignment="0" applyProtection="0"/>
    <xf numFmtId="0" fontId="139" fillId="131" borderId="0" applyNumberFormat="0" applyBorder="0" applyAlignment="0" applyProtection="0"/>
    <xf numFmtId="0" fontId="138" fillId="128" borderId="0" applyNumberFormat="0" applyBorder="0" applyProtection="0"/>
    <xf numFmtId="0" fontId="138" fillId="132" borderId="0" applyNumberFormat="0" applyBorder="0" applyProtection="0"/>
    <xf numFmtId="0" fontId="169" fillId="133" borderId="0" applyNumberFormat="0" applyBorder="0" applyProtection="0"/>
    <xf numFmtId="0" fontId="170" fillId="133" borderId="0" applyNumberFormat="0" applyBorder="0" applyAlignment="0" applyProtection="0"/>
    <xf numFmtId="0" fontId="170" fillId="133" borderId="0" applyNumberFormat="0" applyBorder="0" applyAlignment="0" applyProtection="0"/>
    <xf numFmtId="0" fontId="170" fillId="133" borderId="0" applyNumberFormat="0" applyBorder="0" applyAlignment="0" applyProtection="0"/>
    <xf numFmtId="0" fontId="170" fillId="133" borderId="0" applyNumberFormat="0" applyBorder="0" applyAlignment="0" applyProtection="0"/>
    <xf numFmtId="0" fontId="169" fillId="133" borderId="0" applyNumberFormat="0" applyBorder="0" applyProtection="0"/>
    <xf numFmtId="0" fontId="139" fillId="134" borderId="0" applyNumberFormat="0" applyBorder="0" applyAlignment="0" applyProtection="0"/>
    <xf numFmtId="0" fontId="139" fillId="134" borderId="0" applyNumberFormat="0" applyBorder="0" applyAlignment="0" applyProtection="0"/>
    <xf numFmtId="0" fontId="139" fillId="134" borderId="0" applyNumberFormat="0" applyBorder="0" applyAlignment="0" applyProtection="0"/>
    <xf numFmtId="0" fontId="139" fillId="134" borderId="0" applyNumberFormat="0" applyBorder="0" applyAlignment="0" applyProtection="0"/>
    <xf numFmtId="0" fontId="138" fillId="132" borderId="0" applyNumberFormat="0" applyBorder="0" applyProtection="0"/>
    <xf numFmtId="0" fontId="138" fillId="132" borderId="0" applyNumberFormat="0" applyBorder="0" applyProtection="0"/>
    <xf numFmtId="0" fontId="139" fillId="134" borderId="0" applyNumberFormat="0" applyBorder="0" applyAlignment="0" applyProtection="0"/>
    <xf numFmtId="0" fontId="139" fillId="134" borderId="0" applyNumberFormat="0" applyBorder="0" applyAlignment="0" applyProtection="0"/>
    <xf numFmtId="0" fontId="139" fillId="134" borderId="0" applyNumberFormat="0" applyBorder="0" applyAlignment="0" applyProtection="0"/>
    <xf numFmtId="0" fontId="139" fillId="134" borderId="0" applyNumberFormat="0" applyBorder="0" applyAlignment="0" applyProtection="0"/>
    <xf numFmtId="0" fontId="138" fillId="132" borderId="0" applyNumberFormat="0" applyBorder="0" applyProtection="0"/>
    <xf numFmtId="0" fontId="138" fillId="132" borderId="0" applyNumberFormat="0" applyBorder="0" applyProtection="0"/>
    <xf numFmtId="0" fontId="139" fillId="134" borderId="0" applyNumberFormat="0" applyBorder="0" applyAlignment="0" applyProtection="0"/>
    <xf numFmtId="0" fontId="139" fillId="134" borderId="0" applyNumberFormat="0" applyBorder="0" applyAlignment="0" applyProtection="0"/>
    <xf numFmtId="0" fontId="139" fillId="134" borderId="0" applyNumberFormat="0" applyBorder="0" applyAlignment="0" applyProtection="0"/>
    <xf numFmtId="0" fontId="139" fillId="134" borderId="0" applyNumberFormat="0" applyBorder="0" applyAlignment="0" applyProtection="0"/>
    <xf numFmtId="0" fontId="138" fillId="132" borderId="0" applyNumberFormat="0" applyBorder="0" applyProtection="0"/>
    <xf numFmtId="0" fontId="138" fillId="132" borderId="0" applyNumberFormat="0" applyBorder="0" applyProtection="0"/>
    <xf numFmtId="0" fontId="139" fillId="134" borderId="0" applyNumberFormat="0" applyBorder="0" applyAlignment="0" applyProtection="0"/>
    <xf numFmtId="0" fontId="139" fillId="134" borderId="0" applyNumberFormat="0" applyBorder="0" applyAlignment="0" applyProtection="0"/>
    <xf numFmtId="0" fontId="139" fillId="134" borderId="0" applyNumberFormat="0" applyBorder="0" applyAlignment="0" applyProtection="0"/>
    <xf numFmtId="0" fontId="139" fillId="134" borderId="0" applyNumberFormat="0" applyBorder="0" applyAlignment="0" applyProtection="0"/>
    <xf numFmtId="0" fontId="138" fillId="132" borderId="0" applyNumberFormat="0" applyBorder="0" applyProtection="0"/>
    <xf numFmtId="0" fontId="138" fillId="132" borderId="0" applyNumberFormat="0" applyBorder="0" applyProtection="0"/>
    <xf numFmtId="0" fontId="139" fillId="134" borderId="0" applyNumberFormat="0" applyBorder="0" applyAlignment="0" applyProtection="0"/>
    <xf numFmtId="0" fontId="139" fillId="134" borderId="0" applyNumberFormat="0" applyBorder="0" applyAlignment="0" applyProtection="0"/>
    <xf numFmtId="0" fontId="139" fillId="134" borderId="0" applyNumberFormat="0" applyBorder="0" applyAlignment="0" applyProtection="0"/>
    <xf numFmtId="0" fontId="139" fillId="134" borderId="0" applyNumberFormat="0" applyBorder="0" applyAlignment="0" applyProtection="0"/>
    <xf numFmtId="0" fontId="138" fillId="132" borderId="0" applyNumberFormat="0" applyBorder="0" applyProtection="0"/>
    <xf numFmtId="0" fontId="138" fillId="89" borderId="0" applyNumberFormat="0" applyBorder="0" applyProtection="0"/>
    <xf numFmtId="0" fontId="138" fillId="89" borderId="0" applyNumberFormat="0" applyBorder="0" applyProtection="0"/>
    <xf numFmtId="0" fontId="169" fillId="89" borderId="0" applyNumberFormat="0" applyBorder="0" applyProtection="0"/>
    <xf numFmtId="0" fontId="170" fillId="135" borderId="0" applyNumberFormat="0" applyBorder="0" applyAlignment="0" applyProtection="0"/>
    <xf numFmtId="0" fontId="170" fillId="135" borderId="0" applyNumberFormat="0" applyBorder="0" applyAlignment="0" applyProtection="0"/>
    <xf numFmtId="0" fontId="170" fillId="135" borderId="0" applyNumberFormat="0" applyBorder="0" applyAlignment="0" applyProtection="0"/>
    <xf numFmtId="0" fontId="170" fillId="135" borderId="0" applyNumberFormat="0" applyBorder="0" applyAlignment="0" applyProtection="0"/>
    <xf numFmtId="0" fontId="169" fillId="89" borderId="0" applyNumberFormat="0" applyBorder="0" applyProtection="0"/>
    <xf numFmtId="0" fontId="139" fillId="90" borderId="0" applyNumberFormat="0" applyBorder="0" applyAlignment="0" applyProtection="0"/>
    <xf numFmtId="0" fontId="139" fillId="90" borderId="0" applyNumberFormat="0" applyBorder="0" applyAlignment="0" applyProtection="0"/>
    <xf numFmtId="0" fontId="139" fillId="90" borderId="0" applyNumberFormat="0" applyBorder="0" applyAlignment="0" applyProtection="0"/>
    <xf numFmtId="0" fontId="139" fillId="90" borderId="0" applyNumberFormat="0" applyBorder="0" applyAlignment="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9" fillId="90" borderId="0" applyNumberFormat="0" applyBorder="0" applyAlignment="0" applyProtection="0"/>
    <xf numFmtId="0" fontId="139" fillId="90" borderId="0" applyNumberFormat="0" applyBorder="0" applyAlignment="0" applyProtection="0"/>
    <xf numFmtId="0" fontId="139" fillId="90" borderId="0" applyNumberFormat="0" applyBorder="0" applyAlignment="0" applyProtection="0"/>
    <xf numFmtId="0" fontId="139" fillId="90" borderId="0" applyNumberFormat="0" applyBorder="0" applyAlignment="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9" fillId="90" borderId="0" applyNumberFormat="0" applyBorder="0" applyAlignment="0" applyProtection="0"/>
    <xf numFmtId="0" fontId="139" fillId="90" borderId="0" applyNumberFormat="0" applyBorder="0" applyAlignment="0" applyProtection="0"/>
    <xf numFmtId="0" fontId="139" fillId="90" borderId="0" applyNumberFormat="0" applyBorder="0" applyAlignment="0" applyProtection="0"/>
    <xf numFmtId="0" fontId="139" fillId="90" borderId="0" applyNumberFormat="0" applyBorder="0" applyAlignment="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9" fillId="90" borderId="0" applyNumberFormat="0" applyBorder="0" applyAlignment="0" applyProtection="0"/>
    <xf numFmtId="0" fontId="139" fillId="90" borderId="0" applyNumberFormat="0" applyBorder="0" applyAlignment="0" applyProtection="0"/>
    <xf numFmtId="0" fontId="139" fillId="90" borderId="0" applyNumberFormat="0" applyBorder="0" applyAlignment="0" applyProtection="0"/>
    <xf numFmtId="0" fontId="139" fillId="90" borderId="0" applyNumberFormat="0" applyBorder="0" applyAlignment="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9" fillId="90" borderId="0" applyNumberFormat="0" applyBorder="0" applyAlignment="0" applyProtection="0"/>
    <xf numFmtId="0" fontId="139" fillId="90" borderId="0" applyNumberFormat="0" applyBorder="0" applyAlignment="0" applyProtection="0"/>
    <xf numFmtId="0" fontId="139" fillId="90" borderId="0" applyNumberFormat="0" applyBorder="0" applyAlignment="0" applyProtection="0"/>
    <xf numFmtId="0" fontId="139" fillId="90" borderId="0" applyNumberFormat="0" applyBorder="0" applyAlignment="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91" borderId="0" applyNumberFormat="0" applyBorder="0" applyProtection="0"/>
    <xf numFmtId="0" fontId="169" fillId="136" borderId="0" applyNumberFormat="0" applyBorder="0" applyProtection="0"/>
    <xf numFmtId="0" fontId="170" fillId="136" borderId="0" applyNumberFormat="0" applyBorder="0" applyAlignment="0" applyProtection="0"/>
    <xf numFmtId="0" fontId="170" fillId="136" borderId="0" applyNumberFormat="0" applyBorder="0" applyAlignment="0" applyProtection="0"/>
    <xf numFmtId="0" fontId="170" fillId="136" borderId="0" applyNumberFormat="0" applyBorder="0" applyAlignment="0" applyProtection="0"/>
    <xf numFmtId="0" fontId="170" fillId="136" borderId="0" applyNumberFormat="0" applyBorder="0" applyAlignment="0" applyProtection="0"/>
    <xf numFmtId="0" fontId="169" fillId="136" borderId="0" applyNumberFormat="0" applyBorder="0" applyProtection="0"/>
    <xf numFmtId="0" fontId="139" fillId="92" borderId="0" applyNumberFormat="0" applyBorder="0" applyAlignment="0" applyProtection="0"/>
    <xf numFmtId="0" fontId="139" fillId="92" borderId="0" applyNumberFormat="0" applyBorder="0" applyAlignment="0" applyProtection="0"/>
    <xf numFmtId="0" fontId="139" fillId="92" borderId="0" applyNumberFormat="0" applyBorder="0" applyAlignment="0" applyProtection="0"/>
    <xf numFmtId="0" fontId="139" fillId="92" borderId="0" applyNumberFormat="0" applyBorder="0" applyAlignment="0" applyProtection="0"/>
    <xf numFmtId="0" fontId="138" fillId="91" borderId="0" applyNumberFormat="0" applyBorder="0" applyProtection="0"/>
    <xf numFmtId="0" fontId="138" fillId="91" borderId="0" applyNumberFormat="0" applyBorder="0" applyProtection="0"/>
    <xf numFmtId="0" fontId="139" fillId="92" borderId="0" applyNumberFormat="0" applyBorder="0" applyAlignment="0" applyProtection="0"/>
    <xf numFmtId="0" fontId="139" fillId="92" borderId="0" applyNumberFormat="0" applyBorder="0" applyAlignment="0" applyProtection="0"/>
    <xf numFmtId="0" fontId="139" fillId="92" borderId="0" applyNumberFormat="0" applyBorder="0" applyAlignment="0" applyProtection="0"/>
    <xf numFmtId="0" fontId="139" fillId="92" borderId="0" applyNumberFormat="0" applyBorder="0" applyAlignment="0" applyProtection="0"/>
    <xf numFmtId="0" fontId="138" fillId="91" borderId="0" applyNumberFormat="0" applyBorder="0" applyProtection="0"/>
    <xf numFmtId="0" fontId="138" fillId="91" borderId="0" applyNumberFormat="0" applyBorder="0" applyProtection="0"/>
    <xf numFmtId="0" fontId="139" fillId="92" borderId="0" applyNumberFormat="0" applyBorder="0" applyAlignment="0" applyProtection="0"/>
    <xf numFmtId="0" fontId="139" fillId="92" borderId="0" applyNumberFormat="0" applyBorder="0" applyAlignment="0" applyProtection="0"/>
    <xf numFmtId="0" fontId="139" fillId="92" borderId="0" applyNumberFormat="0" applyBorder="0" applyAlignment="0" applyProtection="0"/>
    <xf numFmtId="0" fontId="139" fillId="92" borderId="0" applyNumberFormat="0" applyBorder="0" applyAlignment="0" applyProtection="0"/>
    <xf numFmtId="0" fontId="138" fillId="91" borderId="0" applyNumberFormat="0" applyBorder="0" applyProtection="0"/>
    <xf numFmtId="0" fontId="138" fillId="91" borderId="0" applyNumberFormat="0" applyBorder="0" applyProtection="0"/>
    <xf numFmtId="0" fontId="139" fillId="92" borderId="0" applyNumberFormat="0" applyBorder="0" applyAlignment="0" applyProtection="0"/>
    <xf numFmtId="0" fontId="139" fillId="92" borderId="0" applyNumberFormat="0" applyBorder="0" applyAlignment="0" applyProtection="0"/>
    <xf numFmtId="0" fontId="139" fillId="92" borderId="0" applyNumberFormat="0" applyBorder="0" applyAlignment="0" applyProtection="0"/>
    <xf numFmtId="0" fontId="139" fillId="92" borderId="0" applyNumberFormat="0" applyBorder="0" applyAlignment="0" applyProtection="0"/>
    <xf numFmtId="0" fontId="138" fillId="91" borderId="0" applyNumberFormat="0" applyBorder="0" applyProtection="0"/>
    <xf numFmtId="0" fontId="138" fillId="91" borderId="0" applyNumberFormat="0" applyBorder="0" applyProtection="0"/>
    <xf numFmtId="0" fontId="139" fillId="92" borderId="0" applyNumberFormat="0" applyBorder="0" applyAlignment="0" applyProtection="0"/>
    <xf numFmtId="0" fontId="139" fillId="92" borderId="0" applyNumberFormat="0" applyBorder="0" applyAlignment="0" applyProtection="0"/>
    <xf numFmtId="0" fontId="139" fillId="92" borderId="0" applyNumberFormat="0" applyBorder="0" applyAlignment="0" applyProtection="0"/>
    <xf numFmtId="0" fontId="139" fillId="92" borderId="0" applyNumberFormat="0" applyBorder="0" applyAlignment="0" applyProtection="0"/>
    <xf numFmtId="0" fontId="138" fillId="91" borderId="0" applyNumberFormat="0" applyBorder="0" applyProtection="0"/>
    <xf numFmtId="0" fontId="138" fillId="137" borderId="0" applyNumberFormat="0" applyBorder="0" applyProtection="0"/>
    <xf numFmtId="0" fontId="169" fillId="138" borderId="0" applyNumberFormat="0" applyBorder="0" applyProtection="0"/>
    <xf numFmtId="0" fontId="170" fillId="138" borderId="0" applyNumberFormat="0" applyBorder="0" applyAlignment="0" applyProtection="0"/>
    <xf numFmtId="0" fontId="170" fillId="138" borderId="0" applyNumberFormat="0" applyBorder="0" applyAlignment="0" applyProtection="0"/>
    <xf numFmtId="0" fontId="170" fillId="138" borderId="0" applyNumberFormat="0" applyBorder="0" applyAlignment="0" applyProtection="0"/>
    <xf numFmtId="0" fontId="170" fillId="138" borderId="0" applyNumberFormat="0" applyBorder="0" applyAlignment="0" applyProtection="0"/>
    <xf numFmtId="0" fontId="169" fillId="138" borderId="0" applyNumberFormat="0" applyBorder="0" applyProtection="0"/>
    <xf numFmtId="0" fontId="139" fillId="139" borderId="0" applyNumberFormat="0" applyBorder="0" applyAlignment="0" applyProtection="0"/>
    <xf numFmtId="0" fontId="139" fillId="139" borderId="0" applyNumberFormat="0" applyBorder="0" applyAlignment="0" applyProtection="0"/>
    <xf numFmtId="0" fontId="139" fillId="139" borderId="0" applyNumberFormat="0" applyBorder="0" applyAlignment="0" applyProtection="0"/>
    <xf numFmtId="0" fontId="139" fillId="139" borderId="0" applyNumberFormat="0" applyBorder="0" applyAlignment="0" applyProtection="0"/>
    <xf numFmtId="0" fontId="138" fillId="137" borderId="0" applyNumberFormat="0" applyBorder="0" applyProtection="0"/>
    <xf numFmtId="0" fontId="138" fillId="137" borderId="0" applyNumberFormat="0" applyBorder="0" applyProtection="0"/>
    <xf numFmtId="0" fontId="139" fillId="139" borderId="0" applyNumberFormat="0" applyBorder="0" applyAlignment="0" applyProtection="0"/>
    <xf numFmtId="0" fontId="139" fillId="139" borderId="0" applyNumberFormat="0" applyBorder="0" applyAlignment="0" applyProtection="0"/>
    <xf numFmtId="0" fontId="139" fillId="139" borderId="0" applyNumberFormat="0" applyBorder="0" applyAlignment="0" applyProtection="0"/>
    <xf numFmtId="0" fontId="139" fillId="139" borderId="0" applyNumberFormat="0" applyBorder="0" applyAlignment="0" applyProtection="0"/>
    <xf numFmtId="0" fontId="138" fillId="137" borderId="0" applyNumberFormat="0" applyBorder="0" applyProtection="0"/>
    <xf numFmtId="0" fontId="138" fillId="137" borderId="0" applyNumberFormat="0" applyBorder="0" applyProtection="0"/>
    <xf numFmtId="0" fontId="139" fillId="139" borderId="0" applyNumberFormat="0" applyBorder="0" applyAlignment="0" applyProtection="0"/>
    <xf numFmtId="0" fontId="139" fillId="139" borderId="0" applyNumberFormat="0" applyBorder="0" applyAlignment="0" applyProtection="0"/>
    <xf numFmtId="0" fontId="139" fillId="139" borderId="0" applyNumberFormat="0" applyBorder="0" applyAlignment="0" applyProtection="0"/>
    <xf numFmtId="0" fontId="139" fillId="139" borderId="0" applyNumberFormat="0" applyBorder="0" applyAlignment="0" applyProtection="0"/>
    <xf numFmtId="0" fontId="138" fillId="137" borderId="0" applyNumberFormat="0" applyBorder="0" applyProtection="0"/>
    <xf numFmtId="0" fontId="138" fillId="137" borderId="0" applyNumberFormat="0" applyBorder="0" applyProtection="0"/>
    <xf numFmtId="0" fontId="139" fillId="139" borderId="0" applyNumberFormat="0" applyBorder="0" applyAlignment="0" applyProtection="0"/>
    <xf numFmtId="0" fontId="139" fillId="139" borderId="0" applyNumberFormat="0" applyBorder="0" applyAlignment="0" applyProtection="0"/>
    <xf numFmtId="0" fontId="139" fillId="139" borderId="0" applyNumberFormat="0" applyBorder="0" applyAlignment="0" applyProtection="0"/>
    <xf numFmtId="0" fontId="139" fillId="139" borderId="0" applyNumberFormat="0" applyBorder="0" applyAlignment="0" applyProtection="0"/>
    <xf numFmtId="0" fontId="138" fillId="137" borderId="0" applyNumberFormat="0" applyBorder="0" applyProtection="0"/>
    <xf numFmtId="0" fontId="138" fillId="137" borderId="0" applyNumberFormat="0" applyBorder="0" applyProtection="0"/>
    <xf numFmtId="0" fontId="139" fillId="139" borderId="0" applyNumberFormat="0" applyBorder="0" applyAlignment="0" applyProtection="0"/>
    <xf numFmtId="0" fontId="139" fillId="139" borderId="0" applyNumberFormat="0" applyBorder="0" applyAlignment="0" applyProtection="0"/>
    <xf numFmtId="0" fontId="139" fillId="139" borderId="0" applyNumberFormat="0" applyBorder="0" applyAlignment="0" applyProtection="0"/>
    <xf numFmtId="0" fontId="139" fillId="139" borderId="0" applyNumberFormat="0" applyBorder="0" applyAlignment="0" applyProtection="0"/>
    <xf numFmtId="0" fontId="138" fillId="137" borderId="0" applyNumberFormat="0" applyBorder="0" applyProtection="0"/>
    <xf numFmtId="0" fontId="171" fillId="55" borderId="79" applyNumberFormat="0" applyProtection="0"/>
    <xf numFmtId="0" fontId="172" fillId="140" borderId="79" applyNumberForma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4" fillId="56" borderId="79" applyNumberFormat="0" applyAlignment="0" applyProtection="0"/>
    <xf numFmtId="0" fontId="171" fillId="55" borderId="79" applyNumberFormat="0" applyProtection="0"/>
    <xf numFmtId="0" fontId="171" fillId="55" borderId="79" applyNumberFormat="0" applyProtection="0"/>
    <xf numFmtId="0" fontId="171" fillId="55" borderId="79" applyNumberFormat="0" applyProtection="0"/>
    <xf numFmtId="0" fontId="175" fillId="141" borderId="80" applyNumberFormat="0" applyProtection="0"/>
    <xf numFmtId="0" fontId="176" fillId="142" borderId="80" applyNumberForma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8" fillId="143" borderId="80" applyNumberFormat="0" applyAlignmen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9" fillId="141" borderId="79" applyNumberFormat="0" applyProtection="0"/>
    <xf numFmtId="0" fontId="180" fillId="142" borderId="79" applyNumberForma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82" fillId="143" borderId="79" applyNumberFormat="0" applyAlignmen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83" fillId="0" borderId="0" applyNumberFormat="0" applyFill="0" applyBorder="0" applyProtection="0"/>
    <xf numFmtId="0" fontId="183" fillId="0" borderId="0" applyNumberFormat="0" applyFill="0" applyBorder="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3" fillId="0" borderId="0" applyNumberFormat="0" applyFill="0" applyBorder="0" applyProtection="0"/>
    <xf numFmtId="0" fontId="185" fillId="0" borderId="0" applyNumberFormat="0" applyFill="0" applyBorder="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5" fillId="0" borderId="0" applyNumberFormat="0" applyFill="0" applyBorder="0" applyProtection="0"/>
    <xf numFmtId="0" fontId="185" fillId="0" borderId="0" applyNumberFormat="0" applyFill="0" applyBorder="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5" fillId="0" borderId="0" applyNumberFormat="0" applyFill="0" applyBorder="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3" fillId="0" borderId="0" applyNumberFormat="0" applyFill="0" applyBorder="0" applyProtection="0"/>
    <xf numFmtId="0" fontId="185" fillId="0" borderId="0">
      <alignment vertical="top"/>
      <protection locked="0"/>
    </xf>
    <xf numFmtId="0" fontId="187" fillId="0" borderId="0">
      <alignment vertical="top"/>
      <protection locked="0"/>
    </xf>
    <xf numFmtId="0" fontId="187" fillId="0" borderId="0">
      <alignment vertical="top"/>
      <protection locked="0"/>
    </xf>
    <xf numFmtId="0" fontId="187" fillId="0" borderId="0">
      <alignment vertical="top"/>
      <protection locked="0"/>
    </xf>
    <xf numFmtId="0" fontId="187" fillId="0" borderId="0">
      <alignment vertical="top"/>
      <protection locked="0"/>
    </xf>
    <xf numFmtId="0" fontId="185" fillId="0" borderId="0">
      <alignment vertical="top"/>
      <protection locked="0"/>
    </xf>
    <xf numFmtId="0" fontId="185" fillId="0" borderId="0">
      <alignment vertical="top"/>
      <protection locked="0"/>
    </xf>
    <xf numFmtId="0" fontId="187" fillId="0" borderId="0">
      <alignment vertical="top"/>
      <protection locked="0"/>
    </xf>
    <xf numFmtId="0" fontId="187" fillId="0" borderId="0">
      <alignment vertical="top"/>
      <protection locked="0"/>
    </xf>
    <xf numFmtId="0" fontId="187" fillId="0" borderId="0">
      <alignment vertical="top"/>
      <protection locked="0"/>
    </xf>
    <xf numFmtId="0" fontId="187" fillId="0" borderId="0">
      <alignment vertical="top"/>
      <protection locked="0"/>
    </xf>
    <xf numFmtId="0" fontId="185" fillId="0" borderId="0">
      <alignment vertical="top"/>
      <protection locked="0"/>
    </xf>
    <xf numFmtId="0" fontId="185" fillId="0" borderId="0">
      <alignment vertical="top"/>
      <protection locked="0"/>
    </xf>
    <xf numFmtId="0" fontId="187" fillId="0" borderId="0">
      <alignment vertical="top"/>
      <protection locked="0"/>
    </xf>
    <xf numFmtId="0" fontId="187" fillId="0" borderId="0">
      <alignment vertical="top"/>
      <protection locked="0"/>
    </xf>
    <xf numFmtId="0" fontId="187" fillId="0" borderId="0">
      <alignment vertical="top"/>
      <protection locked="0"/>
    </xf>
    <xf numFmtId="0" fontId="187" fillId="0" borderId="0">
      <alignment vertical="top"/>
      <protection locked="0"/>
    </xf>
    <xf numFmtId="0" fontId="185" fillId="0" borderId="0">
      <alignment vertical="top"/>
      <protection locked="0"/>
    </xf>
    <xf numFmtId="0" fontId="185" fillId="0" borderId="0">
      <alignment vertical="top"/>
      <protection locked="0"/>
    </xf>
    <xf numFmtId="0" fontId="187" fillId="0" borderId="0">
      <alignment vertical="top"/>
      <protection locked="0"/>
    </xf>
    <xf numFmtId="0" fontId="187" fillId="0" borderId="0">
      <alignment vertical="top"/>
      <protection locked="0"/>
    </xf>
    <xf numFmtId="0" fontId="187" fillId="0" borderId="0">
      <alignment vertical="top"/>
      <protection locked="0"/>
    </xf>
    <xf numFmtId="0" fontId="187" fillId="0" borderId="0">
      <alignment vertical="top"/>
      <protection locked="0"/>
    </xf>
    <xf numFmtId="0" fontId="185" fillId="0" borderId="0">
      <alignment vertical="top"/>
      <protection locked="0"/>
    </xf>
    <xf numFmtId="0" fontId="183" fillId="0" borderId="0" applyNumberFormat="0" applyFill="0" applyBorder="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3" fillId="0" borderId="0" applyNumberFormat="0" applyFill="0" applyBorder="0" applyProtection="0"/>
    <xf numFmtId="0" fontId="183" fillId="0" borderId="0" applyNumberFormat="0" applyFill="0" applyBorder="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3" fillId="0" borderId="0" applyNumberFormat="0" applyFill="0" applyBorder="0" applyProtection="0"/>
    <xf numFmtId="0" fontId="183" fillId="0" borderId="0" applyNumberFormat="0" applyFill="0" applyBorder="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3" fillId="0" borderId="0" applyNumberFormat="0" applyFill="0" applyBorder="0" applyProtection="0"/>
    <xf numFmtId="0" fontId="183" fillId="0" borderId="0" applyNumberFormat="0" applyFill="0" applyBorder="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3" fillId="0" borderId="0" applyNumberFormat="0" applyFill="0" applyBorder="0" applyProtection="0"/>
    <xf numFmtId="0" fontId="183" fillId="0" borderId="0" applyNumberFormat="0" applyFill="0" applyBorder="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3" fillId="0" borderId="0" applyNumberFormat="0" applyFill="0" applyBorder="0" applyProtection="0"/>
    <xf numFmtId="44" fontId="119" fillId="0" borderId="0" applyFont="0" applyFill="0" applyBorder="0" applyProtection="0"/>
    <xf numFmtId="44" fontId="119" fillId="0" borderId="0" applyFont="0" applyFill="0" applyBorder="0" applyProtection="0"/>
    <xf numFmtId="0" fontId="188" fillId="0" borderId="81" applyNumberFormat="0" applyFill="0" applyProtection="0"/>
    <xf numFmtId="0" fontId="189" fillId="0" borderId="81" applyNumberFormat="0" applyFill="0" applyProtection="0"/>
    <xf numFmtId="0" fontId="190" fillId="0" borderId="81" applyNumberFormat="0" applyFill="0" applyAlignment="0" applyProtection="0"/>
    <xf numFmtId="0" fontId="190" fillId="0" borderId="81" applyNumberFormat="0" applyFill="0" applyAlignment="0" applyProtection="0"/>
    <xf numFmtId="0" fontId="190" fillId="0" borderId="81" applyNumberFormat="0" applyFill="0" applyAlignment="0" applyProtection="0"/>
    <xf numFmtId="0" fontId="190" fillId="0" borderId="81" applyNumberFormat="0" applyFill="0" applyAlignment="0" applyProtection="0"/>
    <xf numFmtId="0" fontId="189" fillId="0" borderId="81" applyNumberFormat="0" applyFill="0" applyProtection="0"/>
    <xf numFmtId="0" fontId="191" fillId="0" borderId="81" applyNumberFormat="0" applyFill="0" applyAlignment="0" applyProtection="0"/>
    <xf numFmtId="0" fontId="191" fillId="0" borderId="81" applyNumberFormat="0" applyFill="0" applyAlignment="0" applyProtection="0"/>
    <xf numFmtId="0" fontId="191" fillId="0" borderId="81" applyNumberFormat="0" applyFill="0" applyAlignment="0" applyProtection="0"/>
    <xf numFmtId="0" fontId="191" fillId="0" borderId="81" applyNumberFormat="0" applyFill="0" applyAlignment="0" applyProtection="0"/>
    <xf numFmtId="0" fontId="188" fillId="0" borderId="81" applyNumberFormat="0" applyFill="0" applyProtection="0"/>
    <xf numFmtId="0" fontId="188" fillId="0" borderId="81" applyNumberFormat="0" applyFill="0" applyProtection="0"/>
    <xf numFmtId="0" fontId="191" fillId="0" borderId="81" applyNumberFormat="0" applyFill="0" applyAlignment="0" applyProtection="0"/>
    <xf numFmtId="0" fontId="191" fillId="0" borderId="81" applyNumberFormat="0" applyFill="0" applyAlignment="0" applyProtection="0"/>
    <xf numFmtId="0" fontId="191" fillId="0" borderId="81" applyNumberFormat="0" applyFill="0" applyAlignment="0" applyProtection="0"/>
    <xf numFmtId="0" fontId="191" fillId="0" borderId="81" applyNumberFormat="0" applyFill="0" applyAlignment="0" applyProtection="0"/>
    <xf numFmtId="0" fontId="188" fillId="0" borderId="81" applyNumberFormat="0" applyFill="0" applyProtection="0"/>
    <xf numFmtId="0" fontId="188" fillId="0" borderId="81" applyNumberFormat="0" applyFill="0" applyProtection="0"/>
    <xf numFmtId="0" fontId="191" fillId="0" borderId="81" applyNumberFormat="0" applyFill="0" applyAlignment="0" applyProtection="0"/>
    <xf numFmtId="0" fontId="191" fillId="0" borderId="81" applyNumberFormat="0" applyFill="0" applyAlignment="0" applyProtection="0"/>
    <xf numFmtId="0" fontId="191" fillId="0" borderId="81" applyNumberFormat="0" applyFill="0" applyAlignment="0" applyProtection="0"/>
    <xf numFmtId="0" fontId="191" fillId="0" borderId="81" applyNumberFormat="0" applyFill="0" applyAlignment="0" applyProtection="0"/>
    <xf numFmtId="0" fontId="188" fillId="0" borderId="81" applyNumberFormat="0" applyFill="0" applyProtection="0"/>
    <xf numFmtId="0" fontId="188" fillId="0" borderId="81" applyNumberFormat="0" applyFill="0" applyProtection="0"/>
    <xf numFmtId="0" fontId="191" fillId="0" borderId="81" applyNumberFormat="0" applyFill="0" applyAlignment="0" applyProtection="0"/>
    <xf numFmtId="0" fontId="191" fillId="0" borderId="81" applyNumberFormat="0" applyFill="0" applyAlignment="0" applyProtection="0"/>
    <xf numFmtId="0" fontId="191" fillId="0" borderId="81" applyNumberFormat="0" applyFill="0" applyAlignment="0" applyProtection="0"/>
    <xf numFmtId="0" fontId="191" fillId="0" borderId="81" applyNumberFormat="0" applyFill="0" applyAlignment="0" applyProtection="0"/>
    <xf numFmtId="0" fontId="188" fillId="0" borderId="81" applyNumberFormat="0" applyFill="0" applyProtection="0"/>
    <xf numFmtId="0" fontId="188" fillId="0" borderId="81" applyNumberFormat="0" applyFill="0" applyProtection="0"/>
    <xf numFmtId="0" fontId="191" fillId="0" borderId="81" applyNumberFormat="0" applyFill="0" applyAlignment="0" applyProtection="0"/>
    <xf numFmtId="0" fontId="191" fillId="0" borderId="81" applyNumberFormat="0" applyFill="0" applyAlignment="0" applyProtection="0"/>
    <xf numFmtId="0" fontId="191" fillId="0" borderId="81" applyNumberFormat="0" applyFill="0" applyAlignment="0" applyProtection="0"/>
    <xf numFmtId="0" fontId="191" fillId="0" borderId="81" applyNumberFormat="0" applyFill="0" applyAlignment="0" applyProtection="0"/>
    <xf numFmtId="0" fontId="188" fillId="0" borderId="81" applyNumberFormat="0" applyFill="0" applyProtection="0"/>
    <xf numFmtId="0" fontId="192" fillId="0" borderId="82" applyNumberFormat="0" applyFill="0" applyProtection="0"/>
    <xf numFmtId="0" fontId="193" fillId="0" borderId="82" applyNumberFormat="0" applyFill="0" applyProtection="0"/>
    <xf numFmtId="0" fontId="194" fillId="0" borderId="82" applyNumberFormat="0" applyFill="0" applyAlignment="0" applyProtection="0"/>
    <xf numFmtId="0" fontId="194" fillId="0" borderId="82" applyNumberFormat="0" applyFill="0" applyAlignment="0" applyProtection="0"/>
    <xf numFmtId="0" fontId="194" fillId="0" borderId="82" applyNumberFormat="0" applyFill="0" applyAlignment="0" applyProtection="0"/>
    <xf numFmtId="0" fontId="194" fillId="0" borderId="82" applyNumberFormat="0" applyFill="0" applyAlignment="0" applyProtection="0"/>
    <xf numFmtId="0" fontId="193" fillId="0" borderId="82" applyNumberFormat="0" applyFill="0" applyProtection="0"/>
    <xf numFmtId="0" fontId="195" fillId="0" borderId="82" applyNumberFormat="0" applyFill="0" applyAlignment="0" applyProtection="0"/>
    <xf numFmtId="0" fontId="195" fillId="0" borderId="82" applyNumberFormat="0" applyFill="0" applyAlignment="0" applyProtection="0"/>
    <xf numFmtId="0" fontId="195" fillId="0" borderId="82" applyNumberFormat="0" applyFill="0" applyAlignment="0" applyProtection="0"/>
    <xf numFmtId="0" fontId="195" fillId="0" borderId="82" applyNumberFormat="0" applyFill="0" applyAlignment="0" applyProtection="0"/>
    <xf numFmtId="0" fontId="192" fillId="0" borderId="82" applyNumberFormat="0" applyFill="0" applyProtection="0"/>
    <xf numFmtId="0" fontId="192" fillId="0" borderId="82" applyNumberFormat="0" applyFill="0" applyProtection="0"/>
    <xf numFmtId="0" fontId="195" fillId="0" borderId="82" applyNumberFormat="0" applyFill="0" applyAlignment="0" applyProtection="0"/>
    <xf numFmtId="0" fontId="195" fillId="0" borderId="82" applyNumberFormat="0" applyFill="0" applyAlignment="0" applyProtection="0"/>
    <xf numFmtId="0" fontId="195" fillId="0" borderId="82" applyNumberFormat="0" applyFill="0" applyAlignment="0" applyProtection="0"/>
    <xf numFmtId="0" fontId="195" fillId="0" borderId="82" applyNumberFormat="0" applyFill="0" applyAlignment="0" applyProtection="0"/>
    <xf numFmtId="0" fontId="192" fillId="0" borderId="82" applyNumberFormat="0" applyFill="0" applyProtection="0"/>
    <xf numFmtId="0" fontId="192" fillId="0" borderId="82" applyNumberFormat="0" applyFill="0" applyProtection="0"/>
    <xf numFmtId="0" fontId="195" fillId="0" borderId="82" applyNumberFormat="0" applyFill="0" applyAlignment="0" applyProtection="0"/>
    <xf numFmtId="0" fontId="195" fillId="0" borderId="82" applyNumberFormat="0" applyFill="0" applyAlignment="0" applyProtection="0"/>
    <xf numFmtId="0" fontId="195" fillId="0" borderId="82" applyNumberFormat="0" applyFill="0" applyAlignment="0" applyProtection="0"/>
    <xf numFmtId="0" fontId="195" fillId="0" borderId="82" applyNumberFormat="0" applyFill="0" applyAlignment="0" applyProtection="0"/>
    <xf numFmtId="0" fontId="192" fillId="0" borderId="82" applyNumberFormat="0" applyFill="0" applyProtection="0"/>
    <xf numFmtId="0" fontId="192" fillId="0" borderId="82" applyNumberFormat="0" applyFill="0" applyProtection="0"/>
    <xf numFmtId="0" fontId="195" fillId="0" borderId="82" applyNumberFormat="0" applyFill="0" applyAlignment="0" applyProtection="0"/>
    <xf numFmtId="0" fontId="195" fillId="0" borderId="82" applyNumberFormat="0" applyFill="0" applyAlignment="0" applyProtection="0"/>
    <xf numFmtId="0" fontId="195" fillId="0" borderId="82" applyNumberFormat="0" applyFill="0" applyAlignment="0" applyProtection="0"/>
    <xf numFmtId="0" fontId="195" fillId="0" borderId="82" applyNumberFormat="0" applyFill="0" applyAlignment="0" applyProtection="0"/>
    <xf numFmtId="0" fontId="192" fillId="0" borderId="82" applyNumberFormat="0" applyFill="0" applyProtection="0"/>
    <xf numFmtId="0" fontId="192" fillId="0" borderId="82" applyNumberFormat="0" applyFill="0" applyProtection="0"/>
    <xf numFmtId="0" fontId="195" fillId="0" borderId="82" applyNumberFormat="0" applyFill="0" applyAlignment="0" applyProtection="0"/>
    <xf numFmtId="0" fontId="195" fillId="0" borderId="82" applyNumberFormat="0" applyFill="0" applyAlignment="0" applyProtection="0"/>
    <xf numFmtId="0" fontId="195" fillId="0" borderId="82" applyNumberFormat="0" applyFill="0" applyAlignment="0" applyProtection="0"/>
    <xf numFmtId="0" fontId="195" fillId="0" borderId="82" applyNumberFormat="0" applyFill="0" applyAlignment="0" applyProtection="0"/>
    <xf numFmtId="0" fontId="192" fillId="0" borderId="82" applyNumberFormat="0" applyFill="0" applyProtection="0"/>
    <xf numFmtId="0" fontId="196" fillId="0" borderId="83" applyNumberFormat="0" applyFill="0" applyProtection="0"/>
    <xf numFmtId="0" fontId="197" fillId="0" borderId="83" applyNumberFormat="0" applyFill="0" applyProtection="0"/>
    <xf numFmtId="0" fontId="198" fillId="0" borderId="83" applyNumberFormat="0" applyFill="0" applyAlignment="0" applyProtection="0"/>
    <xf numFmtId="0" fontId="198" fillId="0" borderId="83" applyNumberFormat="0" applyFill="0" applyAlignment="0" applyProtection="0"/>
    <xf numFmtId="0" fontId="198" fillId="0" borderId="83" applyNumberFormat="0" applyFill="0" applyAlignment="0" applyProtection="0"/>
    <xf numFmtId="0" fontId="198" fillId="0" borderId="83" applyNumberFormat="0" applyFill="0" applyAlignment="0" applyProtection="0"/>
    <xf numFmtId="0" fontId="197" fillId="0" borderId="83" applyNumberFormat="0" applyFill="0" applyProtection="0"/>
    <xf numFmtId="0" fontId="199" fillId="0" borderId="83" applyNumberFormat="0" applyFill="0" applyAlignment="0" applyProtection="0"/>
    <xf numFmtId="0" fontId="199" fillId="0" borderId="83" applyNumberFormat="0" applyFill="0" applyAlignment="0" applyProtection="0"/>
    <xf numFmtId="0" fontId="199" fillId="0" borderId="83" applyNumberFormat="0" applyFill="0" applyAlignment="0" applyProtection="0"/>
    <xf numFmtId="0" fontId="199" fillId="0" borderId="83" applyNumberFormat="0" applyFill="0" applyAlignment="0" applyProtection="0"/>
    <xf numFmtId="0" fontId="196" fillId="0" borderId="83" applyNumberFormat="0" applyFill="0" applyProtection="0"/>
    <xf numFmtId="0" fontId="196" fillId="0" borderId="83" applyNumberFormat="0" applyFill="0" applyProtection="0"/>
    <xf numFmtId="0" fontId="199" fillId="0" borderId="83" applyNumberFormat="0" applyFill="0" applyAlignment="0" applyProtection="0"/>
    <xf numFmtId="0" fontId="199" fillId="0" borderId="83" applyNumberFormat="0" applyFill="0" applyAlignment="0" applyProtection="0"/>
    <xf numFmtId="0" fontId="199" fillId="0" borderId="83" applyNumberFormat="0" applyFill="0" applyAlignment="0" applyProtection="0"/>
    <xf numFmtId="0" fontId="199" fillId="0" borderId="83" applyNumberFormat="0" applyFill="0" applyAlignment="0" applyProtection="0"/>
    <xf numFmtId="0" fontId="196" fillId="0" borderId="83" applyNumberFormat="0" applyFill="0" applyProtection="0"/>
    <xf numFmtId="0" fontId="196" fillId="0" borderId="83" applyNumberFormat="0" applyFill="0" applyProtection="0"/>
    <xf numFmtId="0" fontId="199" fillId="0" borderId="83" applyNumberFormat="0" applyFill="0" applyAlignment="0" applyProtection="0"/>
    <xf numFmtId="0" fontId="199" fillId="0" borderId="83" applyNumberFormat="0" applyFill="0" applyAlignment="0" applyProtection="0"/>
    <xf numFmtId="0" fontId="199" fillId="0" borderId="83" applyNumberFormat="0" applyFill="0" applyAlignment="0" applyProtection="0"/>
    <xf numFmtId="0" fontId="199" fillId="0" borderId="83" applyNumberFormat="0" applyFill="0" applyAlignment="0" applyProtection="0"/>
    <xf numFmtId="0" fontId="196" fillId="0" borderId="83" applyNumberFormat="0" applyFill="0" applyProtection="0"/>
    <xf numFmtId="0" fontId="196" fillId="0" borderId="83" applyNumberFormat="0" applyFill="0" applyProtection="0"/>
    <xf numFmtId="0" fontId="199" fillId="0" borderId="83" applyNumberFormat="0" applyFill="0" applyAlignment="0" applyProtection="0"/>
    <xf numFmtId="0" fontId="199" fillId="0" borderId="83" applyNumberFormat="0" applyFill="0" applyAlignment="0" applyProtection="0"/>
    <xf numFmtId="0" fontId="199" fillId="0" borderId="83" applyNumberFormat="0" applyFill="0" applyAlignment="0" applyProtection="0"/>
    <xf numFmtId="0" fontId="199" fillId="0" borderId="83" applyNumberFormat="0" applyFill="0" applyAlignment="0" applyProtection="0"/>
    <xf numFmtId="0" fontId="196" fillId="0" borderId="83" applyNumberFormat="0" applyFill="0" applyProtection="0"/>
    <xf numFmtId="0" fontId="196" fillId="0" borderId="83" applyNumberFormat="0" applyFill="0" applyProtection="0"/>
    <xf numFmtId="0" fontId="199" fillId="0" borderId="83" applyNumberFormat="0" applyFill="0" applyAlignment="0" applyProtection="0"/>
    <xf numFmtId="0" fontId="199" fillId="0" borderId="83" applyNumberFormat="0" applyFill="0" applyAlignment="0" applyProtection="0"/>
    <xf numFmtId="0" fontId="199" fillId="0" borderId="83" applyNumberFormat="0" applyFill="0" applyAlignment="0" applyProtection="0"/>
    <xf numFmtId="0" fontId="199" fillId="0" borderId="83" applyNumberFormat="0" applyFill="0" applyAlignment="0" applyProtection="0"/>
    <xf numFmtId="0" fontId="196" fillId="0" borderId="83" applyNumberFormat="0" applyFill="0" applyProtection="0"/>
    <xf numFmtId="0" fontId="196" fillId="0" borderId="0" applyNumberFormat="0" applyFill="0" applyBorder="0" applyProtection="0"/>
    <xf numFmtId="0" fontId="197" fillId="0" borderId="0" applyNumberFormat="0" applyFill="0" applyBorder="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6" fillId="0" borderId="0" applyNumberFormat="0" applyFill="0" applyBorder="0" applyProtection="0"/>
    <xf numFmtId="0" fontId="196" fillId="0" borderId="0" applyNumberFormat="0" applyFill="0" applyBorder="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6" fillId="0" borderId="0" applyNumberFormat="0" applyFill="0" applyBorder="0" applyProtection="0"/>
    <xf numFmtId="0" fontId="196" fillId="0" borderId="0" applyNumberFormat="0" applyFill="0" applyBorder="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6" fillId="0" borderId="0" applyNumberFormat="0" applyFill="0" applyBorder="0" applyProtection="0"/>
    <xf numFmtId="0" fontId="196" fillId="0" borderId="0" applyNumberFormat="0" applyFill="0" applyBorder="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6" fillId="0" borderId="0" applyNumberFormat="0" applyFill="0" applyBorder="0" applyProtection="0"/>
    <xf numFmtId="0" fontId="196" fillId="0" borderId="0" applyNumberFormat="0" applyFill="0" applyBorder="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6" fillId="0" borderId="0" applyNumberFormat="0" applyFill="0" applyBorder="0" applyProtection="0"/>
    <xf numFmtId="0" fontId="200" fillId="0" borderId="84" applyNumberFormat="0" applyFill="0" applyProtection="0"/>
    <xf numFmtId="0" fontId="201" fillId="0" borderId="84" applyNumberFormat="0" applyFill="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4" fillId="144" borderId="85" applyNumberFormat="0" applyProtection="0"/>
    <xf numFmtId="0" fontId="205" fillId="145" borderId="85" applyNumberFormat="0" applyProtection="0"/>
    <xf numFmtId="0" fontId="206" fillId="145" borderId="85" applyNumberFormat="0" applyAlignment="0" applyProtection="0"/>
    <xf numFmtId="0" fontId="206" fillId="145" borderId="85" applyNumberFormat="0" applyAlignment="0" applyProtection="0"/>
    <xf numFmtId="0" fontId="206" fillId="145" borderId="85" applyNumberFormat="0" applyAlignment="0" applyProtection="0"/>
    <xf numFmtId="0" fontId="206" fillId="145" borderId="85" applyNumberFormat="0" applyAlignment="0" applyProtection="0"/>
    <xf numFmtId="0" fontId="205" fillId="145" borderId="85" applyNumberFormat="0" applyProtection="0"/>
    <xf numFmtId="0" fontId="207" fillId="146" borderId="85" applyNumberFormat="0" applyAlignment="0" applyProtection="0"/>
    <xf numFmtId="0" fontId="207" fillId="146" borderId="85" applyNumberFormat="0" applyAlignment="0" applyProtection="0"/>
    <xf numFmtId="0" fontId="207" fillId="146" borderId="85" applyNumberFormat="0" applyAlignment="0" applyProtection="0"/>
    <xf numFmtId="0" fontId="207" fillId="146" borderId="85" applyNumberFormat="0" applyAlignment="0" applyProtection="0"/>
    <xf numFmtId="0" fontId="204" fillId="144" borderId="85" applyNumberFormat="0" applyProtection="0"/>
    <xf numFmtId="0" fontId="204" fillId="144" borderId="85" applyNumberFormat="0" applyProtection="0"/>
    <xf numFmtId="0" fontId="207" fillId="146" borderId="85" applyNumberFormat="0" applyAlignment="0" applyProtection="0"/>
    <xf numFmtId="0" fontId="207" fillId="146" borderId="85" applyNumberFormat="0" applyAlignment="0" applyProtection="0"/>
    <xf numFmtId="0" fontId="207" fillId="146" borderId="85" applyNumberFormat="0" applyAlignment="0" applyProtection="0"/>
    <xf numFmtId="0" fontId="207" fillId="146" borderId="85" applyNumberFormat="0" applyAlignment="0" applyProtection="0"/>
    <xf numFmtId="0" fontId="204" fillId="144" borderId="85" applyNumberFormat="0" applyProtection="0"/>
    <xf numFmtId="0" fontId="204" fillId="144" borderId="85" applyNumberFormat="0" applyProtection="0"/>
    <xf numFmtId="0" fontId="207" fillId="146" borderId="85" applyNumberFormat="0" applyAlignment="0" applyProtection="0"/>
    <xf numFmtId="0" fontId="207" fillId="146" borderId="85" applyNumberFormat="0" applyAlignment="0" applyProtection="0"/>
    <xf numFmtId="0" fontId="207" fillId="146" borderId="85" applyNumberFormat="0" applyAlignment="0" applyProtection="0"/>
    <xf numFmtId="0" fontId="207" fillId="146" borderId="85" applyNumberFormat="0" applyAlignment="0" applyProtection="0"/>
    <xf numFmtId="0" fontId="204" fillId="144" borderId="85" applyNumberFormat="0" applyProtection="0"/>
    <xf numFmtId="0" fontId="204" fillId="144" borderId="85" applyNumberFormat="0" applyProtection="0"/>
    <xf numFmtId="0" fontId="207" fillId="146" borderId="85" applyNumberFormat="0" applyAlignment="0" applyProtection="0"/>
    <xf numFmtId="0" fontId="207" fillId="146" borderId="85" applyNumberFormat="0" applyAlignment="0" applyProtection="0"/>
    <xf numFmtId="0" fontId="207" fillId="146" borderId="85" applyNumberFormat="0" applyAlignment="0" applyProtection="0"/>
    <xf numFmtId="0" fontId="207" fillId="146" borderId="85" applyNumberFormat="0" applyAlignment="0" applyProtection="0"/>
    <xf numFmtId="0" fontId="204" fillId="144" borderId="85" applyNumberFormat="0" applyProtection="0"/>
    <xf numFmtId="0" fontId="204" fillId="144" borderId="85" applyNumberFormat="0" applyProtection="0"/>
    <xf numFmtId="0" fontId="207" fillId="146" borderId="85" applyNumberFormat="0" applyAlignment="0" applyProtection="0"/>
    <xf numFmtId="0" fontId="207" fillId="146" borderId="85" applyNumberFormat="0" applyAlignment="0" applyProtection="0"/>
    <xf numFmtId="0" fontId="207" fillId="146" borderId="85" applyNumberFormat="0" applyAlignment="0" applyProtection="0"/>
    <xf numFmtId="0" fontId="207" fillId="146" borderId="85" applyNumberFormat="0" applyAlignment="0" applyProtection="0"/>
    <xf numFmtId="0" fontId="204" fillId="144" borderId="85" applyNumberFormat="0" applyProtection="0"/>
    <xf numFmtId="0" fontId="208" fillId="0" borderId="0" applyNumberFormat="0" applyFill="0" applyBorder="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Protection="0"/>
    <xf numFmtId="0" fontId="208" fillId="0" borderId="0" applyNumberFormat="0" applyFill="0" applyBorder="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Protection="0"/>
    <xf numFmtId="0" fontId="208" fillId="0" borderId="0" applyNumberFormat="0" applyFill="0" applyBorder="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Protection="0"/>
    <xf numFmtId="0" fontId="208" fillId="0" borderId="0" applyNumberFormat="0" applyFill="0" applyBorder="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Protection="0"/>
    <xf numFmtId="0" fontId="208" fillId="0" borderId="0" applyNumberFormat="0" applyFill="0" applyBorder="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Protection="0"/>
    <xf numFmtId="0" fontId="210" fillId="147" borderId="0" applyNumberFormat="0" applyBorder="0" applyProtection="0"/>
    <xf numFmtId="0" fontId="211" fillId="148" borderId="0" applyNumberFormat="0" applyBorder="0" applyProtection="0"/>
    <xf numFmtId="0" fontId="212" fillId="148" borderId="0" applyNumberFormat="0" applyBorder="0" applyAlignment="0" applyProtection="0"/>
    <xf numFmtId="0" fontId="212" fillId="148" borderId="0" applyNumberFormat="0" applyBorder="0" applyAlignment="0" applyProtection="0"/>
    <xf numFmtId="0" fontId="212" fillId="148" borderId="0" applyNumberFormat="0" applyBorder="0" applyAlignment="0" applyProtection="0"/>
    <xf numFmtId="0" fontId="212" fillId="148" borderId="0" applyNumberFormat="0" applyBorder="0" applyAlignment="0" applyProtection="0"/>
    <xf numFmtId="0" fontId="211" fillId="148" borderId="0" applyNumberFormat="0" applyBorder="0" applyProtection="0"/>
    <xf numFmtId="0" fontId="213" fillId="149" borderId="0" applyNumberFormat="0" applyBorder="0" applyAlignment="0" applyProtection="0"/>
    <xf numFmtId="0" fontId="213" fillId="149" borderId="0" applyNumberFormat="0" applyBorder="0" applyAlignment="0" applyProtection="0"/>
    <xf numFmtId="0" fontId="213" fillId="149" borderId="0" applyNumberFormat="0" applyBorder="0" applyAlignment="0" applyProtection="0"/>
    <xf numFmtId="0" fontId="213" fillId="149" borderId="0" applyNumberFormat="0" applyBorder="0" applyAlignment="0" applyProtection="0"/>
    <xf numFmtId="0" fontId="210" fillId="147" borderId="0" applyNumberFormat="0" applyBorder="0" applyProtection="0"/>
    <xf numFmtId="0" fontId="210" fillId="147" borderId="0" applyNumberFormat="0" applyBorder="0" applyProtection="0"/>
    <xf numFmtId="0" fontId="213" fillId="149" borderId="0" applyNumberFormat="0" applyBorder="0" applyAlignment="0" applyProtection="0"/>
    <xf numFmtId="0" fontId="213" fillId="149" borderId="0" applyNumberFormat="0" applyBorder="0" applyAlignment="0" applyProtection="0"/>
    <xf numFmtId="0" fontId="213" fillId="149" borderId="0" applyNumberFormat="0" applyBorder="0" applyAlignment="0" applyProtection="0"/>
    <xf numFmtId="0" fontId="213" fillId="149" borderId="0" applyNumberFormat="0" applyBorder="0" applyAlignment="0" applyProtection="0"/>
    <xf numFmtId="0" fontId="210" fillId="147" borderId="0" applyNumberFormat="0" applyBorder="0" applyProtection="0"/>
    <xf numFmtId="0" fontId="210" fillId="147" borderId="0" applyNumberFormat="0" applyBorder="0" applyProtection="0"/>
    <xf numFmtId="0" fontId="213" fillId="149" borderId="0" applyNumberFormat="0" applyBorder="0" applyAlignment="0" applyProtection="0"/>
    <xf numFmtId="0" fontId="213" fillId="149" borderId="0" applyNumberFormat="0" applyBorder="0" applyAlignment="0" applyProtection="0"/>
    <xf numFmtId="0" fontId="213" fillId="149" borderId="0" applyNumberFormat="0" applyBorder="0" applyAlignment="0" applyProtection="0"/>
    <xf numFmtId="0" fontId="213" fillId="149" borderId="0" applyNumberFormat="0" applyBorder="0" applyAlignment="0" applyProtection="0"/>
    <xf numFmtId="0" fontId="210" fillId="147" borderId="0" applyNumberFormat="0" applyBorder="0" applyProtection="0"/>
    <xf numFmtId="0" fontId="210" fillId="147" borderId="0" applyNumberFormat="0" applyBorder="0" applyProtection="0"/>
    <xf numFmtId="0" fontId="213" fillId="149" borderId="0" applyNumberFormat="0" applyBorder="0" applyAlignment="0" applyProtection="0"/>
    <xf numFmtId="0" fontId="213" fillId="149" borderId="0" applyNumberFormat="0" applyBorder="0" applyAlignment="0" applyProtection="0"/>
    <xf numFmtId="0" fontId="213" fillId="149" borderId="0" applyNumberFormat="0" applyBorder="0" applyAlignment="0" applyProtection="0"/>
    <xf numFmtId="0" fontId="213" fillId="149" borderId="0" applyNumberFormat="0" applyBorder="0" applyAlignment="0" applyProtection="0"/>
    <xf numFmtId="0" fontId="210" fillId="147" borderId="0" applyNumberFormat="0" applyBorder="0" applyProtection="0"/>
    <xf numFmtId="0" fontId="210" fillId="147" borderId="0" applyNumberFormat="0" applyBorder="0" applyProtection="0"/>
    <xf numFmtId="0" fontId="213" fillId="149" borderId="0" applyNumberFormat="0" applyBorder="0" applyAlignment="0" applyProtection="0"/>
    <xf numFmtId="0" fontId="213" fillId="149" borderId="0" applyNumberFormat="0" applyBorder="0" applyAlignment="0" applyProtection="0"/>
    <xf numFmtId="0" fontId="213" fillId="149" borderId="0" applyNumberFormat="0" applyBorder="0" applyAlignment="0" applyProtection="0"/>
    <xf numFmtId="0" fontId="213" fillId="149" borderId="0" applyNumberFormat="0" applyBorder="0" applyAlignment="0" applyProtection="0"/>
    <xf numFmtId="0" fontId="210" fillId="147" borderId="0" applyNumberFormat="0" applyBorder="0" applyProtection="0"/>
    <xf numFmtId="0" fontId="214"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63" fillId="0" borderId="0"/>
    <xf numFmtId="0" fontId="63" fillId="0" borderId="0"/>
    <xf numFmtId="0" fontId="63" fillId="0" borderId="0"/>
    <xf numFmtId="0" fontId="63" fillId="0" borderId="0"/>
    <xf numFmtId="0" fontId="214" fillId="0" borderId="0"/>
    <xf numFmtId="0" fontId="132" fillId="0" borderId="0"/>
    <xf numFmtId="0" fontId="132"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24" fillId="0" borderId="0"/>
    <xf numFmtId="0" fontId="24" fillId="0" borderId="0"/>
    <xf numFmtId="0" fontId="24" fillId="0" borderId="0"/>
    <xf numFmtId="0" fontId="24" fillId="0" borderId="0"/>
    <xf numFmtId="0" fontId="132" fillId="0" borderId="0"/>
    <xf numFmtId="0" fontId="148" fillId="0" borderId="0"/>
    <xf numFmtId="0" fontId="26" fillId="0" borderId="0"/>
    <xf numFmtId="0" fontId="26" fillId="0" borderId="0"/>
    <xf numFmtId="0" fontId="26" fillId="0" borderId="0"/>
    <xf numFmtId="0" fontId="26" fillId="0" borderId="0"/>
    <xf numFmtId="0" fontId="148"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24" fillId="0" borderId="0"/>
    <xf numFmtId="0" fontId="24" fillId="0" borderId="0"/>
    <xf numFmtId="0" fontId="24" fillId="0" borderId="0"/>
    <xf numFmtId="0" fontId="24" fillId="0" borderId="0"/>
    <xf numFmtId="0" fontId="132" fillId="0" borderId="0"/>
    <xf numFmtId="0" fontId="148" fillId="0" borderId="0"/>
    <xf numFmtId="0" fontId="148" fillId="0" borderId="0"/>
    <xf numFmtId="0" fontId="148" fillId="0" borderId="0"/>
    <xf numFmtId="0" fontId="148" fillId="0" borderId="0"/>
    <xf numFmtId="0" fontId="26" fillId="0" borderId="0"/>
    <xf numFmtId="0" fontId="26" fillId="0" borderId="0"/>
    <xf numFmtId="0" fontId="26" fillId="0" borderId="0"/>
    <xf numFmtId="0" fontId="26" fillId="0" borderId="0"/>
    <xf numFmtId="0" fontId="148" fillId="0" borderId="0"/>
    <xf numFmtId="0" fontId="26" fillId="0" borderId="0"/>
    <xf numFmtId="0" fontId="26" fillId="0" borderId="0"/>
    <xf numFmtId="0" fontId="26" fillId="0" borderId="0"/>
    <xf numFmtId="0" fontId="26" fillId="0" borderId="0"/>
    <xf numFmtId="0" fontId="148" fillId="0" borderId="0"/>
    <xf numFmtId="0" fontId="148" fillId="0" borderId="0"/>
    <xf numFmtId="0" fontId="26" fillId="0" borderId="0"/>
    <xf numFmtId="0" fontId="26" fillId="0" borderId="0"/>
    <xf numFmtId="0" fontId="26" fillId="0" borderId="0"/>
    <xf numFmtId="0" fontId="26" fillId="0" borderId="0"/>
    <xf numFmtId="0" fontId="148" fillId="0" borderId="0"/>
    <xf numFmtId="0" fontId="119" fillId="0" borderId="0"/>
    <xf numFmtId="0" fontId="148" fillId="0" borderId="0"/>
    <xf numFmtId="0" fontId="26" fillId="0" borderId="0"/>
    <xf numFmtId="0" fontId="26" fillId="0" borderId="0"/>
    <xf numFmtId="0" fontId="26" fillId="0" borderId="0"/>
    <xf numFmtId="0" fontId="26" fillId="0" borderId="0"/>
    <xf numFmtId="0" fontId="148"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48" fillId="0" borderId="0"/>
    <xf numFmtId="0" fontId="26" fillId="0" borderId="0"/>
    <xf numFmtId="0" fontId="26" fillId="0" borderId="0"/>
    <xf numFmtId="0" fontId="26" fillId="0" borderId="0"/>
    <xf numFmtId="0" fontId="26" fillId="0" borderId="0"/>
    <xf numFmtId="0" fontId="148" fillId="0" borderId="0"/>
    <xf numFmtId="0" fontId="215" fillId="0" borderId="0"/>
    <xf numFmtId="0" fontId="216" fillId="0" borderId="0"/>
    <xf numFmtId="0" fontId="216" fillId="0" borderId="0"/>
    <xf numFmtId="0" fontId="216" fillId="0" borderId="0"/>
    <xf numFmtId="0" fontId="216" fillId="0" borderId="0"/>
    <xf numFmtId="0" fontId="215"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26" fillId="0" borderId="0"/>
    <xf numFmtId="0" fontId="26" fillId="0" borderId="0"/>
    <xf numFmtId="0" fontId="26" fillId="0" borderId="0"/>
    <xf numFmtId="0" fontId="26" fillId="0" borderId="0"/>
    <xf numFmtId="0" fontId="137" fillId="0" borderId="0"/>
    <xf numFmtId="0" fontId="217" fillId="0" borderId="0"/>
    <xf numFmtId="0" fontId="217" fillId="0" borderId="0"/>
    <xf numFmtId="0" fontId="217" fillId="0" borderId="0"/>
    <xf numFmtId="0" fontId="217" fillId="0" borderId="0"/>
    <xf numFmtId="0" fontId="137"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218" fillId="0" borderId="0"/>
    <xf numFmtId="0" fontId="218" fillId="0" borderId="0"/>
    <xf numFmtId="0" fontId="218" fillId="0" borderId="0"/>
    <xf numFmtId="0" fontId="218"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7" fillId="0" borderId="0"/>
    <xf numFmtId="0" fontId="219" fillId="0" borderId="0"/>
    <xf numFmtId="0" fontId="219" fillId="0" borderId="0"/>
    <xf numFmtId="0" fontId="219" fillId="0" borderId="0"/>
    <xf numFmtId="0" fontId="219" fillId="0" borderId="0"/>
    <xf numFmtId="0" fontId="137" fillId="0" borderId="0"/>
    <xf numFmtId="0" fontId="137" fillId="0" borderId="0"/>
    <xf numFmtId="0" fontId="219" fillId="0" borderId="0"/>
    <xf numFmtId="0" fontId="219" fillId="0" borderId="0"/>
    <xf numFmtId="0" fontId="219" fillId="0" borderId="0"/>
    <xf numFmtId="0" fontId="219" fillId="0" borderId="0"/>
    <xf numFmtId="0" fontId="137" fillId="0" borderId="0"/>
    <xf numFmtId="0" fontId="137" fillId="0" borderId="0"/>
    <xf numFmtId="0" fontId="219" fillId="0" borderId="0"/>
    <xf numFmtId="0" fontId="219" fillId="0" borderId="0"/>
    <xf numFmtId="0" fontId="219" fillId="0" borderId="0"/>
    <xf numFmtId="0" fontId="219" fillId="0" borderId="0"/>
    <xf numFmtId="0" fontId="137" fillId="0" borderId="0"/>
    <xf numFmtId="0" fontId="137" fillId="0" borderId="0"/>
    <xf numFmtId="0" fontId="219" fillId="0" borderId="0"/>
    <xf numFmtId="0" fontId="219" fillId="0" borderId="0"/>
    <xf numFmtId="0" fontId="219" fillId="0" borderId="0"/>
    <xf numFmtId="0" fontId="219" fillId="0" borderId="0"/>
    <xf numFmtId="0" fontId="137" fillId="0" borderId="0"/>
    <xf numFmtId="0" fontId="137" fillId="0" borderId="0"/>
    <xf numFmtId="0" fontId="219" fillId="0" borderId="0"/>
    <xf numFmtId="0" fontId="219" fillId="0" borderId="0"/>
    <xf numFmtId="0" fontId="219" fillId="0" borderId="0"/>
    <xf numFmtId="0" fontId="219" fillId="0" borderId="0"/>
    <xf numFmtId="0" fontId="137" fillId="0" borderId="0"/>
    <xf numFmtId="0" fontId="137" fillId="0" borderId="0"/>
    <xf numFmtId="0" fontId="219" fillId="0" borderId="0"/>
    <xf numFmtId="0" fontId="219" fillId="0" borderId="0"/>
    <xf numFmtId="0" fontId="219" fillId="0" borderId="0"/>
    <xf numFmtId="0" fontId="219" fillId="0" borderId="0"/>
    <xf numFmtId="0" fontId="137" fillId="0" borderId="0"/>
    <xf numFmtId="0" fontId="137" fillId="0" borderId="0"/>
    <xf numFmtId="0" fontId="219" fillId="0" borderId="0"/>
    <xf numFmtId="0" fontId="219" fillId="0" borderId="0"/>
    <xf numFmtId="0" fontId="219" fillId="0" borderId="0"/>
    <xf numFmtId="0" fontId="219" fillId="0" borderId="0"/>
    <xf numFmtId="0" fontId="137" fillId="0" borderId="0"/>
    <xf numFmtId="0" fontId="148" fillId="0" borderId="0"/>
    <xf numFmtId="0" fontId="148" fillId="0" borderId="0"/>
    <xf numFmtId="0" fontId="26" fillId="0" borderId="0"/>
    <xf numFmtId="0" fontId="26" fillId="0" borderId="0"/>
    <xf numFmtId="0" fontId="148" fillId="0" borderId="0"/>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37" fillId="0" borderId="0"/>
    <xf numFmtId="0" fontId="137" fillId="0" borderId="0"/>
    <xf numFmtId="0" fontId="219" fillId="0" borderId="0"/>
    <xf numFmtId="0" fontId="219" fillId="0" borderId="0"/>
    <xf numFmtId="0" fontId="137"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32" fillId="0" borderId="0"/>
    <xf numFmtId="0" fontId="24" fillId="0" borderId="0"/>
    <xf numFmtId="0" fontId="24" fillId="0" borderId="0"/>
    <xf numFmtId="0" fontId="24" fillId="0" borderId="0"/>
    <xf numFmtId="0" fontId="24" fillId="0" borderId="0"/>
    <xf numFmtId="0" fontId="132" fillId="0" borderId="0"/>
    <xf numFmtId="0" fontId="132" fillId="0" borderId="0"/>
    <xf numFmtId="0" fontId="24" fillId="0" borderId="0"/>
    <xf numFmtId="0" fontId="24" fillId="0" borderId="0"/>
    <xf numFmtId="0" fontId="24" fillId="0" borderId="0"/>
    <xf numFmtId="0" fontId="24" fillId="0" borderId="0"/>
    <xf numFmtId="0" fontId="132" fillId="0" borderId="0"/>
    <xf numFmtId="0" fontId="132" fillId="0" borderId="0"/>
    <xf numFmtId="0" fontId="24" fillId="0" borderId="0"/>
    <xf numFmtId="0" fontId="24" fillId="0" borderId="0"/>
    <xf numFmtId="0" fontId="24" fillId="0" borderId="0"/>
    <xf numFmtId="0" fontId="24" fillId="0" borderId="0"/>
    <xf numFmtId="0" fontId="132" fillId="0" borderId="0"/>
    <xf numFmtId="0" fontId="137" fillId="0" borderId="0"/>
    <xf numFmtId="0" fontId="132" fillId="0" borderId="0"/>
    <xf numFmtId="0" fontId="24" fillId="0" borderId="0"/>
    <xf numFmtId="0" fontId="24" fillId="0" borderId="0"/>
    <xf numFmtId="0" fontId="24" fillId="0" borderId="0"/>
    <xf numFmtId="0" fontId="24" fillId="0" borderId="0"/>
    <xf numFmtId="0" fontId="132"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7" fillId="0" borderId="0"/>
    <xf numFmtId="0" fontId="119" fillId="0" borderId="0"/>
    <xf numFmtId="0" fontId="119" fillId="0" borderId="0"/>
    <xf numFmtId="0" fontId="137" fillId="0" borderId="0"/>
    <xf numFmtId="0" fontId="119" fillId="0" borderId="0"/>
    <xf numFmtId="0" fontId="132" fillId="0" borderId="0"/>
    <xf numFmtId="0" fontId="132" fillId="0" borderId="0"/>
    <xf numFmtId="0" fontId="24" fillId="0" borderId="0"/>
    <xf numFmtId="0" fontId="24" fillId="0" borderId="0"/>
    <xf numFmtId="0" fontId="119" fillId="0" borderId="0"/>
    <xf numFmtId="0" fontId="132" fillId="0" borderId="0"/>
    <xf numFmtId="0" fontId="132" fillId="0" borderId="0"/>
    <xf numFmtId="0" fontId="119" fillId="0" borderId="0"/>
    <xf numFmtId="0" fontId="132" fillId="0" borderId="0"/>
    <xf numFmtId="0" fontId="132" fillId="0" borderId="0"/>
    <xf numFmtId="0" fontId="24" fillId="0" borderId="0"/>
    <xf numFmtId="0" fontId="24" fillId="0" borderId="0"/>
    <xf numFmtId="0" fontId="24" fillId="0" borderId="0"/>
    <xf numFmtId="0" fontId="24"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19" fillId="0" borderId="0"/>
    <xf numFmtId="0" fontId="119" fillId="0" borderId="0"/>
    <xf numFmtId="0" fontId="119" fillId="0" borderId="0"/>
    <xf numFmtId="0" fontId="119" fillId="0" borderId="0"/>
    <xf numFmtId="0" fontId="219" fillId="0" borderId="0"/>
    <xf numFmtId="0" fontId="219" fillId="0" borderId="0"/>
    <xf numFmtId="0" fontId="132" fillId="0" borderId="0"/>
    <xf numFmtId="0" fontId="137" fillId="0" borderId="0"/>
    <xf numFmtId="0" fontId="137" fillId="0" borderId="0"/>
    <xf numFmtId="0" fontId="132" fillId="0" borderId="0"/>
    <xf numFmtId="0" fontId="137" fillId="0" borderId="0"/>
    <xf numFmtId="0" fontId="132" fillId="0" borderId="0"/>
    <xf numFmtId="0" fontId="24" fillId="0" borderId="0"/>
    <xf numFmtId="0" fontId="24" fillId="0" borderId="0"/>
    <xf numFmtId="0" fontId="24" fillId="0" borderId="0"/>
    <xf numFmtId="0" fontId="24" fillId="0" borderId="0"/>
    <xf numFmtId="0" fontId="132" fillId="0" borderId="0"/>
    <xf numFmtId="0" fontId="132" fillId="0" borderId="0"/>
    <xf numFmtId="0" fontId="24" fillId="0" borderId="0"/>
    <xf numFmtId="0" fontId="24" fillId="0" borderId="0"/>
    <xf numFmtId="0" fontId="24" fillId="0" borderId="0"/>
    <xf numFmtId="0" fontId="24" fillId="0" borderId="0"/>
    <xf numFmtId="0" fontId="132" fillId="0" borderId="0"/>
    <xf numFmtId="0" fontId="132" fillId="0" borderId="0"/>
    <xf numFmtId="0" fontId="24" fillId="0" borderId="0"/>
    <xf numFmtId="0" fontId="24" fillId="0" borderId="0"/>
    <xf numFmtId="0" fontId="24" fillId="0" borderId="0"/>
    <xf numFmtId="0" fontId="24" fillId="0" borderId="0"/>
    <xf numFmtId="0" fontId="132" fillId="0" borderId="0"/>
    <xf numFmtId="0" fontId="132" fillId="0" borderId="0"/>
    <xf numFmtId="0" fontId="24" fillId="0" borderId="0"/>
    <xf numFmtId="0" fontId="24" fillId="0" borderId="0"/>
    <xf numFmtId="0" fontId="24" fillId="0" borderId="0"/>
    <xf numFmtId="0" fontId="24" fillId="0" borderId="0"/>
    <xf numFmtId="0" fontId="132" fillId="0" borderId="0"/>
    <xf numFmtId="0" fontId="132" fillId="0" borderId="0"/>
    <xf numFmtId="0" fontId="24" fillId="0" borderId="0"/>
    <xf numFmtId="0" fontId="24" fillId="0" borderId="0"/>
    <xf numFmtId="0" fontId="24" fillId="0" borderId="0"/>
    <xf numFmtId="0" fontId="24" fillId="0" borderId="0"/>
    <xf numFmtId="0" fontId="132" fillId="0" borderId="0"/>
    <xf numFmtId="0" fontId="132" fillId="0" borderId="0"/>
    <xf numFmtId="0" fontId="24" fillId="0" borderId="0"/>
    <xf numFmtId="0" fontId="24" fillId="0" borderId="0"/>
    <xf numFmtId="0" fontId="24" fillId="0" borderId="0"/>
    <xf numFmtId="0" fontId="24" fillId="0" borderId="0"/>
    <xf numFmtId="0" fontId="132" fillId="0" borderId="0"/>
    <xf numFmtId="0" fontId="132" fillId="0" borderId="0"/>
    <xf numFmtId="0" fontId="24" fillId="0" borderId="0"/>
    <xf numFmtId="0" fontId="24" fillId="0" borderId="0"/>
    <xf numFmtId="0" fontId="24" fillId="0" borderId="0"/>
    <xf numFmtId="0" fontId="24" fillId="0" borderId="0"/>
    <xf numFmtId="0" fontId="132" fillId="0" borderId="0"/>
    <xf numFmtId="0" fontId="132" fillId="0" borderId="0"/>
    <xf numFmtId="0" fontId="24" fillId="0" borderId="0"/>
    <xf numFmtId="0" fontId="24" fillId="0" borderId="0"/>
    <xf numFmtId="0" fontId="24" fillId="0" borderId="0"/>
    <xf numFmtId="0" fontId="24" fillId="0" borderId="0"/>
    <xf numFmtId="0" fontId="132" fillId="0" borderId="0"/>
    <xf numFmtId="0" fontId="132" fillId="0" borderId="0"/>
    <xf numFmtId="0" fontId="24" fillId="0" borderId="0"/>
    <xf numFmtId="0" fontId="24" fillId="0" borderId="0"/>
    <xf numFmtId="0" fontId="24" fillId="0" borderId="0"/>
    <xf numFmtId="0" fontId="24" fillId="0" borderId="0"/>
    <xf numFmtId="0" fontId="132" fillId="0" borderId="0"/>
    <xf numFmtId="0" fontId="148" fillId="0" borderId="0"/>
    <xf numFmtId="0" fontId="220" fillId="0" borderId="0"/>
    <xf numFmtId="0" fontId="221" fillId="0" borderId="0"/>
    <xf numFmtId="0" fontId="221" fillId="0" borderId="0"/>
    <xf numFmtId="0" fontId="221" fillId="0" borderId="0"/>
    <xf numFmtId="0" fontId="221" fillId="0" borderId="0"/>
    <xf numFmtId="0" fontId="220" fillId="0" borderId="0"/>
    <xf numFmtId="0" fontId="220" fillId="0" borderId="0"/>
    <xf numFmtId="0" fontId="221" fillId="0" borderId="0"/>
    <xf numFmtId="0" fontId="221" fillId="0" borderId="0"/>
    <xf numFmtId="0" fontId="221" fillId="0" borderId="0"/>
    <xf numFmtId="0" fontId="221" fillId="0" borderId="0"/>
    <xf numFmtId="0" fontId="220" fillId="0" borderId="0"/>
    <xf numFmtId="0" fontId="26" fillId="0" borderId="0"/>
    <xf numFmtId="0" fontId="26" fillId="0" borderId="0"/>
    <xf numFmtId="0" fontId="26" fillId="0" borderId="0"/>
    <xf numFmtId="0" fontId="26" fillId="0" borderId="0"/>
    <xf numFmtId="0" fontId="148" fillId="0" borderId="0"/>
    <xf numFmtId="0" fontId="148" fillId="0" borderId="0"/>
    <xf numFmtId="0" fontId="26" fillId="0" borderId="0"/>
    <xf numFmtId="0" fontId="26" fillId="0" borderId="0"/>
    <xf numFmtId="0" fontId="26" fillId="0" borderId="0"/>
    <xf numFmtId="0" fontId="26" fillId="0" borderId="0"/>
    <xf numFmtId="0" fontId="148"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4" fillId="0" borderId="0"/>
    <xf numFmtId="0" fontId="24"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222" fillId="0" borderId="0">
      <alignment vertical="top" wrapText="1"/>
    </xf>
    <xf numFmtId="0" fontId="132" fillId="0" borderId="0"/>
    <xf numFmtId="0" fontId="132" fillId="0" borderId="0"/>
    <xf numFmtId="0" fontId="222" fillId="0" borderId="0">
      <alignment vertical="top" wrapText="1"/>
    </xf>
    <xf numFmtId="0" fontId="132"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222" fillId="0" borderId="0">
      <alignment vertical="top" wrapText="1"/>
    </xf>
    <xf numFmtId="0" fontId="78" fillId="0" borderId="0">
      <alignment vertical="top" wrapText="1"/>
    </xf>
    <xf numFmtId="0" fontId="78" fillId="0" borderId="0">
      <alignment vertical="top" wrapText="1"/>
    </xf>
    <xf numFmtId="0" fontId="78" fillId="0" borderId="0">
      <alignment vertical="top" wrapText="1"/>
    </xf>
    <xf numFmtId="0" fontId="78" fillId="0" borderId="0">
      <alignment vertical="top" wrapText="1"/>
    </xf>
    <xf numFmtId="0" fontId="222" fillId="0" borderId="0">
      <alignment vertical="top" wrapText="1"/>
    </xf>
    <xf numFmtId="0" fontId="222" fillId="0" borderId="0">
      <alignment vertical="top" wrapText="1"/>
    </xf>
    <xf numFmtId="0" fontId="78" fillId="0" borderId="0">
      <alignment vertical="top" wrapText="1"/>
    </xf>
    <xf numFmtId="0" fontId="78" fillId="0" borderId="0">
      <alignment vertical="top" wrapText="1"/>
    </xf>
    <xf numFmtId="0" fontId="78" fillId="0" borderId="0">
      <alignment vertical="top" wrapText="1"/>
    </xf>
    <xf numFmtId="0" fontId="78" fillId="0" borderId="0">
      <alignment vertical="top" wrapText="1"/>
    </xf>
    <xf numFmtId="0" fontId="222" fillId="0" borderId="0">
      <alignment vertical="top" wrapText="1"/>
    </xf>
    <xf numFmtId="0" fontId="222" fillId="0" borderId="0">
      <alignment vertical="top" wrapText="1"/>
    </xf>
    <xf numFmtId="0" fontId="78" fillId="0" borderId="0">
      <alignment vertical="top" wrapText="1"/>
    </xf>
    <xf numFmtId="0" fontId="78" fillId="0" borderId="0">
      <alignment vertical="top" wrapText="1"/>
    </xf>
    <xf numFmtId="0" fontId="78" fillId="0" borderId="0">
      <alignment vertical="top" wrapText="1"/>
    </xf>
    <xf numFmtId="0" fontId="78" fillId="0" borderId="0">
      <alignment vertical="top" wrapText="1"/>
    </xf>
    <xf numFmtId="0" fontId="222" fillId="0" borderId="0">
      <alignment vertical="top" wrapText="1"/>
    </xf>
    <xf numFmtId="0" fontId="222" fillId="0" borderId="0">
      <alignment vertical="top" wrapText="1"/>
    </xf>
    <xf numFmtId="0" fontId="78" fillId="0" borderId="0">
      <alignment vertical="top" wrapText="1"/>
    </xf>
    <xf numFmtId="0" fontId="78" fillId="0" borderId="0">
      <alignment vertical="top" wrapText="1"/>
    </xf>
    <xf numFmtId="0" fontId="78" fillId="0" borderId="0">
      <alignment vertical="top" wrapText="1"/>
    </xf>
    <xf numFmtId="0" fontId="78" fillId="0" borderId="0">
      <alignment vertical="top" wrapText="1"/>
    </xf>
    <xf numFmtId="0" fontId="222" fillId="0" borderId="0">
      <alignment vertical="top" wrapText="1"/>
    </xf>
    <xf numFmtId="0" fontId="222" fillId="0" borderId="0">
      <alignment vertical="top" wrapText="1"/>
    </xf>
    <xf numFmtId="0" fontId="78" fillId="0" borderId="0">
      <alignment vertical="top" wrapText="1"/>
    </xf>
    <xf numFmtId="0" fontId="78" fillId="0" borderId="0">
      <alignment vertical="top" wrapText="1"/>
    </xf>
    <xf numFmtId="0" fontId="78" fillId="0" borderId="0">
      <alignment vertical="top" wrapText="1"/>
    </xf>
    <xf numFmtId="0" fontId="78" fillId="0" borderId="0">
      <alignment vertical="top" wrapText="1"/>
    </xf>
    <xf numFmtId="0" fontId="222" fillId="0" borderId="0">
      <alignment vertical="top" wrapText="1"/>
    </xf>
    <xf numFmtId="0" fontId="220" fillId="0" borderId="0"/>
    <xf numFmtId="0" fontId="132" fillId="30" borderId="0"/>
    <xf numFmtId="0" fontId="24" fillId="4" borderId="0"/>
    <xf numFmtId="0" fontId="24" fillId="4" borderId="0"/>
    <xf numFmtId="0" fontId="24" fillId="4" borderId="0"/>
    <xf numFmtId="0" fontId="24" fillId="4" borderId="0"/>
    <xf numFmtId="0" fontId="132" fillId="30" borderId="0"/>
    <xf numFmtId="0" fontId="132" fillId="30" borderId="0"/>
    <xf numFmtId="0" fontId="24" fillId="4" borderId="0"/>
    <xf numFmtId="0" fontId="24" fillId="4" borderId="0"/>
    <xf numFmtId="0" fontId="24" fillId="4" borderId="0"/>
    <xf numFmtId="0" fontId="24" fillId="4" borderId="0"/>
    <xf numFmtId="0" fontId="132" fillId="30" borderId="0"/>
    <xf numFmtId="0" fontId="221" fillId="0" borderId="0"/>
    <xf numFmtId="0" fontId="221" fillId="0" borderId="0"/>
    <xf numFmtId="0" fontId="221" fillId="0" borderId="0"/>
    <xf numFmtId="0" fontId="221" fillId="0" borderId="0"/>
    <xf numFmtId="0" fontId="220" fillId="0" borderId="0"/>
    <xf numFmtId="0" fontId="220" fillId="0" borderId="0"/>
    <xf numFmtId="0" fontId="221" fillId="0" borderId="0"/>
    <xf numFmtId="0" fontId="221" fillId="0" borderId="0"/>
    <xf numFmtId="0" fontId="221" fillId="0" borderId="0"/>
    <xf numFmtId="0" fontId="221" fillId="0" borderId="0"/>
    <xf numFmtId="0" fontId="220" fillId="0" borderId="0"/>
    <xf numFmtId="0" fontId="148" fillId="0" borderId="0"/>
    <xf numFmtId="0" fontId="148" fillId="0" borderId="0"/>
    <xf numFmtId="0" fontId="148" fillId="0" borderId="0"/>
    <xf numFmtId="0" fontId="137" fillId="0" borderId="0"/>
    <xf numFmtId="0" fontId="137" fillId="0" borderId="0"/>
    <xf numFmtId="0" fontId="137" fillId="0" borderId="0"/>
    <xf numFmtId="0" fontId="19" fillId="0" borderId="0"/>
    <xf numFmtId="0" fontId="19" fillId="0" borderId="0"/>
    <xf numFmtId="0" fontId="19" fillId="0" borderId="0"/>
    <xf numFmtId="0" fontId="19" fillId="0" borderId="0"/>
    <xf numFmtId="0" fontId="137" fillId="0" borderId="0"/>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41" fillId="0" borderId="0"/>
    <xf numFmtId="0" fontId="142" fillId="0" borderId="0"/>
    <xf numFmtId="0" fontId="142" fillId="0" borderId="0"/>
    <xf numFmtId="0" fontId="142" fillId="0" borderId="0"/>
    <xf numFmtId="0" fontId="142" fillId="0" borderId="0"/>
    <xf numFmtId="0" fontId="141" fillId="0" borderId="0"/>
    <xf numFmtId="0" fontId="19" fillId="0" borderId="0"/>
    <xf numFmtId="0" fontId="19" fillId="0" borderId="0"/>
    <xf numFmtId="0" fontId="19" fillId="0" borderId="0"/>
    <xf numFmtId="0" fontId="19" fillId="0" borderId="0"/>
    <xf numFmtId="0" fontId="148" fillId="0" borderId="0"/>
    <xf numFmtId="0" fontId="148" fillId="0" borderId="0"/>
    <xf numFmtId="0" fontId="148" fillId="0" borderId="0"/>
    <xf numFmtId="0" fontId="119" fillId="0" borderId="0"/>
    <xf numFmtId="0" fontId="119" fillId="0" borderId="0"/>
    <xf numFmtId="0" fontId="78" fillId="0" borderId="0">
      <alignment vertical="top" wrapText="1"/>
    </xf>
    <xf numFmtId="0" fontId="78" fillId="0" borderId="0">
      <alignment vertical="top" wrapText="1"/>
    </xf>
    <xf numFmtId="0" fontId="222" fillId="0" borderId="0">
      <alignment vertical="top" wrapText="1"/>
    </xf>
    <xf numFmtId="0" fontId="222" fillId="0" borderId="0">
      <alignment vertical="top" wrapText="1"/>
    </xf>
    <xf numFmtId="0" fontId="137"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9" fillId="0" borderId="0"/>
    <xf numFmtId="0" fontId="19" fillId="0" borderId="0"/>
    <xf numFmtId="0" fontId="19" fillId="0" borderId="0"/>
    <xf numFmtId="0" fontId="19" fillId="0" borderId="0"/>
    <xf numFmtId="0" fontId="137" fillId="0" borderId="0"/>
    <xf numFmtId="0" fontId="148" fillId="0" borderId="0"/>
    <xf numFmtId="0" fontId="26" fillId="0" borderId="0"/>
    <xf numFmtId="0" fontId="26" fillId="0" borderId="0"/>
    <xf numFmtId="0" fontId="26" fillId="0" borderId="0"/>
    <xf numFmtId="0" fontId="26" fillId="0" borderId="0"/>
    <xf numFmtId="0" fontId="148" fillId="0" borderId="0"/>
    <xf numFmtId="0" fontId="137" fillId="0" borderId="0"/>
    <xf numFmtId="0" fontId="19" fillId="0" borderId="0"/>
    <xf numFmtId="0" fontId="19" fillId="0" borderId="0"/>
    <xf numFmtId="0" fontId="19" fillId="0" borderId="0"/>
    <xf numFmtId="0" fontId="19" fillId="0" borderId="0"/>
    <xf numFmtId="0" fontId="137" fillId="0" borderId="0"/>
    <xf numFmtId="0" fontId="223" fillId="0" borderId="0"/>
    <xf numFmtId="0" fontId="103" fillId="0" borderId="0"/>
    <xf numFmtId="0" fontId="103" fillId="0" borderId="0"/>
    <xf numFmtId="0" fontId="103" fillId="0" borderId="0"/>
    <xf numFmtId="0" fontId="103" fillId="0" borderId="0"/>
    <xf numFmtId="0" fontId="223" fillId="0" borderId="0"/>
    <xf numFmtId="0" fontId="120" fillId="0" borderId="0"/>
    <xf numFmtId="0" fontId="73" fillId="0" borderId="0"/>
    <xf numFmtId="0" fontId="73" fillId="0" borderId="0"/>
    <xf numFmtId="0" fontId="73" fillId="0" borderId="0"/>
    <xf numFmtId="0" fontId="73" fillId="0" borderId="0"/>
    <xf numFmtId="0" fontId="120" fillId="0" borderId="0"/>
    <xf numFmtId="0" fontId="137" fillId="0" borderId="0"/>
    <xf numFmtId="0" fontId="219" fillId="0" borderId="0"/>
    <xf numFmtId="0" fontId="219" fillId="0" borderId="0"/>
    <xf numFmtId="0" fontId="219" fillId="0" borderId="0"/>
    <xf numFmtId="0" fontId="219" fillId="0" borderId="0"/>
    <xf numFmtId="0" fontId="137" fillId="0" borderId="0"/>
    <xf numFmtId="0" fontId="223" fillId="0" borderId="0"/>
    <xf numFmtId="0" fontId="103" fillId="0" borderId="0"/>
    <xf numFmtId="0" fontId="103" fillId="0" borderId="0"/>
    <xf numFmtId="0" fontId="103" fillId="0" borderId="0"/>
    <xf numFmtId="0" fontId="103" fillId="0" borderId="0"/>
    <xf numFmtId="0" fontId="223" fillId="0" borderId="0"/>
    <xf numFmtId="0" fontId="223" fillId="0" borderId="0"/>
    <xf numFmtId="0" fontId="103" fillId="0" borderId="0"/>
    <xf numFmtId="0" fontId="103" fillId="0" borderId="0"/>
    <xf numFmtId="0" fontId="103" fillId="0" borderId="0"/>
    <xf numFmtId="0" fontId="103" fillId="0" borderId="0"/>
    <xf numFmtId="0" fontId="223" fillId="0" borderId="0"/>
    <xf numFmtId="0" fontId="223" fillId="0" borderId="0"/>
    <xf numFmtId="0" fontId="103" fillId="0" borderId="0"/>
    <xf numFmtId="0" fontId="103" fillId="0" borderId="0"/>
    <xf numFmtId="0" fontId="103" fillId="0" borderId="0"/>
    <xf numFmtId="0" fontId="103" fillId="0" borderId="0"/>
    <xf numFmtId="0" fontId="223" fillId="0" borderId="0"/>
    <xf numFmtId="0" fontId="223" fillId="0" borderId="0"/>
    <xf numFmtId="0" fontId="103" fillId="0" borderId="0"/>
    <xf numFmtId="0" fontId="103" fillId="0" borderId="0"/>
    <xf numFmtId="0" fontId="103" fillId="0" borderId="0"/>
    <xf numFmtId="0" fontId="103" fillId="0" borderId="0"/>
    <xf numFmtId="0" fontId="223" fillId="0" borderId="0"/>
    <xf numFmtId="0" fontId="223" fillId="0" borderId="0"/>
    <xf numFmtId="0" fontId="103" fillId="0" borderId="0"/>
    <xf numFmtId="0" fontId="103" fillId="0" borderId="0"/>
    <xf numFmtId="0" fontId="103" fillId="0" borderId="0"/>
    <xf numFmtId="0" fontId="103" fillId="0" borderId="0"/>
    <xf numFmtId="0" fontId="223" fillId="0" borderId="0"/>
    <xf numFmtId="0" fontId="223" fillId="0" borderId="0"/>
    <xf numFmtId="0" fontId="103" fillId="0" borderId="0"/>
    <xf numFmtId="0" fontId="103" fillId="0" borderId="0"/>
    <xf numFmtId="0" fontId="103" fillId="0" borderId="0"/>
    <xf numFmtId="0" fontId="103" fillId="0" borderId="0"/>
    <xf numFmtId="0" fontId="223" fillId="0" borderId="0"/>
    <xf numFmtId="0" fontId="223" fillId="0" borderId="0"/>
    <xf numFmtId="0" fontId="103" fillId="0" borderId="0"/>
    <xf numFmtId="0" fontId="103" fillId="0" borderId="0"/>
    <xf numFmtId="0" fontId="103" fillId="0" borderId="0"/>
    <xf numFmtId="0" fontId="103" fillId="0" borderId="0"/>
    <xf numFmtId="0" fontId="223" fillId="0" borderId="0"/>
    <xf numFmtId="0" fontId="223" fillId="0" borderId="0"/>
    <xf numFmtId="0" fontId="103" fillId="0" borderId="0"/>
    <xf numFmtId="0" fontId="103" fillId="0" borderId="0"/>
    <xf numFmtId="0" fontId="103" fillId="0" borderId="0"/>
    <xf numFmtId="0" fontId="103" fillId="0" borderId="0"/>
    <xf numFmtId="0" fontId="223" fillId="0" borderId="0"/>
    <xf numFmtId="0" fontId="223" fillId="0" borderId="0"/>
    <xf numFmtId="0" fontId="103" fillId="0" borderId="0"/>
    <xf numFmtId="0" fontId="103" fillId="0" borderId="0"/>
    <xf numFmtId="0" fontId="103" fillId="0" borderId="0"/>
    <xf numFmtId="0" fontId="103" fillId="0" borderId="0"/>
    <xf numFmtId="0" fontId="223" fillId="0" borderId="0"/>
    <xf numFmtId="0" fontId="224" fillId="0" borderId="0">
      <protection locked="0"/>
    </xf>
    <xf numFmtId="0" fontId="225" fillId="0" borderId="0">
      <protection locked="0"/>
    </xf>
    <xf numFmtId="0" fontId="225" fillId="0" borderId="0">
      <protection locked="0"/>
    </xf>
    <xf numFmtId="0" fontId="225" fillId="0" borderId="0">
      <protection locked="0"/>
    </xf>
    <xf numFmtId="0" fontId="225" fillId="0" borderId="0">
      <protection locked="0"/>
    </xf>
    <xf numFmtId="0" fontId="224" fillId="0" borderId="0">
      <protection locked="0"/>
    </xf>
    <xf numFmtId="0" fontId="103" fillId="0" borderId="0"/>
    <xf numFmtId="0" fontId="103" fillId="0" borderId="0"/>
    <xf numFmtId="0" fontId="103" fillId="0" borderId="0"/>
    <xf numFmtId="0" fontId="103" fillId="0" borderId="0"/>
    <xf numFmtId="0" fontId="223" fillId="0" borderId="0"/>
    <xf numFmtId="0" fontId="132" fillId="0" borderId="0"/>
    <xf numFmtId="0" fontId="137" fillId="0" borderId="0"/>
    <xf numFmtId="0" fontId="19" fillId="0" borderId="0"/>
    <xf numFmtId="0" fontId="19" fillId="0" borderId="0"/>
    <xf numFmtId="0" fontId="19" fillId="0" borderId="0"/>
    <xf numFmtId="0" fontId="19" fillId="0" borderId="0"/>
    <xf numFmtId="0" fontId="137" fillId="0" borderId="0"/>
    <xf numFmtId="0" fontId="137" fillId="0" borderId="0"/>
    <xf numFmtId="0" fontId="19" fillId="0" borderId="0"/>
    <xf numFmtId="0" fontId="19" fillId="0" borderId="0"/>
    <xf numFmtId="0" fontId="19" fillId="0" borderId="0"/>
    <xf numFmtId="0" fontId="19" fillId="0" borderId="0"/>
    <xf numFmtId="0" fontId="137" fillId="0" borderId="0"/>
    <xf numFmtId="0" fontId="137" fillId="0" borderId="0"/>
    <xf numFmtId="0" fontId="19" fillId="0" borderId="0"/>
    <xf numFmtId="0" fontId="19" fillId="0" borderId="0"/>
    <xf numFmtId="0" fontId="19" fillId="0" borderId="0"/>
    <xf numFmtId="0" fontId="19" fillId="0" borderId="0"/>
    <xf numFmtId="0" fontId="137" fillId="0" borderId="0"/>
    <xf numFmtId="0" fontId="137" fillId="0" borderId="0"/>
    <xf numFmtId="0" fontId="19" fillId="0" borderId="0"/>
    <xf numFmtId="0" fontId="19" fillId="0" borderId="0"/>
    <xf numFmtId="0" fontId="19" fillId="0" borderId="0"/>
    <xf numFmtId="0" fontId="19" fillId="0" borderId="0"/>
    <xf numFmtId="0" fontId="137" fillId="0" borderId="0"/>
    <xf numFmtId="0" fontId="137" fillId="0" borderId="0"/>
    <xf numFmtId="0" fontId="19" fillId="0" borderId="0"/>
    <xf numFmtId="0" fontId="19" fillId="0" borderId="0"/>
    <xf numFmtId="0" fontId="19" fillId="0" borderId="0"/>
    <xf numFmtId="0" fontId="19" fillId="0" borderId="0"/>
    <xf numFmtId="0" fontId="137" fillId="0" borderId="0"/>
    <xf numFmtId="0" fontId="24" fillId="0" borderId="0"/>
    <xf numFmtId="0" fontId="24" fillId="0" borderId="0"/>
    <xf numFmtId="0" fontId="24" fillId="0" borderId="0"/>
    <xf numFmtId="0" fontId="24" fillId="0" borderId="0"/>
    <xf numFmtId="0" fontId="132" fillId="0" borderId="0"/>
    <xf numFmtId="0" fontId="137" fillId="0" borderId="0"/>
    <xf numFmtId="0" fontId="19" fillId="0" borderId="0"/>
    <xf numFmtId="0" fontId="19" fillId="0" borderId="0"/>
    <xf numFmtId="0" fontId="19" fillId="0" borderId="0"/>
    <xf numFmtId="0" fontId="19" fillId="0" borderId="0"/>
    <xf numFmtId="0" fontId="137" fillId="0" borderId="0"/>
    <xf numFmtId="0" fontId="132" fillId="0" borderId="0"/>
    <xf numFmtId="0" fontId="24" fillId="0" borderId="0"/>
    <xf numFmtId="0" fontId="24" fillId="0" borderId="0"/>
    <xf numFmtId="0" fontId="24" fillId="0" borderId="0"/>
    <xf numFmtId="0" fontId="24" fillId="0" borderId="0"/>
    <xf numFmtId="0" fontId="132" fillId="0" borderId="0"/>
    <xf numFmtId="0" fontId="132" fillId="0" borderId="0"/>
    <xf numFmtId="0" fontId="24" fillId="0" borderId="0"/>
    <xf numFmtId="0" fontId="24" fillId="0" borderId="0"/>
    <xf numFmtId="0" fontId="24" fillId="0" borderId="0"/>
    <xf numFmtId="0" fontId="24" fillId="0" borderId="0"/>
    <xf numFmtId="0" fontId="132" fillId="0" borderId="0"/>
    <xf numFmtId="0" fontId="132" fillId="0" borderId="0"/>
    <xf numFmtId="0" fontId="24" fillId="0" borderId="0"/>
    <xf numFmtId="0" fontId="24" fillId="0" borderId="0"/>
    <xf numFmtId="0" fontId="24" fillId="0" borderId="0"/>
    <xf numFmtId="0" fontId="24" fillId="0" borderId="0"/>
    <xf numFmtId="0" fontId="132" fillId="0" borderId="0"/>
    <xf numFmtId="0" fontId="132" fillId="0" borderId="0"/>
    <xf numFmtId="0" fontId="24" fillId="0" borderId="0"/>
    <xf numFmtId="0" fontId="24" fillId="0" borderId="0"/>
    <xf numFmtId="0" fontId="24" fillId="0" borderId="0"/>
    <xf numFmtId="0" fontId="24" fillId="0" borderId="0"/>
    <xf numFmtId="0" fontId="132" fillId="0" borderId="0"/>
    <xf numFmtId="0" fontId="132" fillId="0" borderId="0"/>
    <xf numFmtId="0" fontId="24" fillId="0" borderId="0"/>
    <xf numFmtId="0" fontId="24" fillId="0" borderId="0"/>
    <xf numFmtId="0" fontId="24" fillId="0" borderId="0"/>
    <xf numFmtId="0" fontId="24" fillId="0" borderId="0"/>
    <xf numFmtId="0" fontId="132"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37" fillId="0" borderId="0"/>
    <xf numFmtId="0" fontId="224" fillId="0" borderId="0">
      <protection locked="0"/>
    </xf>
    <xf numFmtId="0" fontId="225" fillId="0" borderId="0">
      <protection locked="0"/>
    </xf>
    <xf numFmtId="0" fontId="225" fillId="0" borderId="0">
      <protection locked="0"/>
    </xf>
    <xf numFmtId="0" fontId="225" fillId="0" borderId="0">
      <protection locked="0"/>
    </xf>
    <xf numFmtId="0" fontId="225" fillId="0" borderId="0">
      <protection locked="0"/>
    </xf>
    <xf numFmtId="0" fontId="224" fillId="0" borderId="0">
      <protection locked="0"/>
    </xf>
    <xf numFmtId="0" fontId="224" fillId="0" borderId="0">
      <protection locked="0"/>
    </xf>
    <xf numFmtId="0" fontId="225" fillId="0" borderId="0">
      <protection locked="0"/>
    </xf>
    <xf numFmtId="0" fontId="225" fillId="0" borderId="0">
      <protection locked="0"/>
    </xf>
    <xf numFmtId="0" fontId="225" fillId="0" borderId="0">
      <protection locked="0"/>
    </xf>
    <xf numFmtId="0" fontId="225" fillId="0" borderId="0">
      <protection locked="0"/>
    </xf>
    <xf numFmtId="0" fontId="224" fillId="0" borderId="0">
      <protection locked="0"/>
    </xf>
    <xf numFmtId="0" fontId="224" fillId="0" borderId="0">
      <protection locked="0"/>
    </xf>
    <xf numFmtId="0" fontId="225" fillId="0" borderId="0">
      <protection locked="0"/>
    </xf>
    <xf numFmtId="0" fontId="225" fillId="0" borderId="0">
      <protection locked="0"/>
    </xf>
    <xf numFmtId="0" fontId="225" fillId="0" borderId="0">
      <protection locked="0"/>
    </xf>
    <xf numFmtId="0" fontId="225" fillId="0" borderId="0">
      <protection locked="0"/>
    </xf>
    <xf numFmtId="0" fontId="224" fillId="0" borderId="0">
      <protection locked="0"/>
    </xf>
    <xf numFmtId="0" fontId="132" fillId="30" borderId="0"/>
    <xf numFmtId="0" fontId="24" fillId="4" borderId="0"/>
    <xf numFmtId="0" fontId="24" fillId="4" borderId="0"/>
    <xf numFmtId="0" fontId="24" fillId="4" borderId="0"/>
    <xf numFmtId="0" fontId="24" fillId="4" borderId="0"/>
    <xf numFmtId="0" fontId="132" fillId="30" borderId="0"/>
    <xf numFmtId="0" fontId="132" fillId="30" borderId="0"/>
    <xf numFmtId="0" fontId="24" fillId="4" borderId="0"/>
    <xf numFmtId="0" fontId="24" fillId="4" borderId="0"/>
    <xf numFmtId="0" fontId="24" fillId="4" borderId="0"/>
    <xf numFmtId="0" fontId="24" fillId="4" borderId="0"/>
    <xf numFmtId="0" fontId="132" fillId="30" borderId="0"/>
    <xf numFmtId="0" fontId="132" fillId="30" borderId="0"/>
    <xf numFmtId="0" fontId="24" fillId="4" borderId="0"/>
    <xf numFmtId="0" fontId="24" fillId="4" borderId="0"/>
    <xf numFmtId="0" fontId="24" fillId="4" borderId="0"/>
    <xf numFmtId="0" fontId="24" fillId="4" borderId="0"/>
    <xf numFmtId="0" fontId="132" fillId="30" borderId="0"/>
    <xf numFmtId="0" fontId="132" fillId="30" borderId="0"/>
    <xf numFmtId="0" fontId="24" fillId="4" borderId="0"/>
    <xf numFmtId="0" fontId="24" fillId="4" borderId="0"/>
    <xf numFmtId="0" fontId="24" fillId="4" borderId="0"/>
    <xf numFmtId="0" fontId="24" fillId="4" borderId="0"/>
    <xf numFmtId="0" fontId="132" fillId="30" borderId="0"/>
    <xf numFmtId="0" fontId="132" fillId="30" borderId="0"/>
    <xf numFmtId="0" fontId="24" fillId="4" borderId="0"/>
    <xf numFmtId="0" fontId="24" fillId="4" borderId="0"/>
    <xf numFmtId="0" fontId="24" fillId="4" borderId="0"/>
    <xf numFmtId="0" fontId="24" fillId="4" borderId="0"/>
    <xf numFmtId="0" fontId="132" fillId="30" borderId="0"/>
    <xf numFmtId="0" fontId="132" fillId="0" borderId="0"/>
    <xf numFmtId="0" fontId="24" fillId="0" borderId="0"/>
    <xf numFmtId="0" fontId="24" fillId="0" borderId="0"/>
    <xf numFmtId="0" fontId="24" fillId="0" borderId="0"/>
    <xf numFmtId="0" fontId="24" fillId="0" borderId="0"/>
    <xf numFmtId="0" fontId="132" fillId="0" borderId="0"/>
    <xf numFmtId="0" fontId="132" fillId="0" borderId="0"/>
    <xf numFmtId="0" fontId="24" fillId="0" borderId="0"/>
    <xf numFmtId="0" fontId="24" fillId="0" borderId="0"/>
    <xf numFmtId="0" fontId="24" fillId="0" borderId="0"/>
    <xf numFmtId="0" fontId="24" fillId="0" borderId="0"/>
    <xf numFmtId="0" fontId="132" fillId="0" borderId="0"/>
    <xf numFmtId="0" fontId="223" fillId="0" borderId="0"/>
    <xf numFmtId="0" fontId="137" fillId="0" borderId="0"/>
    <xf numFmtId="0" fontId="219" fillId="0" borderId="0"/>
    <xf numFmtId="0" fontId="219" fillId="0" borderId="0"/>
    <xf numFmtId="0" fontId="219" fillId="0" borderId="0"/>
    <xf numFmtId="0" fontId="219" fillId="0" borderId="0"/>
    <xf numFmtId="0" fontId="137" fillId="0" borderId="0"/>
    <xf numFmtId="0" fontId="137" fillId="0" borderId="0"/>
    <xf numFmtId="0" fontId="219" fillId="0" borderId="0"/>
    <xf numFmtId="0" fontId="219" fillId="0" borderId="0"/>
    <xf numFmtId="0" fontId="219" fillId="0" borderId="0"/>
    <xf numFmtId="0" fontId="219" fillId="0" borderId="0"/>
    <xf numFmtId="0" fontId="137" fillId="0" borderId="0"/>
    <xf numFmtId="0" fontId="137" fillId="0" borderId="0"/>
    <xf numFmtId="0" fontId="219" fillId="0" borderId="0"/>
    <xf numFmtId="0" fontId="219" fillId="0" borderId="0"/>
    <xf numFmtId="0" fontId="219" fillId="0" borderId="0"/>
    <xf numFmtId="0" fontId="219" fillId="0" borderId="0"/>
    <xf numFmtId="0" fontId="137" fillId="0" borderId="0"/>
    <xf numFmtId="0" fontId="137" fillId="0" borderId="0"/>
    <xf numFmtId="0" fontId="219" fillId="0" borderId="0"/>
    <xf numFmtId="0" fontId="219" fillId="0" borderId="0"/>
    <xf numFmtId="0" fontId="219" fillId="0" borderId="0"/>
    <xf numFmtId="0" fontId="219" fillId="0" borderId="0"/>
    <xf numFmtId="0" fontId="137" fillId="0" borderId="0"/>
    <xf numFmtId="0" fontId="137" fillId="0" borderId="0"/>
    <xf numFmtId="0" fontId="219" fillId="0" borderId="0"/>
    <xf numFmtId="0" fontId="219" fillId="0" borderId="0"/>
    <xf numFmtId="0" fontId="219" fillId="0" borderId="0"/>
    <xf numFmtId="0" fontId="219" fillId="0" borderId="0"/>
    <xf numFmtId="0" fontId="137" fillId="0" borderId="0"/>
    <xf numFmtId="0" fontId="103" fillId="0" borderId="0"/>
    <xf numFmtId="0" fontId="103" fillId="0" borderId="0"/>
    <xf numFmtId="0" fontId="103" fillId="0" borderId="0"/>
    <xf numFmtId="0" fontId="103" fillId="0" borderId="0"/>
    <xf numFmtId="0" fontId="223" fillId="0" borderId="0"/>
    <xf numFmtId="0" fontId="119" fillId="0" borderId="0"/>
    <xf numFmtId="0" fontId="119" fillId="0" borderId="0"/>
    <xf numFmtId="0" fontId="119" fillId="0" borderId="0"/>
    <xf numFmtId="0" fontId="119" fillId="0" borderId="0"/>
    <xf numFmtId="0" fontId="24" fillId="4" borderId="0"/>
    <xf numFmtId="0" fontId="24" fillId="4" borderId="0"/>
    <xf numFmtId="0" fontId="132" fillId="30" borderId="0"/>
    <xf numFmtId="0" fontId="223" fillId="0" borderId="0"/>
    <xf numFmtId="0" fontId="103" fillId="0" borderId="0"/>
    <xf numFmtId="0" fontId="103" fillId="0" borderId="0"/>
    <xf numFmtId="0" fontId="103" fillId="0" borderId="0"/>
    <xf numFmtId="0" fontId="103" fillId="0" borderId="0"/>
    <xf numFmtId="0" fontId="223" fillId="0" borderId="0"/>
    <xf numFmtId="0" fontId="223" fillId="0" borderId="0"/>
    <xf numFmtId="0" fontId="103" fillId="0" borderId="0"/>
    <xf numFmtId="0" fontId="103" fillId="0" borderId="0"/>
    <xf numFmtId="0" fontId="103" fillId="0" borderId="0"/>
    <xf numFmtId="0" fontId="103" fillId="0" borderId="0"/>
    <xf numFmtId="0" fontId="223" fillId="0" borderId="0"/>
    <xf numFmtId="0" fontId="223" fillId="0" borderId="0"/>
    <xf numFmtId="0" fontId="103" fillId="0" borderId="0"/>
    <xf numFmtId="0" fontId="103" fillId="0" borderId="0"/>
    <xf numFmtId="0" fontId="103" fillId="0" borderId="0"/>
    <xf numFmtId="0" fontId="103" fillId="0" borderId="0"/>
    <xf numFmtId="0" fontId="223" fillId="0" borderId="0"/>
    <xf numFmtId="0" fontId="223" fillId="0" borderId="0"/>
    <xf numFmtId="0" fontId="103" fillId="0" borderId="0"/>
    <xf numFmtId="0" fontId="103" fillId="0" borderId="0"/>
    <xf numFmtId="0" fontId="103" fillId="0" borderId="0"/>
    <xf numFmtId="0" fontId="103" fillId="0" borderId="0"/>
    <xf numFmtId="0" fontId="223" fillId="0" borderId="0"/>
    <xf numFmtId="0" fontId="223" fillId="0" borderId="0"/>
    <xf numFmtId="0" fontId="103" fillId="0" borderId="0"/>
    <xf numFmtId="0" fontId="103" fillId="0" borderId="0"/>
    <xf numFmtId="0" fontId="103" fillId="0" borderId="0"/>
    <xf numFmtId="0" fontId="103" fillId="0" borderId="0"/>
    <xf numFmtId="0" fontId="223" fillId="0" borderId="0"/>
    <xf numFmtId="0" fontId="223" fillId="0" borderId="0"/>
    <xf numFmtId="0" fontId="103" fillId="0" borderId="0"/>
    <xf numFmtId="0" fontId="103" fillId="0" borderId="0"/>
    <xf numFmtId="0" fontId="103" fillId="0" borderId="0"/>
    <xf numFmtId="0" fontId="103" fillId="0" borderId="0"/>
    <xf numFmtId="0" fontId="223" fillId="0" borderId="0"/>
    <xf numFmtId="0" fontId="137" fillId="0" borderId="0">
      <protection locked="0"/>
    </xf>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19" fillId="0" borderId="0"/>
    <xf numFmtId="0" fontId="226" fillId="0" borderId="0"/>
    <xf numFmtId="0" fontId="25" fillId="0" borderId="0"/>
    <xf numFmtId="0" fontId="25" fillId="0" borderId="0"/>
    <xf numFmtId="0" fontId="25" fillId="0" borderId="0"/>
    <xf numFmtId="0" fontId="25" fillId="0" borderId="0"/>
    <xf numFmtId="0" fontId="226" fillId="0" borderId="0"/>
    <xf numFmtId="0" fontId="226" fillId="0" borderId="0"/>
    <xf numFmtId="0" fontId="25" fillId="0" borderId="0"/>
    <xf numFmtId="0" fontId="25" fillId="0" borderId="0"/>
    <xf numFmtId="0" fontId="25" fillId="0" borderId="0"/>
    <xf numFmtId="0" fontId="25" fillId="0" borderId="0"/>
    <xf numFmtId="0" fontId="22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223" fillId="0" borderId="0"/>
    <xf numFmtId="0" fontId="227" fillId="0" borderId="0"/>
    <xf numFmtId="0" fontId="228" fillId="0" borderId="0"/>
    <xf numFmtId="0" fontId="228" fillId="0" borderId="0"/>
    <xf numFmtId="0" fontId="228" fillId="0" borderId="0"/>
    <xf numFmtId="0" fontId="228" fillId="0" borderId="0"/>
    <xf numFmtId="0" fontId="227" fillId="0" borderId="0"/>
    <xf numFmtId="0" fontId="227" fillId="0" borderId="0"/>
    <xf numFmtId="0" fontId="228" fillId="0" borderId="0"/>
    <xf numFmtId="0" fontId="228" fillId="0" borderId="0"/>
    <xf numFmtId="0" fontId="228" fillId="0" borderId="0"/>
    <xf numFmtId="0" fontId="228" fillId="0" borderId="0"/>
    <xf numFmtId="0" fontId="227" fillId="0" borderId="0"/>
    <xf numFmtId="0" fontId="103" fillId="0" borderId="0"/>
    <xf numFmtId="0" fontId="103" fillId="0" borderId="0"/>
    <xf numFmtId="0" fontId="103" fillId="0" borderId="0"/>
    <xf numFmtId="0" fontId="103" fillId="0" borderId="0"/>
    <xf numFmtId="0" fontId="223" fillId="0" borderId="0"/>
    <xf numFmtId="0" fontId="229" fillId="0" borderId="0"/>
    <xf numFmtId="0" fontId="230" fillId="0" borderId="0"/>
    <xf numFmtId="0" fontId="230" fillId="0" borderId="0"/>
    <xf numFmtId="0" fontId="230" fillId="0" borderId="0"/>
    <xf numFmtId="0" fontId="230" fillId="0" borderId="0"/>
    <xf numFmtId="0" fontId="229" fillId="0" borderId="0"/>
    <xf numFmtId="0" fontId="229" fillId="0" borderId="0"/>
    <xf numFmtId="0" fontId="230" fillId="0" borderId="0"/>
    <xf numFmtId="0" fontId="230" fillId="0" borderId="0"/>
    <xf numFmtId="0" fontId="230" fillId="0" borderId="0"/>
    <xf numFmtId="0" fontId="230" fillId="0" borderId="0"/>
    <xf numFmtId="0" fontId="229" fillId="0" borderId="0"/>
    <xf numFmtId="0" fontId="229" fillId="0" borderId="0"/>
    <xf numFmtId="0" fontId="230" fillId="0" borderId="0"/>
    <xf numFmtId="0" fontId="230" fillId="0" borderId="0"/>
    <xf numFmtId="0" fontId="230" fillId="0" borderId="0"/>
    <xf numFmtId="0" fontId="230" fillId="0" borderId="0"/>
    <xf numFmtId="0" fontId="229" fillId="0" borderId="0"/>
    <xf numFmtId="0" fontId="229" fillId="0" borderId="0"/>
    <xf numFmtId="0" fontId="230" fillId="0" borderId="0"/>
    <xf numFmtId="0" fontId="230" fillId="0" borderId="0"/>
    <xf numFmtId="0" fontId="230" fillId="0" borderId="0"/>
    <xf numFmtId="0" fontId="230" fillId="0" borderId="0"/>
    <xf numFmtId="0" fontId="229" fillId="0" borderId="0"/>
    <xf numFmtId="0" fontId="229" fillId="0" borderId="0"/>
    <xf numFmtId="0" fontId="230" fillId="0" borderId="0"/>
    <xf numFmtId="0" fontId="230" fillId="0" borderId="0"/>
    <xf numFmtId="0" fontId="230" fillId="0" borderId="0"/>
    <xf numFmtId="0" fontId="230" fillId="0" borderId="0"/>
    <xf numFmtId="0" fontId="22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227" fillId="0" borderId="0"/>
    <xf numFmtId="0" fontId="228" fillId="0" borderId="0"/>
    <xf numFmtId="0" fontId="228" fillId="0" borderId="0"/>
    <xf numFmtId="0" fontId="228" fillId="0" borderId="0"/>
    <xf numFmtId="0" fontId="228" fillId="0" borderId="0"/>
    <xf numFmtId="0" fontId="227" fillId="0" borderId="0"/>
    <xf numFmtId="0" fontId="227" fillId="0" borderId="0"/>
    <xf numFmtId="0" fontId="228" fillId="0" borderId="0"/>
    <xf numFmtId="0" fontId="228" fillId="0" borderId="0"/>
    <xf numFmtId="0" fontId="228" fillId="0" borderId="0"/>
    <xf numFmtId="0" fontId="228" fillId="0" borderId="0"/>
    <xf numFmtId="0" fontId="227" fillId="0" borderId="0"/>
    <xf numFmtId="0" fontId="223" fillId="0" borderId="0"/>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03" fillId="0" borderId="0"/>
    <xf numFmtId="0" fontId="103" fillId="0" borderId="0"/>
    <xf numFmtId="0" fontId="103" fillId="0" borderId="0"/>
    <xf numFmtId="0" fontId="103" fillId="0" borderId="0"/>
    <xf numFmtId="0" fontId="223" fillId="0" borderId="0"/>
    <xf numFmtId="0" fontId="220" fillId="0" borderId="0"/>
    <xf numFmtId="0" fontId="221" fillId="0" borderId="0"/>
    <xf numFmtId="0" fontId="221" fillId="0" borderId="0"/>
    <xf numFmtId="0" fontId="221" fillId="0" borderId="0"/>
    <xf numFmtId="0" fontId="221" fillId="0" borderId="0"/>
    <xf numFmtId="0" fontId="220" fillId="0" borderId="0"/>
    <xf numFmtId="0" fontId="220" fillId="0" borderId="0"/>
    <xf numFmtId="0" fontId="221" fillId="0" borderId="0"/>
    <xf numFmtId="0" fontId="221" fillId="0" borderId="0"/>
    <xf numFmtId="0" fontId="221" fillId="0" borderId="0"/>
    <xf numFmtId="0" fontId="221" fillId="0" borderId="0"/>
    <xf numFmtId="0" fontId="220" fillId="0" borderId="0"/>
    <xf numFmtId="0" fontId="220" fillId="0" borderId="0"/>
    <xf numFmtId="0" fontId="221" fillId="0" borderId="0"/>
    <xf numFmtId="0" fontId="221" fillId="0" borderId="0"/>
    <xf numFmtId="0" fontId="221" fillId="0" borderId="0"/>
    <xf numFmtId="0" fontId="221" fillId="0" borderId="0"/>
    <xf numFmtId="0" fontId="220" fillId="0" borderId="0"/>
    <xf numFmtId="0" fontId="220" fillId="0" borderId="0"/>
    <xf numFmtId="0" fontId="221" fillId="0" borderId="0"/>
    <xf numFmtId="0" fontId="221" fillId="0" borderId="0"/>
    <xf numFmtId="0" fontId="221" fillId="0" borderId="0"/>
    <xf numFmtId="0" fontId="221" fillId="0" borderId="0"/>
    <xf numFmtId="0" fontId="220" fillId="0" borderId="0"/>
    <xf numFmtId="0" fontId="220" fillId="0" borderId="0"/>
    <xf numFmtId="0" fontId="221" fillId="0" borderId="0"/>
    <xf numFmtId="0" fontId="221" fillId="0" borderId="0"/>
    <xf numFmtId="0" fontId="221" fillId="0" borderId="0"/>
    <xf numFmtId="0" fontId="221" fillId="0" borderId="0"/>
    <xf numFmtId="0" fontId="220" fillId="0" borderId="0"/>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223" fillId="0" borderId="0"/>
    <xf numFmtId="0" fontId="103" fillId="0" borderId="0"/>
    <xf numFmtId="0" fontId="103" fillId="0" borderId="0"/>
    <xf numFmtId="0" fontId="103" fillId="0" borderId="0"/>
    <xf numFmtId="0" fontId="103" fillId="0" borderId="0"/>
    <xf numFmtId="0" fontId="223" fillId="0" borderId="0"/>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223" fillId="0" borderId="0"/>
    <xf numFmtId="0" fontId="103" fillId="0" borderId="0"/>
    <xf numFmtId="0" fontId="103" fillId="0" borderId="0"/>
    <xf numFmtId="0" fontId="103" fillId="0" borderId="0"/>
    <xf numFmtId="0" fontId="103" fillId="0" borderId="0"/>
    <xf numFmtId="0" fontId="223" fillId="0" borderId="0"/>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26" fillId="0" borderId="0"/>
    <xf numFmtId="0" fontId="26" fillId="0" borderId="0"/>
    <xf numFmtId="0" fontId="26" fillId="0" borderId="0"/>
    <xf numFmtId="0" fontId="26" fillId="0" borderId="0"/>
    <xf numFmtId="0" fontId="148" fillId="0" borderId="0"/>
    <xf numFmtId="0" fontId="223" fillId="0" borderId="0"/>
    <xf numFmtId="0" fontId="220" fillId="0" borderId="0"/>
    <xf numFmtId="0" fontId="221" fillId="0" borderId="0"/>
    <xf numFmtId="0" fontId="221" fillId="0" borderId="0"/>
    <xf numFmtId="0" fontId="221" fillId="0" borderId="0"/>
    <xf numFmtId="0" fontId="221" fillId="0" borderId="0"/>
    <xf numFmtId="0" fontId="220" fillId="0" borderId="0"/>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03" fillId="0" borderId="0"/>
    <xf numFmtId="0" fontId="103" fillId="0" borderId="0"/>
    <xf numFmtId="0" fontId="103" fillId="0" borderId="0"/>
    <xf numFmtId="0" fontId="103" fillId="0" borderId="0"/>
    <xf numFmtId="0" fontId="223" fillId="0" borderId="0"/>
    <xf numFmtId="0" fontId="226" fillId="0" borderId="0"/>
    <xf numFmtId="0" fontId="25" fillId="0" borderId="0"/>
    <xf numFmtId="0" fontId="25" fillId="0" borderId="0"/>
    <xf numFmtId="0" fontId="25" fillId="0" borderId="0"/>
    <xf numFmtId="0" fontId="25" fillId="0" borderId="0"/>
    <xf numFmtId="0" fontId="226" fillId="0" borderId="0"/>
    <xf numFmtId="0" fontId="220" fillId="0" borderId="0"/>
    <xf numFmtId="0" fontId="221" fillId="0" borderId="0"/>
    <xf numFmtId="0" fontId="221" fillId="0" borderId="0"/>
    <xf numFmtId="0" fontId="221" fillId="0" borderId="0"/>
    <xf numFmtId="0" fontId="221" fillId="0" borderId="0"/>
    <xf numFmtId="0" fontId="220" fillId="0" borderId="0"/>
    <xf numFmtId="0" fontId="119" fillId="0" borderId="0"/>
    <xf numFmtId="0" fontId="218" fillId="0" borderId="0"/>
    <xf numFmtId="0" fontId="218" fillId="0" borderId="0"/>
    <xf numFmtId="0" fontId="218" fillId="0" borderId="0"/>
    <xf numFmtId="0" fontId="218" fillId="0" borderId="0"/>
    <xf numFmtId="0" fontId="119" fillId="0" borderId="0"/>
    <xf numFmtId="0" fontId="220" fillId="0" borderId="0"/>
    <xf numFmtId="0" fontId="221" fillId="0" borderId="0"/>
    <xf numFmtId="0" fontId="221" fillId="0" borderId="0"/>
    <xf numFmtId="0" fontId="221" fillId="0" borderId="0"/>
    <xf numFmtId="0" fontId="221" fillId="0" borderId="0"/>
    <xf numFmtId="0" fontId="220" fillId="0" borderId="0"/>
    <xf numFmtId="0" fontId="220" fillId="0" borderId="0"/>
    <xf numFmtId="0" fontId="221" fillId="0" borderId="0"/>
    <xf numFmtId="0" fontId="221" fillId="0" borderId="0"/>
    <xf numFmtId="0" fontId="221" fillId="0" borderId="0"/>
    <xf numFmtId="0" fontId="221" fillId="0" borderId="0"/>
    <xf numFmtId="0" fontId="220" fillId="0" borderId="0"/>
    <xf numFmtId="0" fontId="220" fillId="0" borderId="0"/>
    <xf numFmtId="0" fontId="221" fillId="0" borderId="0"/>
    <xf numFmtId="0" fontId="221" fillId="0" borderId="0"/>
    <xf numFmtId="0" fontId="221" fillId="0" borderId="0"/>
    <xf numFmtId="0" fontId="221" fillId="0" borderId="0"/>
    <xf numFmtId="0" fontId="220" fillId="0" borderId="0"/>
    <xf numFmtId="0" fontId="220" fillId="0" borderId="0"/>
    <xf numFmtId="0" fontId="221" fillId="0" borderId="0"/>
    <xf numFmtId="0" fontId="221" fillId="0" borderId="0"/>
    <xf numFmtId="0" fontId="221" fillId="0" borderId="0"/>
    <xf numFmtId="0" fontId="221" fillId="0" borderId="0"/>
    <xf numFmtId="0" fontId="220" fillId="0" borderId="0"/>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03" fillId="0" borderId="0"/>
    <xf numFmtId="0" fontId="103" fillId="0" borderId="0"/>
    <xf numFmtId="0" fontId="103" fillId="0" borderId="0"/>
    <xf numFmtId="0" fontId="103" fillId="0" borderId="0"/>
    <xf numFmtId="0" fontId="223" fillId="0" borderId="0"/>
    <xf numFmtId="0" fontId="119" fillId="0" borderId="0"/>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37" fillId="0" borderId="0"/>
    <xf numFmtId="0" fontId="19" fillId="0" borderId="0"/>
    <xf numFmtId="0" fontId="19" fillId="0" borderId="0"/>
    <xf numFmtId="0" fontId="19" fillId="0" borderId="0"/>
    <xf numFmtId="0" fontId="19" fillId="0" borderId="0"/>
    <xf numFmtId="0" fontId="137" fillId="0" borderId="0"/>
    <xf numFmtId="0" fontId="137" fillId="0" borderId="0"/>
    <xf numFmtId="0" fontId="19" fillId="0" borderId="0"/>
    <xf numFmtId="0" fontId="19" fillId="0" borderId="0"/>
    <xf numFmtId="0" fontId="19" fillId="0" borderId="0"/>
    <xf numFmtId="0" fontId="19" fillId="0" borderId="0"/>
    <xf numFmtId="0" fontId="137"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37" fillId="0" borderId="0"/>
    <xf numFmtId="0" fontId="19" fillId="0" borderId="0"/>
    <xf numFmtId="0" fontId="19" fillId="0" borderId="0"/>
    <xf numFmtId="0" fontId="19" fillId="0" borderId="0"/>
    <xf numFmtId="0" fontId="19" fillId="0" borderId="0"/>
    <xf numFmtId="0" fontId="137" fillId="0" borderId="0"/>
    <xf numFmtId="0" fontId="137" fillId="0" borderId="0"/>
    <xf numFmtId="0" fontId="19" fillId="0" borderId="0"/>
    <xf numFmtId="0" fontId="19" fillId="0" borderId="0"/>
    <xf numFmtId="0" fontId="19" fillId="0" borderId="0"/>
    <xf numFmtId="0" fontId="19" fillId="0" borderId="0"/>
    <xf numFmtId="0" fontId="137" fillId="0" borderId="0"/>
    <xf numFmtId="0" fontId="137" fillId="0" borderId="0"/>
    <xf numFmtId="0" fontId="19" fillId="0" borderId="0"/>
    <xf numFmtId="0" fontId="19" fillId="0" borderId="0"/>
    <xf numFmtId="0" fontId="19" fillId="0" borderId="0"/>
    <xf numFmtId="0" fontId="19" fillId="0" borderId="0"/>
    <xf numFmtId="0" fontId="137" fillId="0" borderId="0"/>
    <xf numFmtId="0" fontId="137" fillId="0" borderId="0"/>
    <xf numFmtId="0" fontId="19" fillId="0" borderId="0"/>
    <xf numFmtId="0" fontId="19" fillId="0" borderId="0"/>
    <xf numFmtId="0" fontId="19" fillId="0" borderId="0"/>
    <xf numFmtId="0" fontId="19" fillId="0" borderId="0"/>
    <xf numFmtId="0" fontId="137" fillId="0" borderId="0"/>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223" fillId="0" borderId="0"/>
    <xf numFmtId="0" fontId="103" fillId="0" borderId="0"/>
    <xf numFmtId="0" fontId="103" fillId="0" borderId="0"/>
    <xf numFmtId="0" fontId="103" fillId="0" borderId="0"/>
    <xf numFmtId="0" fontId="103" fillId="0" borderId="0"/>
    <xf numFmtId="0" fontId="223" fillId="0" borderId="0"/>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37" fillId="0" borderId="0">
      <protection locked="0"/>
    </xf>
    <xf numFmtId="0" fontId="219" fillId="0" borderId="0">
      <protection locked="0"/>
    </xf>
    <xf numFmtId="0" fontId="219" fillId="0" borderId="0">
      <protection locked="0"/>
    </xf>
    <xf numFmtId="0" fontId="219" fillId="0" borderId="0">
      <protection locked="0"/>
    </xf>
    <xf numFmtId="0" fontId="219" fillId="0" borderId="0">
      <protection locked="0"/>
    </xf>
    <xf numFmtId="0" fontId="137" fillId="0" borderId="0">
      <protection locked="0"/>
    </xf>
    <xf numFmtId="0" fontId="14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141" fillId="0" borderId="0">
      <alignment vertical="center"/>
    </xf>
    <xf numFmtId="0" fontId="24" fillId="0" borderId="0"/>
    <xf numFmtId="0" fontId="24" fillId="0" borderId="0"/>
    <xf numFmtId="0" fontId="24" fillId="0" borderId="0"/>
    <xf numFmtId="0" fontId="24" fillId="0" borderId="0"/>
    <xf numFmtId="0" fontId="132" fillId="0" borderId="0"/>
    <xf numFmtId="0" fontId="214" fillId="0" borderId="0"/>
    <xf numFmtId="0" fontId="63" fillId="0" borderId="0"/>
    <xf numFmtId="0" fontId="63" fillId="0" borderId="0"/>
    <xf numFmtId="0" fontId="63" fillId="0" borderId="0"/>
    <xf numFmtId="0" fontId="63" fillId="0" borderId="0"/>
    <xf numFmtId="0" fontId="214" fillId="0" borderId="0"/>
    <xf numFmtId="0" fontId="214" fillId="0" borderId="0"/>
    <xf numFmtId="0" fontId="63" fillId="0" borderId="0"/>
    <xf numFmtId="0" fontId="63" fillId="0" borderId="0"/>
    <xf numFmtId="0" fontId="63" fillId="0" borderId="0"/>
    <xf numFmtId="0" fontId="63" fillId="0" borderId="0"/>
    <xf numFmtId="0" fontId="214" fillId="0" borderId="0"/>
    <xf numFmtId="0" fontId="214" fillId="0" borderId="0"/>
    <xf numFmtId="0" fontId="63" fillId="0" borderId="0"/>
    <xf numFmtId="0" fontId="63" fillId="0" borderId="0"/>
    <xf numFmtId="0" fontId="63" fillId="0" borderId="0"/>
    <xf numFmtId="0" fontId="63" fillId="0" borderId="0"/>
    <xf numFmtId="0" fontId="214" fillId="0" borderId="0"/>
    <xf numFmtId="0" fontId="214" fillId="0" borderId="0"/>
    <xf numFmtId="0" fontId="63" fillId="0" borderId="0"/>
    <xf numFmtId="0" fontId="63" fillId="0" borderId="0"/>
    <xf numFmtId="0" fontId="63" fillId="0" borderId="0"/>
    <xf numFmtId="0" fontId="63" fillId="0" borderId="0"/>
    <xf numFmtId="0" fontId="214" fillId="0" borderId="0"/>
    <xf numFmtId="0" fontId="214" fillId="0" borderId="0"/>
    <xf numFmtId="0" fontId="63" fillId="0" borderId="0"/>
    <xf numFmtId="0" fontId="63" fillId="0" borderId="0"/>
    <xf numFmtId="0" fontId="63" fillId="0" borderId="0"/>
    <xf numFmtId="0" fontId="63" fillId="0" borderId="0"/>
    <xf numFmtId="0" fontId="214" fillId="0" borderId="0"/>
    <xf numFmtId="0" fontId="14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141" fillId="0" borderId="0">
      <alignment vertical="center"/>
    </xf>
    <xf numFmtId="0" fontId="14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141" fillId="0" borderId="0">
      <alignment vertical="center"/>
    </xf>
    <xf numFmtId="0" fontId="14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141" fillId="0" borderId="0">
      <alignment vertical="center"/>
    </xf>
    <xf numFmtId="0" fontId="148" fillId="0" borderId="0" applyNumberFormat="0" applyFont="0" applyFill="0" applyBorder="0" applyProtection="0">
      <alignment vertical="top"/>
    </xf>
    <xf numFmtId="0" fontId="26" fillId="0" borderId="0" applyNumberFormat="0" applyFont="0" applyFill="0" applyBorder="0" applyAlignment="0" applyProtection="0">
      <alignment vertical="top"/>
    </xf>
    <xf numFmtId="0" fontId="26" fillId="0" borderId="0" applyNumberFormat="0" applyFont="0" applyFill="0" applyBorder="0" applyAlignment="0" applyProtection="0">
      <alignment vertical="top"/>
    </xf>
    <xf numFmtId="0" fontId="26" fillId="0" borderId="0" applyNumberFormat="0" applyFont="0" applyFill="0" applyBorder="0" applyAlignment="0" applyProtection="0">
      <alignment vertical="top"/>
    </xf>
    <xf numFmtId="0" fontId="26" fillId="0" borderId="0" applyNumberFormat="0" applyFont="0" applyFill="0" applyBorder="0" applyAlignment="0" applyProtection="0">
      <alignment vertical="top"/>
    </xf>
    <xf numFmtId="0" fontId="148" fillId="0" borderId="0" applyNumberFormat="0" applyFont="0" applyFill="0" applyBorder="0" applyProtection="0">
      <alignment vertical="top"/>
    </xf>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9" fillId="0" borderId="0"/>
    <xf numFmtId="0" fontId="63" fillId="0" borderId="0"/>
    <xf numFmtId="0" fontId="63" fillId="0" borderId="0"/>
    <xf numFmtId="0" fontId="63" fillId="0" borderId="0"/>
    <xf numFmtId="0" fontId="63" fillId="0" borderId="0"/>
    <xf numFmtId="0" fontId="214" fillId="0" borderId="0"/>
    <xf numFmtId="0" fontId="231" fillId="34" borderId="0" applyNumberFormat="0" applyBorder="0" applyProtection="0"/>
    <xf numFmtId="0" fontId="140" fillId="107" borderId="0" applyNumberFormat="0" applyBorder="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40" fillId="107" borderId="0" applyNumberFormat="0" applyBorder="0" applyProtection="0"/>
    <xf numFmtId="0" fontId="140" fillId="107" borderId="0" applyNumberFormat="0" applyBorder="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40" fillId="107" borderId="0" applyNumberFormat="0" applyBorder="0" applyProtection="0"/>
    <xf numFmtId="0" fontId="140" fillId="107" borderId="0" applyNumberFormat="0" applyBorder="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40" fillId="107" borderId="0" applyNumberFormat="0" applyBorder="0" applyProtection="0"/>
    <xf numFmtId="0" fontId="140" fillId="107" borderId="0" applyNumberFormat="0" applyBorder="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40" fillId="107" borderId="0" applyNumberFormat="0" applyBorder="0" applyProtection="0"/>
    <xf numFmtId="0" fontId="232" fillId="150" borderId="0" applyNumberFormat="0" applyBorder="0" applyProtection="0"/>
    <xf numFmtId="0" fontId="233" fillId="150" borderId="0" applyNumberFormat="0" applyBorder="0" applyAlignment="0" applyProtection="0"/>
    <xf numFmtId="0" fontId="233" fillId="150" borderId="0" applyNumberFormat="0" applyBorder="0" applyAlignment="0" applyProtection="0"/>
    <xf numFmtId="0" fontId="233" fillId="150" borderId="0" applyNumberFormat="0" applyBorder="0" applyAlignment="0" applyProtection="0"/>
    <xf numFmtId="0" fontId="233" fillId="150" borderId="0" applyNumberFormat="0" applyBorder="0" applyAlignment="0" applyProtection="0"/>
    <xf numFmtId="0" fontId="232" fillId="150" borderId="0" applyNumberFormat="0" applyBorder="0" applyProtection="0"/>
    <xf numFmtId="0" fontId="234" fillId="48" borderId="0" applyNumberFormat="0" applyBorder="0" applyAlignment="0" applyProtection="0"/>
    <xf numFmtId="0" fontId="234" fillId="48" borderId="0" applyNumberFormat="0" applyBorder="0" applyAlignment="0" applyProtection="0"/>
    <xf numFmtId="0" fontId="234" fillId="48" borderId="0" applyNumberFormat="0" applyBorder="0" applyAlignment="0" applyProtection="0"/>
    <xf numFmtId="0" fontId="234" fillId="48" borderId="0" applyNumberFormat="0" applyBorder="0" applyAlignment="0" applyProtection="0"/>
    <xf numFmtId="0" fontId="231" fillId="34" borderId="0" applyNumberFormat="0" applyBorder="0" applyProtection="0"/>
    <xf numFmtId="0" fontId="231" fillId="34" borderId="0" applyNumberFormat="0" applyBorder="0" applyProtection="0"/>
    <xf numFmtId="0" fontId="234" fillId="48" borderId="0" applyNumberFormat="0" applyBorder="0" applyAlignment="0" applyProtection="0"/>
    <xf numFmtId="0" fontId="234" fillId="48" borderId="0" applyNumberFormat="0" applyBorder="0" applyAlignment="0" applyProtection="0"/>
    <xf numFmtId="0" fontId="234" fillId="48" borderId="0" applyNumberFormat="0" applyBorder="0" applyAlignment="0" applyProtection="0"/>
    <xf numFmtId="0" fontId="234" fillId="48" borderId="0" applyNumberFormat="0" applyBorder="0" applyAlignment="0" applyProtection="0"/>
    <xf numFmtId="0" fontId="231" fillId="34" borderId="0" applyNumberFormat="0" applyBorder="0" applyProtection="0"/>
    <xf numFmtId="0" fontId="231" fillId="34" borderId="0" applyNumberFormat="0" applyBorder="0" applyProtection="0"/>
    <xf numFmtId="0" fontId="234" fillId="48" borderId="0" applyNumberFormat="0" applyBorder="0" applyAlignment="0" applyProtection="0"/>
    <xf numFmtId="0" fontId="234" fillId="48" borderId="0" applyNumberFormat="0" applyBorder="0" applyAlignment="0" applyProtection="0"/>
    <xf numFmtId="0" fontId="234" fillId="48" borderId="0" applyNumberFormat="0" applyBorder="0" applyAlignment="0" applyProtection="0"/>
    <xf numFmtId="0" fontId="234" fillId="48" borderId="0" applyNumberFormat="0" applyBorder="0" applyAlignment="0" applyProtection="0"/>
    <xf numFmtId="0" fontId="231" fillId="34" borderId="0" applyNumberFormat="0" applyBorder="0" applyProtection="0"/>
    <xf numFmtId="0" fontId="231" fillId="34" borderId="0" applyNumberFormat="0" applyBorder="0" applyProtection="0"/>
    <xf numFmtId="0" fontId="234" fillId="48" borderId="0" applyNumberFormat="0" applyBorder="0" applyAlignment="0" applyProtection="0"/>
    <xf numFmtId="0" fontId="234" fillId="48" borderId="0" applyNumberFormat="0" applyBorder="0" applyAlignment="0" applyProtection="0"/>
    <xf numFmtId="0" fontId="234" fillId="48" borderId="0" applyNumberFormat="0" applyBorder="0" applyAlignment="0" applyProtection="0"/>
    <xf numFmtId="0" fontId="234" fillId="48" borderId="0" applyNumberFormat="0" applyBorder="0" applyAlignment="0" applyProtection="0"/>
    <xf numFmtId="0" fontId="231" fillId="34" borderId="0" applyNumberFormat="0" applyBorder="0" applyProtection="0"/>
    <xf numFmtId="0" fontId="231" fillId="34" borderId="0" applyNumberFormat="0" applyBorder="0" applyProtection="0"/>
    <xf numFmtId="0" fontId="234" fillId="48" borderId="0" applyNumberFormat="0" applyBorder="0" applyAlignment="0" applyProtection="0"/>
    <xf numFmtId="0" fontId="234" fillId="48" borderId="0" applyNumberFormat="0" applyBorder="0" applyAlignment="0" applyProtection="0"/>
    <xf numFmtId="0" fontId="234" fillId="48" borderId="0" applyNumberFormat="0" applyBorder="0" applyAlignment="0" applyProtection="0"/>
    <xf numFmtId="0" fontId="234" fillId="48" borderId="0" applyNumberFormat="0" applyBorder="0" applyAlignment="0" applyProtection="0"/>
    <xf numFmtId="0" fontId="231" fillId="34" borderId="0" applyNumberFormat="0" applyBorder="0" applyProtection="0"/>
    <xf numFmtId="0" fontId="235" fillId="0" borderId="0" applyNumberFormat="0" applyFill="0" applyBorder="0" applyProtection="0"/>
    <xf numFmtId="0" fontId="236" fillId="0" borderId="0" applyNumberFormat="0" applyFill="0" applyBorder="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6" fillId="0" borderId="0" applyNumberFormat="0" applyFill="0" applyBorder="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5" fillId="0" borderId="0" applyNumberFormat="0" applyFill="0" applyBorder="0" applyProtection="0"/>
    <xf numFmtId="0" fontId="235" fillId="0" borderId="0" applyNumberFormat="0" applyFill="0" applyBorder="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5" fillId="0" borderId="0" applyNumberFormat="0" applyFill="0" applyBorder="0" applyProtection="0"/>
    <xf numFmtId="0" fontId="235" fillId="0" borderId="0" applyNumberFormat="0" applyFill="0" applyBorder="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5" fillId="0" borderId="0" applyNumberFormat="0" applyFill="0" applyBorder="0" applyProtection="0"/>
    <xf numFmtId="0" fontId="235" fillId="0" borderId="0" applyNumberFormat="0" applyFill="0" applyBorder="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5" fillId="0" borderId="0" applyNumberFormat="0" applyFill="0" applyBorder="0" applyProtection="0"/>
    <xf numFmtId="0" fontId="235" fillId="0" borderId="0" applyNumberFormat="0" applyFill="0" applyBorder="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5" fillId="0" borderId="0" applyNumberFormat="0" applyFill="0" applyBorder="0" applyProtection="0"/>
    <xf numFmtId="0" fontId="137" fillId="122" borderId="86" applyNumberFormat="0" applyFont="0" applyProtection="0"/>
    <xf numFmtId="0" fontId="137" fillId="122" borderId="86" applyNumberFormat="0" applyFo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226" fillId="151" borderId="86" applyNumberForma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26" fillId="151" borderId="86" applyNumberFormat="0" applyProtection="0"/>
    <xf numFmtId="0" fontId="226" fillId="151" borderId="86" applyNumberFormat="0" applyProtection="0"/>
    <xf numFmtId="0" fontId="226" fillId="151" borderId="86" applyNumberForma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9" fontId="119" fillId="0" borderId="0" applyFont="0" applyFill="0" applyBorder="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19" fillId="0" borderId="0" applyFont="0" applyFill="0" applyBorder="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37" fillId="0" borderId="0" applyFont="0" applyFill="0" applyBorder="0" applyProtection="0"/>
    <xf numFmtId="9" fontId="119" fillId="0" borderId="0" applyFont="0" applyFill="0" applyBorder="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19" fillId="0" borderId="0" applyFont="0" applyFill="0" applyBorder="0" applyProtection="0"/>
    <xf numFmtId="9" fontId="119" fillId="0" borderId="0" applyFont="0" applyFill="0" applyBorder="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19" fillId="0" borderId="0" applyFont="0" applyFill="0" applyBorder="0" applyProtection="0"/>
    <xf numFmtId="9" fontId="119" fillId="0" borderId="0" applyFont="0" applyFill="0" applyBorder="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19" fillId="0" borderId="0" applyFont="0" applyFill="0" applyBorder="0" applyProtection="0"/>
    <xf numFmtId="9" fontId="119" fillId="0" borderId="0" applyFont="0" applyFill="0" applyBorder="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19" fillId="0" borderId="0" applyFont="0" applyFill="0" applyBorder="0" applyProtection="0"/>
    <xf numFmtId="9" fontId="119" fillId="0" borderId="0" applyFont="0" applyFill="0" applyBorder="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19" fillId="0" borderId="0" applyFont="0" applyFill="0" applyBorder="0" applyProtection="0"/>
    <xf numFmtId="9" fontId="220" fillId="0" borderId="0" applyFont="0" applyFill="0" applyBorder="0" applyProtection="0"/>
    <xf numFmtId="9" fontId="148" fillId="0" borderId="0" applyFill="0" applyBorder="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148" fillId="0" borderId="0" applyFill="0" applyBorder="0" applyProtection="0"/>
    <xf numFmtId="9" fontId="148" fillId="0" borderId="0" applyFill="0" applyBorder="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148" fillId="0" borderId="0" applyFill="0" applyBorder="0" applyProtection="0"/>
    <xf numFmtId="9" fontId="221" fillId="0" borderId="0" applyFont="0" applyFill="0" applyBorder="0" applyAlignment="0" applyProtection="0"/>
    <xf numFmtId="9" fontId="221" fillId="0" borderId="0" applyFont="0" applyFill="0" applyBorder="0" applyAlignment="0" applyProtection="0"/>
    <xf numFmtId="9" fontId="221" fillId="0" borderId="0" applyFont="0" applyFill="0" applyBorder="0" applyAlignment="0" applyProtection="0"/>
    <xf numFmtId="9" fontId="221" fillId="0" borderId="0" applyFont="0" applyFill="0" applyBorder="0" applyAlignment="0" applyProtection="0"/>
    <xf numFmtId="9" fontId="220" fillId="0" borderId="0" applyFont="0" applyFill="0" applyBorder="0" applyProtection="0"/>
    <xf numFmtId="9" fontId="220" fillId="0" borderId="0" applyFont="0" applyFill="0" applyBorder="0" applyProtection="0"/>
    <xf numFmtId="9" fontId="221" fillId="0" borderId="0" applyFont="0" applyFill="0" applyBorder="0" applyAlignment="0" applyProtection="0"/>
    <xf numFmtId="9" fontId="221" fillId="0" borderId="0" applyFont="0" applyFill="0" applyBorder="0" applyAlignment="0" applyProtection="0"/>
    <xf numFmtId="9" fontId="221" fillId="0" borderId="0" applyFont="0" applyFill="0" applyBorder="0" applyAlignment="0" applyProtection="0"/>
    <xf numFmtId="9" fontId="221" fillId="0" borderId="0" applyFont="0" applyFill="0" applyBorder="0" applyAlignment="0" applyProtection="0"/>
    <xf numFmtId="9" fontId="220" fillId="0" borderId="0" applyFont="0" applyFill="0" applyBorder="0" applyProtection="0"/>
    <xf numFmtId="9" fontId="119" fillId="0" borderId="0" applyFont="0" applyFill="0" applyBorder="0" applyProtection="0"/>
    <xf numFmtId="9" fontId="137" fillId="0" borderId="0" applyFont="0" applyFill="0" applyBorder="0" applyProtection="0"/>
    <xf numFmtId="9" fontId="137" fillId="0" borderId="0" applyFont="0" applyFill="0" applyBorder="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37" fillId="0" borderId="0" applyFont="0" applyFill="0" applyBorder="0" applyProtection="0"/>
    <xf numFmtId="9" fontId="119" fillId="0" borderId="0" applyFont="0" applyFill="0" applyBorder="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19" fillId="0" borderId="0" applyFont="0" applyFill="0" applyBorder="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37" fillId="0" borderId="0" applyFont="0" applyFill="0" applyBorder="0" applyProtection="0"/>
    <xf numFmtId="9" fontId="137" fillId="0" borderId="0" applyFont="0" applyFill="0" applyBorder="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37" fillId="0" borderId="0" applyFont="0" applyFill="0" applyBorder="0" applyProtection="0"/>
    <xf numFmtId="9" fontId="137" fillId="0" borderId="0" applyFont="0" applyFill="0" applyBorder="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37" fillId="0" borderId="0" applyFont="0" applyFill="0" applyBorder="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19" fillId="0" borderId="0" applyFont="0" applyFill="0" applyBorder="0" applyProtection="0"/>
    <xf numFmtId="9" fontId="137" fillId="0" borderId="0" applyFont="0" applyFill="0" applyBorder="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37" fillId="0" borderId="0" applyFont="0" applyFill="0" applyBorder="0" applyProtection="0"/>
    <xf numFmtId="0" fontId="239" fillId="0" borderId="87" applyNumberFormat="0" applyFill="0" applyProtection="0"/>
    <xf numFmtId="0" fontId="240" fillId="0" borderId="87" applyNumberFormat="0" applyFill="0" applyProtection="0"/>
    <xf numFmtId="0" fontId="241" fillId="0" borderId="87" applyNumberFormat="0" applyFill="0" applyAlignment="0" applyProtection="0"/>
    <xf numFmtId="0" fontId="241" fillId="0" borderId="87" applyNumberFormat="0" applyFill="0" applyAlignment="0" applyProtection="0"/>
    <xf numFmtId="0" fontId="241" fillId="0" borderId="87" applyNumberFormat="0" applyFill="0" applyAlignment="0" applyProtection="0"/>
    <xf numFmtId="0" fontId="241" fillId="0" borderId="87" applyNumberFormat="0" applyFill="0" applyAlignment="0" applyProtection="0"/>
    <xf numFmtId="0" fontId="240" fillId="0" borderId="87" applyNumberFormat="0" applyFill="0" applyProtection="0"/>
    <xf numFmtId="0" fontId="242" fillId="0" borderId="87" applyNumberFormat="0" applyFill="0" applyAlignment="0" applyProtection="0"/>
    <xf numFmtId="0" fontId="242" fillId="0" borderId="87" applyNumberFormat="0" applyFill="0" applyAlignment="0" applyProtection="0"/>
    <xf numFmtId="0" fontId="242" fillId="0" borderId="87" applyNumberFormat="0" applyFill="0" applyAlignment="0" applyProtection="0"/>
    <xf numFmtId="0" fontId="242" fillId="0" borderId="87" applyNumberFormat="0" applyFill="0" applyAlignment="0" applyProtection="0"/>
    <xf numFmtId="0" fontId="239" fillId="0" borderId="87" applyNumberFormat="0" applyFill="0" applyProtection="0"/>
    <xf numFmtId="0" fontId="239" fillId="0" borderId="87" applyNumberFormat="0" applyFill="0" applyProtection="0"/>
    <xf numFmtId="0" fontId="242" fillId="0" borderId="87" applyNumberFormat="0" applyFill="0" applyAlignment="0" applyProtection="0"/>
    <xf numFmtId="0" fontId="242" fillId="0" borderId="87" applyNumberFormat="0" applyFill="0" applyAlignment="0" applyProtection="0"/>
    <xf numFmtId="0" fontId="242" fillId="0" borderId="87" applyNumberFormat="0" applyFill="0" applyAlignment="0" applyProtection="0"/>
    <xf numFmtId="0" fontId="242" fillId="0" borderId="87" applyNumberFormat="0" applyFill="0" applyAlignment="0" applyProtection="0"/>
    <xf numFmtId="0" fontId="239" fillId="0" borderId="87" applyNumberFormat="0" applyFill="0" applyProtection="0"/>
    <xf numFmtId="0" fontId="239" fillId="0" borderId="87" applyNumberFormat="0" applyFill="0" applyProtection="0"/>
    <xf numFmtId="0" fontId="242" fillId="0" borderId="87" applyNumberFormat="0" applyFill="0" applyAlignment="0" applyProtection="0"/>
    <xf numFmtId="0" fontId="242" fillId="0" borderId="87" applyNumberFormat="0" applyFill="0" applyAlignment="0" applyProtection="0"/>
    <xf numFmtId="0" fontId="242" fillId="0" borderId="87" applyNumberFormat="0" applyFill="0" applyAlignment="0" applyProtection="0"/>
    <xf numFmtId="0" fontId="242" fillId="0" borderId="87" applyNumberFormat="0" applyFill="0" applyAlignment="0" applyProtection="0"/>
    <xf numFmtId="0" fontId="239" fillId="0" borderId="87" applyNumberFormat="0" applyFill="0" applyProtection="0"/>
    <xf numFmtId="0" fontId="239" fillId="0" borderId="87" applyNumberFormat="0" applyFill="0" applyProtection="0"/>
    <xf numFmtId="0" fontId="242" fillId="0" borderId="87" applyNumberFormat="0" applyFill="0" applyAlignment="0" applyProtection="0"/>
    <xf numFmtId="0" fontId="242" fillId="0" borderId="87" applyNumberFormat="0" applyFill="0" applyAlignment="0" applyProtection="0"/>
    <xf numFmtId="0" fontId="242" fillId="0" borderId="87" applyNumberFormat="0" applyFill="0" applyAlignment="0" applyProtection="0"/>
    <xf numFmtId="0" fontId="242" fillId="0" borderId="87" applyNumberFormat="0" applyFill="0" applyAlignment="0" applyProtection="0"/>
    <xf numFmtId="0" fontId="239" fillId="0" borderId="87" applyNumberFormat="0" applyFill="0" applyProtection="0"/>
    <xf numFmtId="0" fontId="239" fillId="0" borderId="87" applyNumberFormat="0" applyFill="0" applyProtection="0"/>
    <xf numFmtId="0" fontId="242" fillId="0" borderId="87" applyNumberFormat="0" applyFill="0" applyAlignment="0" applyProtection="0"/>
    <xf numFmtId="0" fontId="242" fillId="0" borderId="87" applyNumberFormat="0" applyFill="0" applyAlignment="0" applyProtection="0"/>
    <xf numFmtId="0" fontId="242" fillId="0" borderId="87" applyNumberFormat="0" applyFill="0" applyAlignment="0" applyProtection="0"/>
    <xf numFmtId="0" fontId="242" fillId="0" borderId="87" applyNumberFormat="0" applyFill="0" applyAlignment="0" applyProtection="0"/>
    <xf numFmtId="0" fontId="239" fillId="0" borderId="87" applyNumberFormat="0" applyFill="0" applyProtection="0"/>
    <xf numFmtId="0" fontId="243" fillId="0" borderId="0"/>
    <xf numFmtId="0" fontId="244" fillId="0" borderId="0" applyNumberFormat="0" applyFill="0" applyBorder="0" applyProtection="0"/>
    <xf numFmtId="0" fontId="245" fillId="0" borderId="0" applyNumberFormat="0" applyFill="0" applyBorder="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5" fillId="0" borderId="0" applyNumberFormat="0" applyFill="0" applyBorder="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4" fillId="0" borderId="0" applyNumberFormat="0" applyFill="0" applyBorder="0" applyProtection="0"/>
    <xf numFmtId="0" fontId="244" fillId="0" borderId="0" applyNumberFormat="0" applyFill="0" applyBorder="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4" fillId="0" borderId="0" applyNumberFormat="0" applyFill="0" applyBorder="0" applyProtection="0"/>
    <xf numFmtId="0" fontId="244" fillId="0" borderId="0" applyNumberFormat="0" applyFill="0" applyBorder="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4" fillId="0" borderId="0" applyNumberFormat="0" applyFill="0" applyBorder="0" applyProtection="0"/>
    <xf numFmtId="0" fontId="244" fillId="0" borderId="0" applyNumberFormat="0" applyFill="0" applyBorder="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4" fillId="0" borderId="0" applyNumberFormat="0" applyFill="0" applyBorder="0" applyProtection="0"/>
    <xf numFmtId="0" fontId="244" fillId="0" borderId="0" applyNumberFormat="0" applyFill="0" applyBorder="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4" fillId="0" borderId="0" applyNumberForma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165" fontId="119" fillId="0" borderId="0" applyFont="0" applyFill="0" applyBorder="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19" fillId="0" borderId="0" applyFont="0" applyFill="0" applyBorder="0" applyProtection="0"/>
    <xf numFmtId="165" fontId="119" fillId="0" borderId="0" applyFont="0" applyFill="0" applyBorder="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19" fillId="0" borderId="0" applyFont="0" applyFill="0" applyBorder="0" applyProtection="0"/>
    <xf numFmtId="165" fontId="119" fillId="0" borderId="0" applyFont="0" applyFill="0" applyBorder="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19" fillId="0" borderId="0" applyFont="0" applyFill="0" applyBorder="0" applyProtection="0"/>
    <xf numFmtId="165" fontId="119" fillId="0" borderId="0" applyFont="0" applyFill="0" applyBorder="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19"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5" fontId="119" fillId="0" borderId="0" applyFont="0" applyFill="0" applyBorder="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19" fillId="0" borderId="0" applyFont="0" applyFill="0" applyBorder="0" applyProtection="0"/>
    <xf numFmtId="165" fontId="119" fillId="0" borderId="0" applyFont="0" applyFill="0" applyBorder="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19" fillId="0" borderId="0" applyFont="0" applyFill="0" applyBorder="0" applyProtection="0"/>
    <xf numFmtId="165" fontId="119" fillId="0" borderId="0" applyFont="0" applyFill="0" applyBorder="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19" fillId="0" borderId="0" applyFont="0" applyFill="0" applyBorder="0" applyProtection="0"/>
    <xf numFmtId="165" fontId="119" fillId="0" borderId="0" applyFont="0" applyFill="0" applyBorder="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19"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43" fontId="119" fillId="0" borderId="0" applyFont="0" applyFill="0" applyBorder="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164" fontId="137" fillId="0" borderId="0" applyFont="0" applyFill="0" applyBorder="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0" fontId="119" fillId="0" borderId="0" applyFont="0" applyFill="0" applyBorder="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119" fillId="0" borderId="0" applyFont="0" applyFill="0" applyBorder="0" applyProtection="0"/>
    <xf numFmtId="0" fontId="119" fillId="0" borderId="0" applyFont="0" applyFill="0" applyBorder="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119"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0" fontId="119" fillId="0" borderId="0" applyFont="0" applyFill="0" applyBorder="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119" fillId="0" borderId="0" applyFont="0" applyFill="0" applyBorder="0" applyProtection="0"/>
    <xf numFmtId="0" fontId="119" fillId="0" borderId="0" applyFont="0" applyFill="0" applyBorder="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119"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7" fillId="0" borderId="0" applyFont="0" applyFill="0" applyBorder="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37" fillId="0" borderId="0" applyFont="0" applyFill="0" applyBorder="0" applyProtection="0"/>
    <xf numFmtId="164" fontId="132" fillId="0" borderId="0" applyFont="0" applyFill="0" applyBorder="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32" fillId="0" borderId="0" applyFont="0" applyFill="0" applyBorder="0" applyProtection="0"/>
    <xf numFmtId="43" fontId="132" fillId="0" borderId="0" applyFont="0" applyFill="0" applyBorder="0" applyProtection="0"/>
    <xf numFmtId="43" fontId="24" fillId="0" borderId="0" applyFont="0" applyFill="0" applyBorder="0" applyAlignment="0" applyProtection="0"/>
    <xf numFmtId="43" fontId="24" fillId="0" borderId="0" applyFont="0" applyFill="0" applyBorder="0" applyAlignment="0" applyProtection="0"/>
    <xf numFmtId="43" fontId="132" fillId="0" borderId="0" applyFont="0" applyFill="0" applyBorder="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43" fontId="11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9" fillId="0" borderId="0" applyFont="0" applyFill="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8" fillId="49" borderId="0" applyNumberFormat="0" applyBorder="0" applyProtection="0"/>
    <xf numFmtId="0" fontId="248" fillId="49" borderId="0" applyNumberFormat="0" applyBorder="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8" fillId="49" borderId="0" applyNumberFormat="0" applyBorder="0" applyProtection="0"/>
    <xf numFmtId="0" fontId="248" fillId="49" borderId="0" applyNumberFormat="0" applyBorder="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8" fillId="49" borderId="0" applyNumberFormat="0" applyBorder="0" applyProtection="0"/>
    <xf numFmtId="0" fontId="248" fillId="49" borderId="0" applyNumberFormat="0" applyBorder="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8" fillId="49" borderId="0" applyNumberFormat="0" applyBorder="0" applyProtection="0"/>
    <xf numFmtId="0" fontId="248" fillId="49" borderId="0" applyNumberFormat="0" applyBorder="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8" fillId="49" borderId="0" applyNumberFormat="0" applyBorder="0" applyProtection="0"/>
    <xf numFmtId="0" fontId="250" fillId="153" borderId="0" applyNumberFormat="0" applyBorder="0" applyProtection="0"/>
    <xf numFmtId="0" fontId="251" fillId="153" borderId="0" applyNumberFormat="0" applyBorder="0" applyAlignment="0" applyProtection="0"/>
    <xf numFmtId="0" fontId="251" fillId="153" borderId="0" applyNumberFormat="0" applyBorder="0" applyAlignment="0" applyProtection="0"/>
    <xf numFmtId="0" fontId="251" fillId="153" borderId="0" applyNumberFormat="0" applyBorder="0" applyAlignment="0" applyProtection="0"/>
    <xf numFmtId="0" fontId="251" fillId="153" borderId="0" applyNumberFormat="0" applyBorder="0" applyAlignment="0" applyProtection="0"/>
    <xf numFmtId="0" fontId="250" fillId="153" borderId="0" applyNumberFormat="0" applyBorder="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8" fillId="49" borderId="0" applyNumberFormat="0" applyBorder="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8" fillId="49" borderId="0" applyNumberFormat="0" applyBorder="0" applyProtection="0"/>
    <xf numFmtId="0" fontId="248" fillId="49" borderId="0" applyNumberFormat="0" applyBorder="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8" fillId="49" borderId="0" applyNumberFormat="0" applyBorder="0" applyProtection="0"/>
    <xf numFmtId="0" fontId="248" fillId="49" borderId="0" applyNumberFormat="0" applyBorder="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8" fillId="49" borderId="0" applyNumberFormat="0" applyBorder="0" applyProtection="0"/>
    <xf numFmtId="4" fontId="76" fillId="21" borderId="25">
      <alignment horizontal="right" vertical="top" shrinkToFit="1"/>
    </xf>
    <xf numFmtId="49" fontId="76" fillId="21" borderId="25">
      <alignment horizontal="center" vertical="top" shrinkToFit="1"/>
    </xf>
    <xf numFmtId="168" fontId="148" fillId="0" borderId="0" applyFont="0" applyFill="0" applyBorder="0" applyAlignment="0" applyProtection="0"/>
    <xf numFmtId="0" fontId="267" fillId="0" borderId="0"/>
    <xf numFmtId="164" fontId="268" fillId="0" borderId="0" applyFont="0" applyFill="0" applyBorder="0" applyProtection="0"/>
    <xf numFmtId="0" fontId="269" fillId="0" borderId="0"/>
    <xf numFmtId="9" fontId="268" fillId="0" borderId="0" applyFont="0" applyFill="0" applyBorder="0" applyProtection="0"/>
    <xf numFmtId="0" fontId="274" fillId="0" borderId="0"/>
    <xf numFmtId="0" fontId="59" fillId="32" borderId="0" applyNumberFormat="0" applyBorder="0" applyProtection="0"/>
    <xf numFmtId="0" fontId="59" fillId="32" borderId="0" applyNumberFormat="0" applyBorder="0" applyProtection="0"/>
    <xf numFmtId="0" fontId="59" fillId="32" borderId="0" applyNumberFormat="0" applyBorder="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2" borderId="0" applyNumberFormat="0" applyBorder="0" applyProtection="0"/>
    <xf numFmtId="0" fontId="59" fillId="32" borderId="0" applyNumberFormat="0" applyBorder="0" applyProtection="0"/>
    <xf numFmtId="0" fontId="59" fillId="32" borderId="0" applyNumberFormat="0" applyBorder="0" applyProtection="0"/>
    <xf numFmtId="0" fontId="59" fillId="32" borderId="0" applyNumberFormat="0" applyBorder="0" applyProtection="0"/>
    <xf numFmtId="0" fontId="59" fillId="32" borderId="0" applyNumberFormat="0" applyBorder="0" applyProtection="0"/>
    <xf numFmtId="0" fontId="59" fillId="32" borderId="0" applyNumberFormat="0" applyBorder="0" applyProtection="0"/>
    <xf numFmtId="0" fontId="59" fillId="32" borderId="0" applyNumberFormat="0" applyBorder="0" applyProtection="0"/>
    <xf numFmtId="0" fontId="59" fillId="32" borderId="0" applyNumberFormat="0" applyBorder="0" applyProtection="0"/>
    <xf numFmtId="0" fontId="59" fillId="32" borderId="0" applyNumberFormat="0" applyBorder="0" applyProtection="0"/>
    <xf numFmtId="0" fontId="59" fillId="32" borderId="0" applyNumberFormat="0" applyBorder="0" applyProtection="0"/>
    <xf numFmtId="0" fontId="59" fillId="32" borderId="0" applyNumberFormat="0" applyBorder="0" applyProtection="0"/>
    <xf numFmtId="0" fontId="59" fillId="32" borderId="0" applyNumberFormat="0" applyBorder="0" applyProtection="0"/>
    <xf numFmtId="0" fontId="59" fillId="32" borderId="0" applyNumberFormat="0" applyBorder="0" applyProtection="0"/>
    <xf numFmtId="0" fontId="59" fillId="34" borderId="0" applyNumberFormat="0" applyBorder="0" applyProtection="0"/>
    <xf numFmtId="0" fontId="59" fillId="34" borderId="0" applyNumberFormat="0" applyBorder="0" applyProtection="0"/>
    <xf numFmtId="0" fontId="59" fillId="34" borderId="0" applyNumberFormat="0" applyBorder="0" applyProtection="0"/>
    <xf numFmtId="0" fontId="59" fillId="34" borderId="0" applyNumberFormat="0" applyBorder="0" applyProtection="0"/>
    <xf numFmtId="0" fontId="59" fillId="35" borderId="0" applyNumberFormat="0" applyBorder="0" applyProtection="0"/>
    <xf numFmtId="0" fontId="59" fillId="35" borderId="0" applyNumberFormat="0" applyBorder="0" applyProtection="0"/>
    <xf numFmtId="0" fontId="59" fillId="35" borderId="0" applyNumberFormat="0" applyBorder="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5" borderId="0" applyNumberFormat="0" applyBorder="0" applyProtection="0"/>
    <xf numFmtId="0" fontId="59" fillId="35" borderId="0" applyNumberFormat="0" applyBorder="0" applyProtection="0"/>
    <xf numFmtId="0" fontId="59" fillId="35" borderId="0" applyNumberFormat="0" applyBorder="0" applyProtection="0"/>
    <xf numFmtId="0" fontId="59" fillId="35" borderId="0" applyNumberFormat="0" applyBorder="0" applyProtection="0"/>
    <xf numFmtId="0" fontId="59" fillId="35" borderId="0" applyNumberFormat="0" applyBorder="0" applyProtection="0"/>
    <xf numFmtId="0" fontId="59" fillId="35" borderId="0" applyNumberFormat="0" applyBorder="0" applyProtection="0"/>
    <xf numFmtId="0" fontId="59" fillId="35" borderId="0" applyNumberFormat="0" applyBorder="0" applyProtection="0"/>
    <xf numFmtId="0" fontId="59" fillId="35" borderId="0" applyNumberFormat="0" applyBorder="0" applyProtection="0"/>
    <xf numFmtId="0" fontId="59" fillId="35" borderId="0" applyNumberFormat="0" applyBorder="0" applyProtection="0"/>
    <xf numFmtId="0" fontId="59" fillId="35" borderId="0" applyNumberFormat="0" applyBorder="0" applyProtection="0"/>
    <xf numFmtId="0" fontId="59" fillId="35" borderId="0" applyNumberFormat="0" applyBorder="0" applyProtection="0"/>
    <xf numFmtId="0" fontId="59" fillId="35" borderId="0" applyNumberFormat="0" applyBorder="0" applyProtection="0"/>
    <xf numFmtId="0" fontId="59" fillId="35" borderId="0" applyNumberFormat="0" applyBorder="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4" borderId="0" applyNumberFormat="0" applyBorder="0" applyProtection="0"/>
    <xf numFmtId="0" fontId="59" fillId="34" borderId="0" applyNumberFormat="0" applyBorder="0" applyProtection="0"/>
    <xf numFmtId="0" fontId="59" fillId="34" borderId="0" applyNumberFormat="0" applyBorder="0" applyProtection="0"/>
    <xf numFmtId="0" fontId="59" fillId="34" borderId="0" applyNumberFormat="0" applyBorder="0" applyProtection="0"/>
    <xf numFmtId="0" fontId="59" fillId="34" borderId="0" applyNumberFormat="0" applyBorder="0" applyProtection="0"/>
    <xf numFmtId="0" fontId="59" fillId="34" borderId="0" applyNumberFormat="0" applyBorder="0" applyProtection="0"/>
    <xf numFmtId="0" fontId="59" fillId="34" borderId="0" applyNumberFormat="0" applyBorder="0" applyProtection="0"/>
    <xf numFmtId="0" fontId="59" fillId="34" borderId="0" applyNumberFormat="0" applyBorder="0" applyProtection="0"/>
    <xf numFmtId="0" fontId="59" fillId="34" borderId="0" applyNumberFormat="0" applyBorder="0" applyProtection="0"/>
    <xf numFmtId="0" fontId="59" fillId="34" borderId="0" applyNumberFormat="0" applyBorder="0" applyProtection="0"/>
    <xf numFmtId="0" fontId="59" fillId="34" borderId="0" applyNumberFormat="0" applyBorder="0" applyProtection="0"/>
    <xf numFmtId="0" fontId="59" fillId="34" borderId="0" applyNumberFormat="0" applyBorder="0" applyProtection="0"/>
    <xf numFmtId="0" fontId="59" fillId="38" borderId="0" applyNumberFormat="0" applyBorder="0" applyProtection="0"/>
    <xf numFmtId="0" fontId="59" fillId="38" borderId="0" applyNumberFormat="0" applyBorder="0" applyProtection="0"/>
    <xf numFmtId="0" fontId="59" fillId="38" borderId="0" applyNumberFormat="0" applyBorder="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8" borderId="0" applyNumberFormat="0" applyBorder="0" applyProtection="0"/>
    <xf numFmtId="0" fontId="59" fillId="38" borderId="0" applyNumberFormat="0" applyBorder="0" applyProtection="0"/>
    <xf numFmtId="0" fontId="59" fillId="38" borderId="0" applyNumberFormat="0" applyBorder="0" applyProtection="0"/>
    <xf numFmtId="0" fontId="59" fillId="38" borderId="0" applyNumberFormat="0" applyBorder="0" applyProtection="0"/>
    <xf numFmtId="0" fontId="59" fillId="38" borderId="0" applyNumberFormat="0" applyBorder="0" applyProtection="0"/>
    <xf numFmtId="0" fontId="59" fillId="38" borderId="0" applyNumberFormat="0" applyBorder="0" applyProtection="0"/>
    <xf numFmtId="0" fontId="59" fillId="38" borderId="0" applyNumberFormat="0" applyBorder="0" applyProtection="0"/>
    <xf numFmtId="0" fontId="59" fillId="38" borderId="0" applyNumberFormat="0" applyBorder="0" applyProtection="0"/>
    <xf numFmtId="0" fontId="59" fillId="38" borderId="0" applyNumberFormat="0" applyBorder="0" applyProtection="0"/>
    <xf numFmtId="0" fontId="59" fillId="38" borderId="0" applyNumberFormat="0" applyBorder="0" applyProtection="0"/>
    <xf numFmtId="0" fontId="59" fillId="38" borderId="0" applyNumberFormat="0" applyBorder="0" applyProtection="0"/>
    <xf numFmtId="0" fontId="59" fillId="38" borderId="0" applyNumberFormat="0" applyBorder="0" applyProtection="0"/>
    <xf numFmtId="0" fontId="59" fillId="38" borderId="0" applyNumberFormat="0" applyBorder="0" applyProtection="0"/>
    <xf numFmtId="0" fontId="59" fillId="40" borderId="0" applyNumberFormat="0" applyBorder="0" applyProtection="0"/>
    <xf numFmtId="0" fontId="59" fillId="40" borderId="0" applyNumberFormat="0" applyBorder="0" applyProtection="0"/>
    <xf numFmtId="0" fontId="59" fillId="40" borderId="0" applyNumberFormat="0" applyBorder="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0" borderId="0" applyNumberFormat="0" applyBorder="0" applyProtection="0"/>
    <xf numFmtId="0" fontId="59" fillId="40" borderId="0" applyNumberFormat="0" applyBorder="0" applyProtection="0"/>
    <xf numFmtId="0" fontId="59" fillId="40" borderId="0" applyNumberFormat="0" applyBorder="0" applyProtection="0"/>
    <xf numFmtId="0" fontId="59" fillId="40" borderId="0" applyNumberFormat="0" applyBorder="0" applyProtection="0"/>
    <xf numFmtId="0" fontId="59" fillId="40" borderId="0" applyNumberFormat="0" applyBorder="0" applyProtection="0"/>
    <xf numFmtId="0" fontId="59" fillId="40" borderId="0" applyNumberFormat="0" applyBorder="0" applyProtection="0"/>
    <xf numFmtId="0" fontId="59" fillId="40" borderId="0" applyNumberFormat="0" applyBorder="0" applyProtection="0"/>
    <xf numFmtId="0" fontId="59" fillId="40" borderId="0" applyNumberFormat="0" applyBorder="0" applyProtection="0"/>
    <xf numFmtId="0" fontId="59" fillId="40" borderId="0" applyNumberFormat="0" applyBorder="0" applyProtection="0"/>
    <xf numFmtId="0" fontId="59" fillId="40" borderId="0" applyNumberFormat="0" applyBorder="0" applyProtection="0"/>
    <xf numFmtId="0" fontId="59" fillId="40" borderId="0" applyNumberFormat="0" applyBorder="0" applyProtection="0"/>
    <xf numFmtId="0" fontId="59" fillId="40" borderId="0" applyNumberFormat="0" applyBorder="0" applyProtection="0"/>
    <xf numFmtId="0" fontId="59" fillId="40" borderId="0" applyNumberFormat="0" applyBorder="0" applyProtection="0"/>
    <xf numFmtId="0" fontId="59" fillId="42" borderId="0" applyNumberFormat="0" applyBorder="0" applyProtection="0"/>
    <xf numFmtId="0" fontId="59" fillId="42" borderId="0" applyNumberFormat="0" applyBorder="0" applyProtection="0"/>
    <xf numFmtId="0" fontId="59" fillId="42" borderId="0" applyNumberFormat="0" applyBorder="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2" borderId="0" applyNumberFormat="0" applyBorder="0" applyProtection="0"/>
    <xf numFmtId="0" fontId="59" fillId="42" borderId="0" applyNumberFormat="0" applyBorder="0" applyProtection="0"/>
    <xf numFmtId="0" fontId="59" fillId="42" borderId="0" applyNumberFormat="0" applyBorder="0" applyProtection="0"/>
    <xf numFmtId="0" fontId="59" fillId="42" borderId="0" applyNumberFormat="0" applyBorder="0" applyProtection="0"/>
    <xf numFmtId="0" fontId="59" fillId="42" borderId="0" applyNumberFormat="0" applyBorder="0" applyProtection="0"/>
    <xf numFmtId="0" fontId="59" fillId="42" borderId="0" applyNumberFormat="0" applyBorder="0" applyProtection="0"/>
    <xf numFmtId="0" fontId="59" fillId="42" borderId="0" applyNumberFormat="0" applyBorder="0" applyProtection="0"/>
    <xf numFmtId="0" fontId="59" fillId="42" borderId="0" applyNumberFormat="0" applyBorder="0" applyProtection="0"/>
    <xf numFmtId="0" fontId="59" fillId="42" borderId="0" applyNumberFormat="0" applyBorder="0" applyProtection="0"/>
    <xf numFmtId="0" fontId="59" fillId="42" borderId="0" applyNumberFormat="0" applyBorder="0" applyProtection="0"/>
    <xf numFmtId="0" fontId="59" fillId="42" borderId="0" applyNumberFormat="0" applyBorder="0" applyProtection="0"/>
    <xf numFmtId="0" fontId="59" fillId="42" borderId="0" applyNumberFormat="0" applyBorder="0" applyProtection="0"/>
    <xf numFmtId="0" fontId="59" fillId="42" borderId="0" applyNumberFormat="0" applyBorder="0" applyProtection="0"/>
    <xf numFmtId="0" fontId="59" fillId="44" borderId="0" applyNumberFormat="0" applyBorder="0" applyProtection="0"/>
    <xf numFmtId="0" fontId="59" fillId="44" borderId="0" applyNumberFormat="0" applyBorder="0" applyProtection="0"/>
    <xf numFmtId="0" fontId="59" fillId="44" borderId="0" applyNumberFormat="0" applyBorder="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4" borderId="0" applyNumberFormat="0" applyBorder="0" applyProtection="0"/>
    <xf numFmtId="0" fontId="59" fillId="44" borderId="0" applyNumberFormat="0" applyBorder="0" applyProtection="0"/>
    <xf numFmtId="0" fontId="59" fillId="44" borderId="0" applyNumberFormat="0" applyBorder="0" applyProtection="0"/>
    <xf numFmtId="0" fontId="59" fillId="44" borderId="0" applyNumberFormat="0" applyBorder="0" applyProtection="0"/>
    <xf numFmtId="0" fontId="59" fillId="44" borderId="0" applyNumberFormat="0" applyBorder="0" applyProtection="0"/>
    <xf numFmtId="0" fontId="59" fillId="44" borderId="0" applyNumberFormat="0" applyBorder="0" applyProtection="0"/>
    <xf numFmtId="0" fontId="59" fillId="44" borderId="0" applyNumberFormat="0" applyBorder="0" applyProtection="0"/>
    <xf numFmtId="0" fontId="59" fillId="44" borderId="0" applyNumberFormat="0" applyBorder="0" applyProtection="0"/>
    <xf numFmtId="0" fontId="59" fillId="44" borderId="0" applyNumberFormat="0" applyBorder="0" applyProtection="0"/>
    <xf numFmtId="0" fontId="59" fillId="44" borderId="0" applyNumberFormat="0" applyBorder="0" applyProtection="0"/>
    <xf numFmtId="0" fontId="59" fillId="44" borderId="0" applyNumberFormat="0" applyBorder="0" applyProtection="0"/>
    <xf numFmtId="0" fontId="59" fillId="44" borderId="0" applyNumberFormat="0" applyBorder="0" applyProtection="0"/>
    <xf numFmtId="0" fontId="59" fillId="44" borderId="0" applyNumberFormat="0" applyBorder="0" applyProtection="0"/>
    <xf numFmtId="0" fontId="137" fillId="46" borderId="0" applyNumberFormat="0" applyBorder="0" applyProtection="0"/>
    <xf numFmtId="0" fontId="137" fillId="46" borderId="0" applyNumberFormat="0" applyBorder="0" applyProtection="0"/>
    <xf numFmtId="0" fontId="137" fillId="46" borderId="0" applyNumberFormat="0" applyBorder="0" applyProtection="0"/>
    <xf numFmtId="0" fontId="137" fillId="46" borderId="0" applyNumberFormat="0" applyBorder="0" applyProtection="0"/>
    <xf numFmtId="0" fontId="137" fillId="46" borderId="0" applyNumberFormat="0" applyBorder="0" applyProtection="0"/>
    <xf numFmtId="0" fontId="137" fillId="46" borderId="0" applyNumberFormat="0" applyBorder="0" applyProtection="0"/>
    <xf numFmtId="0" fontId="137" fillId="46" borderId="0" applyNumberFormat="0" applyBorder="0" applyProtection="0"/>
    <xf numFmtId="0" fontId="137" fillId="46" borderId="0" applyNumberFormat="0" applyBorder="0" applyProtection="0"/>
    <xf numFmtId="0" fontId="137" fillId="46" borderId="0" applyNumberFormat="0" applyBorder="0" applyProtection="0"/>
    <xf numFmtId="0" fontId="137" fillId="46" borderId="0" applyNumberFormat="0" applyBorder="0" applyProtection="0"/>
    <xf numFmtId="0" fontId="137" fillId="46" borderId="0" applyNumberFormat="0" applyBorder="0" applyProtection="0"/>
    <xf numFmtId="0" fontId="137" fillId="46" borderId="0" applyNumberFormat="0" applyBorder="0" applyProtection="0"/>
    <xf numFmtId="0" fontId="137" fillId="46" borderId="0" applyNumberFormat="0" applyBorder="0" applyProtection="0"/>
    <xf numFmtId="0" fontId="137" fillId="46" borderId="0" applyNumberFormat="0" applyBorder="0" applyProtection="0"/>
    <xf numFmtId="0" fontId="137" fillId="46" borderId="0" applyNumberFormat="0" applyBorder="0" applyProtection="0"/>
    <xf numFmtId="0" fontId="137" fillId="46" borderId="0" applyNumberFormat="0" applyBorder="0" applyProtection="0"/>
    <xf numFmtId="0" fontId="137" fillId="34" borderId="0" applyNumberFormat="0" applyBorder="0" applyProtection="0"/>
    <xf numFmtId="0" fontId="137" fillId="34" borderId="0" applyNumberFormat="0" applyBorder="0" applyProtection="0"/>
    <xf numFmtId="0" fontId="137" fillId="34" borderId="0" applyNumberFormat="0" applyBorder="0" applyProtection="0"/>
    <xf numFmtId="0" fontId="137" fillId="34" borderId="0" applyNumberFormat="0" applyBorder="0" applyProtection="0"/>
    <xf numFmtId="0" fontId="137" fillId="34" borderId="0" applyNumberFormat="0" applyBorder="0" applyProtection="0"/>
    <xf numFmtId="0" fontId="137" fillId="34" borderId="0" applyNumberFormat="0" applyBorder="0" applyProtection="0"/>
    <xf numFmtId="0" fontId="137" fillId="34" borderId="0" applyNumberFormat="0" applyBorder="0" applyProtection="0"/>
    <xf numFmtId="0" fontId="137" fillId="34" borderId="0" applyNumberFormat="0" applyBorder="0" applyProtection="0"/>
    <xf numFmtId="0" fontId="137" fillId="34" borderId="0" applyNumberFormat="0" applyBorder="0" applyProtection="0"/>
    <xf numFmtId="0" fontId="137" fillId="34" borderId="0" applyNumberFormat="0" applyBorder="0" applyProtection="0"/>
    <xf numFmtId="0" fontId="137" fillId="34" borderId="0" applyNumberFormat="0" applyBorder="0" applyProtection="0"/>
    <xf numFmtId="0" fontId="137" fillId="34" borderId="0" applyNumberFormat="0" applyBorder="0" applyProtection="0"/>
    <xf numFmtId="0" fontId="137" fillId="34" borderId="0" applyNumberFormat="0" applyBorder="0" applyProtection="0"/>
    <xf numFmtId="0" fontId="137" fillId="34" borderId="0" applyNumberFormat="0" applyBorder="0" applyProtection="0"/>
    <xf numFmtId="0" fontId="137" fillId="34" borderId="0" applyNumberFormat="0" applyBorder="0" applyProtection="0"/>
    <xf numFmtId="0" fontId="137" fillId="34" borderId="0" applyNumberFormat="0" applyBorder="0" applyProtection="0"/>
    <xf numFmtId="0" fontId="137" fillId="49" borderId="0" applyNumberFormat="0" applyBorder="0" applyProtection="0"/>
    <xf numFmtId="0" fontId="137" fillId="49" borderId="0" applyNumberFormat="0" applyBorder="0" applyProtection="0"/>
    <xf numFmtId="0" fontId="137" fillId="49" borderId="0" applyNumberFormat="0" applyBorder="0" applyProtection="0"/>
    <xf numFmtId="0" fontId="137" fillId="49" borderId="0" applyNumberFormat="0" applyBorder="0" applyProtection="0"/>
    <xf numFmtId="0" fontId="137" fillId="49" borderId="0" applyNumberFormat="0" applyBorder="0" applyProtection="0"/>
    <xf numFmtId="0" fontId="137" fillId="49" borderId="0" applyNumberFormat="0" applyBorder="0" applyProtection="0"/>
    <xf numFmtId="0" fontId="137" fillId="49" borderId="0" applyNumberFormat="0" applyBorder="0" applyProtection="0"/>
    <xf numFmtId="0" fontId="137" fillId="49" borderId="0" applyNumberFormat="0" applyBorder="0" applyProtection="0"/>
    <xf numFmtId="0" fontId="137" fillId="49" borderId="0" applyNumberFormat="0" applyBorder="0" applyProtection="0"/>
    <xf numFmtId="0" fontId="137" fillId="49" borderId="0" applyNumberFormat="0" applyBorder="0" applyProtection="0"/>
    <xf numFmtId="0" fontId="137" fillId="49" borderId="0" applyNumberFormat="0" applyBorder="0" applyProtection="0"/>
    <xf numFmtId="0" fontId="137" fillId="49" borderId="0" applyNumberFormat="0" applyBorder="0" applyProtection="0"/>
    <xf numFmtId="0" fontId="137" fillId="49" borderId="0" applyNumberFormat="0" applyBorder="0" applyProtection="0"/>
    <xf numFmtId="0" fontId="137" fillId="49" borderId="0" applyNumberFormat="0" applyBorder="0" applyProtection="0"/>
    <xf numFmtId="0" fontId="137" fillId="49" borderId="0" applyNumberFormat="0" applyBorder="0" applyProtection="0"/>
    <xf numFmtId="0" fontId="137" fillId="49"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3" borderId="0" applyNumberFormat="0" applyBorder="0" applyProtection="0"/>
    <xf numFmtId="0" fontId="137" fillId="53" borderId="0" applyNumberFormat="0" applyBorder="0" applyProtection="0"/>
    <xf numFmtId="0" fontId="137" fillId="53" borderId="0" applyNumberFormat="0" applyBorder="0" applyProtection="0"/>
    <xf numFmtId="0" fontId="137" fillId="53" borderId="0" applyNumberFormat="0" applyBorder="0" applyProtection="0"/>
    <xf numFmtId="0" fontId="137" fillId="53" borderId="0" applyNumberFormat="0" applyBorder="0" applyProtection="0"/>
    <xf numFmtId="0" fontId="137" fillId="53" borderId="0" applyNumberFormat="0" applyBorder="0" applyProtection="0"/>
    <xf numFmtId="0" fontId="137" fillId="53" borderId="0" applyNumberFormat="0" applyBorder="0" applyProtection="0"/>
    <xf numFmtId="0" fontId="137" fillId="53" borderId="0" applyNumberFormat="0" applyBorder="0" applyProtection="0"/>
    <xf numFmtId="0" fontId="137" fillId="53" borderId="0" applyNumberFormat="0" applyBorder="0" applyProtection="0"/>
    <xf numFmtId="0" fontId="137" fillId="53" borderId="0" applyNumberFormat="0" applyBorder="0" applyProtection="0"/>
    <xf numFmtId="0" fontId="137" fillId="53" borderId="0" applyNumberFormat="0" applyBorder="0" applyProtection="0"/>
    <xf numFmtId="0" fontId="137" fillId="53" borderId="0" applyNumberFormat="0" applyBorder="0" applyProtection="0"/>
    <xf numFmtId="0" fontId="137" fillId="53" borderId="0" applyNumberFormat="0" applyBorder="0" applyProtection="0"/>
    <xf numFmtId="0" fontId="137" fillId="53" borderId="0" applyNumberFormat="0" applyBorder="0" applyProtection="0"/>
    <xf numFmtId="0" fontId="137" fillId="53" borderId="0" applyNumberFormat="0" applyBorder="0" applyProtection="0"/>
    <xf numFmtId="0" fontId="137" fillId="53" borderId="0" applyNumberFormat="0" applyBorder="0" applyProtection="0"/>
    <xf numFmtId="0" fontId="137" fillId="55" borderId="0" applyNumberFormat="0" applyBorder="0" applyProtection="0"/>
    <xf numFmtId="0" fontId="137" fillId="55" borderId="0" applyNumberFormat="0" applyBorder="0" applyProtection="0"/>
    <xf numFmtId="0" fontId="137" fillId="55" borderId="0" applyNumberFormat="0" applyBorder="0" applyProtection="0"/>
    <xf numFmtId="0" fontId="137" fillId="55" borderId="0" applyNumberFormat="0" applyBorder="0" applyProtection="0"/>
    <xf numFmtId="0" fontId="137" fillId="55" borderId="0" applyNumberFormat="0" applyBorder="0" applyProtection="0"/>
    <xf numFmtId="0" fontId="137" fillId="55" borderId="0" applyNumberFormat="0" applyBorder="0" applyProtection="0"/>
    <xf numFmtId="0" fontId="137" fillId="55" borderId="0" applyNumberFormat="0" applyBorder="0" applyProtection="0"/>
    <xf numFmtId="0" fontId="137" fillId="55" borderId="0" applyNumberFormat="0" applyBorder="0" applyProtection="0"/>
    <xf numFmtId="0" fontId="137" fillId="55" borderId="0" applyNumberFormat="0" applyBorder="0" applyProtection="0"/>
    <xf numFmtId="0" fontId="137" fillId="55" borderId="0" applyNumberFormat="0" applyBorder="0" applyProtection="0"/>
    <xf numFmtId="0" fontId="137" fillId="55" borderId="0" applyNumberFormat="0" applyBorder="0" applyProtection="0"/>
    <xf numFmtId="0" fontId="137" fillId="55" borderId="0" applyNumberFormat="0" applyBorder="0" applyProtection="0"/>
    <xf numFmtId="0" fontId="137" fillId="55" borderId="0" applyNumberFormat="0" applyBorder="0" applyProtection="0"/>
    <xf numFmtId="0" fontId="137" fillId="55" borderId="0" applyNumberFormat="0" applyBorder="0" applyProtection="0"/>
    <xf numFmtId="0" fontId="137" fillId="55" borderId="0" applyNumberFormat="0" applyBorder="0" applyProtection="0"/>
    <xf numFmtId="0" fontId="137" fillId="55" borderId="0" applyNumberFormat="0" applyBorder="0" applyProtection="0"/>
    <xf numFmtId="0" fontId="59" fillId="57" borderId="0" applyNumberFormat="0" applyBorder="0" applyProtection="0"/>
    <xf numFmtId="0" fontId="59" fillId="57" borderId="0" applyNumberFormat="0" applyBorder="0" applyProtection="0"/>
    <xf numFmtId="0" fontId="59" fillId="57" borderId="0" applyNumberFormat="0" applyBorder="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57" borderId="0" applyNumberFormat="0" applyBorder="0" applyProtection="0"/>
    <xf numFmtId="0" fontId="59" fillId="57" borderId="0" applyNumberFormat="0" applyBorder="0" applyProtection="0"/>
    <xf numFmtId="0" fontId="59" fillId="57" borderId="0" applyNumberFormat="0" applyBorder="0" applyProtection="0"/>
    <xf numFmtId="0" fontId="59" fillId="57" borderId="0" applyNumberFormat="0" applyBorder="0" applyProtection="0"/>
    <xf numFmtId="0" fontId="59" fillId="57" borderId="0" applyNumberFormat="0" applyBorder="0" applyProtection="0"/>
    <xf numFmtId="0" fontId="59" fillId="57" borderId="0" applyNumberFormat="0" applyBorder="0" applyProtection="0"/>
    <xf numFmtId="0" fontId="59" fillId="57" borderId="0" applyNumberFormat="0" applyBorder="0" applyProtection="0"/>
    <xf numFmtId="0" fontId="59" fillId="57" borderId="0" applyNumberFormat="0" applyBorder="0" applyProtection="0"/>
    <xf numFmtId="0" fontId="59" fillId="57" borderId="0" applyNumberFormat="0" applyBorder="0" applyProtection="0"/>
    <xf numFmtId="0" fontId="59" fillId="57" borderId="0" applyNumberFormat="0" applyBorder="0" applyProtection="0"/>
    <xf numFmtId="0" fontId="59" fillId="57" borderId="0" applyNumberFormat="0" applyBorder="0" applyProtection="0"/>
    <xf numFmtId="0" fontId="59" fillId="57" borderId="0" applyNumberFormat="0" applyBorder="0" applyProtection="0"/>
    <xf numFmtId="0" fontId="59" fillId="57" borderId="0" applyNumberFormat="0" applyBorder="0" applyProtection="0"/>
    <xf numFmtId="0" fontId="59" fillId="58" borderId="0" applyNumberFormat="0" applyBorder="0" applyProtection="0"/>
    <xf numFmtId="0" fontId="59" fillId="58" borderId="0" applyNumberFormat="0" applyBorder="0" applyProtection="0"/>
    <xf numFmtId="0" fontId="59" fillId="58" borderId="0" applyNumberFormat="0" applyBorder="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8" borderId="0" applyNumberFormat="0" applyBorder="0" applyProtection="0"/>
    <xf numFmtId="0" fontId="59" fillId="58" borderId="0" applyNumberFormat="0" applyBorder="0" applyProtection="0"/>
    <xf numFmtId="0" fontId="59" fillId="58" borderId="0" applyNumberFormat="0" applyBorder="0" applyProtection="0"/>
    <xf numFmtId="0" fontId="59" fillId="58" borderId="0" applyNumberFormat="0" applyBorder="0" applyProtection="0"/>
    <xf numFmtId="0" fontId="59" fillId="58" borderId="0" applyNumberFormat="0" applyBorder="0" applyProtection="0"/>
    <xf numFmtId="0" fontId="59" fillId="58" borderId="0" applyNumberFormat="0" applyBorder="0" applyProtection="0"/>
    <xf numFmtId="0" fontId="59" fillId="58" borderId="0" applyNumberFormat="0" applyBorder="0" applyProtection="0"/>
    <xf numFmtId="0" fontId="59" fillId="58" borderId="0" applyNumberFormat="0" applyBorder="0" applyProtection="0"/>
    <xf numFmtId="0" fontId="59" fillId="58" borderId="0" applyNumberFormat="0" applyBorder="0" applyProtection="0"/>
    <xf numFmtId="0" fontId="59" fillId="58" borderId="0" applyNumberFormat="0" applyBorder="0" applyProtection="0"/>
    <xf numFmtId="0" fontId="59" fillId="58" borderId="0" applyNumberFormat="0" applyBorder="0" applyProtection="0"/>
    <xf numFmtId="0" fontId="59" fillId="58" borderId="0" applyNumberFormat="0" applyBorder="0" applyProtection="0"/>
    <xf numFmtId="0" fontId="59" fillId="58" borderId="0" applyNumberFormat="0" applyBorder="0" applyProtection="0"/>
    <xf numFmtId="0" fontId="59" fillId="60" borderId="0" applyNumberFormat="0" applyBorder="0" applyProtection="0"/>
    <xf numFmtId="0" fontId="59" fillId="60" borderId="0" applyNumberFormat="0" applyBorder="0" applyProtection="0"/>
    <xf numFmtId="0" fontId="59" fillId="60" borderId="0" applyNumberFormat="0" applyBorder="0" applyProtection="0"/>
    <xf numFmtId="0" fontId="59" fillId="60" borderId="0" applyNumberFormat="0" applyBorder="0" applyProtection="0"/>
    <xf numFmtId="0" fontId="59" fillId="61" borderId="0" applyNumberFormat="0" applyBorder="0" applyProtection="0"/>
    <xf numFmtId="0" fontId="59" fillId="61" borderId="0" applyNumberFormat="0" applyBorder="0" applyProtection="0"/>
    <xf numFmtId="0" fontId="59" fillId="61" borderId="0" applyNumberFormat="0" applyBorder="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61" borderId="0" applyNumberFormat="0" applyBorder="0" applyProtection="0"/>
    <xf numFmtId="0" fontId="59" fillId="61" borderId="0" applyNumberFormat="0" applyBorder="0" applyProtection="0"/>
    <xf numFmtId="0" fontId="59" fillId="61" borderId="0" applyNumberFormat="0" applyBorder="0" applyProtection="0"/>
    <xf numFmtId="0" fontId="59" fillId="61" borderId="0" applyNumberFormat="0" applyBorder="0" applyProtection="0"/>
    <xf numFmtId="0" fontId="59" fillId="61" borderId="0" applyNumberFormat="0" applyBorder="0" applyProtection="0"/>
    <xf numFmtId="0" fontId="59" fillId="61" borderId="0" applyNumberFormat="0" applyBorder="0" applyProtection="0"/>
    <xf numFmtId="0" fontId="59" fillId="61" borderId="0" applyNumberFormat="0" applyBorder="0" applyProtection="0"/>
    <xf numFmtId="0" fontId="59" fillId="61" borderId="0" applyNumberFormat="0" applyBorder="0" applyProtection="0"/>
    <xf numFmtId="0" fontId="59" fillId="61" borderId="0" applyNumberFormat="0" applyBorder="0" applyProtection="0"/>
    <xf numFmtId="0" fontId="59" fillId="61" borderId="0" applyNumberFormat="0" applyBorder="0" applyProtection="0"/>
    <xf numFmtId="0" fontId="59" fillId="61" borderId="0" applyNumberFormat="0" applyBorder="0" applyProtection="0"/>
    <xf numFmtId="0" fontId="59" fillId="61" borderId="0" applyNumberFormat="0" applyBorder="0" applyProtection="0"/>
    <xf numFmtId="0" fontId="59" fillId="61" borderId="0" applyNumberFormat="0" applyBorder="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0" borderId="0" applyNumberFormat="0" applyBorder="0" applyProtection="0"/>
    <xf numFmtId="0" fontId="59" fillId="60" borderId="0" applyNumberFormat="0" applyBorder="0" applyProtection="0"/>
    <xf numFmtId="0" fontId="59" fillId="60" borderId="0" applyNumberFormat="0" applyBorder="0" applyProtection="0"/>
    <xf numFmtId="0" fontId="59" fillId="60" borderId="0" applyNumberFormat="0" applyBorder="0" applyProtection="0"/>
    <xf numFmtId="0" fontId="59" fillId="60" borderId="0" applyNumberFormat="0" applyBorder="0" applyProtection="0"/>
    <xf numFmtId="0" fontId="59" fillId="60" borderId="0" applyNumberFormat="0" applyBorder="0" applyProtection="0"/>
    <xf numFmtId="0" fontId="59" fillId="60" borderId="0" applyNumberFormat="0" applyBorder="0" applyProtection="0"/>
    <xf numFmtId="0" fontId="59" fillId="60" borderId="0" applyNumberFormat="0" applyBorder="0" applyProtection="0"/>
    <xf numFmtId="0" fontId="59" fillId="60" borderId="0" applyNumberFormat="0" applyBorder="0" applyProtection="0"/>
    <xf numFmtId="0" fontId="59" fillId="60" borderId="0" applyNumberFormat="0" applyBorder="0" applyProtection="0"/>
    <xf numFmtId="0" fontId="59" fillId="60" borderId="0" applyNumberFormat="0" applyBorder="0" applyProtection="0"/>
    <xf numFmtId="0" fontId="59" fillId="60" borderId="0" applyNumberFormat="0" applyBorder="0" applyProtection="0"/>
    <xf numFmtId="0" fontId="59" fillId="63" borderId="0" applyNumberFormat="0" applyBorder="0" applyProtection="0"/>
    <xf numFmtId="0" fontId="59" fillId="63" borderId="0" applyNumberFormat="0" applyBorder="0" applyProtection="0"/>
    <xf numFmtId="0" fontId="59" fillId="63" borderId="0" applyNumberFormat="0" applyBorder="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63" borderId="0" applyNumberFormat="0" applyBorder="0" applyProtection="0"/>
    <xf numFmtId="0" fontId="59" fillId="63" borderId="0" applyNumberFormat="0" applyBorder="0" applyProtection="0"/>
    <xf numFmtId="0" fontId="59" fillId="63" borderId="0" applyNumberFormat="0" applyBorder="0" applyProtection="0"/>
    <xf numFmtId="0" fontId="59" fillId="63" borderId="0" applyNumberFormat="0" applyBorder="0" applyProtection="0"/>
    <xf numFmtId="0" fontId="59" fillId="63" borderId="0" applyNumberFormat="0" applyBorder="0" applyProtection="0"/>
    <xf numFmtId="0" fontId="59" fillId="63" borderId="0" applyNumberFormat="0" applyBorder="0" applyProtection="0"/>
    <xf numFmtId="0" fontId="59" fillId="63" borderId="0" applyNumberFormat="0" applyBorder="0" applyProtection="0"/>
    <xf numFmtId="0" fontId="59" fillId="63" borderId="0" applyNumberFormat="0" applyBorder="0" applyProtection="0"/>
    <xf numFmtId="0" fontId="59" fillId="63" borderId="0" applyNumberFormat="0" applyBorder="0" applyProtection="0"/>
    <xf numFmtId="0" fontId="59" fillId="63" borderId="0" applyNumberFormat="0" applyBorder="0" applyProtection="0"/>
    <xf numFmtId="0" fontId="59" fillId="63" borderId="0" applyNumberFormat="0" applyBorder="0" applyProtection="0"/>
    <xf numFmtId="0" fontId="59" fillId="63" borderId="0" applyNumberFormat="0" applyBorder="0" applyProtection="0"/>
    <xf numFmtId="0" fontId="59" fillId="63" borderId="0" applyNumberFormat="0" applyBorder="0" applyProtection="0"/>
    <xf numFmtId="0" fontId="59" fillId="64" borderId="0" applyNumberFormat="0" applyBorder="0" applyProtection="0"/>
    <xf numFmtId="0" fontId="59" fillId="64" borderId="0" applyNumberFormat="0" applyBorder="0" applyProtection="0"/>
    <xf numFmtId="0" fontId="59" fillId="64" borderId="0" applyNumberFormat="0" applyBorder="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9" fillId="64" borderId="0" applyNumberFormat="0" applyBorder="0" applyProtection="0"/>
    <xf numFmtId="0" fontId="59" fillId="64" borderId="0" applyNumberFormat="0" applyBorder="0" applyProtection="0"/>
    <xf numFmtId="0" fontId="59" fillId="64" borderId="0" applyNumberFormat="0" applyBorder="0" applyProtection="0"/>
    <xf numFmtId="0" fontId="59" fillId="64" borderId="0" applyNumberFormat="0" applyBorder="0" applyProtection="0"/>
    <xf numFmtId="0" fontId="59" fillId="64" borderId="0" applyNumberFormat="0" applyBorder="0" applyProtection="0"/>
    <xf numFmtId="0" fontId="59" fillId="64" borderId="0" applyNumberFormat="0" applyBorder="0" applyProtection="0"/>
    <xf numFmtId="0" fontId="59" fillId="64" borderId="0" applyNumberFormat="0" applyBorder="0" applyProtection="0"/>
    <xf numFmtId="0" fontId="59" fillId="64" borderId="0" applyNumberFormat="0" applyBorder="0" applyProtection="0"/>
    <xf numFmtId="0" fontId="59" fillId="64" borderId="0" applyNumberFormat="0" applyBorder="0" applyProtection="0"/>
    <xf numFmtId="0" fontId="59" fillId="64" borderId="0" applyNumberFormat="0" applyBorder="0" applyProtection="0"/>
    <xf numFmtId="0" fontId="59" fillId="64" borderId="0" applyNumberFormat="0" applyBorder="0" applyProtection="0"/>
    <xf numFmtId="0" fontId="59" fillId="64" borderId="0" applyNumberFormat="0" applyBorder="0" applyProtection="0"/>
    <xf numFmtId="0" fontId="59" fillId="64" borderId="0" applyNumberFormat="0" applyBorder="0" applyProtection="0"/>
    <xf numFmtId="0" fontId="59" fillId="66" borderId="0" applyNumberFormat="0" applyBorder="0" applyProtection="0"/>
    <xf numFmtId="0" fontId="59" fillId="66" borderId="0" applyNumberFormat="0" applyBorder="0" applyProtection="0"/>
    <xf numFmtId="0" fontId="59" fillId="66" borderId="0" applyNumberFormat="0" applyBorder="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59" fillId="66" borderId="0" applyNumberFormat="0" applyBorder="0" applyProtection="0"/>
    <xf numFmtId="0" fontId="59" fillId="66" borderId="0" applyNumberFormat="0" applyBorder="0" applyProtection="0"/>
    <xf numFmtId="0" fontId="59" fillId="66" borderId="0" applyNumberFormat="0" applyBorder="0" applyProtection="0"/>
    <xf numFmtId="0" fontId="59" fillId="66" borderId="0" applyNumberFormat="0" applyBorder="0" applyProtection="0"/>
    <xf numFmtId="0" fontId="59" fillId="66" borderId="0" applyNumberFormat="0" applyBorder="0" applyProtection="0"/>
    <xf numFmtId="0" fontId="59" fillId="66" borderId="0" applyNumberFormat="0" applyBorder="0" applyProtection="0"/>
    <xf numFmtId="0" fontId="59" fillId="66" borderId="0" applyNumberFormat="0" applyBorder="0" applyProtection="0"/>
    <xf numFmtId="0" fontId="59" fillId="66" borderId="0" applyNumberFormat="0" applyBorder="0" applyProtection="0"/>
    <xf numFmtId="0" fontId="59" fillId="66" borderId="0" applyNumberFormat="0" applyBorder="0" applyProtection="0"/>
    <xf numFmtId="0" fontId="59" fillId="66" borderId="0" applyNumberFormat="0" applyBorder="0" applyProtection="0"/>
    <xf numFmtId="0" fontId="59" fillId="66" borderId="0" applyNumberFormat="0" applyBorder="0" applyProtection="0"/>
    <xf numFmtId="0" fontId="59" fillId="66" borderId="0" applyNumberFormat="0" applyBorder="0" applyProtection="0"/>
    <xf numFmtId="0" fontId="59" fillId="66"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70" borderId="0" applyNumberFormat="0" applyBorder="0" applyProtection="0"/>
    <xf numFmtId="0" fontId="137" fillId="70" borderId="0" applyNumberFormat="0" applyBorder="0" applyProtection="0"/>
    <xf numFmtId="0" fontId="137" fillId="70" borderId="0" applyNumberFormat="0" applyBorder="0" applyProtection="0"/>
    <xf numFmtId="0" fontId="137" fillId="70" borderId="0" applyNumberFormat="0" applyBorder="0" applyProtection="0"/>
    <xf numFmtId="0" fontId="137" fillId="70" borderId="0" applyNumberFormat="0" applyBorder="0" applyProtection="0"/>
    <xf numFmtId="0" fontId="137" fillId="70" borderId="0" applyNumberFormat="0" applyBorder="0" applyProtection="0"/>
    <xf numFmtId="0" fontId="137" fillId="70" borderId="0" applyNumberFormat="0" applyBorder="0" applyProtection="0"/>
    <xf numFmtId="0" fontId="137" fillId="70" borderId="0" applyNumberFormat="0" applyBorder="0" applyProtection="0"/>
    <xf numFmtId="0" fontId="137" fillId="70" borderId="0" applyNumberFormat="0" applyBorder="0" applyProtection="0"/>
    <xf numFmtId="0" fontId="137" fillId="70" borderId="0" applyNumberFormat="0" applyBorder="0" applyProtection="0"/>
    <xf numFmtId="0" fontId="137" fillId="70" borderId="0" applyNumberFormat="0" applyBorder="0" applyProtection="0"/>
    <xf numFmtId="0" fontId="137" fillId="70" borderId="0" applyNumberFormat="0" applyBorder="0" applyProtection="0"/>
    <xf numFmtId="0" fontId="137" fillId="70" borderId="0" applyNumberFormat="0" applyBorder="0" applyProtection="0"/>
    <xf numFmtId="0" fontId="137" fillId="70" borderId="0" applyNumberFormat="0" applyBorder="0" applyProtection="0"/>
    <xf numFmtId="0" fontId="137" fillId="70" borderId="0" applyNumberFormat="0" applyBorder="0" applyProtection="0"/>
    <xf numFmtId="0" fontId="137" fillId="70" borderId="0" applyNumberFormat="0" applyBorder="0" applyProtection="0"/>
    <xf numFmtId="0" fontId="137" fillId="60" borderId="0" applyNumberFormat="0" applyBorder="0" applyProtection="0"/>
    <xf numFmtId="0" fontId="137" fillId="60" borderId="0" applyNumberFormat="0" applyBorder="0" applyProtection="0"/>
    <xf numFmtId="0" fontId="137" fillId="60" borderId="0" applyNumberFormat="0" applyBorder="0" applyProtection="0"/>
    <xf numFmtId="0" fontId="137" fillId="60" borderId="0" applyNumberFormat="0" applyBorder="0" applyProtection="0"/>
    <xf numFmtId="0" fontId="137" fillId="60" borderId="0" applyNumberFormat="0" applyBorder="0" applyProtection="0"/>
    <xf numFmtId="0" fontId="137" fillId="60" borderId="0" applyNumberFormat="0" applyBorder="0" applyProtection="0"/>
    <xf numFmtId="0" fontId="137" fillId="60" borderId="0" applyNumberFormat="0" applyBorder="0" applyProtection="0"/>
    <xf numFmtId="0" fontId="137" fillId="60" borderId="0" applyNumberFormat="0" applyBorder="0" applyProtection="0"/>
    <xf numFmtId="0" fontId="137" fillId="60" borderId="0" applyNumberFormat="0" applyBorder="0" applyProtection="0"/>
    <xf numFmtId="0" fontId="137" fillId="60" borderId="0" applyNumberFormat="0" applyBorder="0" applyProtection="0"/>
    <xf numFmtId="0" fontId="137" fillId="60" borderId="0" applyNumberFormat="0" applyBorder="0" applyProtection="0"/>
    <xf numFmtId="0" fontId="137" fillId="60" borderId="0" applyNumberFormat="0" applyBorder="0" applyProtection="0"/>
    <xf numFmtId="0" fontId="137" fillId="60" borderId="0" applyNumberFormat="0" applyBorder="0" applyProtection="0"/>
    <xf numFmtId="0" fontId="137" fillId="60" borderId="0" applyNumberFormat="0" applyBorder="0" applyProtection="0"/>
    <xf numFmtId="0" fontId="137" fillId="60" borderId="0" applyNumberFormat="0" applyBorder="0" applyProtection="0"/>
    <xf numFmtId="0" fontId="137" fillId="60"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51"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68" borderId="0" applyNumberFormat="0" applyBorder="0" applyProtection="0"/>
    <xf numFmtId="0" fontId="137" fillId="73" borderId="0" applyNumberFormat="0" applyBorder="0" applyProtection="0"/>
    <xf numFmtId="0" fontId="137" fillId="73" borderId="0" applyNumberFormat="0" applyBorder="0" applyProtection="0"/>
    <xf numFmtId="0" fontId="137" fillId="73" borderId="0" applyNumberFormat="0" applyBorder="0" applyProtection="0"/>
    <xf numFmtId="0" fontId="137" fillId="73" borderId="0" applyNumberFormat="0" applyBorder="0" applyProtection="0"/>
    <xf numFmtId="0" fontId="137" fillId="73" borderId="0" applyNumberFormat="0" applyBorder="0" applyProtection="0"/>
    <xf numFmtId="0" fontId="137" fillId="73" borderId="0" applyNumberFormat="0" applyBorder="0" applyProtection="0"/>
    <xf numFmtId="0" fontId="137" fillId="73" borderId="0" applyNumberFormat="0" applyBorder="0" applyProtection="0"/>
    <xf numFmtId="0" fontId="137" fillId="73" borderId="0" applyNumberFormat="0" applyBorder="0" applyProtection="0"/>
    <xf numFmtId="0" fontId="137" fillId="73" borderId="0" applyNumberFormat="0" applyBorder="0" applyProtection="0"/>
    <xf numFmtId="0" fontId="137" fillId="73" borderId="0" applyNumberFormat="0" applyBorder="0" applyProtection="0"/>
    <xf numFmtId="0" fontId="137" fillId="73" borderId="0" applyNumberFormat="0" applyBorder="0" applyProtection="0"/>
    <xf numFmtId="0" fontId="137" fillId="73" borderId="0" applyNumberFormat="0" applyBorder="0" applyProtection="0"/>
    <xf numFmtId="0" fontId="137" fillId="73" borderId="0" applyNumberFormat="0" applyBorder="0" applyProtection="0"/>
    <xf numFmtId="0" fontId="137" fillId="73" borderId="0" applyNumberFormat="0" applyBorder="0" applyProtection="0"/>
    <xf numFmtId="0" fontId="137" fillId="73" borderId="0" applyNumberFormat="0" applyBorder="0" applyProtection="0"/>
    <xf numFmtId="0" fontId="137" fillId="73" borderId="0" applyNumberFormat="0" applyBorder="0" applyProtection="0"/>
    <xf numFmtId="0" fontId="118" fillId="7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8" fillId="75" borderId="0" applyNumberFormat="0" applyBorder="0" applyProtection="0"/>
    <xf numFmtId="0" fontId="118" fillId="75" borderId="0" applyNumberFormat="0" applyBorder="0" applyProtection="0"/>
    <xf numFmtId="0" fontId="118" fillId="75" borderId="0" applyNumberFormat="0" applyBorder="0" applyProtection="0"/>
    <xf numFmtId="0" fontId="118" fillId="75" borderId="0" applyNumberFormat="0" applyBorder="0" applyProtection="0"/>
    <xf numFmtId="0" fontId="118" fillId="75" borderId="0" applyNumberFormat="0" applyBorder="0" applyProtection="0"/>
    <xf numFmtId="0" fontId="118" fillId="75" borderId="0" applyNumberFormat="0" applyBorder="0" applyProtection="0"/>
    <xf numFmtId="0" fontId="118" fillId="75" borderId="0" applyNumberFormat="0" applyBorder="0" applyProtection="0"/>
    <xf numFmtId="0" fontId="118" fillId="75" borderId="0" applyNumberFormat="0" applyBorder="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7" borderId="0" applyNumberFormat="0" applyBorder="0" applyProtection="0"/>
    <xf numFmtId="0" fontId="118" fillId="77" borderId="0" applyNumberFormat="0" applyBorder="0" applyProtection="0"/>
    <xf numFmtId="0" fontId="118" fillId="77" borderId="0" applyNumberFormat="0" applyBorder="0" applyProtection="0"/>
    <xf numFmtId="0" fontId="118" fillId="77" borderId="0" applyNumberFormat="0" applyBorder="0" applyProtection="0"/>
    <xf numFmtId="0" fontId="118" fillId="77" borderId="0" applyNumberFormat="0" applyBorder="0" applyProtection="0"/>
    <xf numFmtId="0" fontId="118" fillId="77" borderId="0" applyNumberFormat="0" applyBorder="0" applyProtection="0"/>
    <xf numFmtId="0" fontId="118" fillId="77" borderId="0" applyNumberFormat="0" applyBorder="0" applyProtection="0"/>
    <xf numFmtId="0" fontId="118" fillId="77" borderId="0" applyNumberFormat="0" applyBorder="0" applyProtection="0"/>
    <xf numFmtId="0" fontId="118" fillId="80" borderId="0" applyNumberFormat="0" applyBorder="0" applyAlignment="0" applyProtection="0"/>
    <xf numFmtId="0" fontId="118" fillId="80" borderId="0" applyNumberFormat="0" applyBorder="0" applyAlignment="0" applyProtection="0"/>
    <xf numFmtId="0" fontId="118" fillId="80" borderId="0" applyNumberFormat="0" applyBorder="0" applyAlignment="0" applyProtection="0"/>
    <xf numFmtId="0" fontId="118" fillId="80" borderId="0" applyNumberFormat="0" applyBorder="0" applyAlignment="0" applyProtection="0"/>
    <xf numFmtId="0" fontId="118" fillId="80" borderId="0" applyNumberFormat="0" applyBorder="0" applyAlignment="0" applyProtection="0"/>
    <xf numFmtId="0" fontId="118" fillId="80" borderId="0" applyNumberFormat="0" applyBorder="0" applyAlignment="0" applyProtection="0"/>
    <xf numFmtId="0" fontId="118" fillId="80" borderId="0" applyNumberFormat="0" applyBorder="0" applyAlignment="0" applyProtection="0"/>
    <xf numFmtId="0" fontId="118" fillId="80" borderId="0" applyNumberFormat="0" applyBorder="0" applyAlignment="0" applyProtection="0"/>
    <xf numFmtId="0" fontId="118" fillId="80" borderId="0" applyNumberFormat="0" applyBorder="0" applyAlignment="0" applyProtection="0"/>
    <xf numFmtId="0" fontId="118" fillId="80" borderId="0" applyNumberFormat="0" applyBorder="0" applyAlignment="0" applyProtection="0"/>
    <xf numFmtId="0" fontId="118" fillId="80" borderId="0" applyNumberFormat="0" applyBorder="0" applyAlignment="0" applyProtection="0"/>
    <xf numFmtId="0" fontId="118" fillId="80" borderId="0" applyNumberFormat="0" applyBorder="0" applyAlignment="0" applyProtection="0"/>
    <xf numFmtId="0" fontId="118" fillId="80" borderId="0" applyNumberFormat="0" applyBorder="0" applyAlignment="0" applyProtection="0"/>
    <xf numFmtId="0" fontId="118" fillId="80" borderId="0" applyNumberFormat="0" applyBorder="0" applyAlignment="0" applyProtection="0"/>
    <xf numFmtId="0" fontId="118" fillId="80" borderId="0" applyNumberFormat="0" applyBorder="0" applyAlignment="0" applyProtection="0"/>
    <xf numFmtId="0" fontId="118" fillId="80" borderId="0" applyNumberFormat="0" applyBorder="0" applyAlignment="0" applyProtection="0"/>
    <xf numFmtId="0" fontId="118" fillId="80" borderId="0" applyNumberFormat="0" applyBorder="0" applyAlignment="0" applyProtection="0"/>
    <xf numFmtId="0" fontId="118" fillId="80" borderId="0" applyNumberFormat="0" applyBorder="0" applyAlignment="0" applyProtection="0"/>
    <xf numFmtId="0" fontId="118" fillId="80" borderId="0" applyNumberFormat="0" applyBorder="0" applyAlignment="0" applyProtection="0"/>
    <xf numFmtId="0" fontId="118" fillId="80" borderId="0" applyNumberFormat="0" applyBorder="0" applyAlignment="0" applyProtection="0"/>
    <xf numFmtId="0" fontId="118" fillId="79" borderId="0" applyNumberFormat="0" applyBorder="0" applyProtection="0"/>
    <xf numFmtId="0" fontId="118" fillId="79" borderId="0" applyNumberFormat="0" applyBorder="0" applyProtection="0"/>
    <xf numFmtId="0" fontId="118" fillId="79" borderId="0" applyNumberFormat="0" applyBorder="0" applyProtection="0"/>
    <xf numFmtId="0" fontId="118" fillId="79" borderId="0" applyNumberFormat="0" applyBorder="0" applyProtection="0"/>
    <xf numFmtId="0" fontId="118" fillId="79" borderId="0" applyNumberFormat="0" applyBorder="0" applyProtection="0"/>
    <xf numFmtId="0" fontId="118" fillId="79" borderId="0" applyNumberFormat="0" applyBorder="0" applyProtection="0"/>
    <xf numFmtId="0" fontId="118" fillId="79" borderId="0" applyNumberFormat="0" applyBorder="0" applyProtection="0"/>
    <xf numFmtId="0" fontId="118" fillId="79" borderId="0" applyNumberFormat="0" applyBorder="0" applyProtection="0"/>
    <xf numFmtId="0" fontId="118" fillId="82" borderId="0" applyNumberFormat="0" applyBorder="0" applyAlignment="0" applyProtection="0"/>
    <xf numFmtId="0" fontId="118" fillId="82" borderId="0" applyNumberFormat="0" applyBorder="0" applyAlignment="0" applyProtection="0"/>
    <xf numFmtId="0" fontId="118" fillId="82" borderId="0" applyNumberFormat="0" applyBorder="0" applyAlignment="0" applyProtection="0"/>
    <xf numFmtId="0" fontId="118" fillId="82" borderId="0" applyNumberFormat="0" applyBorder="0" applyAlignment="0" applyProtection="0"/>
    <xf numFmtId="0" fontId="118" fillId="82" borderId="0" applyNumberFormat="0" applyBorder="0" applyAlignment="0" applyProtection="0"/>
    <xf numFmtId="0" fontId="118" fillId="82" borderId="0" applyNumberFormat="0" applyBorder="0" applyAlignment="0" applyProtection="0"/>
    <xf numFmtId="0" fontId="118" fillId="82" borderId="0" applyNumberFormat="0" applyBorder="0" applyAlignment="0" applyProtection="0"/>
    <xf numFmtId="0" fontId="118" fillId="82" borderId="0" applyNumberFormat="0" applyBorder="0" applyAlignment="0" applyProtection="0"/>
    <xf numFmtId="0" fontId="118" fillId="82" borderId="0" applyNumberFormat="0" applyBorder="0" applyAlignment="0" applyProtection="0"/>
    <xf numFmtId="0" fontId="118" fillId="82" borderId="0" applyNumberFormat="0" applyBorder="0" applyAlignment="0" applyProtection="0"/>
    <xf numFmtId="0" fontId="118" fillId="82" borderId="0" applyNumberFormat="0" applyBorder="0" applyAlignment="0" applyProtection="0"/>
    <xf numFmtId="0" fontId="118" fillId="82" borderId="0" applyNumberFormat="0" applyBorder="0" applyAlignment="0" applyProtection="0"/>
    <xf numFmtId="0" fontId="118" fillId="82" borderId="0" applyNumberFormat="0" applyBorder="0" applyAlignment="0" applyProtection="0"/>
    <xf numFmtId="0" fontId="118" fillId="82" borderId="0" applyNumberFormat="0" applyBorder="0" applyAlignment="0" applyProtection="0"/>
    <xf numFmtId="0" fontId="118" fillId="82" borderId="0" applyNumberFormat="0" applyBorder="0" applyAlignment="0" applyProtection="0"/>
    <xf numFmtId="0" fontId="118" fillId="82" borderId="0" applyNumberFormat="0" applyBorder="0" applyAlignment="0" applyProtection="0"/>
    <xf numFmtId="0" fontId="118" fillId="82" borderId="0" applyNumberFormat="0" applyBorder="0" applyAlignment="0" applyProtection="0"/>
    <xf numFmtId="0" fontId="118" fillId="82" borderId="0" applyNumberFormat="0" applyBorder="0" applyAlignment="0" applyProtection="0"/>
    <xf numFmtId="0" fontId="118" fillId="82" borderId="0" applyNumberFormat="0" applyBorder="0" applyAlignment="0" applyProtection="0"/>
    <xf numFmtId="0" fontId="118" fillId="82" borderId="0" applyNumberFormat="0" applyBorder="0" applyAlignment="0" applyProtection="0"/>
    <xf numFmtId="0" fontId="118" fillId="81" borderId="0" applyNumberFormat="0" applyBorder="0" applyProtection="0"/>
    <xf numFmtId="0" fontId="118" fillId="81" borderId="0" applyNumberFormat="0" applyBorder="0" applyProtection="0"/>
    <xf numFmtId="0" fontId="118" fillId="81" borderId="0" applyNumberFormat="0" applyBorder="0" applyProtection="0"/>
    <xf numFmtId="0" fontId="118" fillId="81" borderId="0" applyNumberFormat="0" applyBorder="0" applyProtection="0"/>
    <xf numFmtId="0" fontId="118" fillId="81" borderId="0" applyNumberFormat="0" applyBorder="0" applyProtection="0"/>
    <xf numFmtId="0" fontId="118" fillId="81" borderId="0" applyNumberFormat="0" applyBorder="0" applyProtection="0"/>
    <xf numFmtId="0" fontId="118" fillId="81" borderId="0" applyNumberFormat="0" applyBorder="0" applyProtection="0"/>
    <xf numFmtId="0" fontId="118" fillId="81" borderId="0" applyNumberFormat="0" applyBorder="0" applyProtection="0"/>
    <xf numFmtId="0" fontId="118" fillId="8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18" fillId="83" borderId="0" applyNumberFormat="0" applyBorder="0" applyProtection="0"/>
    <xf numFmtId="0" fontId="118" fillId="83" borderId="0" applyNumberFormat="0" applyBorder="0" applyProtection="0"/>
    <xf numFmtId="0" fontId="118" fillId="83" borderId="0" applyNumberFormat="0" applyBorder="0" applyProtection="0"/>
    <xf numFmtId="0" fontId="118" fillId="83" borderId="0" applyNumberFormat="0" applyBorder="0" applyProtection="0"/>
    <xf numFmtId="0" fontId="118" fillId="83" borderId="0" applyNumberFormat="0" applyBorder="0" applyProtection="0"/>
    <xf numFmtId="0" fontId="118" fillId="83" borderId="0" applyNumberFormat="0" applyBorder="0" applyProtection="0"/>
    <xf numFmtId="0" fontId="118" fillId="83" borderId="0" applyNumberFormat="0" applyBorder="0" applyProtection="0"/>
    <xf numFmtId="0" fontId="118" fillId="83" borderId="0" applyNumberFormat="0" applyBorder="0" applyProtection="0"/>
    <xf numFmtId="0" fontId="118" fillId="86"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85" borderId="0" applyNumberFormat="0" applyBorder="0" applyProtection="0"/>
    <xf numFmtId="0" fontId="118" fillId="85" borderId="0" applyNumberFormat="0" applyBorder="0" applyProtection="0"/>
    <xf numFmtId="0" fontId="118" fillId="85" borderId="0" applyNumberFormat="0" applyBorder="0" applyProtection="0"/>
    <xf numFmtId="0" fontId="118" fillId="85" borderId="0" applyNumberFormat="0" applyBorder="0" applyProtection="0"/>
    <xf numFmtId="0" fontId="118" fillId="85" borderId="0" applyNumberFormat="0" applyBorder="0" applyProtection="0"/>
    <xf numFmtId="0" fontId="118" fillId="85" borderId="0" applyNumberFormat="0" applyBorder="0" applyProtection="0"/>
    <xf numFmtId="0" fontId="118" fillId="85" borderId="0" applyNumberFormat="0" applyBorder="0" applyProtection="0"/>
    <xf numFmtId="0" fontId="118" fillId="85" borderId="0" applyNumberFormat="0" applyBorder="0" applyProtection="0"/>
    <xf numFmtId="0" fontId="138" fillId="87" borderId="0" applyNumberFormat="0" applyBorder="0" applyProtection="0"/>
    <xf numFmtId="0" fontId="138" fillId="87" borderId="0" applyNumberFormat="0" applyBorder="0" applyProtection="0"/>
    <xf numFmtId="0" fontId="138" fillId="87" borderId="0" applyNumberFormat="0" applyBorder="0" applyProtection="0"/>
    <xf numFmtId="0" fontId="138" fillId="87" borderId="0" applyNumberFormat="0" applyBorder="0" applyProtection="0"/>
    <xf numFmtId="0" fontId="138" fillId="87" borderId="0" applyNumberFormat="0" applyBorder="0" applyProtection="0"/>
    <xf numFmtId="0" fontId="138" fillId="87" borderId="0" applyNumberFormat="0" applyBorder="0" applyProtection="0"/>
    <xf numFmtId="0" fontId="138" fillId="87" borderId="0" applyNumberFormat="0" applyBorder="0" applyProtection="0"/>
    <xf numFmtId="0" fontId="138" fillId="87" borderId="0" applyNumberFormat="0" applyBorder="0" applyProtection="0"/>
    <xf numFmtId="0" fontId="138" fillId="70" borderId="0" applyNumberFormat="0" applyBorder="0" applyProtection="0"/>
    <xf numFmtId="0" fontId="138" fillId="70" borderId="0" applyNumberFormat="0" applyBorder="0" applyProtection="0"/>
    <xf numFmtId="0" fontId="138" fillId="70" borderId="0" applyNumberFormat="0" applyBorder="0" applyProtection="0"/>
    <xf numFmtId="0" fontId="138" fillId="70" borderId="0" applyNumberFormat="0" applyBorder="0" applyProtection="0"/>
    <xf numFmtId="0" fontId="138" fillId="70" borderId="0" applyNumberFormat="0" applyBorder="0" applyProtection="0"/>
    <xf numFmtId="0" fontId="138" fillId="70" borderId="0" applyNumberFormat="0" applyBorder="0" applyProtection="0"/>
    <xf numFmtId="0" fontId="138" fillId="70" borderId="0" applyNumberFormat="0" applyBorder="0" applyProtection="0"/>
    <xf numFmtId="0" fontId="138" fillId="70" borderId="0" applyNumberFormat="0" applyBorder="0" applyProtection="0"/>
    <xf numFmtId="0" fontId="138" fillId="60" borderId="0" applyNumberFormat="0" applyBorder="0" applyProtection="0"/>
    <xf numFmtId="0" fontId="138" fillId="60" borderId="0" applyNumberFormat="0" applyBorder="0" applyProtection="0"/>
    <xf numFmtId="0" fontId="138" fillId="60" borderId="0" applyNumberFormat="0" applyBorder="0" applyProtection="0"/>
    <xf numFmtId="0" fontId="138" fillId="60" borderId="0" applyNumberFormat="0" applyBorder="0" applyProtection="0"/>
    <xf numFmtId="0" fontId="138" fillId="60" borderId="0" applyNumberFormat="0" applyBorder="0" applyProtection="0"/>
    <xf numFmtId="0" fontId="138" fillId="60" borderId="0" applyNumberFormat="0" applyBorder="0" applyProtection="0"/>
    <xf numFmtId="0" fontId="138" fillId="60" borderId="0" applyNumberFormat="0" applyBorder="0" applyProtection="0"/>
    <xf numFmtId="0" fontId="138" fillId="60"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3" borderId="0" applyNumberFormat="0" applyBorder="0" applyProtection="0"/>
    <xf numFmtId="0" fontId="138" fillId="93" borderId="0" applyNumberFormat="0" applyBorder="0" applyProtection="0"/>
    <xf numFmtId="0" fontId="138" fillId="93" borderId="0" applyNumberFormat="0" applyBorder="0" applyProtection="0"/>
    <xf numFmtId="0" fontId="138" fillId="93" borderId="0" applyNumberFormat="0" applyBorder="0" applyProtection="0"/>
    <xf numFmtId="0" fontId="138" fillId="93" borderId="0" applyNumberFormat="0" applyBorder="0" applyProtection="0"/>
    <xf numFmtId="0" fontId="138" fillId="93" borderId="0" applyNumberFormat="0" applyBorder="0" applyProtection="0"/>
    <xf numFmtId="0" fontId="138" fillId="93" borderId="0" applyNumberFormat="0" applyBorder="0" applyProtection="0"/>
    <xf numFmtId="0" fontId="138" fillId="93" borderId="0" applyNumberFormat="0" applyBorder="0" applyProtection="0"/>
    <xf numFmtId="0" fontId="118" fillId="96"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18" fillId="95" borderId="0" applyNumberFormat="0" applyBorder="0" applyProtection="0"/>
    <xf numFmtId="0" fontId="118" fillId="95" borderId="0" applyNumberFormat="0" applyBorder="0" applyProtection="0"/>
    <xf numFmtId="0" fontId="118" fillId="95" borderId="0" applyNumberFormat="0" applyBorder="0" applyProtection="0"/>
    <xf numFmtId="0" fontId="118" fillId="95" borderId="0" applyNumberFormat="0" applyBorder="0" applyProtection="0"/>
    <xf numFmtId="0" fontId="118" fillId="95" borderId="0" applyNumberFormat="0" applyBorder="0" applyProtection="0"/>
    <xf numFmtId="0" fontId="118" fillId="95" borderId="0" applyNumberFormat="0" applyBorder="0" applyProtection="0"/>
    <xf numFmtId="0" fontId="118" fillId="95" borderId="0" applyNumberFormat="0" applyBorder="0" applyProtection="0"/>
    <xf numFmtId="0" fontId="118" fillId="95" borderId="0" applyNumberFormat="0" applyBorder="0" applyProtection="0"/>
    <xf numFmtId="0" fontId="118" fillId="98" borderId="0" applyNumberFormat="0" applyBorder="0" applyAlignment="0" applyProtection="0"/>
    <xf numFmtId="0" fontId="118" fillId="98" borderId="0" applyNumberFormat="0" applyBorder="0" applyAlignment="0" applyProtection="0"/>
    <xf numFmtId="0" fontId="118" fillId="98" borderId="0" applyNumberFormat="0" applyBorder="0" applyAlignment="0" applyProtection="0"/>
    <xf numFmtId="0" fontId="118" fillId="98" borderId="0" applyNumberFormat="0" applyBorder="0" applyAlignment="0" applyProtection="0"/>
    <xf numFmtId="0" fontId="118" fillId="98" borderId="0" applyNumberFormat="0" applyBorder="0" applyAlignment="0" applyProtection="0"/>
    <xf numFmtId="0" fontId="118" fillId="98" borderId="0" applyNumberFormat="0" applyBorder="0" applyAlignment="0" applyProtection="0"/>
    <xf numFmtId="0" fontId="118" fillId="98" borderId="0" applyNumberFormat="0" applyBorder="0" applyAlignment="0" applyProtection="0"/>
    <xf numFmtId="0" fontId="118" fillId="98" borderId="0" applyNumberFormat="0" applyBorder="0" applyAlignment="0" applyProtection="0"/>
    <xf numFmtId="0" fontId="118" fillId="98" borderId="0" applyNumberFormat="0" applyBorder="0" applyAlignment="0" applyProtection="0"/>
    <xf numFmtId="0" fontId="118" fillId="98" borderId="0" applyNumberFormat="0" applyBorder="0" applyAlignment="0" applyProtection="0"/>
    <xf numFmtId="0" fontId="118" fillId="98" borderId="0" applyNumberFormat="0" applyBorder="0" applyAlignment="0" applyProtection="0"/>
    <xf numFmtId="0" fontId="118" fillId="98" borderId="0" applyNumberFormat="0" applyBorder="0" applyAlignment="0" applyProtection="0"/>
    <xf numFmtId="0" fontId="118" fillId="98" borderId="0" applyNumberFormat="0" applyBorder="0" applyAlignment="0" applyProtection="0"/>
    <xf numFmtId="0" fontId="118" fillId="98" borderId="0" applyNumberFormat="0" applyBorder="0" applyAlignment="0" applyProtection="0"/>
    <xf numFmtId="0" fontId="118" fillId="98" borderId="0" applyNumberFormat="0" applyBorder="0" applyAlignment="0" applyProtection="0"/>
    <xf numFmtId="0" fontId="118" fillId="98" borderId="0" applyNumberFormat="0" applyBorder="0" applyAlignment="0" applyProtection="0"/>
    <xf numFmtId="0" fontId="118" fillId="98" borderId="0" applyNumberFormat="0" applyBorder="0" applyAlignment="0" applyProtection="0"/>
    <xf numFmtId="0" fontId="118" fillId="98" borderId="0" applyNumberFormat="0" applyBorder="0" applyAlignment="0" applyProtection="0"/>
    <xf numFmtId="0" fontId="118" fillId="98" borderId="0" applyNumberFormat="0" applyBorder="0" applyAlignment="0" applyProtection="0"/>
    <xf numFmtId="0" fontId="118" fillId="98" borderId="0" applyNumberFormat="0" applyBorder="0" applyAlignment="0" applyProtection="0"/>
    <xf numFmtId="0" fontId="118" fillId="97" borderId="0" applyNumberFormat="0" applyBorder="0" applyProtection="0"/>
    <xf numFmtId="0" fontId="118" fillId="97" borderId="0" applyNumberFormat="0" applyBorder="0" applyProtection="0"/>
    <xf numFmtId="0" fontId="118" fillId="97" borderId="0" applyNumberFormat="0" applyBorder="0" applyProtection="0"/>
    <xf numFmtId="0" fontId="118" fillId="97" borderId="0" applyNumberFormat="0" applyBorder="0" applyProtection="0"/>
    <xf numFmtId="0" fontId="118" fillId="97" borderId="0" applyNumberFormat="0" applyBorder="0" applyProtection="0"/>
    <xf numFmtId="0" fontId="118" fillId="97" borderId="0" applyNumberFormat="0" applyBorder="0" applyProtection="0"/>
    <xf numFmtId="0" fontId="118" fillId="97" borderId="0" applyNumberFormat="0" applyBorder="0" applyProtection="0"/>
    <xf numFmtId="0" fontId="118" fillId="97" borderId="0" applyNumberFormat="0" applyBorder="0" applyProtection="0"/>
    <xf numFmtId="0" fontId="118" fillId="100" borderId="0" applyNumberFormat="0" applyBorder="0" applyAlignment="0" applyProtection="0"/>
    <xf numFmtId="0" fontId="118" fillId="100" borderId="0" applyNumberFormat="0" applyBorder="0" applyAlignment="0" applyProtection="0"/>
    <xf numFmtId="0" fontId="118" fillId="100" borderId="0" applyNumberFormat="0" applyBorder="0" applyAlignment="0" applyProtection="0"/>
    <xf numFmtId="0" fontId="118" fillId="100" borderId="0" applyNumberFormat="0" applyBorder="0" applyAlignment="0" applyProtection="0"/>
    <xf numFmtId="0" fontId="118" fillId="100" borderId="0" applyNumberFormat="0" applyBorder="0" applyAlignment="0" applyProtection="0"/>
    <xf numFmtId="0" fontId="118" fillId="100" borderId="0" applyNumberFormat="0" applyBorder="0" applyAlignment="0" applyProtection="0"/>
    <xf numFmtId="0" fontId="118" fillId="100" borderId="0" applyNumberFormat="0" applyBorder="0" applyAlignment="0" applyProtection="0"/>
    <xf numFmtId="0" fontId="118" fillId="100" borderId="0" applyNumberFormat="0" applyBorder="0" applyAlignment="0" applyProtection="0"/>
    <xf numFmtId="0" fontId="118" fillId="100" borderId="0" applyNumberFormat="0" applyBorder="0" applyAlignment="0" applyProtection="0"/>
    <xf numFmtId="0" fontId="118" fillId="100" borderId="0" applyNumberFormat="0" applyBorder="0" applyAlignment="0" applyProtection="0"/>
    <xf numFmtId="0" fontId="118" fillId="100" borderId="0" applyNumberFormat="0" applyBorder="0" applyAlignment="0" applyProtection="0"/>
    <xf numFmtId="0" fontId="118" fillId="100" borderId="0" applyNumberFormat="0" applyBorder="0" applyAlignment="0" applyProtection="0"/>
    <xf numFmtId="0" fontId="118" fillId="100" borderId="0" applyNumberFormat="0" applyBorder="0" applyAlignment="0" applyProtection="0"/>
    <xf numFmtId="0" fontId="118" fillId="100" borderId="0" applyNumberFormat="0" applyBorder="0" applyAlignment="0" applyProtection="0"/>
    <xf numFmtId="0" fontId="118" fillId="100" borderId="0" applyNumberFormat="0" applyBorder="0" applyAlignment="0" applyProtection="0"/>
    <xf numFmtId="0" fontId="118" fillId="100" borderId="0" applyNumberFormat="0" applyBorder="0" applyAlignment="0" applyProtection="0"/>
    <xf numFmtId="0" fontId="118" fillId="100" borderId="0" applyNumberFormat="0" applyBorder="0" applyAlignment="0" applyProtection="0"/>
    <xf numFmtId="0" fontId="118" fillId="100" borderId="0" applyNumberFormat="0" applyBorder="0" applyAlignment="0" applyProtection="0"/>
    <xf numFmtId="0" fontId="118" fillId="100" borderId="0" applyNumberFormat="0" applyBorder="0" applyAlignment="0" applyProtection="0"/>
    <xf numFmtId="0" fontId="118" fillId="100" borderId="0" applyNumberFormat="0" applyBorder="0" applyAlignment="0" applyProtection="0"/>
    <xf numFmtId="0" fontId="118" fillId="99" borderId="0" applyNumberFormat="0" applyBorder="0" applyProtection="0"/>
    <xf numFmtId="0" fontId="118" fillId="99" borderId="0" applyNumberFormat="0" applyBorder="0" applyProtection="0"/>
    <xf numFmtId="0" fontId="118" fillId="99" borderId="0" applyNumberFormat="0" applyBorder="0" applyProtection="0"/>
    <xf numFmtId="0" fontId="118" fillId="99" borderId="0" applyNumberFormat="0" applyBorder="0" applyProtection="0"/>
    <xf numFmtId="0" fontId="118" fillId="99" borderId="0" applyNumberFormat="0" applyBorder="0" applyProtection="0"/>
    <xf numFmtId="0" fontId="118" fillId="99" borderId="0" applyNumberFormat="0" applyBorder="0" applyProtection="0"/>
    <xf numFmtId="0" fontId="118" fillId="99" borderId="0" applyNumberFormat="0" applyBorder="0" applyProtection="0"/>
    <xf numFmtId="0" fontId="118" fillId="99" borderId="0" applyNumberFormat="0" applyBorder="0" applyProtection="0"/>
    <xf numFmtId="0" fontId="118" fillId="102" borderId="0" applyNumberFormat="0" applyBorder="0" applyAlignment="0" applyProtection="0"/>
    <xf numFmtId="0" fontId="118" fillId="102" borderId="0" applyNumberFormat="0" applyBorder="0" applyAlignment="0" applyProtection="0"/>
    <xf numFmtId="0" fontId="118" fillId="102" borderId="0" applyNumberFormat="0" applyBorder="0" applyAlignment="0" applyProtection="0"/>
    <xf numFmtId="0" fontId="118" fillId="102" borderId="0" applyNumberFormat="0" applyBorder="0" applyAlignment="0" applyProtection="0"/>
    <xf numFmtId="0" fontId="118" fillId="102" borderId="0" applyNumberFormat="0" applyBorder="0" applyAlignment="0" applyProtection="0"/>
    <xf numFmtId="0" fontId="118" fillId="102" borderId="0" applyNumberFormat="0" applyBorder="0" applyAlignment="0" applyProtection="0"/>
    <xf numFmtId="0" fontId="118" fillId="102" borderId="0" applyNumberFormat="0" applyBorder="0" applyAlignment="0" applyProtection="0"/>
    <xf numFmtId="0" fontId="118" fillId="102" borderId="0" applyNumberFormat="0" applyBorder="0" applyAlignment="0" applyProtection="0"/>
    <xf numFmtId="0" fontId="118" fillId="102" borderId="0" applyNumberFormat="0" applyBorder="0" applyAlignment="0" applyProtection="0"/>
    <xf numFmtId="0" fontId="118" fillId="102" borderId="0" applyNumberFormat="0" applyBorder="0" applyAlignment="0" applyProtection="0"/>
    <xf numFmtId="0" fontId="118" fillId="102" borderId="0" applyNumberFormat="0" applyBorder="0" applyAlignment="0" applyProtection="0"/>
    <xf numFmtId="0" fontId="118" fillId="102" borderId="0" applyNumberFormat="0" applyBorder="0" applyAlignment="0" applyProtection="0"/>
    <xf numFmtId="0" fontId="118" fillId="102" borderId="0" applyNumberFormat="0" applyBorder="0" applyAlignment="0" applyProtection="0"/>
    <xf numFmtId="0" fontId="118" fillId="102" borderId="0" applyNumberFormat="0" applyBorder="0" applyAlignment="0" applyProtection="0"/>
    <xf numFmtId="0" fontId="118" fillId="102" borderId="0" applyNumberFormat="0" applyBorder="0" applyAlignment="0" applyProtection="0"/>
    <xf numFmtId="0" fontId="118" fillId="102" borderId="0" applyNumberFormat="0" applyBorder="0" applyAlignment="0" applyProtection="0"/>
    <xf numFmtId="0" fontId="118" fillId="102" borderId="0" applyNumberFormat="0" applyBorder="0" applyAlignment="0" applyProtection="0"/>
    <xf numFmtId="0" fontId="118" fillId="102" borderId="0" applyNumberFormat="0" applyBorder="0" applyAlignment="0" applyProtection="0"/>
    <xf numFmtId="0" fontId="118" fillId="102" borderId="0" applyNumberFormat="0" applyBorder="0" applyAlignment="0" applyProtection="0"/>
    <xf numFmtId="0" fontId="118" fillId="102" borderId="0" applyNumberFormat="0" applyBorder="0" applyAlignment="0" applyProtection="0"/>
    <xf numFmtId="0" fontId="118" fillId="101" borderId="0" applyNumberFormat="0" applyBorder="0" applyProtection="0"/>
    <xf numFmtId="0" fontId="118" fillId="101" borderId="0" applyNumberFormat="0" applyBorder="0" applyProtection="0"/>
    <xf numFmtId="0" fontId="118" fillId="101" borderId="0" applyNumberFormat="0" applyBorder="0" applyProtection="0"/>
    <xf numFmtId="0" fontId="118" fillId="101" borderId="0" applyNumberFormat="0" applyBorder="0" applyProtection="0"/>
    <xf numFmtId="0" fontId="118" fillId="101" borderId="0" applyNumberFormat="0" applyBorder="0" applyProtection="0"/>
    <xf numFmtId="0" fontId="118" fillId="101" borderId="0" applyNumberFormat="0" applyBorder="0" applyProtection="0"/>
    <xf numFmtId="0" fontId="118" fillId="101" borderId="0" applyNumberFormat="0" applyBorder="0" applyProtection="0"/>
    <xf numFmtId="0" fontId="118" fillId="101" borderId="0" applyNumberFormat="0" applyBorder="0" applyProtection="0"/>
    <xf numFmtId="0" fontId="118" fillId="104" borderId="0" applyNumberFormat="0" applyBorder="0" applyAlignment="0" applyProtection="0"/>
    <xf numFmtId="0" fontId="118" fillId="104" borderId="0" applyNumberFormat="0" applyBorder="0" applyAlignment="0" applyProtection="0"/>
    <xf numFmtId="0" fontId="118" fillId="104" borderId="0" applyNumberFormat="0" applyBorder="0" applyAlignment="0" applyProtection="0"/>
    <xf numFmtId="0" fontId="118" fillId="104" borderId="0" applyNumberFormat="0" applyBorder="0" applyAlignment="0" applyProtection="0"/>
    <xf numFmtId="0" fontId="118" fillId="104" borderId="0" applyNumberFormat="0" applyBorder="0" applyAlignment="0" applyProtection="0"/>
    <xf numFmtId="0" fontId="118" fillId="104" borderId="0" applyNumberFormat="0" applyBorder="0" applyAlignment="0" applyProtection="0"/>
    <xf numFmtId="0" fontId="118" fillId="104" borderId="0" applyNumberFormat="0" applyBorder="0" applyAlignment="0" applyProtection="0"/>
    <xf numFmtId="0" fontId="118" fillId="104" borderId="0" applyNumberFormat="0" applyBorder="0" applyAlignment="0" applyProtection="0"/>
    <xf numFmtId="0" fontId="118" fillId="104" borderId="0" applyNumberFormat="0" applyBorder="0" applyAlignment="0" applyProtection="0"/>
    <xf numFmtId="0" fontId="118" fillId="104" borderId="0" applyNumberFormat="0" applyBorder="0" applyAlignment="0" applyProtection="0"/>
    <xf numFmtId="0" fontId="118" fillId="104" borderId="0" applyNumberFormat="0" applyBorder="0" applyAlignment="0" applyProtection="0"/>
    <xf numFmtId="0" fontId="118" fillId="104" borderId="0" applyNumberFormat="0" applyBorder="0" applyAlignment="0" applyProtection="0"/>
    <xf numFmtId="0" fontId="118" fillId="104" borderId="0" applyNumberFormat="0" applyBorder="0" applyAlignment="0" applyProtection="0"/>
    <xf numFmtId="0" fontId="118" fillId="104" borderId="0" applyNumberFormat="0" applyBorder="0" applyAlignment="0" applyProtection="0"/>
    <xf numFmtId="0" fontId="118" fillId="104" borderId="0" applyNumberFormat="0" applyBorder="0" applyAlignment="0" applyProtection="0"/>
    <xf numFmtId="0" fontId="118" fillId="104" borderId="0" applyNumberFormat="0" applyBorder="0" applyAlignment="0" applyProtection="0"/>
    <xf numFmtId="0" fontId="118" fillId="104" borderId="0" applyNumberFormat="0" applyBorder="0" applyAlignment="0" applyProtection="0"/>
    <xf numFmtId="0" fontId="118" fillId="104" borderId="0" applyNumberFormat="0" applyBorder="0" applyAlignment="0" applyProtection="0"/>
    <xf numFmtId="0" fontId="118" fillId="104" borderId="0" applyNumberFormat="0" applyBorder="0" applyAlignment="0" applyProtection="0"/>
    <xf numFmtId="0" fontId="118" fillId="104" borderId="0" applyNumberFormat="0" applyBorder="0" applyAlignment="0" applyProtection="0"/>
    <xf numFmtId="0" fontId="118" fillId="103" borderId="0" applyNumberFormat="0" applyBorder="0" applyProtection="0"/>
    <xf numFmtId="0" fontId="118" fillId="103" borderId="0" applyNumberFormat="0" applyBorder="0" applyProtection="0"/>
    <xf numFmtId="0" fontId="118" fillId="103" borderId="0" applyNumberFormat="0" applyBorder="0" applyProtection="0"/>
    <xf numFmtId="0" fontId="118" fillId="103" borderId="0" applyNumberFormat="0" applyBorder="0" applyProtection="0"/>
    <xf numFmtId="0" fontId="118" fillId="103" borderId="0" applyNumberFormat="0" applyBorder="0" applyProtection="0"/>
    <xf numFmtId="0" fontId="118" fillId="103" borderId="0" applyNumberFormat="0" applyBorder="0" applyProtection="0"/>
    <xf numFmtId="0" fontId="118" fillId="103" borderId="0" applyNumberFormat="0" applyBorder="0" applyProtection="0"/>
    <xf numFmtId="0" fontId="118" fillId="103" borderId="0" applyNumberFormat="0" applyBorder="0" applyProtection="0"/>
    <xf numFmtId="0" fontId="118" fillId="106" borderId="0" applyNumberFormat="0" applyBorder="0" applyAlignment="0" applyProtection="0"/>
    <xf numFmtId="0" fontId="118" fillId="106" borderId="0" applyNumberFormat="0" applyBorder="0" applyAlignment="0" applyProtection="0"/>
    <xf numFmtId="0" fontId="118" fillId="106" borderId="0" applyNumberFormat="0" applyBorder="0" applyAlignment="0" applyProtection="0"/>
    <xf numFmtId="0" fontId="118" fillId="106" borderId="0" applyNumberFormat="0" applyBorder="0" applyAlignment="0" applyProtection="0"/>
    <xf numFmtId="0" fontId="118" fillId="106" borderId="0" applyNumberFormat="0" applyBorder="0" applyAlignment="0" applyProtection="0"/>
    <xf numFmtId="0" fontId="118" fillId="106" borderId="0" applyNumberFormat="0" applyBorder="0" applyAlignment="0" applyProtection="0"/>
    <xf numFmtId="0" fontId="118" fillId="106" borderId="0" applyNumberFormat="0" applyBorder="0" applyAlignment="0" applyProtection="0"/>
    <xf numFmtId="0" fontId="118" fillId="106" borderId="0" applyNumberFormat="0" applyBorder="0" applyAlignment="0" applyProtection="0"/>
    <xf numFmtId="0" fontId="118" fillId="106" borderId="0" applyNumberFormat="0" applyBorder="0" applyAlignment="0" applyProtection="0"/>
    <xf numFmtId="0" fontId="118" fillId="106" borderId="0" applyNumberFormat="0" applyBorder="0" applyAlignment="0" applyProtection="0"/>
    <xf numFmtId="0" fontId="118" fillId="106" borderId="0" applyNumberFormat="0" applyBorder="0" applyAlignment="0" applyProtection="0"/>
    <xf numFmtId="0" fontId="118" fillId="106" borderId="0" applyNumberFormat="0" applyBorder="0" applyAlignment="0" applyProtection="0"/>
    <xf numFmtId="0" fontId="118" fillId="106" borderId="0" applyNumberFormat="0" applyBorder="0" applyAlignment="0" applyProtection="0"/>
    <xf numFmtId="0" fontId="118" fillId="106" borderId="0" applyNumberFormat="0" applyBorder="0" applyAlignment="0" applyProtection="0"/>
    <xf numFmtId="0" fontId="118" fillId="106" borderId="0" applyNumberFormat="0" applyBorder="0" applyAlignment="0" applyProtection="0"/>
    <xf numFmtId="0" fontId="118" fillId="106" borderId="0" applyNumberFormat="0" applyBorder="0" applyAlignment="0" applyProtection="0"/>
    <xf numFmtId="0" fontId="118" fillId="106" borderId="0" applyNumberFormat="0" applyBorder="0" applyAlignment="0" applyProtection="0"/>
    <xf numFmtId="0" fontId="118" fillId="106" borderId="0" applyNumberFormat="0" applyBorder="0" applyAlignment="0" applyProtection="0"/>
    <xf numFmtId="0" fontId="118" fillId="106" borderId="0" applyNumberFormat="0" applyBorder="0" applyAlignment="0" applyProtection="0"/>
    <xf numFmtId="0" fontId="118" fillId="106" borderId="0" applyNumberFormat="0" applyBorder="0" applyAlignment="0" applyProtection="0"/>
    <xf numFmtId="0" fontId="118" fillId="105" borderId="0" applyNumberFormat="0" applyBorder="0" applyProtection="0"/>
    <xf numFmtId="0" fontId="118" fillId="105" borderId="0" applyNumberFormat="0" applyBorder="0" applyProtection="0"/>
    <xf numFmtId="0" fontId="118" fillId="105" borderId="0" applyNumberFormat="0" applyBorder="0" applyProtection="0"/>
    <xf numFmtId="0" fontId="118" fillId="105" borderId="0" applyNumberFormat="0" applyBorder="0" applyProtection="0"/>
    <xf numFmtId="0" fontId="118" fillId="105" borderId="0" applyNumberFormat="0" applyBorder="0" applyProtection="0"/>
    <xf numFmtId="0" fontId="118" fillId="105" borderId="0" applyNumberFormat="0" applyBorder="0" applyProtection="0"/>
    <xf numFmtId="0" fontId="118" fillId="105" borderId="0" applyNumberFormat="0" applyBorder="0" applyProtection="0"/>
    <xf numFmtId="0" fontId="118" fillId="105" borderId="0" applyNumberFormat="0" applyBorder="0" applyProtection="0"/>
    <xf numFmtId="0" fontId="110" fillId="108" borderId="0" applyNumberFormat="0" applyBorder="0" applyAlignment="0" applyProtection="0"/>
    <xf numFmtId="0" fontId="110" fillId="108" borderId="0" applyNumberFormat="0" applyBorder="0" applyAlignment="0" applyProtection="0"/>
    <xf numFmtId="0" fontId="110" fillId="108" borderId="0" applyNumberFormat="0" applyBorder="0" applyAlignment="0" applyProtection="0"/>
    <xf numFmtId="0" fontId="110" fillId="108" borderId="0" applyNumberFormat="0" applyBorder="0" applyAlignment="0" applyProtection="0"/>
    <xf numFmtId="0" fontId="110" fillId="108" borderId="0" applyNumberFormat="0" applyBorder="0" applyAlignment="0" applyProtection="0"/>
    <xf numFmtId="0" fontId="110" fillId="108" borderId="0" applyNumberFormat="0" applyBorder="0" applyAlignment="0" applyProtection="0"/>
    <xf numFmtId="0" fontId="110" fillId="108" borderId="0" applyNumberFormat="0" applyBorder="0" applyAlignment="0" applyProtection="0"/>
    <xf numFmtId="0" fontId="110" fillId="108" borderId="0" applyNumberFormat="0" applyBorder="0" applyAlignment="0" applyProtection="0"/>
    <xf numFmtId="0" fontId="110" fillId="108" borderId="0" applyNumberFormat="0" applyBorder="0" applyAlignment="0" applyProtection="0"/>
    <xf numFmtId="0" fontId="110" fillId="108" borderId="0" applyNumberFormat="0" applyBorder="0" applyAlignment="0" applyProtection="0"/>
    <xf numFmtId="0" fontId="110" fillId="108" borderId="0" applyNumberFormat="0" applyBorder="0" applyAlignment="0" applyProtection="0"/>
    <xf numFmtId="0" fontId="110" fillId="108" borderId="0" applyNumberFormat="0" applyBorder="0" applyAlignment="0" applyProtection="0"/>
    <xf numFmtId="0" fontId="110" fillId="108" borderId="0" applyNumberFormat="0" applyBorder="0" applyAlignment="0" applyProtection="0"/>
    <xf numFmtId="0" fontId="110" fillId="108" borderId="0" applyNumberFormat="0" applyBorder="0" applyAlignment="0" applyProtection="0"/>
    <xf numFmtId="0" fontId="110" fillId="108" borderId="0" applyNumberFormat="0" applyBorder="0" applyAlignment="0" applyProtection="0"/>
    <xf numFmtId="0" fontId="110" fillId="108" borderId="0" applyNumberFormat="0" applyBorder="0" applyAlignment="0" applyProtection="0"/>
    <xf numFmtId="0" fontId="110" fillId="108" borderId="0" applyNumberFormat="0" applyBorder="0" applyAlignment="0" applyProtection="0"/>
    <xf numFmtId="0" fontId="110" fillId="108" borderId="0" applyNumberFormat="0" applyBorder="0" applyAlignment="0" applyProtection="0"/>
    <xf numFmtId="0" fontId="110" fillId="108" borderId="0" applyNumberFormat="0" applyBorder="0" applyAlignment="0" applyProtection="0"/>
    <xf numFmtId="0" fontId="110" fillId="108" borderId="0" applyNumberFormat="0" applyBorder="0" applyAlignment="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4" fillId="110" borderId="67" applyNumberFormat="0" applyAlignment="0" applyProtection="0"/>
    <xf numFmtId="0" fontId="114" fillId="110" borderId="67" applyNumberFormat="0" applyAlignment="0" applyProtection="0"/>
    <xf numFmtId="0" fontId="114" fillId="110" borderId="67" applyNumberFormat="0" applyAlignment="0" applyProtection="0"/>
    <xf numFmtId="0" fontId="114" fillId="110" borderId="67" applyNumberFormat="0" applyAlignment="0" applyProtection="0"/>
    <xf numFmtId="0" fontId="114" fillId="110" borderId="67" applyNumberFormat="0" applyAlignment="0" applyProtection="0"/>
    <xf numFmtId="0" fontId="114" fillId="110" borderId="67" applyNumberFormat="0" applyAlignment="0" applyProtection="0"/>
    <xf numFmtId="0" fontId="114" fillId="110" borderId="67" applyNumberFormat="0" applyAlignment="0" applyProtection="0"/>
    <xf numFmtId="0" fontId="114" fillId="110" borderId="67" applyNumberFormat="0" applyAlignment="0" applyProtection="0"/>
    <xf numFmtId="0" fontId="114" fillId="110" borderId="67" applyNumberFormat="0" applyAlignment="0" applyProtection="0"/>
    <xf numFmtId="0" fontId="114" fillId="110" borderId="67" applyNumberFormat="0" applyAlignment="0" applyProtection="0"/>
    <xf numFmtId="0" fontId="114" fillId="110" borderId="67" applyNumberFormat="0" applyAlignment="0" applyProtection="0"/>
    <xf numFmtId="0" fontId="114" fillId="110" borderId="67" applyNumberFormat="0" applyAlignment="0" applyProtection="0"/>
    <xf numFmtId="0" fontId="114" fillId="110" borderId="67" applyNumberFormat="0" applyAlignment="0" applyProtection="0"/>
    <xf numFmtId="0" fontId="114" fillId="110" borderId="67" applyNumberFormat="0" applyAlignment="0" applyProtection="0"/>
    <xf numFmtId="0" fontId="114" fillId="110" borderId="67" applyNumberFormat="0" applyAlignment="0" applyProtection="0"/>
    <xf numFmtId="0" fontId="114" fillId="110" borderId="67" applyNumberFormat="0" applyAlignment="0" applyProtection="0"/>
    <xf numFmtId="0" fontId="114" fillId="110" borderId="67" applyNumberFormat="0" applyAlignment="0" applyProtection="0"/>
    <xf numFmtId="0" fontId="114" fillId="110" borderId="67" applyNumberFormat="0" applyAlignment="0" applyProtection="0"/>
    <xf numFmtId="0" fontId="114" fillId="110" borderId="67" applyNumberFormat="0" applyAlignment="0" applyProtection="0"/>
    <xf numFmtId="0" fontId="114" fillId="110" borderId="67" applyNumberFormat="0" applyAlignment="0" applyProtection="0"/>
    <xf numFmtId="0" fontId="114" fillId="109" borderId="67" applyNumberFormat="0" applyProtection="0"/>
    <xf numFmtId="0" fontId="114" fillId="109" borderId="67" applyNumberFormat="0" applyProtection="0"/>
    <xf numFmtId="0" fontId="114" fillId="109" borderId="67" applyNumberFormat="0" applyProtection="0"/>
    <xf numFmtId="0" fontId="114" fillId="109" borderId="67" applyNumberFormat="0" applyProtection="0"/>
    <xf numFmtId="0" fontId="114" fillId="109" borderId="67" applyNumberFormat="0" applyProtection="0"/>
    <xf numFmtId="0" fontId="114" fillId="109" borderId="67" applyNumberFormat="0" applyProtection="0"/>
    <xf numFmtId="0" fontId="114" fillId="109" borderId="67" applyNumberFormat="0" applyProtection="0"/>
    <xf numFmtId="0" fontId="114" fillId="109" borderId="67" applyNumberFormat="0" applyProtection="0"/>
    <xf numFmtId="0" fontId="116" fillId="112" borderId="70" applyNumberFormat="0" applyAlignment="0" applyProtection="0"/>
    <xf numFmtId="0" fontId="116" fillId="112" borderId="70" applyNumberFormat="0" applyAlignment="0" applyProtection="0"/>
    <xf numFmtId="0" fontId="116" fillId="112" borderId="70" applyNumberFormat="0" applyAlignment="0" applyProtection="0"/>
    <xf numFmtId="0" fontId="116" fillId="112" borderId="70" applyNumberFormat="0" applyAlignment="0" applyProtection="0"/>
    <xf numFmtId="0" fontId="116" fillId="112" borderId="70" applyNumberFormat="0" applyAlignment="0" applyProtection="0"/>
    <xf numFmtId="0" fontId="116" fillId="112" borderId="70" applyNumberFormat="0" applyAlignment="0" applyProtection="0"/>
    <xf numFmtId="0" fontId="116" fillId="112" borderId="70" applyNumberFormat="0" applyAlignment="0" applyProtection="0"/>
    <xf numFmtId="0" fontId="116" fillId="112" borderId="70" applyNumberFormat="0" applyAlignment="0" applyProtection="0"/>
    <xf numFmtId="0" fontId="116" fillId="112" borderId="70" applyNumberFormat="0" applyAlignment="0" applyProtection="0"/>
    <xf numFmtId="0" fontId="116" fillId="112" borderId="70" applyNumberFormat="0" applyAlignment="0" applyProtection="0"/>
    <xf numFmtId="0" fontId="116" fillId="112" borderId="70" applyNumberFormat="0" applyAlignment="0" applyProtection="0"/>
    <xf numFmtId="0" fontId="116" fillId="112" borderId="70" applyNumberFormat="0" applyAlignment="0" applyProtection="0"/>
    <xf numFmtId="0" fontId="116" fillId="112" borderId="70" applyNumberFormat="0" applyAlignment="0" applyProtection="0"/>
    <xf numFmtId="0" fontId="116" fillId="112" borderId="70" applyNumberFormat="0" applyAlignment="0" applyProtection="0"/>
    <xf numFmtId="0" fontId="116" fillId="112" borderId="70" applyNumberFormat="0" applyAlignment="0" applyProtection="0"/>
    <xf numFmtId="0" fontId="116" fillId="112" borderId="70" applyNumberFormat="0" applyAlignment="0" applyProtection="0"/>
    <xf numFmtId="0" fontId="116" fillId="112" borderId="70" applyNumberFormat="0" applyAlignment="0" applyProtection="0"/>
    <xf numFmtId="0" fontId="116" fillId="112" borderId="70" applyNumberFormat="0" applyAlignment="0" applyProtection="0"/>
    <xf numFmtId="0" fontId="116" fillId="112" borderId="70" applyNumberFormat="0" applyAlignment="0" applyProtection="0"/>
    <xf numFmtId="0" fontId="116" fillId="112" borderId="70" applyNumberFormat="0" applyAlignment="0" applyProtection="0"/>
    <xf numFmtId="0" fontId="116" fillId="111" borderId="70" applyNumberFormat="0" applyProtection="0"/>
    <xf numFmtId="0" fontId="116" fillId="111" borderId="70" applyNumberFormat="0" applyProtection="0"/>
    <xf numFmtId="0" fontId="116" fillId="111" borderId="70" applyNumberFormat="0" applyProtection="0"/>
    <xf numFmtId="0" fontId="116" fillId="111" borderId="70" applyNumberFormat="0" applyProtection="0"/>
    <xf numFmtId="0" fontId="116" fillId="111" borderId="70" applyNumberFormat="0" applyProtection="0"/>
    <xf numFmtId="0" fontId="116" fillId="111" borderId="70" applyNumberFormat="0" applyProtection="0"/>
    <xf numFmtId="0" fontId="116" fillId="111" borderId="70" applyNumberFormat="0" applyProtection="0"/>
    <xf numFmtId="0" fontId="116" fillId="111" borderId="70" applyNumberForma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169" fontId="145" fillId="113" borderId="38">
      <alignment horizontal="right" shrinkToFit="1"/>
    </xf>
    <xf numFmtId="169" fontId="145" fillId="113" borderId="38">
      <alignment horizontal="right" shrinkToFit="1"/>
    </xf>
    <xf numFmtId="169" fontId="145" fillId="113" borderId="38">
      <alignment horizontal="right" shrinkToFit="1"/>
    </xf>
    <xf numFmtId="169" fontId="145" fillId="113" borderId="38">
      <alignment horizontal="right" shrinkToFit="1"/>
    </xf>
    <xf numFmtId="169" fontId="145" fillId="113" borderId="38">
      <alignment horizontal="right" shrinkToFit="1"/>
    </xf>
    <xf numFmtId="169" fontId="145" fillId="113" borderId="38">
      <alignment horizontal="right" shrinkToFit="1"/>
    </xf>
    <xf numFmtId="169" fontId="145" fillId="113" borderId="38">
      <alignment horizontal="right" shrinkToFit="1"/>
    </xf>
    <xf numFmtId="169"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8">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4" fontId="145" fillId="113" borderId="37">
      <alignment horizontal="right" shrinkToFi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49" fontId="146" fillId="115" borderId="30">
      <alignment horizontal="center" vertical="top" shrinkToFit="1"/>
    </xf>
    <xf numFmtId="49" fontId="146" fillId="115" borderId="30">
      <alignment horizontal="center" vertical="top" shrinkToFit="1"/>
    </xf>
    <xf numFmtId="49" fontId="146" fillId="115" borderId="30">
      <alignment horizontal="center" vertical="top" shrinkToFit="1"/>
    </xf>
    <xf numFmtId="49" fontId="146" fillId="115" borderId="30">
      <alignment horizontal="center" vertical="top" shrinkToFit="1"/>
    </xf>
    <xf numFmtId="49" fontId="146" fillId="115" borderId="30">
      <alignment horizontal="center" vertical="top" shrinkToFit="1"/>
    </xf>
    <xf numFmtId="49" fontId="146" fillId="115" borderId="30">
      <alignment horizontal="center" vertical="top" shrinkToFit="1"/>
    </xf>
    <xf numFmtId="49" fontId="146" fillId="115" borderId="30">
      <alignment horizontal="center" vertical="top" shrinkToFit="1"/>
    </xf>
    <xf numFmtId="49" fontId="146" fillId="115" borderId="30">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49" fontId="145" fillId="114" borderId="24">
      <alignment horizontal="center" vertical="top" shrinkToFi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0" fontId="145" fillId="114" borderId="24">
      <alignment horizontal="left" vertical="top" wrapTex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49" fontId="145" fillId="114" borderId="25">
      <alignment horizontal="center" vertical="top" wrapText="1" shrinkToFi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0" fontId="145" fillId="114" borderId="25">
      <alignment horizontal="left" vertical="top" wrapTex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4" fontId="145" fillId="114" borderId="25">
      <alignment horizontal="right" vertical="top" wrapText="1"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169" fontId="145" fillId="114" borderId="26">
      <alignment horizontal="right" vertical="top" shrinkToFit="1"/>
    </xf>
    <xf numFmtId="169" fontId="145" fillId="114" borderId="26">
      <alignment horizontal="right" vertical="top" shrinkToFit="1"/>
    </xf>
    <xf numFmtId="169" fontId="145" fillId="114" borderId="26">
      <alignment horizontal="right" vertical="top" shrinkToFit="1"/>
    </xf>
    <xf numFmtId="169" fontId="145" fillId="114" borderId="26">
      <alignment horizontal="right" vertical="top" shrinkToFit="1"/>
    </xf>
    <xf numFmtId="169" fontId="145" fillId="114" borderId="26">
      <alignment horizontal="right" vertical="top" shrinkToFit="1"/>
    </xf>
    <xf numFmtId="169" fontId="145" fillId="114" borderId="26">
      <alignment horizontal="right" vertical="top" shrinkToFit="1"/>
    </xf>
    <xf numFmtId="169" fontId="145" fillId="114" borderId="26">
      <alignment horizontal="right" vertical="top" shrinkToFit="1"/>
    </xf>
    <xf numFmtId="169" fontId="145" fillId="114" borderId="26">
      <alignment horizontal="right" vertical="top" shrinkToFit="1"/>
    </xf>
    <xf numFmtId="4" fontId="146" fillId="115" borderId="32">
      <alignment horizontal="right" vertical="top" shrinkToFit="1"/>
    </xf>
    <xf numFmtId="4" fontId="146" fillId="115" borderId="32">
      <alignment horizontal="right" vertical="top" shrinkToFit="1"/>
    </xf>
    <xf numFmtId="4" fontId="146" fillId="115" borderId="32">
      <alignment horizontal="right" vertical="top" shrinkToFit="1"/>
    </xf>
    <xf numFmtId="4" fontId="146" fillId="115" borderId="32">
      <alignment horizontal="right" vertical="top" shrinkToFit="1"/>
    </xf>
    <xf numFmtId="4" fontId="146" fillId="115" borderId="32">
      <alignment horizontal="right" vertical="top" shrinkToFit="1"/>
    </xf>
    <xf numFmtId="4" fontId="146" fillId="115" borderId="32">
      <alignment horizontal="right" vertical="top" shrinkToFit="1"/>
    </xf>
    <xf numFmtId="4" fontId="146" fillId="115" borderId="32">
      <alignment horizontal="right" vertical="top" shrinkToFit="1"/>
    </xf>
    <xf numFmtId="4" fontId="146" fillId="115" borderId="32">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4" fontId="145" fillId="114" borderId="26">
      <alignment horizontal="righ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5" fillId="114" borderId="26">
      <alignment vertical="top" shrinkToFi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49" fontId="146" fillId="116" borderId="27">
      <alignment horizontal="center" vertical="top" shrinkToFi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0" fontId="146" fillId="116" borderId="27">
      <alignment horizontal="left" vertical="top" wrapTex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26"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26"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49" fontId="146" fillId="116" borderId="28">
      <alignment horizontal="center" vertical="top" shrinkToFi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0" fontId="146" fillId="116" borderId="28">
      <alignment horizontal="left" vertical="top" wrapTex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26"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169" fontId="146" fillId="116" borderId="29">
      <alignment horizontal="right" vertical="top" shrinkToFit="1"/>
    </xf>
    <xf numFmtId="169" fontId="146" fillId="116" borderId="29">
      <alignment horizontal="right" vertical="top" shrinkToFit="1"/>
    </xf>
    <xf numFmtId="169" fontId="146" fillId="116" borderId="29">
      <alignment horizontal="right" vertical="top" shrinkToFit="1"/>
    </xf>
    <xf numFmtId="169" fontId="146" fillId="116" borderId="29">
      <alignment horizontal="right" vertical="top" shrinkToFit="1"/>
    </xf>
    <xf numFmtId="169" fontId="146" fillId="116" borderId="29">
      <alignment horizontal="right" vertical="top" shrinkToFit="1"/>
    </xf>
    <xf numFmtId="169" fontId="146" fillId="116" borderId="29">
      <alignment horizontal="right" vertical="top" shrinkToFit="1"/>
    </xf>
    <xf numFmtId="169" fontId="146" fillId="116" borderId="29">
      <alignment horizontal="right" vertical="top" shrinkToFit="1"/>
    </xf>
    <xf numFmtId="169" fontId="146" fillId="116" borderId="29">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4" fontId="146" fillId="116" borderId="29">
      <alignment horizontal="righ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0" fontId="146" fillId="116" borderId="29">
      <alignment vertical="top" shrinkToFit="1"/>
    </xf>
    <xf numFmtId="49" fontId="146" fillId="115" borderId="30">
      <alignment horizontal="center" vertical="top" shrinkToFit="1"/>
    </xf>
    <xf numFmtId="49" fontId="146" fillId="115" borderId="30">
      <alignment horizontal="center" vertical="top" shrinkToFit="1"/>
    </xf>
    <xf numFmtId="49" fontId="146" fillId="115" borderId="30">
      <alignment horizontal="center" vertical="top" shrinkToFit="1"/>
    </xf>
    <xf numFmtId="49" fontId="146" fillId="115" borderId="30">
      <alignment horizontal="center" vertical="top" shrinkToFit="1"/>
    </xf>
    <xf numFmtId="49" fontId="146" fillId="115" borderId="30">
      <alignment horizontal="center" vertical="top" shrinkToFit="1"/>
    </xf>
    <xf numFmtId="49" fontId="146" fillId="115" borderId="30">
      <alignment horizontal="center" vertical="top" shrinkToFit="1"/>
    </xf>
    <xf numFmtId="49" fontId="146" fillId="115" borderId="30">
      <alignment horizontal="center" vertical="top" shrinkToFit="1"/>
    </xf>
    <xf numFmtId="49" fontId="146" fillId="115" borderId="30">
      <alignment horizontal="center" vertical="top" shrinkToFit="1"/>
    </xf>
    <xf numFmtId="0" fontId="146" fillId="115" borderId="30">
      <alignment horizontal="left" vertical="top" wrapText="1"/>
    </xf>
    <xf numFmtId="0" fontId="146" fillId="115" borderId="30">
      <alignment horizontal="left" vertical="top" wrapText="1"/>
    </xf>
    <xf numFmtId="0" fontId="146" fillId="115" borderId="30">
      <alignment horizontal="left" vertical="top" wrapText="1"/>
    </xf>
    <xf numFmtId="0" fontId="146" fillId="115" borderId="30">
      <alignment horizontal="left" vertical="top" wrapText="1"/>
    </xf>
    <xf numFmtId="0" fontId="146" fillId="115" borderId="30">
      <alignment horizontal="left" vertical="top" wrapText="1"/>
    </xf>
    <xf numFmtId="0" fontId="146" fillId="115" borderId="30">
      <alignment horizontal="left" vertical="top" wrapText="1"/>
    </xf>
    <xf numFmtId="0" fontId="146" fillId="115" borderId="30">
      <alignment horizontal="left" vertical="top" wrapText="1"/>
    </xf>
    <xf numFmtId="0" fontId="146" fillId="115" borderId="30">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49" fontId="146" fillId="115" borderId="31">
      <alignment horizontal="center" vertical="top" shrinkToFi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0" fontId="146" fillId="115" borderId="31">
      <alignment horizontal="left" vertical="top" wrapTex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0" fontId="146" fillId="115" borderId="32">
      <alignment vertical="top" shrinkToFit="1"/>
    </xf>
    <xf numFmtId="4" fontId="146" fillId="115" borderId="32">
      <alignment horizontal="right" vertical="top" shrinkToFit="1"/>
    </xf>
    <xf numFmtId="4" fontId="146" fillId="115" borderId="32">
      <alignment horizontal="right" vertical="top" shrinkToFit="1"/>
    </xf>
    <xf numFmtId="4" fontId="146" fillId="115" borderId="32">
      <alignment horizontal="right" vertical="top" shrinkToFit="1"/>
    </xf>
    <xf numFmtId="4" fontId="146" fillId="115" borderId="32">
      <alignment horizontal="right" vertical="top" shrinkToFit="1"/>
    </xf>
    <xf numFmtId="4" fontId="146" fillId="115" borderId="32">
      <alignment horizontal="right" vertical="top" shrinkToFit="1"/>
    </xf>
    <xf numFmtId="4" fontId="146" fillId="115" borderId="32">
      <alignment horizontal="right" vertical="top" shrinkToFit="1"/>
    </xf>
    <xf numFmtId="4" fontId="146" fillId="115" borderId="32">
      <alignment horizontal="right" vertical="top" shrinkToFit="1"/>
    </xf>
    <xf numFmtId="4" fontId="146" fillId="115" borderId="32">
      <alignment horizontal="right" vertical="top" shrinkToFit="1"/>
    </xf>
    <xf numFmtId="169" fontId="146" fillId="115" borderId="32">
      <alignment horizontal="right" vertical="top" shrinkToFit="1"/>
    </xf>
    <xf numFmtId="169" fontId="146" fillId="115" borderId="32">
      <alignment horizontal="right" vertical="top" shrinkToFit="1"/>
    </xf>
    <xf numFmtId="169" fontId="146" fillId="115" borderId="32">
      <alignment horizontal="right" vertical="top" shrinkToFit="1"/>
    </xf>
    <xf numFmtId="169" fontId="146" fillId="115" borderId="32">
      <alignment horizontal="right" vertical="top" shrinkToFit="1"/>
    </xf>
    <xf numFmtId="169" fontId="146" fillId="115" borderId="32">
      <alignment horizontal="right" vertical="top" shrinkToFit="1"/>
    </xf>
    <xf numFmtId="169" fontId="146" fillId="115" borderId="32">
      <alignment horizontal="right" vertical="top" shrinkToFit="1"/>
    </xf>
    <xf numFmtId="169" fontId="146" fillId="115" borderId="32">
      <alignment horizontal="right" vertical="top" shrinkToFit="1"/>
    </xf>
    <xf numFmtId="169" fontId="146" fillId="115" borderId="32">
      <alignment horizontal="right" vertical="top" shrinkToFit="1"/>
    </xf>
    <xf numFmtId="0" fontId="146" fillId="115" borderId="32">
      <alignment vertical="top" shrinkToFit="1"/>
    </xf>
    <xf numFmtId="0" fontId="146" fillId="115" borderId="32">
      <alignment vertical="top" shrinkToFit="1"/>
    </xf>
    <xf numFmtId="0" fontId="146" fillId="115" borderId="32">
      <alignment vertical="top" shrinkToFit="1"/>
    </xf>
    <xf numFmtId="0" fontId="146" fillId="115" borderId="32">
      <alignment vertical="top" shrinkToFit="1"/>
    </xf>
    <xf numFmtId="0" fontId="146" fillId="115" borderId="32">
      <alignment vertical="top" shrinkToFit="1"/>
    </xf>
    <xf numFmtId="0" fontId="146" fillId="115" borderId="32">
      <alignment vertical="top" shrinkToFit="1"/>
    </xf>
    <xf numFmtId="0" fontId="146" fillId="115" borderId="32">
      <alignment vertical="top" shrinkToFi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0" fontId="149" fillId="0" borderId="32">
      <alignmen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169" fontId="149" fillId="0" borderId="32">
      <alignment horizontal="right" vertical="top" shrinkToFit="1"/>
    </xf>
    <xf numFmtId="169" fontId="149" fillId="0" borderId="32">
      <alignment horizontal="right" vertical="top" shrinkToFit="1"/>
    </xf>
    <xf numFmtId="169" fontId="149" fillId="0" borderId="32">
      <alignment horizontal="right" vertical="top" shrinkToFit="1"/>
    </xf>
    <xf numFmtId="169" fontId="149" fillId="0" borderId="32">
      <alignment horizontal="right" vertical="top" shrinkToFit="1"/>
    </xf>
    <xf numFmtId="169" fontId="149" fillId="0" borderId="32">
      <alignment horizontal="right" vertical="top" shrinkToFit="1"/>
    </xf>
    <xf numFmtId="169" fontId="149" fillId="0" borderId="32">
      <alignment horizontal="right" vertical="top" shrinkToFit="1"/>
    </xf>
    <xf numFmtId="169" fontId="149" fillId="0" borderId="32">
      <alignment horizontal="right" vertical="top" shrinkToFit="1"/>
    </xf>
    <xf numFmtId="169" fontId="149" fillId="0" borderId="32">
      <alignment horizontal="right" vertical="top" shrinkToFit="1"/>
    </xf>
    <xf numFmtId="0" fontId="149" fillId="0" borderId="32">
      <alignment vertical="top" shrinkToFit="1"/>
    </xf>
    <xf numFmtId="0" fontId="149" fillId="0" borderId="32">
      <alignment vertical="top" shrinkToFit="1"/>
    </xf>
    <xf numFmtId="0" fontId="149" fillId="0" borderId="32">
      <alignment vertical="top" shrinkToFit="1"/>
    </xf>
    <xf numFmtId="0" fontId="149" fillId="0" borderId="32">
      <alignment vertical="top" shrinkToFit="1"/>
    </xf>
    <xf numFmtId="0" fontId="149" fillId="0" borderId="32">
      <alignment vertical="top" shrinkToFit="1"/>
    </xf>
    <xf numFmtId="0" fontId="149" fillId="0" borderId="32">
      <alignment vertical="top" shrinkToFit="1"/>
    </xf>
    <xf numFmtId="0" fontId="149" fillId="0" borderId="32">
      <alignment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0" fontId="149" fillId="0" borderId="32">
      <alignment vertical="top" shrinkToFit="1"/>
    </xf>
    <xf numFmtId="0" fontId="149" fillId="0" borderId="32">
      <alignment vertical="top" shrinkToFit="1"/>
    </xf>
    <xf numFmtId="0" fontId="149" fillId="0" borderId="32">
      <alignment vertical="top" shrinkToFit="1"/>
    </xf>
    <xf numFmtId="0" fontId="149" fillId="0" borderId="32">
      <alignment vertical="top" shrinkToFit="1"/>
    </xf>
    <xf numFmtId="0" fontId="149" fillId="0" borderId="32">
      <alignment vertical="top" shrinkToFit="1"/>
    </xf>
    <xf numFmtId="0" fontId="149" fillId="0" borderId="32">
      <alignment vertical="top" shrinkToFit="1"/>
    </xf>
    <xf numFmtId="0" fontId="149" fillId="0" borderId="32">
      <alignment vertical="top" shrinkToFit="1"/>
    </xf>
    <xf numFmtId="0" fontId="149" fillId="0" borderId="32">
      <alignment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49" fontId="149" fillId="0" borderId="31">
      <alignment horizontal="center" vertical="top" shrinkToFi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0" fontId="149" fillId="0" borderId="31">
      <alignment horizontal="left" vertical="top" wrapTex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4" fontId="149" fillId="0" borderId="32">
      <alignment horizontal="right" vertical="top" shrinkToFit="1"/>
    </xf>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Protection="0"/>
    <xf numFmtId="0" fontId="117" fillId="0" borderId="0" applyNumberFormat="0" applyFill="0" applyBorder="0" applyProtection="0"/>
    <xf numFmtId="0" fontId="117" fillId="0" borderId="0" applyNumberFormat="0" applyFill="0" applyBorder="0" applyProtection="0"/>
    <xf numFmtId="0" fontId="117" fillId="0" borderId="0" applyNumberFormat="0" applyFill="0" applyBorder="0" applyProtection="0"/>
    <xf numFmtId="0" fontId="117" fillId="0" borderId="0" applyNumberFormat="0" applyFill="0" applyBorder="0" applyProtection="0"/>
    <xf numFmtId="0" fontId="117" fillId="0" borderId="0" applyNumberFormat="0" applyFill="0" applyBorder="0" applyProtection="0"/>
    <xf numFmtId="0" fontId="117" fillId="0" borderId="0" applyNumberFormat="0" applyFill="0" applyBorder="0" applyProtection="0"/>
    <xf numFmtId="0" fontId="117" fillId="0" borderId="0" applyNumberFormat="0" applyFill="0" applyBorder="0" applyProtection="0"/>
    <xf numFmtId="0" fontId="109" fillId="118" borderId="0" applyNumberFormat="0" applyBorder="0" applyAlignment="0" applyProtection="0"/>
    <xf numFmtId="0" fontId="109" fillId="118" borderId="0" applyNumberFormat="0" applyBorder="0" applyAlignment="0" applyProtection="0"/>
    <xf numFmtId="0" fontId="109" fillId="118" borderId="0" applyNumberFormat="0" applyBorder="0" applyAlignment="0" applyProtection="0"/>
    <xf numFmtId="0" fontId="109" fillId="118" borderId="0" applyNumberFormat="0" applyBorder="0" applyAlignment="0" applyProtection="0"/>
    <xf numFmtId="0" fontId="109" fillId="118" borderId="0" applyNumberFormat="0" applyBorder="0" applyAlignment="0" applyProtection="0"/>
    <xf numFmtId="0" fontId="109" fillId="118" borderId="0" applyNumberFormat="0" applyBorder="0" applyAlignment="0" applyProtection="0"/>
    <xf numFmtId="0" fontId="109" fillId="118" borderId="0" applyNumberFormat="0" applyBorder="0" applyAlignment="0" applyProtection="0"/>
    <xf numFmtId="0" fontId="109" fillId="118" borderId="0" applyNumberFormat="0" applyBorder="0" applyAlignment="0" applyProtection="0"/>
    <xf numFmtId="0" fontId="109" fillId="118" borderId="0" applyNumberFormat="0" applyBorder="0" applyAlignment="0" applyProtection="0"/>
    <xf numFmtId="0" fontId="109" fillId="118" borderId="0" applyNumberFormat="0" applyBorder="0" applyAlignment="0" applyProtection="0"/>
    <xf numFmtId="0" fontId="109" fillId="118" borderId="0" applyNumberFormat="0" applyBorder="0" applyAlignment="0" applyProtection="0"/>
    <xf numFmtId="0" fontId="109" fillId="118" borderId="0" applyNumberFormat="0" applyBorder="0" applyAlignment="0" applyProtection="0"/>
    <xf numFmtId="0" fontId="109" fillId="118" borderId="0" applyNumberFormat="0" applyBorder="0" applyAlignment="0" applyProtection="0"/>
    <xf numFmtId="0" fontId="109" fillId="118" borderId="0" applyNumberFormat="0" applyBorder="0" applyAlignment="0" applyProtection="0"/>
    <xf numFmtId="0" fontId="109" fillId="118" borderId="0" applyNumberFormat="0" applyBorder="0" applyAlignment="0" applyProtection="0"/>
    <xf numFmtId="0" fontId="109" fillId="118" borderId="0" applyNumberFormat="0" applyBorder="0" applyAlignment="0" applyProtection="0"/>
    <xf numFmtId="0" fontId="109" fillId="118" borderId="0" applyNumberFormat="0" applyBorder="0" applyAlignment="0" applyProtection="0"/>
    <xf numFmtId="0" fontId="109" fillId="118" borderId="0" applyNumberFormat="0" applyBorder="0" applyAlignment="0" applyProtection="0"/>
    <xf numFmtId="0" fontId="109" fillId="118" borderId="0" applyNumberFormat="0" applyBorder="0" applyAlignment="0" applyProtection="0"/>
    <xf numFmtId="0" fontId="109" fillId="118" borderId="0" applyNumberFormat="0" applyBorder="0" applyAlignment="0" applyProtection="0"/>
    <xf numFmtId="0" fontId="109" fillId="117" borderId="0" applyNumberFormat="0" applyBorder="0" applyProtection="0"/>
    <xf numFmtId="0" fontId="109" fillId="117" borderId="0" applyNumberFormat="0" applyBorder="0" applyProtection="0"/>
    <xf numFmtId="0" fontId="109" fillId="117" borderId="0" applyNumberFormat="0" applyBorder="0" applyProtection="0"/>
    <xf numFmtId="0" fontId="109" fillId="117" borderId="0" applyNumberFormat="0" applyBorder="0" applyProtection="0"/>
    <xf numFmtId="0" fontId="109" fillId="117" borderId="0" applyNumberFormat="0" applyBorder="0" applyProtection="0"/>
    <xf numFmtId="0" fontId="109" fillId="117" borderId="0" applyNumberFormat="0" applyBorder="0" applyProtection="0"/>
    <xf numFmtId="0" fontId="109" fillId="117" borderId="0" applyNumberFormat="0" applyBorder="0" applyProtection="0"/>
    <xf numFmtId="0" fontId="109" fillId="117" borderId="0" applyNumberFormat="0" applyBorder="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Alignment="0" applyProtection="0"/>
    <xf numFmtId="0" fontId="106" fillId="0" borderId="64" applyNumberFormat="0" applyFill="0" applyProtection="0"/>
    <xf numFmtId="0" fontId="106" fillId="0" borderId="64" applyNumberFormat="0" applyFill="0" applyProtection="0"/>
    <xf numFmtId="0" fontId="106" fillId="0" borderId="64" applyNumberFormat="0" applyFill="0" applyProtection="0"/>
    <xf numFmtId="0" fontId="106" fillId="0" borderId="64" applyNumberFormat="0" applyFill="0" applyProtection="0"/>
    <xf numFmtId="0" fontId="106" fillId="0" borderId="64" applyNumberFormat="0" applyFill="0" applyProtection="0"/>
    <xf numFmtId="0" fontId="106" fillId="0" borderId="64" applyNumberFormat="0" applyFill="0" applyProtection="0"/>
    <xf numFmtId="0" fontId="106" fillId="0" borderId="64" applyNumberFormat="0" applyFill="0" applyProtection="0"/>
    <xf numFmtId="0" fontId="106" fillId="0" borderId="64" applyNumberFormat="0" applyFill="0" applyProtection="0"/>
    <xf numFmtId="0" fontId="107" fillId="0" borderId="65" applyNumberFormat="0" applyFill="0" applyAlignment="0" applyProtection="0"/>
    <xf numFmtId="0" fontId="107" fillId="0" borderId="65" applyNumberFormat="0" applyFill="0" applyAlignment="0" applyProtection="0"/>
    <xf numFmtId="0" fontId="107" fillId="0" borderId="65" applyNumberFormat="0" applyFill="0" applyAlignment="0" applyProtection="0"/>
    <xf numFmtId="0" fontId="107" fillId="0" borderId="65" applyNumberFormat="0" applyFill="0" applyAlignment="0" applyProtection="0"/>
    <xf numFmtId="0" fontId="107" fillId="0" borderId="65" applyNumberFormat="0" applyFill="0" applyAlignment="0" applyProtection="0"/>
    <xf numFmtId="0" fontId="107" fillId="0" borderId="65" applyNumberFormat="0" applyFill="0" applyAlignment="0" applyProtection="0"/>
    <xf numFmtId="0" fontId="107" fillId="0" borderId="65" applyNumberFormat="0" applyFill="0" applyAlignment="0" applyProtection="0"/>
    <xf numFmtId="0" fontId="107" fillId="0" borderId="65" applyNumberFormat="0" applyFill="0" applyAlignment="0" applyProtection="0"/>
    <xf numFmtId="0" fontId="107" fillId="0" borderId="65" applyNumberFormat="0" applyFill="0" applyAlignment="0" applyProtection="0"/>
    <xf numFmtId="0" fontId="107" fillId="0" borderId="65" applyNumberFormat="0" applyFill="0" applyAlignment="0" applyProtection="0"/>
    <xf numFmtId="0" fontId="107" fillId="0" borderId="65" applyNumberFormat="0" applyFill="0" applyAlignment="0" applyProtection="0"/>
    <xf numFmtId="0" fontId="107" fillId="0" borderId="65" applyNumberFormat="0" applyFill="0" applyAlignment="0" applyProtection="0"/>
    <xf numFmtId="0" fontId="107" fillId="0" borderId="65" applyNumberFormat="0" applyFill="0" applyAlignment="0" applyProtection="0"/>
    <xf numFmtId="0" fontId="107" fillId="0" borderId="65" applyNumberFormat="0" applyFill="0" applyAlignment="0" applyProtection="0"/>
    <xf numFmtId="0" fontId="107" fillId="0" borderId="65" applyNumberFormat="0" applyFill="0" applyAlignment="0" applyProtection="0"/>
    <xf numFmtId="0" fontId="107" fillId="0" borderId="65" applyNumberFormat="0" applyFill="0" applyAlignment="0" applyProtection="0"/>
    <xf numFmtId="0" fontId="107" fillId="0" borderId="65" applyNumberFormat="0" applyFill="0" applyAlignment="0" applyProtection="0"/>
    <xf numFmtId="0" fontId="107" fillId="0" borderId="65" applyNumberFormat="0" applyFill="0" applyAlignment="0" applyProtection="0"/>
    <xf numFmtId="0" fontId="107" fillId="0" borderId="65" applyNumberFormat="0" applyFill="0" applyAlignment="0" applyProtection="0"/>
    <xf numFmtId="0" fontId="107" fillId="0" borderId="65" applyNumberFormat="0" applyFill="0" applyAlignment="0" applyProtection="0"/>
    <xf numFmtId="0" fontId="107" fillId="0" borderId="65" applyNumberFormat="0" applyFill="0" applyProtection="0"/>
    <xf numFmtId="0" fontId="107" fillId="0" borderId="65" applyNumberFormat="0" applyFill="0" applyProtection="0"/>
    <xf numFmtId="0" fontId="107" fillId="0" borderId="65" applyNumberFormat="0" applyFill="0" applyProtection="0"/>
    <xf numFmtId="0" fontId="107" fillId="0" borderId="65" applyNumberFormat="0" applyFill="0" applyProtection="0"/>
    <xf numFmtId="0" fontId="107" fillId="0" borderId="65" applyNumberFormat="0" applyFill="0" applyProtection="0"/>
    <xf numFmtId="0" fontId="107" fillId="0" borderId="65" applyNumberFormat="0" applyFill="0" applyProtection="0"/>
    <xf numFmtId="0" fontId="107" fillId="0" borderId="65" applyNumberFormat="0" applyFill="0" applyProtection="0"/>
    <xf numFmtId="0" fontId="107" fillId="0" borderId="65" applyNumberFormat="0" applyFill="0" applyProtection="0"/>
    <xf numFmtId="0" fontId="108" fillId="0" borderId="66" applyNumberFormat="0" applyFill="0" applyAlignment="0" applyProtection="0"/>
    <xf numFmtId="0" fontId="108" fillId="0" borderId="66" applyNumberFormat="0" applyFill="0" applyAlignment="0" applyProtection="0"/>
    <xf numFmtId="0" fontId="108" fillId="0" borderId="66" applyNumberFormat="0" applyFill="0" applyAlignment="0" applyProtection="0"/>
    <xf numFmtId="0" fontId="108" fillId="0" borderId="66" applyNumberFormat="0" applyFill="0" applyAlignment="0" applyProtection="0"/>
    <xf numFmtId="0" fontId="108" fillId="0" borderId="66" applyNumberFormat="0" applyFill="0" applyAlignment="0" applyProtection="0"/>
    <xf numFmtId="0" fontId="108" fillId="0" borderId="66" applyNumberFormat="0" applyFill="0" applyAlignment="0" applyProtection="0"/>
    <xf numFmtId="0" fontId="108" fillId="0" borderId="66" applyNumberFormat="0" applyFill="0" applyAlignment="0" applyProtection="0"/>
    <xf numFmtId="0" fontId="108" fillId="0" borderId="66" applyNumberFormat="0" applyFill="0" applyAlignment="0" applyProtection="0"/>
    <xf numFmtId="0" fontId="108" fillId="0" borderId="66" applyNumberFormat="0" applyFill="0" applyAlignment="0" applyProtection="0"/>
    <xf numFmtId="0" fontId="108" fillId="0" borderId="66" applyNumberFormat="0" applyFill="0" applyAlignment="0" applyProtection="0"/>
    <xf numFmtId="0" fontId="108" fillId="0" borderId="66" applyNumberFormat="0" applyFill="0" applyAlignment="0" applyProtection="0"/>
    <xf numFmtId="0" fontId="108" fillId="0" borderId="66" applyNumberFormat="0" applyFill="0" applyAlignment="0" applyProtection="0"/>
    <xf numFmtId="0" fontId="108" fillId="0" borderId="66" applyNumberFormat="0" applyFill="0" applyAlignment="0" applyProtection="0"/>
    <xf numFmtId="0" fontId="108" fillId="0" borderId="66" applyNumberFormat="0" applyFill="0" applyAlignment="0" applyProtection="0"/>
    <xf numFmtId="0" fontId="108" fillId="0" borderId="66" applyNumberFormat="0" applyFill="0" applyAlignment="0" applyProtection="0"/>
    <xf numFmtId="0" fontId="108" fillId="0" borderId="66" applyNumberFormat="0" applyFill="0" applyAlignment="0" applyProtection="0"/>
    <xf numFmtId="0" fontId="108" fillId="0" borderId="66" applyNumberFormat="0" applyFill="0" applyAlignment="0" applyProtection="0"/>
    <xf numFmtId="0" fontId="108" fillId="0" borderId="66" applyNumberFormat="0" applyFill="0" applyAlignment="0" applyProtection="0"/>
    <xf numFmtId="0" fontId="108" fillId="0" borderId="66" applyNumberFormat="0" applyFill="0" applyAlignment="0" applyProtection="0"/>
    <xf numFmtId="0" fontId="108" fillId="0" borderId="66" applyNumberFormat="0" applyFill="0" applyAlignment="0" applyProtection="0"/>
    <xf numFmtId="0" fontId="108" fillId="0" borderId="66" applyNumberFormat="0" applyFill="0" applyProtection="0"/>
    <xf numFmtId="0" fontId="108" fillId="0" borderId="66" applyNumberFormat="0" applyFill="0" applyProtection="0"/>
    <xf numFmtId="0" fontId="108" fillId="0" borderId="66" applyNumberFormat="0" applyFill="0" applyProtection="0"/>
    <xf numFmtId="0" fontId="108" fillId="0" borderId="66" applyNumberFormat="0" applyFill="0" applyProtection="0"/>
    <xf numFmtId="0" fontId="108" fillId="0" borderId="66" applyNumberFormat="0" applyFill="0" applyProtection="0"/>
    <xf numFmtId="0" fontId="108" fillId="0" borderId="66" applyNumberFormat="0" applyFill="0" applyProtection="0"/>
    <xf numFmtId="0" fontId="108" fillId="0" borderId="66" applyNumberFormat="0" applyFill="0" applyProtection="0"/>
    <xf numFmtId="0" fontId="108" fillId="0" borderId="66" applyNumberFormat="0" applyFill="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Protection="0"/>
    <xf numFmtId="0" fontId="108" fillId="0" borderId="0" applyNumberFormat="0" applyFill="0" applyBorder="0" applyProtection="0"/>
    <xf numFmtId="0" fontId="108" fillId="0" borderId="0" applyNumberFormat="0" applyFill="0" applyBorder="0" applyProtection="0"/>
    <xf numFmtId="0" fontId="108" fillId="0" borderId="0" applyNumberFormat="0" applyFill="0" applyBorder="0" applyProtection="0"/>
    <xf numFmtId="0" fontId="108" fillId="0" borderId="0" applyNumberFormat="0" applyFill="0" applyBorder="0" applyProtection="0"/>
    <xf numFmtId="0" fontId="108" fillId="0" borderId="0" applyNumberFormat="0" applyFill="0" applyBorder="0" applyProtection="0"/>
    <xf numFmtId="0" fontId="108" fillId="0" borderId="0" applyNumberFormat="0" applyFill="0" applyBorder="0" applyProtection="0"/>
    <xf numFmtId="0" fontId="108" fillId="0" borderId="0" applyNumberFormat="0" applyFill="0" applyBorder="0" applyProtection="0"/>
    <xf numFmtId="0" fontId="112" fillId="119" borderId="67" applyNumberFormat="0" applyAlignment="0" applyProtection="0"/>
    <xf numFmtId="0" fontId="112" fillId="119" borderId="67" applyNumberFormat="0" applyAlignment="0" applyProtection="0"/>
    <xf numFmtId="0" fontId="112" fillId="119" borderId="67" applyNumberFormat="0" applyAlignment="0" applyProtection="0"/>
    <xf numFmtId="0" fontId="112" fillId="119" borderId="67" applyNumberFormat="0" applyAlignment="0" applyProtection="0"/>
    <xf numFmtId="0" fontId="112" fillId="119" borderId="67" applyNumberFormat="0" applyAlignment="0" applyProtection="0"/>
    <xf numFmtId="0" fontId="112" fillId="119" borderId="67" applyNumberFormat="0" applyAlignment="0" applyProtection="0"/>
    <xf numFmtId="0" fontId="112" fillId="119" borderId="67" applyNumberFormat="0" applyAlignment="0" applyProtection="0"/>
    <xf numFmtId="0" fontId="112" fillId="119" borderId="67" applyNumberFormat="0" applyAlignment="0" applyProtection="0"/>
    <xf numFmtId="0" fontId="112" fillId="119" borderId="67" applyNumberFormat="0" applyAlignment="0" applyProtection="0"/>
    <xf numFmtId="0" fontId="112" fillId="119" borderId="67" applyNumberFormat="0" applyAlignment="0" applyProtection="0"/>
    <xf numFmtId="0" fontId="112" fillId="119" borderId="67" applyNumberFormat="0" applyAlignment="0" applyProtection="0"/>
    <xf numFmtId="0" fontId="112" fillId="119" borderId="67" applyNumberFormat="0" applyAlignment="0" applyProtection="0"/>
    <xf numFmtId="0" fontId="112" fillId="119" borderId="67" applyNumberFormat="0" applyAlignment="0" applyProtection="0"/>
    <xf numFmtId="0" fontId="112" fillId="119" borderId="67" applyNumberFormat="0" applyAlignment="0" applyProtection="0"/>
    <xf numFmtId="0" fontId="112" fillId="119" borderId="67" applyNumberFormat="0" applyAlignment="0" applyProtection="0"/>
    <xf numFmtId="0" fontId="112" fillId="119" borderId="67" applyNumberFormat="0" applyAlignment="0" applyProtection="0"/>
    <xf numFmtId="0" fontId="112" fillId="119" borderId="67" applyNumberFormat="0" applyAlignment="0" applyProtection="0"/>
    <xf numFmtId="0" fontId="112" fillId="119" borderId="67" applyNumberFormat="0" applyAlignment="0" applyProtection="0"/>
    <xf numFmtId="0" fontId="112" fillId="119" borderId="67" applyNumberFormat="0" applyAlignment="0" applyProtection="0"/>
    <xf numFmtId="0" fontId="112" fillId="119" borderId="67" applyNumberFormat="0" applyAlignment="0" applyProtection="0"/>
    <xf numFmtId="0" fontId="112" fillId="55" borderId="67" applyNumberFormat="0" applyProtection="0"/>
    <xf numFmtId="0" fontId="112" fillId="55" borderId="67" applyNumberFormat="0" applyProtection="0"/>
    <xf numFmtId="0" fontId="112" fillId="55" borderId="67" applyNumberFormat="0" applyProtection="0"/>
    <xf numFmtId="0" fontId="112" fillId="55" borderId="67" applyNumberFormat="0" applyProtection="0"/>
    <xf numFmtId="0" fontId="112" fillId="55" borderId="67" applyNumberFormat="0" applyProtection="0"/>
    <xf numFmtId="0" fontId="112" fillId="55" borderId="67" applyNumberFormat="0" applyProtection="0"/>
    <xf numFmtId="0" fontId="112" fillId="55" borderId="67" applyNumberFormat="0" applyProtection="0"/>
    <xf numFmtId="0" fontId="112" fillId="55" borderId="67" applyNumberFormat="0" applyProtection="0"/>
    <xf numFmtId="0" fontId="115" fillId="0" borderId="69" applyNumberFormat="0" applyFill="0" applyAlignment="0" applyProtection="0"/>
    <xf numFmtId="0" fontId="115" fillId="0" borderId="69" applyNumberFormat="0" applyFill="0" applyAlignment="0" applyProtection="0"/>
    <xf numFmtId="0" fontId="115" fillId="0" borderId="69" applyNumberFormat="0" applyFill="0" applyAlignment="0" applyProtection="0"/>
    <xf numFmtId="0" fontId="115" fillId="0" borderId="69" applyNumberFormat="0" applyFill="0" applyAlignment="0" applyProtection="0"/>
    <xf numFmtId="0" fontId="115" fillId="0" borderId="69" applyNumberFormat="0" applyFill="0" applyAlignment="0" applyProtection="0"/>
    <xf numFmtId="0" fontId="115" fillId="0" borderId="69" applyNumberFormat="0" applyFill="0" applyAlignment="0" applyProtection="0"/>
    <xf numFmtId="0" fontId="115" fillId="0" borderId="69" applyNumberFormat="0" applyFill="0" applyAlignment="0" applyProtection="0"/>
    <xf numFmtId="0" fontId="115" fillId="0" borderId="69" applyNumberFormat="0" applyFill="0" applyAlignment="0" applyProtection="0"/>
    <xf numFmtId="0" fontId="115" fillId="0" borderId="69" applyNumberFormat="0" applyFill="0" applyAlignment="0" applyProtection="0"/>
    <xf numFmtId="0" fontId="115" fillId="0" borderId="69" applyNumberFormat="0" applyFill="0" applyAlignment="0" applyProtection="0"/>
    <xf numFmtId="0" fontId="115" fillId="0" borderId="69" applyNumberFormat="0" applyFill="0" applyAlignment="0" applyProtection="0"/>
    <xf numFmtId="0" fontId="115" fillId="0" borderId="69" applyNumberFormat="0" applyFill="0" applyAlignment="0" applyProtection="0"/>
    <xf numFmtId="0" fontId="115" fillId="0" borderId="69" applyNumberFormat="0" applyFill="0" applyAlignment="0" applyProtection="0"/>
    <xf numFmtId="0" fontId="115" fillId="0" borderId="69" applyNumberFormat="0" applyFill="0" applyAlignment="0" applyProtection="0"/>
    <xf numFmtId="0" fontId="115" fillId="0" borderId="69" applyNumberFormat="0" applyFill="0" applyAlignment="0" applyProtection="0"/>
    <xf numFmtId="0" fontId="115" fillId="0" borderId="69" applyNumberFormat="0" applyFill="0" applyAlignment="0" applyProtection="0"/>
    <xf numFmtId="0" fontId="115" fillId="0" borderId="69" applyNumberFormat="0" applyFill="0" applyAlignment="0" applyProtection="0"/>
    <xf numFmtId="0" fontId="115" fillId="0" borderId="69" applyNumberFormat="0" applyFill="0" applyAlignment="0" applyProtection="0"/>
    <xf numFmtId="0" fontId="115" fillId="0" borderId="69" applyNumberFormat="0" applyFill="0" applyAlignment="0" applyProtection="0"/>
    <xf numFmtId="0" fontId="115" fillId="0" borderId="69" applyNumberFormat="0" applyFill="0" applyAlignment="0" applyProtection="0"/>
    <xf numFmtId="0" fontId="115" fillId="0" borderId="69" applyNumberFormat="0" applyFill="0" applyProtection="0"/>
    <xf numFmtId="0" fontId="115" fillId="0" borderId="69" applyNumberFormat="0" applyFill="0" applyProtection="0"/>
    <xf numFmtId="0" fontId="115" fillId="0" borderId="69" applyNumberFormat="0" applyFill="0" applyProtection="0"/>
    <xf numFmtId="0" fontId="115" fillId="0" borderId="69" applyNumberFormat="0" applyFill="0" applyProtection="0"/>
    <xf numFmtId="0" fontId="115" fillId="0" borderId="69" applyNumberFormat="0" applyFill="0" applyProtection="0"/>
    <xf numFmtId="0" fontId="115" fillId="0" borderId="69" applyNumberFormat="0" applyFill="0" applyProtection="0"/>
    <xf numFmtId="0" fontId="115" fillId="0" borderId="69" applyNumberFormat="0" applyFill="0" applyProtection="0"/>
    <xf numFmtId="0" fontId="115" fillId="0" borderId="69" applyNumberFormat="0" applyFill="0" applyProtection="0"/>
    <xf numFmtId="0" fontId="111" fillId="121" borderId="0" applyNumberFormat="0" applyBorder="0" applyAlignment="0" applyProtection="0"/>
    <xf numFmtId="0" fontId="111" fillId="121" borderId="0" applyNumberFormat="0" applyBorder="0" applyAlignment="0" applyProtection="0"/>
    <xf numFmtId="0" fontId="111" fillId="121" borderId="0" applyNumberFormat="0" applyBorder="0" applyAlignment="0" applyProtection="0"/>
    <xf numFmtId="0" fontId="111" fillId="121" borderId="0" applyNumberFormat="0" applyBorder="0" applyAlignment="0" applyProtection="0"/>
    <xf numFmtId="0" fontId="111" fillId="121" borderId="0" applyNumberFormat="0" applyBorder="0" applyAlignment="0" applyProtection="0"/>
    <xf numFmtId="0" fontId="111" fillId="121" borderId="0" applyNumberFormat="0" applyBorder="0" applyAlignment="0" applyProtection="0"/>
    <xf numFmtId="0" fontId="111" fillId="121" borderId="0" applyNumberFormat="0" applyBorder="0" applyAlignment="0" applyProtection="0"/>
    <xf numFmtId="0" fontId="111" fillId="121" borderId="0" applyNumberFormat="0" applyBorder="0" applyAlignment="0" applyProtection="0"/>
    <xf numFmtId="0" fontId="111" fillId="121" borderId="0" applyNumberFormat="0" applyBorder="0" applyAlignment="0" applyProtection="0"/>
    <xf numFmtId="0" fontId="111" fillId="121" borderId="0" applyNumberFormat="0" applyBorder="0" applyAlignment="0" applyProtection="0"/>
    <xf numFmtId="0" fontId="111" fillId="121" borderId="0" applyNumberFormat="0" applyBorder="0" applyAlignment="0" applyProtection="0"/>
    <xf numFmtId="0" fontId="111" fillId="121" borderId="0" applyNumberFormat="0" applyBorder="0" applyAlignment="0" applyProtection="0"/>
    <xf numFmtId="0" fontId="111" fillId="121" borderId="0" applyNumberFormat="0" applyBorder="0" applyAlignment="0" applyProtection="0"/>
    <xf numFmtId="0" fontId="111" fillId="121" borderId="0" applyNumberFormat="0" applyBorder="0" applyAlignment="0" applyProtection="0"/>
    <xf numFmtId="0" fontId="111" fillId="121" borderId="0" applyNumberFormat="0" applyBorder="0" applyAlignment="0" applyProtection="0"/>
    <xf numFmtId="0" fontId="111" fillId="121" borderId="0" applyNumberFormat="0" applyBorder="0" applyAlignment="0" applyProtection="0"/>
    <xf numFmtId="0" fontId="111" fillId="121" borderId="0" applyNumberFormat="0" applyBorder="0" applyAlignment="0" applyProtection="0"/>
    <xf numFmtId="0" fontId="111" fillId="121" borderId="0" applyNumberFormat="0" applyBorder="0" applyAlignment="0" applyProtection="0"/>
    <xf numFmtId="0" fontId="111" fillId="121" borderId="0" applyNumberFormat="0" applyBorder="0" applyAlignment="0" applyProtection="0"/>
    <xf numFmtId="0" fontId="111" fillId="121" borderId="0" applyNumberFormat="0" applyBorder="0" applyAlignment="0" applyProtection="0"/>
    <xf numFmtId="0" fontId="111" fillId="120" borderId="0" applyNumberFormat="0" applyBorder="0" applyProtection="0"/>
    <xf numFmtId="0" fontId="111" fillId="120" borderId="0" applyNumberFormat="0" applyBorder="0" applyProtection="0"/>
    <xf numFmtId="0" fontId="111" fillId="120" borderId="0" applyNumberFormat="0" applyBorder="0" applyProtection="0"/>
    <xf numFmtId="0" fontId="111" fillId="120" borderId="0" applyNumberFormat="0" applyBorder="0" applyProtection="0"/>
    <xf numFmtId="0" fontId="111" fillId="120" borderId="0" applyNumberFormat="0" applyBorder="0" applyProtection="0"/>
    <xf numFmtId="0" fontId="111" fillId="120" borderId="0" applyNumberFormat="0" applyBorder="0" applyProtection="0"/>
    <xf numFmtId="0" fontId="111" fillId="120" borderId="0" applyNumberFormat="0" applyBorder="0" applyProtection="0"/>
    <xf numFmtId="0" fontId="111" fillId="120" borderId="0" applyNumberFormat="0" applyBorder="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37" fillId="122" borderId="71" applyNumberFormat="0" applyFont="0" applyProtection="0"/>
    <xf numFmtId="0" fontId="113" fillId="110" borderId="68" applyNumberFormat="0" applyAlignment="0" applyProtection="0"/>
    <xf numFmtId="0" fontId="113" fillId="110" borderId="68" applyNumberFormat="0" applyAlignment="0" applyProtection="0"/>
    <xf numFmtId="0" fontId="113" fillId="110" borderId="68" applyNumberFormat="0" applyAlignment="0" applyProtection="0"/>
    <xf numFmtId="0" fontId="113" fillId="110" borderId="68" applyNumberFormat="0" applyAlignment="0" applyProtection="0"/>
    <xf numFmtId="0" fontId="113" fillId="110" borderId="68" applyNumberFormat="0" applyAlignment="0" applyProtection="0"/>
    <xf numFmtId="0" fontId="113" fillId="110" borderId="68" applyNumberFormat="0" applyAlignment="0" applyProtection="0"/>
    <xf numFmtId="0" fontId="113" fillId="110" borderId="68" applyNumberFormat="0" applyAlignment="0" applyProtection="0"/>
    <xf numFmtId="0" fontId="113" fillId="110" borderId="68" applyNumberFormat="0" applyAlignment="0" applyProtection="0"/>
    <xf numFmtId="0" fontId="113" fillId="110" borderId="68" applyNumberFormat="0" applyAlignment="0" applyProtection="0"/>
    <xf numFmtId="0" fontId="113" fillId="110" borderId="68" applyNumberFormat="0" applyAlignment="0" applyProtection="0"/>
    <xf numFmtId="0" fontId="113" fillId="110" borderId="68" applyNumberFormat="0" applyAlignment="0" applyProtection="0"/>
    <xf numFmtId="0" fontId="113" fillId="110" borderId="68" applyNumberFormat="0" applyAlignment="0" applyProtection="0"/>
    <xf numFmtId="0" fontId="113" fillId="110" borderId="68" applyNumberFormat="0" applyAlignment="0" applyProtection="0"/>
    <xf numFmtId="0" fontId="113" fillId="110" borderId="68" applyNumberFormat="0" applyAlignment="0" applyProtection="0"/>
    <xf numFmtId="0" fontId="113" fillId="110" borderId="68" applyNumberFormat="0" applyAlignment="0" applyProtection="0"/>
    <xf numFmtId="0" fontId="113" fillId="110" borderId="68" applyNumberFormat="0" applyAlignment="0" applyProtection="0"/>
    <xf numFmtId="0" fontId="113" fillId="110" borderId="68" applyNumberFormat="0" applyAlignment="0" applyProtection="0"/>
    <xf numFmtId="0" fontId="113" fillId="110" borderId="68" applyNumberFormat="0" applyAlignment="0" applyProtection="0"/>
    <xf numFmtId="0" fontId="113" fillId="110" borderId="68" applyNumberFormat="0" applyAlignment="0" applyProtection="0"/>
    <xf numFmtId="0" fontId="113" fillId="110" borderId="68" applyNumberFormat="0" applyAlignment="0" applyProtection="0"/>
    <xf numFmtId="0" fontId="113" fillId="109" borderId="68" applyNumberFormat="0" applyProtection="0"/>
    <xf numFmtId="0" fontId="113" fillId="109" borderId="68" applyNumberFormat="0" applyProtection="0"/>
    <xf numFmtId="0" fontId="113" fillId="109" borderId="68" applyNumberFormat="0" applyProtection="0"/>
    <xf numFmtId="0" fontId="113" fillId="109" borderId="68" applyNumberFormat="0" applyProtection="0"/>
    <xf numFmtId="0" fontId="113" fillId="109" borderId="68" applyNumberFormat="0" applyProtection="0"/>
    <xf numFmtId="0" fontId="113" fillId="109" borderId="68" applyNumberFormat="0" applyProtection="0"/>
    <xf numFmtId="0" fontId="113" fillId="109" borderId="68" applyNumberFormat="0" applyProtection="0"/>
    <xf numFmtId="0" fontId="113" fillId="109" borderId="68" applyNumberFormat="0" applyProtection="0"/>
    <xf numFmtId="0" fontId="149" fillId="0" borderId="0">
      <alignment horizontal="right" vertical="top" wrapText="1"/>
    </xf>
    <xf numFmtId="0" fontId="149" fillId="0" borderId="0">
      <alignment horizontal="right" vertical="top" wrapText="1"/>
    </xf>
    <xf numFmtId="0" fontId="149" fillId="0" borderId="0">
      <alignment horizontal="right" vertical="top" wrapText="1"/>
    </xf>
    <xf numFmtId="0" fontId="149" fillId="0" borderId="0">
      <alignment horizontal="right" vertical="top" wrapText="1"/>
    </xf>
    <xf numFmtId="0" fontId="149" fillId="0" borderId="0">
      <alignment horizontal="right" vertical="top" wrapText="1"/>
    </xf>
    <xf numFmtId="0" fontId="149" fillId="0" borderId="0">
      <alignment horizontal="right" vertical="top" wrapText="1"/>
    </xf>
    <xf numFmtId="0" fontId="149" fillId="0" borderId="0">
      <alignment horizontal="right" vertical="top" wrapText="1"/>
    </xf>
    <xf numFmtId="0" fontId="149" fillId="0" borderId="0">
      <alignment horizontal="right" vertical="top" wrapText="1"/>
    </xf>
    <xf numFmtId="0" fontId="149" fillId="0" borderId="0">
      <alignment horizontal="right" vertical="top" wrapText="1"/>
    </xf>
    <xf numFmtId="0" fontId="149" fillId="0" borderId="0">
      <alignment horizontal="right" vertical="top" wrapText="1"/>
    </xf>
    <xf numFmtId="0" fontId="149" fillId="0" borderId="0">
      <alignment horizontal="right" vertical="top" wrapText="1"/>
    </xf>
    <xf numFmtId="0" fontId="149" fillId="0" borderId="0">
      <alignment horizontal="right" vertical="top" wrapText="1"/>
    </xf>
    <xf numFmtId="0" fontId="149" fillId="0" borderId="0">
      <alignment horizontal="right" vertical="top" wrapText="1"/>
    </xf>
    <xf numFmtId="0" fontId="149" fillId="0" borderId="0">
      <alignment horizontal="right" vertical="top" wrapText="1"/>
    </xf>
    <xf numFmtId="0" fontId="149" fillId="0" borderId="0">
      <alignment horizontal="right" vertical="top" wrapText="1"/>
    </xf>
    <xf numFmtId="0" fontId="149" fillId="0" borderId="0">
      <alignment horizontal="right" vertical="top" wrapText="1"/>
    </xf>
    <xf numFmtId="4" fontId="146" fillId="113" borderId="37">
      <alignment horizontal="right" shrinkToFit="1"/>
    </xf>
    <xf numFmtId="4" fontId="146" fillId="113" borderId="37">
      <alignment horizontal="right" shrinkToFit="1"/>
    </xf>
    <xf numFmtId="4" fontId="146" fillId="113" borderId="37">
      <alignment horizontal="right" shrinkToFit="1"/>
    </xf>
    <xf numFmtId="4" fontId="146" fillId="113" borderId="37">
      <alignment horizontal="right" shrinkToFit="1"/>
    </xf>
    <xf numFmtId="4" fontId="146" fillId="113" borderId="37">
      <alignment horizontal="right" shrinkToFit="1"/>
    </xf>
    <xf numFmtId="4" fontId="146" fillId="113" borderId="37">
      <alignment horizontal="right" shrinkToFit="1"/>
    </xf>
    <xf numFmtId="4" fontId="146" fillId="113" borderId="37">
      <alignment horizontal="right" shrinkToFit="1"/>
    </xf>
    <xf numFmtId="4" fontId="146" fillId="113" borderId="37">
      <alignment horizontal="right" shrinkToFit="1"/>
    </xf>
    <xf numFmtId="169" fontId="146" fillId="113" borderId="38">
      <alignment horizontal="right" shrinkToFit="1"/>
    </xf>
    <xf numFmtId="169" fontId="146" fillId="113" borderId="38">
      <alignment horizontal="right" shrinkToFit="1"/>
    </xf>
    <xf numFmtId="169" fontId="146" fillId="113" borderId="38">
      <alignment horizontal="right" shrinkToFit="1"/>
    </xf>
    <xf numFmtId="169" fontId="146" fillId="113" borderId="38">
      <alignment horizontal="right" shrinkToFit="1"/>
    </xf>
    <xf numFmtId="169" fontId="146" fillId="113" borderId="38">
      <alignment horizontal="right" shrinkToFit="1"/>
    </xf>
    <xf numFmtId="169" fontId="146" fillId="113" borderId="38">
      <alignment horizontal="right" shrinkToFit="1"/>
    </xf>
    <xf numFmtId="169" fontId="146" fillId="113" borderId="38">
      <alignment horizontal="right" shrinkToFit="1"/>
    </xf>
    <xf numFmtId="169" fontId="146" fillId="113" borderId="38">
      <alignment horizontal="right" shrinkToFit="1"/>
    </xf>
    <xf numFmtId="0" fontId="149" fillId="0" borderId="39"/>
    <xf numFmtId="0" fontId="149" fillId="0" borderId="39"/>
    <xf numFmtId="0" fontId="149" fillId="0" borderId="39"/>
    <xf numFmtId="0" fontId="149" fillId="0" borderId="39"/>
    <xf numFmtId="0" fontId="149" fillId="0" borderId="39"/>
    <xf numFmtId="0" fontId="149" fillId="0" borderId="39"/>
    <xf numFmtId="0" fontId="149" fillId="0" borderId="39"/>
    <xf numFmtId="0" fontId="149" fillId="0" borderId="39"/>
    <xf numFmtId="0" fontId="149" fillId="0" borderId="32">
      <alignment horizontal="right" vertical="top" wrapText="1"/>
    </xf>
    <xf numFmtId="49" fontId="146" fillId="0" borderId="22">
      <alignment horizontal="center" vertical="center" wrapText="1"/>
    </xf>
    <xf numFmtId="49" fontId="146" fillId="0" borderId="22">
      <alignment horizontal="center" vertical="center" wrapText="1"/>
    </xf>
    <xf numFmtId="49" fontId="146" fillId="0" borderId="22">
      <alignment horizontal="center" vertical="center" wrapText="1"/>
    </xf>
    <xf numFmtId="49" fontId="146" fillId="0" borderId="22">
      <alignment horizontal="center" vertical="center" wrapText="1"/>
    </xf>
    <xf numFmtId="49" fontId="146" fillId="0" borderId="22">
      <alignment horizontal="center" vertical="center" wrapText="1"/>
    </xf>
    <xf numFmtId="49" fontId="146" fillId="0" borderId="22">
      <alignment horizontal="center" vertical="center" wrapText="1"/>
    </xf>
    <xf numFmtId="49" fontId="146" fillId="0" borderId="22">
      <alignment horizontal="center" vertical="center" wrapText="1"/>
    </xf>
    <xf numFmtId="49" fontId="146" fillId="0" borderId="22">
      <alignment horizontal="center" vertical="center" wrapTex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0" fontId="149" fillId="0" borderId="32">
      <alignment horizontal="right" vertical="top" wrapText="1"/>
    </xf>
    <xf numFmtId="0" fontId="149" fillId="0" borderId="32">
      <alignment horizontal="right" vertical="top" wrapText="1"/>
    </xf>
    <xf numFmtId="0" fontId="149" fillId="0" borderId="32">
      <alignment horizontal="right" vertical="top" wrapText="1"/>
    </xf>
    <xf numFmtId="0" fontId="149" fillId="0" borderId="32">
      <alignment horizontal="right" vertical="top" wrapText="1"/>
    </xf>
    <xf numFmtId="0" fontId="149" fillId="0" borderId="32">
      <alignment horizontal="right" vertical="top" wrapText="1"/>
    </xf>
    <xf numFmtId="0" fontId="149" fillId="0" borderId="32">
      <alignment horizontal="right" vertical="top" wrapText="1"/>
    </xf>
    <xf numFmtId="0" fontId="149" fillId="0" borderId="32">
      <alignment horizontal="right" vertical="top" wrapText="1"/>
    </xf>
    <xf numFmtId="49" fontId="146" fillId="0" borderId="23">
      <alignment horizontal="center" vertical="center" wrapText="1"/>
    </xf>
    <xf numFmtId="49" fontId="146" fillId="0" borderId="23">
      <alignment horizontal="center" vertical="center" wrapText="1"/>
    </xf>
    <xf numFmtId="49" fontId="146" fillId="0" borderId="23">
      <alignment horizontal="center" vertical="center" wrapText="1"/>
    </xf>
    <xf numFmtId="49" fontId="146" fillId="0" borderId="23">
      <alignment horizontal="center" vertical="center" wrapText="1"/>
    </xf>
    <xf numFmtId="49" fontId="146" fillId="0" borderId="23">
      <alignment horizontal="center" vertical="center" wrapText="1"/>
    </xf>
    <xf numFmtId="49" fontId="146" fillId="0" borderId="23">
      <alignment horizontal="center" vertical="center" wrapText="1"/>
    </xf>
    <xf numFmtId="49" fontId="146" fillId="0" borderId="23">
      <alignment horizontal="center" vertical="center" wrapText="1"/>
    </xf>
    <xf numFmtId="49" fontId="146" fillId="0" borderId="23">
      <alignment horizontal="center" vertical="center" wrapText="1"/>
    </xf>
    <xf numFmtId="169" fontId="146" fillId="115" borderId="32">
      <alignment horizontal="right" vertical="top" shrinkToFit="1"/>
    </xf>
    <xf numFmtId="169" fontId="146" fillId="115" borderId="32">
      <alignment horizontal="right" vertical="top" shrinkToFit="1"/>
    </xf>
    <xf numFmtId="169" fontId="146" fillId="115" borderId="32">
      <alignment horizontal="right" vertical="top" shrinkToFit="1"/>
    </xf>
    <xf numFmtId="169" fontId="146" fillId="115" borderId="32">
      <alignment horizontal="right" vertical="top" shrinkToFit="1"/>
    </xf>
    <xf numFmtId="169" fontId="146" fillId="115" borderId="32">
      <alignment horizontal="right" vertical="top" shrinkToFit="1"/>
    </xf>
    <xf numFmtId="169" fontId="146" fillId="115" borderId="32">
      <alignment horizontal="right" vertical="top" shrinkToFit="1"/>
    </xf>
    <xf numFmtId="169" fontId="146" fillId="115" borderId="32">
      <alignment horizontal="right" vertical="top" shrinkToFit="1"/>
    </xf>
    <xf numFmtId="169" fontId="146" fillId="115" borderId="32">
      <alignment horizontal="right" vertical="top" shrinkToFit="1"/>
    </xf>
    <xf numFmtId="0" fontId="149" fillId="0" borderId="32">
      <alignment horizontal="right" vertical="top" shrinkToFit="1"/>
    </xf>
    <xf numFmtId="4" fontId="146" fillId="114" borderId="25">
      <alignment horizontal="right" vertical="top" wrapText="1" shrinkToFit="1"/>
    </xf>
    <xf numFmtId="4" fontId="146" fillId="114" borderId="25">
      <alignment horizontal="right" vertical="top" wrapText="1" shrinkToFit="1"/>
    </xf>
    <xf numFmtId="4" fontId="146" fillId="114" borderId="25">
      <alignment horizontal="right" vertical="top" wrapText="1" shrinkToFit="1"/>
    </xf>
    <xf numFmtId="4" fontId="146" fillId="114" borderId="25">
      <alignment horizontal="right" vertical="top" wrapText="1" shrinkToFit="1"/>
    </xf>
    <xf numFmtId="4" fontId="146" fillId="114" borderId="25">
      <alignment horizontal="right" vertical="top" wrapText="1" shrinkToFit="1"/>
    </xf>
    <xf numFmtId="4" fontId="146" fillId="114" borderId="25">
      <alignment horizontal="right" vertical="top" wrapText="1" shrinkToFit="1"/>
    </xf>
    <xf numFmtId="4" fontId="146" fillId="114" borderId="25">
      <alignment horizontal="right" vertical="top" wrapText="1" shrinkToFit="1"/>
    </xf>
    <xf numFmtId="4" fontId="146" fillId="114" borderId="25">
      <alignment horizontal="right" vertical="top" wrapText="1"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0" fontId="149" fillId="0" borderId="32">
      <alignment horizontal="right" vertical="top" shrinkToFit="1"/>
    </xf>
    <xf numFmtId="0" fontId="149" fillId="0" borderId="32">
      <alignment horizontal="right" vertical="top" shrinkToFit="1"/>
    </xf>
    <xf numFmtId="0" fontId="149" fillId="0" borderId="32">
      <alignment horizontal="right" vertical="top" shrinkToFit="1"/>
    </xf>
    <xf numFmtId="0" fontId="149" fillId="0" borderId="32">
      <alignment horizontal="right" vertical="top" shrinkToFit="1"/>
    </xf>
    <xf numFmtId="0" fontId="149" fillId="0" borderId="32">
      <alignment horizontal="right" vertical="top" shrinkToFit="1"/>
    </xf>
    <xf numFmtId="0" fontId="149" fillId="0" borderId="32">
      <alignment horizontal="right" vertical="top" shrinkToFit="1"/>
    </xf>
    <xf numFmtId="0" fontId="149" fillId="0" borderId="32">
      <alignment horizontal="right" vertical="top" shrinkToFit="1"/>
    </xf>
    <xf numFmtId="0" fontId="146" fillId="115" borderId="32">
      <alignment horizontal="right" vertical="top" shrinkToFit="1"/>
    </xf>
    <xf numFmtId="169" fontId="146" fillId="114" borderId="26">
      <alignment horizontal="right" vertical="top" shrinkToFit="1"/>
    </xf>
    <xf numFmtId="169" fontId="146" fillId="114" borderId="26">
      <alignment horizontal="right" vertical="top" shrinkToFit="1"/>
    </xf>
    <xf numFmtId="169" fontId="146" fillId="114" borderId="26">
      <alignment horizontal="right" vertical="top" shrinkToFit="1"/>
    </xf>
    <xf numFmtId="169" fontId="146" fillId="114" borderId="26">
      <alignment horizontal="right" vertical="top" shrinkToFit="1"/>
    </xf>
    <xf numFmtId="169" fontId="146" fillId="114" borderId="26">
      <alignment horizontal="right" vertical="top" shrinkToFit="1"/>
    </xf>
    <xf numFmtId="169" fontId="146" fillId="114" borderId="26">
      <alignment horizontal="right" vertical="top" shrinkToFit="1"/>
    </xf>
    <xf numFmtId="169" fontId="146" fillId="114" borderId="26">
      <alignment horizontal="right" vertical="top" shrinkToFit="1"/>
    </xf>
    <xf numFmtId="169" fontId="146" fillId="114" borderId="26">
      <alignment horizontal="right" vertical="top" shrinkToFit="1"/>
    </xf>
    <xf numFmtId="169" fontId="149" fillId="0" borderId="32">
      <alignment horizontal="right" vertical="top" shrinkToFit="1"/>
    </xf>
    <xf numFmtId="169" fontId="149" fillId="0" borderId="32">
      <alignment horizontal="right" vertical="top" shrinkToFit="1"/>
    </xf>
    <xf numFmtId="169" fontId="149" fillId="0" borderId="32">
      <alignment horizontal="right" vertical="top" shrinkToFit="1"/>
    </xf>
    <xf numFmtId="169" fontId="149" fillId="0" borderId="32">
      <alignment horizontal="right" vertical="top" shrinkToFit="1"/>
    </xf>
    <xf numFmtId="169" fontId="149" fillId="0" borderId="32">
      <alignment horizontal="right" vertical="top" shrinkToFit="1"/>
    </xf>
    <xf numFmtId="169" fontId="149" fillId="0" borderId="32">
      <alignment horizontal="right" vertical="top" shrinkToFit="1"/>
    </xf>
    <xf numFmtId="169" fontId="149" fillId="0" borderId="32">
      <alignment horizontal="right" vertical="top" shrinkToFit="1"/>
    </xf>
    <xf numFmtId="169" fontId="149" fillId="0" borderId="32">
      <alignment horizontal="right" vertical="top" shrinkToFit="1"/>
    </xf>
    <xf numFmtId="0" fontId="146" fillId="115" borderId="32">
      <alignment horizontal="right" vertical="top" shrinkToFit="1"/>
    </xf>
    <xf numFmtId="0" fontId="146" fillId="115" borderId="32">
      <alignment horizontal="right" vertical="top" shrinkToFit="1"/>
    </xf>
    <xf numFmtId="0" fontId="146" fillId="115" borderId="32">
      <alignment horizontal="right" vertical="top" shrinkToFit="1"/>
    </xf>
    <xf numFmtId="0" fontId="146" fillId="115" borderId="32">
      <alignment horizontal="right" vertical="top" shrinkToFit="1"/>
    </xf>
    <xf numFmtId="0" fontId="146" fillId="115" borderId="32">
      <alignment horizontal="right" vertical="top" shrinkToFit="1"/>
    </xf>
    <xf numFmtId="0" fontId="146" fillId="115" borderId="32">
      <alignment horizontal="right" vertical="top" shrinkToFit="1"/>
    </xf>
    <xf numFmtId="0" fontId="146" fillId="115" borderId="32">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4" fontId="146" fillId="116" borderId="28">
      <alignment horizontal="right" vertical="top" shrinkToFit="1"/>
    </xf>
    <xf numFmtId="0" fontId="146" fillId="116" borderId="29">
      <alignment horizontal="right" vertical="top" shrinkToFit="1"/>
    </xf>
    <xf numFmtId="0" fontId="146" fillId="116" borderId="29">
      <alignment horizontal="right" vertical="top" shrinkToFit="1"/>
    </xf>
    <xf numFmtId="0" fontId="146" fillId="116" borderId="29">
      <alignment horizontal="right" vertical="top" shrinkToFit="1"/>
    </xf>
    <xf numFmtId="0" fontId="146" fillId="116" borderId="29">
      <alignment horizontal="right" vertical="top" shrinkToFit="1"/>
    </xf>
    <xf numFmtId="0" fontId="146" fillId="116" borderId="29">
      <alignment horizontal="right" vertical="top" shrinkToFit="1"/>
    </xf>
    <xf numFmtId="0" fontId="146" fillId="116" borderId="29">
      <alignment horizontal="right" vertical="top" shrinkToFit="1"/>
    </xf>
    <xf numFmtId="0" fontId="146" fillId="116" borderId="29">
      <alignment horizontal="right" vertical="top" shrinkToFit="1"/>
    </xf>
    <xf numFmtId="0" fontId="146" fillId="116" borderId="29">
      <alignment horizontal="right" vertical="top" shrinkToFit="1"/>
    </xf>
    <xf numFmtId="169" fontId="146" fillId="116" borderId="29">
      <alignment horizontal="right" vertical="top" shrinkToFit="1"/>
    </xf>
    <xf numFmtId="169" fontId="146" fillId="116" borderId="29">
      <alignment horizontal="right" vertical="top" shrinkToFit="1"/>
    </xf>
    <xf numFmtId="169" fontId="146" fillId="116" borderId="29">
      <alignment horizontal="right" vertical="top" shrinkToFit="1"/>
    </xf>
    <xf numFmtId="169" fontId="146" fillId="116" borderId="29">
      <alignment horizontal="right" vertical="top" shrinkToFit="1"/>
    </xf>
    <xf numFmtId="169" fontId="146" fillId="116" borderId="29">
      <alignment horizontal="right" vertical="top" shrinkToFit="1"/>
    </xf>
    <xf numFmtId="169" fontId="146" fillId="116" borderId="29">
      <alignment horizontal="right" vertical="top" shrinkToFit="1"/>
    </xf>
    <xf numFmtId="169" fontId="146" fillId="116" borderId="29">
      <alignment horizontal="right" vertical="top" shrinkToFit="1"/>
    </xf>
    <xf numFmtId="169" fontId="146" fillId="116" borderId="29">
      <alignment horizontal="right" vertical="top" shrinkToFit="1"/>
    </xf>
    <xf numFmtId="0" fontId="145" fillId="114" borderId="26">
      <alignment horizontal="right" vertical="top" shrinkToFit="1"/>
    </xf>
    <xf numFmtId="0" fontId="145" fillId="114" borderId="26">
      <alignment horizontal="right" vertical="top" shrinkToFit="1"/>
    </xf>
    <xf numFmtId="0" fontId="145" fillId="114" borderId="26">
      <alignment horizontal="right" vertical="top" shrinkToFit="1"/>
    </xf>
    <xf numFmtId="0" fontId="145" fillId="114" borderId="26">
      <alignment horizontal="right" vertical="top" shrinkToFit="1"/>
    </xf>
    <xf numFmtId="0" fontId="145" fillId="114" borderId="26">
      <alignment horizontal="right" vertical="top" shrinkToFit="1"/>
    </xf>
    <xf numFmtId="0" fontId="145" fillId="114" borderId="26">
      <alignment horizontal="right" vertical="top" shrinkToFit="1"/>
    </xf>
    <xf numFmtId="0" fontId="145" fillId="114" borderId="26">
      <alignment horizontal="right" vertical="top" shrinkToFit="1"/>
    </xf>
    <xf numFmtId="0" fontId="145" fillId="114" borderId="26">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4" fontId="146" fillId="115" borderId="31">
      <alignment horizontal="right" vertical="top" shrinkToFit="1"/>
    </xf>
    <xf numFmtId="169" fontId="146" fillId="115" borderId="32">
      <alignment horizontal="right" vertical="top" shrinkToFit="1"/>
    </xf>
    <xf numFmtId="169" fontId="146" fillId="115" borderId="32">
      <alignment horizontal="right" vertical="top" shrinkToFit="1"/>
    </xf>
    <xf numFmtId="169" fontId="146" fillId="115" borderId="32">
      <alignment horizontal="right" vertical="top" shrinkToFit="1"/>
    </xf>
    <xf numFmtId="169" fontId="146" fillId="115" borderId="32">
      <alignment horizontal="right" vertical="top" shrinkToFit="1"/>
    </xf>
    <xf numFmtId="169" fontId="146" fillId="115" borderId="32">
      <alignment horizontal="right" vertical="top" shrinkToFit="1"/>
    </xf>
    <xf numFmtId="169" fontId="146" fillId="115" borderId="32">
      <alignment horizontal="right" vertical="top" shrinkToFit="1"/>
    </xf>
    <xf numFmtId="169" fontId="146" fillId="115" borderId="32">
      <alignment horizontal="right" vertical="top" shrinkToFit="1"/>
    </xf>
    <xf numFmtId="169" fontId="146" fillId="115" borderId="32">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4" fontId="149" fillId="0" borderId="31">
      <alignment horizontal="right" vertical="top" shrinkToFit="1"/>
    </xf>
    <xf numFmtId="169" fontId="149" fillId="0" borderId="32">
      <alignment horizontal="right" vertical="top" shrinkToFit="1"/>
    </xf>
    <xf numFmtId="169" fontId="149" fillId="0" borderId="32">
      <alignment horizontal="right" vertical="top" shrinkToFit="1"/>
    </xf>
    <xf numFmtId="169" fontId="149" fillId="0" borderId="32">
      <alignment horizontal="right" vertical="top" shrinkToFit="1"/>
    </xf>
    <xf numFmtId="169" fontId="149" fillId="0" borderId="32">
      <alignment horizontal="right" vertical="top" shrinkToFit="1"/>
    </xf>
    <xf numFmtId="169" fontId="149" fillId="0" borderId="32">
      <alignment horizontal="right" vertical="top" shrinkToFit="1"/>
    </xf>
    <xf numFmtId="169" fontId="149" fillId="0" borderId="32">
      <alignment horizontal="right" vertical="top" shrinkToFit="1"/>
    </xf>
    <xf numFmtId="169" fontId="149" fillId="0" borderId="32">
      <alignment horizontal="right" vertical="top" shrinkToFit="1"/>
    </xf>
    <xf numFmtId="169" fontId="149" fillId="0" borderId="32">
      <alignment horizontal="right" vertical="top" shrinkToFit="1"/>
    </xf>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60" fillId="0" borderId="0" applyNumberFormat="0" applyFill="0" applyBorder="0" applyProtection="0"/>
    <xf numFmtId="0" fontId="160" fillId="0" borderId="0" applyNumberFormat="0" applyFill="0" applyBorder="0" applyProtection="0"/>
    <xf numFmtId="0" fontId="160" fillId="0" borderId="0" applyNumberFormat="0" applyFill="0" applyBorder="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2" fillId="0" borderId="0" applyNumberFormat="0" applyFill="0" applyBorder="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Protection="0"/>
    <xf numFmtId="0" fontId="160" fillId="0" borderId="0" applyNumberFormat="0" applyFill="0" applyBorder="0" applyProtection="0"/>
    <xf numFmtId="0" fontId="160" fillId="0" borderId="0" applyNumberFormat="0" applyFill="0" applyBorder="0" applyProtection="0"/>
    <xf numFmtId="0" fontId="160" fillId="0" borderId="0" applyNumberFormat="0" applyFill="0" applyBorder="0" applyProtection="0"/>
    <xf numFmtId="0" fontId="160" fillId="0" borderId="0" applyNumberFormat="0" applyFill="0" applyBorder="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Alignment="0" applyProtection="0"/>
    <xf numFmtId="0" fontId="71" fillId="0" borderId="72" applyNumberFormat="0" applyFill="0" applyProtection="0"/>
    <xf numFmtId="0" fontId="71" fillId="0" borderId="72" applyNumberFormat="0" applyFill="0" applyProtection="0"/>
    <xf numFmtId="0" fontId="71" fillId="0" borderId="72" applyNumberFormat="0" applyFill="0" applyProtection="0"/>
    <xf numFmtId="0" fontId="71" fillId="0" borderId="72" applyNumberFormat="0" applyFill="0" applyProtection="0"/>
    <xf numFmtId="0" fontId="71" fillId="0" borderId="72" applyNumberFormat="0" applyFill="0" applyProtection="0"/>
    <xf numFmtId="0" fontId="71" fillId="0" borderId="72" applyNumberFormat="0" applyFill="0" applyProtection="0"/>
    <xf numFmtId="0" fontId="71" fillId="0" borderId="72" applyNumberFormat="0" applyFill="0" applyProtection="0"/>
    <xf numFmtId="0" fontId="71" fillId="0" borderId="72" applyNumberFormat="0" applyFill="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4" fontId="147" fillId="0" borderId="73">
      <alignment horizontal="right" vertical="top" shrinkToFit="1"/>
    </xf>
    <xf numFmtId="4" fontId="147" fillId="0" borderId="73">
      <alignment horizontal="right" vertical="top" shrinkToFit="1"/>
    </xf>
    <xf numFmtId="4" fontId="147" fillId="0" borderId="73">
      <alignment horizontal="right" vertical="top" shrinkToFit="1"/>
    </xf>
    <xf numFmtId="4" fontId="147" fillId="0" borderId="73">
      <alignment horizontal="right" vertical="top" shrinkToFit="1"/>
    </xf>
    <xf numFmtId="4" fontId="167" fillId="53" borderId="73">
      <alignment horizontal="right" vertical="top" shrinkToFit="1"/>
    </xf>
    <xf numFmtId="4" fontId="167" fillId="53" borderId="73">
      <alignment horizontal="right" vertical="top" shrinkToFit="1"/>
    </xf>
    <xf numFmtId="4" fontId="167" fillId="53" borderId="73">
      <alignment horizontal="right" vertical="top" shrinkToFit="1"/>
    </xf>
    <xf numFmtId="4" fontId="167" fillId="53" borderId="73">
      <alignment horizontal="right" vertical="top" shrinkToFit="1"/>
    </xf>
    <xf numFmtId="0" fontId="169" fillId="126" borderId="0" applyNumberFormat="0" applyBorder="0" applyProtection="0"/>
    <xf numFmtId="0" fontId="169" fillId="126" borderId="0" applyNumberFormat="0" applyBorder="0" applyProtection="0"/>
    <xf numFmtId="0" fontId="169" fillId="126" borderId="0" applyNumberFormat="0" applyBorder="0" applyProtection="0"/>
    <xf numFmtId="0" fontId="169" fillId="126" borderId="0" applyNumberFormat="0" applyBorder="0" applyProtection="0"/>
    <xf numFmtId="0" fontId="169" fillId="126" borderId="0" applyNumberFormat="0" applyBorder="0" applyProtection="0"/>
    <xf numFmtId="0" fontId="169" fillId="126" borderId="0" applyNumberFormat="0" applyBorder="0" applyProtection="0"/>
    <xf numFmtId="0" fontId="169" fillId="126" borderId="0" applyNumberFormat="0" applyBorder="0" applyProtection="0"/>
    <xf numFmtId="0" fontId="169" fillId="126"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38" fillId="125" borderId="0" applyNumberFormat="0" applyBorder="0" applyProtection="0"/>
    <xf numFmtId="0" fontId="169" fillId="129" borderId="0" applyNumberFormat="0" applyBorder="0" applyProtection="0"/>
    <xf numFmtId="0" fontId="169" fillId="129" borderId="0" applyNumberFormat="0" applyBorder="0" applyProtection="0"/>
    <xf numFmtId="0" fontId="169" fillId="129" borderId="0" applyNumberFormat="0" applyBorder="0" applyProtection="0"/>
    <xf numFmtId="0" fontId="169" fillId="129" borderId="0" applyNumberFormat="0" applyBorder="0" applyProtection="0"/>
    <xf numFmtId="0" fontId="169" fillId="129" borderId="0" applyNumberFormat="0" applyBorder="0" applyProtection="0"/>
    <xf numFmtId="0" fontId="169" fillId="129" borderId="0" applyNumberFormat="0" applyBorder="0" applyProtection="0"/>
    <xf numFmtId="0" fontId="169" fillId="129" borderId="0" applyNumberFormat="0" applyBorder="0" applyProtection="0"/>
    <xf numFmtId="0" fontId="169" fillId="129"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38" fillId="128" borderId="0" applyNumberFormat="0" applyBorder="0" applyProtection="0"/>
    <xf numFmtId="0" fontId="169" fillId="133" borderId="0" applyNumberFormat="0" applyBorder="0" applyProtection="0"/>
    <xf numFmtId="0" fontId="169" fillId="133" borderId="0" applyNumberFormat="0" applyBorder="0" applyProtection="0"/>
    <xf numFmtId="0" fontId="169" fillId="133" borderId="0" applyNumberFormat="0" applyBorder="0" applyProtection="0"/>
    <xf numFmtId="0" fontId="169" fillId="133" borderId="0" applyNumberFormat="0" applyBorder="0" applyProtection="0"/>
    <xf numFmtId="0" fontId="169" fillId="133" borderId="0" applyNumberFormat="0" applyBorder="0" applyProtection="0"/>
    <xf numFmtId="0" fontId="169" fillId="133" borderId="0" applyNumberFormat="0" applyBorder="0" applyProtection="0"/>
    <xf numFmtId="0" fontId="169" fillId="133" borderId="0" applyNumberFormat="0" applyBorder="0" applyProtection="0"/>
    <xf numFmtId="0" fontId="169" fillId="133"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132"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69" fillId="89" borderId="0" applyNumberFormat="0" applyBorder="0" applyProtection="0"/>
    <xf numFmtId="0" fontId="169" fillId="89" borderId="0" applyNumberFormat="0" applyBorder="0" applyProtection="0"/>
    <xf numFmtId="0" fontId="169" fillId="89" borderId="0" applyNumberFormat="0" applyBorder="0" applyProtection="0"/>
    <xf numFmtId="0" fontId="169" fillId="89" borderId="0" applyNumberFormat="0" applyBorder="0" applyProtection="0"/>
    <xf numFmtId="0" fontId="169" fillId="89" borderId="0" applyNumberFormat="0" applyBorder="0" applyProtection="0"/>
    <xf numFmtId="0" fontId="169" fillId="89" borderId="0" applyNumberFormat="0" applyBorder="0" applyProtection="0"/>
    <xf numFmtId="0" fontId="169" fillId="89" borderId="0" applyNumberFormat="0" applyBorder="0" applyProtection="0"/>
    <xf numFmtId="0" fontId="169"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38" fillId="89" borderId="0" applyNumberFormat="0" applyBorder="0" applyProtection="0"/>
    <xf numFmtId="0" fontId="169" fillId="136" borderId="0" applyNumberFormat="0" applyBorder="0" applyProtection="0"/>
    <xf numFmtId="0" fontId="169" fillId="136" borderId="0" applyNumberFormat="0" applyBorder="0" applyProtection="0"/>
    <xf numFmtId="0" fontId="169" fillId="136" borderId="0" applyNumberFormat="0" applyBorder="0" applyProtection="0"/>
    <xf numFmtId="0" fontId="169" fillId="136" borderId="0" applyNumberFormat="0" applyBorder="0" applyProtection="0"/>
    <xf numFmtId="0" fontId="169" fillId="136" borderId="0" applyNumberFormat="0" applyBorder="0" applyProtection="0"/>
    <xf numFmtId="0" fontId="169" fillId="136" borderId="0" applyNumberFormat="0" applyBorder="0" applyProtection="0"/>
    <xf numFmtId="0" fontId="169" fillId="136" borderId="0" applyNumberFormat="0" applyBorder="0" applyProtection="0"/>
    <xf numFmtId="0" fontId="169" fillId="136"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38" fillId="91" borderId="0" applyNumberFormat="0" applyBorder="0" applyProtection="0"/>
    <xf numFmtId="0" fontId="169" fillId="138" borderId="0" applyNumberFormat="0" applyBorder="0" applyProtection="0"/>
    <xf numFmtId="0" fontId="169" fillId="138" borderId="0" applyNumberFormat="0" applyBorder="0" applyProtection="0"/>
    <xf numFmtId="0" fontId="169" fillId="138" borderId="0" applyNumberFormat="0" applyBorder="0" applyProtection="0"/>
    <xf numFmtId="0" fontId="169" fillId="138" borderId="0" applyNumberFormat="0" applyBorder="0" applyProtection="0"/>
    <xf numFmtId="0" fontId="169" fillId="138" borderId="0" applyNumberFormat="0" applyBorder="0" applyProtection="0"/>
    <xf numFmtId="0" fontId="169" fillId="138" borderId="0" applyNumberFormat="0" applyBorder="0" applyProtection="0"/>
    <xf numFmtId="0" fontId="169" fillId="138" borderId="0" applyNumberFormat="0" applyBorder="0" applyProtection="0"/>
    <xf numFmtId="0" fontId="169" fillId="138"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38" fillId="137" borderId="0" applyNumberFormat="0" applyBorder="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3" fillId="140" borderId="79" applyNumberFormat="0" applyAlignmen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2" fillId="140" borderId="79" applyNumberForma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6" borderId="79" applyNumberFormat="0" applyAlignmen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1" fillId="55" borderId="79"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7" fillId="142" borderId="80" applyNumberFormat="0" applyAlignmen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6" fillId="142" borderId="80" applyNumberForma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3" borderId="80" applyNumberFormat="0" applyAlignmen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5" fillId="141" borderId="80"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1" fillId="142" borderId="79" applyNumberFormat="0" applyAlignmen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80" fillId="142" borderId="79" applyNumberForma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3" borderId="79" applyNumberFormat="0" applyAlignmen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79" fillId="141" borderId="79" applyNumberForma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5" fillId="0" borderId="0" applyNumberFormat="0" applyFill="0" applyBorder="0" applyProtection="0"/>
    <xf numFmtId="0" fontId="185" fillId="0" borderId="0" applyNumberFormat="0" applyFill="0" applyBorder="0" applyProtection="0"/>
    <xf numFmtId="0" fontId="185" fillId="0" borderId="0" applyNumberFormat="0" applyFill="0" applyBorder="0" applyProtection="0"/>
    <xf numFmtId="0" fontId="185" fillId="0" borderId="0" applyNumberFormat="0" applyFill="0" applyBorder="0" applyProtection="0"/>
    <xf numFmtId="0" fontId="185" fillId="0" borderId="0" applyNumberFormat="0" applyFill="0" applyBorder="0" applyProtection="0"/>
    <xf numFmtId="0" fontId="185" fillId="0" borderId="0" applyNumberFormat="0" applyFill="0" applyBorder="0" applyProtection="0"/>
    <xf numFmtId="0" fontId="185" fillId="0" borderId="0" applyNumberFormat="0" applyFill="0" applyBorder="0" applyProtection="0"/>
    <xf numFmtId="0" fontId="185" fillId="0" borderId="0" applyNumberFormat="0" applyFill="0" applyBorder="0" applyProtection="0"/>
    <xf numFmtId="0" fontId="185" fillId="0" borderId="0" applyNumberFormat="0" applyFill="0" applyBorder="0" applyProtection="0"/>
    <xf numFmtId="0" fontId="185" fillId="0" borderId="0" applyNumberFormat="0" applyFill="0" applyBorder="0" applyProtection="0"/>
    <xf numFmtId="0" fontId="185" fillId="0" borderId="0" applyNumberFormat="0" applyFill="0" applyBorder="0" applyProtection="0"/>
    <xf numFmtId="0" fontId="185" fillId="0" borderId="0" applyNumberFormat="0" applyFill="0" applyBorder="0" applyProtection="0"/>
    <xf numFmtId="0" fontId="185" fillId="0" borderId="0" applyNumberFormat="0" applyFill="0" applyBorder="0" applyProtection="0"/>
    <xf numFmtId="0" fontId="185" fillId="0" borderId="0" applyNumberFormat="0" applyFill="0" applyBorder="0" applyProtection="0"/>
    <xf numFmtId="0" fontId="185" fillId="0" borderId="0" applyNumberFormat="0" applyFill="0" applyBorder="0" applyProtection="0"/>
    <xf numFmtId="0" fontId="185" fillId="0" borderId="0" applyNumberFormat="0" applyFill="0" applyBorder="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5" fillId="0" borderId="0">
      <alignment vertical="top"/>
      <protection locked="0"/>
    </xf>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0" fontId="183" fillId="0" borderId="0" applyNumberFormat="0" applyFill="0" applyBorder="0" applyProtection="0"/>
    <xf numFmtId="44" fontId="59" fillId="0" borderId="0" applyFont="0" applyFill="0" applyBorder="0" applyProtection="0"/>
    <xf numFmtId="44" fontId="59" fillId="0" borderId="0" applyFont="0" applyFill="0" applyBorder="0" applyProtection="0"/>
    <xf numFmtId="44" fontId="59" fillId="0" borderId="0" applyFont="0" applyFill="0" applyBorder="0" applyProtection="0"/>
    <xf numFmtId="44" fontId="59" fillId="0" borderId="0" applyFont="0" applyFill="0" applyBorder="0" applyProtection="0"/>
    <xf numFmtId="44" fontId="59" fillId="0" borderId="0" applyFont="0" applyFill="0" applyBorder="0" applyProtection="0"/>
    <xf numFmtId="44" fontId="59" fillId="0" borderId="0" applyFont="0" applyFill="0" applyBorder="0" applyProtection="0"/>
    <xf numFmtId="44" fontId="59" fillId="0" borderId="0" applyFont="0" applyFill="0" applyBorder="0" applyProtection="0"/>
    <xf numFmtId="44" fontId="59" fillId="0" borderId="0" applyFont="0" applyFill="0" applyBorder="0" applyProtection="0"/>
    <xf numFmtId="44" fontId="59" fillId="0" borderId="0" applyFont="0" applyFill="0" applyBorder="0" applyProtection="0"/>
    <xf numFmtId="44" fontId="59" fillId="0" borderId="0" applyFont="0" applyFill="0" applyBorder="0" applyProtection="0"/>
    <xf numFmtId="44" fontId="59" fillId="0" borderId="0" applyFont="0" applyFill="0" applyBorder="0" applyProtection="0"/>
    <xf numFmtId="44" fontId="59" fillId="0" borderId="0" applyFont="0" applyFill="0" applyBorder="0" applyProtection="0"/>
    <xf numFmtId="44" fontId="59" fillId="0" borderId="0" applyFont="0" applyFill="0" applyBorder="0" applyProtection="0"/>
    <xf numFmtId="44" fontId="59" fillId="0" borderId="0" applyFont="0" applyFill="0" applyBorder="0" applyProtection="0"/>
    <xf numFmtId="44" fontId="59" fillId="0" borderId="0" applyFont="0" applyFill="0" applyBorder="0" applyProtection="0"/>
    <xf numFmtId="44" fontId="59" fillId="0" borderId="0" applyFont="0" applyFill="0" applyBorder="0" applyProtection="0"/>
    <xf numFmtId="0" fontId="189" fillId="0" borderId="81" applyNumberFormat="0" applyFill="0" applyProtection="0"/>
    <xf numFmtId="0" fontId="189" fillId="0" borderId="81" applyNumberFormat="0" applyFill="0" applyProtection="0"/>
    <xf numFmtId="0" fontId="189" fillId="0" borderId="81" applyNumberFormat="0" applyFill="0" applyProtection="0"/>
    <xf numFmtId="0" fontId="189" fillId="0" borderId="81" applyNumberFormat="0" applyFill="0" applyProtection="0"/>
    <xf numFmtId="0" fontId="189" fillId="0" borderId="81" applyNumberFormat="0" applyFill="0" applyProtection="0"/>
    <xf numFmtId="0" fontId="189" fillId="0" borderId="81" applyNumberFormat="0" applyFill="0" applyProtection="0"/>
    <xf numFmtId="0" fontId="189" fillId="0" borderId="81" applyNumberFormat="0" applyFill="0" applyProtection="0"/>
    <xf numFmtId="0" fontId="189" fillId="0" borderId="81" applyNumberFormat="0" applyFill="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Alignment="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88" fillId="0" borderId="81" applyNumberFormat="0" applyFill="0" applyProtection="0"/>
    <xf numFmtId="0" fontId="193" fillId="0" borderId="82" applyNumberFormat="0" applyFill="0" applyProtection="0"/>
    <xf numFmtId="0" fontId="193" fillId="0" borderId="82" applyNumberFormat="0" applyFill="0" applyProtection="0"/>
    <xf numFmtId="0" fontId="193" fillId="0" borderId="82" applyNumberFormat="0" applyFill="0" applyProtection="0"/>
    <xf numFmtId="0" fontId="193" fillId="0" borderId="82" applyNumberFormat="0" applyFill="0" applyProtection="0"/>
    <xf numFmtId="0" fontId="193" fillId="0" borderId="82" applyNumberFormat="0" applyFill="0" applyProtection="0"/>
    <xf numFmtId="0" fontId="193" fillId="0" borderId="82" applyNumberFormat="0" applyFill="0" applyProtection="0"/>
    <xf numFmtId="0" fontId="193" fillId="0" borderId="82" applyNumberFormat="0" applyFill="0" applyProtection="0"/>
    <xf numFmtId="0" fontId="193" fillId="0" borderId="82" applyNumberFormat="0" applyFill="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Alignment="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2" fillId="0" borderId="82" applyNumberFormat="0" applyFill="0" applyProtection="0"/>
    <xf numFmtId="0" fontId="197" fillId="0" borderId="83" applyNumberFormat="0" applyFill="0" applyProtection="0"/>
    <xf numFmtId="0" fontId="197" fillId="0" borderId="83" applyNumberFormat="0" applyFill="0" applyProtection="0"/>
    <xf numFmtId="0" fontId="197" fillId="0" borderId="83" applyNumberFormat="0" applyFill="0" applyProtection="0"/>
    <xf numFmtId="0" fontId="197" fillId="0" borderId="83" applyNumberFormat="0" applyFill="0" applyProtection="0"/>
    <xf numFmtId="0" fontId="197" fillId="0" borderId="83" applyNumberFormat="0" applyFill="0" applyProtection="0"/>
    <xf numFmtId="0" fontId="197" fillId="0" borderId="83" applyNumberFormat="0" applyFill="0" applyProtection="0"/>
    <xf numFmtId="0" fontId="197" fillId="0" borderId="83" applyNumberFormat="0" applyFill="0" applyProtection="0"/>
    <xf numFmtId="0" fontId="197" fillId="0" borderId="83" applyNumberFormat="0" applyFill="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Alignment="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6" fillId="0" borderId="83" applyNumberFormat="0" applyFill="0" applyProtection="0"/>
    <xf numFmtId="0" fontId="197" fillId="0" borderId="0" applyNumberFormat="0" applyFill="0" applyBorder="0" applyProtection="0"/>
    <xf numFmtId="0" fontId="197" fillId="0" borderId="0" applyNumberFormat="0" applyFill="0" applyBorder="0" applyProtection="0"/>
    <xf numFmtId="0" fontId="197" fillId="0" borderId="0" applyNumberFormat="0" applyFill="0" applyBorder="0" applyProtection="0"/>
    <xf numFmtId="0" fontId="197" fillId="0" borderId="0" applyNumberFormat="0" applyFill="0" applyBorder="0" applyProtection="0"/>
    <xf numFmtId="0" fontId="197" fillId="0" borderId="0" applyNumberFormat="0" applyFill="0" applyBorder="0" applyProtection="0"/>
    <xf numFmtId="0" fontId="197" fillId="0" borderId="0" applyNumberFormat="0" applyFill="0" applyBorder="0" applyProtection="0"/>
    <xf numFmtId="0" fontId="197" fillId="0" borderId="0" applyNumberFormat="0" applyFill="0" applyBorder="0" applyProtection="0"/>
    <xf numFmtId="0" fontId="197" fillId="0" borderId="0" applyNumberFormat="0" applyFill="0" applyBorder="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196" fillId="0" borderId="0" applyNumberFormat="0" applyFill="0" applyBorder="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2" fillId="0" borderId="84" applyNumberFormat="0" applyFill="0" applyAlignment="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1" fillId="0" borderId="84" applyNumberFormat="0" applyFill="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3" fillId="0" borderId="84" applyNumberFormat="0" applyFill="0" applyAlignment="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0" fillId="0" borderId="84" applyNumberFormat="0" applyFill="0" applyProtection="0"/>
    <xf numFmtId="0" fontId="205" fillId="145" borderId="85" applyNumberFormat="0" applyProtection="0"/>
    <xf numFmtId="0" fontId="205" fillId="145" borderId="85" applyNumberFormat="0" applyProtection="0"/>
    <xf numFmtId="0" fontId="205" fillId="145" borderId="85" applyNumberFormat="0" applyProtection="0"/>
    <xf numFmtId="0" fontId="205" fillId="145" borderId="85" applyNumberFormat="0" applyProtection="0"/>
    <xf numFmtId="0" fontId="205" fillId="145" borderId="85" applyNumberFormat="0" applyProtection="0"/>
    <xf numFmtId="0" fontId="205" fillId="145" borderId="85" applyNumberFormat="0" applyProtection="0"/>
    <xf numFmtId="0" fontId="205" fillId="145" borderId="85" applyNumberFormat="0" applyProtection="0"/>
    <xf numFmtId="0" fontId="205" fillId="145"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4" fillId="144" borderId="85" applyNumberFormat="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08" fillId="0" borderId="0" applyNumberFormat="0" applyFill="0" applyBorder="0" applyProtection="0"/>
    <xf numFmtId="0" fontId="211" fillId="148" borderId="0" applyNumberFormat="0" applyBorder="0" applyProtection="0"/>
    <xf numFmtId="0" fontId="211" fillId="148" borderId="0" applyNumberFormat="0" applyBorder="0" applyProtection="0"/>
    <xf numFmtId="0" fontId="211" fillId="148" borderId="0" applyNumberFormat="0" applyBorder="0" applyProtection="0"/>
    <xf numFmtId="0" fontId="211" fillId="148" borderId="0" applyNumberFormat="0" applyBorder="0" applyProtection="0"/>
    <xf numFmtId="0" fontId="211" fillId="148" borderId="0" applyNumberFormat="0" applyBorder="0" applyProtection="0"/>
    <xf numFmtId="0" fontId="211" fillId="148" borderId="0" applyNumberFormat="0" applyBorder="0" applyProtection="0"/>
    <xf numFmtId="0" fontId="211" fillId="148" borderId="0" applyNumberFormat="0" applyBorder="0" applyProtection="0"/>
    <xf numFmtId="0" fontId="211" fillId="148" borderId="0" applyNumberFormat="0" applyBorder="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9" borderId="0" applyNumberFormat="0" applyBorder="0" applyAlignment="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210" fillId="147" borderId="0" applyNumberFormat="0" applyBorder="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9" fillId="0" borderId="0"/>
    <xf numFmtId="0" fontId="59" fillId="0" borderId="0"/>
    <xf numFmtId="0" fontId="59" fillId="0" borderId="0"/>
    <xf numFmtId="0" fontId="5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59" fillId="0" borderId="0"/>
    <xf numFmtId="0" fontId="137" fillId="0" borderId="0"/>
    <xf numFmtId="0" fontId="59" fillId="0" borderId="0"/>
    <xf numFmtId="0" fontId="137" fillId="0" borderId="0"/>
    <xf numFmtId="0" fontId="137" fillId="0" borderId="0"/>
    <xf numFmtId="0" fontId="59" fillId="0" borderId="0"/>
    <xf numFmtId="0" fontId="137" fillId="0" borderId="0"/>
    <xf numFmtId="0" fontId="137" fillId="0" borderId="0"/>
    <xf numFmtId="0" fontId="59" fillId="0" borderId="0"/>
    <xf numFmtId="0" fontId="137" fillId="0" borderId="0"/>
    <xf numFmtId="0" fontId="137" fillId="0" borderId="0"/>
    <xf numFmtId="0" fontId="59" fillId="0" borderId="0"/>
    <xf numFmtId="0" fontId="59" fillId="0" borderId="0"/>
    <xf numFmtId="0" fontId="13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2" fillId="0" borderId="0"/>
    <xf numFmtId="0" fontId="59" fillId="0" borderId="0"/>
    <xf numFmtId="0" fontId="132" fillId="0" borderId="0"/>
    <xf numFmtId="0" fontId="59" fillId="0" borderId="0"/>
    <xf numFmtId="0" fontId="59" fillId="0" borderId="0"/>
    <xf numFmtId="0" fontId="13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7" fillId="0" borderId="0"/>
    <xf numFmtId="0" fontId="132" fillId="0" borderId="0"/>
    <xf numFmtId="0" fontId="137" fillId="0" borderId="0"/>
    <xf numFmtId="0" fontId="132" fillId="0" borderId="0"/>
    <xf numFmtId="0" fontId="132" fillId="0" borderId="0"/>
    <xf numFmtId="0" fontId="137" fillId="0" borderId="0"/>
    <xf numFmtId="0" fontId="132" fillId="0" borderId="0"/>
    <xf numFmtId="0" fontId="132" fillId="0" borderId="0"/>
    <xf numFmtId="0" fontId="137" fillId="0" borderId="0"/>
    <xf numFmtId="0" fontId="132" fillId="0" borderId="0"/>
    <xf numFmtId="0" fontId="132" fillId="0" borderId="0"/>
    <xf numFmtId="0" fontId="137" fillId="0" borderId="0"/>
    <xf numFmtId="0" fontId="137" fillId="0" borderId="0"/>
    <xf numFmtId="0" fontId="137" fillId="0" borderId="0"/>
    <xf numFmtId="0" fontId="2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132" fillId="0" borderId="0"/>
    <xf numFmtId="0" fontId="222" fillId="0" borderId="0">
      <alignment vertical="top" wrapText="1"/>
    </xf>
    <xf numFmtId="0" fontId="132" fillId="0" borderId="0"/>
    <xf numFmtId="0" fontId="222" fillId="0" borderId="0">
      <alignment vertical="top" wrapText="1"/>
    </xf>
    <xf numFmtId="0" fontId="222" fillId="0" borderId="0">
      <alignment vertical="top" wrapText="1"/>
    </xf>
    <xf numFmtId="0" fontId="132" fillId="0" borderId="0"/>
    <xf numFmtId="0" fontId="222" fillId="0" borderId="0">
      <alignment vertical="top" wrapText="1"/>
    </xf>
    <xf numFmtId="0" fontId="222" fillId="0" borderId="0">
      <alignment vertical="top" wrapText="1"/>
    </xf>
    <xf numFmtId="0" fontId="132" fillId="0" borderId="0"/>
    <xf numFmtId="0" fontId="222" fillId="0" borderId="0">
      <alignment vertical="top" wrapText="1"/>
    </xf>
    <xf numFmtId="0" fontId="222" fillId="0" borderId="0">
      <alignment vertical="top" wrapText="1"/>
    </xf>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222" fillId="0" borderId="0">
      <alignment vertical="top" wrapText="1"/>
    </xf>
    <xf numFmtId="0" fontId="59" fillId="0" borderId="0"/>
    <xf numFmtId="0" fontId="59" fillId="0" borderId="0"/>
    <xf numFmtId="0" fontId="59" fillId="0" borderId="0"/>
    <xf numFmtId="0" fontId="59" fillId="0" borderId="0"/>
    <xf numFmtId="0" fontId="59" fillId="0" borderId="0"/>
    <xf numFmtId="0" fontId="137" fillId="0" borderId="0"/>
    <xf numFmtId="0" fontId="137" fillId="0" borderId="0"/>
    <xf numFmtId="0" fontId="137" fillId="0" borderId="0"/>
    <xf numFmtId="0" fontId="13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7" fillId="0" borderId="0"/>
    <xf numFmtId="0" fontId="137" fillId="0" borderId="0"/>
    <xf numFmtId="0" fontId="137" fillId="0" borderId="0"/>
    <xf numFmtId="0" fontId="137" fillId="0" borderId="0"/>
    <xf numFmtId="0" fontId="59" fillId="0" borderId="0"/>
    <xf numFmtId="0" fontId="222" fillId="0" borderId="0">
      <alignment vertical="top" wrapText="1"/>
    </xf>
    <xf numFmtId="0" fontId="59" fillId="0" borderId="0"/>
    <xf numFmtId="0" fontId="222" fillId="0" borderId="0">
      <alignment vertical="top" wrapText="1"/>
    </xf>
    <xf numFmtId="0" fontId="59" fillId="0" borderId="0"/>
    <xf numFmtId="0" fontId="59" fillId="0" borderId="0"/>
    <xf numFmtId="0" fontId="222" fillId="0" borderId="0">
      <alignment vertical="top" wrapText="1"/>
    </xf>
    <xf numFmtId="0" fontId="59" fillId="0" borderId="0"/>
    <xf numFmtId="0" fontId="59" fillId="0" borderId="0"/>
    <xf numFmtId="0" fontId="222" fillId="0" borderId="0">
      <alignment vertical="top" wrapText="1"/>
    </xf>
    <xf numFmtId="0" fontId="59" fillId="0" borderId="0"/>
    <xf numFmtId="0" fontId="222" fillId="0" borderId="0">
      <alignment vertical="top" wrapText="1"/>
    </xf>
    <xf numFmtId="0" fontId="222" fillId="0" borderId="0">
      <alignment vertical="top" wrapText="1"/>
    </xf>
    <xf numFmtId="0" fontId="222" fillId="0" borderId="0">
      <alignment vertical="top"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59" fillId="0" borderId="0"/>
    <xf numFmtId="0" fontId="5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4" fillId="0" borderId="0">
      <protection locked="0"/>
    </xf>
    <xf numFmtId="0" fontId="223" fillId="0" borderId="0"/>
    <xf numFmtId="0" fontId="223" fillId="0" borderId="0"/>
    <xf numFmtId="0" fontId="223" fillId="0" borderId="0"/>
    <xf numFmtId="0" fontId="223"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3" fillId="0" borderId="0"/>
    <xf numFmtId="0" fontId="223" fillId="0" borderId="0"/>
    <xf numFmtId="0" fontId="223" fillId="0" borderId="0"/>
    <xf numFmtId="0" fontId="22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59" fillId="0" borderId="0"/>
    <xf numFmtId="0" fontId="59" fillId="0" borderId="0"/>
    <xf numFmtId="0" fontId="59" fillId="0" borderId="0"/>
    <xf numFmtId="0" fontId="59" fillId="0" borderId="0"/>
    <xf numFmtId="0" fontId="59"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3" fillId="0" borderId="0"/>
    <xf numFmtId="0" fontId="223" fillId="0" borderId="0"/>
    <xf numFmtId="0" fontId="223" fillId="0" borderId="0"/>
    <xf numFmtId="0" fontId="22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223" fillId="0" borderId="0"/>
    <xf numFmtId="0" fontId="223" fillId="0" borderId="0"/>
    <xf numFmtId="0" fontId="223" fillId="0" borderId="0"/>
    <xf numFmtId="0" fontId="223" fillId="0" borderId="0"/>
    <xf numFmtId="0" fontId="26" fillId="0" borderId="0"/>
    <xf numFmtId="0" fontId="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59" fillId="0" borderId="0"/>
    <xf numFmtId="0" fontId="59" fillId="0" borderId="0"/>
    <xf numFmtId="0" fontId="59" fillId="0" borderId="0"/>
    <xf numFmtId="0" fontId="59"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59" fillId="0" borderId="0"/>
    <xf numFmtId="0" fontId="59" fillId="0" borderId="0"/>
    <xf numFmtId="0" fontId="59" fillId="0" borderId="0"/>
    <xf numFmtId="0" fontId="59" fillId="0" borderId="0"/>
    <xf numFmtId="0" fontId="59" fillId="0" borderId="0"/>
    <xf numFmtId="0" fontId="59" fillId="0" borderId="0"/>
    <xf numFmtId="0" fontId="26" fillId="0" borderId="0" applyNumberFormat="0" applyFont="0" applyFill="0" applyBorder="0" applyAlignment="0" applyProtection="0">
      <alignment vertical="top"/>
    </xf>
    <xf numFmtId="0" fontId="26" fillId="0" borderId="0" applyNumberFormat="0" applyFont="0" applyFill="0" applyBorder="0" applyAlignment="0" applyProtection="0">
      <alignment vertical="top"/>
    </xf>
    <xf numFmtId="0" fontId="26" fillId="0" borderId="0" applyNumberFormat="0" applyFont="0" applyFill="0" applyBorder="0" applyAlignment="0" applyProtection="0">
      <alignment vertical="top"/>
    </xf>
    <xf numFmtId="0" fontId="26" fillId="0" borderId="0" applyNumberFormat="0" applyFont="0" applyFill="0" applyBorder="0" applyAlignment="0" applyProtection="0">
      <alignment vertical="top"/>
    </xf>
    <xf numFmtId="0" fontId="26" fillId="0" borderId="0" applyNumberFormat="0" applyFont="0" applyFill="0" applyBorder="0" applyAlignment="0" applyProtection="0">
      <alignment vertical="top"/>
    </xf>
    <xf numFmtId="0" fontId="26" fillId="0" borderId="0" applyNumberFormat="0" applyFont="0" applyFill="0" applyBorder="0" applyAlignment="0" applyProtection="0">
      <alignment vertical="top"/>
    </xf>
    <xf numFmtId="0" fontId="26" fillId="0" borderId="0" applyNumberFormat="0" applyFont="0" applyFill="0" applyBorder="0" applyAlignment="0" applyProtection="0">
      <alignment vertical="top"/>
    </xf>
    <xf numFmtId="0" fontId="26" fillId="0" borderId="0" applyNumberFormat="0" applyFont="0" applyFill="0" applyBorder="0" applyAlignment="0" applyProtection="0">
      <alignment vertical="top"/>
    </xf>
    <xf numFmtId="0" fontId="26" fillId="0" borderId="0" applyNumberFormat="0" applyFont="0" applyFill="0" applyBorder="0" applyAlignment="0" applyProtection="0">
      <alignment vertical="top"/>
    </xf>
    <xf numFmtId="0" fontId="26" fillId="0" borderId="0" applyNumberFormat="0" applyFont="0" applyFill="0" applyBorder="0" applyAlignment="0" applyProtection="0">
      <alignment vertical="top"/>
    </xf>
    <xf numFmtId="0" fontId="26" fillId="0" borderId="0" applyNumberFormat="0" applyFont="0" applyFill="0" applyBorder="0" applyAlignment="0" applyProtection="0">
      <alignment vertical="top"/>
    </xf>
    <xf numFmtId="0" fontId="26" fillId="0" borderId="0" applyNumberFormat="0" applyFont="0" applyFill="0" applyBorder="0" applyAlignment="0" applyProtection="0">
      <alignment vertical="top"/>
    </xf>
    <xf numFmtId="0" fontId="26" fillId="0" borderId="0" applyNumberFormat="0" applyFont="0" applyFill="0" applyBorder="0" applyAlignment="0" applyProtection="0">
      <alignment vertical="top"/>
    </xf>
    <xf numFmtId="0" fontId="26" fillId="0" borderId="0" applyNumberFormat="0" applyFont="0" applyFill="0" applyBorder="0" applyAlignment="0" applyProtection="0">
      <alignment vertical="top"/>
    </xf>
    <xf numFmtId="0" fontId="26" fillId="0" borderId="0" applyNumberFormat="0" applyFont="0" applyFill="0" applyBorder="0" applyAlignment="0" applyProtection="0">
      <alignment vertical="top"/>
    </xf>
    <xf numFmtId="0" fontId="26" fillId="0" borderId="0" applyNumberFormat="0" applyFont="0" applyFill="0" applyBorder="0" applyAlignment="0" applyProtection="0">
      <alignment vertical="top"/>
    </xf>
    <xf numFmtId="0" fontId="26" fillId="0" borderId="0" applyNumberFormat="0" applyFont="0" applyFill="0" applyBorder="0" applyAlignment="0" applyProtection="0">
      <alignment vertical="top"/>
    </xf>
    <xf numFmtId="0" fontId="26" fillId="0" borderId="0" applyNumberFormat="0" applyFont="0" applyFill="0" applyBorder="0" applyAlignment="0" applyProtection="0">
      <alignment vertical="top"/>
    </xf>
    <xf numFmtId="0" fontId="26" fillId="0" borderId="0" applyNumberFormat="0" applyFont="0" applyFill="0" applyBorder="0" applyAlignment="0" applyProtection="0">
      <alignment vertical="top"/>
    </xf>
    <xf numFmtId="0" fontId="26" fillId="0" borderId="0" applyNumberFormat="0" applyFont="0" applyFill="0" applyBorder="0" applyAlignment="0" applyProtection="0">
      <alignment vertical="top"/>
    </xf>
    <xf numFmtId="0" fontId="26" fillId="0" borderId="0" applyNumberFormat="0" applyFont="0" applyFill="0" applyBorder="0" applyProtection="0">
      <alignment vertical="top"/>
    </xf>
    <xf numFmtId="0" fontId="26" fillId="0" borderId="0" applyNumberFormat="0" applyFont="0" applyFill="0" applyBorder="0" applyProtection="0">
      <alignment vertical="top"/>
    </xf>
    <xf numFmtId="0" fontId="26" fillId="0" borderId="0" applyNumberFormat="0" applyFont="0" applyFill="0" applyBorder="0" applyProtection="0">
      <alignment vertical="top"/>
    </xf>
    <xf numFmtId="0" fontId="26" fillId="0" borderId="0" applyNumberFormat="0" applyFont="0" applyFill="0" applyBorder="0" applyProtection="0">
      <alignment vertical="top"/>
    </xf>
    <xf numFmtId="0" fontId="26" fillId="0" borderId="0" applyNumberFormat="0" applyFont="0" applyFill="0" applyBorder="0" applyProtection="0">
      <alignment vertical="top"/>
    </xf>
    <xf numFmtId="0" fontId="26" fillId="0" borderId="0" applyNumberFormat="0" applyFont="0" applyFill="0" applyBorder="0" applyProtection="0">
      <alignment vertical="top"/>
    </xf>
    <xf numFmtId="0" fontId="26" fillId="0" borderId="0" applyNumberFormat="0" applyFont="0" applyFill="0" applyBorder="0" applyProtection="0">
      <alignment vertical="top"/>
    </xf>
    <xf numFmtId="0" fontId="26" fillId="0" borderId="0" applyNumberFormat="0" applyFont="0" applyFill="0" applyBorder="0" applyProtection="0">
      <alignment vertical="top"/>
    </xf>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110" fillId="107" borderId="0" applyNumberFormat="0" applyBorder="0" applyProtection="0"/>
    <xf numFmtId="0" fontId="232" fillId="150" borderId="0" applyNumberFormat="0" applyBorder="0" applyProtection="0"/>
    <xf numFmtId="0" fontId="232" fillId="150" borderId="0" applyNumberFormat="0" applyBorder="0" applyProtection="0"/>
    <xf numFmtId="0" fontId="232" fillId="150" borderId="0" applyNumberFormat="0" applyBorder="0" applyProtection="0"/>
    <xf numFmtId="0" fontId="232" fillId="150" borderId="0" applyNumberFormat="0" applyBorder="0" applyProtection="0"/>
    <xf numFmtId="0" fontId="232" fillId="150" borderId="0" applyNumberFormat="0" applyBorder="0" applyProtection="0"/>
    <xf numFmtId="0" fontId="232" fillId="150" borderId="0" applyNumberFormat="0" applyBorder="0" applyProtection="0"/>
    <xf numFmtId="0" fontId="232" fillId="150" borderId="0" applyNumberFormat="0" applyBorder="0" applyProtection="0"/>
    <xf numFmtId="0" fontId="232" fillId="150" borderId="0" applyNumberFormat="0" applyBorder="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1" fillId="34" borderId="0" applyNumberFormat="0" applyBorder="0" applyProtection="0"/>
    <xf numFmtId="0" fontId="236" fillId="0" borderId="0" applyNumberFormat="0" applyFill="0" applyBorder="0" applyProtection="0"/>
    <xf numFmtId="0" fontId="236" fillId="0" borderId="0" applyNumberFormat="0" applyFill="0" applyBorder="0" applyProtection="0"/>
    <xf numFmtId="0" fontId="236" fillId="0" borderId="0" applyNumberFormat="0" applyFill="0" applyBorder="0" applyProtection="0"/>
    <xf numFmtId="0" fontId="236" fillId="0" borderId="0" applyNumberFormat="0" applyFill="0" applyBorder="0" applyProtection="0"/>
    <xf numFmtId="0" fontId="236" fillId="0" borderId="0" applyNumberFormat="0" applyFill="0" applyBorder="0" applyProtection="0"/>
    <xf numFmtId="0" fontId="236" fillId="0" borderId="0" applyNumberFormat="0" applyFill="0" applyBorder="0" applyProtection="0"/>
    <xf numFmtId="0" fontId="236" fillId="0" borderId="0" applyNumberFormat="0" applyFill="0" applyBorder="0" applyProtection="0"/>
    <xf numFmtId="0" fontId="236" fillId="0" borderId="0" applyNumberFormat="0" applyFill="0" applyBorder="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235" fillId="0" borderId="0" applyNumberFormat="0" applyFill="0" applyBorder="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5" fillId="152" borderId="86" applyNumberFormat="0" applyAlignmen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226" fillId="151" borderId="86" applyNumberForma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9" fillId="151" borderId="86" applyNumberFormat="0" applyFont="0" applyAlignme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0" fontId="137" fillId="122" borderId="86" applyNumberFormat="0" applyFo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27" fillId="0" borderId="0" applyFont="0" applyFill="0" applyBorder="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Protection="0"/>
    <xf numFmtId="9" fontId="26" fillId="0" borderId="0" applyFill="0" applyBorder="0" applyProtection="0"/>
    <xf numFmtId="9" fontId="26" fillId="0" borderId="0" applyFill="0" applyBorder="0" applyProtection="0"/>
    <xf numFmtId="9" fontId="26" fillId="0" borderId="0" applyFill="0" applyBorder="0" applyProtection="0"/>
    <xf numFmtId="9" fontId="26" fillId="0" borderId="0" applyFill="0" applyBorder="0" applyProtection="0"/>
    <xf numFmtId="9" fontId="26" fillId="0" borderId="0" applyFill="0" applyBorder="0" applyProtection="0"/>
    <xf numFmtId="9" fontId="26" fillId="0" borderId="0" applyFill="0" applyBorder="0" applyProtection="0"/>
    <xf numFmtId="9" fontId="26" fillId="0" borderId="0" applyFill="0" applyBorder="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Protection="0"/>
    <xf numFmtId="9" fontId="26" fillId="0" borderId="0" applyFill="0" applyBorder="0" applyProtection="0"/>
    <xf numFmtId="9" fontId="26" fillId="0" borderId="0" applyFill="0" applyBorder="0" applyProtection="0"/>
    <xf numFmtId="9" fontId="26" fillId="0" borderId="0" applyFill="0" applyBorder="0" applyProtection="0"/>
    <xf numFmtId="9" fontId="26" fillId="0" borderId="0" applyFill="0" applyBorder="0" applyProtection="0"/>
    <xf numFmtId="9" fontId="26" fillId="0" borderId="0" applyFill="0" applyBorder="0" applyProtection="0"/>
    <xf numFmtId="9" fontId="26" fillId="0" borderId="0" applyFill="0" applyBorder="0" applyProtection="0"/>
    <xf numFmtId="9" fontId="26" fillId="0" borderId="0" applyFill="0" applyBorder="0" applyProtection="0"/>
    <xf numFmtId="9" fontId="27" fillId="0" borderId="0" applyFont="0" applyFill="0" applyBorder="0" applyProtection="0"/>
    <xf numFmtId="9" fontId="27" fillId="0" borderId="0" applyFont="0" applyFill="0" applyBorder="0" applyProtection="0"/>
    <xf numFmtId="9" fontId="27" fillId="0" borderId="0" applyFont="0" applyFill="0" applyBorder="0" applyProtection="0"/>
    <xf numFmtId="9" fontId="27" fillId="0" borderId="0" applyFont="0" applyFill="0" applyBorder="0" applyProtection="0"/>
    <xf numFmtId="9" fontId="27" fillId="0" borderId="0" applyFont="0" applyFill="0" applyBorder="0" applyProtection="0"/>
    <xf numFmtId="9" fontId="27" fillId="0" borderId="0" applyFont="0" applyFill="0" applyBorder="0" applyProtection="0"/>
    <xf numFmtId="9" fontId="27" fillId="0" borderId="0" applyFont="0" applyFill="0" applyBorder="0" applyProtection="0"/>
    <xf numFmtId="9" fontId="27" fillId="0" borderId="0" applyFont="0" applyFill="0" applyBorder="0" applyProtection="0"/>
    <xf numFmtId="9" fontId="27" fillId="0" borderId="0" applyFont="0" applyFill="0" applyBorder="0" applyProtection="0"/>
    <xf numFmtId="9" fontId="27" fillId="0" borderId="0" applyFont="0" applyFill="0" applyBorder="0" applyProtection="0"/>
    <xf numFmtId="9" fontId="27" fillId="0" borderId="0" applyFont="0" applyFill="0" applyBorder="0" applyProtection="0"/>
    <xf numFmtId="9" fontId="27" fillId="0" borderId="0" applyFont="0" applyFill="0" applyBorder="0" applyProtection="0"/>
    <xf numFmtId="9" fontId="27" fillId="0" borderId="0" applyFont="0" applyFill="0" applyBorder="0" applyProtection="0"/>
    <xf numFmtId="9" fontId="27" fillId="0" borderId="0" applyFont="0" applyFill="0" applyBorder="0" applyProtection="0"/>
    <xf numFmtId="9" fontId="27"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59"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9" fontId="137" fillId="0" borderId="0" applyFont="0" applyFill="0" applyBorder="0" applyProtection="0"/>
    <xf numFmtId="0" fontId="240" fillId="0" borderId="87" applyNumberFormat="0" applyFill="0" applyProtection="0"/>
    <xf numFmtId="0" fontId="240" fillId="0" borderId="87" applyNumberFormat="0" applyFill="0" applyProtection="0"/>
    <xf numFmtId="0" fontId="240" fillId="0" borderId="87" applyNumberFormat="0" applyFill="0" applyProtection="0"/>
    <xf numFmtId="0" fontId="240" fillId="0" borderId="87" applyNumberFormat="0" applyFill="0" applyProtection="0"/>
    <xf numFmtId="0" fontId="240" fillId="0" borderId="87" applyNumberFormat="0" applyFill="0" applyProtection="0"/>
    <xf numFmtId="0" fontId="240" fillId="0" borderId="87" applyNumberFormat="0" applyFill="0" applyProtection="0"/>
    <xf numFmtId="0" fontId="240" fillId="0" borderId="87" applyNumberFormat="0" applyFill="0" applyProtection="0"/>
    <xf numFmtId="0" fontId="240" fillId="0" borderId="87" applyNumberFormat="0" applyFill="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Alignment="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39" fillId="0" borderId="87" applyNumberFormat="0" applyFill="0" applyProtection="0"/>
    <xf numFmtId="0" fontId="245" fillId="0" borderId="0" applyNumberFormat="0" applyFill="0" applyBorder="0" applyProtection="0"/>
    <xf numFmtId="0" fontId="245" fillId="0" borderId="0" applyNumberFormat="0" applyFill="0" applyBorder="0" applyProtection="0"/>
    <xf numFmtId="0" fontId="245" fillId="0" borderId="0" applyNumberFormat="0" applyFill="0" applyBorder="0" applyProtection="0"/>
    <xf numFmtId="0" fontId="245" fillId="0" borderId="0" applyNumberFormat="0" applyFill="0" applyBorder="0" applyProtection="0"/>
    <xf numFmtId="0" fontId="245" fillId="0" borderId="0" applyNumberFormat="0" applyFill="0" applyBorder="0" applyProtection="0"/>
    <xf numFmtId="0" fontId="245" fillId="0" borderId="0" applyNumberFormat="0" applyFill="0" applyBorder="0" applyProtection="0"/>
    <xf numFmtId="0" fontId="245" fillId="0" borderId="0" applyNumberFormat="0" applyFill="0" applyBorder="0" applyProtection="0"/>
    <xf numFmtId="0" fontId="245"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0" fontId="244" fillId="0" borderId="0" applyNumberForma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5" fontId="59"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0" fontId="59"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43" fontId="59" fillId="0" borderId="0" applyFont="0" applyFill="0" applyBorder="0" applyProtection="0"/>
    <xf numFmtId="43" fontId="59"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164" fontId="137"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43" fontId="59" fillId="0" borderId="0" applyFont="0" applyFill="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50" fillId="153" borderId="0" applyNumberFormat="0" applyBorder="0" applyProtection="0"/>
    <xf numFmtId="0" fontId="250" fillId="153" borderId="0" applyNumberFormat="0" applyBorder="0" applyProtection="0"/>
    <xf numFmtId="0" fontId="250" fillId="153" borderId="0" applyNumberFormat="0" applyBorder="0" applyProtection="0"/>
    <xf numFmtId="0" fontId="250" fillId="153" borderId="0" applyNumberFormat="0" applyBorder="0" applyProtection="0"/>
    <xf numFmtId="0" fontId="250" fillId="153" borderId="0" applyNumberFormat="0" applyBorder="0" applyProtection="0"/>
    <xf numFmtId="0" fontId="250" fillId="153" borderId="0" applyNumberFormat="0" applyBorder="0" applyProtection="0"/>
    <xf numFmtId="0" fontId="250" fillId="153" borderId="0" applyNumberFormat="0" applyBorder="0" applyProtection="0"/>
    <xf numFmtId="0" fontId="250" fillId="153" borderId="0" applyNumberFormat="0" applyBorder="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48" fillId="49" borderId="0" applyNumberFormat="0" applyBorder="0" applyProtection="0"/>
    <xf numFmtId="0" fontId="299" fillId="0" borderId="0"/>
    <xf numFmtId="168" fontId="299" fillId="0" borderId="0" applyFont="0" applyFill="0" applyBorder="0" applyAlignment="0" applyProtection="0"/>
    <xf numFmtId="0" fontId="300" fillId="0" borderId="0">
      <alignment horizontal="center" vertical="top" wrapText="1"/>
    </xf>
    <xf numFmtId="0" fontId="301" fillId="0" borderId="0">
      <alignment horizontal="right" vertical="top" wrapText="1"/>
    </xf>
    <xf numFmtId="49" fontId="302" fillId="0" borderId="18">
      <alignment horizontal="center" vertical="center" wrapText="1"/>
    </xf>
    <xf numFmtId="49" fontId="302" fillId="0" borderId="19">
      <alignment horizontal="center" vertical="center" wrapText="1"/>
    </xf>
    <xf numFmtId="49" fontId="302" fillId="0" borderId="20">
      <alignment horizontal="center" vertical="center" wrapText="1"/>
    </xf>
    <xf numFmtId="49" fontId="302" fillId="0" borderId="21">
      <alignment horizontal="center" vertical="center" wrapText="1"/>
    </xf>
    <xf numFmtId="49" fontId="302" fillId="0" borderId="22">
      <alignment horizontal="center" vertical="center" wrapText="1"/>
    </xf>
    <xf numFmtId="49" fontId="302" fillId="0" borderId="23">
      <alignment horizontal="center" vertical="center" wrapText="1"/>
    </xf>
    <xf numFmtId="49" fontId="303" fillId="21" borderId="24">
      <alignment horizontal="center" vertical="top" shrinkToFit="1"/>
    </xf>
    <xf numFmtId="49" fontId="303" fillId="21" borderId="25">
      <alignment horizontal="center" vertical="top" shrinkToFit="1"/>
    </xf>
    <xf numFmtId="0" fontId="303" fillId="21" borderId="25">
      <alignment horizontal="left" vertical="top" wrapText="1"/>
    </xf>
    <xf numFmtId="4" fontId="303" fillId="21" borderId="25">
      <alignment horizontal="right" vertical="top" shrinkToFit="1"/>
    </xf>
    <xf numFmtId="4" fontId="303" fillId="21" borderId="26">
      <alignment horizontal="right" vertical="top" shrinkToFit="1"/>
    </xf>
    <xf numFmtId="49" fontId="302" fillId="22" borderId="27">
      <alignment horizontal="center" vertical="top" shrinkToFit="1"/>
    </xf>
    <xf numFmtId="49" fontId="302" fillId="22" borderId="28">
      <alignment horizontal="center" vertical="top" shrinkToFit="1"/>
    </xf>
    <xf numFmtId="0" fontId="302" fillId="22" borderId="28">
      <alignment horizontal="left" vertical="top" wrapText="1"/>
    </xf>
    <xf numFmtId="4" fontId="302" fillId="22" borderId="28">
      <alignment horizontal="right" vertical="top" shrinkToFit="1"/>
    </xf>
    <xf numFmtId="4" fontId="302" fillId="22" borderId="29">
      <alignment horizontal="right" vertical="top" shrinkToFit="1"/>
    </xf>
    <xf numFmtId="49" fontId="302" fillId="23" borderId="30">
      <alignment horizontal="center" vertical="top" shrinkToFit="1"/>
    </xf>
    <xf numFmtId="49" fontId="302" fillId="23" borderId="31">
      <alignment horizontal="center" vertical="top" shrinkToFit="1"/>
    </xf>
    <xf numFmtId="0" fontId="302" fillId="23" borderId="31">
      <alignment horizontal="left" vertical="top" wrapText="1"/>
    </xf>
    <xf numFmtId="4" fontId="302" fillId="23" borderId="31">
      <alignment horizontal="right" vertical="top" shrinkToFit="1"/>
    </xf>
    <xf numFmtId="4" fontId="302" fillId="23" borderId="32">
      <alignment horizontal="right" vertical="top" shrinkToFit="1"/>
    </xf>
    <xf numFmtId="49" fontId="301" fillId="0" borderId="31">
      <alignment horizontal="center" vertical="top" shrinkToFit="1"/>
    </xf>
    <xf numFmtId="0" fontId="301" fillId="0" borderId="31">
      <alignment horizontal="left" vertical="top" wrapText="1"/>
    </xf>
    <xf numFmtId="4" fontId="301" fillId="0" borderId="31">
      <alignment horizontal="right" vertical="top" shrinkToFit="1"/>
    </xf>
    <xf numFmtId="4" fontId="301" fillId="0" borderId="32">
      <alignment horizontal="right" vertical="top" shrinkToFit="1"/>
    </xf>
    <xf numFmtId="49" fontId="301" fillId="0" borderId="31">
      <alignment horizontal="center" vertical="top" shrinkToFit="1"/>
    </xf>
    <xf numFmtId="0" fontId="301" fillId="0" borderId="31">
      <alignment horizontal="left" vertical="top" wrapText="1"/>
    </xf>
    <xf numFmtId="4" fontId="301" fillId="0" borderId="31">
      <alignment horizontal="right" vertical="top" shrinkToFit="1"/>
    </xf>
    <xf numFmtId="4" fontId="301" fillId="0" borderId="32">
      <alignment horizontal="right" vertical="top" shrinkToFit="1"/>
    </xf>
    <xf numFmtId="49" fontId="301" fillId="0" borderId="31">
      <alignment horizontal="center" vertical="top" shrinkToFit="1"/>
    </xf>
    <xf numFmtId="0" fontId="301" fillId="0" borderId="31">
      <alignment horizontal="left" vertical="top" wrapText="1"/>
    </xf>
    <xf numFmtId="4" fontId="301" fillId="0" borderId="31">
      <alignment horizontal="right" vertical="top" shrinkToFit="1"/>
    </xf>
    <xf numFmtId="4" fontId="301" fillId="0" borderId="32">
      <alignment horizontal="right" vertical="top" shrinkToFit="1"/>
    </xf>
    <xf numFmtId="0" fontId="301" fillId="0" borderId="33"/>
    <xf numFmtId="0" fontId="301" fillId="0" borderId="34"/>
    <xf numFmtId="0" fontId="301" fillId="0" borderId="35"/>
    <xf numFmtId="0" fontId="303" fillId="24" borderId="36"/>
    <xf numFmtId="0" fontId="303" fillId="24" borderId="37"/>
    <xf numFmtId="4" fontId="303" fillId="24" borderId="37">
      <alignment horizontal="right" shrinkToFit="1"/>
    </xf>
    <xf numFmtId="4" fontId="303" fillId="24" borderId="38">
      <alignment horizontal="right" shrinkToFit="1"/>
    </xf>
    <xf numFmtId="0" fontId="301" fillId="0" borderId="39"/>
    <xf numFmtId="0" fontId="301" fillId="0" borderId="0">
      <alignment horizontal="left" vertical="top" wrapText="1"/>
    </xf>
    <xf numFmtId="0" fontId="304" fillId="0" borderId="0"/>
    <xf numFmtId="9" fontId="137" fillId="0" borderId="0" applyFont="0" applyFill="0" applyBorder="0" applyProtection="0"/>
    <xf numFmtId="0" fontId="26" fillId="0" borderId="0"/>
    <xf numFmtId="0" fontId="226" fillId="0" borderId="0"/>
  </cellStyleXfs>
  <cellXfs count="3659">
    <xf numFmtId="0" fontId="0" fillId="0" borderId="0" xfId="0"/>
    <xf numFmtId="0" fontId="2" fillId="2" borderId="0" xfId="0" applyFont="1" applyFill="1"/>
    <xf numFmtId="0" fontId="0" fillId="2" borderId="0" xfId="0" applyFill="1"/>
    <xf numFmtId="165" fontId="0" fillId="2" borderId="0" xfId="0" applyNumberFormat="1" applyFill="1"/>
    <xf numFmtId="166" fontId="0" fillId="2" borderId="0" xfId="0" applyNumberFormat="1" applyFill="1"/>
    <xf numFmtId="0" fontId="3" fillId="2" borderId="0" xfId="0" applyFont="1" applyFill="1" applyAlignment="1">
      <alignment horizontal="center" vertical="center"/>
    </xf>
    <xf numFmtId="0" fontId="4" fillId="2" borderId="0" xfId="0" applyFont="1" applyFill="1"/>
    <xf numFmtId="166" fontId="5" fillId="2" borderId="1" xfId="0" applyNumberFormat="1" applyFont="1" applyFill="1" applyBorder="1" applyAlignment="1">
      <alignment horizontal="center" vertical="center" wrapText="1"/>
    </xf>
    <xf numFmtId="165" fontId="9" fillId="2" borderId="1" xfId="0" applyNumberFormat="1" applyFont="1" applyFill="1" applyBorder="1" applyAlignment="1">
      <alignment vertical="center" wrapText="1"/>
    </xf>
    <xf numFmtId="165" fontId="9" fillId="2" borderId="1" xfId="0" applyNumberFormat="1" applyFont="1" applyFill="1" applyBorder="1" applyAlignment="1">
      <alignment horizontal="right" vertical="center" wrapText="1"/>
    </xf>
    <xf numFmtId="0" fontId="11" fillId="2" borderId="0" xfId="0" applyFont="1" applyFill="1"/>
    <xf numFmtId="165" fontId="9" fillId="2" borderId="1" xfId="0" applyNumberFormat="1" applyFont="1" applyFill="1" applyBorder="1" applyAlignment="1">
      <alignment horizontal="right"/>
    </xf>
    <xf numFmtId="0" fontId="12" fillId="2" borderId="0" xfId="0" applyFont="1" applyFill="1"/>
    <xf numFmtId="165" fontId="14" fillId="2" borderId="1" xfId="0" applyNumberFormat="1" applyFont="1" applyFill="1" applyBorder="1" applyAlignment="1">
      <alignment vertical="center" wrapText="1"/>
    </xf>
    <xf numFmtId="166" fontId="8" fillId="2" borderId="1" xfId="0" applyNumberFormat="1" applyFont="1" applyFill="1" applyBorder="1" applyAlignment="1">
      <alignment horizontal="right" vertical="center" wrapText="1"/>
    </xf>
    <xf numFmtId="166" fontId="9" fillId="2" borderId="1" xfId="0" applyNumberFormat="1" applyFont="1" applyFill="1" applyBorder="1" applyAlignment="1">
      <alignment horizontal="right" vertical="center" wrapText="1"/>
    </xf>
    <xf numFmtId="0" fontId="8" fillId="2" borderId="0" xfId="0" applyNumberFormat="1" applyFont="1" applyFill="1" applyBorder="1" applyAlignment="1">
      <alignment horizontal="center" vertical="center" wrapText="1"/>
    </xf>
    <xf numFmtId="0" fontId="6" fillId="2" borderId="0" xfId="0" applyNumberFormat="1" applyFont="1" applyFill="1" applyBorder="1" applyAlignment="1">
      <alignment horizontal="left" vertical="center" wrapText="1"/>
    </xf>
    <xf numFmtId="0" fontId="8" fillId="2" borderId="0" xfId="0" applyFont="1" applyFill="1" applyBorder="1" applyAlignment="1">
      <alignment horizontal="center" vertical="center" wrapText="1"/>
    </xf>
    <xf numFmtId="165" fontId="9" fillId="2" borderId="0" xfId="0" applyNumberFormat="1" applyFont="1" applyFill="1" applyBorder="1" applyAlignment="1">
      <alignment vertical="center" wrapText="1"/>
    </xf>
    <xf numFmtId="165" fontId="9" fillId="2" borderId="0" xfId="0" applyNumberFormat="1" applyFont="1" applyFill="1" applyBorder="1" applyAlignment="1">
      <alignment horizontal="right" vertical="center" wrapText="1"/>
    </xf>
    <xf numFmtId="0" fontId="7" fillId="2" borderId="0" xfId="0" applyFont="1" applyFill="1" applyBorder="1" applyAlignment="1">
      <alignment horizontal="center" vertical="center" wrapText="1"/>
    </xf>
    <xf numFmtId="0" fontId="6" fillId="2" borderId="0" xfId="0" applyFont="1" applyFill="1" applyBorder="1" applyAlignment="1">
      <alignment horizontal="center" vertical="center" wrapText="1"/>
    </xf>
    <xf numFmtId="165" fontId="9" fillId="2" borderId="8" xfId="0" applyNumberFormat="1" applyFont="1" applyFill="1" applyBorder="1" applyAlignment="1">
      <alignment vertical="center" wrapText="1"/>
    </xf>
    <xf numFmtId="165" fontId="9" fillId="2" borderId="8" xfId="0" applyNumberFormat="1" applyFont="1" applyFill="1" applyBorder="1" applyAlignment="1">
      <alignment horizontal="right" vertical="center" wrapText="1"/>
    </xf>
    <xf numFmtId="0" fontId="11" fillId="2" borderId="0" xfId="0" applyNumberFormat="1" applyFont="1" applyFill="1" applyAlignment="1">
      <alignment horizontal="center"/>
    </xf>
    <xf numFmtId="0" fontId="16" fillId="2" borderId="0" xfId="0" applyFont="1" applyFill="1"/>
    <xf numFmtId="166" fontId="11" fillId="2" borderId="0" xfId="0" applyNumberFormat="1" applyFont="1" applyFill="1"/>
    <xf numFmtId="165" fontId="11" fillId="2" borderId="0" xfId="0" applyNumberFormat="1" applyFont="1" applyFill="1"/>
    <xf numFmtId="0" fontId="15" fillId="2" borderId="0" xfId="0" applyFont="1" applyFill="1" applyAlignment="1">
      <alignment horizontal="center" vertical="center"/>
    </xf>
    <xf numFmtId="0" fontId="6" fillId="2" borderId="0" xfId="0" applyFont="1" applyFill="1"/>
    <xf numFmtId="0" fontId="8" fillId="2" borderId="0" xfId="0" applyNumberFormat="1" applyFont="1" applyFill="1" applyAlignment="1">
      <alignment horizontal="left" wrapText="1"/>
    </xf>
    <xf numFmtId="0" fontId="6" fillId="2" borderId="0" xfId="0" applyNumberFormat="1" applyFont="1" applyFill="1" applyAlignment="1">
      <alignment horizontal="left" wrapText="1"/>
    </xf>
    <xf numFmtId="166" fontId="8" fillId="2" borderId="0" xfId="0" applyNumberFormat="1" applyFont="1" applyFill="1" applyAlignment="1">
      <alignment horizontal="left" wrapText="1"/>
    </xf>
    <xf numFmtId="165" fontId="8" fillId="2" borderId="0" xfId="0" applyNumberFormat="1" applyFont="1" applyFill="1" applyAlignment="1">
      <alignment horizontal="left" wrapText="1"/>
    </xf>
    <xf numFmtId="0" fontId="7" fillId="2" borderId="0" xfId="0" applyNumberFormat="1" applyFont="1" applyFill="1" applyAlignment="1">
      <alignment horizontal="center" vertical="center" wrapText="1"/>
    </xf>
    <xf numFmtId="0" fontId="0" fillId="0" borderId="0" xfId="0" applyFill="1"/>
    <xf numFmtId="0" fontId="10" fillId="0" borderId="1"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11" fillId="0" borderId="0" xfId="0" applyFont="1" applyFill="1" applyAlignment="1">
      <alignment horizontal="center"/>
    </xf>
    <xf numFmtId="0" fontId="8" fillId="0" borderId="0" xfId="0" applyNumberFormat="1" applyFont="1" applyFill="1" applyAlignment="1">
      <alignment horizontal="left" wrapText="1"/>
    </xf>
    <xf numFmtId="0" fontId="0" fillId="0" borderId="0" xfId="0" applyFill="1" applyAlignment="1">
      <alignment horizontal="center"/>
    </xf>
    <xf numFmtId="0" fontId="0" fillId="2" borderId="0" xfId="0" applyNumberFormat="1" applyFill="1" applyAlignment="1">
      <alignment horizontal="center"/>
    </xf>
    <xf numFmtId="0" fontId="13" fillId="2" borderId="0"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165" fontId="5" fillId="0" borderId="1" xfId="0" applyNumberFormat="1" applyFont="1" applyFill="1" applyBorder="1" applyAlignment="1">
      <alignment horizontal="center" vertical="center" wrapText="1"/>
    </xf>
    <xf numFmtId="166" fontId="5"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65" fontId="9" fillId="0" borderId="1" xfId="0" applyNumberFormat="1" applyFont="1" applyFill="1" applyBorder="1" applyAlignment="1">
      <alignment vertical="center" wrapText="1"/>
    </xf>
    <xf numFmtId="165" fontId="9" fillId="0" borderId="1" xfId="0" applyNumberFormat="1" applyFont="1" applyFill="1" applyBorder="1" applyAlignment="1">
      <alignment horizontal="right" vertical="center" wrapText="1"/>
    </xf>
    <xf numFmtId="0" fontId="10" fillId="2" borderId="1" xfId="0" applyFont="1" applyFill="1" applyBorder="1" applyAlignment="1">
      <alignment horizontal="center" vertical="center" wrapText="1"/>
    </xf>
    <xf numFmtId="0" fontId="0" fillId="2" borderId="1" xfId="0" applyFill="1" applyBorder="1"/>
    <xf numFmtId="0" fontId="13" fillId="2" borderId="0" xfId="0" applyFont="1" applyFill="1" applyBorder="1" applyAlignment="1">
      <alignment horizontal="center" vertical="center" wrapText="1"/>
    </xf>
    <xf numFmtId="0" fontId="0" fillId="2" borderId="0" xfId="0" applyNumberFormat="1" applyFill="1" applyAlignment="1">
      <alignment horizontal="center"/>
    </xf>
    <xf numFmtId="0" fontId="8" fillId="2"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165" fontId="9" fillId="5" borderId="1" xfId="0" applyNumberFormat="1" applyFont="1" applyFill="1" applyBorder="1" applyAlignment="1">
      <alignment vertical="center" wrapText="1"/>
    </xf>
    <xf numFmtId="165" fontId="9" fillId="5" borderId="1" xfId="0" applyNumberFormat="1" applyFont="1" applyFill="1" applyBorder="1" applyAlignment="1">
      <alignment horizontal="right" vertical="center" wrapText="1"/>
    </xf>
    <xf numFmtId="165" fontId="28" fillId="0" borderId="0" xfId="0" applyNumberFormat="1" applyFont="1"/>
    <xf numFmtId="165" fontId="28" fillId="0" borderId="0" xfId="0" applyNumberFormat="1" applyFont="1" applyAlignment="1">
      <alignment horizontal="right"/>
    </xf>
    <xf numFmtId="0" fontId="8" fillId="2" borderId="1" xfId="0" applyFont="1" applyFill="1" applyBorder="1" applyAlignment="1">
      <alignment horizontal="center" vertical="center" wrapText="1"/>
    </xf>
    <xf numFmtId="165" fontId="18" fillId="0" borderId="0" xfId="0" applyNumberFormat="1" applyFont="1" applyFill="1" applyBorder="1" applyAlignment="1"/>
    <xf numFmtId="0" fontId="5" fillId="2" borderId="1" xfId="0" applyFont="1" applyFill="1" applyBorder="1" applyAlignment="1">
      <alignment horizontal="center" vertical="center" wrapText="1"/>
    </xf>
    <xf numFmtId="166" fontId="5" fillId="2" borderId="12" xfId="0" applyNumberFormat="1" applyFont="1" applyFill="1" applyBorder="1" applyAlignment="1">
      <alignment horizontal="center" vertical="center" wrapText="1"/>
    </xf>
    <xf numFmtId="167" fontId="22" fillId="2" borderId="11" xfId="1" applyNumberFormat="1" applyFont="1" applyFill="1" applyBorder="1" applyAlignment="1">
      <alignment vertical="center" wrapText="1"/>
    </xf>
    <xf numFmtId="0" fontId="0" fillId="2" borderId="0" xfId="0" applyFont="1" applyFill="1"/>
    <xf numFmtId="165" fontId="0" fillId="0" borderId="0" xfId="0" applyNumberFormat="1"/>
    <xf numFmtId="0" fontId="32" fillId="0" borderId="0" xfId="0" applyFont="1" applyAlignment="1">
      <alignment horizontal="right" vertical="center"/>
    </xf>
    <xf numFmtId="165" fontId="27" fillId="0" borderId="0" xfId="0" applyNumberFormat="1" applyFont="1" applyAlignment="1">
      <alignment horizontal="left" vertical="center"/>
    </xf>
    <xf numFmtId="0" fontId="32" fillId="0" borderId="0" xfId="0" applyFont="1" applyAlignment="1">
      <alignment horizontal="center" vertical="center" wrapText="1"/>
    </xf>
    <xf numFmtId="0" fontId="31" fillId="0" borderId="1" xfId="0" applyFont="1" applyFill="1" applyBorder="1" applyAlignment="1">
      <alignment horizontal="center" vertical="center" wrapText="1"/>
    </xf>
    <xf numFmtId="165" fontId="31" fillId="0" borderId="1" xfId="0" applyNumberFormat="1" applyFont="1" applyFill="1" applyBorder="1" applyAlignment="1">
      <alignment horizontal="center" vertical="center" wrapText="1"/>
    </xf>
    <xf numFmtId="165" fontId="31" fillId="0" borderId="1" xfId="0" applyNumberFormat="1" applyFont="1" applyFill="1" applyBorder="1" applyAlignment="1">
      <alignment vertical="center" wrapText="1"/>
    </xf>
    <xf numFmtId="0" fontId="0" fillId="0" borderId="0" xfId="0" applyNumberFormat="1" applyAlignment="1">
      <alignment horizontal="center"/>
    </xf>
    <xf numFmtId="0" fontId="0" fillId="0" borderId="0" xfId="0" applyAlignment="1">
      <alignment horizontal="center"/>
    </xf>
    <xf numFmtId="0" fontId="0" fillId="0" borderId="0" xfId="0" applyBorder="1"/>
    <xf numFmtId="0" fontId="5" fillId="0" borderId="0" xfId="0" applyFont="1" applyBorder="1" applyAlignment="1">
      <alignment horizontal="left" vertical="center"/>
    </xf>
    <xf numFmtId="0" fontId="5" fillId="0" borderId="0" xfId="0" applyFont="1" applyBorder="1" applyAlignment="1">
      <alignment horizontal="center" vertical="center"/>
    </xf>
    <xf numFmtId="165" fontId="5" fillId="0" borderId="0" xfId="0" applyNumberFormat="1" applyFont="1" applyBorder="1" applyAlignment="1"/>
    <xf numFmtId="165" fontId="5" fillId="0" borderId="0" xfId="0" applyNumberFormat="1" applyFont="1" applyBorder="1" applyAlignment="1">
      <alignment vertical="center"/>
    </xf>
    <xf numFmtId="0" fontId="5" fillId="0" borderId="9" xfId="0" applyFont="1" applyFill="1" applyBorder="1" applyAlignment="1">
      <alignment horizontal="center" vertical="center" wrapText="1"/>
    </xf>
    <xf numFmtId="165" fontId="5" fillId="0" borderId="1" xfId="0" applyNumberFormat="1" applyFont="1" applyFill="1" applyBorder="1" applyAlignment="1">
      <alignment vertical="center" wrapText="1"/>
    </xf>
    <xf numFmtId="0" fontId="5" fillId="2" borderId="9" xfId="0" applyFont="1" applyFill="1" applyBorder="1" applyAlignment="1">
      <alignment horizontal="center" vertical="center" wrapText="1"/>
    </xf>
    <xf numFmtId="165" fontId="5" fillId="2" borderId="1" xfId="0" applyNumberFormat="1" applyFont="1" applyFill="1" applyBorder="1" applyAlignment="1">
      <alignment vertical="center" wrapText="1"/>
    </xf>
    <xf numFmtId="165" fontId="33" fillId="0" borderId="1" xfId="0" applyNumberFormat="1" applyFont="1" applyBorder="1" applyAlignment="1">
      <alignment vertical="center" wrapText="1"/>
    </xf>
    <xf numFmtId="165" fontId="9" fillId="0" borderId="1" xfId="0" applyNumberFormat="1" applyFont="1" applyFill="1" applyBorder="1" applyAlignment="1">
      <alignment horizontal="right" vertical="top" wrapText="1"/>
    </xf>
    <xf numFmtId="165" fontId="5" fillId="0" borderId="6" xfId="0" applyNumberFormat="1" applyFont="1" applyFill="1" applyBorder="1" applyAlignment="1">
      <alignment vertical="center" wrapText="1"/>
    </xf>
    <xf numFmtId="165" fontId="5" fillId="3" borderId="6" xfId="0" applyNumberFormat="1" applyFont="1" applyFill="1" applyBorder="1" applyAlignment="1">
      <alignment vertical="center" wrapText="1"/>
    </xf>
    <xf numFmtId="165" fontId="33" fillId="2" borderId="1" xfId="0" applyNumberFormat="1" applyFont="1" applyFill="1" applyBorder="1" applyAlignment="1">
      <alignment vertical="center" wrapText="1"/>
    </xf>
    <xf numFmtId="165" fontId="9" fillId="2" borderId="1" xfId="0" applyNumberFormat="1" applyFont="1" applyFill="1" applyBorder="1" applyAlignment="1">
      <alignment horizontal="right" vertical="top" wrapText="1"/>
    </xf>
    <xf numFmtId="165" fontId="5" fillId="2" borderId="6" xfId="0" applyNumberFormat="1" applyFont="1" applyFill="1" applyBorder="1" applyAlignment="1">
      <alignment vertical="center" wrapText="1"/>
    </xf>
    <xf numFmtId="165" fontId="5" fillId="2" borderId="7" xfId="0" applyNumberFormat="1" applyFont="1" applyFill="1" applyBorder="1" applyAlignment="1">
      <alignment vertical="center" wrapText="1"/>
    </xf>
    <xf numFmtId="0" fontId="0" fillId="2" borderId="0" xfId="0" applyFill="1" applyBorder="1"/>
    <xf numFmtId="0" fontId="5" fillId="2" borderId="4" xfId="0" applyFont="1" applyFill="1" applyBorder="1" applyAlignment="1">
      <alignment horizontal="center" vertical="center" wrapText="1"/>
    </xf>
    <xf numFmtId="165" fontId="5" fillId="2" borderId="4" xfId="0" applyNumberFormat="1" applyFont="1" applyFill="1" applyBorder="1" applyAlignment="1">
      <alignment vertical="center" wrapText="1"/>
    </xf>
    <xf numFmtId="165" fontId="30" fillId="2" borderId="4" xfId="0" applyNumberFormat="1" applyFont="1" applyFill="1" applyBorder="1" applyAlignment="1">
      <alignment vertical="center" wrapText="1"/>
    </xf>
    <xf numFmtId="165" fontId="30" fillId="2" borderId="1" xfId="0" applyNumberFormat="1" applyFont="1" applyFill="1" applyBorder="1" applyAlignment="1">
      <alignment vertical="center" wrapText="1"/>
    </xf>
    <xf numFmtId="166" fontId="33" fillId="0" borderId="0" xfId="0" applyNumberFormat="1" applyFont="1"/>
    <xf numFmtId="0" fontId="5" fillId="0" borderId="0" xfId="0" applyFont="1" applyAlignment="1">
      <alignment horizontal="left" vertical="center"/>
    </xf>
    <xf numFmtId="0" fontId="5" fillId="0" borderId="0" xfId="0" applyFont="1" applyAlignment="1">
      <alignment horizontal="center" vertical="center"/>
    </xf>
    <xf numFmtId="165" fontId="5" fillId="0" borderId="1" xfId="0" applyNumberFormat="1" applyFont="1" applyBorder="1" applyAlignment="1"/>
    <xf numFmtId="0" fontId="18" fillId="5" borderId="0" xfId="0" applyFont="1" applyFill="1"/>
    <xf numFmtId="0" fontId="5" fillId="2" borderId="2" xfId="0" applyFont="1" applyFill="1" applyBorder="1" applyAlignment="1">
      <alignment horizontal="center" vertical="center" wrapText="1"/>
    </xf>
    <xf numFmtId="4" fontId="5" fillId="2" borderId="1" xfId="0" applyNumberFormat="1" applyFont="1" applyFill="1" applyBorder="1" applyAlignment="1">
      <alignment horizontal="center" vertical="center" wrapText="1"/>
    </xf>
    <xf numFmtId="4" fontId="22" fillId="2" borderId="1" xfId="1" applyNumberFormat="1" applyFont="1" applyFill="1" applyBorder="1" applyAlignment="1">
      <alignment horizontal="right" vertical="center" wrapText="1"/>
    </xf>
    <xf numFmtId="4" fontId="17" fillId="2" borderId="1" xfId="1" applyNumberFormat="1" applyFont="1" applyFill="1" applyBorder="1" applyAlignment="1">
      <alignment vertical="center" wrapText="1"/>
    </xf>
    <xf numFmtId="4" fontId="20" fillId="2" borderId="1" xfId="1" applyNumberFormat="1" applyFont="1" applyFill="1" applyBorder="1" applyAlignment="1">
      <alignment horizontal="right" vertical="center" wrapText="1"/>
    </xf>
    <xf numFmtId="4" fontId="17" fillId="2" borderId="1" xfId="0" applyNumberFormat="1" applyFont="1" applyFill="1" applyBorder="1" applyAlignment="1">
      <alignment horizontal="right" vertical="center" wrapText="1"/>
    </xf>
    <xf numFmtId="0" fontId="19" fillId="2" borderId="0" xfId="0" applyFont="1" applyFill="1"/>
    <xf numFmtId="4" fontId="19" fillId="2" borderId="0" xfId="0" applyNumberFormat="1" applyFont="1" applyFill="1" applyBorder="1" applyAlignment="1"/>
    <xf numFmtId="165" fontId="28" fillId="2" borderId="0" xfId="0" applyNumberFormat="1" applyFont="1" applyFill="1"/>
    <xf numFmtId="165" fontId="28" fillId="2" borderId="0" xfId="0" applyNumberFormat="1" applyFont="1" applyFill="1" applyAlignment="1">
      <alignment horizontal="right"/>
    </xf>
    <xf numFmtId="0" fontId="5" fillId="2" borderId="0" xfId="0" applyNumberFormat="1" applyFont="1" applyFill="1" applyBorder="1" applyAlignment="1">
      <alignment horizontal="left" vertical="center" wrapText="1"/>
    </xf>
    <xf numFmtId="0" fontId="30" fillId="2"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0" fillId="2" borderId="0" xfId="0" applyFont="1" applyFill="1"/>
    <xf numFmtId="0" fontId="11" fillId="2" borderId="0" xfId="0" applyFont="1" applyFill="1" applyAlignment="1">
      <alignment horizontal="center"/>
    </xf>
    <xf numFmtId="0" fontId="35" fillId="2" borderId="0" xfId="0" applyFont="1" applyFill="1" applyAlignment="1">
      <alignment horizontal="center" vertical="center"/>
    </xf>
    <xf numFmtId="0" fontId="5" fillId="2" borderId="0" xfId="0" applyFont="1" applyFill="1"/>
    <xf numFmtId="0" fontId="5" fillId="2" borderId="0" xfId="0" applyNumberFormat="1" applyFont="1" applyFill="1" applyAlignment="1">
      <alignment horizontal="left" wrapText="1"/>
    </xf>
    <xf numFmtId="0" fontId="30" fillId="2" borderId="0" xfId="0" applyNumberFormat="1" applyFont="1" applyFill="1" applyAlignment="1">
      <alignment horizontal="center" vertical="center" wrapText="1"/>
    </xf>
    <xf numFmtId="0" fontId="41" fillId="2" borderId="0" xfId="0" applyFont="1" applyFill="1"/>
    <xf numFmtId="0" fontId="0" fillId="2" borderId="0" xfId="0" applyFill="1" applyAlignment="1">
      <alignment horizontal="center"/>
    </xf>
    <xf numFmtId="0" fontId="42" fillId="2" borderId="0" xfId="0" applyFont="1" applyFill="1" applyAlignment="1">
      <alignment horizontal="center" vertical="center"/>
    </xf>
    <xf numFmtId="0" fontId="31" fillId="2" borderId="0" xfId="0" applyFont="1" applyFill="1"/>
    <xf numFmtId="0" fontId="43" fillId="0" borderId="0" xfId="8"/>
    <xf numFmtId="0" fontId="45" fillId="0" borderId="0" xfId="8" applyFont="1" applyAlignment="1">
      <alignment horizontal="center"/>
    </xf>
    <xf numFmtId="0" fontId="46" fillId="0" borderId="0" xfId="8" applyFont="1" applyAlignment="1">
      <alignment horizontal="center"/>
    </xf>
    <xf numFmtId="0" fontId="37" fillId="0" borderId="9" xfId="8" applyFont="1" applyBorder="1" applyAlignment="1">
      <alignment horizontal="center" vertical="center" wrapText="1"/>
    </xf>
    <xf numFmtId="0" fontId="29" fillId="0" borderId="9" xfId="8" applyFont="1" applyBorder="1" applyAlignment="1">
      <alignment horizontal="center" vertical="center" wrapText="1"/>
    </xf>
    <xf numFmtId="0" fontId="37" fillId="7" borderId="1" xfId="8" applyFont="1" applyFill="1" applyBorder="1" applyAlignment="1">
      <alignment horizontal="center" vertical="center" wrapText="1"/>
    </xf>
    <xf numFmtId="0" fontId="37" fillId="8" borderId="1" xfId="8" applyFont="1" applyFill="1" applyBorder="1" applyAlignment="1">
      <alignment horizontal="center" vertical="center" wrapText="1"/>
    </xf>
    <xf numFmtId="0" fontId="47" fillId="0" borderId="6" xfId="8" applyFont="1" applyBorder="1" applyAlignment="1">
      <alignment horizontal="center" vertical="center" wrapText="1"/>
    </xf>
    <xf numFmtId="0" fontId="47" fillId="0" borderId="6" xfId="8" applyFont="1" applyBorder="1" applyAlignment="1">
      <alignment horizontal="center" vertical="center"/>
    </xf>
    <xf numFmtId="0" fontId="47" fillId="7" borderId="4" xfId="8" applyFont="1" applyFill="1" applyBorder="1" applyAlignment="1">
      <alignment horizontal="center" vertical="center" wrapText="1"/>
    </xf>
    <xf numFmtId="0" fontId="47" fillId="8" borderId="4" xfId="8" applyFont="1" applyFill="1" applyBorder="1" applyAlignment="1">
      <alignment horizontal="center" vertical="center" wrapText="1"/>
    </xf>
    <xf numFmtId="0" fontId="47" fillId="2" borderId="5" xfId="8" applyFont="1" applyFill="1" applyBorder="1" applyAlignment="1">
      <alignment horizontal="center" vertical="center" wrapText="1"/>
    </xf>
    <xf numFmtId="0" fontId="47" fillId="0" borderId="1" xfId="8" applyFont="1" applyBorder="1" applyAlignment="1">
      <alignment horizontal="center" vertical="center" wrapText="1"/>
    </xf>
    <xf numFmtId="164" fontId="48" fillId="10" borderId="1" xfId="8" applyNumberFormat="1" applyFont="1" applyFill="1" applyBorder="1" applyAlignment="1">
      <alignment horizontal="center" vertical="center" wrapText="1"/>
    </xf>
    <xf numFmtId="168" fontId="48" fillId="10" borderId="1" xfId="9" applyFont="1" applyFill="1" applyBorder="1" applyAlignment="1">
      <alignment vertical="center"/>
    </xf>
    <xf numFmtId="164" fontId="48" fillId="10" borderId="1" xfId="8" applyNumberFormat="1" applyFont="1" applyFill="1" applyBorder="1" applyAlignment="1">
      <alignment horizontal="right" vertical="center"/>
    </xf>
    <xf numFmtId="168" fontId="10" fillId="0" borderId="1" xfId="9" applyFont="1" applyBorder="1" applyAlignment="1">
      <alignment horizontal="center" vertical="center"/>
    </xf>
    <xf numFmtId="0" fontId="37" fillId="11" borderId="1" xfId="8" applyFont="1" applyFill="1" applyBorder="1" applyAlignment="1">
      <alignment horizontal="right" vertical="center"/>
    </xf>
    <xf numFmtId="0" fontId="49" fillId="11" borderId="1" xfId="8" applyFont="1" applyFill="1" applyBorder="1" applyAlignment="1">
      <alignment vertical="center" wrapText="1"/>
    </xf>
    <xf numFmtId="168" fontId="37" fillId="11" borderId="4" xfId="9" applyFont="1" applyFill="1" applyBorder="1" applyAlignment="1">
      <alignment vertical="center"/>
    </xf>
    <xf numFmtId="168" fontId="48" fillId="11" borderId="1" xfId="9" applyFont="1" applyFill="1" applyBorder="1" applyAlignment="1">
      <alignment vertical="center"/>
    </xf>
    <xf numFmtId="164" fontId="37" fillId="11" borderId="1" xfId="8" applyNumberFormat="1" applyFont="1" applyFill="1" applyBorder="1" applyAlignment="1">
      <alignment horizontal="right" vertical="center"/>
    </xf>
    <xf numFmtId="0" fontId="10" fillId="0" borderId="1" xfId="8" applyFont="1" applyBorder="1" applyAlignment="1">
      <alignment vertical="center" wrapText="1"/>
    </xf>
    <xf numFmtId="164" fontId="37" fillId="9" borderId="1" xfId="8" applyNumberFormat="1" applyFont="1" applyFill="1" applyBorder="1" applyAlignment="1">
      <alignment horizontal="center" vertical="center" wrapText="1"/>
    </xf>
    <xf numFmtId="168" fontId="48" fillId="9" borderId="1" xfId="9" applyFont="1" applyFill="1" applyBorder="1" applyAlignment="1">
      <alignment vertical="center"/>
    </xf>
    <xf numFmtId="164" fontId="37" fillId="9" borderId="1" xfId="8" applyNumberFormat="1" applyFont="1" applyFill="1" applyBorder="1" applyAlignment="1">
      <alignment horizontal="right" vertical="center"/>
    </xf>
    <xf numFmtId="0" fontId="10" fillId="0" borderId="1" xfId="8" applyFont="1" applyBorder="1"/>
    <xf numFmtId="0" fontId="37" fillId="12" borderId="6" xfId="8" applyFont="1" applyFill="1" applyBorder="1" applyAlignment="1">
      <alignment horizontal="right" vertical="center" wrapText="1"/>
    </xf>
    <xf numFmtId="0" fontId="37" fillId="12" borderId="6" xfId="8" applyFont="1" applyFill="1" applyBorder="1" applyAlignment="1">
      <alignment horizontal="left" vertical="center" wrapText="1"/>
    </xf>
    <xf numFmtId="164" fontId="37" fillId="12" borderId="5" xfId="8" applyNumberFormat="1" applyFont="1" applyFill="1" applyBorder="1" applyAlignment="1">
      <alignment horizontal="center" vertical="center" wrapText="1"/>
    </xf>
    <xf numFmtId="168" fontId="48" fillId="12" borderId="6" xfId="9" applyFont="1" applyFill="1" applyBorder="1" applyAlignment="1">
      <alignment vertical="center"/>
    </xf>
    <xf numFmtId="164" fontId="37" fillId="12" borderId="6" xfId="8" applyNumberFormat="1" applyFont="1" applyFill="1" applyBorder="1" applyAlignment="1">
      <alignment horizontal="right" vertical="center"/>
    </xf>
    <xf numFmtId="0" fontId="10" fillId="2" borderId="1" xfId="8" applyFont="1" applyFill="1" applyBorder="1"/>
    <xf numFmtId="0" fontId="37" fillId="13" borderId="5" xfId="8" applyFont="1" applyFill="1" applyBorder="1" applyAlignment="1">
      <alignment horizontal="right" vertical="center" wrapText="1"/>
    </xf>
    <xf numFmtId="0" fontId="37" fillId="13" borderId="5" xfId="8" applyFont="1" applyFill="1" applyBorder="1" applyAlignment="1">
      <alignment horizontal="left" vertical="center" wrapText="1"/>
    </xf>
    <xf numFmtId="164" fontId="37" fillId="13" borderId="4" xfId="8" applyNumberFormat="1" applyFont="1" applyFill="1" applyBorder="1" applyAlignment="1">
      <alignment horizontal="center" vertical="center" wrapText="1"/>
    </xf>
    <xf numFmtId="168" fontId="48" fillId="13" borderId="1" xfId="9" applyFont="1" applyFill="1" applyBorder="1" applyAlignment="1">
      <alignment vertical="center"/>
    </xf>
    <xf numFmtId="164" fontId="37" fillId="13" borderId="1" xfId="8" applyNumberFormat="1" applyFont="1" applyFill="1" applyBorder="1" applyAlignment="1">
      <alignment horizontal="right" vertical="center"/>
    </xf>
    <xf numFmtId="49" fontId="50" fillId="0" borderId="4" xfId="8" applyNumberFormat="1" applyFont="1" applyFill="1" applyBorder="1" applyAlignment="1">
      <alignment horizontal="right" vertical="center" wrapText="1"/>
    </xf>
    <xf numFmtId="0" fontId="50" fillId="0" borderId="4" xfId="8" applyFont="1" applyBorder="1" applyAlignment="1">
      <alignment horizontal="left" vertical="center" wrapText="1"/>
    </xf>
    <xf numFmtId="164" fontId="37" fillId="0" borderId="4" xfId="8" applyNumberFormat="1" applyFont="1" applyBorder="1" applyAlignment="1">
      <alignment horizontal="center" vertical="center" wrapText="1"/>
    </xf>
    <xf numFmtId="168" fontId="48" fillId="2" borderId="1" xfId="9" applyFont="1" applyFill="1" applyBorder="1" applyAlignment="1">
      <alignment vertical="center"/>
    </xf>
    <xf numFmtId="49" fontId="37" fillId="0" borderId="4" xfId="8" applyNumberFormat="1" applyFont="1" applyFill="1" applyBorder="1" applyAlignment="1">
      <alignment horizontal="right" vertical="center" wrapText="1"/>
    </xf>
    <xf numFmtId="0" fontId="10" fillId="0" borderId="4" xfId="8" applyNumberFormat="1" applyFont="1" applyFill="1" applyBorder="1" applyAlignment="1">
      <alignment horizontal="left" vertical="top" wrapText="1"/>
    </xf>
    <xf numFmtId="168" fontId="37" fillId="0" borderId="4" xfId="9" applyFont="1" applyFill="1" applyBorder="1" applyAlignment="1">
      <alignment horizontal="center" vertical="center" wrapText="1"/>
    </xf>
    <xf numFmtId="168" fontId="37" fillId="0" borderId="4" xfId="9" applyNumberFormat="1" applyFont="1" applyFill="1" applyBorder="1" applyAlignment="1">
      <alignment horizontal="center" vertical="center" wrapText="1"/>
    </xf>
    <xf numFmtId="164" fontId="37" fillId="0" borderId="1" xfId="8" applyNumberFormat="1" applyFont="1" applyFill="1" applyBorder="1" applyAlignment="1">
      <alignment horizontal="right" vertical="center"/>
    </xf>
    <xf numFmtId="0" fontId="10" fillId="0" borderId="1" xfId="8" applyFont="1" applyBorder="1" applyAlignment="1">
      <alignment vertical="center"/>
    </xf>
    <xf numFmtId="49" fontId="37" fillId="2" borderId="4" xfId="8" applyNumberFormat="1" applyFont="1" applyFill="1" applyBorder="1" applyAlignment="1">
      <alignment horizontal="right" vertical="center" wrapText="1"/>
    </xf>
    <xf numFmtId="0" fontId="10" fillId="2" borderId="1" xfId="8" applyFont="1" applyFill="1" applyBorder="1" applyAlignment="1">
      <alignment horizontal="left" vertical="center" wrapText="1"/>
    </xf>
    <xf numFmtId="168" fontId="37" fillId="2" borderId="1" xfId="9" applyFont="1" applyFill="1" applyBorder="1" applyAlignment="1">
      <alignment vertical="center" wrapText="1"/>
    </xf>
    <xf numFmtId="0" fontId="10" fillId="0" borderId="1" xfId="8" applyFont="1" applyBorder="1" applyAlignment="1">
      <alignment horizontal="left" vertical="center"/>
    </xf>
    <xf numFmtId="164" fontId="37" fillId="2" borderId="1" xfId="8" applyNumberFormat="1" applyFont="1" applyFill="1" applyBorder="1" applyAlignment="1">
      <alignment horizontal="right" vertical="center"/>
    </xf>
    <xf numFmtId="0" fontId="52" fillId="2" borderId="1" xfId="8" applyFont="1" applyFill="1" applyBorder="1" applyAlignment="1">
      <alignment horizontal="left" vertical="center" wrapText="1"/>
    </xf>
    <xf numFmtId="168" fontId="53" fillId="2" borderId="4" xfId="9" applyFont="1" applyFill="1" applyBorder="1" applyAlignment="1">
      <alignment vertical="center" wrapText="1"/>
    </xf>
    <xf numFmtId="168" fontId="54" fillId="2" borderId="1" xfId="9" applyFont="1" applyFill="1" applyBorder="1" applyAlignment="1">
      <alignment vertical="center"/>
    </xf>
    <xf numFmtId="164" fontId="53" fillId="2" borderId="1" xfId="8" applyNumberFormat="1" applyFont="1" applyFill="1" applyBorder="1" applyAlignment="1">
      <alignment horizontal="right" vertical="center"/>
    </xf>
    <xf numFmtId="168" fontId="37" fillId="2" borderId="4" xfId="9" applyFont="1" applyFill="1" applyBorder="1" applyAlignment="1">
      <alignment vertical="center" wrapText="1"/>
    </xf>
    <xf numFmtId="168" fontId="50" fillId="2" borderId="4" xfId="9" applyFont="1" applyFill="1" applyBorder="1" applyAlignment="1">
      <alignment vertical="center" wrapText="1"/>
    </xf>
    <xf numFmtId="49" fontId="37" fillId="13" borderId="1" xfId="8" applyNumberFormat="1" applyFont="1" applyFill="1" applyBorder="1" applyAlignment="1">
      <alignment horizontal="right" vertical="center"/>
    </xf>
    <xf numFmtId="0" fontId="37" fillId="13" borderId="1" xfId="8" applyFont="1" applyFill="1" applyBorder="1" applyAlignment="1">
      <alignment horizontal="left" vertical="center" wrapText="1"/>
    </xf>
    <xf numFmtId="49" fontId="50" fillId="0" borderId="1" xfId="8" applyNumberFormat="1" applyFont="1" applyFill="1" applyBorder="1" applyAlignment="1">
      <alignment horizontal="right" vertical="center"/>
    </xf>
    <xf numFmtId="0" fontId="50" fillId="0" borderId="1" xfId="8" applyFont="1" applyFill="1" applyBorder="1" applyAlignment="1">
      <alignment horizontal="left" vertical="center" wrapText="1"/>
    </xf>
    <xf numFmtId="164" fontId="37" fillId="0" borderId="1" xfId="8" applyNumberFormat="1" applyFont="1" applyBorder="1" applyAlignment="1">
      <alignment horizontal="center" vertical="center" wrapText="1"/>
    </xf>
    <xf numFmtId="49" fontId="37" fillId="0" borderId="1" xfId="8" applyNumberFormat="1" applyFont="1" applyFill="1" applyBorder="1" applyAlignment="1">
      <alignment horizontal="right" vertical="center"/>
    </xf>
    <xf numFmtId="0" fontId="10" fillId="0" borderId="1" xfId="8" applyFont="1" applyFill="1" applyBorder="1" applyAlignment="1">
      <alignment horizontal="left" vertical="center" wrapText="1"/>
    </xf>
    <xf numFmtId="164" fontId="36" fillId="0" borderId="4" xfId="8" applyNumberFormat="1" applyFont="1" applyBorder="1" applyAlignment="1">
      <alignment horizontal="center" vertical="center" wrapText="1"/>
    </xf>
    <xf numFmtId="49" fontId="37" fillId="2" borderId="1" xfId="8" applyNumberFormat="1" applyFont="1" applyFill="1" applyBorder="1" applyAlignment="1">
      <alignment horizontal="right" vertical="center"/>
    </xf>
    <xf numFmtId="164" fontId="37" fillId="2" borderId="4" xfId="8" applyNumberFormat="1" applyFont="1" applyFill="1" applyBorder="1" applyAlignment="1">
      <alignment horizontal="center" vertical="center" wrapText="1"/>
    </xf>
    <xf numFmtId="49" fontId="37" fillId="12" borderId="1" xfId="8" applyNumberFormat="1" applyFont="1" applyFill="1" applyBorder="1" applyAlignment="1">
      <alignment horizontal="right" vertical="center"/>
    </xf>
    <xf numFmtId="0" fontId="37" fillId="12" borderId="1" xfId="8" applyFont="1" applyFill="1" applyBorder="1" applyAlignment="1">
      <alignment horizontal="left" vertical="center" wrapText="1"/>
    </xf>
    <xf numFmtId="164" fontId="37" fillId="12" borderId="4" xfId="8" applyNumberFormat="1" applyFont="1" applyFill="1" applyBorder="1" applyAlignment="1">
      <alignment horizontal="center" vertical="center" wrapText="1"/>
    </xf>
    <xf numFmtId="168" fontId="48" fillId="12" borderId="1" xfId="9" applyFont="1" applyFill="1" applyBorder="1" applyAlignment="1">
      <alignment vertical="center"/>
    </xf>
    <xf numFmtId="164" fontId="37" fillId="12" borderId="1" xfId="8" applyNumberFormat="1" applyFont="1" applyFill="1" applyBorder="1" applyAlignment="1">
      <alignment horizontal="right" vertical="center"/>
    </xf>
    <xf numFmtId="49" fontId="50" fillId="2" borderId="6" xfId="8" applyNumberFormat="1" applyFont="1" applyFill="1" applyBorder="1" applyAlignment="1">
      <alignment horizontal="right" vertical="center"/>
    </xf>
    <xf numFmtId="0" fontId="50" fillId="0" borderId="11" xfId="8" applyFont="1" applyFill="1" applyBorder="1" applyAlignment="1">
      <alignment horizontal="left" vertical="center" wrapText="1"/>
    </xf>
    <xf numFmtId="0" fontId="10" fillId="0" borderId="11" xfId="8" applyFont="1" applyFill="1" applyBorder="1" applyAlignment="1">
      <alignment horizontal="left" vertical="center" wrapText="1"/>
    </xf>
    <xf numFmtId="0" fontId="52" fillId="0" borderId="11" xfId="8" applyFont="1" applyFill="1" applyBorder="1" applyAlignment="1">
      <alignment horizontal="left" vertical="center" wrapText="1"/>
    </xf>
    <xf numFmtId="164" fontId="37" fillId="0" borderId="4" xfId="8" applyNumberFormat="1" applyFont="1" applyFill="1" applyBorder="1" applyAlignment="1">
      <alignment horizontal="center" vertical="center" wrapText="1"/>
    </xf>
    <xf numFmtId="164" fontId="36" fillId="0" borderId="4" xfId="8" applyNumberFormat="1" applyFont="1" applyFill="1" applyBorder="1" applyAlignment="1">
      <alignment horizontal="center" vertical="center" wrapText="1"/>
    </xf>
    <xf numFmtId="168" fontId="37" fillId="0" borderId="1" xfId="9" applyFont="1" applyFill="1" applyBorder="1" applyAlignment="1">
      <alignment vertical="center" wrapText="1"/>
    </xf>
    <xf numFmtId="168" fontId="36" fillId="0" borderId="1" xfId="9" applyFont="1" applyFill="1" applyBorder="1" applyAlignment="1">
      <alignment vertical="center" wrapText="1"/>
    </xf>
    <xf numFmtId="49" fontId="37" fillId="2" borderId="6" xfId="8" applyNumberFormat="1" applyFont="1" applyFill="1" applyBorder="1" applyAlignment="1">
      <alignment horizontal="right" vertical="center"/>
    </xf>
    <xf numFmtId="0" fontId="20" fillId="2" borderId="1" xfId="8" applyFont="1" applyFill="1" applyBorder="1" applyAlignment="1">
      <alignment horizontal="left" vertical="center" wrapText="1"/>
    </xf>
    <xf numFmtId="0" fontId="10" fillId="2" borderId="1" xfId="8" applyFont="1" applyFill="1" applyBorder="1" applyAlignment="1">
      <alignment vertical="center" wrapText="1"/>
    </xf>
    <xf numFmtId="168" fontId="53" fillId="0" borderId="1" xfId="9" applyFont="1" applyFill="1" applyBorder="1" applyAlignment="1">
      <alignment vertical="center" wrapText="1"/>
    </xf>
    <xf numFmtId="164" fontId="53" fillId="0" borderId="1" xfId="8" applyNumberFormat="1" applyFont="1" applyFill="1" applyBorder="1" applyAlignment="1">
      <alignment horizontal="right" vertical="center"/>
    </xf>
    <xf numFmtId="168" fontId="53" fillId="0" borderId="1" xfId="9" applyFont="1" applyBorder="1" applyAlignment="1">
      <alignment vertical="center"/>
    </xf>
    <xf numFmtId="168" fontId="53" fillId="0" borderId="4" xfId="9" applyFont="1" applyFill="1" applyBorder="1" applyAlignment="1">
      <alignment vertical="center" wrapText="1"/>
    </xf>
    <xf numFmtId="168" fontId="37" fillId="0" borderId="4" xfId="9" applyFont="1" applyFill="1" applyBorder="1" applyAlignment="1">
      <alignment vertical="center" wrapText="1"/>
    </xf>
    <xf numFmtId="49" fontId="50" fillId="0" borderId="4" xfId="8" applyNumberFormat="1" applyFont="1" applyFill="1" applyBorder="1" applyAlignment="1">
      <alignment horizontal="right" vertical="center"/>
    </xf>
    <xf numFmtId="0" fontId="50" fillId="0" borderId="4" xfId="8" applyFont="1" applyFill="1" applyBorder="1" applyAlignment="1">
      <alignment horizontal="left" vertical="center" wrapText="1"/>
    </xf>
    <xf numFmtId="164" fontId="37" fillId="0" borderId="4" xfId="8" applyNumberFormat="1" applyFont="1" applyFill="1" applyBorder="1" applyAlignment="1">
      <alignment horizontal="right" vertical="center"/>
    </xf>
    <xf numFmtId="0" fontId="10" fillId="0" borderId="12" xfId="8" applyFont="1" applyFill="1" applyBorder="1" applyAlignment="1">
      <alignment horizontal="left" vertical="center" wrapText="1"/>
    </xf>
    <xf numFmtId="0" fontId="36" fillId="0" borderId="11" xfId="8" applyFont="1" applyFill="1" applyBorder="1" applyAlignment="1">
      <alignment horizontal="left" vertical="center" wrapText="1"/>
    </xf>
    <xf numFmtId="43" fontId="43" fillId="0" borderId="0" xfId="8" applyNumberFormat="1"/>
    <xf numFmtId="0" fontId="52" fillId="0" borderId="1" xfId="8" applyFont="1" applyFill="1" applyBorder="1" applyAlignment="1">
      <alignment horizontal="left" vertical="center" wrapText="1"/>
    </xf>
    <xf numFmtId="49" fontId="37" fillId="0" borderId="5" xfId="8" applyNumberFormat="1" applyFont="1" applyFill="1" applyBorder="1" applyAlignment="1">
      <alignment horizontal="right" vertical="top"/>
    </xf>
    <xf numFmtId="0" fontId="10" fillId="0" borderId="14" xfId="8" applyFont="1" applyFill="1" applyBorder="1" applyAlignment="1">
      <alignment horizontal="left" vertical="center" wrapText="1"/>
    </xf>
    <xf numFmtId="4" fontId="37" fillId="0" borderId="1" xfId="9" applyNumberFormat="1" applyFont="1" applyFill="1" applyBorder="1" applyAlignment="1">
      <alignment vertical="center" wrapText="1"/>
    </xf>
    <xf numFmtId="0" fontId="10" fillId="0" borderId="6" xfId="8" applyFont="1" applyBorder="1" applyAlignment="1">
      <alignment vertical="center"/>
    </xf>
    <xf numFmtId="49" fontId="37" fillId="0" borderId="4" xfId="8" applyNumberFormat="1" applyFont="1" applyFill="1" applyBorder="1" applyAlignment="1">
      <alignment horizontal="right" vertical="center"/>
    </xf>
    <xf numFmtId="164" fontId="37" fillId="2" borderId="5" xfId="8" applyNumberFormat="1" applyFont="1" applyFill="1" applyBorder="1" applyAlignment="1">
      <alignment horizontal="center" vertical="center" wrapText="1"/>
    </xf>
    <xf numFmtId="168" fontId="48" fillId="2" borderId="6" xfId="9" applyFont="1" applyFill="1" applyBorder="1" applyAlignment="1">
      <alignment vertical="center"/>
    </xf>
    <xf numFmtId="164" fontId="37" fillId="0" borderId="6" xfId="8" applyNumberFormat="1" applyFont="1" applyFill="1" applyBorder="1" applyAlignment="1">
      <alignment horizontal="right" vertical="center"/>
    </xf>
    <xf numFmtId="0" fontId="10" fillId="0" borderId="6" xfId="8" applyFont="1" applyBorder="1"/>
    <xf numFmtId="49" fontId="37" fillId="0" borderId="5" xfId="8" applyNumberFormat="1" applyFont="1" applyFill="1" applyBorder="1" applyAlignment="1">
      <alignment vertical="center"/>
    </xf>
    <xf numFmtId="0" fontId="10" fillId="0" borderId="5" xfId="8" applyFont="1" applyBorder="1" applyAlignment="1">
      <alignment vertical="center"/>
    </xf>
    <xf numFmtId="168" fontId="53" fillId="0" borderId="4" xfId="9" applyFont="1" applyBorder="1" applyAlignment="1">
      <alignment vertical="center"/>
    </xf>
    <xf numFmtId="168" fontId="48" fillId="2" borderId="4" xfId="9" applyFont="1" applyFill="1" applyBorder="1" applyAlignment="1">
      <alignment vertical="center"/>
    </xf>
    <xf numFmtId="164" fontId="53" fillId="0" borderId="4" xfId="8" applyNumberFormat="1" applyFont="1" applyFill="1" applyBorder="1" applyAlignment="1">
      <alignment horizontal="right" vertical="center"/>
    </xf>
    <xf numFmtId="0" fontId="10" fillId="0" borderId="4" xfId="8" applyFont="1" applyBorder="1"/>
    <xf numFmtId="0" fontId="52" fillId="0" borderId="14" xfId="8" applyFont="1" applyFill="1" applyBorder="1" applyAlignment="1">
      <alignment horizontal="left" vertical="center" wrapText="1"/>
    </xf>
    <xf numFmtId="168" fontId="37" fillId="0" borderId="1" xfId="9" applyFont="1" applyBorder="1" applyAlignment="1">
      <alignment vertical="center"/>
    </xf>
    <xf numFmtId="49" fontId="37" fillId="0" borderId="5" xfId="8" applyNumberFormat="1" applyFont="1" applyFill="1" applyBorder="1" applyAlignment="1">
      <alignment horizontal="right" vertical="center"/>
    </xf>
    <xf numFmtId="49" fontId="37" fillId="0" borderId="6" xfId="8" applyNumberFormat="1" applyFont="1" applyFill="1" applyBorder="1" applyAlignment="1">
      <alignment horizontal="right" vertical="center"/>
    </xf>
    <xf numFmtId="0" fontId="50" fillId="0" borderId="6" xfId="8" applyFont="1" applyBorder="1" applyAlignment="1">
      <alignment horizontal="right" vertical="center"/>
    </xf>
    <xf numFmtId="0" fontId="50" fillId="0" borderId="6" xfId="8" applyFont="1" applyFill="1" applyBorder="1" applyAlignment="1">
      <alignment horizontal="left" vertical="center" wrapText="1"/>
    </xf>
    <xf numFmtId="0" fontId="37" fillId="0" borderId="4" xfId="8" applyFont="1" applyBorder="1" applyAlignment="1">
      <alignment horizontal="right" vertical="center"/>
    </xf>
    <xf numFmtId="0" fontId="10" fillId="0" borderId="11" xfId="8" applyFont="1" applyBorder="1" applyAlignment="1">
      <alignment vertical="center" wrapText="1"/>
    </xf>
    <xf numFmtId="0" fontId="37" fillId="0" borderId="5" xfId="8" applyFont="1" applyBorder="1" applyAlignment="1">
      <alignment vertical="center"/>
    </xf>
    <xf numFmtId="0" fontId="37" fillId="12" borderId="6" xfId="8" applyFont="1" applyFill="1" applyBorder="1" applyAlignment="1">
      <alignment horizontal="right" vertical="center"/>
    </xf>
    <xf numFmtId="0" fontId="37" fillId="12" borderId="11" xfId="8" applyFont="1" applyFill="1" applyBorder="1" applyAlignment="1">
      <alignment horizontal="left" vertical="center" wrapText="1"/>
    </xf>
    <xf numFmtId="0" fontId="37" fillId="0" borderId="6" xfId="8" applyFont="1" applyBorder="1" applyAlignment="1">
      <alignment horizontal="right" vertical="center"/>
    </xf>
    <xf numFmtId="14" fontId="55" fillId="2" borderId="6" xfId="8" applyNumberFormat="1" applyFont="1" applyFill="1" applyBorder="1" applyAlignment="1">
      <alignment horizontal="right" vertical="center"/>
    </xf>
    <xf numFmtId="0" fontId="49" fillId="0" borderId="6" xfId="8" applyFont="1" applyFill="1" applyBorder="1" applyAlignment="1">
      <alignment horizontal="left" vertical="center" wrapText="1"/>
    </xf>
    <xf numFmtId="0" fontId="55" fillId="2" borderId="1" xfId="8" applyFont="1" applyFill="1" applyBorder="1" applyAlignment="1">
      <alignment horizontal="right" vertical="center"/>
    </xf>
    <xf numFmtId="168" fontId="37" fillId="2" borderId="1" xfId="9" applyFont="1" applyFill="1" applyBorder="1" applyAlignment="1">
      <alignment vertical="center"/>
    </xf>
    <xf numFmtId="168" fontId="53" fillId="2" borderId="1" xfId="9" applyFont="1" applyFill="1" applyBorder="1" applyAlignment="1">
      <alignment vertical="center"/>
    </xf>
    <xf numFmtId="168" fontId="37" fillId="0" borderId="4" xfId="9" applyFont="1" applyBorder="1" applyAlignment="1">
      <alignment vertical="center"/>
    </xf>
    <xf numFmtId="0" fontId="37" fillId="12" borderId="1" xfId="8" applyFont="1" applyFill="1" applyBorder="1" applyAlignment="1">
      <alignment horizontal="right" vertical="center"/>
    </xf>
    <xf numFmtId="0" fontId="37" fillId="12" borderId="1" xfId="8" applyFont="1" applyFill="1" applyBorder="1" applyAlignment="1">
      <alignment vertical="center" wrapText="1"/>
    </xf>
    <xf numFmtId="0" fontId="50" fillId="0" borderId="1" xfId="8" applyFont="1" applyBorder="1" applyAlignment="1">
      <alignment horizontal="right" vertical="center"/>
    </xf>
    <xf numFmtId="0" fontId="50" fillId="0" borderId="1" xfId="8" applyFont="1" applyBorder="1" applyAlignment="1">
      <alignment vertical="center" wrapText="1"/>
    </xf>
    <xf numFmtId="14" fontId="37" fillId="14" borderId="1" xfId="8" applyNumberFormat="1" applyFont="1" applyFill="1" applyBorder="1" applyAlignment="1">
      <alignment horizontal="center" vertical="center" wrapText="1"/>
    </xf>
    <xf numFmtId="0" fontId="37" fillId="14" borderId="1" xfId="8" applyFont="1" applyFill="1" applyBorder="1" applyAlignment="1">
      <alignment vertical="center" wrapText="1"/>
    </xf>
    <xf numFmtId="164" fontId="37" fillId="14" borderId="4" xfId="8" applyNumberFormat="1" applyFont="1" applyFill="1" applyBorder="1" applyAlignment="1">
      <alignment horizontal="center" vertical="center" wrapText="1"/>
    </xf>
    <xf numFmtId="168" fontId="48" fillId="15" borderId="1" xfId="9" applyFont="1" applyFill="1" applyBorder="1" applyAlignment="1">
      <alignment vertical="center"/>
    </xf>
    <xf numFmtId="164" fontId="37" fillId="14" borderId="1" xfId="8" applyNumberFormat="1" applyFont="1" applyFill="1" applyBorder="1" applyAlignment="1">
      <alignment horizontal="right" vertical="center"/>
    </xf>
    <xf numFmtId="0" fontId="37" fillId="0" borderId="1" xfId="8" applyFont="1" applyFill="1" applyBorder="1" applyAlignment="1">
      <alignment vertical="center"/>
    </xf>
    <xf numFmtId="0" fontId="37" fillId="0" borderId="1" xfId="8" applyFont="1" applyFill="1" applyBorder="1" applyAlignment="1">
      <alignment vertical="center" wrapText="1"/>
    </xf>
    <xf numFmtId="0" fontId="49" fillId="0" borderId="1" xfId="8" applyFont="1" applyFill="1" applyBorder="1" applyAlignment="1">
      <alignment vertical="center" wrapText="1"/>
    </xf>
    <xf numFmtId="0" fontId="37" fillId="2" borderId="1" xfId="8" applyFont="1" applyFill="1" applyBorder="1" applyAlignment="1">
      <alignment vertical="center"/>
    </xf>
    <xf numFmtId="0" fontId="52" fillId="2" borderId="1" xfId="8" applyFont="1" applyFill="1" applyBorder="1" applyAlignment="1">
      <alignment vertical="center" wrapText="1"/>
    </xf>
    <xf numFmtId="164" fontId="53" fillId="2" borderId="4" xfId="8" applyNumberFormat="1" applyFont="1" applyFill="1" applyBorder="1" applyAlignment="1">
      <alignment horizontal="center" vertical="center" wrapText="1"/>
    </xf>
    <xf numFmtId="0" fontId="52" fillId="0" borderId="1" xfId="8" applyFont="1" applyFill="1" applyBorder="1" applyAlignment="1">
      <alignment vertical="center" wrapText="1"/>
    </xf>
    <xf numFmtId="168" fontId="53" fillId="0" borderId="1" xfId="9" applyFont="1" applyFill="1" applyBorder="1" applyAlignment="1">
      <alignment vertical="center"/>
    </xf>
    <xf numFmtId="164" fontId="53" fillId="0" borderId="4" xfId="8" applyNumberFormat="1" applyFont="1" applyFill="1" applyBorder="1" applyAlignment="1">
      <alignment horizontal="center" vertical="center" wrapText="1"/>
    </xf>
    <xf numFmtId="0" fontId="37" fillId="15" borderId="1" xfId="8" applyFont="1" applyFill="1" applyBorder="1" applyAlignment="1">
      <alignment vertical="center"/>
    </xf>
    <xf numFmtId="0" fontId="37" fillId="15" borderId="1" xfId="8" applyFont="1" applyFill="1" applyBorder="1" applyAlignment="1">
      <alignment vertical="center" wrapText="1"/>
    </xf>
    <xf numFmtId="164" fontId="37" fillId="15" borderId="4" xfId="8" applyNumberFormat="1" applyFont="1" applyFill="1" applyBorder="1" applyAlignment="1">
      <alignment horizontal="center" vertical="center" wrapText="1"/>
    </xf>
    <xf numFmtId="164" fontId="37" fillId="15" borderId="1" xfId="8" applyNumberFormat="1" applyFont="1" applyFill="1" applyBorder="1" applyAlignment="1">
      <alignment horizontal="right" vertical="center"/>
    </xf>
    <xf numFmtId="0" fontId="43" fillId="0" borderId="1" xfId="8" applyBorder="1"/>
    <xf numFmtId="0" fontId="38" fillId="0" borderId="16" xfId="8" applyFont="1" applyFill="1" applyBorder="1" applyAlignment="1">
      <alignment horizontal="left" vertical="center" wrapText="1"/>
    </xf>
    <xf numFmtId="0" fontId="38" fillId="16" borderId="16" xfId="8" applyFont="1" applyFill="1" applyBorder="1" applyAlignment="1">
      <alignment horizontal="left" vertical="center" wrapText="1"/>
    </xf>
    <xf numFmtId="0" fontId="56" fillId="16" borderId="16" xfId="8" applyFont="1" applyFill="1" applyBorder="1" applyAlignment="1">
      <alignment horizontal="left" vertical="center" wrapText="1"/>
    </xf>
    <xf numFmtId="0" fontId="57" fillId="0" borderId="16" xfId="8" applyFont="1" applyFill="1" applyBorder="1" applyAlignment="1">
      <alignment horizontal="left" vertical="center" wrapText="1"/>
    </xf>
    <xf numFmtId="168" fontId="53" fillId="0" borderId="1" xfId="9" applyFont="1" applyBorder="1" applyAlignment="1">
      <alignment horizontal="center" vertical="center"/>
    </xf>
    <xf numFmtId="0" fontId="43" fillId="0" borderId="0" xfId="8" applyAlignment="1">
      <alignment vertical="center"/>
    </xf>
    <xf numFmtId="0" fontId="58" fillId="0" borderId="0" xfId="8" applyFont="1" applyAlignment="1">
      <alignment vertical="center"/>
    </xf>
    <xf numFmtId="0" fontId="10" fillId="0" borderId="0" xfId="8" applyFont="1"/>
    <xf numFmtId="0" fontId="61" fillId="0" borderId="0" xfId="0" applyNumberFormat="1" applyFont="1" applyAlignment="1">
      <alignment horizontal="left" vertical="center"/>
    </xf>
    <xf numFmtId="0" fontId="61" fillId="0" borderId="0" xfId="0" applyFont="1"/>
    <xf numFmtId="0" fontId="61" fillId="0" borderId="0" xfId="0" applyFont="1" applyAlignment="1">
      <alignment horizontal="center"/>
    </xf>
    <xf numFmtId="0" fontId="62" fillId="0" borderId="0" xfId="0" applyFont="1"/>
    <xf numFmtId="0" fontId="63" fillId="0" borderId="0" xfId="0" applyFont="1"/>
    <xf numFmtId="0" fontId="27" fillId="0" borderId="0" xfId="0" applyFont="1" applyAlignment="1">
      <alignment horizontal="right" vertical="center"/>
    </xf>
    <xf numFmtId="0" fontId="27" fillId="0" borderId="0" xfId="0" applyFont="1" applyAlignment="1">
      <alignment vertical="center"/>
    </xf>
    <xf numFmtId="0" fontId="64" fillId="2" borderId="0" xfId="0" applyFont="1" applyFill="1" applyAlignment="1"/>
    <xf numFmtId="0" fontId="27" fillId="0" borderId="0" xfId="0" applyNumberFormat="1" applyFont="1" applyAlignment="1"/>
    <xf numFmtId="0" fontId="27" fillId="2" borderId="0" xfId="0" applyFont="1" applyFill="1" applyAlignment="1">
      <alignment horizontal="left" vertical="center"/>
    </xf>
    <xf numFmtId="0" fontId="63" fillId="2" borderId="0" xfId="0" applyFont="1" applyFill="1"/>
    <xf numFmtId="0" fontId="65" fillId="2" borderId="0" xfId="0" applyFont="1" applyFill="1"/>
    <xf numFmtId="49" fontId="36" fillId="2" borderId="1" xfId="0" applyNumberFormat="1" applyFont="1" applyFill="1" applyBorder="1" applyAlignment="1">
      <alignment horizontal="center" vertical="center" wrapText="1"/>
    </xf>
    <xf numFmtId="0" fontId="36" fillId="2" borderId="1" xfId="0" applyFont="1" applyFill="1" applyBorder="1" applyAlignment="1">
      <alignment horizontal="center" vertical="center" wrapText="1"/>
    </xf>
    <xf numFmtId="49" fontId="36" fillId="2" borderId="1" xfId="0" applyNumberFormat="1" applyFont="1" applyFill="1" applyBorder="1" applyAlignment="1">
      <alignment horizontal="left" vertical="center" wrapText="1"/>
    </xf>
    <xf numFmtId="49" fontId="36" fillId="2" borderId="1" xfId="5" applyNumberFormat="1" applyFont="1" applyFill="1" applyBorder="1" applyAlignment="1" applyProtection="1">
      <alignment horizontal="left" vertical="center" wrapText="1"/>
      <protection hidden="1"/>
    </xf>
    <xf numFmtId="0" fontId="36" fillId="2" borderId="1" xfId="5" applyFont="1" applyFill="1" applyBorder="1" applyAlignment="1" applyProtection="1">
      <alignment horizontal="left" vertical="center" wrapText="1"/>
      <protection hidden="1"/>
    </xf>
    <xf numFmtId="2" fontId="36" fillId="2" borderId="1" xfId="0" applyNumberFormat="1" applyFont="1" applyFill="1" applyBorder="1" applyAlignment="1">
      <alignment horizontal="center" vertical="center" wrapText="1"/>
    </xf>
    <xf numFmtId="166" fontId="36" fillId="2" borderId="1" xfId="0" applyNumberFormat="1" applyFont="1" applyFill="1" applyBorder="1" applyAlignment="1">
      <alignment horizontal="center" vertical="center" wrapText="1"/>
    </xf>
    <xf numFmtId="2" fontId="63" fillId="2" borderId="0" xfId="10" applyNumberFormat="1" applyFont="1" applyFill="1"/>
    <xf numFmtId="0" fontId="36" fillId="2" borderId="1" xfId="0" applyFont="1" applyFill="1" applyBorder="1" applyAlignment="1">
      <alignment horizontal="left" vertical="center" wrapText="1"/>
    </xf>
    <xf numFmtId="0" fontId="36" fillId="2" borderId="1" xfId="0" applyFont="1" applyFill="1" applyBorder="1" applyAlignment="1">
      <alignment wrapText="1"/>
    </xf>
    <xf numFmtId="0" fontId="36" fillId="2" borderId="1" xfId="0" applyFont="1" applyFill="1" applyBorder="1" applyAlignment="1">
      <alignment vertical="center" wrapText="1"/>
    </xf>
    <xf numFmtId="49" fontId="20" fillId="2" borderId="1" xfId="0" applyNumberFormat="1" applyFont="1" applyFill="1" applyBorder="1" applyAlignment="1">
      <alignment horizontal="left" vertical="center" wrapText="1"/>
    </xf>
    <xf numFmtId="0" fontId="63" fillId="2" borderId="0" xfId="0" applyFont="1" applyFill="1" applyAlignment="1">
      <alignment horizontal="left" vertical="center"/>
    </xf>
    <xf numFmtId="0" fontId="27" fillId="0" borderId="0" xfId="0" applyFont="1" applyAlignment="1">
      <alignment horizontal="left" vertical="center"/>
    </xf>
    <xf numFmtId="0" fontId="65" fillId="0" borderId="0" xfId="0" applyFont="1"/>
    <xf numFmtId="0" fontId="17" fillId="0" borderId="0" xfId="0" applyFont="1" applyAlignment="1">
      <alignment horizontal="right" vertical="center"/>
    </xf>
    <xf numFmtId="0" fontId="1" fillId="0" borderId="0" xfId="0" applyFont="1" applyAlignment="1">
      <alignment horizontal="right" vertical="center"/>
    </xf>
    <xf numFmtId="0" fontId="8" fillId="0" borderId="1" xfId="0" applyFont="1" applyBorder="1" applyAlignment="1">
      <alignment horizontal="center" vertical="center" wrapText="1"/>
    </xf>
    <xf numFmtId="0" fontId="0" fillId="2" borderId="0" xfId="0" applyNumberFormat="1" applyFill="1" applyAlignment="1">
      <alignment horizontal="center"/>
    </xf>
    <xf numFmtId="0" fontId="5" fillId="2" borderId="1"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8" fillId="2" borderId="1" xfId="0" applyFont="1" applyFill="1" applyBorder="1" applyAlignment="1">
      <alignment horizontal="center" vertical="center" wrapText="1"/>
    </xf>
    <xf numFmtId="165" fontId="5" fillId="2" borderId="1" xfId="0" applyNumberFormat="1" applyFont="1" applyFill="1" applyBorder="1" applyAlignment="1">
      <alignment horizontal="center" vertical="center" wrapText="1"/>
    </xf>
    <xf numFmtId="0" fontId="45" fillId="17" borderId="8" xfId="8" applyFont="1" applyFill="1" applyBorder="1" applyAlignment="1">
      <alignment horizontal="center" vertical="center" wrapText="1"/>
    </xf>
    <xf numFmtId="0" fontId="66" fillId="13" borderId="1" xfId="8" applyNumberFormat="1" applyFont="1" applyFill="1" applyBorder="1" applyAlignment="1">
      <alignment horizontal="left" vertical="center" wrapText="1"/>
    </xf>
    <xf numFmtId="164" fontId="37" fillId="17" borderId="1" xfId="8" applyNumberFormat="1" applyFont="1" applyFill="1" applyBorder="1" applyAlignment="1">
      <alignment horizontal="center" vertical="center" wrapText="1"/>
    </xf>
    <xf numFmtId="0" fontId="52" fillId="17" borderId="1" xfId="8" applyFont="1" applyFill="1" applyBorder="1" applyAlignment="1">
      <alignment horizontal="left" vertical="center" wrapText="1"/>
    </xf>
    <xf numFmtId="0" fontId="66" fillId="12" borderId="6" xfId="8" applyFont="1" applyFill="1" applyBorder="1" applyAlignment="1">
      <alignment horizontal="left" vertical="center" wrapText="1"/>
    </xf>
    <xf numFmtId="49" fontId="50" fillId="18" borderId="4" xfId="8" applyNumberFormat="1" applyFont="1" applyFill="1" applyBorder="1" applyAlignment="1">
      <alignment horizontal="right" vertical="center" wrapText="1"/>
    </xf>
    <xf numFmtId="0" fontId="50" fillId="18" borderId="4" xfId="8" applyFont="1" applyFill="1" applyBorder="1" applyAlignment="1">
      <alignment horizontal="left" vertical="center" wrapText="1"/>
    </xf>
    <xf numFmtId="164" fontId="37" fillId="18" borderId="4" xfId="8" applyNumberFormat="1" applyFont="1" applyFill="1" applyBorder="1" applyAlignment="1">
      <alignment horizontal="center" vertical="center" wrapText="1"/>
    </xf>
    <xf numFmtId="168" fontId="48" fillId="18" borderId="1" xfId="9" applyFont="1" applyFill="1" applyBorder="1" applyAlignment="1">
      <alignment vertical="center"/>
    </xf>
    <xf numFmtId="49" fontId="50" fillId="18" borderId="1" xfId="8" applyNumberFormat="1" applyFont="1" applyFill="1" applyBorder="1" applyAlignment="1">
      <alignment horizontal="right" vertical="center"/>
    </xf>
    <xf numFmtId="0" fontId="50" fillId="18" borderId="1" xfId="8" applyFont="1" applyFill="1" applyBorder="1" applyAlignment="1">
      <alignment horizontal="left" vertical="center" wrapText="1"/>
    </xf>
    <xf numFmtId="164" fontId="37" fillId="18" borderId="1" xfId="8" applyNumberFormat="1" applyFont="1" applyFill="1" applyBorder="1" applyAlignment="1">
      <alignment horizontal="center" vertical="center" wrapText="1"/>
    </xf>
    <xf numFmtId="0" fontId="66" fillId="13" borderId="4" xfId="8" applyNumberFormat="1" applyFont="1" applyFill="1" applyBorder="1" applyAlignment="1">
      <alignment horizontal="left" vertical="center" wrapText="1"/>
    </xf>
    <xf numFmtId="0" fontId="10" fillId="13" borderId="1" xfId="8" applyFont="1" applyFill="1" applyBorder="1" applyAlignment="1">
      <alignment vertical="center"/>
    </xf>
    <xf numFmtId="0" fontId="66" fillId="12" borderId="1" xfId="8" applyFont="1" applyFill="1" applyBorder="1" applyAlignment="1">
      <alignment horizontal="left" vertical="center" wrapText="1"/>
    </xf>
    <xf numFmtId="49" fontId="50" fillId="18" borderId="6" xfId="8" applyNumberFormat="1" applyFont="1" applyFill="1" applyBorder="1" applyAlignment="1">
      <alignment horizontal="right" vertical="center"/>
    </xf>
    <xf numFmtId="0" fontId="50" fillId="18" borderId="11" xfId="8" applyFont="1" applyFill="1" applyBorder="1" applyAlignment="1">
      <alignment horizontal="left" vertical="center" wrapText="1"/>
    </xf>
    <xf numFmtId="49" fontId="50" fillId="18" borderId="4" xfId="8" applyNumberFormat="1" applyFont="1" applyFill="1" applyBorder="1" applyAlignment="1">
      <alignment horizontal="right" vertical="center"/>
    </xf>
    <xf numFmtId="168" fontId="48" fillId="18" borderId="6" xfId="9" applyFont="1" applyFill="1" applyBorder="1" applyAlignment="1">
      <alignment vertical="center"/>
    </xf>
    <xf numFmtId="0" fontId="67" fillId="2" borderId="11" xfId="8" applyFont="1" applyFill="1" applyBorder="1" applyAlignment="1">
      <alignment horizontal="left" vertical="center" wrapText="1"/>
    </xf>
    <xf numFmtId="0" fontId="10" fillId="2" borderId="6" xfId="8" applyFont="1" applyFill="1" applyBorder="1" applyAlignment="1">
      <alignment vertical="center"/>
    </xf>
    <xf numFmtId="0" fontId="52" fillId="2" borderId="14" xfId="8" applyFont="1" applyFill="1" applyBorder="1" applyAlignment="1">
      <alignment horizontal="left" vertical="center" wrapText="1"/>
    </xf>
    <xf numFmtId="0" fontId="10" fillId="2" borderId="1" xfId="8" applyFont="1" applyFill="1" applyBorder="1" applyAlignment="1">
      <alignment vertical="center"/>
    </xf>
    <xf numFmtId="0" fontId="50" fillId="18" borderId="6" xfId="8" applyFont="1" applyFill="1" applyBorder="1" applyAlignment="1">
      <alignment horizontal="left" vertical="center" wrapText="1"/>
    </xf>
    <xf numFmtId="0" fontId="45" fillId="12" borderId="11" xfId="8" applyFont="1" applyFill="1" applyBorder="1" applyAlignment="1">
      <alignment horizontal="left" vertical="center" wrapText="1"/>
    </xf>
    <xf numFmtId="0" fontId="37" fillId="18" borderId="6" xfId="8" applyFont="1" applyFill="1" applyBorder="1" applyAlignment="1">
      <alignment horizontal="right" vertical="center"/>
    </xf>
    <xf numFmtId="0" fontId="29" fillId="2" borderId="1" xfId="8" applyFont="1" applyFill="1" applyBorder="1" applyAlignment="1">
      <alignment horizontal="right" vertical="center"/>
    </xf>
    <xf numFmtId="0" fontId="50" fillId="18" borderId="1" xfId="8" applyFont="1" applyFill="1" applyBorder="1" applyAlignment="1">
      <alignment vertical="center" wrapText="1"/>
    </xf>
    <xf numFmtId="164" fontId="37" fillId="18" borderId="1" xfId="8" applyNumberFormat="1" applyFont="1" applyFill="1" applyBorder="1" applyAlignment="1">
      <alignment horizontal="right" vertical="center"/>
    </xf>
    <xf numFmtId="0" fontId="37" fillId="18" borderId="1" xfId="8" applyFont="1" applyFill="1" applyBorder="1" applyAlignment="1">
      <alignment vertical="center"/>
    </xf>
    <xf numFmtId="0" fontId="43" fillId="18" borderId="1" xfId="8" applyFill="1" applyBorder="1"/>
    <xf numFmtId="0" fontId="69" fillId="19" borderId="16" xfId="8" applyFont="1" applyFill="1" applyBorder="1" applyAlignment="1">
      <alignment horizontal="left" vertical="center" wrapText="1"/>
    </xf>
    <xf numFmtId="0" fontId="45" fillId="5" borderId="0" xfId="8" applyFont="1" applyFill="1" applyAlignment="1">
      <alignment horizontal="center"/>
    </xf>
    <xf numFmtId="0" fontId="43" fillId="5" borderId="0" xfId="8" applyFill="1"/>
    <xf numFmtId="0" fontId="29" fillId="5" borderId="9" xfId="8" applyFont="1" applyFill="1" applyBorder="1" applyAlignment="1">
      <alignment horizontal="center" vertical="center" wrapText="1"/>
    </xf>
    <xf numFmtId="0" fontId="37" fillId="5" borderId="1" xfId="8" applyFont="1" applyFill="1" applyBorder="1" applyAlignment="1">
      <alignment horizontal="center" vertical="center" wrapText="1"/>
    </xf>
    <xf numFmtId="0" fontId="47" fillId="5" borderId="4" xfId="8" applyFont="1" applyFill="1" applyBorder="1" applyAlignment="1">
      <alignment horizontal="center" vertical="center" wrapText="1"/>
    </xf>
    <xf numFmtId="164" fontId="48" fillId="5" borderId="1" xfId="8" applyNumberFormat="1" applyFont="1" applyFill="1" applyBorder="1" applyAlignment="1">
      <alignment horizontal="center" vertical="center" wrapText="1"/>
    </xf>
    <xf numFmtId="168" fontId="37" fillId="5" borderId="4" xfId="9" applyFont="1" applyFill="1" applyBorder="1" applyAlignment="1">
      <alignment vertical="center"/>
    </xf>
    <xf numFmtId="164" fontId="37" fillId="5" borderId="1" xfId="8" applyNumberFormat="1" applyFont="1" applyFill="1" applyBorder="1" applyAlignment="1">
      <alignment horizontal="center" vertical="center" wrapText="1"/>
    </xf>
    <xf numFmtId="164" fontId="37" fillId="5" borderId="5" xfId="8" applyNumberFormat="1" applyFont="1" applyFill="1" applyBorder="1" applyAlignment="1">
      <alignment horizontal="center" vertical="center" wrapText="1"/>
    </xf>
    <xf numFmtId="164" fontId="37" fillId="5" borderId="4" xfId="8" applyNumberFormat="1" applyFont="1" applyFill="1" applyBorder="1" applyAlignment="1">
      <alignment horizontal="center" vertical="center" wrapText="1"/>
    </xf>
    <xf numFmtId="168" fontId="37" fillId="5" borderId="1" xfId="9" applyFont="1" applyFill="1" applyBorder="1" applyAlignment="1">
      <alignment vertical="center"/>
    </xf>
    <xf numFmtId="168" fontId="53" fillId="5" borderId="1" xfId="9" applyFont="1" applyFill="1" applyBorder="1" applyAlignment="1">
      <alignment vertical="center"/>
    </xf>
    <xf numFmtId="164" fontId="53" fillId="5" borderId="4" xfId="8" applyNumberFormat="1" applyFont="1" applyFill="1" applyBorder="1" applyAlignment="1">
      <alignment horizontal="center" vertical="center" wrapText="1"/>
    </xf>
    <xf numFmtId="168" fontId="53" fillId="5" borderId="1" xfId="9" applyFont="1" applyFill="1" applyBorder="1" applyAlignment="1">
      <alignment horizontal="center" vertical="center"/>
    </xf>
    <xf numFmtId="0" fontId="58" fillId="5" borderId="0" xfId="8" applyFont="1" applyFill="1" applyAlignment="1">
      <alignment vertical="center"/>
    </xf>
    <xf numFmtId="0" fontId="43" fillId="5" borderId="0" xfId="8" applyFill="1" applyAlignment="1">
      <alignment vertical="center"/>
    </xf>
    <xf numFmtId="0" fontId="0" fillId="20" borderId="0" xfId="0" applyFill="1"/>
    <xf numFmtId="4" fontId="5" fillId="2" borderId="12" xfId="0" applyNumberFormat="1" applyFont="1" applyFill="1" applyBorder="1" applyAlignment="1">
      <alignment horizontal="center" vertical="center" wrapText="1"/>
    </xf>
    <xf numFmtId="4" fontId="19" fillId="2" borderId="0" xfId="0" applyNumberFormat="1" applyFont="1" applyFill="1" applyBorder="1" applyAlignment="1">
      <alignment horizontal="right"/>
    </xf>
    <xf numFmtId="4" fontId="19" fillId="2" borderId="1" xfId="0" applyNumberFormat="1" applyFont="1" applyFill="1" applyBorder="1" applyAlignment="1">
      <alignment horizontal="right"/>
    </xf>
    <xf numFmtId="0" fontId="21" fillId="20" borderId="0" xfId="0" applyFont="1" applyFill="1"/>
    <xf numFmtId="49" fontId="10" fillId="20" borderId="6" xfId="8" applyNumberFormat="1" applyFont="1" applyFill="1" applyBorder="1" applyAlignment="1">
      <alignment horizontal="right" vertical="center"/>
    </xf>
    <xf numFmtId="0" fontId="37" fillId="20" borderId="6" xfId="8" applyFont="1" applyFill="1" applyBorder="1" applyAlignment="1">
      <alignment horizontal="left" vertical="center" wrapText="1"/>
    </xf>
    <xf numFmtId="164" fontId="37" fillId="20" borderId="4" xfId="8" applyNumberFormat="1" applyFont="1" applyFill="1" applyBorder="1" applyAlignment="1">
      <alignment horizontal="center" vertical="center" wrapText="1"/>
    </xf>
    <xf numFmtId="164" fontId="37" fillId="20" borderId="1" xfId="8" applyNumberFormat="1" applyFont="1" applyFill="1" applyBorder="1" applyAlignment="1">
      <alignment horizontal="right" vertical="center"/>
    </xf>
    <xf numFmtId="0" fontId="10" fillId="20" borderId="1" xfId="8" applyFont="1" applyFill="1" applyBorder="1" applyAlignment="1">
      <alignment vertical="center"/>
    </xf>
    <xf numFmtId="0" fontId="43" fillId="20" borderId="0" xfId="8" applyFill="1"/>
    <xf numFmtId="0" fontId="67" fillId="20" borderId="6" xfId="8" applyFont="1" applyFill="1" applyBorder="1" applyAlignment="1">
      <alignment vertical="center" wrapText="1"/>
    </xf>
    <xf numFmtId="168" fontId="48" fillId="20" borderId="1" xfId="9" applyFont="1" applyFill="1" applyBorder="1" applyAlignment="1">
      <alignment vertical="center"/>
    </xf>
    <xf numFmtId="0" fontId="10" fillId="20" borderId="1" xfId="8" applyFont="1" applyFill="1" applyBorder="1" applyAlignment="1">
      <alignment horizontal="left" vertical="center"/>
    </xf>
    <xf numFmtId="0" fontId="68" fillId="20" borderId="4" xfId="8" applyFont="1" applyFill="1" applyBorder="1" applyAlignment="1">
      <alignment vertical="center" wrapText="1"/>
    </xf>
    <xf numFmtId="168" fontId="37" fillId="20" borderId="4" xfId="9" applyFont="1" applyFill="1" applyBorder="1" applyAlignment="1">
      <alignment vertical="center"/>
    </xf>
    <xf numFmtId="0" fontId="10" fillId="20" borderId="1" xfId="8" applyFont="1" applyFill="1" applyBorder="1" applyAlignment="1">
      <alignment horizontal="left" vertical="center" wrapText="1"/>
    </xf>
    <xf numFmtId="0" fontId="52" fillId="20" borderId="1" xfId="8" applyFont="1" applyFill="1" applyBorder="1" applyAlignment="1">
      <alignment horizontal="left" vertical="center" wrapText="1"/>
    </xf>
    <xf numFmtId="168" fontId="53" fillId="20" borderId="4" xfId="9" applyFont="1" applyFill="1" applyBorder="1" applyAlignment="1">
      <alignment vertical="center"/>
    </xf>
    <xf numFmtId="164" fontId="53" fillId="20" borderId="1" xfId="8" applyNumberFormat="1" applyFont="1" applyFill="1" applyBorder="1" applyAlignment="1">
      <alignment horizontal="right" vertical="center"/>
    </xf>
    <xf numFmtId="0" fontId="52" fillId="20" borderId="11" xfId="8" applyFont="1" applyFill="1" applyBorder="1" applyAlignment="1">
      <alignment horizontal="left" vertical="center" wrapText="1"/>
    </xf>
    <xf numFmtId="0" fontId="68" fillId="20" borderId="1" xfId="8" applyFont="1" applyFill="1" applyBorder="1" applyAlignment="1">
      <alignment vertical="center" wrapText="1"/>
    </xf>
    <xf numFmtId="168" fontId="53" fillId="20" borderId="1" xfId="9" applyFont="1" applyFill="1" applyBorder="1" applyAlignment="1">
      <alignment vertical="center"/>
    </xf>
    <xf numFmtId="0" fontId="67" fillId="20" borderId="1" xfId="8" applyFont="1" applyFill="1" applyBorder="1" applyAlignment="1">
      <alignment vertical="center" wrapText="1"/>
    </xf>
    <xf numFmtId="168" fontId="37" fillId="20" borderId="1" xfId="9" applyFont="1" applyFill="1" applyBorder="1" applyAlignment="1">
      <alignment vertical="center"/>
    </xf>
    <xf numFmtId="0" fontId="67" fillId="20" borderId="1" xfId="8" applyFont="1" applyFill="1" applyBorder="1" applyAlignment="1">
      <alignment horizontal="left" vertical="center" wrapText="1"/>
    </xf>
    <xf numFmtId="164" fontId="53" fillId="20" borderId="4" xfId="8" applyNumberFormat="1" applyFont="1" applyFill="1" applyBorder="1" applyAlignment="1">
      <alignment horizontal="center" vertical="center" wrapText="1"/>
    </xf>
    <xf numFmtId="0" fontId="37" fillId="20" borderId="1" xfId="8" applyFont="1" applyFill="1" applyBorder="1" applyAlignment="1">
      <alignment horizontal="right" vertical="center"/>
    </xf>
    <xf numFmtId="0" fontId="37" fillId="20" borderId="1" xfId="8" applyFont="1" applyFill="1" applyBorder="1" applyAlignment="1">
      <alignment vertical="center" wrapText="1"/>
    </xf>
    <xf numFmtId="0" fontId="10" fillId="20" borderId="1" xfId="8" applyFont="1" applyFill="1" applyBorder="1"/>
    <xf numFmtId="0" fontId="50" fillId="20" borderId="1" xfId="8" applyFont="1" applyFill="1" applyBorder="1" applyAlignment="1">
      <alignment horizontal="right" vertical="center"/>
    </xf>
    <xf numFmtId="0" fontId="50" fillId="20" borderId="1" xfId="8" applyFont="1" applyFill="1" applyBorder="1" applyAlignment="1">
      <alignment vertical="center" wrapText="1"/>
    </xf>
    <xf numFmtId="168" fontId="50" fillId="20" borderId="4" xfId="9" applyFont="1" applyFill="1" applyBorder="1" applyAlignment="1">
      <alignment vertical="center"/>
    </xf>
    <xf numFmtId="49" fontId="37" fillId="20" borderId="4" xfId="8" applyNumberFormat="1" applyFont="1" applyFill="1" applyBorder="1" applyAlignment="1">
      <alignment horizontal="right" vertical="center" wrapText="1"/>
    </xf>
    <xf numFmtId="168" fontId="37" fillId="20" borderId="1" xfId="9" applyFont="1" applyFill="1" applyBorder="1" applyAlignment="1">
      <alignment vertical="center" wrapText="1"/>
    </xf>
    <xf numFmtId="168" fontId="53" fillId="20" borderId="4" xfId="9" applyFont="1" applyFill="1" applyBorder="1" applyAlignment="1">
      <alignment vertical="center" wrapText="1"/>
    </xf>
    <xf numFmtId="49" fontId="37" fillId="20" borderId="1" xfId="8" applyNumberFormat="1" applyFont="1" applyFill="1" applyBorder="1" applyAlignment="1">
      <alignment horizontal="right" vertical="center"/>
    </xf>
    <xf numFmtId="0" fontId="29" fillId="20" borderId="4" xfId="8" applyNumberFormat="1" applyFont="1" applyFill="1" applyBorder="1" applyAlignment="1">
      <alignment horizontal="left" vertical="top" wrapText="1"/>
    </xf>
    <xf numFmtId="0" fontId="55" fillId="20" borderId="4" xfId="8" applyNumberFormat="1" applyFont="1" applyFill="1" applyBorder="1" applyAlignment="1">
      <alignment horizontal="left" vertical="top" wrapText="1"/>
    </xf>
    <xf numFmtId="168" fontId="37" fillId="20" borderId="4" xfId="9" applyFont="1" applyFill="1" applyBorder="1" applyAlignment="1">
      <alignment horizontal="center" vertical="center" wrapText="1"/>
    </xf>
    <xf numFmtId="168" fontId="53" fillId="20" borderId="4" xfId="9" applyFont="1" applyFill="1" applyBorder="1" applyAlignment="1">
      <alignment horizontal="center" vertical="center" wrapText="1"/>
    </xf>
    <xf numFmtId="168" fontId="53" fillId="20" borderId="4" xfId="9" applyNumberFormat="1" applyFont="1" applyFill="1" applyBorder="1" applyAlignment="1">
      <alignment horizontal="center" vertical="center" wrapText="1"/>
    </xf>
    <xf numFmtId="0" fontId="52" fillId="20" borderId="11" xfId="8" applyFont="1" applyFill="1" applyBorder="1" applyAlignment="1">
      <alignment horizontal="left" wrapText="1"/>
    </xf>
    <xf numFmtId="0" fontId="68" fillId="20" borderId="1" xfId="8" applyFont="1" applyFill="1" applyBorder="1" applyAlignment="1">
      <alignment horizontal="left" vertical="center" wrapText="1"/>
    </xf>
    <xf numFmtId="168" fontId="37" fillId="20" borderId="4" xfId="9" applyFont="1" applyFill="1" applyBorder="1" applyAlignment="1">
      <alignment vertical="center" wrapText="1"/>
    </xf>
    <xf numFmtId="168" fontId="50" fillId="20" borderId="4" xfId="9" applyFont="1" applyFill="1" applyBorder="1" applyAlignment="1">
      <alignment vertical="center" wrapText="1"/>
    </xf>
    <xf numFmtId="168" fontId="54" fillId="20" borderId="1" xfId="9" applyFont="1" applyFill="1" applyBorder="1" applyAlignment="1">
      <alignment vertical="center"/>
    </xf>
    <xf numFmtId="0" fontId="67" fillId="20" borderId="11" xfId="8" applyFont="1" applyFill="1" applyBorder="1" applyAlignment="1">
      <alignment horizontal="left" vertical="center" wrapText="1"/>
    </xf>
    <xf numFmtId="168" fontId="48" fillId="20" borderId="4" xfId="9" applyFont="1" applyFill="1" applyBorder="1" applyAlignment="1">
      <alignment vertical="center"/>
    </xf>
    <xf numFmtId="0" fontId="52" fillId="20" borderId="14" xfId="8" applyFont="1" applyFill="1" applyBorder="1" applyAlignment="1">
      <alignment horizontal="left" vertical="center" wrapText="1"/>
    </xf>
    <xf numFmtId="164" fontId="53" fillId="20" borderId="4" xfId="8" applyNumberFormat="1" applyFont="1" applyFill="1" applyBorder="1" applyAlignment="1">
      <alignment horizontal="right" vertical="center"/>
    </xf>
    <xf numFmtId="0" fontId="10" fillId="20" borderId="6" xfId="8" applyFont="1" applyFill="1" applyBorder="1" applyAlignment="1">
      <alignment vertical="center"/>
    </xf>
    <xf numFmtId="164" fontId="36" fillId="20" borderId="4" xfId="8" applyNumberFormat="1" applyFont="1" applyFill="1" applyBorder="1" applyAlignment="1">
      <alignment horizontal="center" vertical="center" wrapText="1"/>
    </xf>
    <xf numFmtId="168" fontId="53" fillId="20" borderId="1" xfId="9" applyFont="1" applyFill="1" applyBorder="1" applyAlignment="1">
      <alignment vertical="center" wrapText="1"/>
    </xf>
    <xf numFmtId="49" fontId="37" fillId="20" borderId="4" xfId="8" applyNumberFormat="1" applyFont="1" applyFill="1" applyBorder="1" applyAlignment="1">
      <alignment horizontal="right" vertical="center"/>
    </xf>
    <xf numFmtId="0" fontId="67" fillId="20" borderId="14" xfId="8" applyFont="1" applyFill="1" applyBorder="1" applyAlignment="1">
      <alignment horizontal="left" vertical="center" wrapText="1"/>
    </xf>
    <xf numFmtId="164" fontId="37" fillId="20" borderId="5" xfId="8" applyNumberFormat="1" applyFont="1" applyFill="1" applyBorder="1" applyAlignment="1">
      <alignment horizontal="center" vertical="center" wrapText="1"/>
    </xf>
    <xf numFmtId="168" fontId="48" fillId="20" borderId="6" xfId="9" applyFont="1" applyFill="1" applyBorder="1" applyAlignment="1">
      <alignment vertical="center"/>
    </xf>
    <xf numFmtId="164" fontId="37" fillId="20" borderId="6" xfId="8" applyNumberFormat="1" applyFont="1" applyFill="1" applyBorder="1" applyAlignment="1">
      <alignment horizontal="right" vertical="center"/>
    </xf>
    <xf numFmtId="0" fontId="10" fillId="20" borderId="6" xfId="8" applyFont="1" applyFill="1" applyBorder="1"/>
    <xf numFmtId="49" fontId="37" fillId="20" borderId="5" xfId="8" applyNumberFormat="1" applyFont="1" applyFill="1" applyBorder="1" applyAlignment="1">
      <alignment vertical="center"/>
    </xf>
    <xf numFmtId="0" fontId="10" fillId="20" borderId="11" xfId="8" applyFont="1" applyFill="1" applyBorder="1" applyAlignment="1">
      <alignment horizontal="left" vertical="center" wrapText="1"/>
    </xf>
    <xf numFmtId="0" fontId="10" fillId="20" borderId="5" xfId="8" applyFont="1" applyFill="1" applyBorder="1" applyAlignment="1">
      <alignment vertical="center"/>
    </xf>
    <xf numFmtId="0" fontId="10" fillId="20" borderId="4" xfId="8" applyFont="1" applyFill="1" applyBorder="1"/>
    <xf numFmtId="0" fontId="50" fillId="20" borderId="6" xfId="8" applyFont="1" applyFill="1" applyBorder="1" applyAlignment="1">
      <alignment horizontal="right" vertical="center"/>
    </xf>
    <xf numFmtId="0" fontId="50" fillId="20" borderId="6" xfId="8" applyFont="1" applyFill="1" applyBorder="1" applyAlignment="1">
      <alignment horizontal="left" vertical="center" wrapText="1"/>
    </xf>
    <xf numFmtId="0" fontId="37" fillId="20" borderId="4" xfId="8" applyFont="1" applyFill="1" applyBorder="1" applyAlignment="1">
      <alignment horizontal="right" vertical="center"/>
    </xf>
    <xf numFmtId="0" fontId="68" fillId="20" borderId="11" xfId="8" applyFont="1" applyFill="1" applyBorder="1" applyAlignment="1">
      <alignment vertical="center" wrapText="1"/>
    </xf>
    <xf numFmtId="0" fontId="37" fillId="20" borderId="5" xfId="8" applyFont="1" applyFill="1" applyBorder="1" applyAlignment="1">
      <alignment vertical="center"/>
    </xf>
    <xf numFmtId="168" fontId="36" fillId="20" borderId="1" xfId="9" applyFont="1" applyFill="1" applyBorder="1" applyAlignment="1">
      <alignment vertical="center" wrapText="1"/>
    </xf>
    <xf numFmtId="0" fontId="10" fillId="20" borderId="1" xfId="8" applyFont="1" applyFill="1" applyBorder="1" applyAlignment="1">
      <alignment vertical="center" wrapText="1"/>
    </xf>
    <xf numFmtId="0" fontId="10" fillId="20" borderId="14" xfId="8" applyFont="1" applyFill="1" applyBorder="1" applyAlignment="1">
      <alignment horizontal="left" vertical="center" wrapText="1"/>
    </xf>
    <xf numFmtId="0" fontId="68" fillId="20" borderId="11" xfId="8" applyFont="1" applyFill="1" applyBorder="1" applyAlignment="1">
      <alignment horizontal="left" vertical="center" wrapText="1"/>
    </xf>
    <xf numFmtId="164" fontId="50" fillId="20" borderId="1" xfId="8" applyNumberFormat="1" applyFont="1" applyFill="1" applyBorder="1" applyAlignment="1">
      <alignment horizontal="right" vertical="center"/>
    </xf>
    <xf numFmtId="0" fontId="10" fillId="20" borderId="6" xfId="8" applyFont="1" applyFill="1" applyBorder="1" applyAlignment="1">
      <alignment vertical="center" wrapText="1"/>
    </xf>
    <xf numFmtId="0" fontId="67" fillId="20" borderId="12" xfId="8" applyFont="1" applyFill="1" applyBorder="1" applyAlignment="1">
      <alignment horizontal="left" vertical="center" wrapText="1"/>
    </xf>
    <xf numFmtId="49" fontId="37" fillId="20" borderId="5" xfId="8" applyNumberFormat="1" applyFont="1" applyFill="1" applyBorder="1" applyAlignment="1">
      <alignment horizontal="right" vertical="top"/>
    </xf>
    <xf numFmtId="4" fontId="53" fillId="20" borderId="1" xfId="9" applyNumberFormat="1" applyFont="1" applyFill="1" applyBorder="1" applyAlignment="1">
      <alignment vertical="center" wrapText="1"/>
    </xf>
    <xf numFmtId="0" fontId="0" fillId="2" borderId="0" xfId="0" applyNumberFormat="1" applyFill="1" applyAlignment="1">
      <alignment horizontal="center"/>
    </xf>
    <xf numFmtId="0" fontId="5"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165" fontId="5" fillId="2" borderId="1" xfId="0" applyNumberFormat="1" applyFont="1" applyFill="1" applyBorder="1" applyAlignment="1">
      <alignment horizontal="center" vertical="center" wrapText="1"/>
    </xf>
    <xf numFmtId="0" fontId="73" fillId="0" borderId="0" xfId="12" applyProtection="1">
      <protection locked="0"/>
    </xf>
    <xf numFmtId="49" fontId="75" fillId="0" borderId="18" xfId="14" applyNumberFormat="1" applyProtection="1">
      <alignment horizontal="center" vertical="center" wrapText="1"/>
    </xf>
    <xf numFmtId="49" fontId="75" fillId="0" borderId="19" xfId="15" applyNumberFormat="1" applyProtection="1">
      <alignment horizontal="center" vertical="center" wrapText="1"/>
    </xf>
    <xf numFmtId="49" fontId="75" fillId="0" borderId="20" xfId="16" applyNumberFormat="1" applyProtection="1">
      <alignment horizontal="center" vertical="center" wrapText="1"/>
    </xf>
    <xf numFmtId="49" fontId="75" fillId="0" borderId="21" xfId="17" applyNumberFormat="1" applyProtection="1">
      <alignment horizontal="center" vertical="center" wrapText="1"/>
    </xf>
    <xf numFmtId="49" fontId="75" fillId="0" borderId="22" xfId="18" applyNumberFormat="1" applyProtection="1">
      <alignment horizontal="center" vertical="center" wrapText="1"/>
    </xf>
    <xf numFmtId="49" fontId="75" fillId="0" borderId="23" xfId="19" applyNumberFormat="1" applyProtection="1">
      <alignment horizontal="center" vertical="center" wrapText="1"/>
    </xf>
    <xf numFmtId="0" fontId="76" fillId="21" borderId="24" xfId="20" quotePrefix="1" applyNumberFormat="1" applyProtection="1">
      <alignment horizontal="left" vertical="top" wrapText="1"/>
    </xf>
    <xf numFmtId="49" fontId="76" fillId="21" borderId="25" xfId="21" applyNumberFormat="1" applyProtection="1">
      <alignment horizontal="center" vertical="top" wrapText="1" shrinkToFit="1"/>
    </xf>
    <xf numFmtId="0" fontId="76" fillId="21" borderId="25" xfId="22" applyNumberFormat="1" applyProtection="1">
      <alignment horizontal="left" vertical="top" wrapText="1"/>
    </xf>
    <xf numFmtId="4" fontId="76" fillId="21" borderId="25" xfId="23" applyNumberFormat="1" applyProtection="1">
      <alignment horizontal="right" vertical="top" wrapText="1" shrinkToFit="1"/>
    </xf>
    <xf numFmtId="0" fontId="76" fillId="21" borderId="26" xfId="24" applyNumberFormat="1" applyProtection="1">
      <alignment horizontal="right" vertical="top" shrinkToFit="1"/>
    </xf>
    <xf numFmtId="0" fontId="75" fillId="22" borderId="27" xfId="25" quotePrefix="1" applyNumberFormat="1" applyProtection="1">
      <alignment horizontal="left" vertical="top" wrapText="1"/>
    </xf>
    <xf numFmtId="49" fontId="75" fillId="22" borderId="28" xfId="26" applyNumberFormat="1" applyProtection="1">
      <alignment horizontal="center" vertical="top" shrinkToFit="1"/>
    </xf>
    <xf numFmtId="0" fontId="75" fillId="22" borderId="28" xfId="27" applyNumberFormat="1" applyProtection="1">
      <alignment horizontal="left" vertical="top" wrapText="1"/>
    </xf>
    <xf numFmtId="4" fontId="75" fillId="22" borderId="28" xfId="28" applyNumberFormat="1" applyProtection="1">
      <alignment horizontal="right" vertical="top" shrinkToFit="1"/>
    </xf>
    <xf numFmtId="0" fontId="75" fillId="22" borderId="29" xfId="29" applyNumberFormat="1" applyProtection="1">
      <alignment horizontal="right" vertical="top" shrinkToFit="1"/>
    </xf>
    <xf numFmtId="0" fontId="75" fillId="23" borderId="30" xfId="30" quotePrefix="1" applyNumberFormat="1" applyProtection="1">
      <alignment horizontal="left" vertical="top" wrapText="1"/>
    </xf>
    <xf numFmtId="49" fontId="75" fillId="23" borderId="31" xfId="31" applyNumberFormat="1" applyProtection="1">
      <alignment horizontal="center" vertical="top" shrinkToFit="1"/>
    </xf>
    <xf numFmtId="0" fontId="75" fillId="23" borderId="31" xfId="32" applyNumberFormat="1" applyProtection="1">
      <alignment horizontal="left" vertical="top" wrapText="1"/>
    </xf>
    <xf numFmtId="4" fontId="75" fillId="23" borderId="31" xfId="33" applyNumberFormat="1" applyProtection="1">
      <alignment horizontal="right" vertical="top" shrinkToFit="1"/>
    </xf>
    <xf numFmtId="0" fontId="75" fillId="23" borderId="32" xfId="34" applyNumberFormat="1" applyProtection="1">
      <alignment horizontal="right" vertical="top" shrinkToFit="1"/>
    </xf>
    <xf numFmtId="0" fontId="77" fillId="0" borderId="30" xfId="35" quotePrefix="1" applyNumberFormat="1" applyProtection="1">
      <alignment horizontal="left" vertical="top" wrapText="1"/>
    </xf>
    <xf numFmtId="49" fontId="74" fillId="0" borderId="31" xfId="36" applyNumberFormat="1" applyProtection="1">
      <alignment horizontal="center" vertical="top" shrinkToFit="1"/>
    </xf>
    <xf numFmtId="0" fontId="74" fillId="0" borderId="31" xfId="37" applyNumberFormat="1" applyProtection="1">
      <alignment horizontal="left" vertical="top" wrapText="1"/>
    </xf>
    <xf numFmtId="4" fontId="74" fillId="0" borderId="31" xfId="38" applyNumberFormat="1" applyProtection="1">
      <alignment horizontal="right" vertical="top" shrinkToFit="1"/>
    </xf>
    <xf numFmtId="0" fontId="74" fillId="0" borderId="32" xfId="39" applyNumberFormat="1" applyProtection="1">
      <alignment horizontal="right" vertical="top" shrinkToFit="1"/>
    </xf>
    <xf numFmtId="0" fontId="77" fillId="0" borderId="30" xfId="40" quotePrefix="1" applyNumberFormat="1" applyProtection="1">
      <alignment horizontal="left" vertical="top" wrapText="1"/>
    </xf>
    <xf numFmtId="49" fontId="74" fillId="0" borderId="31" xfId="41" applyNumberFormat="1" applyProtection="1">
      <alignment horizontal="center" vertical="top" shrinkToFit="1"/>
    </xf>
    <xf numFmtId="0" fontId="74" fillId="0" borderId="31" xfId="42" quotePrefix="1" applyNumberFormat="1" applyProtection="1">
      <alignment horizontal="left" vertical="top" wrapText="1"/>
    </xf>
    <xf numFmtId="4" fontId="74" fillId="0" borderId="31" xfId="43" applyNumberFormat="1" applyProtection="1">
      <alignment horizontal="right" vertical="top" shrinkToFit="1"/>
    </xf>
    <xf numFmtId="0" fontId="74" fillId="0" borderId="32" xfId="39" applyNumberFormat="1" applyFont="1" applyProtection="1">
      <alignment horizontal="right" vertical="top" shrinkToFit="1"/>
    </xf>
    <xf numFmtId="0" fontId="74" fillId="0" borderId="33" xfId="44" applyNumberFormat="1" applyProtection="1"/>
    <xf numFmtId="0" fontId="74" fillId="0" borderId="34" xfId="45" applyNumberFormat="1" applyProtection="1"/>
    <xf numFmtId="0" fontId="74" fillId="0" borderId="35" xfId="46" applyNumberFormat="1" applyProtection="1"/>
    <xf numFmtId="0" fontId="76" fillId="24" borderId="36" xfId="47" applyNumberFormat="1" applyProtection="1"/>
    <xf numFmtId="0" fontId="76" fillId="24" borderId="37" xfId="48" applyNumberFormat="1" applyProtection="1"/>
    <xf numFmtId="4" fontId="76" fillId="24" borderId="37" xfId="49" applyNumberFormat="1" applyProtection="1">
      <alignment horizontal="right" shrinkToFit="1"/>
    </xf>
    <xf numFmtId="0" fontId="76" fillId="24" borderId="38" xfId="50" applyNumberFormat="1" applyProtection="1"/>
    <xf numFmtId="0" fontId="74" fillId="0" borderId="39" xfId="51" applyNumberFormat="1" applyProtection="1"/>
    <xf numFmtId="0" fontId="78" fillId="0" borderId="0" xfId="53" applyFont="1" applyFill="1" applyAlignment="1">
      <alignment vertical="top" wrapText="1"/>
    </xf>
    <xf numFmtId="0" fontId="79" fillId="0" borderId="0" xfId="53" applyFont="1" applyFill="1" applyAlignment="1">
      <alignment horizontal="right" vertical="center"/>
    </xf>
    <xf numFmtId="165" fontId="79" fillId="0" borderId="0" xfId="53" applyNumberFormat="1" applyFont="1" applyFill="1" applyAlignment="1">
      <alignment vertical="top"/>
    </xf>
    <xf numFmtId="0" fontId="81" fillId="0" borderId="0" xfId="53" applyFont="1" applyFill="1" applyAlignment="1">
      <alignment horizontal="right" vertical="top" wrapText="1"/>
    </xf>
    <xf numFmtId="0" fontId="80" fillId="25" borderId="43" xfId="53" applyFont="1" applyFill="1" applyBorder="1" applyAlignment="1">
      <alignment vertical="top" wrapText="1"/>
    </xf>
    <xf numFmtId="165" fontId="80" fillId="25" borderId="1" xfId="53" applyNumberFormat="1" applyFont="1" applyFill="1" applyBorder="1" applyAlignment="1">
      <alignment horizontal="right" wrapText="1"/>
    </xf>
    <xf numFmtId="165" fontId="80" fillId="25" borderId="44" xfId="53" applyNumberFormat="1" applyFont="1" applyFill="1" applyBorder="1" applyAlignment="1">
      <alignment horizontal="right" wrapText="1"/>
    </xf>
    <xf numFmtId="0" fontId="80" fillId="0" borderId="43" xfId="53" applyFont="1" applyFill="1" applyBorder="1" applyAlignment="1">
      <alignment horizontal="left" vertical="center" wrapText="1"/>
    </xf>
    <xf numFmtId="165" fontId="80" fillId="0" borderId="1" xfId="53" applyNumberFormat="1" applyFont="1" applyFill="1" applyBorder="1" applyAlignment="1">
      <alignment horizontal="right" wrapText="1"/>
    </xf>
    <xf numFmtId="165" fontId="80" fillId="0" borderId="44" xfId="53" applyNumberFormat="1" applyFont="1" applyFill="1" applyBorder="1" applyAlignment="1">
      <alignment horizontal="right" wrapText="1"/>
    </xf>
    <xf numFmtId="0" fontId="80" fillId="0" borderId="43" xfId="53" applyFont="1" applyFill="1" applyBorder="1" applyAlignment="1">
      <alignment vertical="center" wrapText="1"/>
    </xf>
    <xf numFmtId="0" fontId="79" fillId="0" borderId="43" xfId="53" applyFont="1" applyFill="1" applyBorder="1" applyAlignment="1">
      <alignment vertical="top" wrapText="1"/>
    </xf>
    <xf numFmtId="165" fontId="79" fillId="0" borderId="1" xfId="53" applyNumberFormat="1" applyFont="1" applyFill="1" applyBorder="1" applyAlignment="1">
      <alignment horizontal="right" wrapText="1"/>
    </xf>
    <xf numFmtId="0" fontId="80" fillId="25" borderId="43" xfId="53" applyFont="1" applyFill="1" applyBorder="1" applyAlignment="1">
      <alignment horizontal="left" vertical="top" wrapText="1"/>
    </xf>
    <xf numFmtId="0" fontId="79" fillId="0" borderId="43" xfId="53" applyFont="1" applyFill="1" applyBorder="1" applyAlignment="1">
      <alignment vertical="center" wrapText="1"/>
    </xf>
    <xf numFmtId="165" fontId="79" fillId="0" borderId="44" xfId="53" applyNumberFormat="1" applyFont="1" applyFill="1" applyBorder="1" applyAlignment="1">
      <alignment horizontal="right" wrapText="1"/>
    </xf>
    <xf numFmtId="0" fontId="80" fillId="25" borderId="43" xfId="53" applyNumberFormat="1" applyFont="1" applyFill="1" applyBorder="1" applyAlignment="1">
      <alignment vertical="top" wrapText="1"/>
    </xf>
    <xf numFmtId="0" fontId="80" fillId="0" borderId="43" xfId="53" applyFont="1" applyFill="1" applyBorder="1" applyAlignment="1">
      <alignment horizontal="left" vertical="top" wrapText="1"/>
    </xf>
    <xf numFmtId="0" fontId="80" fillId="0" borderId="43" xfId="53" applyFont="1" applyFill="1" applyBorder="1" applyAlignment="1">
      <alignment wrapText="1"/>
    </xf>
    <xf numFmtId="0" fontId="80" fillId="25" borderId="43" xfId="53" applyFont="1" applyFill="1" applyBorder="1" applyAlignment="1">
      <alignment vertical="center" wrapText="1"/>
    </xf>
    <xf numFmtId="0" fontId="80" fillId="25" borderId="43" xfId="54" applyNumberFormat="1" applyFont="1" applyFill="1" applyBorder="1" applyAlignment="1">
      <alignment vertical="top" wrapText="1"/>
    </xf>
    <xf numFmtId="0" fontId="79" fillId="0" borderId="43" xfId="54" applyNumberFormat="1" applyFont="1" applyFill="1" applyBorder="1" applyAlignment="1">
      <alignment vertical="top" wrapText="1"/>
    </xf>
    <xf numFmtId="0" fontId="80" fillId="0" borderId="43" xfId="54" applyNumberFormat="1" applyFont="1" applyFill="1" applyBorder="1" applyAlignment="1">
      <alignment vertical="top" wrapText="1"/>
    </xf>
    <xf numFmtId="0" fontId="80" fillId="25" borderId="43" xfId="53" applyFont="1" applyFill="1" applyBorder="1" applyAlignment="1">
      <alignment horizontal="left" vertical="center" wrapText="1"/>
    </xf>
    <xf numFmtId="0" fontId="10" fillId="2" borderId="43" xfId="54" applyNumberFormat="1" applyFont="1" applyFill="1" applyBorder="1" applyAlignment="1">
      <alignment horizontal="left" vertical="top"/>
    </xf>
    <xf numFmtId="0" fontId="10" fillId="2" borderId="47" xfId="54" applyNumberFormat="1" applyFont="1" applyFill="1" applyBorder="1" applyAlignment="1">
      <alignment horizontal="left" vertical="top"/>
    </xf>
    <xf numFmtId="165" fontId="60" fillId="0" borderId="48" xfId="53" applyNumberFormat="1" applyFont="1" applyBorder="1" applyAlignment="1">
      <alignment horizontal="right"/>
    </xf>
    <xf numFmtId="0" fontId="32" fillId="0" borderId="0" xfId="53" applyFont="1" applyAlignment="1"/>
    <xf numFmtId="0" fontId="10" fillId="2" borderId="0" xfId="54" applyNumberFormat="1" applyFont="1" applyFill="1" applyBorder="1" applyAlignment="1">
      <alignment horizontal="left" vertical="top"/>
    </xf>
    <xf numFmtId="0" fontId="60" fillId="0" borderId="0" xfId="53" applyFont="1" applyAlignment="1"/>
    <xf numFmtId="0" fontId="60" fillId="0" borderId="0" xfId="53" applyFont="1" applyAlignment="1">
      <alignment horizontal="right"/>
    </xf>
    <xf numFmtId="0" fontId="82" fillId="0" borderId="0" xfId="53" applyFont="1" applyFill="1" applyAlignment="1">
      <alignment horizontal="left" wrapText="1"/>
    </xf>
    <xf numFmtId="0" fontId="82" fillId="0" borderId="0" xfId="53" applyFont="1" applyAlignment="1"/>
    <xf numFmtId="0" fontId="82" fillId="0" borderId="0" xfId="53" applyFont="1" applyFill="1" applyAlignment="1">
      <alignment horizontal="right"/>
    </xf>
    <xf numFmtId="0" fontId="60" fillId="0" borderId="0" xfId="53" applyFont="1" applyAlignment="1">
      <alignment horizontal="left" wrapText="1"/>
    </xf>
    <xf numFmtId="0" fontId="60" fillId="0" borderId="0" xfId="53" applyFont="1" applyFill="1" applyAlignment="1">
      <alignment horizontal="right"/>
    </xf>
    <xf numFmtId="165" fontId="79" fillId="0" borderId="0" xfId="53" applyNumberFormat="1" applyFont="1" applyFill="1" applyAlignment="1">
      <alignment horizontal="right" vertical="center" wrapText="1"/>
    </xf>
    <xf numFmtId="0" fontId="80" fillId="0" borderId="1" xfId="53" applyFont="1" applyFill="1" applyBorder="1" applyAlignment="1">
      <alignment horizontal="left" vertical="center" wrapText="1"/>
    </xf>
    <xf numFmtId="165" fontId="79" fillId="0" borderId="1" xfId="53" applyNumberFormat="1" applyFont="1" applyFill="1" applyBorder="1" applyAlignment="1">
      <alignment horizontal="right" vertical="center" wrapText="1"/>
    </xf>
    <xf numFmtId="0" fontId="80" fillId="0" borderId="50" xfId="53" applyFont="1" applyFill="1" applyBorder="1" applyAlignment="1">
      <alignment horizontal="left" vertical="center" wrapText="1"/>
    </xf>
    <xf numFmtId="165" fontId="79" fillId="0" borderId="1" xfId="53" applyNumberFormat="1" applyFont="1" applyFill="1" applyBorder="1" applyAlignment="1">
      <alignment vertical="top" wrapText="1"/>
    </xf>
    <xf numFmtId="0" fontId="80" fillId="0" borderId="1" xfId="53" applyFont="1" applyFill="1" applyBorder="1" applyAlignment="1">
      <alignment horizontal="left" vertical="top" wrapText="1"/>
    </xf>
    <xf numFmtId="0" fontId="80" fillId="0" borderId="1" xfId="53" applyFont="1" applyFill="1" applyBorder="1" applyAlignment="1">
      <alignment vertical="center" wrapText="1"/>
    </xf>
    <xf numFmtId="0" fontId="79" fillId="0" borderId="0" xfId="53" applyFont="1" applyFill="1" applyAlignment="1">
      <alignment vertical="top" wrapText="1"/>
    </xf>
    <xf numFmtId="165" fontId="80" fillId="0" borderId="0" xfId="53" applyNumberFormat="1" applyFont="1" applyFill="1" applyAlignment="1">
      <alignment vertical="top" wrapText="1"/>
    </xf>
    <xf numFmtId="165" fontId="79" fillId="0" borderId="0" xfId="53" applyNumberFormat="1" applyFont="1" applyFill="1" applyAlignment="1">
      <alignment vertical="top" wrapText="1"/>
    </xf>
    <xf numFmtId="0" fontId="79" fillId="0" borderId="0" xfId="53" applyFont="1" applyFill="1" applyAlignment="1">
      <alignment horizontal="left" vertical="top" wrapText="1"/>
    </xf>
    <xf numFmtId="0" fontId="83" fillId="25" borderId="40" xfId="53" applyFont="1" applyFill="1" applyBorder="1" applyAlignment="1">
      <alignment horizontal="left" vertical="top" wrapText="1"/>
    </xf>
    <xf numFmtId="165" fontId="83" fillId="25" borderId="41" xfId="53" applyNumberFormat="1" applyFont="1" applyFill="1" applyBorder="1" applyAlignment="1">
      <alignment horizontal="right" vertical="center" wrapText="1"/>
    </xf>
    <xf numFmtId="165" fontId="83" fillId="25" borderId="42" xfId="53" applyNumberFormat="1" applyFont="1" applyFill="1" applyBorder="1" applyAlignment="1">
      <alignment horizontal="right" vertical="center" wrapText="1"/>
    </xf>
    <xf numFmtId="0" fontId="80" fillId="0" borderId="0" xfId="53" applyFont="1" applyFill="1" applyAlignment="1">
      <alignment vertical="top" wrapText="1"/>
    </xf>
    <xf numFmtId="165" fontId="80" fillId="25" borderId="1" xfId="53" applyNumberFormat="1" applyFont="1" applyFill="1" applyBorder="1" applyAlignment="1">
      <alignment horizontal="right" vertical="center" wrapText="1"/>
    </xf>
    <xf numFmtId="165" fontId="80" fillId="25" borderId="44" xfId="53" applyNumberFormat="1" applyFont="1" applyFill="1" applyBorder="1" applyAlignment="1">
      <alignment horizontal="right" vertical="center" wrapText="1"/>
    </xf>
    <xf numFmtId="0" fontId="79" fillId="2" borderId="43" xfId="53" applyFont="1" applyFill="1" applyBorder="1" applyAlignment="1">
      <alignment horizontal="left" vertical="center" wrapText="1"/>
    </xf>
    <xf numFmtId="165" fontId="79" fillId="0" borderId="9" xfId="53" applyNumberFormat="1" applyFont="1" applyFill="1" applyBorder="1" applyAlignment="1">
      <alignment horizontal="right" vertical="center" wrapText="1"/>
    </xf>
    <xf numFmtId="165" fontId="79" fillId="0" borderId="44" xfId="53" applyNumberFormat="1" applyFont="1" applyFill="1" applyBorder="1" applyAlignment="1">
      <alignment horizontal="right" vertical="center" wrapText="1"/>
    </xf>
    <xf numFmtId="0" fontId="79" fillId="0" borderId="43" xfId="53" applyFont="1" applyFill="1" applyBorder="1" applyAlignment="1">
      <alignment horizontal="left" vertical="center" wrapText="1"/>
    </xf>
    <xf numFmtId="0" fontId="60" fillId="0" borderId="57" xfId="53" applyFont="1" applyFill="1" applyBorder="1" applyAlignment="1">
      <alignment vertical="center" wrapText="1"/>
    </xf>
    <xf numFmtId="0" fontId="83" fillId="25" borderId="43" xfId="53" applyFont="1" applyFill="1" applyBorder="1" applyAlignment="1">
      <alignment horizontal="left" vertical="top" wrapText="1"/>
    </xf>
    <xf numFmtId="165" fontId="83" fillId="25" borderId="1" xfId="53" applyNumberFormat="1" applyFont="1" applyFill="1" applyBorder="1" applyAlignment="1">
      <alignment horizontal="right" vertical="center" wrapText="1"/>
    </xf>
    <xf numFmtId="165" fontId="83" fillId="25" borderId="44" xfId="53" applyNumberFormat="1" applyFont="1" applyFill="1" applyBorder="1" applyAlignment="1">
      <alignment horizontal="right" vertical="center" wrapText="1"/>
    </xf>
    <xf numFmtId="165" fontId="79" fillId="0" borderId="9" xfId="53" applyNumberFormat="1" applyFont="1" applyFill="1" applyBorder="1" applyAlignment="1">
      <alignment horizontal="right" wrapText="1"/>
    </xf>
    <xf numFmtId="0" fontId="60" fillId="0" borderId="58" xfId="53" applyFont="1" applyFill="1" applyBorder="1" applyAlignment="1">
      <alignment vertical="center" wrapText="1"/>
    </xf>
    <xf numFmtId="0" fontId="60" fillId="0" borderId="43" xfId="53" applyFont="1" applyFill="1" applyBorder="1" applyAlignment="1">
      <alignment vertical="center" wrapText="1"/>
    </xf>
    <xf numFmtId="165" fontId="83" fillId="25" borderId="1" xfId="53" applyNumberFormat="1" applyFont="1" applyFill="1" applyBorder="1" applyAlignment="1">
      <alignment vertical="center" wrapText="1"/>
    </xf>
    <xf numFmtId="165" fontId="83" fillId="25" borderId="44" xfId="53" applyNumberFormat="1" applyFont="1" applyFill="1" applyBorder="1" applyAlignment="1">
      <alignment vertical="center" wrapText="1"/>
    </xf>
    <xf numFmtId="0" fontId="60" fillId="0" borderId="57" xfId="53" applyFont="1" applyFill="1" applyBorder="1" applyAlignment="1">
      <alignment vertical="top" wrapText="1"/>
    </xf>
    <xf numFmtId="165" fontId="60" fillId="0" borderId="1" xfId="53" applyNumberFormat="1" applyFont="1" applyFill="1" applyBorder="1" applyAlignment="1"/>
    <xf numFmtId="0" fontId="80" fillId="25" borderId="59" xfId="53" applyFont="1" applyFill="1" applyBorder="1" applyAlignment="1">
      <alignment vertical="center" wrapText="1"/>
    </xf>
    <xf numFmtId="0" fontId="79" fillId="0" borderId="50" xfId="53" applyFont="1" applyFill="1" applyBorder="1" applyAlignment="1">
      <alignment horizontal="left" vertical="center" wrapText="1"/>
    </xf>
    <xf numFmtId="165" fontId="60" fillId="0" borderId="9" xfId="53" applyNumberFormat="1" applyFont="1" applyFill="1" applyBorder="1" applyAlignment="1"/>
    <xf numFmtId="165" fontId="79" fillId="2" borderId="1" xfId="53" applyNumberFormat="1" applyFont="1" applyFill="1" applyBorder="1" applyAlignment="1">
      <alignment horizontal="right" wrapText="1"/>
    </xf>
    <xf numFmtId="165" fontId="79" fillId="2" borderId="9" xfId="53" applyNumberFormat="1" applyFont="1" applyFill="1" applyBorder="1" applyAlignment="1">
      <alignment horizontal="right" wrapText="1"/>
    </xf>
    <xf numFmtId="165" fontId="79" fillId="0" borderId="0" xfId="53" applyNumberFormat="1" applyFont="1" applyFill="1" applyBorder="1" applyAlignment="1">
      <alignment horizontal="right" wrapText="1"/>
    </xf>
    <xf numFmtId="165" fontId="83" fillId="25" borderId="1" xfId="53" applyNumberFormat="1" applyFont="1" applyFill="1" applyBorder="1" applyAlignment="1">
      <alignment horizontal="right" wrapText="1"/>
    </xf>
    <xf numFmtId="165" fontId="83" fillId="25" borderId="44" xfId="53" applyNumberFormat="1" applyFont="1" applyFill="1" applyBorder="1" applyAlignment="1">
      <alignment horizontal="right" wrapText="1"/>
    </xf>
    <xf numFmtId="0" fontId="80" fillId="25" borderId="57" xfId="53" applyFont="1" applyFill="1" applyBorder="1" applyAlignment="1">
      <alignment horizontal="left" vertical="center" wrapText="1"/>
    </xf>
    <xf numFmtId="0" fontId="60" fillId="0" borderId="60" xfId="53" applyFont="1" applyFill="1" applyBorder="1" applyAlignment="1">
      <alignment vertical="center" wrapText="1"/>
    </xf>
    <xf numFmtId="0" fontId="8" fillId="2" borderId="61" xfId="55" applyFont="1" applyFill="1" applyBorder="1" applyAlignment="1">
      <alignment vertical="top" wrapText="1"/>
    </xf>
    <xf numFmtId="165" fontId="79" fillId="2" borderId="5" xfId="53" applyNumberFormat="1" applyFont="1" applyFill="1" applyBorder="1" applyAlignment="1">
      <alignment horizontal="right" vertical="center" wrapText="1"/>
    </xf>
    <xf numFmtId="165" fontId="79" fillId="2" borderId="7" xfId="53" applyNumberFormat="1" applyFont="1" applyFill="1" applyBorder="1" applyAlignment="1">
      <alignment horizontal="right" vertical="center" wrapText="1"/>
    </xf>
    <xf numFmtId="165" fontId="79" fillId="0" borderId="62" xfId="53" applyNumberFormat="1" applyFont="1" applyFill="1" applyBorder="1" applyAlignment="1">
      <alignment horizontal="right" vertical="center" wrapText="1"/>
    </xf>
    <xf numFmtId="0" fontId="83" fillId="25" borderId="43" xfId="53" applyFont="1" applyFill="1" applyBorder="1" applyAlignment="1">
      <alignment vertical="center" wrapText="1"/>
    </xf>
    <xf numFmtId="0" fontId="84" fillId="25" borderId="43" xfId="53" applyFont="1" applyFill="1" applyBorder="1" applyAlignment="1">
      <alignment vertical="top" wrapText="1"/>
    </xf>
    <xf numFmtId="165" fontId="79" fillId="2" borderId="1" xfId="53" applyNumberFormat="1" applyFont="1" applyFill="1" applyBorder="1" applyAlignment="1">
      <alignment horizontal="right" vertical="center" wrapText="1"/>
    </xf>
    <xf numFmtId="0" fontId="60" fillId="0" borderId="47" xfId="53" applyFont="1" applyFill="1" applyBorder="1" applyAlignment="1">
      <alignment vertical="center" wrapText="1"/>
    </xf>
    <xf numFmtId="165" fontId="79" fillId="2" borderId="48" xfId="53" applyNumberFormat="1" applyFont="1" applyFill="1" applyBorder="1" applyAlignment="1">
      <alignment horizontal="right" vertical="center" wrapText="1"/>
    </xf>
    <xf numFmtId="0" fontId="78" fillId="2" borderId="0" xfId="53" applyFont="1" applyFill="1" applyAlignment="1">
      <alignment vertical="top" wrapText="1"/>
    </xf>
    <xf numFmtId="0" fontId="79" fillId="2" borderId="63" xfId="53" applyFont="1" applyFill="1" applyBorder="1" applyAlignment="1">
      <alignment horizontal="left" vertical="center" wrapText="1"/>
    </xf>
    <xf numFmtId="165" fontId="79" fillId="0" borderId="5" xfId="53" applyNumberFormat="1" applyFont="1" applyFill="1" applyBorder="1" applyAlignment="1">
      <alignment horizontal="right" vertical="center" wrapText="1"/>
    </xf>
    <xf numFmtId="165" fontId="79" fillId="0" borderId="7" xfId="53" applyNumberFormat="1" applyFont="1" applyFill="1" applyBorder="1" applyAlignment="1">
      <alignment horizontal="right" vertical="center" wrapText="1"/>
    </xf>
    <xf numFmtId="0" fontId="79" fillId="2" borderId="47" xfId="53" applyFont="1" applyFill="1" applyBorder="1" applyAlignment="1">
      <alignment horizontal="left" vertical="center" wrapText="1"/>
    </xf>
    <xf numFmtId="165" fontId="79" fillId="0" borderId="48" xfId="53" applyNumberFormat="1" applyFont="1" applyFill="1" applyBorder="1" applyAlignment="1">
      <alignment horizontal="right" vertical="center" wrapText="1"/>
    </xf>
    <xf numFmtId="0" fontId="71" fillId="0" borderId="0" xfId="53" applyFont="1" applyBorder="1" applyAlignment="1">
      <alignment horizontal="center" vertical="center"/>
    </xf>
    <xf numFmtId="0" fontId="83" fillId="25" borderId="40" xfId="53" applyFont="1" applyFill="1" applyBorder="1" applyAlignment="1">
      <alignment horizontal="left" vertical="center" wrapText="1"/>
    </xf>
    <xf numFmtId="165" fontId="80" fillId="0" borderId="1" xfId="53" applyNumberFormat="1" applyFont="1" applyFill="1" applyBorder="1" applyAlignment="1">
      <alignment horizontal="right" vertical="center" wrapText="1"/>
    </xf>
    <xf numFmtId="165" fontId="80" fillId="0" borderId="44" xfId="53" applyNumberFormat="1" applyFont="1" applyFill="1" applyBorder="1" applyAlignment="1">
      <alignment horizontal="right" vertical="center" wrapText="1"/>
    </xf>
    <xf numFmtId="0" fontId="55" fillId="25" borderId="40" xfId="53" applyNumberFormat="1" applyFont="1" applyFill="1" applyBorder="1" applyAlignment="1">
      <alignment horizontal="left" vertical="top"/>
    </xf>
    <xf numFmtId="165" fontId="80" fillId="25" borderId="41" xfId="53" applyNumberFormat="1" applyFont="1" applyFill="1" applyBorder="1" applyAlignment="1">
      <alignment horizontal="right" vertical="center" wrapText="1"/>
    </xf>
    <xf numFmtId="165" fontId="80" fillId="25" borderId="42" xfId="53" applyNumberFormat="1" applyFont="1" applyFill="1" applyBorder="1" applyAlignment="1">
      <alignment horizontal="right" vertical="center" wrapText="1"/>
    </xf>
    <xf numFmtId="0" fontId="10" fillId="2" borderId="43" xfId="2" applyNumberFormat="1" applyFont="1" applyFill="1" applyBorder="1" applyAlignment="1">
      <alignment horizontal="left" vertical="top"/>
    </xf>
    <xf numFmtId="165" fontId="80" fillId="2" borderId="1" xfId="53" applyNumberFormat="1" applyFont="1" applyFill="1" applyBorder="1" applyAlignment="1">
      <alignment horizontal="right" vertical="center" wrapText="1"/>
    </xf>
    <xf numFmtId="165" fontId="80" fillId="2" borderId="44" xfId="53" applyNumberFormat="1" applyFont="1" applyFill="1" applyBorder="1" applyAlignment="1">
      <alignment horizontal="right" vertical="center" wrapText="1"/>
    </xf>
    <xf numFmtId="0" fontId="55" fillId="0" borderId="43" xfId="53" applyNumberFormat="1" applyFont="1" applyFill="1" applyBorder="1" applyAlignment="1">
      <alignment horizontal="left" vertical="top"/>
    </xf>
    <xf numFmtId="0" fontId="10" fillId="2" borderId="47" xfId="2" applyNumberFormat="1" applyFont="1" applyFill="1" applyBorder="1" applyAlignment="1">
      <alignment horizontal="left" vertical="top"/>
    </xf>
    <xf numFmtId="0" fontId="79" fillId="0" borderId="0" xfId="53" applyFont="1" applyFill="1" applyBorder="1" applyAlignment="1">
      <alignment horizontal="left" vertical="center" wrapText="1"/>
    </xf>
    <xf numFmtId="165" fontId="79" fillId="0" borderId="0" xfId="53" applyNumberFormat="1" applyFont="1" applyFill="1" applyBorder="1" applyAlignment="1">
      <alignment horizontal="right" vertical="center" wrapText="1"/>
    </xf>
    <xf numFmtId="0" fontId="79" fillId="0" borderId="0" xfId="53" applyFont="1" applyFill="1" applyAlignment="1">
      <alignment horizontal="right" vertical="center" wrapText="1"/>
    </xf>
    <xf numFmtId="0" fontId="17" fillId="2" borderId="2" xfId="0" applyFont="1" applyFill="1" applyBorder="1" applyAlignment="1">
      <alignment horizontal="center" vertical="center" wrapText="1"/>
    </xf>
    <xf numFmtId="0" fontId="19" fillId="2" borderId="0" xfId="0" applyFont="1" applyFill="1" applyAlignment="1">
      <alignment vertical="center"/>
    </xf>
    <xf numFmtId="0" fontId="1" fillId="0" borderId="4" xfId="0" applyFont="1" applyFill="1" applyBorder="1" applyAlignment="1">
      <alignment horizontal="center" vertical="center" wrapText="1"/>
    </xf>
    <xf numFmtId="0" fontId="87" fillId="6" borderId="1" xfId="0" applyFont="1" applyFill="1" applyBorder="1" applyAlignment="1">
      <alignment horizontal="center" vertical="center" wrapText="1"/>
    </xf>
    <xf numFmtId="165" fontId="88" fillId="6" borderId="1" xfId="0" applyNumberFormat="1" applyFont="1" applyFill="1" applyBorder="1" applyAlignment="1">
      <alignment vertical="center" wrapText="1"/>
    </xf>
    <xf numFmtId="0" fontId="87" fillId="2" borderId="1" xfId="0" applyFont="1" applyFill="1" applyBorder="1" applyAlignment="1">
      <alignment horizontal="center" vertical="center" wrapText="1"/>
    </xf>
    <xf numFmtId="165" fontId="88" fillId="2" borderId="1" xfId="0" applyNumberFormat="1" applyFont="1" applyFill="1" applyBorder="1" applyAlignment="1">
      <alignment vertical="center" wrapText="1"/>
    </xf>
    <xf numFmtId="0" fontId="89" fillId="2" borderId="1" xfId="0" applyFont="1" applyFill="1" applyBorder="1" applyAlignment="1">
      <alignment horizontal="center" vertical="center" wrapText="1"/>
    </xf>
    <xf numFmtId="165" fontId="91" fillId="2" borderId="1" xfId="0" applyNumberFormat="1" applyFont="1" applyFill="1" applyBorder="1" applyAlignment="1">
      <alignment vertical="center" wrapText="1"/>
    </xf>
    <xf numFmtId="0" fontId="87" fillId="15" borderId="1" xfId="0" applyFont="1" applyFill="1" applyBorder="1" applyAlignment="1">
      <alignment horizontal="center" vertical="center" wrapText="1"/>
    </xf>
    <xf numFmtId="165" fontId="88" fillId="15" borderId="1" xfId="0" applyNumberFormat="1" applyFont="1" applyFill="1" applyBorder="1" applyAlignment="1">
      <alignment vertical="center" wrapText="1"/>
    </xf>
    <xf numFmtId="0" fontId="87" fillId="18" borderId="1" xfId="0" applyFont="1" applyFill="1" applyBorder="1" applyAlignment="1">
      <alignment horizontal="center" vertical="center" wrapText="1"/>
    </xf>
    <xf numFmtId="165" fontId="88" fillId="18" borderId="1" xfId="0" applyNumberFormat="1" applyFont="1" applyFill="1" applyBorder="1" applyAlignment="1">
      <alignment vertical="center" wrapText="1"/>
    </xf>
    <xf numFmtId="165" fontId="14" fillId="2" borderId="1" xfId="0" applyNumberFormat="1" applyFont="1" applyFill="1" applyBorder="1" applyAlignment="1">
      <alignment horizontal="right" vertical="center" wrapText="1"/>
    </xf>
    <xf numFmtId="165" fontId="93" fillId="2" borderId="1" xfId="0" applyNumberFormat="1" applyFont="1" applyFill="1" applyBorder="1" applyAlignment="1">
      <alignment horizontal="right" vertical="center" wrapText="1"/>
    </xf>
    <xf numFmtId="0" fontId="55" fillId="18" borderId="1" xfId="0" applyFont="1" applyFill="1" applyBorder="1" applyAlignment="1">
      <alignment horizontal="center" vertical="center" wrapText="1"/>
    </xf>
    <xf numFmtId="165" fontId="94" fillId="18" borderId="1" xfId="0" applyNumberFormat="1" applyFont="1" applyFill="1" applyBorder="1" applyAlignment="1">
      <alignment vertical="center" wrapText="1"/>
    </xf>
    <xf numFmtId="0" fontId="85" fillId="2" borderId="0" xfId="0" applyFont="1" applyFill="1"/>
    <xf numFmtId="165" fontId="93" fillId="2" borderId="1" xfId="0" applyNumberFormat="1" applyFont="1" applyFill="1" applyBorder="1" applyAlignment="1">
      <alignment vertical="center" wrapText="1"/>
    </xf>
    <xf numFmtId="165" fontId="88" fillId="18" borderId="1" xfId="0" applyNumberFormat="1" applyFont="1" applyFill="1" applyBorder="1" applyAlignment="1">
      <alignment horizontal="right" vertical="center" wrapText="1"/>
    </xf>
    <xf numFmtId="165" fontId="14" fillId="0" borderId="1" xfId="0" applyNumberFormat="1" applyFont="1" applyFill="1" applyBorder="1" applyAlignment="1">
      <alignment vertical="center" wrapText="1"/>
    </xf>
    <xf numFmtId="165" fontId="14" fillId="0" borderId="1" xfId="0" applyNumberFormat="1" applyFont="1" applyFill="1" applyBorder="1" applyAlignment="1">
      <alignment horizontal="right" vertical="center" wrapText="1"/>
    </xf>
    <xf numFmtId="0" fontId="95" fillId="2" borderId="1" xfId="0" applyFont="1" applyFill="1" applyBorder="1" applyAlignment="1">
      <alignment horizontal="center" vertical="center" wrapText="1"/>
    </xf>
    <xf numFmtId="165" fontId="97" fillId="2" borderId="1" xfId="0" applyNumberFormat="1" applyFont="1" applyFill="1" applyBorder="1" applyAlignment="1">
      <alignment vertical="center" wrapText="1"/>
    </xf>
    <xf numFmtId="0" fontId="98" fillId="2" borderId="0" xfId="0" applyFont="1" applyFill="1"/>
    <xf numFmtId="165" fontId="97" fillId="2" borderId="1" xfId="0" applyNumberFormat="1" applyFont="1" applyFill="1" applyBorder="1" applyAlignment="1">
      <alignment horizontal="right" vertical="center" wrapText="1"/>
    </xf>
    <xf numFmtId="0" fontId="95" fillId="0" borderId="1" xfId="0" applyFont="1" applyFill="1" applyBorder="1" applyAlignment="1">
      <alignment horizontal="center" vertical="center" wrapText="1"/>
    </xf>
    <xf numFmtId="165" fontId="97" fillId="0" borderId="1" xfId="0" applyNumberFormat="1" applyFont="1" applyFill="1" applyBorder="1" applyAlignment="1">
      <alignment vertical="center" wrapText="1"/>
    </xf>
    <xf numFmtId="165" fontId="97" fillId="0" borderId="1" xfId="0" applyNumberFormat="1" applyFont="1" applyFill="1" applyBorder="1" applyAlignment="1">
      <alignment horizontal="right" vertical="center" wrapText="1"/>
    </xf>
    <xf numFmtId="0" fontId="85" fillId="0" borderId="0" xfId="0" applyFont="1" applyFill="1"/>
    <xf numFmtId="165" fontId="14" fillId="0" borderId="1" xfId="0" applyNumberFormat="1" applyFont="1" applyFill="1" applyBorder="1" applyAlignment="1">
      <alignment horizontal="right" vertical="center"/>
    </xf>
    <xf numFmtId="0" fontId="99" fillId="2" borderId="0" xfId="0" applyFont="1" applyFill="1"/>
    <xf numFmtId="165" fontId="93" fillId="0" borderId="1" xfId="0" applyNumberFormat="1" applyFont="1" applyFill="1" applyBorder="1" applyAlignment="1">
      <alignment horizontal="right" vertical="center" wrapText="1"/>
    </xf>
    <xf numFmtId="165" fontId="99" fillId="2" borderId="0" xfId="0" applyNumberFormat="1" applyFont="1" applyFill="1"/>
    <xf numFmtId="166" fontId="10" fillId="2" borderId="1" xfId="0" applyNumberFormat="1" applyFont="1" applyFill="1" applyBorder="1" applyAlignment="1">
      <alignment horizontal="right" vertical="center" wrapText="1"/>
    </xf>
    <xf numFmtId="0" fontId="99" fillId="0" borderId="0" xfId="0" applyFont="1"/>
    <xf numFmtId="0" fontId="99" fillId="2" borderId="0" xfId="0" applyFont="1" applyFill="1" applyBorder="1"/>
    <xf numFmtId="165" fontId="14" fillId="2" borderId="1" xfId="0" applyNumberFormat="1" applyFont="1" applyFill="1" applyBorder="1" applyAlignment="1">
      <alignment horizontal="right" vertical="center"/>
    </xf>
    <xf numFmtId="165" fontId="97" fillId="2" borderId="1" xfId="0" applyNumberFormat="1" applyFont="1" applyFill="1" applyBorder="1"/>
    <xf numFmtId="165" fontId="97" fillId="2" borderId="1" xfId="0" applyNumberFormat="1" applyFont="1" applyFill="1" applyBorder="1" applyAlignment="1">
      <alignment horizontal="right"/>
    </xf>
    <xf numFmtId="165" fontId="97" fillId="0" borderId="1" xfId="0" applyNumberFormat="1" applyFont="1" applyFill="1" applyBorder="1" applyAlignment="1">
      <alignment horizontal="right"/>
    </xf>
    <xf numFmtId="0" fontId="101" fillId="2" borderId="0" xfId="0" applyFont="1" applyFill="1"/>
    <xf numFmtId="165" fontId="88" fillId="15" borderId="1" xfId="0" applyNumberFormat="1" applyFont="1" applyFill="1" applyBorder="1" applyAlignment="1">
      <alignment horizontal="right" vertical="center" wrapText="1"/>
    </xf>
    <xf numFmtId="0" fontId="5" fillId="2" borderId="0" xfId="0" applyNumberFormat="1" applyFont="1" applyFill="1" applyBorder="1" applyAlignment="1">
      <alignment vertical="center" wrapText="1"/>
    </xf>
    <xf numFmtId="0" fontId="40" fillId="2" borderId="0" xfId="0" applyFont="1" applyFill="1" applyAlignment="1"/>
    <xf numFmtId="0" fontId="5" fillId="2" borderId="0" xfId="0" applyNumberFormat="1" applyFont="1" applyFill="1" applyAlignment="1">
      <alignment wrapText="1"/>
    </xf>
    <xf numFmtId="0" fontId="41" fillId="2" borderId="0" xfId="0" applyFont="1" applyFill="1" applyAlignment="1"/>
    <xf numFmtId="0" fontId="27" fillId="11" borderId="1" xfId="0" applyFont="1" applyFill="1" applyBorder="1" applyAlignment="1">
      <alignment horizontal="left" vertical="top" wrapText="1"/>
    </xf>
    <xf numFmtId="0" fontId="27" fillId="11" borderId="1" xfId="0" applyFont="1" applyFill="1" applyBorder="1" applyAlignment="1">
      <alignment horizontal="center" vertical="top" wrapText="1"/>
    </xf>
    <xf numFmtId="0" fontId="27" fillId="11" borderId="1" xfId="0" applyNumberFormat="1" applyFont="1" applyFill="1" applyBorder="1" applyAlignment="1">
      <alignment horizontal="center" vertical="top" wrapText="1"/>
    </xf>
    <xf numFmtId="167" fontId="27" fillId="11" borderId="1" xfId="0" applyNumberFormat="1" applyFont="1" applyFill="1" applyBorder="1" applyAlignment="1">
      <alignment horizontal="center" vertical="top" wrapText="1"/>
    </xf>
    <xf numFmtId="0" fontId="27" fillId="11" borderId="4" xfId="0" applyFont="1" applyFill="1" applyBorder="1" applyAlignment="1">
      <alignment horizontal="left" vertical="top" wrapText="1"/>
    </xf>
    <xf numFmtId="167" fontId="27" fillId="11" borderId="4" xfId="0" applyNumberFormat="1" applyFont="1" applyFill="1" applyBorder="1" applyAlignment="1">
      <alignment horizontal="center" vertical="top" wrapText="1"/>
    </xf>
    <xf numFmtId="4" fontId="17" fillId="2" borderId="1" xfId="1" applyNumberFormat="1" applyFont="1" applyFill="1" applyBorder="1" applyAlignment="1">
      <alignment horizontal="right" vertical="center" wrapText="1"/>
    </xf>
    <xf numFmtId="4" fontId="17" fillId="2" borderId="1" xfId="0" applyNumberFormat="1" applyFont="1" applyFill="1" applyBorder="1" applyAlignment="1">
      <alignment vertical="center" wrapText="1"/>
    </xf>
    <xf numFmtId="167" fontId="29" fillId="2" borderId="11" xfId="1" applyNumberFormat="1" applyFont="1" applyFill="1" applyBorder="1" applyAlignment="1">
      <alignment vertical="center" wrapText="1"/>
    </xf>
    <xf numFmtId="4" fontId="20" fillId="2" borderId="1" xfId="1" applyNumberFormat="1" applyFont="1" applyFill="1" applyBorder="1" applyAlignment="1">
      <alignment vertical="center" wrapText="1"/>
    </xf>
    <xf numFmtId="4" fontId="1" fillId="2" borderId="1" xfId="0" applyNumberFormat="1" applyFont="1" applyFill="1" applyBorder="1" applyAlignment="1">
      <alignment vertical="center" wrapText="1"/>
    </xf>
    <xf numFmtId="4" fontId="19" fillId="5" borderId="0" xfId="0" applyNumberFormat="1" applyFont="1" applyFill="1" applyBorder="1" applyAlignment="1"/>
    <xf numFmtId="4" fontId="19" fillId="5" borderId="1" xfId="0" applyNumberFormat="1" applyFont="1" applyFill="1" applyBorder="1" applyAlignment="1"/>
    <xf numFmtId="4" fontId="22" fillId="0" borderId="1" xfId="1" applyNumberFormat="1" applyFont="1" applyFill="1" applyBorder="1" applyAlignment="1">
      <alignment horizontal="right" vertical="center" wrapText="1"/>
    </xf>
    <xf numFmtId="4" fontId="17" fillId="0" borderId="1" xfId="1" applyNumberFormat="1" applyFont="1" applyFill="1" applyBorder="1" applyAlignment="1">
      <alignment horizontal="right" vertical="center" wrapText="1"/>
    </xf>
    <xf numFmtId="4" fontId="17" fillId="0" borderId="1" xfId="1" applyNumberFormat="1" applyFont="1" applyFill="1" applyBorder="1" applyAlignment="1">
      <alignment vertical="center" wrapText="1"/>
    </xf>
    <xf numFmtId="4" fontId="20" fillId="0" borderId="1" xfId="1" applyNumberFormat="1" applyFont="1" applyFill="1" applyBorder="1" applyAlignment="1">
      <alignment vertical="center" wrapText="1"/>
    </xf>
    <xf numFmtId="4" fontId="20" fillId="0" borderId="1" xfId="1" applyNumberFormat="1" applyFont="1" applyFill="1" applyBorder="1" applyAlignment="1">
      <alignment horizontal="right" vertical="center" wrapText="1"/>
    </xf>
    <xf numFmtId="4" fontId="17" fillId="0" borderId="1" xfId="0" applyNumberFormat="1" applyFont="1" applyFill="1" applyBorder="1" applyAlignment="1">
      <alignment vertical="center" wrapText="1"/>
    </xf>
    <xf numFmtId="4" fontId="32" fillId="0" borderId="1" xfId="1" applyNumberFormat="1" applyFont="1" applyFill="1" applyBorder="1" applyAlignment="1">
      <alignment horizontal="right" vertical="center" wrapText="1"/>
    </xf>
    <xf numFmtId="4" fontId="19" fillId="0" borderId="0" xfId="0" applyNumberFormat="1" applyFont="1" applyFill="1" applyBorder="1" applyAlignment="1">
      <alignment horizontal="right"/>
    </xf>
    <xf numFmtId="4" fontId="19" fillId="0" borderId="0" xfId="0" applyNumberFormat="1" applyFont="1" applyFill="1" applyBorder="1" applyAlignment="1"/>
    <xf numFmtId="0" fontId="0" fillId="0" borderId="0" xfId="0" applyFont="1" applyFill="1"/>
    <xf numFmtId="0" fontId="36" fillId="11" borderId="1" xfId="0" applyFont="1" applyFill="1" applyBorder="1" applyAlignment="1">
      <alignment horizontal="center" vertical="top" wrapText="1"/>
    </xf>
    <xf numFmtId="0" fontId="64" fillId="11" borderId="1" xfId="0" applyFont="1" applyFill="1" applyBorder="1" applyAlignment="1">
      <alignment horizontal="left" vertical="top" wrapText="1"/>
    </xf>
    <xf numFmtId="0" fontId="64" fillId="11" borderId="1" xfId="0" applyFont="1" applyFill="1" applyBorder="1" applyAlignment="1">
      <alignment horizontal="center" vertical="top" wrapText="1"/>
    </xf>
    <xf numFmtId="0" fontId="64" fillId="11" borderId="1" xfId="0" applyNumberFormat="1" applyFont="1" applyFill="1" applyBorder="1" applyAlignment="1">
      <alignment horizontal="center" vertical="top" wrapText="1"/>
    </xf>
    <xf numFmtId="167" fontId="64" fillId="11" borderId="1" xfId="0" applyNumberFormat="1" applyFont="1" applyFill="1" applyBorder="1" applyAlignment="1">
      <alignment horizontal="center" vertical="top" wrapText="1"/>
    </xf>
    <xf numFmtId="0" fontId="36" fillId="11" borderId="1" xfId="0" applyNumberFormat="1" applyFont="1" applyFill="1" applyBorder="1" applyAlignment="1">
      <alignment horizontal="center" vertical="top" wrapText="1"/>
    </xf>
    <xf numFmtId="4" fontId="32" fillId="12" borderId="1" xfId="1" applyNumberFormat="1" applyFont="1" applyFill="1" applyBorder="1" applyAlignment="1">
      <alignment horizontal="right" vertical="center" wrapText="1"/>
    </xf>
    <xf numFmtId="4" fontId="29" fillId="12" borderId="1" xfId="1" applyNumberFormat="1" applyFont="1" applyFill="1" applyBorder="1" applyAlignment="1">
      <alignment horizontal="right" vertical="center" wrapText="1"/>
    </xf>
    <xf numFmtId="167" fontId="22" fillId="12" borderId="11" xfId="1" applyNumberFormat="1" applyFont="1" applyFill="1" applyBorder="1" applyAlignment="1">
      <alignment vertical="center" wrapText="1"/>
    </xf>
    <xf numFmtId="4" fontId="20" fillId="12" borderId="1" xfId="0" applyNumberFormat="1" applyFont="1" applyFill="1" applyBorder="1" applyAlignment="1">
      <alignment vertical="center" wrapText="1"/>
    </xf>
    <xf numFmtId="0" fontId="17" fillId="12" borderId="9" xfId="0" applyFont="1" applyFill="1" applyBorder="1" applyAlignment="1">
      <alignment horizontal="center" vertical="center" wrapText="1"/>
    </xf>
    <xf numFmtId="4" fontId="22" fillId="12" borderId="1" xfId="1" applyNumberFormat="1" applyFont="1" applyFill="1" applyBorder="1" applyAlignment="1">
      <alignment horizontal="right" vertical="center" wrapText="1"/>
    </xf>
    <xf numFmtId="4" fontId="17" fillId="12" borderId="1" xfId="0" applyNumberFormat="1" applyFont="1" applyFill="1" applyBorder="1" applyAlignment="1">
      <alignment vertical="center" wrapText="1"/>
    </xf>
    <xf numFmtId="0" fontId="32" fillId="26" borderId="9" xfId="0" applyFont="1" applyFill="1" applyBorder="1" applyAlignment="1">
      <alignment horizontal="center" vertical="center" wrapText="1"/>
    </xf>
    <xf numFmtId="4" fontId="104" fillId="26" borderId="1" xfId="1" applyNumberFormat="1" applyFont="1" applyFill="1" applyBorder="1" applyAlignment="1">
      <alignment horizontal="right" vertical="center" wrapText="1"/>
    </xf>
    <xf numFmtId="0" fontId="22" fillId="26" borderId="9" xfId="0" applyFont="1" applyFill="1" applyBorder="1" applyAlignment="1">
      <alignment horizontal="center" vertical="center" wrapText="1"/>
    </xf>
    <xf numFmtId="4" fontId="29" fillId="26" borderId="1" xfId="1" applyNumberFormat="1" applyFont="1" applyFill="1" applyBorder="1" applyAlignment="1">
      <alignment horizontal="right" vertical="center" wrapText="1"/>
    </xf>
    <xf numFmtId="167" fontId="29" fillId="26" borderId="11" xfId="1" applyNumberFormat="1" applyFont="1" applyFill="1" applyBorder="1" applyAlignment="1">
      <alignment vertical="center" wrapText="1"/>
    </xf>
    <xf numFmtId="4" fontId="22" fillId="26" borderId="1" xfId="1" applyNumberFormat="1" applyFont="1" applyFill="1" applyBorder="1" applyAlignment="1">
      <alignment horizontal="right" vertical="center" wrapText="1"/>
    </xf>
    <xf numFmtId="167" fontId="22" fillId="26" borderId="11" xfId="1" applyNumberFormat="1" applyFont="1" applyFill="1" applyBorder="1" applyAlignment="1">
      <alignment vertical="center" wrapText="1"/>
    </xf>
    <xf numFmtId="0" fontId="17" fillId="26" borderId="9" xfId="0" applyFont="1" applyFill="1" applyBorder="1" applyAlignment="1">
      <alignment horizontal="center" vertical="center" wrapText="1"/>
    </xf>
    <xf numFmtId="4" fontId="20" fillId="26" borderId="1" xfId="1" applyNumberFormat="1" applyFont="1" applyFill="1" applyBorder="1" applyAlignment="1">
      <alignment horizontal="right" vertical="center" wrapText="1"/>
    </xf>
    <xf numFmtId="4" fontId="20" fillId="26" borderId="1" xfId="1" applyNumberFormat="1" applyFont="1" applyFill="1" applyBorder="1" applyAlignment="1">
      <alignment vertical="center" wrapText="1"/>
    </xf>
    <xf numFmtId="4" fontId="17" fillId="26" borderId="1" xfId="1" applyNumberFormat="1" applyFont="1" applyFill="1" applyBorder="1" applyAlignment="1">
      <alignment vertical="center" wrapText="1"/>
    </xf>
    <xf numFmtId="4" fontId="22" fillId="26" borderId="1" xfId="1" applyNumberFormat="1" applyFont="1" applyFill="1" applyBorder="1" applyAlignment="1">
      <alignment vertical="center" wrapText="1"/>
    </xf>
    <xf numFmtId="4" fontId="104" fillId="26" borderId="1" xfId="1" applyNumberFormat="1" applyFont="1" applyFill="1" applyBorder="1" applyAlignment="1">
      <alignment vertical="center" wrapText="1"/>
    </xf>
    <xf numFmtId="4" fontId="17" fillId="12" borderId="1" xfId="1" applyNumberFormat="1" applyFont="1" applyFill="1" applyBorder="1" applyAlignment="1">
      <alignment horizontal="right" vertical="center" wrapText="1"/>
    </xf>
    <xf numFmtId="4" fontId="17" fillId="12" borderId="1" xfId="0" applyNumberFormat="1" applyFont="1" applyFill="1" applyBorder="1" applyAlignment="1">
      <alignment horizontal="right" vertical="center" wrapText="1"/>
    </xf>
    <xf numFmtId="4" fontId="17" fillId="12" borderId="6" xfId="0" applyNumberFormat="1" applyFont="1" applyFill="1" applyBorder="1" applyAlignment="1">
      <alignment horizontal="right" vertical="center" wrapText="1"/>
    </xf>
    <xf numFmtId="165" fontId="17" fillId="12" borderId="1" xfId="0" applyNumberFormat="1" applyFont="1" applyFill="1" applyBorder="1" applyAlignment="1">
      <alignment horizontal="center" vertical="top" wrapText="1"/>
    </xf>
    <xf numFmtId="4" fontId="20" fillId="12" borderId="1" xfId="1" applyNumberFormat="1" applyFont="1" applyFill="1" applyBorder="1" applyAlignment="1">
      <alignment horizontal="right" vertical="center" wrapText="1"/>
    </xf>
    <xf numFmtId="0" fontId="27" fillId="12" borderId="1" xfId="0" applyFont="1" applyFill="1" applyBorder="1" applyAlignment="1">
      <alignment horizontal="left" vertical="top" wrapText="1"/>
    </xf>
    <xf numFmtId="0" fontId="27" fillId="12" borderId="1" xfId="0" applyFont="1" applyFill="1" applyBorder="1" applyAlignment="1">
      <alignment horizontal="center" vertical="top" wrapText="1"/>
    </xf>
    <xf numFmtId="167" fontId="27" fillId="12" borderId="1" xfId="0" applyNumberFormat="1" applyFont="1" applyFill="1" applyBorder="1" applyAlignment="1">
      <alignment horizontal="center" vertical="top" wrapText="1"/>
    </xf>
    <xf numFmtId="4" fontId="32" fillId="2" borderId="1" xfId="1" applyNumberFormat="1" applyFont="1" applyFill="1" applyBorder="1" applyAlignment="1">
      <alignment horizontal="right" vertical="center" wrapText="1"/>
    </xf>
    <xf numFmtId="4" fontId="104" fillId="2" borderId="1" xfId="1" applyNumberFormat="1" applyFont="1" applyFill="1" applyBorder="1" applyAlignment="1">
      <alignment horizontal="right" vertical="center" wrapText="1"/>
    </xf>
    <xf numFmtId="167" fontId="104" fillId="26" borderId="11" xfId="1" applyNumberFormat="1" applyFont="1" applyFill="1" applyBorder="1" applyAlignment="1">
      <alignment vertical="center" wrapText="1"/>
    </xf>
    <xf numFmtId="4" fontId="32" fillId="26" borderId="1" xfId="1" applyNumberFormat="1" applyFont="1" applyFill="1" applyBorder="1" applyAlignment="1">
      <alignment horizontal="right" vertical="center" wrapText="1"/>
    </xf>
    <xf numFmtId="4" fontId="22" fillId="2" borderId="11" xfId="1" applyNumberFormat="1" applyFont="1" applyFill="1" applyBorder="1" applyAlignment="1">
      <alignment horizontal="right" vertical="center" wrapText="1"/>
    </xf>
    <xf numFmtId="0" fontId="27" fillId="26" borderId="1" xfId="0" applyFont="1" applyFill="1" applyBorder="1" applyAlignment="1">
      <alignment horizontal="left" vertical="top" wrapText="1"/>
    </xf>
    <xf numFmtId="0" fontId="27" fillId="26" borderId="1" xfId="0" applyFont="1" applyFill="1" applyBorder="1" applyAlignment="1">
      <alignment horizontal="center" vertical="top" wrapText="1"/>
    </xf>
    <xf numFmtId="0" fontId="27" fillId="26" borderId="4" xfId="0" applyFont="1" applyFill="1" applyBorder="1" applyAlignment="1">
      <alignment horizontal="left" vertical="top" wrapText="1"/>
    </xf>
    <xf numFmtId="167" fontId="27" fillId="26" borderId="4" xfId="0" applyNumberFormat="1" applyFont="1" applyFill="1" applyBorder="1" applyAlignment="1">
      <alignment horizontal="center" vertical="top" wrapText="1"/>
    </xf>
    <xf numFmtId="0" fontId="120" fillId="0" borderId="0" xfId="56" applyFont="1"/>
    <xf numFmtId="0" fontId="120" fillId="0" borderId="0" xfId="56" applyFont="1" applyAlignment="1">
      <alignment wrapText="1"/>
    </xf>
    <xf numFmtId="0" fontId="121" fillId="0" borderId="0" xfId="56" applyFont="1" applyFill="1"/>
    <xf numFmtId="0" fontId="122" fillId="0" borderId="0" xfId="56" applyFont="1" applyFill="1" applyAlignment="1">
      <alignment horizontal="center" vertical="center"/>
    </xf>
    <xf numFmtId="166" fontId="123" fillId="0" borderId="0" xfId="56" applyNumberFormat="1" applyFont="1" applyFill="1"/>
    <xf numFmtId="165" fontId="123" fillId="0" borderId="0" xfId="56" applyNumberFormat="1" applyFont="1" applyFill="1"/>
    <xf numFmtId="0" fontId="124" fillId="0" borderId="0" xfId="56" applyFont="1" applyFill="1" applyAlignment="1">
      <alignment horizontal="center"/>
    </xf>
    <xf numFmtId="0" fontId="124" fillId="0" borderId="0" xfId="56" applyFont="1" applyFill="1"/>
    <xf numFmtId="0" fontId="122" fillId="0" borderId="0" xfId="56" applyFont="1" applyFill="1" applyAlignment="1">
      <alignment horizontal="left"/>
    </xf>
    <xf numFmtId="49" fontId="120" fillId="0" borderId="0" xfId="56" applyNumberFormat="1" applyFont="1" applyFill="1" applyAlignment="1">
      <alignment horizontal="center"/>
    </xf>
    <xf numFmtId="165" fontId="125" fillId="0" borderId="73" xfId="56" applyNumberFormat="1" applyFont="1" applyFill="1" applyBorder="1" applyAlignment="1">
      <alignment horizontal="right" vertical="center" wrapText="1"/>
    </xf>
    <xf numFmtId="165" fontId="125" fillId="0" borderId="73" xfId="56" applyNumberFormat="1" applyFont="1" applyFill="1" applyBorder="1" applyAlignment="1">
      <alignment vertical="center" wrapText="1"/>
    </xf>
    <xf numFmtId="0" fontId="126" fillId="0" borderId="73" xfId="56" applyFont="1" applyFill="1" applyBorder="1" applyAlignment="1">
      <alignment horizontal="center" vertical="center" wrapText="1"/>
    </xf>
    <xf numFmtId="165" fontId="128" fillId="0" borderId="73" xfId="56" applyNumberFormat="1" applyFont="1" applyFill="1" applyBorder="1" applyAlignment="1">
      <alignment horizontal="right" vertical="center" wrapText="1"/>
    </xf>
    <xf numFmtId="165" fontId="128" fillId="0" borderId="73" xfId="56" applyNumberFormat="1" applyFont="1" applyFill="1" applyBorder="1" applyAlignment="1">
      <alignment vertical="center" wrapText="1"/>
    </xf>
    <xf numFmtId="0" fontId="129" fillId="0" borderId="73" xfId="56" applyFont="1" applyFill="1" applyBorder="1" applyAlignment="1">
      <alignment horizontal="center" vertical="center" wrapText="1"/>
    </xf>
    <xf numFmtId="165" fontId="125" fillId="0" borderId="73" xfId="56" applyNumberFormat="1" applyFont="1" applyFill="1" applyBorder="1" applyAlignment="1">
      <alignment horizontal="right"/>
    </xf>
    <xf numFmtId="0" fontId="131" fillId="0" borderId="0" xfId="56" applyFont="1"/>
    <xf numFmtId="0" fontId="121" fillId="0" borderId="0" xfId="56" applyFont="1" applyBorder="1" applyAlignment="1">
      <alignment vertical="center" wrapText="1"/>
    </xf>
    <xf numFmtId="0" fontId="131" fillId="0" borderId="0" xfId="56" applyFont="1" applyAlignment="1">
      <alignment wrapText="1"/>
    </xf>
    <xf numFmtId="165" fontId="128" fillId="0" borderId="73" xfId="56" applyNumberFormat="1" applyFont="1" applyFill="1" applyBorder="1"/>
    <xf numFmtId="165" fontId="125" fillId="0" borderId="73" xfId="56" applyNumberFormat="1" applyFont="1" applyFill="1" applyBorder="1"/>
    <xf numFmtId="166" fontId="125" fillId="0" borderId="73" xfId="56" applyNumberFormat="1" applyFont="1" applyFill="1" applyBorder="1"/>
    <xf numFmtId="2" fontId="125" fillId="0" borderId="73" xfId="56" applyNumberFormat="1" applyFont="1" applyFill="1" applyBorder="1"/>
    <xf numFmtId="166" fontId="125" fillId="0" borderId="73" xfId="56" applyNumberFormat="1" applyFont="1" applyFill="1" applyBorder="1" applyAlignment="1">
      <alignment horizontal="right" vertical="center" wrapText="1"/>
    </xf>
    <xf numFmtId="165" fontId="125" fillId="0" borderId="73" xfId="57" applyNumberFormat="1" applyFont="1" applyFill="1" applyBorder="1" applyAlignment="1">
      <alignment horizontal="right" vertical="center" wrapText="1"/>
    </xf>
    <xf numFmtId="166" fontId="125" fillId="0" borderId="73" xfId="56" applyNumberFormat="1" applyFont="1" applyFill="1" applyBorder="1" applyAlignment="1">
      <alignment vertical="center" wrapText="1"/>
    </xf>
    <xf numFmtId="4" fontId="125" fillId="0" borderId="73" xfId="56" applyNumberFormat="1" applyFont="1" applyFill="1" applyBorder="1" applyAlignment="1">
      <alignment horizontal="right" vertical="center" wrapText="1"/>
    </xf>
    <xf numFmtId="165" fontId="120" fillId="0" borderId="0" xfId="56" applyNumberFormat="1" applyFont="1"/>
    <xf numFmtId="0" fontId="134" fillId="0" borderId="7" xfId="56" applyFont="1" applyBorder="1" applyAlignment="1">
      <alignment vertical="center" wrapText="1"/>
    </xf>
    <xf numFmtId="0" fontId="120" fillId="0" borderId="7" xfId="56" applyFont="1" applyBorder="1" applyAlignment="1">
      <alignment horizontal="center" vertical="center" wrapText="1"/>
    </xf>
    <xf numFmtId="0" fontId="134" fillId="0" borderId="0" xfId="56" applyFont="1" applyAlignment="1">
      <alignment wrapText="1"/>
    </xf>
    <xf numFmtId="0" fontId="134" fillId="0" borderId="0" xfId="56" applyFont="1"/>
    <xf numFmtId="165" fontId="134" fillId="0" borderId="0" xfId="56" applyNumberFormat="1" applyFont="1"/>
    <xf numFmtId="0" fontId="120" fillId="31" borderId="73" xfId="56" applyFont="1" applyFill="1" applyBorder="1"/>
    <xf numFmtId="165" fontId="134" fillId="31" borderId="73" xfId="56" applyNumberFormat="1" applyFont="1" applyFill="1" applyBorder="1"/>
    <xf numFmtId="0" fontId="27" fillId="0" borderId="0" xfId="56" applyFont="1" applyAlignment="1">
      <alignment horizontal="right" vertical="center"/>
    </xf>
    <xf numFmtId="166" fontId="125" fillId="0" borderId="73" xfId="56" applyNumberFormat="1" applyFont="1" applyFill="1" applyBorder="1" applyAlignment="1">
      <alignment horizontal="center" vertical="center" wrapText="1"/>
    </xf>
    <xf numFmtId="165" fontId="125" fillId="0" borderId="73" xfId="56" applyNumberFormat="1" applyFont="1" applyFill="1" applyBorder="1" applyAlignment="1">
      <alignment horizontal="center" vertical="center" wrapText="1"/>
    </xf>
    <xf numFmtId="0" fontId="136" fillId="0" borderId="0" xfId="56" applyFont="1" applyFill="1" applyAlignment="1">
      <alignment horizontal="right"/>
    </xf>
    <xf numFmtId="0" fontId="20" fillId="154" borderId="9" xfId="0" applyFont="1" applyFill="1" applyBorder="1" applyAlignment="1">
      <alignment horizontal="center" vertical="center" wrapText="1"/>
    </xf>
    <xf numFmtId="4" fontId="29" fillId="154" borderId="1" xfId="1" applyNumberFormat="1" applyFont="1" applyFill="1" applyBorder="1" applyAlignment="1">
      <alignment horizontal="right" vertical="center" wrapText="1"/>
    </xf>
    <xf numFmtId="167" fontId="29" fillId="154" borderId="11" xfId="1" applyNumberFormat="1" applyFont="1" applyFill="1" applyBorder="1" applyAlignment="1">
      <alignment vertical="center" wrapText="1"/>
    </xf>
    <xf numFmtId="0" fontId="27" fillId="154" borderId="1" xfId="0" applyFont="1" applyFill="1" applyBorder="1" applyAlignment="1">
      <alignment horizontal="left" vertical="top" wrapText="1"/>
    </xf>
    <xf numFmtId="0" fontId="36" fillId="154" borderId="1" xfId="0" applyFont="1" applyFill="1" applyBorder="1" applyAlignment="1">
      <alignment horizontal="center" vertical="top" wrapText="1"/>
    </xf>
    <xf numFmtId="4" fontId="20" fillId="154" borderId="1" xfId="1" applyNumberFormat="1" applyFont="1" applyFill="1" applyBorder="1" applyAlignment="1">
      <alignment vertical="center" wrapText="1"/>
    </xf>
    <xf numFmtId="167" fontId="36" fillId="154" borderId="1" xfId="0" applyNumberFormat="1" applyFont="1" applyFill="1" applyBorder="1" applyAlignment="1">
      <alignment horizontal="center" vertical="top" wrapText="1"/>
    </xf>
    <xf numFmtId="0" fontId="126" fillId="155" borderId="73" xfId="56" applyFont="1" applyFill="1" applyBorder="1" applyAlignment="1">
      <alignment horizontal="center" vertical="center" wrapText="1"/>
    </xf>
    <xf numFmtId="165" fontId="125" fillId="155" borderId="73" xfId="56" applyNumberFormat="1" applyFont="1" applyFill="1" applyBorder="1" applyAlignment="1">
      <alignment vertical="center" wrapText="1"/>
    </xf>
    <xf numFmtId="165" fontId="125" fillId="155" borderId="73" xfId="56" applyNumberFormat="1" applyFont="1" applyFill="1" applyBorder="1" applyAlignment="1">
      <alignment horizontal="right" vertical="center" wrapText="1"/>
    </xf>
    <xf numFmtId="0" fontId="129" fillId="155" borderId="73" xfId="56" applyFont="1" applyFill="1" applyBorder="1" applyAlignment="1">
      <alignment horizontal="center" vertical="center" wrapText="1"/>
    </xf>
    <xf numFmtId="165" fontId="128" fillId="155" borderId="73" xfId="56" applyNumberFormat="1" applyFont="1" applyFill="1" applyBorder="1" applyAlignment="1">
      <alignment vertical="center" wrapText="1"/>
    </xf>
    <xf numFmtId="165" fontId="125" fillId="155" borderId="0" xfId="56" applyNumberFormat="1" applyFont="1" applyFill="1"/>
    <xf numFmtId="165" fontId="128" fillId="155" borderId="73" xfId="56" applyNumberFormat="1" applyFont="1" applyFill="1" applyBorder="1" applyAlignment="1">
      <alignment horizontal="right" vertical="center" wrapText="1"/>
    </xf>
    <xf numFmtId="165" fontId="125" fillId="155" borderId="73" xfId="56" applyNumberFormat="1" applyFont="1" applyFill="1" applyBorder="1"/>
    <xf numFmtId="165" fontId="125" fillId="155" borderId="73" xfId="56" applyNumberFormat="1" applyFont="1" applyFill="1" applyBorder="1" applyAlignment="1">
      <alignment horizontal="right"/>
    </xf>
    <xf numFmtId="166" fontId="125" fillId="155" borderId="73" xfId="56" applyNumberFormat="1" applyFont="1" applyFill="1" applyBorder="1" applyAlignment="1">
      <alignment horizontal="right" vertical="center" wrapText="1"/>
    </xf>
    <xf numFmtId="165" fontId="128" fillId="155" borderId="73" xfId="56" applyNumberFormat="1" applyFont="1" applyFill="1" applyBorder="1"/>
    <xf numFmtId="165" fontId="125" fillId="155" borderId="74" xfId="56" applyNumberFormat="1" applyFont="1" applyFill="1" applyBorder="1" applyAlignment="1">
      <alignment horizontal="right" vertical="center" wrapText="1"/>
    </xf>
    <xf numFmtId="0" fontId="129" fillId="155" borderId="73" xfId="56" applyFont="1" applyFill="1" applyBorder="1" applyAlignment="1">
      <alignment horizontal="center" vertical="center" wrapText="1"/>
    </xf>
    <xf numFmtId="0" fontId="126" fillId="155" borderId="73" xfId="56" applyFont="1" applyFill="1" applyBorder="1" applyAlignment="1">
      <alignment horizontal="center" vertical="center" wrapText="1"/>
    </xf>
    <xf numFmtId="0" fontId="17" fillId="20" borderId="9" xfId="0" applyFont="1" applyFill="1" applyBorder="1" applyAlignment="1">
      <alignment horizontal="center" vertical="center" wrapText="1"/>
    </xf>
    <xf numFmtId="4" fontId="20" fillId="20" borderId="1" xfId="1" applyNumberFormat="1" applyFont="1" applyFill="1" applyBorder="1" applyAlignment="1">
      <alignment horizontal="right" vertical="center" wrapText="1"/>
    </xf>
    <xf numFmtId="167" fontId="22" fillId="20" borderId="11" xfId="1" applyNumberFormat="1" applyFont="1" applyFill="1" applyBorder="1" applyAlignment="1">
      <alignment vertical="center" wrapText="1"/>
    </xf>
    <xf numFmtId="0" fontId="27" fillId="20" borderId="1" xfId="0" applyFont="1" applyFill="1" applyBorder="1" applyAlignment="1">
      <alignment horizontal="left" vertical="top" wrapText="1"/>
    </xf>
    <xf numFmtId="0" fontId="36" fillId="20" borderId="1" xfId="0" applyFont="1" applyFill="1" applyBorder="1" applyAlignment="1">
      <alignment horizontal="center" vertical="top" wrapText="1"/>
    </xf>
    <xf numFmtId="4" fontId="17" fillId="20" borderId="1" xfId="1" applyNumberFormat="1" applyFont="1" applyFill="1" applyBorder="1" applyAlignment="1">
      <alignment horizontal="right" vertical="center" wrapText="1"/>
    </xf>
    <xf numFmtId="167" fontId="36" fillId="20" borderId="4" xfId="0" applyNumberFormat="1" applyFont="1" applyFill="1" applyBorder="1" applyAlignment="1">
      <alignment horizontal="center" vertical="top" wrapText="1"/>
    </xf>
    <xf numFmtId="4" fontId="29" fillId="20" borderId="1" xfId="1" applyNumberFormat="1" applyFont="1" applyFill="1" applyBorder="1" applyAlignment="1">
      <alignment horizontal="right" vertical="center" wrapText="1"/>
    </xf>
    <xf numFmtId="0" fontId="36" fillId="20" borderId="1" xfId="0" applyNumberFormat="1" applyFont="1" applyFill="1" applyBorder="1" applyAlignment="1">
      <alignment horizontal="center" vertical="top" wrapText="1"/>
    </xf>
    <xf numFmtId="167" fontId="36" fillId="20" borderId="1" xfId="0" applyNumberFormat="1" applyFont="1" applyFill="1" applyBorder="1" applyAlignment="1">
      <alignment horizontal="center" vertical="top" wrapText="1"/>
    </xf>
    <xf numFmtId="0" fontId="20" fillId="156" borderId="9" xfId="0" applyFont="1" applyFill="1" applyBorder="1" applyAlignment="1">
      <alignment horizontal="center" vertical="center" wrapText="1"/>
    </xf>
    <xf numFmtId="4" fontId="20" fillId="156" borderId="1" xfId="0" applyNumberFormat="1" applyFont="1" applyFill="1" applyBorder="1" applyAlignment="1">
      <alignment horizontal="right" wrapText="1"/>
    </xf>
    <xf numFmtId="4" fontId="29" fillId="156" borderId="1" xfId="1" applyNumberFormat="1" applyFont="1" applyFill="1" applyBorder="1" applyAlignment="1">
      <alignment horizontal="right" wrapText="1"/>
    </xf>
    <xf numFmtId="167" fontId="29" fillId="156" borderId="11" xfId="1" applyNumberFormat="1" applyFont="1" applyFill="1" applyBorder="1" applyAlignment="1">
      <alignment wrapText="1"/>
    </xf>
    <xf numFmtId="165" fontId="20" fillId="158" borderId="1" xfId="0" applyNumberFormat="1" applyFont="1" applyFill="1" applyBorder="1" applyAlignment="1">
      <alignment horizontal="right"/>
    </xf>
    <xf numFmtId="2" fontId="20" fillId="156" borderId="9" xfId="0" applyNumberFormat="1" applyFont="1" applyFill="1" applyBorder="1" applyAlignment="1">
      <alignment horizontal="right" wrapText="1"/>
    </xf>
    <xf numFmtId="165" fontId="20" fillId="156" borderId="1" xfId="0" applyNumberFormat="1" applyFont="1" applyFill="1" applyBorder="1" applyAlignment="1">
      <alignment horizontal="right" wrapText="1"/>
    </xf>
    <xf numFmtId="165" fontId="20" fillId="156" borderId="1" xfId="0" applyNumberFormat="1" applyFont="1" applyFill="1" applyBorder="1" applyAlignment="1">
      <alignment horizontal="center" vertical="top" wrapText="1"/>
    </xf>
    <xf numFmtId="165" fontId="20" fillId="156" borderId="1" xfId="0" applyNumberFormat="1" applyFont="1" applyFill="1" applyBorder="1" applyAlignment="1">
      <alignment wrapText="1"/>
    </xf>
    <xf numFmtId="4" fontId="20" fillId="156" borderId="1" xfId="0" applyNumberFormat="1" applyFont="1" applyFill="1" applyBorder="1" applyAlignment="1">
      <alignment horizontal="right" vertical="top" wrapText="1"/>
    </xf>
    <xf numFmtId="4" fontId="20" fillId="156" borderId="1" xfId="1" applyNumberFormat="1" applyFont="1" applyFill="1" applyBorder="1" applyAlignment="1">
      <alignment horizontal="right" vertical="center" wrapText="1"/>
    </xf>
    <xf numFmtId="167" fontId="29" fillId="156" borderId="11" xfId="1" applyNumberFormat="1" applyFont="1" applyFill="1" applyBorder="1" applyAlignment="1">
      <alignment vertical="center" wrapText="1"/>
    </xf>
    <xf numFmtId="4" fontId="20" fillId="156" borderId="1" xfId="1" applyNumberFormat="1" applyFont="1" applyFill="1" applyBorder="1" applyAlignment="1">
      <alignment vertical="center" wrapText="1"/>
    </xf>
    <xf numFmtId="0" fontId="22" fillId="159" borderId="9" xfId="0" applyFont="1" applyFill="1" applyBorder="1" applyAlignment="1">
      <alignment horizontal="center" vertical="center" wrapText="1"/>
    </xf>
    <xf numFmtId="4" fontId="22" fillId="159" borderId="1" xfId="0" applyNumberFormat="1" applyFont="1" applyFill="1" applyBorder="1" applyAlignment="1">
      <alignment vertical="center" wrapText="1"/>
    </xf>
    <xf numFmtId="0" fontId="17" fillId="159" borderId="9" xfId="0" applyFont="1" applyFill="1" applyBorder="1" applyAlignment="1">
      <alignment horizontal="center" vertical="center" wrapText="1"/>
    </xf>
    <xf numFmtId="4" fontId="17" fillId="159" borderId="1" xfId="0" applyNumberFormat="1" applyFont="1" applyFill="1" applyBorder="1" applyAlignment="1">
      <alignment vertical="center" wrapText="1"/>
    </xf>
    <xf numFmtId="0" fontId="17" fillId="159" borderId="2" xfId="0" applyFont="1" applyFill="1" applyBorder="1" applyAlignment="1">
      <alignment horizontal="center" vertical="center" wrapText="1"/>
    </xf>
    <xf numFmtId="4" fontId="17" fillId="159" borderId="4" xfId="0" applyNumberFormat="1" applyFont="1" applyFill="1" applyBorder="1" applyAlignment="1">
      <alignment vertical="center" wrapText="1"/>
    </xf>
    <xf numFmtId="167" fontId="22" fillId="159" borderId="11" xfId="1" applyNumberFormat="1" applyFont="1" applyFill="1" applyBorder="1" applyAlignment="1">
      <alignment vertical="center" wrapText="1"/>
    </xf>
    <xf numFmtId="167" fontId="22" fillId="159" borderId="12" xfId="1" applyNumberFormat="1" applyFont="1" applyFill="1" applyBorder="1" applyAlignment="1">
      <alignment vertical="center" wrapText="1"/>
    </xf>
    <xf numFmtId="4" fontId="22" fillId="159" borderId="4" xfId="0" applyNumberFormat="1" applyFont="1" applyFill="1" applyBorder="1" applyAlignment="1">
      <alignment vertical="center" wrapText="1"/>
    </xf>
    <xf numFmtId="0" fontId="126" fillId="159" borderId="73" xfId="56" applyFont="1" applyFill="1" applyBorder="1" applyAlignment="1">
      <alignment horizontal="center" vertical="center" wrapText="1"/>
    </xf>
    <xf numFmtId="165" fontId="125" fillId="159" borderId="73" xfId="56" applyNumberFormat="1" applyFont="1" applyFill="1" applyBorder="1" applyAlignment="1">
      <alignment vertical="center" wrapText="1"/>
    </xf>
    <xf numFmtId="165" fontId="125" fillId="159" borderId="73" xfId="56" applyNumberFormat="1" applyFont="1" applyFill="1" applyBorder="1" applyAlignment="1">
      <alignment horizontal="right" vertical="center" wrapText="1"/>
    </xf>
    <xf numFmtId="0" fontId="129" fillId="159" borderId="73" xfId="56" applyFont="1" applyFill="1" applyBorder="1" applyAlignment="1">
      <alignment horizontal="center" vertical="center" wrapText="1"/>
    </xf>
    <xf numFmtId="165" fontId="128" fillId="159" borderId="73" xfId="56" applyNumberFormat="1" applyFont="1" applyFill="1" applyBorder="1" applyAlignment="1">
      <alignment vertical="center" wrapText="1"/>
    </xf>
    <xf numFmtId="165" fontId="128" fillId="159" borderId="73" xfId="56" applyNumberFormat="1" applyFont="1" applyFill="1" applyBorder="1" applyAlignment="1">
      <alignment horizontal="right" vertical="center" wrapText="1"/>
    </xf>
    <xf numFmtId="4" fontId="125" fillId="159" borderId="73" xfId="56" applyNumberFormat="1" applyFont="1" applyFill="1" applyBorder="1" applyAlignment="1">
      <alignment vertical="center" wrapText="1"/>
    </xf>
    <xf numFmtId="4" fontId="125" fillId="159" borderId="73" xfId="56" applyNumberFormat="1" applyFont="1" applyFill="1" applyBorder="1" applyAlignment="1">
      <alignment horizontal="right" vertical="center" wrapText="1"/>
    </xf>
    <xf numFmtId="165" fontId="125" fillId="159" borderId="73" xfId="56" applyNumberFormat="1" applyFont="1" applyFill="1" applyBorder="1" applyAlignment="1">
      <alignment horizontal="right"/>
    </xf>
    <xf numFmtId="166" fontId="125" fillId="159" borderId="73" xfId="56" applyNumberFormat="1" applyFont="1" applyFill="1" applyBorder="1" applyAlignment="1">
      <alignment horizontal="right" vertical="center" wrapText="1"/>
    </xf>
    <xf numFmtId="165" fontId="125" fillId="159" borderId="73" xfId="56" applyNumberFormat="1" applyFont="1" applyFill="1" applyBorder="1"/>
    <xf numFmtId="165" fontId="128" fillId="159" borderId="73" xfId="56" applyNumberFormat="1" applyFont="1" applyFill="1" applyBorder="1"/>
    <xf numFmtId="0" fontId="20" fillId="159" borderId="9" xfId="0" applyFont="1" applyFill="1" applyBorder="1" applyAlignment="1">
      <alignment horizontal="center" vertical="center" wrapText="1"/>
    </xf>
    <xf numFmtId="4" fontId="22" fillId="159" borderId="1" xfId="1" applyNumberFormat="1" applyFont="1" applyFill="1" applyBorder="1" applyAlignment="1">
      <alignment horizontal="right" vertical="center" wrapText="1"/>
    </xf>
    <xf numFmtId="4" fontId="17" fillId="159" borderId="1" xfId="1" applyNumberFormat="1" applyFont="1" applyFill="1" applyBorder="1" applyAlignment="1">
      <alignment horizontal="right" vertical="center" wrapText="1"/>
    </xf>
    <xf numFmtId="0" fontId="29" fillId="159" borderId="9" xfId="0" applyFont="1" applyFill="1" applyBorder="1" applyAlignment="1">
      <alignment horizontal="center" vertical="center" wrapText="1"/>
    </xf>
    <xf numFmtId="4" fontId="17" fillId="159" borderId="1" xfId="1" applyNumberFormat="1" applyFont="1" applyFill="1" applyBorder="1" applyAlignment="1">
      <alignment vertical="center" wrapText="1"/>
    </xf>
    <xf numFmtId="4" fontId="22" fillId="159" borderId="1" xfId="1" applyNumberFormat="1" applyFont="1" applyFill="1" applyBorder="1" applyAlignment="1">
      <alignment vertical="center" wrapText="1"/>
    </xf>
    <xf numFmtId="4" fontId="20" fillId="159" borderId="1" xfId="1" applyNumberFormat="1" applyFont="1" applyFill="1" applyBorder="1" applyAlignment="1">
      <alignment horizontal="right" vertical="center" wrapText="1"/>
    </xf>
    <xf numFmtId="4" fontId="20" fillId="159" borderId="1" xfId="1" applyNumberFormat="1" applyFont="1" applyFill="1" applyBorder="1" applyAlignment="1">
      <alignment vertical="center" wrapText="1"/>
    </xf>
    <xf numFmtId="167" fontId="29" fillId="159" borderId="11" xfId="1" applyNumberFormat="1" applyFont="1" applyFill="1" applyBorder="1" applyAlignment="1">
      <alignment vertical="center" wrapText="1"/>
    </xf>
    <xf numFmtId="4" fontId="29" fillId="159" borderId="1" xfId="1" applyNumberFormat="1" applyFont="1" applyFill="1" applyBorder="1" applyAlignment="1">
      <alignment horizontal="right" vertical="center" wrapText="1"/>
    </xf>
    <xf numFmtId="0" fontId="73" fillId="0" borderId="0" xfId="3657" applyProtection="1">
      <protection locked="0"/>
    </xf>
    <xf numFmtId="0" fontId="74" fillId="0" borderId="31" xfId="42" applyNumberFormat="1" applyProtection="1">
      <alignment horizontal="left" vertical="top" wrapText="1"/>
    </xf>
    <xf numFmtId="0" fontId="77" fillId="0" borderId="30" xfId="40" applyNumberFormat="1" applyProtection="1">
      <alignment horizontal="left" vertical="top" wrapText="1"/>
    </xf>
    <xf numFmtId="0" fontId="77" fillId="0" borderId="30" xfId="35" applyNumberFormat="1" applyProtection="1">
      <alignment horizontal="left" vertical="top" wrapText="1"/>
    </xf>
    <xf numFmtId="0" fontId="73" fillId="5" borderId="0" xfId="3657" applyFill="1" applyProtection="1">
      <protection locked="0"/>
    </xf>
    <xf numFmtId="0" fontId="75" fillId="5" borderId="32" xfId="34" applyNumberFormat="1" applyFill="1" applyProtection="1">
      <alignment horizontal="right" vertical="top" shrinkToFit="1"/>
    </xf>
    <xf numFmtId="4" fontId="75" fillId="5" borderId="31" xfId="33" applyNumberFormat="1" applyFill="1" applyProtection="1">
      <alignment horizontal="right" vertical="top" shrinkToFit="1"/>
    </xf>
    <xf numFmtId="49" fontId="75" fillId="5" borderId="31" xfId="31" applyNumberFormat="1" applyFill="1" applyProtection="1">
      <alignment horizontal="center" vertical="top" shrinkToFit="1"/>
    </xf>
    <xf numFmtId="0" fontId="75" fillId="5" borderId="31" xfId="32" applyNumberFormat="1" applyFill="1" applyProtection="1">
      <alignment horizontal="left" vertical="top" wrapText="1"/>
    </xf>
    <xf numFmtId="0" fontId="75" fillId="5" borderId="30" xfId="30" applyNumberFormat="1" applyFill="1" applyProtection="1">
      <alignment horizontal="left" vertical="top" wrapText="1"/>
    </xf>
    <xf numFmtId="0" fontId="75" fillId="5" borderId="29" xfId="29" applyNumberFormat="1" applyFill="1" applyProtection="1">
      <alignment horizontal="right" vertical="top" shrinkToFit="1"/>
    </xf>
    <xf numFmtId="4" fontId="75" fillId="5" borderId="28" xfId="28" applyNumberFormat="1" applyFill="1" applyProtection="1">
      <alignment horizontal="right" vertical="top" shrinkToFit="1"/>
    </xf>
    <xf numFmtId="49" fontId="75" fillId="5" borderId="28" xfId="26" applyNumberFormat="1" applyFill="1" applyProtection="1">
      <alignment horizontal="center" vertical="top" shrinkToFit="1"/>
    </xf>
    <xf numFmtId="0" fontId="75" fillId="5" borderId="28" xfId="27" applyNumberFormat="1" applyFill="1" applyProtection="1">
      <alignment horizontal="left" vertical="top" wrapText="1"/>
    </xf>
    <xf numFmtId="0" fontId="75" fillId="5" borderId="27" xfId="25" applyNumberFormat="1" applyFill="1" applyProtection="1">
      <alignment horizontal="left" vertical="top" wrapText="1"/>
    </xf>
    <xf numFmtId="0" fontId="76" fillId="5" borderId="26" xfId="24" applyNumberFormat="1" applyFill="1" applyProtection="1">
      <alignment horizontal="right" vertical="top" shrinkToFit="1"/>
    </xf>
    <xf numFmtId="4" fontId="76" fillId="5" borderId="25" xfId="5525" applyNumberFormat="1" applyFill="1" applyProtection="1">
      <alignment horizontal="right" vertical="top" shrinkToFit="1"/>
    </xf>
    <xf numFmtId="49" fontId="76" fillId="5" borderId="25" xfId="5526" applyNumberFormat="1" applyFill="1" applyProtection="1">
      <alignment horizontal="center" vertical="top" shrinkToFit="1"/>
    </xf>
    <xf numFmtId="0" fontId="76" fillId="5" borderId="25" xfId="22" applyNumberFormat="1" applyFill="1" applyProtection="1">
      <alignment horizontal="left" vertical="top" wrapText="1"/>
    </xf>
    <xf numFmtId="0" fontId="76" fillId="5" borderId="24" xfId="20" applyNumberFormat="1" applyFill="1" applyProtection="1">
      <alignment horizontal="left" vertical="top" wrapText="1"/>
    </xf>
    <xf numFmtId="0" fontId="75" fillId="23" borderId="30" xfId="30" applyNumberFormat="1" applyProtection="1">
      <alignment horizontal="left" vertical="top" wrapText="1"/>
    </xf>
    <xf numFmtId="0" fontId="75" fillId="22" borderId="27" xfId="25" applyNumberFormat="1" applyProtection="1">
      <alignment horizontal="left" vertical="top" wrapText="1"/>
    </xf>
    <xf numFmtId="4" fontId="76" fillId="21" borderId="25" xfId="5525" applyNumberFormat="1" applyProtection="1">
      <alignment horizontal="right" vertical="top" shrinkToFit="1"/>
    </xf>
    <xf numFmtId="49" fontId="76" fillId="21" borderId="25" xfId="5526" applyNumberFormat="1" applyProtection="1">
      <alignment horizontal="center" vertical="top" shrinkToFit="1"/>
    </xf>
    <xf numFmtId="0" fontId="76" fillId="21" borderId="24" xfId="20" applyNumberFormat="1" applyProtection="1">
      <alignment horizontal="left" vertical="top" wrapText="1"/>
    </xf>
    <xf numFmtId="4" fontId="74" fillId="0" borderId="31" xfId="38" applyNumberFormat="1" applyFill="1" applyProtection="1">
      <alignment horizontal="right" vertical="top" shrinkToFit="1"/>
    </xf>
    <xf numFmtId="4" fontId="74" fillId="0" borderId="31" xfId="43" applyNumberFormat="1" applyFill="1" applyProtection="1">
      <alignment horizontal="right" vertical="top" shrinkToFit="1"/>
    </xf>
    <xf numFmtId="4" fontId="74" fillId="6" borderId="31" xfId="38" applyNumberFormat="1" applyFill="1" applyProtection="1">
      <alignment horizontal="right" vertical="top" shrinkToFit="1"/>
    </xf>
    <xf numFmtId="0" fontId="74" fillId="0" borderId="88" xfId="39" applyNumberFormat="1" applyBorder="1" applyProtection="1">
      <alignment horizontal="right" vertical="top" shrinkToFit="1"/>
    </xf>
    <xf numFmtId="4" fontId="74" fillId="0" borderId="89" xfId="43" applyNumberFormat="1" applyBorder="1" applyProtection="1">
      <alignment horizontal="right" vertical="top" shrinkToFit="1"/>
    </xf>
    <xf numFmtId="4" fontId="74" fillId="6" borderId="1" xfId="38" applyNumberFormat="1" applyFill="1" applyBorder="1" applyProtection="1">
      <alignment horizontal="right" vertical="top" shrinkToFit="1"/>
    </xf>
    <xf numFmtId="0" fontId="77" fillId="6" borderId="30" xfId="35" applyNumberFormat="1" applyFill="1" applyProtection="1">
      <alignment horizontal="left" vertical="top" wrapText="1"/>
    </xf>
    <xf numFmtId="49" fontId="74" fillId="6" borderId="31" xfId="36" applyNumberFormat="1" applyFill="1" applyProtection="1">
      <alignment horizontal="center" vertical="top" shrinkToFit="1"/>
    </xf>
    <xf numFmtId="0" fontId="74" fillId="6" borderId="31" xfId="37" applyNumberFormat="1" applyFill="1" applyProtection="1">
      <alignment horizontal="left" vertical="top" wrapText="1"/>
    </xf>
    <xf numFmtId="0" fontId="77" fillId="0" borderId="90" xfId="40" applyNumberFormat="1" applyBorder="1" applyProtection="1">
      <alignment horizontal="left" vertical="top" wrapText="1"/>
    </xf>
    <xf numFmtId="49" fontId="74" fillId="0" borderId="89" xfId="41" applyNumberFormat="1" applyBorder="1" applyProtection="1">
      <alignment horizontal="center" vertical="top" shrinkToFit="1"/>
    </xf>
    <xf numFmtId="0" fontId="74" fillId="0" borderId="89" xfId="42" applyNumberFormat="1" applyBorder="1" applyProtection="1">
      <alignment horizontal="left" vertical="top" wrapText="1"/>
    </xf>
    <xf numFmtId="0" fontId="77" fillId="6" borderId="1" xfId="35" applyNumberFormat="1" applyFill="1" applyBorder="1" applyProtection="1">
      <alignment horizontal="left" vertical="top" wrapText="1"/>
    </xf>
    <xf numFmtId="49" fontId="74" fillId="6" borderId="1" xfId="36" applyNumberFormat="1" applyFill="1" applyBorder="1" applyProtection="1">
      <alignment horizontal="center" vertical="top" shrinkToFit="1"/>
    </xf>
    <xf numFmtId="0" fontId="74" fillId="6" borderId="1" xfId="37" applyNumberFormat="1" applyFill="1" applyBorder="1" applyProtection="1">
      <alignment horizontal="left" vertical="top" wrapText="1"/>
    </xf>
    <xf numFmtId="4" fontId="74" fillId="0" borderId="89" xfId="43" applyNumberFormat="1" applyFill="1" applyBorder="1" applyProtection="1">
      <alignment horizontal="right" vertical="top" shrinkToFit="1"/>
    </xf>
    <xf numFmtId="0" fontId="74" fillId="6" borderId="31" xfId="42" applyNumberFormat="1" applyFill="1" applyProtection="1">
      <alignment horizontal="left" vertical="top" wrapText="1"/>
    </xf>
    <xf numFmtId="0" fontId="74" fillId="0" borderId="31" xfId="42" applyNumberFormat="1" applyFill="1" applyProtection="1">
      <alignment horizontal="left" vertical="top" wrapText="1"/>
    </xf>
    <xf numFmtId="49" fontId="74" fillId="6" borderId="31" xfId="41" applyNumberFormat="1" applyFill="1" applyProtection="1">
      <alignment horizontal="center" vertical="top" shrinkToFit="1"/>
    </xf>
    <xf numFmtId="4" fontId="74" fillId="6" borderId="31" xfId="43" applyNumberFormat="1" applyFill="1" applyProtection="1">
      <alignment horizontal="right" vertical="top" shrinkToFit="1"/>
    </xf>
    <xf numFmtId="0" fontId="77" fillId="0" borderId="30" xfId="35" applyNumberFormat="1" applyFill="1" applyProtection="1">
      <alignment horizontal="left" vertical="top" wrapText="1"/>
    </xf>
    <xf numFmtId="49" fontId="74" fillId="0" borderId="31" xfId="36" applyNumberFormat="1" applyFill="1" applyProtection="1">
      <alignment horizontal="center" vertical="top" shrinkToFit="1"/>
    </xf>
    <xf numFmtId="0" fontId="74" fillId="0" borderId="31" xfId="37" applyNumberFormat="1" applyFill="1" applyProtection="1">
      <alignment horizontal="left" vertical="top" wrapText="1"/>
    </xf>
    <xf numFmtId="0" fontId="77" fillId="6" borderId="30" xfId="40" applyNumberFormat="1" applyFill="1" applyProtection="1">
      <alignment horizontal="left" vertical="top" wrapText="1"/>
    </xf>
    <xf numFmtId="0" fontId="126" fillId="155" borderId="73" xfId="56" applyFont="1" applyFill="1" applyBorder="1" applyAlignment="1">
      <alignment horizontal="center" vertical="center" wrapText="1"/>
    </xf>
    <xf numFmtId="165" fontId="133" fillId="155" borderId="73" xfId="56" applyNumberFormat="1" applyFont="1" applyFill="1" applyBorder="1" applyAlignment="1">
      <alignment horizontal="right" vertical="center" wrapText="1"/>
    </xf>
    <xf numFmtId="165" fontId="133" fillId="155" borderId="73" xfId="56" applyNumberFormat="1" applyFont="1" applyFill="1" applyBorder="1" applyAlignment="1">
      <alignment vertical="center" wrapText="1"/>
    </xf>
    <xf numFmtId="0" fontId="1" fillId="0" borderId="0" xfId="0" applyFont="1" applyFill="1" applyAlignment="1">
      <alignment vertical="center"/>
    </xf>
    <xf numFmtId="167" fontId="1" fillId="0" borderId="0" xfId="0" applyNumberFormat="1" applyFont="1" applyFill="1" applyAlignment="1">
      <alignment horizontal="right" vertical="center"/>
    </xf>
    <xf numFmtId="0" fontId="1" fillId="2" borderId="0" xfId="0" applyFont="1" applyFill="1"/>
    <xf numFmtId="4" fontId="20" fillId="159" borderId="1" xfId="0" applyNumberFormat="1" applyFont="1" applyFill="1" applyBorder="1" applyAlignment="1">
      <alignment vertical="center" wrapText="1"/>
    </xf>
    <xf numFmtId="4" fontId="74" fillId="0" borderId="91" xfId="43" applyNumberFormat="1" applyBorder="1" applyProtection="1">
      <alignment horizontal="right" vertical="top" shrinkToFit="1"/>
    </xf>
    <xf numFmtId="4" fontId="74" fillId="6" borderId="0" xfId="38" applyNumberFormat="1" applyFill="1" applyBorder="1" applyProtection="1">
      <alignment horizontal="right" vertical="top" shrinkToFit="1"/>
    </xf>
    <xf numFmtId="4" fontId="74" fillId="0" borderId="91" xfId="43" applyNumberFormat="1" applyFill="1" applyBorder="1" applyProtection="1">
      <alignment horizontal="right" vertical="top" shrinkToFit="1"/>
    </xf>
    <xf numFmtId="0" fontId="126" fillId="155" borderId="73" xfId="56" applyFont="1" applyFill="1" applyBorder="1" applyAlignment="1">
      <alignment horizontal="center" vertical="center" wrapText="1"/>
    </xf>
    <xf numFmtId="4" fontId="17" fillId="159" borderId="1" xfId="0" applyNumberFormat="1" applyFont="1" applyFill="1" applyBorder="1" applyAlignment="1">
      <alignment horizontal="right" vertical="center" wrapText="1"/>
    </xf>
    <xf numFmtId="4" fontId="22" fillId="159" borderId="11" xfId="1" applyNumberFormat="1" applyFont="1" applyFill="1" applyBorder="1" applyAlignment="1">
      <alignment horizontal="right" vertical="center" wrapText="1"/>
    </xf>
    <xf numFmtId="0" fontId="32" fillId="159" borderId="1" xfId="0" applyFont="1" applyFill="1" applyBorder="1" applyAlignment="1">
      <alignment horizontal="center" vertical="center" wrapText="1"/>
    </xf>
    <xf numFmtId="4" fontId="32" fillId="159" borderId="1" xfId="0" applyNumberFormat="1" applyFont="1" applyFill="1" applyBorder="1" applyAlignment="1">
      <alignment horizontal="right" vertical="center" wrapText="1"/>
    </xf>
    <xf numFmtId="4" fontId="32" fillId="159" borderId="1" xfId="1" applyNumberFormat="1" applyFont="1" applyFill="1" applyBorder="1" applyAlignment="1">
      <alignment horizontal="right" vertical="center" wrapText="1"/>
    </xf>
    <xf numFmtId="4" fontId="104" fillId="159" borderId="1" xfId="1" applyNumberFormat="1" applyFont="1" applyFill="1" applyBorder="1" applyAlignment="1">
      <alignment horizontal="right" vertical="center" wrapText="1"/>
    </xf>
    <xf numFmtId="4" fontId="104" fillId="0" borderId="1" xfId="1" applyNumberFormat="1" applyFont="1" applyFill="1" applyBorder="1" applyAlignment="1">
      <alignment horizontal="right" vertical="center" wrapText="1"/>
    </xf>
    <xf numFmtId="0" fontId="126" fillId="155" borderId="73" xfId="56" applyFont="1" applyFill="1" applyBorder="1" applyAlignment="1">
      <alignment horizontal="center" vertical="center" wrapText="1"/>
    </xf>
    <xf numFmtId="0" fontId="126" fillId="155" borderId="73" xfId="56" applyFont="1" applyFill="1" applyBorder="1" applyAlignment="1">
      <alignment horizontal="center" vertical="center" wrapText="1"/>
    </xf>
    <xf numFmtId="165" fontId="14" fillId="155" borderId="73" xfId="56" applyNumberFormat="1" applyFont="1" applyFill="1" applyBorder="1" applyAlignment="1">
      <alignment vertical="center" wrapText="1"/>
    </xf>
    <xf numFmtId="165" fontId="14" fillId="155" borderId="73" xfId="56" applyNumberFormat="1" applyFont="1" applyFill="1" applyBorder="1" applyAlignment="1">
      <alignment horizontal="right" vertical="center" wrapText="1"/>
    </xf>
    <xf numFmtId="0" fontId="126" fillId="155" borderId="73" xfId="56" applyFont="1" applyFill="1" applyBorder="1" applyAlignment="1">
      <alignment horizontal="center" vertical="center" wrapText="1"/>
    </xf>
    <xf numFmtId="4" fontId="20" fillId="159" borderId="1" xfId="0" applyNumberFormat="1" applyFont="1" applyFill="1" applyBorder="1" applyAlignment="1">
      <alignment horizontal="right" vertical="center" wrapText="1"/>
    </xf>
    <xf numFmtId="0" fontId="126" fillId="155" borderId="73" xfId="56" applyFont="1" applyFill="1" applyBorder="1" applyAlignment="1">
      <alignment horizontal="center" vertical="center" wrapText="1"/>
    </xf>
    <xf numFmtId="0" fontId="129" fillId="155" borderId="73" xfId="56" applyFont="1" applyFill="1" applyBorder="1" applyAlignment="1">
      <alignment horizontal="center" vertical="center" wrapText="1"/>
    </xf>
    <xf numFmtId="4" fontId="29" fillId="0" borderId="1" xfId="1" applyNumberFormat="1" applyFont="1" applyFill="1" applyBorder="1" applyAlignment="1">
      <alignment horizontal="right" wrapText="1"/>
    </xf>
    <xf numFmtId="167" fontId="29" fillId="0" borderId="11" xfId="1" applyNumberFormat="1" applyFont="1" applyFill="1" applyBorder="1" applyAlignment="1">
      <alignment wrapText="1"/>
    </xf>
    <xf numFmtId="4" fontId="20" fillId="159" borderId="1" xfId="0" applyNumberFormat="1" applyFont="1" applyFill="1" applyBorder="1" applyAlignment="1">
      <alignment horizontal="right" wrapText="1"/>
    </xf>
    <xf numFmtId="165" fontId="20" fillId="159" borderId="1" xfId="0" applyNumberFormat="1" applyFont="1" applyFill="1" applyBorder="1" applyAlignment="1">
      <alignment horizontal="right"/>
    </xf>
    <xf numFmtId="2" fontId="20" fillId="159" borderId="9" xfId="0" applyNumberFormat="1" applyFont="1" applyFill="1" applyBorder="1" applyAlignment="1">
      <alignment horizontal="right" wrapText="1"/>
    </xf>
    <xf numFmtId="165" fontId="20" fillId="159" borderId="1" xfId="0" applyNumberFormat="1" applyFont="1" applyFill="1" applyBorder="1" applyAlignment="1">
      <alignment horizontal="right" wrapText="1"/>
    </xf>
    <xf numFmtId="165" fontId="20" fillId="159" borderId="1" xfId="0" applyNumberFormat="1" applyFont="1" applyFill="1" applyBorder="1" applyAlignment="1">
      <alignment horizontal="center" vertical="top" wrapText="1"/>
    </xf>
    <xf numFmtId="4" fontId="29" fillId="159" borderId="1" xfId="1" applyNumberFormat="1" applyFont="1" applyFill="1" applyBorder="1" applyAlignment="1">
      <alignment horizontal="right" wrapText="1"/>
    </xf>
    <xf numFmtId="167" fontId="29" fillId="159" borderId="11" xfId="1" applyNumberFormat="1" applyFont="1" applyFill="1" applyBorder="1" applyAlignment="1">
      <alignment wrapText="1"/>
    </xf>
    <xf numFmtId="4" fontId="125" fillId="155" borderId="73" xfId="56" applyNumberFormat="1" applyFont="1" applyFill="1" applyBorder="1" applyAlignment="1">
      <alignment vertical="center" wrapText="1"/>
    </xf>
    <xf numFmtId="4" fontId="125" fillId="155" borderId="73" xfId="56" applyNumberFormat="1" applyFont="1" applyFill="1" applyBorder="1" applyAlignment="1">
      <alignment horizontal="right" vertical="center" wrapText="1"/>
    </xf>
    <xf numFmtId="4" fontId="74" fillId="159" borderId="31" xfId="38" applyNumberFormat="1" applyFill="1" applyProtection="1">
      <alignment horizontal="right" vertical="top" shrinkToFit="1"/>
    </xf>
    <xf numFmtId="4" fontId="74" fillId="159" borderId="1" xfId="38" applyNumberFormat="1" applyFill="1" applyBorder="1" applyProtection="1">
      <alignment horizontal="right" vertical="top" shrinkToFit="1"/>
    </xf>
    <xf numFmtId="4" fontId="74" fillId="159" borderId="0" xfId="38" applyNumberFormat="1" applyFill="1" applyBorder="1" applyProtection="1">
      <alignment horizontal="right" vertical="top" shrinkToFit="1"/>
    </xf>
    <xf numFmtId="4" fontId="74" fillId="102" borderId="31" xfId="43" applyNumberFormat="1" applyFill="1" applyProtection="1">
      <alignment horizontal="right" vertical="top" shrinkToFit="1"/>
    </xf>
    <xf numFmtId="0" fontId="0" fillId="159" borderId="4" xfId="0" applyFont="1" applyFill="1" applyBorder="1" applyAlignment="1">
      <alignment horizontal="center" vertical="center"/>
    </xf>
    <xf numFmtId="0" fontId="0" fillId="159" borderId="5" xfId="0" applyFont="1" applyFill="1" applyBorder="1" applyAlignment="1">
      <alignment horizontal="center" vertical="center"/>
    </xf>
    <xf numFmtId="0" fontId="0" fillId="159" borderId="6" xfId="0" applyFont="1" applyFill="1" applyBorder="1" applyAlignment="1">
      <alignment horizontal="center" vertical="center"/>
    </xf>
    <xf numFmtId="0" fontId="1" fillId="0" borderId="4" xfId="0" applyFont="1" applyFill="1" applyBorder="1" applyAlignment="1">
      <alignment horizontal="center" vertical="center" wrapText="1"/>
    </xf>
    <xf numFmtId="4" fontId="22" fillId="0" borderId="1" xfId="0" applyNumberFormat="1" applyFont="1" applyFill="1" applyBorder="1" applyAlignment="1">
      <alignment vertical="center" wrapText="1"/>
    </xf>
    <xf numFmtId="4" fontId="22" fillId="2" borderId="4" xfId="0" applyNumberFormat="1" applyFont="1" applyFill="1" applyBorder="1" applyAlignment="1">
      <alignment vertical="center" wrapText="1"/>
    </xf>
    <xf numFmtId="167" fontId="22" fillId="2" borderId="12" xfId="1" applyNumberFormat="1" applyFont="1" applyFill="1" applyBorder="1" applyAlignment="1">
      <alignment vertical="center" wrapText="1"/>
    </xf>
    <xf numFmtId="4" fontId="17" fillId="2" borderId="4" xfId="0" applyNumberFormat="1" applyFont="1" applyFill="1" applyBorder="1" applyAlignment="1">
      <alignment vertical="center" wrapText="1"/>
    </xf>
    <xf numFmtId="4" fontId="22" fillId="2" borderId="1" xfId="1" applyNumberFormat="1" applyFont="1" applyFill="1" applyBorder="1" applyAlignment="1">
      <alignment vertical="center" wrapText="1"/>
    </xf>
    <xf numFmtId="4" fontId="29" fillId="2" borderId="1" xfId="1" applyNumberFormat="1" applyFont="1" applyFill="1" applyBorder="1" applyAlignment="1">
      <alignment vertical="center" wrapText="1"/>
    </xf>
    <xf numFmtId="3" fontId="22" fillId="12" borderId="1" xfId="1" applyNumberFormat="1" applyFont="1" applyFill="1" applyBorder="1" applyAlignment="1">
      <alignment horizontal="right" vertical="center" wrapText="1"/>
    </xf>
    <xf numFmtId="0" fontId="17" fillId="2" borderId="9" xfId="0" applyFont="1" applyFill="1" applyBorder="1" applyAlignment="1">
      <alignment horizontal="center" vertical="center" wrapText="1"/>
    </xf>
    <xf numFmtId="0" fontId="20" fillId="2" borderId="9" xfId="0" applyFont="1" applyFill="1" applyBorder="1" applyAlignment="1">
      <alignment horizontal="center" vertical="center" wrapText="1"/>
    </xf>
    <xf numFmtId="0" fontId="29" fillId="2" borderId="9" xfId="0" applyFont="1" applyFill="1" applyBorder="1" applyAlignment="1">
      <alignment horizontal="center" vertical="center" wrapText="1"/>
    </xf>
    <xf numFmtId="4" fontId="29" fillId="2" borderId="1" xfId="1" applyNumberFormat="1" applyFont="1" applyFill="1" applyBorder="1" applyAlignment="1">
      <alignment horizontal="right" vertical="center" wrapText="1"/>
    </xf>
    <xf numFmtId="4" fontId="20" fillId="2" borderId="1" xfId="0" applyNumberFormat="1" applyFont="1" applyFill="1" applyBorder="1" applyAlignment="1">
      <alignment horizontal="right" vertical="center" wrapText="1"/>
    </xf>
    <xf numFmtId="0" fontId="27" fillId="5" borderId="1" xfId="0" applyFont="1" applyFill="1" applyBorder="1" applyAlignment="1">
      <alignment horizontal="left" vertical="top" wrapText="1"/>
    </xf>
    <xf numFmtId="4" fontId="22" fillId="2" borderId="1" xfId="0" applyNumberFormat="1" applyFont="1" applyFill="1" applyBorder="1" applyAlignment="1">
      <alignment horizontal="right" vertical="center" wrapText="1"/>
    </xf>
    <xf numFmtId="4" fontId="17" fillId="2" borderId="1" xfId="0" applyNumberFormat="1" applyFont="1" applyFill="1" applyBorder="1" applyAlignment="1">
      <alignment horizontal="right" vertical="top" wrapText="1"/>
    </xf>
    <xf numFmtId="165" fontId="17" fillId="2" borderId="1" xfId="0" applyNumberFormat="1" applyFont="1" applyFill="1" applyBorder="1" applyAlignment="1">
      <alignment horizontal="center" vertical="top" wrapText="1"/>
    </xf>
    <xf numFmtId="4" fontId="32" fillId="2" borderId="0" xfId="0" applyNumberFormat="1" applyFont="1" applyFill="1"/>
    <xf numFmtId="0" fontId="17" fillId="156" borderId="9" xfId="0" applyFont="1" applyFill="1" applyBorder="1" applyAlignment="1">
      <alignment horizontal="center" vertical="center" wrapText="1"/>
    </xf>
    <xf numFmtId="0" fontId="1" fillId="5" borderId="5" xfId="0" applyFont="1" applyFill="1" applyBorder="1" applyAlignment="1">
      <alignment horizontal="center" vertical="center" wrapText="1"/>
    </xf>
    <xf numFmtId="4" fontId="17" fillId="156" borderId="1" xfId="1" applyNumberFormat="1" applyFont="1" applyFill="1" applyBorder="1" applyAlignment="1">
      <alignment horizontal="right" vertical="center" wrapText="1"/>
    </xf>
    <xf numFmtId="4" fontId="22" fillId="156" borderId="1" xfId="1" applyNumberFormat="1" applyFont="1" applyFill="1" applyBorder="1" applyAlignment="1">
      <alignment horizontal="right" vertical="center" wrapText="1"/>
    </xf>
    <xf numFmtId="165" fontId="17" fillId="156" borderId="9" xfId="0" applyNumberFormat="1" applyFont="1" applyFill="1" applyBorder="1" applyAlignment="1">
      <alignment horizontal="center" vertical="top" wrapText="1"/>
    </xf>
    <xf numFmtId="0" fontId="22" fillId="12" borderId="9" xfId="0" applyFont="1" applyFill="1" applyBorder="1" applyAlignment="1">
      <alignment horizontal="center" vertical="center" wrapText="1"/>
    </xf>
    <xf numFmtId="0" fontId="11" fillId="2" borderId="0" xfId="0" applyFont="1" applyFill="1" applyAlignment="1">
      <alignment horizontal="center" vertical="center"/>
    </xf>
    <xf numFmtId="0" fontId="17" fillId="2" borderId="0" xfId="2" applyFont="1" applyFill="1"/>
    <xf numFmtId="0" fontId="17" fillId="2" borderId="0" xfId="2" applyFont="1" applyFill="1" applyAlignment="1">
      <alignment horizontal="center"/>
    </xf>
    <xf numFmtId="165" fontId="17" fillId="2" borderId="0" xfId="2" applyNumberFormat="1" applyFont="1" applyFill="1" applyAlignment="1">
      <alignment horizontal="center"/>
    </xf>
    <xf numFmtId="165" fontId="17" fillId="2" borderId="0" xfId="2" applyNumberFormat="1" applyFont="1" applyFill="1"/>
    <xf numFmtId="165" fontId="17" fillId="2" borderId="0" xfId="2" applyNumberFormat="1" applyFont="1" applyFill="1" applyAlignment="1">
      <alignment horizontal="right" vertical="center"/>
    </xf>
    <xf numFmtId="165" fontId="17" fillId="2" borderId="0" xfId="2" applyNumberFormat="1" applyFont="1" applyFill="1" applyAlignment="1">
      <alignment horizontal="center" vertical="center"/>
    </xf>
    <xf numFmtId="167" fontId="17" fillId="5" borderId="0" xfId="3" applyNumberFormat="1" applyFont="1" applyFill="1" applyAlignment="1">
      <alignment horizontal="center"/>
    </xf>
    <xf numFmtId="9" fontId="17" fillId="5" borderId="0" xfId="3" applyFont="1" applyFill="1" applyAlignment="1">
      <alignment horizontal="center"/>
    </xf>
    <xf numFmtId="165" fontId="17" fillId="5" borderId="0" xfId="3" applyNumberFormat="1" applyFont="1" applyFill="1" applyAlignment="1">
      <alignment horizontal="center"/>
    </xf>
    <xf numFmtId="0" fontId="17" fillId="2" borderId="0" xfId="2" applyFont="1" applyFill="1" applyAlignment="1">
      <alignment horizontal="right" vertical="center"/>
    </xf>
    <xf numFmtId="0" fontId="25" fillId="2" borderId="0" xfId="4" applyFill="1"/>
    <xf numFmtId="0" fontId="24" fillId="2" borderId="0" xfId="2" applyFill="1"/>
    <xf numFmtId="0" fontId="24" fillId="2" borderId="0" xfId="2" applyFill="1" applyAlignment="1">
      <alignment horizontal="center"/>
    </xf>
    <xf numFmtId="165" fontId="24" fillId="2" borderId="0" xfId="2" applyNumberFormat="1" applyFill="1" applyAlignment="1">
      <alignment horizontal="center"/>
    </xf>
    <xf numFmtId="165" fontId="24" fillId="2" borderId="0" xfId="2" applyNumberFormat="1" applyFill="1"/>
    <xf numFmtId="165" fontId="24" fillId="2" borderId="0" xfId="2" applyNumberFormat="1" applyFill="1" applyAlignment="1">
      <alignment horizontal="right"/>
    </xf>
    <xf numFmtId="167" fontId="19" fillId="5" borderId="0" xfId="3" applyNumberFormat="1" applyFill="1" applyAlignment="1">
      <alignment horizontal="center"/>
    </xf>
    <xf numFmtId="9" fontId="19" fillId="5" borderId="0" xfId="3" applyFill="1" applyAlignment="1">
      <alignment horizontal="center"/>
    </xf>
    <xf numFmtId="165" fontId="19" fillId="5" borderId="0" xfId="3" applyNumberFormat="1" applyFill="1" applyAlignment="1">
      <alignment horizontal="center"/>
    </xf>
    <xf numFmtId="4" fontId="30" fillId="2" borderId="4" xfId="0" applyNumberFormat="1" applyFont="1" applyFill="1" applyBorder="1" applyAlignment="1" applyProtection="1">
      <alignment horizontal="center" vertical="center" wrapText="1"/>
      <protection locked="0"/>
    </xf>
    <xf numFmtId="4" fontId="30" fillId="2" borderId="1" xfId="0" applyNumberFormat="1" applyFont="1" applyFill="1" applyBorder="1" applyAlignment="1" applyProtection="1">
      <alignment horizontal="center" vertical="center" wrapText="1"/>
      <protection locked="0"/>
    </xf>
    <xf numFmtId="165" fontId="30" fillId="2" borderId="1" xfId="2" applyNumberFormat="1" applyFont="1" applyFill="1" applyBorder="1" applyAlignment="1" applyProtection="1">
      <alignment horizontal="center" vertical="center" wrapText="1"/>
      <protection locked="0"/>
    </xf>
    <xf numFmtId="167" fontId="30" fillId="5" borderId="1" xfId="3" applyNumberFormat="1" applyFont="1" applyFill="1" applyBorder="1" applyAlignment="1" applyProtection="1">
      <alignment horizontal="center" vertical="center" wrapText="1"/>
      <protection locked="0"/>
    </xf>
    <xf numFmtId="0" fontId="70" fillId="2" borderId="1" xfId="5" applyFont="1" applyFill="1" applyBorder="1" applyAlignment="1">
      <alignment horizontal="center" vertical="center" wrapText="1"/>
    </xf>
    <xf numFmtId="165" fontId="30" fillId="2" borderId="1" xfId="5" applyNumberFormat="1" applyFont="1" applyFill="1" applyBorder="1" applyAlignment="1">
      <alignment horizontal="right" vertical="center" wrapText="1"/>
    </xf>
    <xf numFmtId="165" fontId="30" fillId="5" borderId="1" xfId="5" applyNumberFormat="1" applyFont="1" applyFill="1" applyBorder="1" applyAlignment="1">
      <alignment horizontal="right" vertical="center" wrapText="1"/>
    </xf>
    <xf numFmtId="0" fontId="30" fillId="2" borderId="1" xfId="5" applyFont="1" applyFill="1" applyBorder="1" applyAlignment="1">
      <alignment horizontal="center" vertical="center" wrapText="1"/>
    </xf>
    <xf numFmtId="0" fontId="30" fillId="2" borderId="1" xfId="5" applyFont="1" applyFill="1" applyBorder="1" applyAlignment="1">
      <alignment horizontal="left" vertical="center" wrapText="1"/>
    </xf>
    <xf numFmtId="0" fontId="30" fillId="2" borderId="1" xfId="5" applyFont="1" applyFill="1" applyBorder="1" applyAlignment="1">
      <alignment horizontal="left" vertical="center"/>
    </xf>
    <xf numFmtId="165" fontId="30" fillId="2" borderId="1" xfId="5" applyNumberFormat="1" applyFont="1" applyFill="1" applyBorder="1" applyAlignment="1">
      <alignment horizontal="center" vertical="center" wrapText="1"/>
    </xf>
    <xf numFmtId="165" fontId="30" fillId="2" borderId="1" xfId="5" applyNumberFormat="1" applyFont="1" applyFill="1" applyBorder="1" applyAlignment="1">
      <alignment horizontal="left" vertical="center" wrapText="1"/>
    </xf>
    <xf numFmtId="167" fontId="30" fillId="5" borderId="1" xfId="5" applyNumberFormat="1" applyFont="1" applyFill="1" applyBorder="1" applyAlignment="1">
      <alignment horizontal="center" vertical="center" wrapText="1"/>
    </xf>
    <xf numFmtId="0" fontId="30" fillId="5" borderId="1" xfId="5" applyFont="1" applyFill="1" applyBorder="1" applyAlignment="1">
      <alignment horizontal="left" vertical="center" wrapText="1"/>
    </xf>
    <xf numFmtId="165" fontId="30" fillId="5" borderId="1" xfId="5" applyNumberFormat="1" applyFont="1" applyFill="1" applyBorder="1" applyAlignment="1">
      <alignment horizontal="left" vertical="center" wrapText="1"/>
    </xf>
    <xf numFmtId="0" fontId="253" fillId="2" borderId="1" xfId="5" applyFont="1" applyFill="1" applyBorder="1" applyAlignment="1">
      <alignment horizontal="center" vertical="center" wrapText="1"/>
    </xf>
    <xf numFmtId="165" fontId="31" fillId="2" borderId="6" xfId="5" applyNumberFormat="1" applyFont="1" applyFill="1" applyBorder="1" applyAlignment="1">
      <alignment horizontal="right" wrapText="1"/>
    </xf>
    <xf numFmtId="0" fontId="31" fillId="2" borderId="1" xfId="5" applyFont="1" applyFill="1" applyBorder="1" applyAlignment="1">
      <alignment horizontal="center" vertical="center" wrapText="1"/>
    </xf>
    <xf numFmtId="165" fontId="31" fillId="2" borderId="4" xfId="5" applyNumberFormat="1" applyFont="1" applyFill="1" applyBorder="1" applyAlignment="1">
      <alignment horizontal="right" wrapText="1"/>
    </xf>
    <xf numFmtId="165" fontId="31" fillId="2" borderId="1" xfId="4" applyNumberFormat="1" applyFont="1" applyFill="1" applyBorder="1" applyAlignment="1">
      <alignment horizontal="right" wrapText="1"/>
    </xf>
    <xf numFmtId="0" fontId="25" fillId="2" borderId="0" xfId="4" applyFill="1" applyBorder="1"/>
    <xf numFmtId="0" fontId="25" fillId="2" borderId="1" xfId="4" applyFill="1" applyBorder="1"/>
    <xf numFmtId="165" fontId="31" fillId="2" borderId="4" xfId="4" applyNumberFormat="1" applyFont="1" applyFill="1" applyBorder="1" applyAlignment="1">
      <alignment horizontal="right"/>
    </xf>
    <xf numFmtId="165" fontId="31" fillId="2" borderId="1" xfId="4" applyNumberFormat="1" applyFont="1" applyFill="1" applyBorder="1" applyAlignment="1">
      <alignment horizontal="right"/>
    </xf>
    <xf numFmtId="0" fontId="25" fillId="2" borderId="4" xfId="4" applyFill="1" applyBorder="1" applyAlignment="1">
      <alignment horizontal="center"/>
    </xf>
    <xf numFmtId="0" fontId="25" fillId="2" borderId="5" xfId="4" applyFill="1" applyBorder="1" applyAlignment="1">
      <alignment horizontal="center"/>
    </xf>
    <xf numFmtId="0" fontId="25" fillId="2" borderId="6" xfId="4" applyFill="1" applyBorder="1" applyAlignment="1">
      <alignment horizontal="center"/>
    </xf>
    <xf numFmtId="165" fontId="25" fillId="2" borderId="0" xfId="4" applyNumberFormat="1" applyFill="1"/>
    <xf numFmtId="0" fontId="25" fillId="2" borderId="0" xfId="4" applyFill="1" applyAlignment="1">
      <alignment horizontal="center"/>
    </xf>
    <xf numFmtId="165" fontId="25" fillId="2" borderId="0" xfId="4" applyNumberFormat="1" applyFill="1" applyAlignment="1">
      <alignment horizontal="right"/>
    </xf>
    <xf numFmtId="0" fontId="25" fillId="5" borderId="0" xfId="4" applyFill="1" applyAlignment="1">
      <alignment horizontal="center"/>
    </xf>
    <xf numFmtId="0" fontId="25" fillId="5" borderId="0" xfId="4" applyFill="1"/>
    <xf numFmtId="0" fontId="148" fillId="2" borderId="0" xfId="2945" applyFill="1"/>
    <xf numFmtId="0" fontId="45" fillId="2" borderId="0" xfId="2945" applyFont="1" applyFill="1" applyAlignment="1">
      <alignment horizontal="center"/>
    </xf>
    <xf numFmtId="0" fontId="46" fillId="2" borderId="0" xfId="2945" applyFont="1" applyFill="1" applyAlignment="1">
      <alignment horizontal="center"/>
    </xf>
    <xf numFmtId="0" fontId="37" fillId="2" borderId="9" xfId="2945" applyFont="1" applyFill="1" applyBorder="1" applyAlignment="1">
      <alignment horizontal="center" vertical="center" wrapText="1"/>
    </xf>
    <xf numFmtId="0" fontId="29" fillId="2" borderId="9" xfId="2945" applyFont="1" applyFill="1" applyBorder="1" applyAlignment="1">
      <alignment horizontal="center" vertical="center" wrapText="1"/>
    </xf>
    <xf numFmtId="0" fontId="37" fillId="2" borderId="1" xfId="2945" applyFont="1" applyFill="1" applyBorder="1" applyAlignment="1">
      <alignment horizontal="center" vertical="center" wrapText="1"/>
    </xf>
    <xf numFmtId="0" fontId="37" fillId="2" borderId="6" xfId="2945" applyFont="1" applyFill="1" applyBorder="1" applyAlignment="1">
      <alignment horizontal="center" vertical="center" wrapText="1"/>
    </xf>
    <xf numFmtId="0" fontId="47" fillId="2" borderId="6" xfId="2945" applyFont="1" applyFill="1" applyBorder="1" applyAlignment="1">
      <alignment horizontal="center" vertical="center" wrapText="1"/>
    </xf>
    <xf numFmtId="0" fontId="47" fillId="2" borderId="6" xfId="2945" applyFont="1" applyFill="1" applyBorder="1" applyAlignment="1">
      <alignment horizontal="center" vertical="center"/>
    </xf>
    <xf numFmtId="0" fontId="47" fillId="2" borderId="4" xfId="2945" applyFont="1" applyFill="1" applyBorder="1" applyAlignment="1">
      <alignment horizontal="center" vertical="center" wrapText="1"/>
    </xf>
    <xf numFmtId="0" fontId="47" fillId="2" borderId="5" xfId="2945" applyFont="1" applyFill="1" applyBorder="1" applyAlignment="1">
      <alignment horizontal="center" vertical="center" wrapText="1"/>
    </xf>
    <xf numFmtId="0" fontId="47" fillId="2" borderId="1" xfId="2945" applyFont="1" applyFill="1" applyBorder="1" applyAlignment="1">
      <alignment horizontal="center" vertical="center" wrapText="1"/>
    </xf>
    <xf numFmtId="43" fontId="148" fillId="2" borderId="0" xfId="2945" applyNumberFormat="1" applyFill="1"/>
    <xf numFmtId="164" fontId="48" fillId="161" borderId="1" xfId="2945" applyNumberFormat="1" applyFont="1" applyFill="1" applyBorder="1" applyAlignment="1">
      <alignment horizontal="center" vertical="center" wrapText="1"/>
    </xf>
    <xf numFmtId="168" fontId="48" fillId="161" borderId="1" xfId="5527" applyFont="1" applyFill="1" applyBorder="1" applyAlignment="1">
      <alignment vertical="center"/>
    </xf>
    <xf numFmtId="164" fontId="48" fillId="161" borderId="1" xfId="2945" applyNumberFormat="1" applyFont="1" applyFill="1" applyBorder="1" applyAlignment="1">
      <alignment horizontal="right" vertical="center"/>
    </xf>
    <xf numFmtId="168" fontId="10" fillId="2" borderId="1" xfId="5527" applyFont="1" applyFill="1" applyBorder="1" applyAlignment="1">
      <alignment horizontal="center" vertical="center"/>
    </xf>
    <xf numFmtId="0" fontId="37" fillId="2" borderId="1" xfId="2945" applyFont="1" applyFill="1" applyBorder="1" applyAlignment="1">
      <alignment horizontal="right" vertical="center"/>
    </xf>
    <xf numFmtId="0" fontId="49" fillId="2" borderId="1" xfId="2945" applyFont="1" applyFill="1" applyBorder="1" applyAlignment="1">
      <alignment vertical="center" wrapText="1"/>
    </xf>
    <xf numFmtId="168" fontId="37" fillId="2" borderId="4" xfId="5527" applyFont="1" applyFill="1" applyBorder="1" applyAlignment="1">
      <alignment vertical="center"/>
    </xf>
    <xf numFmtId="168" fontId="48" fillId="2" borderId="1" xfId="5527" applyFont="1" applyFill="1" applyBorder="1" applyAlignment="1">
      <alignment vertical="center"/>
    </xf>
    <xf numFmtId="164" fontId="37" fillId="2" borderId="1" xfId="2945" applyNumberFormat="1" applyFont="1" applyFill="1" applyBorder="1" applyAlignment="1">
      <alignment horizontal="right" vertical="center"/>
    </xf>
    <xf numFmtId="0" fontId="10" fillId="2" borderId="1" xfId="2945" applyFont="1" applyFill="1" applyBorder="1" applyAlignment="1">
      <alignment vertical="center" wrapText="1"/>
    </xf>
    <xf numFmtId="0" fontId="52" fillId="2" borderId="1" xfId="2945" applyFont="1" applyFill="1" applyBorder="1" applyAlignment="1">
      <alignment horizontal="left" vertical="center" wrapText="1"/>
    </xf>
    <xf numFmtId="168" fontId="36" fillId="2" borderId="1" xfId="5527" applyFont="1" applyFill="1" applyBorder="1" applyAlignment="1">
      <alignment vertical="center"/>
    </xf>
    <xf numFmtId="164" fontId="36" fillId="2" borderId="1" xfId="2945" applyNumberFormat="1" applyFont="1" applyFill="1" applyBorder="1" applyAlignment="1">
      <alignment horizontal="right" vertical="center"/>
    </xf>
    <xf numFmtId="164" fontId="37" fillId="18" borderId="1" xfId="2945" applyNumberFormat="1" applyFont="1" applyFill="1" applyBorder="1" applyAlignment="1">
      <alignment horizontal="center" vertical="center" wrapText="1"/>
    </xf>
    <xf numFmtId="168" fontId="48" fillId="18" borderId="1" xfId="5527" applyFont="1" applyFill="1" applyBorder="1" applyAlignment="1">
      <alignment vertical="center"/>
    </xf>
    <xf numFmtId="164" fontId="37" fillId="18" borderId="1" xfId="2945" applyNumberFormat="1" applyFont="1" applyFill="1" applyBorder="1" applyAlignment="1">
      <alignment horizontal="right" vertical="center"/>
    </xf>
    <xf numFmtId="0" fontId="10" fillId="18" borderId="1" xfId="2945" applyFont="1" applyFill="1" applyBorder="1"/>
    <xf numFmtId="0" fontId="26" fillId="2" borderId="0" xfId="2945" applyFont="1" applyFill="1"/>
    <xf numFmtId="0" fontId="45" fillId="18" borderId="15" xfId="2945" applyFont="1" applyFill="1" applyBorder="1" applyAlignment="1">
      <alignment horizontal="center" vertical="center" wrapText="1"/>
    </xf>
    <xf numFmtId="0" fontId="52" fillId="18" borderId="1" xfId="2945" applyFont="1" applyFill="1" applyBorder="1" applyAlignment="1">
      <alignment horizontal="left" vertical="center" wrapText="1"/>
    </xf>
    <xf numFmtId="164" fontId="36" fillId="18" borderId="1" xfId="2945" applyNumberFormat="1" applyFont="1" applyFill="1" applyBorder="1" applyAlignment="1">
      <alignment horizontal="center" vertical="center" wrapText="1"/>
    </xf>
    <xf numFmtId="168" fontId="36" fillId="18" borderId="1" xfId="5527" applyFont="1" applyFill="1" applyBorder="1" applyAlignment="1">
      <alignment vertical="center"/>
    </xf>
    <xf numFmtId="164" fontId="36" fillId="18" borderId="1" xfId="2945" applyNumberFormat="1" applyFont="1" applyFill="1" applyBorder="1" applyAlignment="1">
      <alignment horizontal="right" vertical="center"/>
    </xf>
    <xf numFmtId="0" fontId="45" fillId="2" borderId="3" xfId="2945" applyFont="1" applyFill="1" applyBorder="1" applyAlignment="1">
      <alignment horizontal="center" vertical="center" wrapText="1"/>
    </xf>
    <xf numFmtId="0" fontId="66" fillId="5" borderId="1" xfId="2945" applyNumberFormat="1" applyFont="1" applyFill="1" applyBorder="1" applyAlignment="1">
      <alignment horizontal="left" vertical="center" wrapText="1"/>
    </xf>
    <xf numFmtId="164" fontId="37" fillId="5" borderId="1" xfId="2945" applyNumberFormat="1" applyFont="1" applyFill="1" applyBorder="1" applyAlignment="1">
      <alignment horizontal="center" vertical="center" wrapText="1"/>
    </xf>
    <xf numFmtId="168" fontId="48" fillId="5" borderId="1" xfId="5527" applyFont="1" applyFill="1" applyBorder="1" applyAlignment="1">
      <alignment vertical="center"/>
    </xf>
    <xf numFmtId="0" fontId="10" fillId="2" borderId="1" xfId="2945" applyFont="1" applyFill="1" applyBorder="1"/>
    <xf numFmtId="0" fontId="52" fillId="5" borderId="1" xfId="2945" applyFont="1" applyFill="1" applyBorder="1" applyAlignment="1">
      <alignment horizontal="left" vertical="center" wrapText="1"/>
    </xf>
    <xf numFmtId="0" fontId="45" fillId="2" borderId="6" xfId="2945" applyFont="1" applyFill="1" applyBorder="1" applyAlignment="1">
      <alignment horizontal="right" vertical="center" wrapText="1"/>
    </xf>
    <xf numFmtId="0" fontId="66" fillId="2" borderId="6" xfId="2945" applyFont="1" applyFill="1" applyBorder="1" applyAlignment="1">
      <alignment horizontal="left" vertical="center" wrapText="1"/>
    </xf>
    <xf numFmtId="164" fontId="37" fillId="2" borderId="5" xfId="2945" applyNumberFormat="1" applyFont="1" applyFill="1" applyBorder="1" applyAlignment="1">
      <alignment horizontal="center" vertical="center" wrapText="1"/>
    </xf>
    <xf numFmtId="168" fontId="48" fillId="2" borderId="4" xfId="5527" applyFont="1" applyFill="1" applyBorder="1" applyAlignment="1">
      <alignment vertical="center"/>
    </xf>
    <xf numFmtId="164" fontId="37" fillId="2" borderId="1" xfId="2945" applyNumberFormat="1" applyFont="1" applyFill="1" applyBorder="1" applyAlignment="1">
      <alignment horizontal="center" vertical="center" wrapText="1"/>
    </xf>
    <xf numFmtId="49" fontId="37" fillId="2" borderId="1" xfId="2945" applyNumberFormat="1" applyFont="1" applyFill="1" applyBorder="1" applyAlignment="1">
      <alignment horizontal="right" vertical="center"/>
    </xf>
    <xf numFmtId="0" fontId="256" fillId="2" borderId="4" xfId="2945" applyNumberFormat="1" applyFont="1" applyFill="1" applyBorder="1" applyAlignment="1">
      <alignment horizontal="left" vertical="top" wrapText="1"/>
    </xf>
    <xf numFmtId="164" fontId="36" fillId="2" borderId="4" xfId="2945" applyNumberFormat="1" applyFont="1" applyFill="1" applyBorder="1" applyAlignment="1">
      <alignment horizontal="center" vertical="center" wrapText="1"/>
    </xf>
    <xf numFmtId="168" fontId="257" fillId="2" borderId="1" xfId="5527" applyFont="1" applyFill="1" applyBorder="1" applyAlignment="1">
      <alignment vertical="center"/>
    </xf>
    <xf numFmtId="0" fontId="10" fillId="2" borderId="6" xfId="2945" applyFont="1" applyFill="1" applyBorder="1" applyAlignment="1">
      <alignment vertical="center"/>
    </xf>
    <xf numFmtId="0" fontId="10" fillId="2" borderId="1" xfId="2945" applyFont="1" applyFill="1" applyBorder="1" applyAlignment="1">
      <alignment vertical="center"/>
    </xf>
    <xf numFmtId="0" fontId="256" fillId="2" borderId="1" xfId="2945" applyNumberFormat="1" applyFont="1" applyFill="1" applyBorder="1" applyAlignment="1">
      <alignment horizontal="left" vertical="top" wrapText="1"/>
    </xf>
    <xf numFmtId="164" fontId="36" fillId="2" borderId="4" xfId="2945" applyNumberFormat="1" applyFont="1" applyFill="1" applyBorder="1" applyAlignment="1">
      <alignment horizontal="right" vertical="center"/>
    </xf>
    <xf numFmtId="0" fontId="49" fillId="2" borderId="14" xfId="2945" applyFont="1" applyFill="1" applyBorder="1" applyAlignment="1">
      <alignment horizontal="left" vertical="center" wrapText="1"/>
    </xf>
    <xf numFmtId="0" fontId="55" fillId="2" borderId="14" xfId="2945" applyFont="1" applyFill="1" applyBorder="1" applyAlignment="1">
      <alignment horizontal="left" vertical="center" wrapText="1"/>
    </xf>
    <xf numFmtId="0" fontId="256" fillId="2" borderId="1" xfId="2945" applyFont="1" applyFill="1" applyBorder="1" applyAlignment="1">
      <alignment horizontal="left" vertical="center" wrapText="1"/>
    </xf>
    <xf numFmtId="168" fontId="36" fillId="2" borderId="4" xfId="5527" applyFont="1" applyFill="1" applyBorder="1" applyAlignment="1">
      <alignment vertical="center"/>
    </xf>
    <xf numFmtId="0" fontId="256" fillId="2" borderId="6" xfId="2945" applyFont="1" applyFill="1" applyBorder="1" applyAlignment="1">
      <alignment horizontal="left" vertical="center" wrapText="1"/>
    </xf>
    <xf numFmtId="0" fontId="256" fillId="2" borderId="17" xfId="2945" applyFont="1" applyFill="1" applyBorder="1" applyAlignment="1">
      <alignment horizontal="left" vertical="center" wrapText="1"/>
    </xf>
    <xf numFmtId="0" fontId="49" fillId="2" borderId="4" xfId="2945" applyNumberFormat="1" applyFont="1" applyFill="1" applyBorder="1" applyAlignment="1">
      <alignment horizontal="left" vertical="top" wrapText="1"/>
    </xf>
    <xf numFmtId="164" fontId="37" fillId="2" borderId="4" xfId="2945" applyNumberFormat="1" applyFont="1" applyFill="1" applyBorder="1" applyAlignment="1">
      <alignment horizontal="center" vertical="center" wrapText="1"/>
    </xf>
    <xf numFmtId="0" fontId="55" fillId="2" borderId="1" xfId="2945" applyFont="1" applyFill="1" applyBorder="1" applyAlignment="1">
      <alignment vertical="center"/>
    </xf>
    <xf numFmtId="0" fontId="66" fillId="5" borderId="4" xfId="2945" applyNumberFormat="1" applyFont="1" applyFill="1" applyBorder="1" applyAlignment="1">
      <alignment horizontal="left" vertical="center" wrapText="1"/>
    </xf>
    <xf numFmtId="164" fontId="37" fillId="5" borderId="4" xfId="2945" applyNumberFormat="1" applyFont="1" applyFill="1" applyBorder="1" applyAlignment="1">
      <alignment horizontal="center" vertical="center" wrapText="1"/>
    </xf>
    <xf numFmtId="0" fontId="67" fillId="5" borderId="1" xfId="2945" applyFont="1" applyFill="1" applyBorder="1" applyAlignment="1">
      <alignment horizontal="left" vertical="center" wrapText="1"/>
    </xf>
    <xf numFmtId="168" fontId="37" fillId="5" borderId="1" xfId="5527" applyFont="1" applyFill="1" applyBorder="1" applyAlignment="1">
      <alignment vertical="center" wrapText="1"/>
    </xf>
    <xf numFmtId="164" fontId="37" fillId="5" borderId="1" xfId="2945" applyNumberFormat="1" applyFont="1" applyFill="1" applyBorder="1" applyAlignment="1">
      <alignment horizontal="right" vertical="center"/>
    </xf>
    <xf numFmtId="0" fontId="10" fillId="2" borderId="1" xfId="2945" applyFont="1" applyFill="1" applyBorder="1" applyAlignment="1">
      <alignment horizontal="left" vertical="center"/>
    </xf>
    <xf numFmtId="168" fontId="257" fillId="5" borderId="1" xfId="5527" applyFont="1" applyFill="1" applyBorder="1" applyAlignment="1">
      <alignment vertical="center"/>
    </xf>
    <xf numFmtId="0" fontId="10" fillId="5" borderId="1" xfId="2945" applyFont="1" applyFill="1" applyBorder="1" applyAlignment="1">
      <alignment horizontal="left" vertical="center"/>
    </xf>
    <xf numFmtId="168" fontId="37" fillId="5" borderId="4" xfId="5527" applyFont="1" applyFill="1" applyBorder="1" applyAlignment="1">
      <alignment vertical="center" wrapText="1"/>
    </xf>
    <xf numFmtId="0" fontId="49" fillId="5" borderId="1" xfId="2945" applyFont="1" applyFill="1" applyBorder="1" applyAlignment="1">
      <alignment horizontal="left" vertical="center" wrapText="1"/>
    </xf>
    <xf numFmtId="168" fontId="36" fillId="5" borderId="4" xfId="5527" applyFont="1" applyFill="1" applyBorder="1" applyAlignment="1">
      <alignment vertical="center" wrapText="1"/>
    </xf>
    <xf numFmtId="164" fontId="36" fillId="5" borderId="1" xfId="2945" applyNumberFormat="1" applyFont="1" applyFill="1" applyBorder="1" applyAlignment="1">
      <alignment horizontal="right" vertical="center"/>
    </xf>
    <xf numFmtId="0" fontId="10" fillId="5" borderId="1" xfId="2945" applyFont="1" applyFill="1" applyBorder="1" applyAlignment="1">
      <alignment vertical="center"/>
    </xf>
    <xf numFmtId="49" fontId="66" fillId="2" borderId="1" xfId="2945" applyNumberFormat="1" applyFont="1" applyFill="1" applyBorder="1" applyAlignment="1">
      <alignment horizontal="right" vertical="center"/>
    </xf>
    <xf numFmtId="0" fontId="66" fillId="2" borderId="1" xfId="2945" applyFont="1" applyFill="1" applyBorder="1" applyAlignment="1">
      <alignment horizontal="left" vertical="center" wrapText="1"/>
    </xf>
    <xf numFmtId="49" fontId="50" fillId="2" borderId="6" xfId="2945" applyNumberFormat="1" applyFont="1" applyFill="1" applyBorder="1" applyAlignment="1">
      <alignment horizontal="right" vertical="center"/>
    </xf>
    <xf numFmtId="0" fontId="50" fillId="2" borderId="11" xfId="2945" applyFont="1" applyFill="1" applyBorder="1" applyAlignment="1">
      <alignment horizontal="left" vertical="center" wrapText="1"/>
    </xf>
    <xf numFmtId="0" fontId="53" fillId="2" borderId="11" xfId="2945" applyFont="1" applyFill="1" applyBorder="1" applyAlignment="1">
      <alignment horizontal="left" vertical="center" wrapText="1"/>
    </xf>
    <xf numFmtId="168" fontId="36" fillId="2" borderId="1" xfId="5527" applyFont="1" applyFill="1" applyBorder="1" applyAlignment="1">
      <alignment vertical="center" wrapText="1"/>
    </xf>
    <xf numFmtId="0" fontId="50" fillId="2" borderId="1" xfId="2945" applyFont="1" applyFill="1" applyBorder="1" applyAlignment="1">
      <alignment horizontal="left" vertical="center" wrapText="1"/>
    </xf>
    <xf numFmtId="168" fontId="37" fillId="2" borderId="1" xfId="5527" applyFont="1" applyFill="1" applyBorder="1" applyAlignment="1">
      <alignment vertical="center" wrapText="1"/>
    </xf>
    <xf numFmtId="0" fontId="256" fillId="2" borderId="11" xfId="2945" applyFont="1" applyFill="1" applyBorder="1" applyAlignment="1">
      <alignment horizontal="left" vertical="center" wrapText="1"/>
    </xf>
    <xf numFmtId="0" fontId="10" fillId="2" borderId="1" xfId="2945" applyFont="1" applyFill="1" applyBorder="1" applyAlignment="1">
      <alignment wrapText="1"/>
    </xf>
    <xf numFmtId="0" fontId="52" fillId="2" borderId="11" xfId="2945" applyFont="1" applyFill="1" applyBorder="1" applyAlignment="1">
      <alignment horizontal="left" vertical="center" wrapText="1"/>
    </xf>
    <xf numFmtId="168" fontId="53" fillId="2" borderId="1" xfId="5527" applyFont="1" applyFill="1" applyBorder="1" applyAlignment="1">
      <alignment vertical="center" wrapText="1"/>
    </xf>
    <xf numFmtId="0" fontId="67" fillId="2" borderId="12" xfId="2945" applyFont="1" applyFill="1" applyBorder="1" applyAlignment="1">
      <alignment horizontal="left" vertical="center" wrapText="1"/>
    </xf>
    <xf numFmtId="0" fontId="256" fillId="2" borderId="12" xfId="2945" applyFont="1" applyFill="1" applyBorder="1" applyAlignment="1">
      <alignment horizontal="left" vertical="center" wrapText="1"/>
    </xf>
    <xf numFmtId="0" fontId="52" fillId="2" borderId="12" xfId="2945" applyFont="1" applyFill="1" applyBorder="1" applyAlignment="1">
      <alignment horizontal="left" vertical="center" wrapText="1"/>
    </xf>
    <xf numFmtId="168" fontId="36" fillId="2" borderId="4" xfId="5527" applyFont="1" applyFill="1" applyBorder="1" applyAlignment="1">
      <alignment vertical="center" wrapText="1"/>
    </xf>
    <xf numFmtId="168" fontId="48" fillId="2" borderId="6" xfId="5527" applyFont="1" applyFill="1" applyBorder="1" applyAlignment="1">
      <alignment vertical="center"/>
    </xf>
    <xf numFmtId="164" fontId="37" fillId="2" borderId="6" xfId="2945" applyNumberFormat="1" applyFont="1" applyFill="1" applyBorder="1" applyAlignment="1">
      <alignment horizontal="right" vertical="center"/>
    </xf>
    <xf numFmtId="0" fontId="10" fillId="2" borderId="6" xfId="2945" applyFont="1" applyFill="1" applyBorder="1"/>
    <xf numFmtId="164" fontId="53" fillId="2" borderId="1" xfId="2945" applyNumberFormat="1" applyFont="1" applyFill="1" applyBorder="1" applyAlignment="1">
      <alignment horizontal="right" vertical="center"/>
    </xf>
    <xf numFmtId="49" fontId="37" fillId="2" borderId="4" xfId="2945" applyNumberFormat="1" applyFont="1" applyFill="1" applyBorder="1" applyAlignment="1">
      <alignment horizontal="right" vertical="center"/>
    </xf>
    <xf numFmtId="0" fontId="52" fillId="2" borderId="14" xfId="2945" applyFont="1" applyFill="1" applyBorder="1" applyAlignment="1">
      <alignment horizontal="left" vertical="center" wrapText="1"/>
    </xf>
    <xf numFmtId="49" fontId="37" fillId="2" borderId="5" xfId="2945" applyNumberFormat="1" applyFont="1" applyFill="1" applyBorder="1" applyAlignment="1">
      <alignment vertical="center"/>
    </xf>
    <xf numFmtId="168" fontId="53" fillId="2" borderId="1" xfId="5527" applyFont="1" applyFill="1" applyBorder="1" applyAlignment="1">
      <alignment vertical="center"/>
    </xf>
    <xf numFmtId="168" fontId="50" fillId="2" borderId="4" xfId="5527" applyFont="1" applyFill="1" applyBorder="1" applyAlignment="1">
      <alignment vertical="center"/>
    </xf>
    <xf numFmtId="0" fontId="258" fillId="2" borderId="14" xfId="2945" applyFont="1" applyFill="1" applyBorder="1" applyAlignment="1">
      <alignment horizontal="left" vertical="center" wrapText="1"/>
    </xf>
    <xf numFmtId="0" fontId="20" fillId="2" borderId="14" xfId="2945" applyFont="1" applyFill="1" applyBorder="1" applyAlignment="1">
      <alignment horizontal="left" vertical="center" wrapText="1"/>
    </xf>
    <xf numFmtId="0" fontId="256" fillId="2" borderId="14" xfId="2945" applyFont="1" applyFill="1" applyBorder="1" applyAlignment="1">
      <alignment horizontal="left" vertical="center" wrapText="1"/>
    </xf>
    <xf numFmtId="168" fontId="53" fillId="2" borderId="4" xfId="5527" applyFont="1" applyFill="1" applyBorder="1" applyAlignment="1">
      <alignment vertical="center"/>
    </xf>
    <xf numFmtId="0" fontId="49" fillId="2" borderId="11" xfId="2945" applyFont="1" applyFill="1" applyBorder="1" applyAlignment="1">
      <alignment horizontal="left" vertical="center" wrapText="1"/>
    </xf>
    <xf numFmtId="168" fontId="37" fillId="2" borderId="4" xfId="5527" applyFont="1" applyFill="1" applyBorder="1" applyAlignment="1">
      <alignment vertical="center" wrapText="1"/>
    </xf>
    <xf numFmtId="168" fontId="54" fillId="2" borderId="1" xfId="5527" applyFont="1" applyFill="1" applyBorder="1" applyAlignment="1">
      <alignment vertical="center"/>
    </xf>
    <xf numFmtId="0" fontId="55" fillId="2" borderId="1" xfId="2945" applyFont="1" applyFill="1" applyBorder="1" applyAlignment="1">
      <alignment horizontal="center" vertical="center"/>
    </xf>
    <xf numFmtId="168" fontId="53" fillId="2" borderId="4" xfId="5527" applyFont="1" applyFill="1" applyBorder="1" applyAlignment="1">
      <alignment vertical="center" wrapText="1"/>
    </xf>
    <xf numFmtId="0" fontId="52" fillId="2" borderId="1" xfId="2945" applyFont="1" applyFill="1" applyBorder="1" applyAlignment="1">
      <alignment horizontal="center" vertical="center"/>
    </xf>
    <xf numFmtId="49" fontId="37" fillId="5" borderId="1" xfId="2945" applyNumberFormat="1" applyFont="1" applyFill="1" applyBorder="1" applyAlignment="1">
      <alignment horizontal="right" vertical="center"/>
    </xf>
    <xf numFmtId="0" fontId="66" fillId="5" borderId="1" xfId="2945" applyFont="1" applyFill="1" applyBorder="1" applyAlignment="1">
      <alignment horizontal="left" vertical="center" wrapText="1"/>
    </xf>
    <xf numFmtId="168" fontId="54" fillId="5" borderId="1" xfId="5527" applyFont="1" applyFill="1" applyBorder="1" applyAlignment="1">
      <alignment vertical="center"/>
    </xf>
    <xf numFmtId="0" fontId="67" fillId="5" borderId="11" xfId="2945" applyFont="1" applyFill="1" applyBorder="1" applyAlignment="1">
      <alignment horizontal="left" vertical="center" wrapText="1"/>
    </xf>
    <xf numFmtId="0" fontId="49" fillId="5" borderId="14" xfId="2945" applyFont="1" applyFill="1" applyBorder="1" applyAlignment="1">
      <alignment horizontal="left" vertical="center" wrapText="1"/>
    </xf>
    <xf numFmtId="168" fontId="37" fillId="5" borderId="1" xfId="5527" applyFont="1" applyFill="1" applyBorder="1" applyAlignment="1">
      <alignment vertical="center"/>
    </xf>
    <xf numFmtId="0" fontId="52" fillId="5" borderId="14" xfId="2945" applyFont="1" applyFill="1" applyBorder="1" applyAlignment="1">
      <alignment horizontal="left" vertical="center" wrapText="1"/>
    </xf>
    <xf numFmtId="168" fontId="36" fillId="5" borderId="1" xfId="5527" applyFont="1" applyFill="1" applyBorder="1" applyAlignment="1">
      <alignment vertical="center"/>
    </xf>
    <xf numFmtId="4" fontId="259" fillId="5" borderId="1" xfId="1735" applyNumberFormat="1" applyFont="1" applyFill="1" applyBorder="1" applyProtection="1">
      <alignment horizontal="right" vertical="top" shrinkToFit="1"/>
    </xf>
    <xf numFmtId="164" fontId="36" fillId="5" borderId="4" xfId="2945" applyNumberFormat="1" applyFont="1" applyFill="1" applyBorder="1" applyAlignment="1">
      <alignment horizontal="right" vertical="center"/>
    </xf>
    <xf numFmtId="4" fontId="259" fillId="5" borderId="31" xfId="1735" applyNumberFormat="1" applyFont="1" applyFill="1" applyProtection="1">
      <alignment horizontal="right" vertical="top" shrinkToFit="1"/>
    </xf>
    <xf numFmtId="49" fontId="37" fillId="2" borderId="6" xfId="2945" applyNumberFormat="1" applyFont="1" applyFill="1" applyBorder="1" applyAlignment="1">
      <alignment horizontal="right" vertical="center"/>
    </xf>
    <xf numFmtId="0" fontId="66" fillId="2" borderId="11" xfId="2945" applyFont="1" applyFill="1" applyBorder="1" applyAlignment="1">
      <alignment horizontal="left" vertical="center" wrapText="1"/>
    </xf>
    <xf numFmtId="0" fontId="66" fillId="2" borderId="6" xfId="2945" applyFont="1" applyFill="1" applyBorder="1" applyAlignment="1">
      <alignment horizontal="right" vertical="center"/>
    </xf>
    <xf numFmtId="0" fontId="256" fillId="2" borderId="1" xfId="2945" applyFont="1" applyFill="1" applyBorder="1" applyAlignment="1">
      <alignment vertical="center" wrapText="1"/>
    </xf>
    <xf numFmtId="0" fontId="10" fillId="2" borderId="1" xfId="2945" applyFont="1" applyFill="1" applyBorder="1" applyAlignment="1">
      <alignment horizontal="center" vertical="center"/>
    </xf>
    <xf numFmtId="0" fontId="256" fillId="2" borderId="4" xfId="2945" applyFont="1" applyFill="1" applyBorder="1" applyAlignment="1">
      <alignment vertical="center" wrapText="1"/>
    </xf>
    <xf numFmtId="0" fontId="37" fillId="2" borderId="6" xfId="2945" applyFont="1" applyFill="1" applyBorder="1" applyAlignment="1">
      <alignment horizontal="right" vertical="center"/>
    </xf>
    <xf numFmtId="49" fontId="10" fillId="2" borderId="6" xfId="2945" applyNumberFormat="1" applyFont="1" applyFill="1" applyBorder="1" applyAlignment="1">
      <alignment horizontal="right" vertical="center"/>
    </xf>
    <xf numFmtId="0" fontId="67" fillId="5" borderId="1" xfId="2945" applyFont="1" applyFill="1" applyBorder="1" applyAlignment="1">
      <alignment vertical="center" wrapText="1"/>
    </xf>
    <xf numFmtId="164" fontId="36" fillId="5" borderId="4" xfId="2945" applyNumberFormat="1" applyFont="1" applyFill="1" applyBorder="1" applyAlignment="1">
      <alignment horizontal="center" vertical="center" wrapText="1"/>
    </xf>
    <xf numFmtId="0" fontId="10" fillId="2" borderId="6" xfId="2945" applyFont="1" applyFill="1" applyBorder="1" applyAlignment="1">
      <alignment horizontal="center" vertical="center" wrapText="1"/>
    </xf>
    <xf numFmtId="0" fontId="29" fillId="2" borderId="1" xfId="2945" applyFont="1" applyFill="1" applyBorder="1" applyAlignment="1">
      <alignment vertical="center" wrapText="1"/>
    </xf>
    <xf numFmtId="0" fontId="55" fillId="2" borderId="6" xfId="2945" applyFont="1" applyFill="1" applyBorder="1" applyAlignment="1">
      <alignment horizontal="center" vertical="center" wrapText="1"/>
    </xf>
    <xf numFmtId="0" fontId="49" fillId="162" borderId="1" xfId="2945" applyFont="1" applyFill="1" applyBorder="1" applyAlignment="1">
      <alignment vertical="center" wrapText="1"/>
    </xf>
    <xf numFmtId="168" fontId="50" fillId="162" borderId="4" xfId="5527" applyFont="1" applyFill="1" applyBorder="1" applyAlignment="1">
      <alignment vertical="center"/>
    </xf>
    <xf numFmtId="168" fontId="260" fillId="162" borderId="1" xfId="5527" applyFont="1" applyFill="1" applyBorder="1" applyAlignment="1">
      <alignment vertical="center"/>
    </xf>
    <xf numFmtId="164" fontId="36" fillId="162" borderId="1" xfId="2945" applyNumberFormat="1" applyFont="1" applyFill="1" applyBorder="1" applyAlignment="1">
      <alignment horizontal="right" vertical="center"/>
    </xf>
    <xf numFmtId="0" fontId="258" fillId="162" borderId="6" xfId="2945" applyFont="1" applyFill="1" applyBorder="1" applyAlignment="1">
      <alignment horizontal="center" vertical="center" wrapText="1"/>
    </xf>
    <xf numFmtId="0" fontId="256" fillId="162" borderId="1" xfId="2945" applyFont="1" applyFill="1" applyBorder="1" applyAlignment="1">
      <alignment vertical="center" wrapText="1"/>
    </xf>
    <xf numFmtId="168" fontId="36" fillId="162" borderId="4" xfId="5527" applyFont="1" applyFill="1" applyBorder="1" applyAlignment="1">
      <alignment vertical="center"/>
    </xf>
    <xf numFmtId="164" fontId="36" fillId="162" borderId="4" xfId="2945" applyNumberFormat="1" applyFont="1" applyFill="1" applyBorder="1" applyAlignment="1">
      <alignment horizontal="center" vertical="center" wrapText="1"/>
    </xf>
    <xf numFmtId="168" fontId="257" fillId="162" borderId="1" xfId="5527" applyFont="1" applyFill="1" applyBorder="1" applyAlignment="1">
      <alignment vertical="center"/>
    </xf>
    <xf numFmtId="0" fontId="10" fillId="162" borderId="6" xfId="2945" applyFont="1" applyFill="1" applyBorder="1" applyAlignment="1">
      <alignment horizontal="center" vertical="center" wrapText="1"/>
    </xf>
    <xf numFmtId="49" fontId="45" fillId="2" borderId="6" xfId="2945" applyNumberFormat="1" applyFont="1" applyFill="1" applyBorder="1" applyAlignment="1">
      <alignment horizontal="right" vertical="center"/>
    </xf>
    <xf numFmtId="0" fontId="66" fillId="2" borderId="1" xfId="2945" applyFont="1" applyFill="1" applyBorder="1" applyAlignment="1">
      <alignment vertical="center" wrapText="1"/>
    </xf>
    <xf numFmtId="0" fontId="66" fillId="2" borderId="1" xfId="2945" applyFont="1" applyFill="1" applyBorder="1" applyAlignment="1">
      <alignment horizontal="right" vertical="center"/>
    </xf>
    <xf numFmtId="0" fontId="50" fillId="2" borderId="1" xfId="2945" applyFont="1" applyFill="1" applyBorder="1" applyAlignment="1">
      <alignment horizontal="right" vertical="center"/>
    </xf>
    <xf numFmtId="164" fontId="36" fillId="2" borderId="1" xfId="2945" applyNumberFormat="1" applyFont="1" applyFill="1" applyBorder="1" applyAlignment="1">
      <alignment horizontal="center" vertical="center" wrapText="1"/>
    </xf>
    <xf numFmtId="0" fontId="10" fillId="2" borderId="0" xfId="2945" applyFont="1" applyFill="1" applyAlignment="1">
      <alignment wrapText="1"/>
    </xf>
    <xf numFmtId="4" fontId="10" fillId="2" borderId="0" xfId="2945" applyNumberFormat="1" applyFont="1" applyFill="1" applyAlignment="1">
      <alignment vertical="center"/>
    </xf>
    <xf numFmtId="0" fontId="10" fillId="2" borderId="0" xfId="2945" applyFont="1" applyFill="1" applyAlignment="1">
      <alignment vertical="center"/>
    </xf>
    <xf numFmtId="0" fontId="10" fillId="2" borderId="0" xfId="2945" applyFont="1" applyFill="1"/>
    <xf numFmtId="0" fontId="148" fillId="2" borderId="0" xfId="2945" applyFill="1" applyAlignment="1">
      <alignment wrapText="1"/>
    </xf>
    <xf numFmtId="0" fontId="148" fillId="2" borderId="0" xfId="2945" applyFill="1" applyAlignment="1">
      <alignment vertical="center"/>
    </xf>
    <xf numFmtId="0" fontId="29" fillId="2" borderId="2" xfId="2945" applyFont="1" applyFill="1" applyBorder="1" applyAlignment="1">
      <alignment horizontal="center" vertical="center" wrapText="1"/>
    </xf>
    <xf numFmtId="164" fontId="37" fillId="159" borderId="4" xfId="2945" applyNumberFormat="1" applyFont="1" applyFill="1" applyBorder="1" applyAlignment="1">
      <alignment horizontal="center" vertical="center" wrapText="1"/>
    </xf>
    <xf numFmtId="170" fontId="37" fillId="159" borderId="4" xfId="2945" applyNumberFormat="1" applyFont="1" applyFill="1" applyBorder="1" applyAlignment="1">
      <alignment horizontal="center" vertical="center" wrapText="1"/>
    </xf>
    <xf numFmtId="4" fontId="74" fillId="155" borderId="31" xfId="38" applyNumberFormat="1" applyFill="1" applyProtection="1">
      <alignment horizontal="right" vertical="top" shrinkToFit="1"/>
    </xf>
    <xf numFmtId="4" fontId="74" fillId="155" borderId="31" xfId="43" applyNumberFormat="1" applyFill="1" applyProtection="1">
      <alignment horizontal="right" vertical="top" shrinkToFit="1"/>
    </xf>
    <xf numFmtId="4" fontId="75" fillId="6" borderId="31" xfId="33" applyNumberFormat="1" applyFill="1" applyProtection="1">
      <alignment horizontal="right" vertical="top" shrinkToFit="1"/>
    </xf>
    <xf numFmtId="4" fontId="19" fillId="2" borderId="8" xfId="0" applyNumberFormat="1" applyFont="1" applyFill="1" applyBorder="1" applyAlignment="1">
      <alignment horizontal="right"/>
    </xf>
    <xf numFmtId="4" fontId="19" fillId="5" borderId="8" xfId="0" applyNumberFormat="1" applyFont="1" applyFill="1" applyBorder="1" applyAlignment="1"/>
    <xf numFmtId="165" fontId="31" fillId="163" borderId="1" xfId="4" applyNumberFormat="1" applyFont="1" applyFill="1" applyBorder="1" applyAlignment="1">
      <alignment horizontal="right" wrapText="1"/>
    </xf>
    <xf numFmtId="165" fontId="31" fillId="0" borderId="1" xfId="4" applyNumberFormat="1" applyFont="1" applyFill="1" applyBorder="1" applyAlignment="1">
      <alignment horizontal="right" wrapText="1"/>
    </xf>
    <xf numFmtId="0" fontId="253" fillId="0" borderId="1" xfId="5" applyFont="1" applyFill="1" applyBorder="1" applyAlignment="1">
      <alignment horizontal="center" vertical="center" wrapText="1"/>
    </xf>
    <xf numFmtId="165" fontId="31" fillId="0" borderId="6" xfId="5" applyNumberFormat="1" applyFont="1" applyFill="1" applyBorder="1" applyAlignment="1">
      <alignment horizontal="right" wrapText="1"/>
    </xf>
    <xf numFmtId="0" fontId="31" fillId="0" borderId="1" xfId="5" applyFont="1" applyFill="1" applyBorder="1" applyAlignment="1">
      <alignment horizontal="center" vertical="center" wrapText="1"/>
    </xf>
    <xf numFmtId="165" fontId="31" fillId="0" borderId="1" xfId="5" applyNumberFormat="1" applyFont="1" applyFill="1" applyBorder="1" applyAlignment="1">
      <alignment horizontal="right" wrapText="1"/>
    </xf>
    <xf numFmtId="165" fontId="31" fillId="0" borderId="4" xfId="5" applyNumberFormat="1" applyFont="1" applyFill="1" applyBorder="1" applyAlignment="1">
      <alignment horizontal="right" wrapText="1"/>
    </xf>
    <xf numFmtId="165" fontId="31" fillId="0" borderId="5" xfId="5" applyNumberFormat="1" applyFont="1" applyFill="1" applyBorder="1" applyAlignment="1">
      <alignment horizontal="right" wrapText="1"/>
    </xf>
    <xf numFmtId="0" fontId="17" fillId="0" borderId="9" xfId="0" applyFont="1" applyFill="1" applyBorder="1" applyAlignment="1">
      <alignment horizontal="center" vertical="center" wrapText="1"/>
    </xf>
    <xf numFmtId="167" fontId="22" fillId="0" borderId="11" xfId="1" applyNumberFormat="1" applyFont="1" applyFill="1" applyBorder="1" applyAlignment="1">
      <alignment vertical="center" wrapText="1"/>
    </xf>
    <xf numFmtId="0" fontId="20" fillId="0" borderId="9" xfId="0" applyFont="1" applyFill="1" applyBorder="1" applyAlignment="1">
      <alignment horizontal="center" vertical="center" wrapText="1"/>
    </xf>
    <xf numFmtId="4" fontId="29" fillId="0" borderId="1" xfId="1" applyNumberFormat="1" applyFont="1" applyFill="1" applyBorder="1" applyAlignment="1">
      <alignment horizontal="right" vertical="center" wrapText="1"/>
    </xf>
    <xf numFmtId="167" fontId="29" fillId="0" borderId="11" xfId="1" applyNumberFormat="1" applyFont="1" applyFill="1" applyBorder="1" applyAlignment="1">
      <alignment vertical="center" wrapText="1"/>
    </xf>
    <xf numFmtId="0" fontId="27" fillId="0" borderId="1" xfId="0" applyFont="1" applyFill="1" applyBorder="1" applyAlignment="1">
      <alignment horizontal="left" vertical="top" wrapText="1"/>
    </xf>
    <xf numFmtId="0" fontId="36" fillId="0" borderId="1" xfId="0" applyFont="1" applyFill="1" applyBorder="1" applyAlignment="1">
      <alignment horizontal="center" vertical="top" wrapText="1"/>
    </xf>
    <xf numFmtId="167" fontId="36" fillId="0" borderId="1" xfId="0" applyNumberFormat="1" applyFont="1" applyFill="1" applyBorder="1" applyAlignment="1">
      <alignment horizontal="center" vertical="top" wrapText="1"/>
    </xf>
    <xf numFmtId="167" fontId="36" fillId="0" borderId="4" xfId="0" applyNumberFormat="1" applyFont="1" applyFill="1" applyBorder="1" applyAlignment="1">
      <alignment horizontal="center" vertical="top" wrapText="1"/>
    </xf>
    <xf numFmtId="0" fontId="36" fillId="0" borderId="1" xfId="0" applyNumberFormat="1" applyFont="1" applyFill="1" applyBorder="1" applyAlignment="1">
      <alignment horizontal="center" vertical="top" wrapText="1"/>
    </xf>
    <xf numFmtId="0" fontId="25" fillId="2" borderId="4" xfId="4" applyFill="1" applyBorder="1" applyAlignment="1">
      <alignment horizontal="center"/>
    </xf>
    <xf numFmtId="0" fontId="25" fillId="2" borderId="5" xfId="4" applyFill="1" applyBorder="1" applyAlignment="1">
      <alignment horizontal="center"/>
    </xf>
    <xf numFmtId="0" fontId="25" fillId="2" borderId="6" xfId="4" applyFill="1" applyBorder="1" applyAlignment="1">
      <alignment horizontal="center"/>
    </xf>
    <xf numFmtId="49" fontId="263" fillId="0" borderId="31" xfId="41" applyNumberFormat="1" applyFont="1" applyProtection="1">
      <alignment horizontal="center" vertical="top" shrinkToFit="1"/>
    </xf>
    <xf numFmtId="49" fontId="263" fillId="0" borderId="89" xfId="41" applyNumberFormat="1" applyFont="1" applyBorder="1" applyProtection="1">
      <alignment horizontal="center" vertical="top" shrinkToFit="1"/>
    </xf>
    <xf numFmtId="165" fontId="31" fillId="5" borderId="1" xfId="4" applyNumberFormat="1" applyFont="1" applyFill="1" applyBorder="1" applyAlignment="1">
      <alignment horizontal="right" wrapText="1"/>
    </xf>
    <xf numFmtId="167" fontId="30" fillId="5" borderId="1" xfId="5" applyNumberFormat="1" applyFont="1" applyFill="1" applyBorder="1" applyAlignment="1">
      <alignment horizontal="right" vertical="center" wrapText="1"/>
    </xf>
    <xf numFmtId="4" fontId="74" fillId="5" borderId="31" xfId="43" applyNumberFormat="1" applyFill="1" applyProtection="1">
      <alignment horizontal="right" vertical="top" shrinkToFit="1"/>
    </xf>
    <xf numFmtId="165" fontId="30" fillId="0" borderId="1" xfId="5" applyNumberFormat="1" applyFont="1" applyFill="1" applyBorder="1" applyAlignment="1">
      <alignment horizontal="right" vertical="center" wrapText="1"/>
    </xf>
    <xf numFmtId="0" fontId="74" fillId="0" borderId="0" xfId="52">
      <alignment horizontal="left" vertical="top" wrapText="1"/>
    </xf>
    <xf numFmtId="4" fontId="264" fillId="0" borderId="0" xfId="3657" applyNumberFormat="1" applyFont="1" applyProtection="1">
      <protection locked="0"/>
    </xf>
    <xf numFmtId="0" fontId="265" fillId="0" borderId="0" xfId="3657" applyFont="1" applyProtection="1">
      <protection locked="0"/>
    </xf>
    <xf numFmtId="4" fontId="265" fillId="0" borderId="0" xfId="3657" applyNumberFormat="1" applyFont="1" applyProtection="1">
      <protection locked="0"/>
    </xf>
    <xf numFmtId="4" fontId="75" fillId="0" borderId="0" xfId="52" applyNumberFormat="1" applyFont="1" applyAlignment="1">
      <alignment vertical="top" wrapText="1"/>
    </xf>
    <xf numFmtId="0" fontId="74" fillId="0" borderId="0" xfId="52" applyAlignment="1">
      <alignment vertical="top" wrapText="1"/>
    </xf>
    <xf numFmtId="0" fontId="75" fillId="0" borderId="0" xfId="52" applyFont="1" applyAlignment="1">
      <alignment vertical="top" wrapText="1"/>
    </xf>
    <xf numFmtId="0" fontId="74" fillId="0" borderId="0" xfId="52" applyNumberFormat="1" applyAlignment="1" applyProtection="1">
      <alignment vertical="top" wrapText="1"/>
    </xf>
    <xf numFmtId="4" fontId="75" fillId="0" borderId="39" xfId="51" applyNumberFormat="1" applyFont="1" applyProtection="1"/>
    <xf numFmtId="0" fontId="75" fillId="0" borderId="39" xfId="51" applyNumberFormat="1" applyFont="1" applyProtection="1"/>
    <xf numFmtId="0" fontId="75" fillId="0" borderId="39" xfId="51" applyNumberFormat="1" applyFont="1" applyAlignment="1" applyProtection="1">
      <alignment horizontal="right"/>
    </xf>
    <xf numFmtId="4" fontId="76" fillId="24" borderId="38" xfId="525" applyNumberFormat="1" applyProtection="1">
      <alignment horizontal="right" shrinkToFit="1"/>
    </xf>
    <xf numFmtId="4" fontId="76" fillId="24" borderId="37" xfId="508" applyNumberFormat="1" applyProtection="1">
      <alignment horizontal="right" shrinkToFit="1"/>
    </xf>
    <xf numFmtId="4" fontId="74" fillId="0" borderId="32" xfId="1741" applyNumberFormat="1" applyProtection="1">
      <alignment horizontal="right" vertical="top" shrinkToFit="1"/>
    </xf>
    <xf numFmtId="4" fontId="74" fillId="0" borderId="31" xfId="1735" applyNumberFormat="1" applyProtection="1">
      <alignment horizontal="right" vertical="top" shrinkToFit="1"/>
    </xf>
    <xf numFmtId="49" fontId="74" fillId="0" borderId="31" xfId="1723" applyNumberFormat="1" applyProtection="1">
      <alignment horizontal="center" vertical="top" shrinkToFit="1"/>
    </xf>
    <xf numFmtId="0" fontId="74" fillId="0" borderId="31" xfId="1729" applyNumberFormat="1" applyProtection="1">
      <alignment horizontal="left" vertical="top" wrapText="1"/>
    </xf>
    <xf numFmtId="49" fontId="77" fillId="0" borderId="30" xfId="1717" applyNumberFormat="1" applyProtection="1">
      <alignment horizontal="center" vertical="top" shrinkToFit="1"/>
    </xf>
    <xf numFmtId="4" fontId="74" fillId="0" borderId="32" xfId="1706" applyNumberFormat="1" applyProtection="1">
      <alignment horizontal="right" vertical="top" shrinkToFit="1"/>
    </xf>
    <xf numFmtId="49" fontId="77" fillId="0" borderId="30" xfId="1661" applyNumberFormat="1" applyProtection="1">
      <alignment horizontal="center" vertical="top" shrinkToFit="1"/>
    </xf>
    <xf numFmtId="4" fontId="74" fillId="0" borderId="32" xfId="1644" applyNumberFormat="1" applyProtection="1">
      <alignment horizontal="right" vertical="top" shrinkToFit="1"/>
    </xf>
    <xf numFmtId="49" fontId="77" fillId="0" borderId="30" xfId="1587" applyNumberFormat="1" applyProtection="1">
      <alignment horizontal="center" vertical="top" shrinkToFit="1"/>
    </xf>
    <xf numFmtId="4" fontId="75" fillId="23" borderId="32" xfId="1570" applyNumberFormat="1" applyProtection="1">
      <alignment horizontal="right" vertical="top" shrinkToFit="1"/>
    </xf>
    <xf numFmtId="49" fontId="75" fillId="23" borderId="30" xfId="1513" applyNumberFormat="1" applyProtection="1">
      <alignment horizontal="center" vertical="top" shrinkToFit="1"/>
    </xf>
    <xf numFmtId="4" fontId="75" fillId="22" borderId="29" xfId="1412" applyNumberFormat="1" applyProtection="1">
      <alignment horizontal="right" vertical="top" shrinkToFit="1"/>
    </xf>
    <xf numFmtId="49" fontId="75" fillId="22" borderId="27" xfId="1067" applyNumberFormat="1" applyProtection="1">
      <alignment horizontal="center" vertical="top" shrinkToFit="1"/>
    </xf>
    <xf numFmtId="4" fontId="76" fillId="21" borderId="26" xfId="954" applyNumberFormat="1" applyProtection="1">
      <alignment horizontal="right" vertical="top" shrinkToFit="1"/>
    </xf>
    <xf numFmtId="49" fontId="76" fillId="21" borderId="24" xfId="645" applyNumberFormat="1" applyProtection="1">
      <alignment horizontal="center" vertical="top" shrinkToFit="1"/>
    </xf>
    <xf numFmtId="4" fontId="263" fillId="0" borderId="31" xfId="43" applyNumberFormat="1" applyFont="1" applyProtection="1">
      <alignment horizontal="right" vertical="top" shrinkToFit="1"/>
    </xf>
    <xf numFmtId="4" fontId="266" fillId="23" borderId="31" xfId="33" applyNumberFormat="1" applyFont="1" applyProtection="1">
      <alignment horizontal="right" vertical="top" shrinkToFit="1"/>
    </xf>
    <xf numFmtId="4" fontId="263" fillId="0" borderId="31" xfId="1735" applyNumberFormat="1" applyFont="1" applyProtection="1">
      <alignment horizontal="right" vertical="top" shrinkToFit="1"/>
    </xf>
    <xf numFmtId="4" fontId="26" fillId="0" borderId="31" xfId="43" applyNumberFormat="1" applyFont="1" applyProtection="1">
      <alignment horizontal="right" vertical="top" shrinkToFit="1"/>
    </xf>
    <xf numFmtId="4" fontId="263" fillId="0" borderId="31" xfId="38" applyNumberFormat="1" applyFont="1" applyProtection="1">
      <alignment horizontal="right" vertical="top" shrinkToFit="1"/>
    </xf>
    <xf numFmtId="0" fontId="270" fillId="164" borderId="0" xfId="3501" applyFont="1" applyFill="1"/>
    <xf numFmtId="0" fontId="270" fillId="164" borderId="0" xfId="3501" applyFont="1" applyFill="1" applyAlignment="1">
      <alignment horizontal="center"/>
    </xf>
    <xf numFmtId="165" fontId="270" fillId="164" borderId="0" xfId="3501" applyNumberFormat="1" applyFont="1" applyFill="1" applyAlignment="1">
      <alignment horizontal="center"/>
    </xf>
    <xf numFmtId="165" fontId="270" fillId="164" borderId="0" xfId="3501" applyNumberFormat="1" applyFont="1" applyFill="1"/>
    <xf numFmtId="165" fontId="270" fillId="164" borderId="0" xfId="3501" applyNumberFormat="1" applyFont="1" applyFill="1" applyAlignment="1">
      <alignment horizontal="right" vertical="center"/>
    </xf>
    <xf numFmtId="165" fontId="270" fillId="164" borderId="0" xfId="3501" applyNumberFormat="1" applyFont="1" applyFill="1" applyAlignment="1">
      <alignment horizontal="center" vertical="center"/>
    </xf>
    <xf numFmtId="0" fontId="270" fillId="164" borderId="0" xfId="3501" applyFont="1" applyFill="1" applyAlignment="1">
      <alignment horizontal="right" vertical="center"/>
    </xf>
    <xf numFmtId="0" fontId="269" fillId="164" borderId="0" xfId="5530" applyFont="1" applyFill="1"/>
    <xf numFmtId="0" fontId="132" fillId="164" borderId="0" xfId="3501" applyFont="1" applyFill="1"/>
    <xf numFmtId="0" fontId="132" fillId="164" borderId="0" xfId="3501" applyFont="1" applyFill="1" applyAlignment="1">
      <alignment horizontal="center"/>
    </xf>
    <xf numFmtId="165" fontId="132" fillId="164" borderId="0" xfId="3501" applyNumberFormat="1" applyFont="1" applyFill="1" applyAlignment="1">
      <alignment horizontal="center"/>
    </xf>
    <xf numFmtId="165" fontId="132" fillId="164" borderId="0" xfId="3501" applyNumberFormat="1" applyFont="1" applyFill="1"/>
    <xf numFmtId="165" fontId="132" fillId="164" borderId="0" xfId="3501" applyNumberFormat="1" applyFont="1" applyFill="1" applyAlignment="1">
      <alignment horizontal="right"/>
    </xf>
    <xf numFmtId="4" fontId="273" fillId="164" borderId="74" xfId="5528" applyNumberFormat="1" applyFont="1" applyFill="1" applyBorder="1" applyAlignment="1" applyProtection="1">
      <alignment horizontal="center" vertical="center" wrapText="1"/>
      <protection locked="0"/>
    </xf>
    <xf numFmtId="4" fontId="273" fillId="164" borderId="73" xfId="5528" applyNumberFormat="1" applyFont="1" applyFill="1" applyBorder="1" applyAlignment="1" applyProtection="1">
      <alignment horizontal="center" vertical="center" wrapText="1"/>
      <protection locked="0"/>
    </xf>
    <xf numFmtId="165" fontId="273" fillId="164" borderId="73" xfId="3501" applyNumberFormat="1" applyFont="1" applyFill="1" applyBorder="1" applyAlignment="1" applyProtection="1">
      <alignment horizontal="center" vertical="center" wrapText="1"/>
      <protection locked="0"/>
    </xf>
    <xf numFmtId="0" fontId="275" fillId="164" borderId="73" xfId="5532" applyFont="1" applyFill="1" applyBorder="1" applyAlignment="1">
      <alignment horizontal="center" vertical="center" wrapText="1"/>
    </xf>
    <xf numFmtId="165" fontId="273" fillId="164" borderId="73" xfId="5532" applyNumberFormat="1" applyFont="1" applyFill="1" applyBorder="1" applyAlignment="1">
      <alignment horizontal="right" vertical="center" wrapText="1"/>
    </xf>
    <xf numFmtId="0" fontId="273" fillId="164" borderId="73" xfId="5532" applyFont="1" applyFill="1" applyBorder="1" applyAlignment="1">
      <alignment horizontal="center" vertical="center" wrapText="1"/>
    </xf>
    <xf numFmtId="0" fontId="273" fillId="164" borderId="73" xfId="5532" applyFont="1" applyFill="1" applyBorder="1" applyAlignment="1">
      <alignment horizontal="left" vertical="center" wrapText="1"/>
    </xf>
    <xf numFmtId="0" fontId="273" fillId="164" borderId="73" xfId="5532" applyFont="1" applyFill="1" applyBorder="1" applyAlignment="1">
      <alignment horizontal="left" vertical="center"/>
    </xf>
    <xf numFmtId="165" fontId="273" fillId="164" borderId="73" xfId="5532" applyNumberFormat="1" applyFont="1" applyFill="1" applyBorder="1" applyAlignment="1">
      <alignment horizontal="center" vertical="center" wrapText="1"/>
    </xf>
    <xf numFmtId="165" fontId="273" fillId="164" borderId="73" xfId="5532" applyNumberFormat="1" applyFont="1" applyFill="1" applyBorder="1" applyAlignment="1">
      <alignment horizontal="left" vertical="center" wrapText="1"/>
    </xf>
    <xf numFmtId="0" fontId="277" fillId="164" borderId="73" xfId="5532" applyFont="1" applyFill="1" applyBorder="1" applyAlignment="1">
      <alignment horizontal="center" vertical="center" wrapText="1"/>
    </xf>
    <xf numFmtId="165" fontId="276" fillId="164" borderId="73" xfId="5530" applyNumberFormat="1" applyFont="1" applyFill="1" applyBorder="1" applyAlignment="1">
      <alignment horizontal="right" wrapText="1"/>
    </xf>
    <xf numFmtId="165" fontId="276" fillId="164" borderId="6" xfId="5532" applyNumberFormat="1" applyFont="1" applyFill="1" applyBorder="1" applyAlignment="1">
      <alignment horizontal="right" wrapText="1"/>
    </xf>
    <xf numFmtId="0" fontId="269" fillId="164" borderId="73" xfId="5530" applyFont="1" applyFill="1" applyBorder="1"/>
    <xf numFmtId="0" fontId="276" fillId="164" borderId="73" xfId="5532" applyFont="1" applyFill="1" applyBorder="1" applyAlignment="1">
      <alignment horizontal="center" vertical="center" wrapText="1"/>
    </xf>
    <xf numFmtId="165" fontId="276" fillId="164" borderId="74" xfId="5532" applyNumberFormat="1" applyFont="1" applyFill="1" applyBorder="1" applyAlignment="1">
      <alignment horizontal="right" wrapText="1"/>
    </xf>
    <xf numFmtId="165" fontId="276" fillId="164" borderId="74" xfId="5530" applyNumberFormat="1" applyFont="1" applyFill="1" applyBorder="1" applyAlignment="1">
      <alignment horizontal="right"/>
    </xf>
    <xf numFmtId="165" fontId="276" fillId="164" borderId="73" xfId="5530" applyNumberFormat="1" applyFont="1" applyFill="1" applyBorder="1" applyAlignment="1">
      <alignment horizontal="right"/>
    </xf>
    <xf numFmtId="0" fontId="267" fillId="164" borderId="0" xfId="5528" applyFill="1"/>
    <xf numFmtId="165" fontId="269" fillId="164" borderId="0" xfId="5530" applyNumberFormat="1" applyFont="1" applyFill="1"/>
    <xf numFmtId="165" fontId="269" fillId="164" borderId="0" xfId="5530" applyNumberFormat="1" applyFont="1" applyFill="1" applyAlignment="1">
      <alignment horizontal="right"/>
    </xf>
    <xf numFmtId="0" fontId="105" fillId="0" borderId="0" xfId="5528" applyFont="1" applyAlignment="1">
      <alignment wrapText="1"/>
    </xf>
    <xf numFmtId="0" fontId="59" fillId="0" borderId="0" xfId="5528" applyFont="1"/>
    <xf numFmtId="0" fontId="105" fillId="0" borderId="0" xfId="5528" applyFont="1"/>
    <xf numFmtId="0" fontId="10" fillId="0" borderId="73" xfId="5528" applyFont="1" applyFill="1" applyBorder="1" applyAlignment="1">
      <alignment horizontal="center" vertical="center" wrapText="1"/>
    </xf>
    <xf numFmtId="166" fontId="14" fillId="0" borderId="73" xfId="5528" applyNumberFormat="1" applyFont="1" applyFill="1" applyBorder="1" applyAlignment="1">
      <alignment horizontal="center" vertical="center" wrapText="1"/>
    </xf>
    <xf numFmtId="165" fontId="14" fillId="0" borderId="73" xfId="5528" applyNumberFormat="1" applyFont="1" applyFill="1" applyBorder="1" applyAlignment="1">
      <alignment horizontal="center" vertical="center" wrapText="1"/>
    </xf>
    <xf numFmtId="0" fontId="55" fillId="0" borderId="73" xfId="5528" applyFont="1" applyFill="1" applyBorder="1" applyAlignment="1">
      <alignment horizontal="center" vertical="center" wrapText="1"/>
    </xf>
    <xf numFmtId="165" fontId="94" fillId="0" borderId="73" xfId="5528" applyNumberFormat="1" applyFont="1" applyFill="1" applyBorder="1" applyAlignment="1">
      <alignment vertical="center" wrapText="1"/>
    </xf>
    <xf numFmtId="165" fontId="59" fillId="0" borderId="0" xfId="5528" applyNumberFormat="1" applyFont="1"/>
    <xf numFmtId="0" fontId="118" fillId="0" borderId="0" xfId="5528" applyFont="1"/>
    <xf numFmtId="0" fontId="118" fillId="0" borderId="0" xfId="5528" applyFont="1" applyAlignment="1">
      <alignment wrapText="1"/>
    </xf>
    <xf numFmtId="165" fontId="118" fillId="0" borderId="0" xfId="5528" applyNumberFormat="1" applyFont="1"/>
    <xf numFmtId="165" fontId="94" fillId="0" borderId="73" xfId="5528" applyNumberFormat="1" applyFont="1" applyFill="1" applyBorder="1" applyAlignment="1">
      <alignment horizontal="right" vertical="center" wrapText="1"/>
    </xf>
    <xf numFmtId="165" fontId="14" fillId="0" borderId="73" xfId="5528" applyNumberFormat="1" applyFont="1" applyFill="1" applyBorder="1" applyAlignment="1">
      <alignment vertical="center" wrapText="1"/>
    </xf>
    <xf numFmtId="165" fontId="14" fillId="0" borderId="73" xfId="5528" applyNumberFormat="1" applyFont="1" applyFill="1" applyBorder="1" applyAlignment="1">
      <alignment horizontal="right" vertical="center" wrapText="1"/>
    </xf>
    <xf numFmtId="0" fontId="105" fillId="0" borderId="7" xfId="5528" applyFont="1" applyBorder="1" applyAlignment="1">
      <alignment horizontal="center" vertical="center" wrapText="1"/>
    </xf>
    <xf numFmtId="4" fontId="14" fillId="0" borderId="73" xfId="5528" applyNumberFormat="1" applyFont="1" applyFill="1" applyBorder="1" applyAlignment="1">
      <alignment horizontal="right" vertical="center" wrapText="1"/>
    </xf>
    <xf numFmtId="0" fontId="118" fillId="0" borderId="7" xfId="5528" applyFont="1" applyBorder="1" applyAlignment="1">
      <alignment vertical="center" wrapText="1"/>
    </xf>
    <xf numFmtId="165" fontId="14" fillId="0" borderId="73" xfId="57" applyNumberFormat="1" applyFont="1" applyFill="1" applyBorder="1" applyAlignment="1">
      <alignment horizontal="right" vertical="center" wrapText="1"/>
    </xf>
    <xf numFmtId="166" fontId="14" fillId="0" borderId="73" xfId="5528" applyNumberFormat="1" applyFont="1" applyFill="1" applyBorder="1" applyAlignment="1">
      <alignment vertical="center" wrapText="1"/>
    </xf>
    <xf numFmtId="166" fontId="14" fillId="0" borderId="73" xfId="5528" applyNumberFormat="1" applyFont="1" applyFill="1" applyBorder="1" applyAlignment="1">
      <alignment horizontal="right" vertical="center" wrapText="1"/>
    </xf>
    <xf numFmtId="165" fontId="14" fillId="0" borderId="73" xfId="5528" applyNumberFormat="1" applyFont="1" applyFill="1" applyBorder="1"/>
    <xf numFmtId="165" fontId="14" fillId="0" borderId="73" xfId="5528" applyNumberFormat="1" applyFont="1" applyFill="1" applyBorder="1" applyAlignment="1">
      <alignment horizontal="right"/>
    </xf>
    <xf numFmtId="166" fontId="14" fillId="0" borderId="73" xfId="5528" applyNumberFormat="1" applyFont="1" applyFill="1" applyBorder="1"/>
    <xf numFmtId="2" fontId="14" fillId="0" borderId="73" xfId="5528" applyNumberFormat="1" applyFont="1" applyFill="1" applyBorder="1"/>
    <xf numFmtId="0" fontId="131" fillId="0" borderId="0" xfId="5528" applyFont="1"/>
    <xf numFmtId="0" fontId="279" fillId="0" borderId="0" xfId="5528" applyFont="1"/>
    <xf numFmtId="0" fontId="131" fillId="0" borderId="0" xfId="5528" applyFont="1" applyAlignment="1">
      <alignment wrapText="1"/>
    </xf>
    <xf numFmtId="165" fontId="94" fillId="0" borderId="73" xfId="5528" applyNumberFormat="1" applyFont="1" applyFill="1" applyBorder="1"/>
    <xf numFmtId="0" fontId="30" fillId="0" borderId="0" xfId="5528" applyFont="1" applyBorder="1" applyAlignment="1">
      <alignment vertical="center" wrapText="1"/>
    </xf>
    <xf numFmtId="165" fontId="279" fillId="0" borderId="0" xfId="5528" applyNumberFormat="1" applyFont="1"/>
    <xf numFmtId="165" fontId="14" fillId="0" borderId="74" xfId="5528" applyNumberFormat="1" applyFont="1" applyFill="1" applyBorder="1" applyAlignment="1">
      <alignment horizontal="right" vertical="center" wrapText="1"/>
    </xf>
    <xf numFmtId="49" fontId="10" fillId="0" borderId="0" xfId="5528" applyNumberFormat="1" applyFont="1" applyFill="1" applyBorder="1" applyAlignment="1">
      <alignment horizontal="center" vertical="center" wrapText="1"/>
    </xf>
    <xf numFmtId="0" fontId="30" fillId="0" borderId="0" xfId="5528" applyFont="1" applyFill="1" applyBorder="1" applyAlignment="1">
      <alignment horizontal="left" vertical="center" wrapText="1"/>
    </xf>
    <xf numFmtId="0" fontId="10" fillId="0" borderId="0" xfId="5528" applyFont="1" applyFill="1" applyBorder="1" applyAlignment="1">
      <alignment horizontal="center" vertical="center" wrapText="1"/>
    </xf>
    <xf numFmtId="165" fontId="14" fillId="0" borderId="0" xfId="5528" applyNumberFormat="1" applyFont="1" applyFill="1" applyBorder="1" applyAlignment="1">
      <alignment vertical="center" wrapText="1"/>
    </xf>
    <xf numFmtId="165" fontId="14" fillId="0" borderId="0" xfId="5528" applyNumberFormat="1" applyFont="1" applyFill="1" applyBorder="1" applyAlignment="1">
      <alignment horizontal="right" vertical="center" wrapText="1"/>
    </xf>
    <xf numFmtId="0" fontId="30" fillId="0" borderId="0" xfId="5528" applyFont="1" applyFill="1" applyBorder="1" applyAlignment="1">
      <alignment horizontal="center" vertical="center" wrapText="1"/>
    </xf>
    <xf numFmtId="49" fontId="105" fillId="0" borderId="0" xfId="5528" applyNumberFormat="1" applyFont="1" applyFill="1" applyAlignment="1">
      <alignment horizontal="left"/>
    </xf>
    <xf numFmtId="0" fontId="42" fillId="0" borderId="0" xfId="5528" applyFont="1" applyFill="1" applyAlignment="1">
      <alignment horizontal="left"/>
    </xf>
    <xf numFmtId="0" fontId="124" fillId="0" borderId="0" xfId="5528" applyFont="1" applyFill="1"/>
    <xf numFmtId="0" fontId="124" fillId="0" borderId="0" xfId="5528" applyFont="1" applyFill="1" applyAlignment="1">
      <alignment horizontal="center"/>
    </xf>
    <xf numFmtId="166" fontId="123" fillId="0" borderId="0" xfId="5528" applyNumberFormat="1" applyFont="1" applyFill="1"/>
    <xf numFmtId="165" fontId="123" fillId="0" borderId="0" xfId="5528" applyNumberFormat="1" applyFont="1" applyFill="1"/>
    <xf numFmtId="0" fontId="42" fillId="0" borderId="0" xfId="5528" applyFont="1" applyFill="1" applyAlignment="1">
      <alignment horizontal="center" vertical="center"/>
    </xf>
    <xf numFmtId="0" fontId="30" fillId="0" borderId="0" xfId="5528" applyFont="1" applyFill="1"/>
    <xf numFmtId="49" fontId="105" fillId="0" borderId="0" xfId="5528" applyNumberFormat="1" applyFont="1" applyFill="1" applyAlignment="1">
      <alignment horizontal="center"/>
    </xf>
    <xf numFmtId="0" fontId="280" fillId="164" borderId="0" xfId="5528" applyFont="1" applyFill="1"/>
    <xf numFmtId="0" fontId="268" fillId="164" borderId="0" xfId="5528" applyFont="1" applyFill="1"/>
    <xf numFmtId="4" fontId="268" fillId="164" borderId="8" xfId="5528" applyNumberFormat="1" applyFont="1" applyFill="1" applyBorder="1" applyAlignment="1">
      <alignment horizontal="right"/>
    </xf>
    <xf numFmtId="4" fontId="268" fillId="31" borderId="8" xfId="5528" applyNumberFormat="1" applyFont="1" applyFill="1" applyBorder="1"/>
    <xf numFmtId="4" fontId="268" fillId="164" borderId="0" xfId="5528" applyNumberFormat="1" applyFont="1" applyFill="1"/>
    <xf numFmtId="0" fontId="268" fillId="164" borderId="0" xfId="5528" applyFont="1" applyFill="1" applyAlignment="1">
      <alignment vertical="center"/>
    </xf>
    <xf numFmtId="0" fontId="269" fillId="0" borderId="0" xfId="5528" applyFont="1" applyAlignment="1">
      <alignment vertical="center"/>
    </xf>
    <xf numFmtId="167" fontId="269" fillId="0" borderId="0" xfId="5528" applyNumberFormat="1" applyFont="1" applyAlignment="1">
      <alignment horizontal="right" vertical="center"/>
    </xf>
    <xf numFmtId="0" fontId="269" fillId="164" borderId="0" xfId="5528" applyFont="1" applyFill="1"/>
    <xf numFmtId="0" fontId="267" fillId="0" borderId="0" xfId="5528"/>
    <xf numFmtId="0" fontId="283" fillId="164" borderId="77" xfId="5528" applyFont="1" applyFill="1" applyBorder="1" applyAlignment="1">
      <alignment horizontal="center" vertical="center" wrapText="1"/>
    </xf>
    <xf numFmtId="4" fontId="283" fillId="164" borderId="1" xfId="5528" applyNumberFormat="1" applyFont="1" applyFill="1" applyBorder="1" applyAlignment="1">
      <alignment horizontal="center" vertical="center" wrapText="1"/>
    </xf>
    <xf numFmtId="4" fontId="283" fillId="164" borderId="75" xfId="5528" applyNumberFormat="1" applyFont="1" applyFill="1" applyBorder="1" applyAlignment="1">
      <alignment horizontal="center" vertical="center" wrapText="1"/>
    </xf>
    <xf numFmtId="166" fontId="283" fillId="164" borderId="75" xfId="5528" applyNumberFormat="1" applyFont="1" applyFill="1" applyBorder="1" applyAlignment="1">
      <alignment horizontal="center" vertical="center" wrapText="1"/>
    </xf>
    <xf numFmtId="0" fontId="270" fillId="164" borderId="77" xfId="5528" applyFont="1" applyFill="1" applyBorder="1" applyAlignment="1">
      <alignment horizontal="center" vertical="center" wrapText="1"/>
    </xf>
    <xf numFmtId="0" fontId="269" fillId="0" borderId="4" xfId="5528" applyFont="1" applyBorder="1" applyAlignment="1">
      <alignment horizontal="center" vertical="center" wrapText="1"/>
    </xf>
    <xf numFmtId="0" fontId="270" fillId="0" borderId="9" xfId="5528" applyFont="1" applyBorder="1" applyAlignment="1">
      <alignment horizontal="center" vertical="center" wrapText="1"/>
    </xf>
    <xf numFmtId="4" fontId="284" fillId="0" borderId="1" xfId="5529" applyNumberFormat="1" applyFont="1" applyBorder="1" applyAlignment="1">
      <alignment horizontal="right" vertical="center" wrapText="1"/>
    </xf>
    <xf numFmtId="167" fontId="271" fillId="0" borderId="11" xfId="5529" applyNumberFormat="1" applyFont="1" applyBorder="1" applyAlignment="1">
      <alignment vertical="center" wrapText="1"/>
    </xf>
    <xf numFmtId="0" fontId="285" fillId="0" borderId="1" xfId="5528" applyFont="1" applyBorder="1" applyAlignment="1">
      <alignment horizontal="left" vertical="top" wrapText="1"/>
    </xf>
    <xf numFmtId="0" fontId="282" fillId="0" borderId="1" xfId="5528" applyFont="1" applyBorder="1" applyAlignment="1">
      <alignment horizontal="center" vertical="top" wrapText="1"/>
    </xf>
    <xf numFmtId="4" fontId="270" fillId="0" borderId="1" xfId="5529" applyNumberFormat="1" applyFont="1" applyBorder="1" applyAlignment="1">
      <alignment horizontal="right" vertical="center" wrapText="1"/>
    </xf>
    <xf numFmtId="167" fontId="282" fillId="0" borderId="4" xfId="5528" applyNumberFormat="1" applyFont="1" applyBorder="1" applyAlignment="1">
      <alignment horizontal="center" vertical="top" wrapText="1"/>
    </xf>
    <xf numFmtId="4" fontId="271" fillId="0" borderId="1" xfId="5529" applyNumberFormat="1" applyFont="1" applyBorder="1" applyAlignment="1">
      <alignment horizontal="right" vertical="center" wrapText="1"/>
    </xf>
    <xf numFmtId="4" fontId="286" fillId="0" borderId="1" xfId="5529" applyNumberFormat="1" applyFont="1" applyBorder="1" applyAlignment="1">
      <alignment horizontal="right" vertical="center" wrapText="1"/>
    </xf>
    <xf numFmtId="167" fontId="282" fillId="0" borderId="1" xfId="5528" applyNumberFormat="1" applyFont="1" applyBorder="1" applyAlignment="1">
      <alignment horizontal="center" vertical="top" wrapText="1"/>
    </xf>
    <xf numFmtId="0" fontId="284" fillId="0" borderId="9" xfId="5528" applyFont="1" applyBorder="1" applyAlignment="1">
      <alignment horizontal="center" vertical="center" wrapText="1"/>
    </xf>
    <xf numFmtId="167" fontId="286" fillId="0" borderId="11" xfId="5529" applyNumberFormat="1" applyFont="1" applyBorder="1" applyAlignment="1">
      <alignment vertical="center" wrapText="1"/>
    </xf>
    <xf numFmtId="4" fontId="284" fillId="0" borderId="1" xfId="5529" applyNumberFormat="1" applyFont="1" applyBorder="1" applyAlignment="1">
      <alignment vertical="center" wrapText="1"/>
    </xf>
    <xf numFmtId="0" fontId="288" fillId="165" borderId="9" xfId="5528" applyFont="1" applyFill="1" applyBorder="1" applyAlignment="1">
      <alignment horizontal="center" vertical="center" wrapText="1"/>
    </xf>
    <xf numFmtId="4" fontId="289" fillId="165" borderId="1" xfId="5529" applyNumberFormat="1" applyFont="1" applyFill="1" applyBorder="1" applyAlignment="1">
      <alignment horizontal="right" vertical="center" wrapText="1"/>
    </xf>
    <xf numFmtId="167" fontId="289" fillId="165" borderId="11" xfId="5529" applyNumberFormat="1" applyFont="1" applyFill="1" applyBorder="1" applyAlignment="1">
      <alignment vertical="center" wrapText="1"/>
    </xf>
    <xf numFmtId="0" fontId="285" fillId="165" borderId="1" xfId="5528" applyFont="1" applyFill="1" applyBorder="1" applyAlignment="1">
      <alignment horizontal="left" vertical="top" wrapText="1"/>
    </xf>
    <xf numFmtId="0" fontId="285" fillId="165" borderId="1" xfId="5528" applyFont="1" applyFill="1" applyBorder="1" applyAlignment="1">
      <alignment horizontal="center" vertical="top" wrapText="1"/>
    </xf>
    <xf numFmtId="4" fontId="288" fillId="165" borderId="1" xfId="5529" applyNumberFormat="1" applyFont="1" applyFill="1" applyBorder="1" applyAlignment="1">
      <alignment horizontal="right" vertical="center" wrapText="1"/>
    </xf>
    <xf numFmtId="0" fontId="285" fillId="165" borderId="4" xfId="5528" applyFont="1" applyFill="1" applyBorder="1" applyAlignment="1">
      <alignment horizontal="left" vertical="top" wrapText="1"/>
    </xf>
    <xf numFmtId="167" fontId="285" fillId="165" borderId="4" xfId="5528" applyNumberFormat="1" applyFont="1" applyFill="1" applyBorder="1" applyAlignment="1">
      <alignment horizontal="center" vertical="top" wrapText="1"/>
    </xf>
    <xf numFmtId="0" fontId="284" fillId="63" borderId="9" xfId="5528" applyFont="1" applyFill="1" applyBorder="1" applyAlignment="1">
      <alignment horizontal="center" vertical="center" wrapText="1"/>
    </xf>
    <xf numFmtId="4" fontId="286" fillId="63" borderId="1" xfId="5529" applyNumberFormat="1" applyFont="1" applyFill="1" applyBorder="1" applyAlignment="1">
      <alignment horizontal="right" vertical="center" wrapText="1"/>
    </xf>
    <xf numFmtId="167" fontId="271" fillId="63" borderId="11" xfId="5529" applyNumberFormat="1" applyFont="1" applyFill="1" applyBorder="1" applyAlignment="1">
      <alignment vertical="center" wrapText="1"/>
    </xf>
    <xf numFmtId="0" fontId="285" fillId="166" borderId="1" xfId="5528" applyFont="1" applyFill="1" applyBorder="1" applyAlignment="1">
      <alignment horizontal="left" vertical="top" wrapText="1"/>
    </xf>
    <xf numFmtId="0" fontId="282" fillId="166" borderId="1" xfId="5528" applyFont="1" applyFill="1" applyBorder="1" applyAlignment="1">
      <alignment horizontal="center" vertical="top" wrapText="1"/>
    </xf>
    <xf numFmtId="0" fontId="267" fillId="167" borderId="0" xfId="5528" applyFill="1"/>
    <xf numFmtId="4" fontId="284" fillId="63" borderId="1" xfId="5528" applyNumberFormat="1" applyFont="1" applyFill="1" applyBorder="1" applyAlignment="1">
      <alignment vertical="center" wrapText="1"/>
    </xf>
    <xf numFmtId="0" fontId="285" fillId="166" borderId="1" xfId="5528" applyFont="1" applyFill="1" applyBorder="1" applyAlignment="1">
      <alignment horizontal="center" vertical="top" wrapText="1"/>
    </xf>
    <xf numFmtId="0" fontId="285" fillId="166" borderId="4" xfId="5528" applyFont="1" applyFill="1" applyBorder="1" applyAlignment="1">
      <alignment horizontal="left" vertical="top" wrapText="1"/>
    </xf>
    <xf numFmtId="167" fontId="285" fillId="166" borderId="4" xfId="5528" applyNumberFormat="1" applyFont="1" applyFill="1" applyBorder="1" applyAlignment="1">
      <alignment horizontal="center" vertical="top" wrapText="1"/>
    </xf>
    <xf numFmtId="0" fontId="271" fillId="0" borderId="9" xfId="5528" applyFont="1" applyBorder="1" applyAlignment="1">
      <alignment horizontal="center" vertical="center" wrapText="1"/>
    </xf>
    <xf numFmtId="4" fontId="271" fillId="0" borderId="1" xfId="5528" applyNumberFormat="1" applyFont="1" applyBorder="1" applyAlignment="1">
      <alignment vertical="center" wrapText="1"/>
    </xf>
    <xf numFmtId="4" fontId="270" fillId="0" borderId="1" xfId="5528" applyNumberFormat="1" applyFont="1" applyBorder="1" applyAlignment="1">
      <alignment vertical="center" wrapText="1"/>
    </xf>
    <xf numFmtId="0" fontId="270" fillId="0" borderId="77" xfId="5528" applyFont="1" applyBorder="1" applyAlignment="1">
      <alignment horizontal="center" vertical="center" wrapText="1"/>
    </xf>
    <xf numFmtId="4" fontId="270" fillId="0" borderId="4" xfId="5528" applyNumberFormat="1" applyFont="1" applyBorder="1" applyAlignment="1">
      <alignment vertical="center" wrapText="1"/>
    </xf>
    <xf numFmtId="4" fontId="271" fillId="0" borderId="4" xfId="5528" applyNumberFormat="1" applyFont="1" applyBorder="1" applyAlignment="1">
      <alignment vertical="center" wrapText="1"/>
    </xf>
    <xf numFmtId="4" fontId="270" fillId="168" borderId="4" xfId="5528" applyNumberFormat="1" applyFont="1" applyFill="1" applyBorder="1" applyAlignment="1">
      <alignment vertical="center" wrapText="1"/>
    </xf>
    <xf numFmtId="167" fontId="271" fillId="168" borderId="11" xfId="5529" applyNumberFormat="1" applyFont="1" applyFill="1" applyBorder="1" applyAlignment="1">
      <alignment vertical="center" wrapText="1"/>
    </xf>
    <xf numFmtId="0" fontId="286" fillId="0" borderId="9" xfId="5528" applyFont="1" applyBorder="1" applyAlignment="1">
      <alignment horizontal="center" vertical="center" wrapText="1"/>
    </xf>
    <xf numFmtId="0" fontId="290" fillId="167" borderId="0" xfId="5528" applyFont="1" applyFill="1"/>
    <xf numFmtId="4" fontId="270" fillId="0" borderId="1" xfId="5529" applyNumberFormat="1" applyFont="1" applyBorder="1" applyAlignment="1">
      <alignment vertical="center" wrapText="1"/>
    </xf>
    <xf numFmtId="4" fontId="271" fillId="0" borderId="1" xfId="5529" applyNumberFormat="1" applyFont="1" applyBorder="1" applyAlignment="1">
      <alignment vertical="center" wrapText="1"/>
    </xf>
    <xf numFmtId="4" fontId="270" fillId="168" borderId="1" xfId="5529" applyNumberFormat="1" applyFont="1" applyFill="1" applyBorder="1" applyAlignment="1">
      <alignment vertical="center" wrapText="1"/>
    </xf>
    <xf numFmtId="4" fontId="286" fillId="0" borderId="1" xfId="5529" applyNumberFormat="1" applyFont="1" applyBorder="1" applyAlignment="1">
      <alignment vertical="center" wrapText="1"/>
    </xf>
    <xf numFmtId="4" fontId="270" fillId="168" borderId="1" xfId="5529" applyNumberFormat="1" applyFont="1" applyFill="1" applyBorder="1" applyAlignment="1">
      <alignment horizontal="right" vertical="center" wrapText="1"/>
    </xf>
    <xf numFmtId="0" fontId="270" fillId="63" borderId="9" xfId="5528" applyFont="1" applyFill="1" applyBorder="1" applyAlignment="1">
      <alignment horizontal="center" vertical="center" wrapText="1"/>
    </xf>
    <xf numFmtId="4" fontId="271" fillId="63" borderId="1" xfId="5529" applyNumberFormat="1" applyFont="1" applyFill="1" applyBorder="1" applyAlignment="1">
      <alignment horizontal="right" vertical="center" wrapText="1"/>
    </xf>
    <xf numFmtId="4" fontId="270" fillId="63" borderId="1" xfId="5528" applyNumberFormat="1" applyFont="1" applyFill="1" applyBorder="1" applyAlignment="1">
      <alignment vertical="center" wrapText="1"/>
    </xf>
    <xf numFmtId="167" fontId="285" fillId="166" borderId="1" xfId="5528" applyNumberFormat="1" applyFont="1" applyFill="1" applyBorder="1" applyAlignment="1">
      <alignment horizontal="center" vertical="top" wrapText="1"/>
    </xf>
    <xf numFmtId="0" fontId="284" fillId="168" borderId="9" xfId="5528" applyFont="1" applyFill="1" applyBorder="1" applyAlignment="1">
      <alignment horizontal="center" vertical="center" wrapText="1"/>
    </xf>
    <xf numFmtId="0" fontId="271" fillId="165" borderId="9" xfId="5528" applyFont="1" applyFill="1" applyBorder="1" applyAlignment="1">
      <alignment horizontal="center" vertical="center" wrapText="1"/>
    </xf>
    <xf numFmtId="4" fontId="286" fillId="165" borderId="1" xfId="5529" applyNumberFormat="1" applyFont="1" applyFill="1" applyBorder="1" applyAlignment="1">
      <alignment horizontal="right" vertical="center" wrapText="1"/>
    </xf>
    <xf numFmtId="167" fontId="286" fillId="165" borderId="11" xfId="5529" applyNumberFormat="1" applyFont="1" applyFill="1" applyBorder="1" applyAlignment="1">
      <alignment vertical="center" wrapText="1"/>
    </xf>
    <xf numFmtId="4" fontId="270" fillId="0" borderId="1" xfId="5528" applyNumberFormat="1" applyFont="1" applyBorder="1" applyAlignment="1">
      <alignment horizontal="right" vertical="center" wrapText="1"/>
    </xf>
    <xf numFmtId="0" fontId="288" fillId="0" borderId="1" xfId="5528" applyFont="1" applyBorder="1" applyAlignment="1">
      <alignment horizontal="center" vertical="center" wrapText="1"/>
    </xf>
    <xf numFmtId="4" fontId="288" fillId="0" borderId="1" xfId="5528" applyNumberFormat="1" applyFont="1" applyBorder="1" applyAlignment="1">
      <alignment horizontal="right" vertical="center" wrapText="1"/>
    </xf>
    <xf numFmtId="4" fontId="288" fillId="0" borderId="1" xfId="5529" applyNumberFormat="1" applyFont="1" applyBorder="1" applyAlignment="1">
      <alignment horizontal="right" vertical="center" wrapText="1"/>
    </xf>
    <xf numFmtId="4" fontId="284" fillId="63" borderId="1" xfId="5529" applyNumberFormat="1" applyFont="1" applyFill="1" applyBorder="1" applyAlignment="1">
      <alignment horizontal="right" vertical="center" wrapText="1"/>
    </xf>
    <xf numFmtId="4" fontId="270" fillId="63" borderId="1" xfId="5529" applyNumberFormat="1" applyFont="1" applyFill="1" applyBorder="1" applyAlignment="1">
      <alignment horizontal="right" vertical="center" wrapText="1"/>
    </xf>
    <xf numFmtId="0" fontId="285" fillId="63" borderId="1" xfId="5528" applyFont="1" applyFill="1" applyBorder="1" applyAlignment="1">
      <alignment horizontal="left" vertical="top" wrapText="1"/>
    </xf>
    <xf numFmtId="0" fontId="285" fillId="63" borderId="1" xfId="5528" applyFont="1" applyFill="1" applyBorder="1" applyAlignment="1">
      <alignment horizontal="center" vertical="top" wrapText="1"/>
    </xf>
    <xf numFmtId="167" fontId="285" fillId="63" borderId="1" xfId="5528" applyNumberFormat="1" applyFont="1" applyFill="1" applyBorder="1" applyAlignment="1">
      <alignment horizontal="center" vertical="top" wrapText="1"/>
    </xf>
    <xf numFmtId="0" fontId="270" fillId="168" borderId="9" xfId="5528" applyFont="1" applyFill="1" applyBorder="1" applyAlignment="1">
      <alignment horizontal="center" vertical="center" wrapText="1"/>
    </xf>
    <xf numFmtId="4" fontId="270" fillId="168" borderId="1" xfId="5528" applyNumberFormat="1" applyFont="1" applyFill="1" applyBorder="1" applyAlignment="1">
      <alignment vertical="center" wrapText="1"/>
    </xf>
    <xf numFmtId="4" fontId="269" fillId="168" borderId="1" xfId="5528" applyNumberFormat="1" applyFont="1" applyFill="1" applyBorder="1" applyAlignment="1">
      <alignment vertical="center" wrapText="1"/>
    </xf>
    <xf numFmtId="4" fontId="284" fillId="168" borderId="1" xfId="5529" applyNumberFormat="1" applyFont="1" applyFill="1" applyBorder="1" applyAlignment="1">
      <alignment horizontal="right" vertical="center" wrapText="1"/>
    </xf>
    <xf numFmtId="0" fontId="270" fillId="165" borderId="9" xfId="5528" applyFont="1" applyFill="1" applyBorder="1" applyAlignment="1">
      <alignment horizontal="center" vertical="center" wrapText="1"/>
    </xf>
    <xf numFmtId="4" fontId="284" fillId="165" borderId="1" xfId="5529" applyNumberFormat="1" applyFont="1" applyFill="1" applyBorder="1" applyAlignment="1">
      <alignment horizontal="right" vertical="center" wrapText="1"/>
    </xf>
    <xf numFmtId="167" fontId="271" fillId="165" borderId="11" xfId="5529" applyNumberFormat="1" applyFont="1" applyFill="1" applyBorder="1" applyAlignment="1">
      <alignment vertical="center" wrapText="1"/>
    </xf>
    <xf numFmtId="4" fontId="284" fillId="165" borderId="1" xfId="5529" applyNumberFormat="1" applyFont="1" applyFill="1" applyBorder="1" applyAlignment="1">
      <alignment vertical="center" wrapText="1"/>
    </xf>
    <xf numFmtId="4" fontId="270" fillId="165" borderId="1" xfId="5529" applyNumberFormat="1" applyFont="1" applyFill="1" applyBorder="1" applyAlignment="1">
      <alignment vertical="center" wrapText="1"/>
    </xf>
    <xf numFmtId="4" fontId="284" fillId="169" borderId="1" xfId="5529" applyNumberFormat="1" applyFont="1" applyFill="1" applyBorder="1" applyAlignment="1">
      <alignment horizontal="right" vertical="center" wrapText="1"/>
    </xf>
    <xf numFmtId="167" fontId="271" fillId="169" borderId="11" xfId="5529" applyNumberFormat="1" applyFont="1" applyFill="1" applyBorder="1" applyAlignment="1">
      <alignment vertical="center" wrapText="1"/>
    </xf>
    <xf numFmtId="0" fontId="294" fillId="31" borderId="0" xfId="5528" applyFont="1" applyFill="1"/>
    <xf numFmtId="4" fontId="284" fillId="0" borderId="1" xfId="5528" applyNumberFormat="1" applyFont="1" applyBorder="1" applyAlignment="1">
      <alignment horizontal="right" vertical="center" wrapText="1"/>
    </xf>
    <xf numFmtId="0" fontId="284" fillId="170" borderId="9" xfId="5528" applyFont="1" applyFill="1" applyBorder="1" applyAlignment="1">
      <alignment horizontal="center" vertical="center" wrapText="1"/>
    </xf>
    <xf numFmtId="4" fontId="284" fillId="170" borderId="1" xfId="5528" applyNumberFormat="1" applyFont="1" applyFill="1" applyBorder="1" applyAlignment="1">
      <alignment horizontal="right" vertical="top" wrapText="1"/>
    </xf>
    <xf numFmtId="4" fontId="284" fillId="57" borderId="1" xfId="5529" applyNumberFormat="1" applyFont="1" applyFill="1" applyBorder="1" applyAlignment="1">
      <alignment horizontal="right" vertical="center" wrapText="1"/>
    </xf>
    <xf numFmtId="167" fontId="271" fillId="170" borderId="11" xfId="5529" applyNumberFormat="1" applyFont="1" applyFill="1" applyBorder="1" applyAlignment="1">
      <alignment vertical="center" wrapText="1"/>
    </xf>
    <xf numFmtId="4" fontId="284" fillId="170" borderId="1" xfId="5529" applyNumberFormat="1" applyFont="1" applyFill="1" applyBorder="1" applyAlignment="1">
      <alignment vertical="center" wrapText="1"/>
    </xf>
    <xf numFmtId="4" fontId="284" fillId="57" borderId="1" xfId="5529" applyNumberFormat="1" applyFont="1" applyFill="1" applyBorder="1" applyAlignment="1">
      <alignment vertical="center" wrapText="1"/>
    </xf>
    <xf numFmtId="165" fontId="284" fillId="170" borderId="1" xfId="5528" applyNumberFormat="1" applyFont="1" applyFill="1" applyBorder="1" applyAlignment="1">
      <alignment horizontal="center" vertical="top" wrapText="1"/>
    </xf>
    <xf numFmtId="4" fontId="284" fillId="0" borderId="1" xfId="5528" applyNumberFormat="1" applyFont="1" applyBorder="1" applyAlignment="1">
      <alignment horizontal="right" wrapText="1"/>
    </xf>
    <xf numFmtId="4" fontId="286" fillId="0" borderId="1" xfId="5529" applyNumberFormat="1" applyFont="1" applyBorder="1" applyAlignment="1">
      <alignment horizontal="right" wrapText="1"/>
    </xf>
    <xf numFmtId="165" fontId="284" fillId="0" borderId="1" xfId="5528" applyNumberFormat="1" applyFont="1" applyBorder="1" applyAlignment="1">
      <alignment horizontal="right"/>
    </xf>
    <xf numFmtId="2" fontId="284" fillId="0" borderId="9" xfId="5528" applyNumberFormat="1" applyFont="1" applyBorder="1" applyAlignment="1">
      <alignment horizontal="right" wrapText="1"/>
    </xf>
    <xf numFmtId="165" fontId="284" fillId="0" borderId="1" xfId="5528" applyNumberFormat="1" applyFont="1" applyBorder="1" applyAlignment="1">
      <alignment horizontal="right" wrapText="1"/>
    </xf>
    <xf numFmtId="165" fontId="284" fillId="0" borderId="1" xfId="5528" applyNumberFormat="1" applyFont="1" applyBorder="1" applyAlignment="1">
      <alignment horizontal="center" vertical="top" wrapText="1"/>
    </xf>
    <xf numFmtId="4" fontId="284" fillId="57" borderId="1" xfId="5529" applyNumberFormat="1" applyFont="1" applyFill="1" applyBorder="1" applyAlignment="1">
      <alignment horizontal="right" wrapText="1"/>
    </xf>
    <xf numFmtId="167" fontId="271" fillId="57" borderId="11" xfId="5529" applyNumberFormat="1" applyFont="1" applyFill="1" applyBorder="1" applyAlignment="1">
      <alignment vertical="center" wrapText="1"/>
    </xf>
    <xf numFmtId="165" fontId="284" fillId="63" borderId="1" xfId="5528" applyNumberFormat="1" applyFont="1" applyFill="1" applyBorder="1" applyAlignment="1">
      <alignment horizontal="right" wrapText="1"/>
    </xf>
    <xf numFmtId="4" fontId="286" fillId="63" borderId="1" xfId="5529" applyNumberFormat="1" applyFont="1" applyFill="1" applyBorder="1" applyAlignment="1">
      <alignment horizontal="right" wrapText="1"/>
    </xf>
    <xf numFmtId="167" fontId="286" fillId="63" borderId="11" xfId="5529" applyNumberFormat="1" applyFont="1" applyFill="1" applyBorder="1" applyAlignment="1">
      <alignment wrapText="1"/>
    </xf>
    <xf numFmtId="165" fontId="284" fillId="63" borderId="1" xfId="5528" applyNumberFormat="1" applyFont="1" applyFill="1" applyBorder="1" applyAlignment="1">
      <alignment wrapText="1"/>
    </xf>
    <xf numFmtId="165" fontId="284" fillId="63" borderId="1" xfId="5528" applyNumberFormat="1" applyFont="1" applyFill="1" applyBorder="1" applyAlignment="1">
      <alignment horizontal="center" vertical="top" wrapText="1"/>
    </xf>
    <xf numFmtId="167" fontId="284" fillId="57" borderId="11" xfId="5529" applyNumberFormat="1" applyFont="1" applyFill="1" applyBorder="1" applyAlignment="1">
      <alignment wrapText="1"/>
    </xf>
    <xf numFmtId="0" fontId="282" fillId="63" borderId="1" xfId="5528" applyFont="1" applyFill="1" applyBorder="1" applyAlignment="1">
      <alignment horizontal="center" vertical="top" wrapText="1"/>
    </xf>
    <xf numFmtId="4" fontId="270" fillId="63" borderId="1" xfId="5528" applyNumberFormat="1" applyFont="1" applyFill="1" applyBorder="1" applyAlignment="1">
      <alignment horizontal="right" vertical="center" wrapText="1"/>
    </xf>
    <xf numFmtId="4" fontId="270" fillId="63" borderId="6" xfId="5528" applyNumberFormat="1" applyFont="1" applyFill="1" applyBorder="1" applyAlignment="1">
      <alignment horizontal="right" vertical="center" wrapText="1"/>
    </xf>
    <xf numFmtId="165" fontId="270" fillId="63" borderId="1" xfId="5528" applyNumberFormat="1" applyFont="1" applyFill="1" applyBorder="1" applyAlignment="1">
      <alignment horizontal="center" vertical="top" wrapText="1"/>
    </xf>
    <xf numFmtId="4" fontId="271" fillId="0" borderId="1" xfId="5528" applyNumberFormat="1" applyFont="1" applyBorder="1" applyAlignment="1">
      <alignment horizontal="right" vertical="center" wrapText="1"/>
    </xf>
    <xf numFmtId="167" fontId="286" fillId="0" borderId="11" xfId="5529" applyNumberFormat="1" applyFont="1" applyBorder="1" applyAlignment="1">
      <alignment wrapText="1"/>
    </xf>
    <xf numFmtId="4" fontId="270" fillId="168" borderId="1" xfId="5528" applyNumberFormat="1" applyFont="1" applyFill="1" applyBorder="1" applyAlignment="1">
      <alignment horizontal="right" vertical="center" wrapText="1"/>
    </xf>
    <xf numFmtId="167" fontId="286" fillId="168" borderId="11" xfId="5529" applyNumberFormat="1" applyFont="1" applyFill="1" applyBorder="1" applyAlignment="1">
      <alignment wrapText="1"/>
    </xf>
    <xf numFmtId="4" fontId="270" fillId="0" borderId="1" xfId="5528" applyNumberFormat="1" applyFont="1" applyBorder="1" applyAlignment="1">
      <alignment horizontal="right" vertical="top" wrapText="1"/>
    </xf>
    <xf numFmtId="165" fontId="270" fillId="0" borderId="1" xfId="5528" applyNumberFormat="1" applyFont="1" applyBorder="1" applyAlignment="1">
      <alignment horizontal="center" vertical="top" wrapText="1"/>
    </xf>
    <xf numFmtId="4" fontId="288" fillId="0" borderId="0" xfId="5528" applyNumberFormat="1" applyFont="1"/>
    <xf numFmtId="4" fontId="284" fillId="0" borderId="1" xfId="5528" applyNumberFormat="1" applyFont="1" applyBorder="1" applyAlignment="1">
      <alignment horizontal="right" vertical="top" wrapText="1"/>
    </xf>
    <xf numFmtId="4" fontId="284" fillId="57" borderId="1" xfId="5528" applyNumberFormat="1" applyFont="1" applyFill="1" applyBorder="1" applyAlignment="1">
      <alignment horizontal="right" vertical="top" wrapText="1"/>
    </xf>
    <xf numFmtId="165" fontId="288" fillId="57" borderId="1" xfId="5530" applyNumberFormat="1" applyFont="1" applyFill="1" applyBorder="1" applyAlignment="1">
      <alignment horizontal="right" wrapText="1"/>
    </xf>
    <xf numFmtId="165" fontId="270" fillId="0" borderId="9" xfId="5528" applyNumberFormat="1" applyFont="1" applyBorder="1" applyAlignment="1">
      <alignment horizontal="center" vertical="top" wrapText="1"/>
    </xf>
    <xf numFmtId="4" fontId="271" fillId="57" borderId="1" xfId="5529" applyNumberFormat="1" applyFont="1" applyFill="1" applyBorder="1" applyAlignment="1">
      <alignment horizontal="right" vertical="center" wrapText="1"/>
    </xf>
    <xf numFmtId="4" fontId="271" fillId="165" borderId="1" xfId="5529" applyNumberFormat="1" applyFont="1" applyFill="1" applyBorder="1" applyAlignment="1">
      <alignment horizontal="right" vertical="center" wrapText="1"/>
    </xf>
    <xf numFmtId="0" fontId="295" fillId="166" borderId="1" xfId="5528" applyFont="1" applyFill="1" applyBorder="1" applyAlignment="1">
      <alignment horizontal="left" vertical="top" wrapText="1"/>
    </xf>
    <xf numFmtId="0" fontId="295" fillId="165" borderId="1" xfId="5528" applyFont="1" applyFill="1" applyBorder="1" applyAlignment="1">
      <alignment horizontal="center" vertical="top" wrapText="1"/>
    </xf>
    <xf numFmtId="4" fontId="271" fillId="165" borderId="1" xfId="5529" applyNumberFormat="1" applyFont="1" applyFill="1" applyBorder="1" applyAlignment="1">
      <alignment vertical="center" wrapText="1"/>
    </xf>
    <xf numFmtId="4" fontId="289" fillId="165" borderId="1" xfId="5529" applyNumberFormat="1" applyFont="1" applyFill="1" applyBorder="1" applyAlignment="1">
      <alignment vertical="center" wrapText="1"/>
    </xf>
    <xf numFmtId="167" fontId="295" fillId="165" borderId="1" xfId="5528" applyNumberFormat="1" applyFont="1" applyFill="1" applyBorder="1" applyAlignment="1">
      <alignment horizontal="center" vertical="top" wrapText="1"/>
    </xf>
    <xf numFmtId="0" fontId="271" fillId="63" borderId="9" xfId="5528" applyFont="1" applyFill="1" applyBorder="1" applyAlignment="1">
      <alignment horizontal="center" vertical="center" wrapText="1"/>
    </xf>
    <xf numFmtId="4" fontId="288" fillId="63" borderId="1" xfId="5529" applyNumberFormat="1" applyFont="1" applyFill="1" applyBorder="1" applyAlignment="1">
      <alignment horizontal="right" vertical="center" wrapText="1"/>
    </xf>
    <xf numFmtId="4" fontId="268" fillId="0" borderId="0" xfId="5528" applyNumberFormat="1" applyFont="1" applyAlignment="1">
      <alignment horizontal="right"/>
    </xf>
    <xf numFmtId="4" fontId="268" fillId="0" borderId="0" xfId="5528" applyNumberFormat="1" applyFont="1"/>
    <xf numFmtId="165" fontId="294" fillId="0" borderId="0" xfId="5528" applyNumberFormat="1" applyFont="1"/>
    <xf numFmtId="4" fontId="268" fillId="164" borderId="0" xfId="5528" applyNumberFormat="1" applyFont="1" applyFill="1" applyAlignment="1">
      <alignment horizontal="right"/>
    </xf>
    <xf numFmtId="4" fontId="268" fillId="31" borderId="0" xfId="5528" applyNumberFormat="1" applyFont="1" applyFill="1"/>
    <xf numFmtId="4" fontId="268" fillId="164" borderId="1" xfId="5528" applyNumberFormat="1" applyFont="1" applyFill="1" applyBorder="1" applyAlignment="1">
      <alignment horizontal="right"/>
    </xf>
    <xf numFmtId="4" fontId="268" fillId="31" borderId="1" xfId="5528" applyNumberFormat="1" applyFont="1" applyFill="1" applyBorder="1"/>
    <xf numFmtId="0" fontId="55" fillId="5" borderId="73" xfId="5528" applyFont="1" applyFill="1" applyBorder="1" applyAlignment="1">
      <alignment horizontal="center" vertical="center" wrapText="1"/>
    </xf>
    <xf numFmtId="165" fontId="94" fillId="5" borderId="73" xfId="5528" applyNumberFormat="1" applyFont="1" applyFill="1" applyBorder="1" applyAlignment="1">
      <alignment vertical="center" wrapText="1"/>
    </xf>
    <xf numFmtId="0" fontId="105" fillId="5" borderId="0" xfId="5528" applyFont="1" applyFill="1" applyAlignment="1">
      <alignment wrapText="1"/>
    </xf>
    <xf numFmtId="0" fontId="59" fillId="5" borderId="0" xfId="5528" applyFont="1" applyFill="1"/>
    <xf numFmtId="0" fontId="118" fillId="5" borderId="0" xfId="5528" applyFont="1" applyFill="1"/>
    <xf numFmtId="0" fontId="105" fillId="5" borderId="0" xfId="5528" applyFont="1" applyFill="1"/>
    <xf numFmtId="0" fontId="10" fillId="5" borderId="73" xfId="5528" applyFont="1" applyFill="1" applyBorder="1" applyAlignment="1">
      <alignment horizontal="center" vertical="center" wrapText="1"/>
    </xf>
    <xf numFmtId="165" fontId="14" fillId="5" borderId="73" xfId="5528" applyNumberFormat="1" applyFont="1" applyFill="1" applyBorder="1" applyAlignment="1">
      <alignment vertical="center" wrapText="1"/>
    </xf>
    <xf numFmtId="165" fontId="14" fillId="5" borderId="73" xfId="5528" applyNumberFormat="1" applyFont="1" applyFill="1" applyBorder="1" applyAlignment="1">
      <alignment horizontal="right" vertical="center" wrapText="1"/>
    </xf>
    <xf numFmtId="0" fontId="27" fillId="20" borderId="1" xfId="0" applyFont="1" applyFill="1" applyBorder="1" applyAlignment="1">
      <alignment horizontal="center" vertical="top" wrapText="1"/>
    </xf>
    <xf numFmtId="167" fontId="27" fillId="20" borderId="1" xfId="0" applyNumberFormat="1" applyFont="1" applyFill="1" applyBorder="1" applyAlignment="1">
      <alignment horizontal="center" vertical="top" wrapText="1"/>
    </xf>
    <xf numFmtId="0" fontId="55" fillId="20" borderId="73" xfId="5528" applyFont="1" applyFill="1" applyBorder="1" applyAlignment="1">
      <alignment horizontal="center" vertical="center" wrapText="1"/>
    </xf>
    <xf numFmtId="165" fontId="94" fillId="20" borderId="73" xfId="5528" applyNumberFormat="1" applyFont="1" applyFill="1" applyBorder="1" applyAlignment="1">
      <alignment vertical="center" wrapText="1"/>
    </xf>
    <xf numFmtId="0" fontId="105" fillId="20" borderId="0" xfId="5528" applyFont="1" applyFill="1" applyAlignment="1">
      <alignment wrapText="1"/>
    </xf>
    <xf numFmtId="0" fontId="59" fillId="20" borderId="0" xfId="5528" applyFont="1" applyFill="1"/>
    <xf numFmtId="0" fontId="105" fillId="20" borderId="0" xfId="5528" applyFont="1" applyFill="1"/>
    <xf numFmtId="0" fontId="10" fillId="20" borderId="73" xfId="5528" applyFont="1" applyFill="1" applyBorder="1" applyAlignment="1">
      <alignment horizontal="center" vertical="center" wrapText="1"/>
    </xf>
    <xf numFmtId="165" fontId="14" fillId="20" borderId="73" xfId="5528" applyNumberFormat="1" applyFont="1" applyFill="1" applyBorder="1" applyAlignment="1">
      <alignment vertical="center" wrapText="1"/>
    </xf>
    <xf numFmtId="165" fontId="14" fillId="20" borderId="73" xfId="5528" applyNumberFormat="1" applyFont="1" applyFill="1" applyBorder="1" applyAlignment="1">
      <alignment horizontal="right" vertical="center" wrapText="1"/>
    </xf>
    <xf numFmtId="4" fontId="14" fillId="5" borderId="73" xfId="5528" applyNumberFormat="1" applyFont="1" applyFill="1" applyBorder="1" applyAlignment="1">
      <alignment vertical="center" wrapText="1"/>
    </xf>
    <xf numFmtId="4" fontId="14" fillId="5" borderId="73" xfId="5528" applyNumberFormat="1" applyFont="1" applyFill="1" applyBorder="1" applyAlignment="1">
      <alignment horizontal="right" vertical="center" wrapText="1"/>
    </xf>
    <xf numFmtId="165" fontId="278" fillId="5" borderId="73" xfId="5528" applyNumberFormat="1" applyFont="1" applyFill="1" applyBorder="1" applyAlignment="1">
      <alignment vertical="center" wrapText="1"/>
    </xf>
    <xf numFmtId="0" fontId="118" fillId="5" borderId="7" xfId="5528" applyFont="1" applyFill="1" applyBorder="1" applyAlignment="1">
      <alignment vertical="center" wrapText="1"/>
    </xf>
    <xf numFmtId="0" fontId="55" fillId="59" borderId="73" xfId="5528" applyFont="1" applyFill="1" applyBorder="1" applyAlignment="1">
      <alignment horizontal="center" vertical="center" wrapText="1"/>
    </xf>
    <xf numFmtId="165" fontId="94" fillId="59" borderId="73" xfId="5528" applyNumberFormat="1" applyFont="1" applyFill="1" applyBorder="1" applyAlignment="1">
      <alignment vertical="center" wrapText="1"/>
    </xf>
    <xf numFmtId="0" fontId="59" fillId="59" borderId="0" xfId="5528" applyFont="1" applyFill="1"/>
    <xf numFmtId="0" fontId="105" fillId="59" borderId="0" xfId="5528" applyFont="1" applyFill="1"/>
    <xf numFmtId="0" fontId="10" fillId="27" borderId="73" xfId="5528" applyFont="1" applyFill="1" applyBorder="1" applyAlignment="1">
      <alignment horizontal="center" vertical="center" wrapText="1"/>
    </xf>
    <xf numFmtId="165" fontId="14" fillId="27" borderId="73" xfId="5528" applyNumberFormat="1" applyFont="1" applyFill="1" applyBorder="1" applyAlignment="1">
      <alignment vertical="center" wrapText="1"/>
    </xf>
    <xf numFmtId="165" fontId="14" fillId="27" borderId="73" xfId="5528" applyNumberFormat="1" applyFont="1" applyFill="1" applyBorder="1" applyAlignment="1">
      <alignment horizontal="right" vertical="center" wrapText="1"/>
    </xf>
    <xf numFmtId="0" fontId="59" fillId="27" borderId="0" xfId="5528" applyFont="1" applyFill="1"/>
    <xf numFmtId="0" fontId="105" fillId="27" borderId="0" xfId="5528" applyFont="1" applyFill="1"/>
    <xf numFmtId="0" fontId="105" fillId="27" borderId="0" xfId="5528" applyFont="1" applyFill="1" applyAlignment="1">
      <alignment wrapText="1"/>
    </xf>
    <xf numFmtId="0" fontId="0" fillId="27" borderId="0" xfId="0" applyFill="1"/>
    <xf numFmtId="165" fontId="94" fillId="5" borderId="73" xfId="5528" applyNumberFormat="1" applyFont="1" applyFill="1" applyBorder="1" applyAlignment="1">
      <alignment horizontal="right" vertical="center" wrapText="1"/>
    </xf>
    <xf numFmtId="0" fontId="55" fillId="12" borderId="73" xfId="5528" applyFont="1" applyFill="1" applyBorder="1" applyAlignment="1">
      <alignment horizontal="center" vertical="center" wrapText="1"/>
    </xf>
    <xf numFmtId="165" fontId="94" fillId="12" borderId="73" xfId="5528" applyNumberFormat="1" applyFont="1" applyFill="1" applyBorder="1" applyAlignment="1">
      <alignment vertical="center" wrapText="1"/>
    </xf>
    <xf numFmtId="0" fontId="105" fillId="12" borderId="0" xfId="5528" applyFont="1" applyFill="1" applyAlignment="1">
      <alignment wrapText="1"/>
    </xf>
    <xf numFmtId="0" fontId="59" fillId="12" borderId="0" xfId="5528" applyFont="1" applyFill="1"/>
    <xf numFmtId="0" fontId="105" fillId="12" borderId="0" xfId="5528" applyFont="1" applyFill="1"/>
    <xf numFmtId="0" fontId="55" fillId="27" borderId="73" xfId="5528" applyFont="1" applyFill="1" applyBorder="1" applyAlignment="1">
      <alignment horizontal="center" vertical="center" wrapText="1"/>
    </xf>
    <xf numFmtId="165" fontId="94" fillId="27" borderId="73" xfId="5528" applyNumberFormat="1" applyFont="1" applyFill="1" applyBorder="1" applyAlignment="1">
      <alignment vertical="center" wrapText="1"/>
    </xf>
    <xf numFmtId="165" fontId="14" fillId="5" borderId="73" xfId="5528" applyNumberFormat="1" applyFont="1" applyFill="1" applyBorder="1" applyAlignment="1">
      <alignment horizontal="right"/>
    </xf>
    <xf numFmtId="166" fontId="14" fillId="5" borderId="73" xfId="5528" applyNumberFormat="1" applyFont="1" applyFill="1" applyBorder="1" applyAlignment="1">
      <alignment horizontal="right" vertical="center" wrapText="1"/>
    </xf>
    <xf numFmtId="165" fontId="14" fillId="5" borderId="73" xfId="5528" applyNumberFormat="1" applyFont="1" applyFill="1" applyBorder="1"/>
    <xf numFmtId="0" fontId="131" fillId="5" borderId="0" xfId="5528" applyFont="1" applyFill="1" applyAlignment="1">
      <alignment wrapText="1"/>
    </xf>
    <xf numFmtId="0" fontId="279" fillId="5" borderId="0" xfId="5528" applyFont="1" applyFill="1"/>
    <xf numFmtId="0" fontId="131" fillId="5" borderId="0" xfId="5528" applyFont="1" applyFill="1"/>
    <xf numFmtId="165" fontId="94" fillId="5" borderId="73" xfId="5528" applyNumberFormat="1" applyFont="1" applyFill="1" applyBorder="1"/>
    <xf numFmtId="0" fontId="30" fillId="5" borderId="0" xfId="5528" applyFont="1" applyFill="1" applyBorder="1" applyAlignment="1">
      <alignment vertical="center" wrapText="1"/>
    </xf>
    <xf numFmtId="165" fontId="94" fillId="59" borderId="73" xfId="5528" applyNumberFormat="1" applyFont="1" applyFill="1" applyBorder="1" applyAlignment="1">
      <alignment horizontal="right" vertical="center" wrapText="1"/>
    </xf>
    <xf numFmtId="0" fontId="105" fillId="59" borderId="0" xfId="5528" applyFont="1" applyFill="1" applyAlignment="1">
      <alignment wrapText="1"/>
    </xf>
    <xf numFmtId="165" fontId="94" fillId="27" borderId="73" xfId="5528" applyNumberFormat="1" applyFont="1" applyFill="1" applyBorder="1" applyAlignment="1">
      <alignment horizontal="right" vertical="center" wrapText="1"/>
    </xf>
    <xf numFmtId="0" fontId="22" fillId="20" borderId="9" xfId="0" applyFont="1" applyFill="1" applyBorder="1" applyAlignment="1">
      <alignment horizontal="center" vertical="center" wrapText="1"/>
    </xf>
    <xf numFmtId="4" fontId="22" fillId="20" borderId="1" xfId="1" applyNumberFormat="1" applyFont="1" applyFill="1" applyBorder="1" applyAlignment="1">
      <alignment horizontal="right" vertical="center" wrapText="1"/>
    </xf>
    <xf numFmtId="4" fontId="32" fillId="20" borderId="1" xfId="1" applyNumberFormat="1" applyFont="1" applyFill="1" applyBorder="1" applyAlignment="1">
      <alignment horizontal="right" vertical="center" wrapText="1"/>
    </xf>
    <xf numFmtId="0" fontId="27" fillId="20" borderId="1" xfId="0" applyNumberFormat="1" applyFont="1" applyFill="1" applyBorder="1" applyAlignment="1">
      <alignment horizontal="center" vertical="top" wrapText="1"/>
    </xf>
    <xf numFmtId="0" fontId="22" fillId="11" borderId="9" xfId="0" applyFont="1" applyFill="1" applyBorder="1" applyAlignment="1">
      <alignment horizontal="center" vertical="center" wrapText="1"/>
    </xf>
    <xf numFmtId="4" fontId="22" fillId="11" borderId="1" xfId="1" applyNumberFormat="1" applyFont="1" applyFill="1" applyBorder="1" applyAlignment="1">
      <alignment horizontal="right" vertical="center" wrapText="1"/>
    </xf>
    <xf numFmtId="4" fontId="104" fillId="11" borderId="1" xfId="1" applyNumberFormat="1" applyFont="1" applyFill="1" applyBorder="1" applyAlignment="1">
      <alignment horizontal="right" vertical="center" wrapText="1"/>
    </xf>
    <xf numFmtId="167" fontId="22" fillId="11" borderId="11" xfId="1" applyNumberFormat="1" applyFont="1" applyFill="1" applyBorder="1" applyAlignment="1">
      <alignment vertical="center" wrapText="1"/>
    </xf>
    <xf numFmtId="4" fontId="22" fillId="11" borderId="1" xfId="1" applyNumberFormat="1" applyFont="1" applyFill="1" applyBorder="1" applyAlignment="1">
      <alignment vertical="center" wrapText="1"/>
    </xf>
    <xf numFmtId="4" fontId="104" fillId="11" borderId="1" xfId="1" applyNumberFormat="1" applyFont="1" applyFill="1" applyBorder="1" applyAlignment="1">
      <alignment vertical="center" wrapText="1"/>
    </xf>
    <xf numFmtId="167" fontId="29" fillId="20" borderId="11" xfId="1" applyNumberFormat="1" applyFont="1" applyFill="1" applyBorder="1" applyAlignment="1">
      <alignment wrapText="1"/>
    </xf>
    <xf numFmtId="4" fontId="17" fillId="20" borderId="1" xfId="0" applyNumberFormat="1" applyFont="1" applyFill="1" applyBorder="1" applyAlignment="1">
      <alignment horizontal="right" vertical="center" wrapText="1"/>
    </xf>
    <xf numFmtId="4" fontId="17" fillId="20" borderId="6" xfId="0" applyNumberFormat="1" applyFont="1" applyFill="1" applyBorder="1" applyAlignment="1">
      <alignment horizontal="right" vertical="center" wrapText="1"/>
    </xf>
    <xf numFmtId="165" fontId="17" fillId="20" borderId="1" xfId="0" applyNumberFormat="1" applyFont="1" applyFill="1" applyBorder="1" applyAlignment="1">
      <alignment horizontal="center" vertical="top" wrapText="1"/>
    </xf>
    <xf numFmtId="0" fontId="20" fillId="20" borderId="9" xfId="0" applyFont="1" applyFill="1" applyBorder="1" applyAlignment="1">
      <alignment horizontal="center" vertical="center" wrapText="1"/>
    </xf>
    <xf numFmtId="4" fontId="29" fillId="20" borderId="1" xfId="1" applyNumberFormat="1" applyFont="1" applyFill="1" applyBorder="1" applyAlignment="1">
      <alignment horizontal="right" wrapText="1"/>
    </xf>
    <xf numFmtId="165" fontId="20" fillId="20" borderId="1" xfId="0" applyNumberFormat="1" applyFont="1" applyFill="1" applyBorder="1" applyAlignment="1">
      <alignment horizontal="center" vertical="top" wrapText="1"/>
    </xf>
    <xf numFmtId="165" fontId="20" fillId="20" borderId="1" xfId="0" applyNumberFormat="1" applyFont="1" applyFill="1" applyBorder="1" applyAlignment="1">
      <alignment horizontal="right" wrapText="1"/>
    </xf>
    <xf numFmtId="165" fontId="20" fillId="20" borderId="1" xfId="0" applyNumberFormat="1" applyFont="1" applyFill="1" applyBorder="1" applyAlignment="1">
      <alignment wrapText="1"/>
    </xf>
    <xf numFmtId="0" fontId="17" fillId="11" borderId="9" xfId="0" applyFont="1" applyFill="1" applyBorder="1" applyAlignment="1">
      <alignment horizontal="center" vertical="center" wrapText="1"/>
    </xf>
    <xf numFmtId="4" fontId="20" fillId="11" borderId="1" xfId="1" applyNumberFormat="1" applyFont="1" applyFill="1" applyBorder="1" applyAlignment="1">
      <alignment horizontal="right" vertical="center" wrapText="1"/>
    </xf>
    <xf numFmtId="4" fontId="20" fillId="11" borderId="1" xfId="1" applyNumberFormat="1" applyFont="1" applyFill="1" applyBorder="1" applyAlignment="1">
      <alignment vertical="center" wrapText="1"/>
    </xf>
    <xf numFmtId="4" fontId="17" fillId="11" borderId="1" xfId="1" applyNumberFormat="1" applyFont="1" applyFill="1" applyBorder="1" applyAlignment="1">
      <alignment vertical="center" wrapText="1"/>
    </xf>
    <xf numFmtId="4" fontId="17" fillId="20" borderId="1" xfId="0" applyNumberFormat="1" applyFont="1" applyFill="1" applyBorder="1" applyAlignment="1">
      <alignment vertical="center" wrapText="1"/>
    </xf>
    <xf numFmtId="4" fontId="29" fillId="11" borderId="1" xfId="1" applyNumberFormat="1" applyFont="1" applyFill="1" applyBorder="1" applyAlignment="1">
      <alignment horizontal="right" vertical="center" wrapText="1"/>
    </xf>
    <xf numFmtId="167" fontId="29" fillId="11" borderId="11" xfId="1" applyNumberFormat="1" applyFont="1" applyFill="1" applyBorder="1" applyAlignment="1">
      <alignment vertical="center" wrapText="1"/>
    </xf>
    <xf numFmtId="4" fontId="20" fillId="20" borderId="1" xfId="0" applyNumberFormat="1" applyFont="1" applyFill="1" applyBorder="1" applyAlignment="1">
      <alignment vertical="center" wrapText="1"/>
    </xf>
    <xf numFmtId="0" fontId="27" fillId="20" borderId="4" xfId="0" applyFont="1" applyFill="1" applyBorder="1" applyAlignment="1">
      <alignment horizontal="left" vertical="top" wrapText="1"/>
    </xf>
    <xf numFmtId="167" fontId="27" fillId="20" borderId="4" xfId="0" applyNumberFormat="1" applyFont="1" applyFill="1" applyBorder="1" applyAlignment="1">
      <alignment horizontal="center" vertical="top" wrapText="1"/>
    </xf>
    <xf numFmtId="0" fontId="32" fillId="11" borderId="9" xfId="0" applyFont="1" applyFill="1" applyBorder="1" applyAlignment="1">
      <alignment horizontal="center" vertical="center" wrapText="1"/>
    </xf>
    <xf numFmtId="167" fontId="104" fillId="11" borderId="11" xfId="1" applyNumberFormat="1" applyFont="1" applyFill="1" applyBorder="1" applyAlignment="1">
      <alignment vertical="center" wrapText="1"/>
    </xf>
    <xf numFmtId="4" fontId="32" fillId="11" borderId="1" xfId="1" applyNumberFormat="1" applyFont="1" applyFill="1" applyBorder="1" applyAlignment="1">
      <alignment horizontal="right" vertical="center" wrapText="1"/>
    </xf>
    <xf numFmtId="167" fontId="273" fillId="171" borderId="73" xfId="5531" applyNumberFormat="1" applyFont="1" applyFill="1" applyBorder="1" applyAlignment="1" applyProtection="1">
      <alignment horizontal="center" vertical="center" wrapText="1"/>
      <protection locked="0"/>
    </xf>
    <xf numFmtId="167" fontId="273" fillId="171" borderId="73" xfId="5532" applyNumberFormat="1" applyFont="1" applyFill="1" applyBorder="1" applyAlignment="1">
      <alignment horizontal="right" vertical="center" wrapText="1"/>
    </xf>
    <xf numFmtId="167" fontId="273" fillId="171" borderId="73" xfId="5532" applyNumberFormat="1" applyFont="1" applyFill="1" applyBorder="1" applyAlignment="1">
      <alignment horizontal="center" vertical="center" wrapText="1"/>
    </xf>
    <xf numFmtId="0" fontId="273" fillId="171" borderId="73" xfId="5532" applyFont="1" applyFill="1" applyBorder="1" applyAlignment="1">
      <alignment horizontal="left" vertical="center" wrapText="1"/>
    </xf>
    <xf numFmtId="165" fontId="273" fillId="171" borderId="73" xfId="5532" applyNumberFormat="1" applyFont="1" applyFill="1" applyBorder="1" applyAlignment="1">
      <alignment horizontal="left" vertical="center" wrapText="1"/>
    </xf>
    <xf numFmtId="0" fontId="277" fillId="2" borderId="73" xfId="5532" applyFont="1" applyFill="1" applyBorder="1" applyAlignment="1">
      <alignment horizontal="center" vertical="center" wrapText="1"/>
    </xf>
    <xf numFmtId="165" fontId="276" fillId="2" borderId="6" xfId="5532" applyNumberFormat="1" applyFont="1" applyFill="1" applyBorder="1" applyAlignment="1">
      <alignment horizontal="right" wrapText="1"/>
    </xf>
    <xf numFmtId="165" fontId="276" fillId="173" borderId="6" xfId="5532" applyNumberFormat="1" applyFont="1" applyFill="1" applyBorder="1" applyAlignment="1">
      <alignment horizontal="right" wrapText="1"/>
    </xf>
    <xf numFmtId="0" fontId="276" fillId="2" borderId="73" xfId="5532" applyFont="1" applyFill="1" applyBorder="1" applyAlignment="1">
      <alignment horizontal="center" vertical="center" wrapText="1"/>
    </xf>
    <xf numFmtId="165" fontId="276" fillId="2" borderId="73" xfId="5532" applyNumberFormat="1" applyFont="1" applyFill="1" applyBorder="1" applyAlignment="1">
      <alignment horizontal="right" wrapText="1"/>
    </xf>
    <xf numFmtId="165" fontId="276" fillId="173" borderId="73" xfId="5532" applyNumberFormat="1" applyFont="1" applyFill="1" applyBorder="1" applyAlignment="1">
      <alignment horizontal="right" wrapText="1"/>
    </xf>
    <xf numFmtId="165" fontId="276" fillId="2" borderId="74" xfId="5532" applyNumberFormat="1" applyFont="1" applyFill="1" applyBorder="1" applyAlignment="1">
      <alignment horizontal="right" wrapText="1"/>
    </xf>
    <xf numFmtId="165" fontId="276" fillId="173" borderId="5" xfId="5532" applyNumberFormat="1" applyFont="1" applyFill="1" applyBorder="1" applyAlignment="1">
      <alignment horizontal="right" wrapText="1"/>
    </xf>
    <xf numFmtId="165" fontId="276" fillId="173" borderId="74" xfId="5532" applyNumberFormat="1" applyFont="1" applyFill="1" applyBorder="1" applyAlignment="1">
      <alignment horizontal="right" wrapText="1"/>
    </xf>
    <xf numFmtId="165" fontId="276" fillId="171" borderId="73" xfId="5530" applyNumberFormat="1" applyFont="1" applyFill="1" applyBorder="1" applyAlignment="1">
      <alignment horizontal="right" wrapText="1"/>
    </xf>
    <xf numFmtId="165" fontId="276" fillId="173" borderId="73" xfId="5530" applyNumberFormat="1" applyFont="1" applyFill="1" applyBorder="1" applyAlignment="1">
      <alignment horizontal="right" wrapText="1"/>
    </xf>
    <xf numFmtId="167" fontId="270" fillId="171" borderId="0" xfId="5531" applyNumberFormat="1" applyFont="1" applyFill="1" applyAlignment="1">
      <alignment horizontal="center"/>
    </xf>
    <xf numFmtId="9" fontId="270" fillId="171" borderId="0" xfId="5531" applyNumberFormat="1" applyFont="1" applyFill="1" applyAlignment="1">
      <alignment horizontal="center"/>
    </xf>
    <xf numFmtId="165" fontId="270" fillId="171" borderId="0" xfId="5531" applyNumberFormat="1" applyFont="1" applyFill="1" applyAlignment="1">
      <alignment horizontal="center"/>
    </xf>
    <xf numFmtId="167" fontId="268" fillId="171" borderId="0" xfId="5531" applyNumberFormat="1" applyFont="1" applyFill="1" applyAlignment="1">
      <alignment horizontal="center"/>
    </xf>
    <xf numFmtId="9" fontId="268" fillId="171" borderId="0" xfId="5531" applyNumberFormat="1" applyFont="1" applyFill="1" applyAlignment="1">
      <alignment horizontal="center"/>
    </xf>
    <xf numFmtId="165" fontId="268" fillId="171" borderId="0" xfId="5531" applyNumberFormat="1" applyFont="1" applyFill="1" applyAlignment="1">
      <alignment horizontal="center"/>
    </xf>
    <xf numFmtId="2" fontId="76" fillId="24" borderId="38" xfId="50" applyNumberFormat="1" applyProtection="1"/>
    <xf numFmtId="4" fontId="74" fillId="174" borderId="31" xfId="38" applyNumberFormat="1" applyFill="1" applyProtection="1">
      <alignment horizontal="right" vertical="top" shrinkToFit="1"/>
    </xf>
    <xf numFmtId="0" fontId="269" fillId="171" borderId="0" xfId="5530" applyFont="1" applyFill="1" applyAlignment="1">
      <alignment horizontal="center"/>
    </xf>
    <xf numFmtId="0" fontId="269" fillId="171" borderId="0" xfId="5530" applyFont="1" applyFill="1"/>
    <xf numFmtId="0" fontId="1" fillId="2" borderId="5" xfId="0" applyFont="1" applyFill="1" applyBorder="1" applyAlignment="1">
      <alignment vertical="center" wrapText="1"/>
    </xf>
    <xf numFmtId="0" fontId="10" fillId="174" borderId="73" xfId="5528" applyFont="1" applyFill="1" applyBorder="1" applyAlignment="1">
      <alignment horizontal="center" vertical="center" wrapText="1"/>
    </xf>
    <xf numFmtId="165" fontId="14" fillId="174" borderId="73" xfId="5528" applyNumberFormat="1" applyFont="1" applyFill="1" applyBorder="1"/>
    <xf numFmtId="166" fontId="14" fillId="174" borderId="73" xfId="5528" applyNumberFormat="1" applyFont="1" applyFill="1" applyBorder="1"/>
    <xf numFmtId="0" fontId="269" fillId="164" borderId="74" xfId="5530" applyFont="1" applyFill="1" applyBorder="1" applyAlignment="1">
      <alignment horizontal="center"/>
    </xf>
    <xf numFmtId="0" fontId="269" fillId="164" borderId="5" xfId="5530" applyFont="1" applyFill="1" applyBorder="1" applyAlignment="1">
      <alignment horizontal="center"/>
    </xf>
    <xf numFmtId="0" fontId="269" fillId="164" borderId="6" xfId="5530" applyFont="1" applyFill="1" applyBorder="1" applyAlignment="1">
      <alignment horizontal="center"/>
    </xf>
    <xf numFmtId="165" fontId="278" fillId="20" borderId="73" xfId="5528" applyNumberFormat="1" applyFont="1" applyFill="1" applyBorder="1" applyAlignment="1">
      <alignment vertical="center" wrapText="1"/>
    </xf>
    <xf numFmtId="165" fontId="94" fillId="20" borderId="73" xfId="5528" applyNumberFormat="1" applyFont="1" applyFill="1" applyBorder="1" applyAlignment="1">
      <alignment horizontal="right" vertical="center" wrapText="1"/>
    </xf>
    <xf numFmtId="0" fontId="118" fillId="27" borderId="0" xfId="5528" applyFont="1" applyFill="1" applyAlignment="1">
      <alignment wrapText="1"/>
    </xf>
    <xf numFmtId="165" fontId="59" fillId="175" borderId="73" xfId="5528" applyNumberFormat="1" applyFont="1" applyFill="1" applyBorder="1"/>
    <xf numFmtId="165" fontId="118" fillId="175" borderId="73" xfId="5528" applyNumberFormat="1" applyFont="1" applyFill="1" applyBorder="1"/>
    <xf numFmtId="0" fontId="105" fillId="175" borderId="73" xfId="5528" applyFont="1" applyFill="1" applyBorder="1"/>
    <xf numFmtId="165" fontId="70" fillId="2" borderId="6" xfId="5" applyNumberFormat="1" applyFont="1" applyFill="1" applyBorder="1" applyAlignment="1">
      <alignment horizontal="right" wrapText="1"/>
    </xf>
    <xf numFmtId="165" fontId="30" fillId="2" borderId="1" xfId="5" applyNumberFormat="1" applyFont="1" applyFill="1" applyBorder="1" applyAlignment="1">
      <alignment horizontal="right" wrapText="1"/>
    </xf>
    <xf numFmtId="165" fontId="31" fillId="2" borderId="1" xfId="5" applyNumberFormat="1" applyFont="1" applyFill="1" applyBorder="1" applyAlignment="1">
      <alignment horizontal="right" wrapText="1"/>
    </xf>
    <xf numFmtId="165" fontId="30" fillId="2" borderId="6" xfId="5" applyNumberFormat="1" applyFont="1" applyFill="1" applyBorder="1" applyAlignment="1">
      <alignment horizontal="right" wrapText="1"/>
    </xf>
    <xf numFmtId="4" fontId="30" fillId="2" borderId="1" xfId="0" applyNumberFormat="1" applyFont="1" applyFill="1" applyBorder="1" applyAlignment="1">
      <alignment horizontal="right" wrapText="1"/>
    </xf>
    <xf numFmtId="4" fontId="5" fillId="2" borderId="1" xfId="1" applyNumberFormat="1" applyFont="1" applyFill="1" applyBorder="1" applyAlignment="1">
      <alignment wrapText="1"/>
    </xf>
    <xf numFmtId="0" fontId="36" fillId="2" borderId="1" xfId="0" applyFont="1" applyFill="1" applyBorder="1" applyAlignment="1">
      <alignment horizontal="center" vertical="center" wrapText="1"/>
    </xf>
    <xf numFmtId="0" fontId="40" fillId="0" borderId="0" xfId="0" applyFont="1" applyFill="1"/>
    <xf numFmtId="0" fontId="297" fillId="2" borderId="0" xfId="0" applyFont="1" applyFill="1"/>
    <xf numFmtId="0" fontId="297" fillId="0" borderId="0" xfId="0" applyFont="1" applyFill="1"/>
    <xf numFmtId="0" fontId="32" fillId="0" borderId="0" xfId="0" applyFont="1" applyFill="1" applyAlignment="1">
      <alignment vertical="center"/>
    </xf>
    <xf numFmtId="0" fontId="20" fillId="0" borderId="1" xfId="0" applyFont="1" applyFill="1" applyBorder="1" applyAlignment="1">
      <alignment horizontal="center" vertical="center" wrapText="1"/>
    </xf>
    <xf numFmtId="0" fontId="32" fillId="0" borderId="0" xfId="0" applyFont="1" applyFill="1"/>
    <xf numFmtId="0" fontId="32" fillId="0" borderId="1" xfId="0" applyFont="1" applyFill="1" applyBorder="1" applyAlignment="1">
      <alignment horizontal="center" vertical="center" wrapText="1"/>
    </xf>
    <xf numFmtId="0" fontId="32" fillId="0" borderId="1" xfId="0" applyFont="1" applyFill="1" applyBorder="1" applyAlignment="1">
      <alignment vertical="center" wrapText="1"/>
    </xf>
    <xf numFmtId="0" fontId="32" fillId="0" borderId="1" xfId="0" applyFont="1" applyFill="1" applyBorder="1"/>
    <xf numFmtId="0" fontId="32" fillId="0" borderId="92" xfId="0" applyFont="1" applyFill="1" applyBorder="1" applyAlignment="1">
      <alignment horizontal="left" vertical="center" wrapText="1"/>
    </xf>
    <xf numFmtId="0" fontId="0" fillId="0" borderId="93" xfId="0" applyBorder="1" applyAlignment="1">
      <alignment horizontal="left" vertical="center" wrapText="1"/>
    </xf>
    <xf numFmtId="0" fontId="0" fillId="0" borderId="94" xfId="0" applyBorder="1" applyAlignment="1">
      <alignment horizontal="left" vertical="center" wrapText="1"/>
    </xf>
    <xf numFmtId="16" fontId="32" fillId="0" borderId="1" xfId="0" applyNumberFormat="1" applyFont="1" applyFill="1" applyBorder="1" applyAlignment="1">
      <alignment horizontal="center" vertical="center" wrapText="1"/>
    </xf>
    <xf numFmtId="0" fontId="32" fillId="0" borderId="1" xfId="0" applyFont="1" applyFill="1" applyBorder="1" applyAlignment="1">
      <alignment vertical="top" wrapText="1"/>
    </xf>
    <xf numFmtId="0" fontId="32" fillId="0" borderId="1" xfId="0" applyFont="1" applyFill="1" applyBorder="1" applyAlignment="1">
      <alignment vertical="top"/>
    </xf>
    <xf numFmtId="0" fontId="32" fillId="0" borderId="0" xfId="0" applyFont="1"/>
    <xf numFmtId="0" fontId="0" fillId="0" borderId="0" xfId="0" applyAlignment="1">
      <alignment horizontal="justify"/>
    </xf>
    <xf numFmtId="0" fontId="32" fillId="20" borderId="0" xfId="0" applyFont="1" applyFill="1"/>
    <xf numFmtId="0" fontId="36" fillId="0" borderId="1" xfId="0" applyFont="1" applyFill="1" applyBorder="1" applyAlignment="1">
      <alignment horizontal="center" vertical="center" wrapText="1"/>
    </xf>
    <xf numFmtId="0" fontId="299" fillId="2" borderId="0" xfId="23854" applyFill="1"/>
    <xf numFmtId="0" fontId="45" fillId="2" borderId="0" xfId="23854" applyFont="1" applyFill="1" applyAlignment="1">
      <alignment horizontal="center"/>
    </xf>
    <xf numFmtId="0" fontId="46" fillId="2" borderId="0" xfId="23854" applyFont="1" applyFill="1" applyAlignment="1">
      <alignment horizontal="center"/>
    </xf>
    <xf numFmtId="0" fontId="37" fillId="2" borderId="92" xfId="23854" applyFont="1" applyFill="1" applyBorder="1" applyAlignment="1">
      <alignment horizontal="center" vertical="center" wrapText="1"/>
    </xf>
    <xf numFmtId="0" fontId="29" fillId="2" borderId="92" xfId="23854" applyFont="1" applyFill="1" applyBorder="1" applyAlignment="1">
      <alignment horizontal="center" vertical="center" wrapText="1"/>
    </xf>
    <xf numFmtId="0" fontId="37" fillId="2" borderId="1" xfId="23854" applyFont="1" applyFill="1" applyBorder="1" applyAlignment="1">
      <alignment horizontal="center" vertical="center" wrapText="1"/>
    </xf>
    <xf numFmtId="0" fontId="47" fillId="2" borderId="6" xfId="23854" applyFont="1" applyFill="1" applyBorder="1" applyAlignment="1">
      <alignment horizontal="center" vertical="center" wrapText="1"/>
    </xf>
    <xf numFmtId="0" fontId="47" fillId="2" borderId="6" xfId="23854" applyFont="1" applyFill="1" applyBorder="1" applyAlignment="1">
      <alignment horizontal="center" vertical="center"/>
    </xf>
    <xf numFmtId="0" fontId="47" fillId="2" borderId="74" xfId="23854" applyFont="1" applyFill="1" applyBorder="1" applyAlignment="1">
      <alignment horizontal="center" vertical="center" wrapText="1"/>
    </xf>
    <xf numFmtId="0" fontId="47" fillId="2" borderId="5" xfId="23854" applyFont="1" applyFill="1" applyBorder="1" applyAlignment="1">
      <alignment horizontal="center" vertical="center" wrapText="1"/>
    </xf>
    <xf numFmtId="0" fontId="47" fillId="2" borderId="1" xfId="23854" applyFont="1" applyFill="1" applyBorder="1" applyAlignment="1">
      <alignment horizontal="center" vertical="center" wrapText="1"/>
    </xf>
    <xf numFmtId="43" fontId="299" fillId="2" borderId="0" xfId="23854" applyNumberFormat="1" applyFill="1"/>
    <xf numFmtId="164" fontId="48" fillId="161" borderId="1" xfId="23854" applyNumberFormat="1" applyFont="1" applyFill="1" applyBorder="1" applyAlignment="1">
      <alignment horizontal="center" vertical="center" wrapText="1"/>
    </xf>
    <xf numFmtId="168" fontId="48" fillId="161" borderId="1" xfId="23855" applyFont="1" applyFill="1" applyBorder="1" applyAlignment="1">
      <alignment vertical="center"/>
    </xf>
    <xf numFmtId="164" fontId="48" fillId="161" borderId="1" xfId="23854" applyNumberFormat="1" applyFont="1" applyFill="1" applyBorder="1" applyAlignment="1">
      <alignment horizontal="right" vertical="center"/>
    </xf>
    <xf numFmtId="168" fontId="10" fillId="2" borderId="1" xfId="23855" applyFont="1" applyFill="1" applyBorder="1" applyAlignment="1">
      <alignment horizontal="center" vertical="center"/>
    </xf>
    <xf numFmtId="0" fontId="37" fillId="2" borderId="1" xfId="23854" applyFont="1" applyFill="1" applyBorder="1" applyAlignment="1">
      <alignment horizontal="right" vertical="center"/>
    </xf>
    <xf numFmtId="0" fontId="49" fillId="2" borderId="1" xfId="23854" applyFont="1" applyFill="1" applyBorder="1" applyAlignment="1">
      <alignment vertical="center" wrapText="1"/>
    </xf>
    <xf numFmtId="168" fontId="37" fillId="2" borderId="74" xfId="23855" applyFont="1" applyFill="1" applyBorder="1" applyAlignment="1">
      <alignment vertical="center"/>
    </xf>
    <xf numFmtId="168" fontId="48" fillId="2" borderId="1" xfId="23855" applyFont="1" applyFill="1" applyBorder="1" applyAlignment="1">
      <alignment vertical="center"/>
    </xf>
    <xf numFmtId="164" fontId="37" fillId="2" borderId="1" xfId="23854" applyNumberFormat="1" applyFont="1" applyFill="1" applyBorder="1" applyAlignment="1">
      <alignment horizontal="right" vertical="center"/>
    </xf>
    <xf numFmtId="0" fontId="10" fillId="2" borderId="1" xfId="23854" applyFont="1" applyFill="1" applyBorder="1" applyAlignment="1">
      <alignment vertical="center" wrapText="1"/>
    </xf>
    <xf numFmtId="0" fontId="52" fillId="2" borderId="1" xfId="23854" applyFont="1" applyFill="1" applyBorder="1" applyAlignment="1">
      <alignment horizontal="left" vertical="center" wrapText="1"/>
    </xf>
    <xf numFmtId="168" fontId="36" fillId="2" borderId="1" xfId="23855" applyFont="1" applyFill="1" applyBorder="1" applyAlignment="1">
      <alignment vertical="center"/>
    </xf>
    <xf numFmtId="164" fontId="36" fillId="2" borderId="1" xfId="23854" applyNumberFormat="1" applyFont="1" applyFill="1" applyBorder="1" applyAlignment="1">
      <alignment horizontal="right" vertical="center"/>
    </xf>
    <xf numFmtId="0" fontId="37" fillId="2" borderId="93" xfId="23854" applyFont="1" applyFill="1" applyBorder="1" applyAlignment="1">
      <alignment horizontal="right" vertical="center"/>
    </xf>
    <xf numFmtId="164" fontId="37" fillId="18" borderId="1" xfId="23854" applyNumberFormat="1" applyFont="1" applyFill="1" applyBorder="1" applyAlignment="1">
      <alignment horizontal="center" vertical="center" wrapText="1"/>
    </xf>
    <xf numFmtId="168" fontId="48" fillId="18" borderId="1" xfId="23855" applyFont="1" applyFill="1" applyBorder="1" applyAlignment="1">
      <alignment vertical="center"/>
    </xf>
    <xf numFmtId="164" fontId="37" fillId="18" borderId="1" xfId="23854" applyNumberFormat="1" applyFont="1" applyFill="1" applyBorder="1" applyAlignment="1">
      <alignment horizontal="right" vertical="center"/>
    </xf>
    <xf numFmtId="0" fontId="10" fillId="18" borderId="1" xfId="23854" applyFont="1" applyFill="1" applyBorder="1"/>
    <xf numFmtId="0" fontId="26" fillId="2" borderId="0" xfId="23854" applyFont="1" applyFill="1"/>
    <xf numFmtId="0" fontId="45" fillId="18" borderId="15" xfId="23854" applyFont="1" applyFill="1" applyBorder="1" applyAlignment="1">
      <alignment horizontal="center" vertical="center" wrapText="1"/>
    </xf>
    <xf numFmtId="0" fontId="52" fillId="18" borderId="1" xfId="23854" applyFont="1" applyFill="1" applyBorder="1" applyAlignment="1">
      <alignment horizontal="left" vertical="center" wrapText="1"/>
    </xf>
    <xf numFmtId="164" fontId="36" fillId="18" borderId="1" xfId="23854" applyNumberFormat="1" applyFont="1" applyFill="1" applyBorder="1" applyAlignment="1">
      <alignment horizontal="center" vertical="center" wrapText="1"/>
    </xf>
    <xf numFmtId="168" fontId="36" fillId="18" borderId="1" xfId="23855" applyFont="1" applyFill="1" applyBorder="1" applyAlignment="1">
      <alignment vertical="center"/>
    </xf>
    <xf numFmtId="164" fontId="36" fillId="18" borderId="1" xfId="23854" applyNumberFormat="1" applyFont="1" applyFill="1" applyBorder="1" applyAlignment="1">
      <alignment horizontal="right" vertical="center"/>
    </xf>
    <xf numFmtId="0" fontId="45" fillId="2" borderId="3" xfId="23854" applyFont="1" applyFill="1" applyBorder="1" applyAlignment="1">
      <alignment horizontal="center" vertical="center" wrapText="1"/>
    </xf>
    <xf numFmtId="0" fontId="66" fillId="5" borderId="1" xfId="23854" applyNumberFormat="1" applyFont="1" applyFill="1" applyBorder="1" applyAlignment="1">
      <alignment horizontal="left" vertical="center" wrapText="1"/>
    </xf>
    <xf numFmtId="164" fontId="37" fillId="5" borderId="1" xfId="23854" applyNumberFormat="1" applyFont="1" applyFill="1" applyBorder="1" applyAlignment="1">
      <alignment horizontal="center" vertical="center" wrapText="1"/>
    </xf>
    <xf numFmtId="168" fontId="48" fillId="5" borderId="1" xfId="23855" applyFont="1" applyFill="1" applyBorder="1" applyAlignment="1">
      <alignment vertical="center"/>
    </xf>
    <xf numFmtId="0" fontId="10" fillId="2" borderId="1" xfId="23854" applyFont="1" applyFill="1" applyBorder="1"/>
    <xf numFmtId="0" fontId="52" fillId="5" borderId="1" xfId="23854" applyFont="1" applyFill="1" applyBorder="1" applyAlignment="1">
      <alignment horizontal="left" vertical="center" wrapText="1"/>
    </xf>
    <xf numFmtId="0" fontId="45" fillId="2" borderId="6" xfId="23854" applyFont="1" applyFill="1" applyBorder="1" applyAlignment="1">
      <alignment horizontal="right" vertical="center" wrapText="1"/>
    </xf>
    <xf numFmtId="0" fontId="66" fillId="2" borderId="6" xfId="23854" applyFont="1" applyFill="1" applyBorder="1" applyAlignment="1">
      <alignment horizontal="left" vertical="center" wrapText="1"/>
    </xf>
    <xf numFmtId="164" fontId="37" fillId="2" borderId="5" xfId="23854" applyNumberFormat="1" applyFont="1" applyFill="1" applyBorder="1" applyAlignment="1">
      <alignment horizontal="center" vertical="center" wrapText="1"/>
    </xf>
    <xf numFmtId="168" fontId="48" fillId="2" borderId="74" xfId="23855" applyFont="1" applyFill="1" applyBorder="1" applyAlignment="1">
      <alignment vertical="center"/>
    </xf>
    <xf numFmtId="164" fontId="37" fillId="2" borderId="1" xfId="23854" applyNumberFormat="1" applyFont="1" applyFill="1" applyBorder="1" applyAlignment="1">
      <alignment horizontal="center" vertical="center" wrapText="1"/>
    </xf>
    <xf numFmtId="49" fontId="37" fillId="2" borderId="1" xfId="23854" applyNumberFormat="1" applyFont="1" applyFill="1" applyBorder="1" applyAlignment="1">
      <alignment horizontal="right" vertical="center"/>
    </xf>
    <xf numFmtId="0" fontId="256" fillId="2" borderId="74" xfId="23854" applyNumberFormat="1" applyFont="1" applyFill="1" applyBorder="1" applyAlignment="1">
      <alignment horizontal="left" vertical="top" wrapText="1"/>
    </xf>
    <xf numFmtId="164" fontId="36" fillId="2" borderId="74" xfId="23854" applyNumberFormat="1" applyFont="1" applyFill="1" applyBorder="1" applyAlignment="1">
      <alignment horizontal="center" vertical="center" wrapText="1"/>
    </xf>
    <xf numFmtId="168" fontId="257" fillId="2" borderId="1" xfId="23855" applyFont="1" applyFill="1" applyBorder="1" applyAlignment="1">
      <alignment vertical="center"/>
    </xf>
    <xf numFmtId="0" fontId="10" fillId="2" borderId="6" xfId="23854" applyFont="1" applyFill="1" applyBorder="1" applyAlignment="1">
      <alignment vertical="center"/>
    </xf>
    <xf numFmtId="0" fontId="10" fillId="2" borderId="1" xfId="23854" applyFont="1" applyFill="1" applyBorder="1" applyAlignment="1">
      <alignment vertical="center"/>
    </xf>
    <xf numFmtId="0" fontId="256" fillId="2" borderId="1" xfId="23854" applyNumberFormat="1" applyFont="1" applyFill="1" applyBorder="1" applyAlignment="1">
      <alignment horizontal="left" vertical="top" wrapText="1"/>
    </xf>
    <xf numFmtId="164" fontId="36" fillId="2" borderId="74" xfId="23854" applyNumberFormat="1" applyFont="1" applyFill="1" applyBorder="1" applyAlignment="1">
      <alignment horizontal="right" vertical="center"/>
    </xf>
    <xf numFmtId="0" fontId="49" fillId="2" borderId="14" xfId="23854" applyFont="1" applyFill="1" applyBorder="1" applyAlignment="1">
      <alignment horizontal="left" vertical="center" wrapText="1"/>
    </xf>
    <xf numFmtId="0" fontId="55" fillId="2" borderId="14" xfId="23854" applyFont="1" applyFill="1" applyBorder="1" applyAlignment="1">
      <alignment horizontal="left" vertical="center" wrapText="1"/>
    </xf>
    <xf numFmtId="0" fontId="256" fillId="2" borderId="1" xfId="23854" applyFont="1" applyFill="1" applyBorder="1" applyAlignment="1">
      <alignment horizontal="left" vertical="center" wrapText="1"/>
    </xf>
    <xf numFmtId="168" fontId="36" fillId="2" borderId="74" xfId="23855" applyFont="1" applyFill="1" applyBorder="1" applyAlignment="1">
      <alignment vertical="center"/>
    </xf>
    <xf numFmtId="0" fontId="49" fillId="2" borderId="74" xfId="23854" applyNumberFormat="1" applyFont="1" applyFill="1" applyBorder="1" applyAlignment="1">
      <alignment horizontal="left" vertical="top" wrapText="1"/>
    </xf>
    <xf numFmtId="164" fontId="37" fillId="2" borderId="74" xfId="23854" applyNumberFormat="1" applyFont="1" applyFill="1" applyBorder="1" applyAlignment="1">
      <alignment horizontal="center" vertical="center" wrapText="1"/>
    </xf>
    <xf numFmtId="0" fontId="55" fillId="2" borderId="1" xfId="23854" applyFont="1" applyFill="1" applyBorder="1" applyAlignment="1">
      <alignment vertical="center"/>
    </xf>
    <xf numFmtId="0" fontId="66" fillId="5" borderId="74" xfId="23854" applyNumberFormat="1" applyFont="1" applyFill="1" applyBorder="1" applyAlignment="1">
      <alignment horizontal="left" vertical="center" wrapText="1"/>
    </xf>
    <xf numFmtId="164" fontId="37" fillId="5" borderId="74" xfId="23854" applyNumberFormat="1" applyFont="1" applyFill="1" applyBorder="1" applyAlignment="1">
      <alignment horizontal="center" vertical="center" wrapText="1"/>
    </xf>
    <xf numFmtId="0" fontId="67" fillId="5" borderId="1" xfId="23854" applyFont="1" applyFill="1" applyBorder="1" applyAlignment="1">
      <alignment horizontal="left" vertical="center" wrapText="1"/>
    </xf>
    <xf numFmtId="168" fontId="37" fillId="5" borderId="1" xfId="23855" applyFont="1" applyFill="1" applyBorder="1" applyAlignment="1">
      <alignment vertical="center" wrapText="1"/>
    </xf>
    <xf numFmtId="164" fontId="37" fillId="5" borderId="1" xfId="23854" applyNumberFormat="1" applyFont="1" applyFill="1" applyBorder="1" applyAlignment="1">
      <alignment horizontal="right" vertical="center"/>
    </xf>
    <xf numFmtId="0" fontId="10" fillId="2" borderId="1" xfId="23854" applyFont="1" applyFill="1" applyBorder="1" applyAlignment="1">
      <alignment horizontal="left" vertical="center"/>
    </xf>
    <xf numFmtId="168" fontId="257" fillId="5" borderId="1" xfId="23855" applyFont="1" applyFill="1" applyBorder="1" applyAlignment="1">
      <alignment vertical="center"/>
    </xf>
    <xf numFmtId="0" fontId="10" fillId="5" borderId="1" xfId="23854" applyFont="1" applyFill="1" applyBorder="1" applyAlignment="1">
      <alignment horizontal="left" vertical="center"/>
    </xf>
    <xf numFmtId="168" fontId="37" fillId="5" borderId="74" xfId="23855" applyFont="1" applyFill="1" applyBorder="1" applyAlignment="1">
      <alignment vertical="center" wrapText="1"/>
    </xf>
    <xf numFmtId="0" fontId="49" fillId="5" borderId="1" xfId="23854" applyFont="1" applyFill="1" applyBorder="1" applyAlignment="1">
      <alignment horizontal="left" vertical="center" wrapText="1"/>
    </xf>
    <xf numFmtId="168" fontId="36" fillId="5" borderId="74" xfId="23855" applyFont="1" applyFill="1" applyBorder="1" applyAlignment="1">
      <alignment vertical="center" wrapText="1"/>
    </xf>
    <xf numFmtId="164" fontId="36" fillId="5" borderId="1" xfId="23854" applyNumberFormat="1" applyFont="1" applyFill="1" applyBorder="1" applyAlignment="1">
      <alignment horizontal="right" vertical="center"/>
    </xf>
    <xf numFmtId="0" fontId="10" fillId="5" borderId="1" xfId="23854" applyFont="1" applyFill="1" applyBorder="1" applyAlignment="1">
      <alignment vertical="center"/>
    </xf>
    <xf numFmtId="49" fontId="66" fillId="2" borderId="1" xfId="23854" applyNumberFormat="1" applyFont="1" applyFill="1" applyBorder="1" applyAlignment="1">
      <alignment horizontal="right" vertical="center"/>
    </xf>
    <xf numFmtId="0" fontId="66" fillId="2" borderId="1" xfId="23854" applyFont="1" applyFill="1" applyBorder="1" applyAlignment="1">
      <alignment horizontal="left" vertical="center" wrapText="1"/>
    </xf>
    <xf numFmtId="49" fontId="50" fillId="2" borderId="6" xfId="23854" applyNumberFormat="1" applyFont="1" applyFill="1" applyBorder="1" applyAlignment="1">
      <alignment horizontal="right" vertical="center"/>
    </xf>
    <xf numFmtId="0" fontId="50" fillId="2" borderId="94" xfId="23854" applyFont="1" applyFill="1" applyBorder="1" applyAlignment="1">
      <alignment horizontal="left" vertical="center" wrapText="1"/>
    </xf>
    <xf numFmtId="0" fontId="53" fillId="2" borderId="94" xfId="23854" applyFont="1" applyFill="1" applyBorder="1" applyAlignment="1">
      <alignment horizontal="left" vertical="center" wrapText="1"/>
    </xf>
    <xf numFmtId="168" fontId="36" fillId="2" borderId="1" xfId="23855" applyFont="1" applyFill="1" applyBorder="1" applyAlignment="1">
      <alignment vertical="center" wrapText="1"/>
    </xf>
    <xf numFmtId="0" fontId="10" fillId="2" borderId="5" xfId="23854" applyFont="1" applyFill="1" applyBorder="1" applyAlignment="1">
      <alignment horizontal="center" vertical="center"/>
    </xf>
    <xf numFmtId="0" fontId="50" fillId="2" borderId="1" xfId="23854" applyFont="1" applyFill="1" applyBorder="1" applyAlignment="1">
      <alignment horizontal="left" vertical="center" wrapText="1"/>
    </xf>
    <xf numFmtId="168" fontId="37" fillId="2" borderId="1" xfId="23855" applyFont="1" applyFill="1" applyBorder="1" applyAlignment="1">
      <alignment vertical="center" wrapText="1"/>
    </xf>
    <xf numFmtId="0" fontId="256" fillId="2" borderId="94" xfId="23854" applyFont="1" applyFill="1" applyBorder="1" applyAlignment="1">
      <alignment horizontal="left" vertical="center" wrapText="1"/>
    </xf>
    <xf numFmtId="0" fontId="10" fillId="2" borderId="1" xfId="23854" applyFont="1" applyFill="1" applyBorder="1" applyAlignment="1">
      <alignment wrapText="1"/>
    </xf>
    <xf numFmtId="0" fontId="52" fillId="2" borderId="94" xfId="23854" applyFont="1" applyFill="1" applyBorder="1" applyAlignment="1">
      <alignment horizontal="left" vertical="center" wrapText="1"/>
    </xf>
    <xf numFmtId="168" fontId="53" fillId="2" borderId="1" xfId="23855" applyFont="1" applyFill="1" applyBorder="1" applyAlignment="1">
      <alignment vertical="center" wrapText="1"/>
    </xf>
    <xf numFmtId="168" fontId="48" fillId="2" borderId="6" xfId="23855" applyFont="1" applyFill="1" applyBorder="1" applyAlignment="1">
      <alignment vertical="center"/>
    </xf>
    <xf numFmtId="164" fontId="37" fillId="2" borderId="6" xfId="23854" applyNumberFormat="1" applyFont="1" applyFill="1" applyBorder="1" applyAlignment="1">
      <alignment horizontal="right" vertical="center"/>
    </xf>
    <xf numFmtId="0" fontId="10" fillId="2" borderId="6" xfId="23854" applyFont="1" applyFill="1" applyBorder="1"/>
    <xf numFmtId="164" fontId="53" fillId="2" borderId="1" xfId="23854" applyNumberFormat="1" applyFont="1" applyFill="1" applyBorder="1" applyAlignment="1">
      <alignment horizontal="right" vertical="center"/>
    </xf>
    <xf numFmtId="49" fontId="37" fillId="2" borderId="74" xfId="23854" applyNumberFormat="1" applyFont="1" applyFill="1" applyBorder="1" applyAlignment="1">
      <alignment horizontal="right" vertical="center"/>
    </xf>
    <xf numFmtId="0" fontId="52" fillId="2" borderId="14" xfId="23854" applyFont="1" applyFill="1" applyBorder="1" applyAlignment="1">
      <alignment horizontal="left" vertical="center" wrapText="1"/>
    </xf>
    <xf numFmtId="49" fontId="37" fillId="2" borderId="5" xfId="23854" applyNumberFormat="1" applyFont="1" applyFill="1" applyBorder="1" applyAlignment="1">
      <alignment vertical="center"/>
    </xf>
    <xf numFmtId="168" fontId="53" fillId="2" borderId="1" xfId="23855" applyFont="1" applyFill="1" applyBorder="1" applyAlignment="1">
      <alignment vertical="center"/>
    </xf>
    <xf numFmtId="168" fontId="50" fillId="2" borderId="74" xfId="23855" applyFont="1" applyFill="1" applyBorder="1" applyAlignment="1">
      <alignment vertical="center"/>
    </xf>
    <xf numFmtId="0" fontId="258" fillId="2" borderId="14" xfId="23854" applyFont="1" applyFill="1" applyBorder="1" applyAlignment="1">
      <alignment horizontal="left" vertical="center" wrapText="1"/>
    </xf>
    <xf numFmtId="0" fontId="20" fillId="2" borderId="14" xfId="23854" applyFont="1" applyFill="1" applyBorder="1" applyAlignment="1">
      <alignment horizontal="left" vertical="center" wrapText="1"/>
    </xf>
    <xf numFmtId="0" fontId="29" fillId="2" borderId="14" xfId="23854" applyFont="1" applyFill="1" applyBorder="1" applyAlignment="1">
      <alignment horizontal="left" vertical="center" wrapText="1"/>
    </xf>
    <xf numFmtId="168" fontId="260" fillId="2" borderId="1" xfId="23855" applyFont="1" applyFill="1" applyBorder="1" applyAlignment="1">
      <alignment vertical="center"/>
    </xf>
    <xf numFmtId="164" fontId="50" fillId="2" borderId="1" xfId="23854" applyNumberFormat="1" applyFont="1" applyFill="1" applyBorder="1" applyAlignment="1">
      <alignment horizontal="right" vertical="center"/>
    </xf>
    <xf numFmtId="49" fontId="37" fillId="5" borderId="1" xfId="23854" applyNumberFormat="1" applyFont="1" applyFill="1" applyBorder="1" applyAlignment="1">
      <alignment horizontal="right" vertical="center"/>
    </xf>
    <xf numFmtId="0" fontId="66" fillId="5" borderId="1" xfId="23854" applyFont="1" applyFill="1" applyBorder="1" applyAlignment="1">
      <alignment horizontal="left" vertical="center" wrapText="1"/>
    </xf>
    <xf numFmtId="168" fontId="54" fillId="5" borderId="1" xfId="23855" applyFont="1" applyFill="1" applyBorder="1" applyAlignment="1">
      <alignment vertical="center"/>
    </xf>
    <xf numFmtId="0" fontId="67" fillId="5" borderId="94" xfId="23854" applyFont="1" applyFill="1" applyBorder="1" applyAlignment="1">
      <alignment horizontal="left" vertical="center" wrapText="1"/>
    </xf>
    <xf numFmtId="0" fontId="49" fillId="5" borderId="14" xfId="23854" applyFont="1" applyFill="1" applyBorder="1" applyAlignment="1">
      <alignment horizontal="left" vertical="center" wrapText="1"/>
    </xf>
    <xf numFmtId="168" fontId="37" fillId="5" borderId="1" xfId="23855" applyFont="1" applyFill="1" applyBorder="1" applyAlignment="1">
      <alignment vertical="center"/>
    </xf>
    <xf numFmtId="0" fontId="52" fillId="5" borderId="14" xfId="23854" applyFont="1" applyFill="1" applyBorder="1" applyAlignment="1">
      <alignment horizontal="left" vertical="center" wrapText="1"/>
    </xf>
    <xf numFmtId="168" fontId="36" fillId="5" borderId="1" xfId="23855" applyFont="1" applyFill="1" applyBorder="1" applyAlignment="1">
      <alignment vertical="center"/>
    </xf>
    <xf numFmtId="164" fontId="36" fillId="5" borderId="74" xfId="23854" applyNumberFormat="1" applyFont="1" applyFill="1" applyBorder="1" applyAlignment="1">
      <alignment horizontal="right" vertical="center"/>
    </xf>
    <xf numFmtId="49" fontId="37" fillId="2" borderId="6" xfId="23854" applyNumberFormat="1" applyFont="1" applyFill="1" applyBorder="1" applyAlignment="1">
      <alignment horizontal="right" vertical="center"/>
    </xf>
    <xf numFmtId="0" fontId="66" fillId="2" borderId="94" xfId="23854" applyFont="1" applyFill="1" applyBorder="1" applyAlignment="1">
      <alignment horizontal="left" vertical="center" wrapText="1"/>
    </xf>
    <xf numFmtId="0" fontId="66" fillId="2" borderId="6" xfId="23854" applyFont="1" applyFill="1" applyBorder="1" applyAlignment="1">
      <alignment horizontal="right" vertical="center"/>
    </xf>
    <xf numFmtId="0" fontId="256" fillId="2" borderId="1" xfId="23854" applyFont="1" applyFill="1" applyBorder="1" applyAlignment="1">
      <alignment vertical="center" wrapText="1"/>
    </xf>
    <xf numFmtId="0" fontId="10" fillId="2" borderId="1" xfId="23854" applyFont="1" applyFill="1" applyBorder="1" applyAlignment="1">
      <alignment horizontal="center" vertical="center"/>
    </xf>
    <xf numFmtId="0" fontId="256" fillId="2" borderId="74" xfId="23854" applyFont="1" applyFill="1" applyBorder="1" applyAlignment="1">
      <alignment vertical="center" wrapText="1"/>
    </xf>
    <xf numFmtId="0" fontId="37" fillId="2" borderId="6" xfId="23854" applyFont="1" applyFill="1" applyBorder="1" applyAlignment="1">
      <alignment horizontal="right" vertical="center"/>
    </xf>
    <xf numFmtId="49" fontId="10" fillId="2" borderId="6" xfId="23854" applyNumberFormat="1" applyFont="1" applyFill="1" applyBorder="1" applyAlignment="1">
      <alignment horizontal="right" vertical="center"/>
    </xf>
    <xf numFmtId="0" fontId="67" fillId="5" borderId="1" xfId="23854" applyFont="1" applyFill="1" applyBorder="1" applyAlignment="1">
      <alignment vertical="center" wrapText="1"/>
    </xf>
    <xf numFmtId="164" fontId="36" fillId="5" borderId="74" xfId="23854" applyNumberFormat="1" applyFont="1" applyFill="1" applyBorder="1" applyAlignment="1">
      <alignment horizontal="center" vertical="center" wrapText="1"/>
    </xf>
    <xf numFmtId="0" fontId="10" fillId="2" borderId="6" xfId="23854" applyFont="1" applyFill="1" applyBorder="1" applyAlignment="1">
      <alignment horizontal="center" vertical="center" wrapText="1"/>
    </xf>
    <xf numFmtId="0" fontId="29" fillId="2" borderId="1" xfId="23854" applyFont="1" applyFill="1" applyBorder="1" applyAlignment="1">
      <alignment vertical="center" wrapText="1"/>
    </xf>
    <xf numFmtId="0" fontId="55" fillId="2" borderId="6" xfId="23854" applyFont="1" applyFill="1" applyBorder="1" applyAlignment="1">
      <alignment horizontal="center" vertical="center" wrapText="1"/>
    </xf>
    <xf numFmtId="0" fontId="49" fillId="162" borderId="1" xfId="23854" applyFont="1" applyFill="1" applyBorder="1" applyAlignment="1">
      <alignment vertical="center" wrapText="1"/>
    </xf>
    <xf numFmtId="168" fontId="50" fillId="162" borderId="74" xfId="23855" applyFont="1" applyFill="1" applyBorder="1" applyAlignment="1">
      <alignment vertical="center"/>
    </xf>
    <xf numFmtId="168" fontId="257" fillId="162" borderId="1" xfId="23855" applyFont="1" applyFill="1" applyBorder="1" applyAlignment="1">
      <alignment vertical="center"/>
    </xf>
    <xf numFmtId="164" fontId="36" fillId="162" borderId="1" xfId="23854" applyNumberFormat="1" applyFont="1" applyFill="1" applyBorder="1" applyAlignment="1">
      <alignment horizontal="right" vertical="center"/>
    </xf>
    <xf numFmtId="0" fontId="258" fillId="162" borderId="6" xfId="23854" applyFont="1" applyFill="1" applyBorder="1" applyAlignment="1">
      <alignment horizontal="center" vertical="center" wrapText="1"/>
    </xf>
    <xf numFmtId="0" fontId="256" fillId="162" borderId="1" xfId="23854" applyFont="1" applyFill="1" applyBorder="1" applyAlignment="1">
      <alignment vertical="center" wrapText="1"/>
    </xf>
    <xf numFmtId="168" fontId="36" fillId="162" borderId="74" xfId="23855" applyFont="1" applyFill="1" applyBorder="1" applyAlignment="1">
      <alignment vertical="center"/>
    </xf>
    <xf numFmtId="164" fontId="36" fillId="162" borderId="74" xfId="23854" applyNumberFormat="1" applyFont="1" applyFill="1" applyBorder="1" applyAlignment="1">
      <alignment horizontal="center" vertical="center" wrapText="1"/>
    </xf>
    <xf numFmtId="0" fontId="10" fillId="162" borderId="6" xfId="23854" applyFont="1" applyFill="1" applyBorder="1" applyAlignment="1">
      <alignment horizontal="center" vertical="center" wrapText="1"/>
    </xf>
    <xf numFmtId="49" fontId="45" fillId="2" borderId="6" xfId="23854" applyNumberFormat="1" applyFont="1" applyFill="1" applyBorder="1" applyAlignment="1">
      <alignment horizontal="right" vertical="center"/>
    </xf>
    <xf numFmtId="0" fontId="66" fillId="2" borderId="1" xfId="23854" applyFont="1" applyFill="1" applyBorder="1" applyAlignment="1">
      <alignment vertical="center" wrapText="1"/>
    </xf>
    <xf numFmtId="0" fontId="66" fillId="2" borderId="1" xfId="23854" applyFont="1" applyFill="1" applyBorder="1" applyAlignment="1">
      <alignment horizontal="right" vertical="center"/>
    </xf>
    <xf numFmtId="0" fontId="50" fillId="2" borderId="1" xfId="23854" applyFont="1" applyFill="1" applyBorder="1" applyAlignment="1">
      <alignment horizontal="right" vertical="center"/>
    </xf>
    <xf numFmtId="164" fontId="36" fillId="2" borderId="1" xfId="23854" applyNumberFormat="1" applyFont="1" applyFill="1" applyBorder="1" applyAlignment="1">
      <alignment horizontal="center" vertical="center" wrapText="1"/>
    </xf>
    <xf numFmtId="0" fontId="10" fillId="2" borderId="0" xfId="23854" applyFont="1" applyFill="1" applyAlignment="1">
      <alignment wrapText="1"/>
    </xf>
    <xf numFmtId="4" fontId="10" fillId="2" borderId="0" xfId="23854" applyNumberFormat="1" applyFont="1" applyFill="1" applyAlignment="1">
      <alignment vertical="center"/>
    </xf>
    <xf numFmtId="0" fontId="10" fillId="2" borderId="0" xfId="23854" applyFont="1" applyFill="1" applyAlignment="1">
      <alignment vertical="center"/>
    </xf>
    <xf numFmtId="0" fontId="10" fillId="2" borderId="0" xfId="23854" applyFont="1" applyFill="1"/>
    <xf numFmtId="0" fontId="299" fillId="2" borderId="0" xfId="23854" applyFill="1" applyAlignment="1">
      <alignment wrapText="1"/>
    </xf>
    <xf numFmtId="0" fontId="299" fillId="2" borderId="0" xfId="23854" applyFill="1" applyAlignment="1">
      <alignment vertical="center"/>
    </xf>
    <xf numFmtId="49" fontId="37" fillId="27" borderId="1" xfId="23854" applyNumberFormat="1" applyFont="1" applyFill="1" applyBorder="1" applyAlignment="1">
      <alignment horizontal="right" vertical="center"/>
    </xf>
    <xf numFmtId="168" fontId="48" fillId="27" borderId="1" xfId="23855" applyFont="1" applyFill="1" applyBorder="1" applyAlignment="1">
      <alignment vertical="center"/>
    </xf>
    <xf numFmtId="164" fontId="37" fillId="27" borderId="1" xfId="23854" applyNumberFormat="1" applyFont="1" applyFill="1" applyBorder="1" applyAlignment="1">
      <alignment horizontal="right" vertical="center"/>
    </xf>
    <xf numFmtId="164" fontId="36" fillId="27" borderId="1" xfId="23854" applyNumberFormat="1" applyFont="1" applyFill="1" applyBorder="1" applyAlignment="1">
      <alignment horizontal="right" vertical="center"/>
    </xf>
    <xf numFmtId="0" fontId="67" fillId="27" borderId="75" xfId="23854" applyFont="1" applyFill="1" applyBorder="1" applyAlignment="1">
      <alignment horizontal="left" vertical="center" wrapText="1"/>
    </xf>
    <xf numFmtId="164" fontId="37" fillId="27" borderId="74" xfId="23854" applyNumberFormat="1" applyFont="1" applyFill="1" applyBorder="1" applyAlignment="1">
      <alignment horizontal="center" vertical="center" wrapText="1"/>
    </xf>
    <xf numFmtId="0" fontId="10" fillId="27" borderId="1" xfId="23854" applyFont="1" applyFill="1" applyBorder="1"/>
    <xf numFmtId="0" fontId="256" fillId="27" borderId="75" xfId="23854" applyFont="1" applyFill="1" applyBorder="1" applyAlignment="1">
      <alignment horizontal="left" vertical="center" wrapText="1"/>
    </xf>
    <xf numFmtId="164" fontId="36" fillId="27" borderId="74" xfId="23854" applyNumberFormat="1" applyFont="1" applyFill="1" applyBorder="1" applyAlignment="1">
      <alignment horizontal="center" vertical="center" wrapText="1"/>
    </xf>
    <xf numFmtId="168" fontId="257" fillId="27" borderId="1" xfId="23855" applyFont="1" applyFill="1" applyBorder="1" applyAlignment="1">
      <alignment vertical="center"/>
    </xf>
    <xf numFmtId="0" fontId="52" fillId="27" borderId="75" xfId="23854" applyFont="1" applyFill="1" applyBorder="1" applyAlignment="1">
      <alignment horizontal="left" vertical="center" wrapText="1"/>
    </xf>
    <xf numFmtId="0" fontId="256" fillId="27" borderId="94" xfId="23854" applyFont="1" applyFill="1" applyBorder="1" applyAlignment="1">
      <alignment horizontal="left" vertical="center" wrapText="1"/>
    </xf>
    <xf numFmtId="168" fontId="36" fillId="27" borderId="74" xfId="23855" applyFont="1" applyFill="1" applyBorder="1" applyAlignment="1">
      <alignment vertical="center" wrapText="1"/>
    </xf>
    <xf numFmtId="168" fontId="36" fillId="27" borderId="1" xfId="23855" applyFont="1" applyFill="1" applyBorder="1" applyAlignment="1">
      <alignment vertical="center" wrapText="1"/>
    </xf>
    <xf numFmtId="0" fontId="52" fillId="27" borderId="94" xfId="23854" applyFont="1" applyFill="1" applyBorder="1" applyAlignment="1">
      <alignment horizontal="left" vertical="center" wrapText="1"/>
    </xf>
    <xf numFmtId="0" fontId="49" fillId="27" borderId="94" xfId="23854" applyFont="1" applyFill="1" applyBorder="1" applyAlignment="1">
      <alignment horizontal="left" vertical="center" wrapText="1"/>
    </xf>
    <xf numFmtId="168" fontId="37" fillId="27" borderId="74" xfId="23855" applyFont="1" applyFill="1" applyBorder="1" applyAlignment="1">
      <alignment vertical="center" wrapText="1"/>
    </xf>
    <xf numFmtId="168" fontId="260" fillId="27" borderId="1" xfId="23855" applyFont="1" applyFill="1" applyBorder="1" applyAlignment="1">
      <alignment vertical="center"/>
    </xf>
    <xf numFmtId="164" fontId="53" fillId="27" borderId="1" xfId="23854" applyNumberFormat="1" applyFont="1" applyFill="1" applyBorder="1" applyAlignment="1">
      <alignment horizontal="right" vertical="center"/>
    </xf>
    <xf numFmtId="0" fontId="55" fillId="27" borderId="1" xfId="23854" applyFont="1" applyFill="1" applyBorder="1" applyAlignment="1">
      <alignment horizontal="center" vertical="center"/>
    </xf>
    <xf numFmtId="168" fontId="53" fillId="27" borderId="74" xfId="23855" applyFont="1" applyFill="1" applyBorder="1" applyAlignment="1">
      <alignment vertical="center" wrapText="1"/>
    </xf>
    <xf numFmtId="168" fontId="53" fillId="27" borderId="1" xfId="23855" applyFont="1" applyFill="1" applyBorder="1" applyAlignment="1">
      <alignment vertical="center" wrapText="1"/>
    </xf>
    <xf numFmtId="168" fontId="54" fillId="27" borderId="1" xfId="23855" applyFont="1" applyFill="1" applyBorder="1" applyAlignment="1">
      <alignment vertical="center"/>
    </xf>
    <xf numFmtId="0" fontId="52" fillId="27" borderId="1" xfId="23854" applyFont="1" applyFill="1" applyBorder="1" applyAlignment="1">
      <alignment horizontal="center" vertical="center"/>
    </xf>
    <xf numFmtId="0" fontId="299" fillId="2" borderId="1" xfId="23854" applyFill="1" applyBorder="1"/>
    <xf numFmtId="4" fontId="10" fillId="2" borderId="1" xfId="23854" applyNumberFormat="1" applyFont="1" applyFill="1" applyBorder="1" applyAlignment="1">
      <alignment vertical="center"/>
    </xf>
    <xf numFmtId="10" fontId="10" fillId="2" borderId="1" xfId="23854" applyNumberFormat="1" applyFont="1" applyFill="1" applyBorder="1" applyAlignment="1">
      <alignment vertical="center"/>
    </xf>
    <xf numFmtId="10" fontId="10" fillId="2" borderId="1" xfId="23854" applyNumberFormat="1" applyFont="1" applyFill="1" applyBorder="1"/>
    <xf numFmtId="0" fontId="1" fillId="2" borderId="5" xfId="0" applyFont="1" applyFill="1" applyBorder="1" applyAlignment="1">
      <alignment vertical="center" wrapText="1"/>
    </xf>
    <xf numFmtId="49" fontId="37" fillId="0" borderId="1" xfId="23854" applyNumberFormat="1" applyFont="1" applyFill="1" applyBorder="1" applyAlignment="1">
      <alignment horizontal="right" vertical="center"/>
    </xf>
    <xf numFmtId="0" fontId="49" fillId="0" borderId="14" xfId="23854" applyFont="1" applyFill="1" applyBorder="1" applyAlignment="1">
      <alignment horizontal="left" vertical="center" wrapText="1"/>
    </xf>
    <xf numFmtId="168" fontId="37" fillId="0" borderId="74" xfId="23855" applyFont="1" applyFill="1" applyBorder="1" applyAlignment="1">
      <alignment vertical="center"/>
    </xf>
    <xf numFmtId="168" fontId="48" fillId="0" borderId="1" xfId="23855" applyFont="1" applyFill="1" applyBorder="1" applyAlignment="1">
      <alignment vertical="center"/>
    </xf>
    <xf numFmtId="164" fontId="37" fillId="0" borderId="1" xfId="23854" applyNumberFormat="1" applyFont="1" applyFill="1" applyBorder="1" applyAlignment="1">
      <alignment horizontal="right" vertical="center"/>
    </xf>
    <xf numFmtId="0" fontId="55" fillId="0" borderId="14" xfId="23854" applyFont="1" applyFill="1" applyBorder="1" applyAlignment="1">
      <alignment horizontal="left" vertical="center" wrapText="1"/>
    </xf>
    <xf numFmtId="0" fontId="256" fillId="0" borderId="1" xfId="23854" applyFont="1" applyFill="1" applyBorder="1" applyAlignment="1">
      <alignment horizontal="left" vertical="center" wrapText="1"/>
    </xf>
    <xf numFmtId="168" fontId="36" fillId="0" borderId="74" xfId="23855" applyFont="1" applyFill="1" applyBorder="1" applyAlignment="1">
      <alignment vertical="center"/>
    </xf>
    <xf numFmtId="168" fontId="36" fillId="0" borderId="1" xfId="23855" applyFont="1" applyFill="1" applyBorder="1" applyAlignment="1">
      <alignment vertical="center"/>
    </xf>
    <xf numFmtId="164" fontId="36" fillId="0" borderId="1" xfId="23854" applyNumberFormat="1" applyFont="1" applyFill="1" applyBorder="1" applyAlignment="1">
      <alignment horizontal="right" vertical="center"/>
    </xf>
    <xf numFmtId="168" fontId="55" fillId="0" borderId="14" xfId="23854" applyNumberFormat="1" applyFont="1" applyFill="1" applyBorder="1" applyAlignment="1">
      <alignment horizontal="left" vertical="center" wrapText="1"/>
    </xf>
    <xf numFmtId="0" fontId="256" fillId="0" borderId="6" xfId="23854" applyFont="1" applyFill="1" applyBorder="1" applyAlignment="1">
      <alignment horizontal="left" vertical="center" wrapText="1"/>
    </xf>
    <xf numFmtId="0" fontId="256" fillId="0" borderId="17" xfId="23854" applyFont="1" applyFill="1" applyBorder="1" applyAlignment="1">
      <alignment horizontal="left" vertical="center" wrapText="1"/>
    </xf>
    <xf numFmtId="49" fontId="302" fillId="0" borderId="18" xfId="23858" applyNumberFormat="1" applyProtection="1">
      <alignment horizontal="center" vertical="center" wrapText="1"/>
    </xf>
    <xf numFmtId="49" fontId="302" fillId="0" borderId="19" xfId="23859" applyNumberFormat="1" applyProtection="1">
      <alignment horizontal="center" vertical="center" wrapText="1"/>
    </xf>
    <xf numFmtId="49" fontId="302" fillId="0" borderId="20" xfId="23860" applyNumberFormat="1" applyProtection="1">
      <alignment horizontal="center" vertical="center" wrapText="1"/>
    </xf>
    <xf numFmtId="49" fontId="302" fillId="0" borderId="21" xfId="23861" applyNumberFormat="1" applyProtection="1">
      <alignment horizontal="center" vertical="center" wrapText="1"/>
    </xf>
    <xf numFmtId="49" fontId="302" fillId="0" borderId="22" xfId="23862" applyNumberFormat="1" applyProtection="1">
      <alignment horizontal="center" vertical="center" wrapText="1"/>
    </xf>
    <xf numFmtId="49" fontId="302" fillId="0" borderId="23" xfId="23863" applyNumberFormat="1" applyProtection="1">
      <alignment horizontal="center" vertical="center" wrapText="1"/>
    </xf>
    <xf numFmtId="49" fontId="303" fillId="21" borderId="24" xfId="23864" applyNumberFormat="1" applyProtection="1">
      <alignment horizontal="center" vertical="top" shrinkToFit="1"/>
    </xf>
    <xf numFmtId="49" fontId="303" fillId="21" borderId="25" xfId="23865" applyNumberFormat="1" applyProtection="1">
      <alignment horizontal="center" vertical="top" shrinkToFit="1"/>
    </xf>
    <xf numFmtId="0" fontId="303" fillId="21" borderId="25" xfId="23866" applyNumberFormat="1" applyProtection="1">
      <alignment horizontal="left" vertical="top" wrapText="1"/>
    </xf>
    <xf numFmtId="4" fontId="303" fillId="21" borderId="25" xfId="23867" applyNumberFormat="1" applyProtection="1">
      <alignment horizontal="right" vertical="top" shrinkToFit="1"/>
    </xf>
    <xf numFmtId="4" fontId="303" fillId="21" borderId="26" xfId="23868" applyNumberFormat="1" applyProtection="1">
      <alignment horizontal="right" vertical="top" shrinkToFit="1"/>
    </xf>
    <xf numFmtId="49" fontId="302" fillId="22" borderId="27" xfId="23869" applyNumberFormat="1" applyProtection="1">
      <alignment horizontal="center" vertical="top" shrinkToFit="1"/>
    </xf>
    <xf numFmtId="49" fontId="302" fillId="22" borderId="28" xfId="23870" applyNumberFormat="1" applyProtection="1">
      <alignment horizontal="center" vertical="top" shrinkToFit="1"/>
    </xf>
    <xf numFmtId="0" fontId="302" fillId="22" borderId="28" xfId="23871" applyNumberFormat="1" applyProtection="1">
      <alignment horizontal="left" vertical="top" wrapText="1"/>
    </xf>
    <xf numFmtId="4" fontId="302" fillId="22" borderId="28" xfId="23872" applyNumberFormat="1" applyProtection="1">
      <alignment horizontal="right" vertical="top" shrinkToFit="1"/>
    </xf>
    <xf numFmtId="4" fontId="302" fillId="22" borderId="29" xfId="23873" applyNumberFormat="1" applyProtection="1">
      <alignment horizontal="right" vertical="top" shrinkToFit="1"/>
    </xf>
    <xf numFmtId="49" fontId="302" fillId="23" borderId="30" xfId="23874" applyNumberFormat="1" applyProtection="1">
      <alignment horizontal="center" vertical="top" shrinkToFit="1"/>
    </xf>
    <xf numFmtId="49" fontId="302" fillId="23" borderId="31" xfId="23875" applyNumberFormat="1" applyProtection="1">
      <alignment horizontal="center" vertical="top" shrinkToFit="1"/>
    </xf>
    <xf numFmtId="0" fontId="302" fillId="23" borderId="31" xfId="23876" applyNumberFormat="1" applyProtection="1">
      <alignment horizontal="left" vertical="top" wrapText="1"/>
    </xf>
    <xf numFmtId="4" fontId="302" fillId="23" borderId="31" xfId="23877" applyNumberFormat="1" applyProtection="1">
      <alignment horizontal="right" vertical="top" shrinkToFit="1"/>
    </xf>
    <xf numFmtId="4" fontId="302" fillId="23" borderId="32" xfId="23878" applyNumberFormat="1" applyProtection="1">
      <alignment horizontal="right" vertical="top" shrinkToFit="1"/>
    </xf>
    <xf numFmtId="49" fontId="301" fillId="0" borderId="31" xfId="23879" applyNumberFormat="1" applyProtection="1">
      <alignment horizontal="center" vertical="top" shrinkToFit="1"/>
    </xf>
    <xf numFmtId="0" fontId="301" fillId="0" borderId="31" xfId="23880" applyNumberFormat="1" applyProtection="1">
      <alignment horizontal="left" vertical="top" wrapText="1"/>
    </xf>
    <xf numFmtId="4" fontId="301" fillId="0" borderId="31" xfId="23881" applyNumberFormat="1" applyProtection="1">
      <alignment horizontal="right" vertical="top" shrinkToFit="1"/>
    </xf>
    <xf numFmtId="4" fontId="301" fillId="0" borderId="32" xfId="23882" applyNumberFormat="1" applyProtection="1">
      <alignment horizontal="right" vertical="top" shrinkToFit="1"/>
    </xf>
    <xf numFmtId="49" fontId="301" fillId="0" borderId="31" xfId="23883" applyNumberFormat="1" applyProtection="1">
      <alignment horizontal="center" vertical="top" shrinkToFit="1"/>
    </xf>
    <xf numFmtId="0" fontId="301" fillId="0" borderId="31" xfId="23884" applyNumberFormat="1" applyProtection="1">
      <alignment horizontal="left" vertical="top" wrapText="1"/>
    </xf>
    <xf numFmtId="4" fontId="301" fillId="0" borderId="31" xfId="23885" applyNumberFormat="1" applyProtection="1">
      <alignment horizontal="right" vertical="top" shrinkToFit="1"/>
    </xf>
    <xf numFmtId="4" fontId="301" fillId="0" borderId="32" xfId="23886" applyNumberFormat="1" applyProtection="1">
      <alignment horizontal="right" vertical="top" shrinkToFit="1"/>
    </xf>
    <xf numFmtId="49" fontId="301" fillId="0" borderId="31" xfId="23887" applyNumberFormat="1" applyProtection="1">
      <alignment horizontal="center" vertical="top" shrinkToFit="1"/>
    </xf>
    <xf numFmtId="0" fontId="301" fillId="0" borderId="31" xfId="23888" applyNumberFormat="1" applyProtection="1">
      <alignment horizontal="left" vertical="top" wrapText="1"/>
    </xf>
    <xf numFmtId="4" fontId="301" fillId="0" borderId="31" xfId="23889" applyNumberFormat="1" applyProtection="1">
      <alignment horizontal="right" vertical="top" shrinkToFit="1"/>
    </xf>
    <xf numFmtId="4" fontId="301" fillId="0" borderId="32" xfId="23890" applyNumberFormat="1" applyProtection="1">
      <alignment horizontal="right" vertical="top" shrinkToFit="1"/>
    </xf>
    <xf numFmtId="0" fontId="301" fillId="0" borderId="33" xfId="23891" applyNumberFormat="1" applyProtection="1"/>
    <xf numFmtId="0" fontId="301" fillId="0" borderId="34" xfId="23892" applyNumberFormat="1" applyProtection="1"/>
    <xf numFmtId="0" fontId="301" fillId="0" borderId="35" xfId="23893" applyNumberFormat="1" applyProtection="1"/>
    <xf numFmtId="0" fontId="303" fillId="24" borderId="36" xfId="23894" applyNumberFormat="1" applyProtection="1"/>
    <xf numFmtId="0" fontId="303" fillId="24" borderId="37" xfId="23895" applyNumberFormat="1" applyProtection="1"/>
    <xf numFmtId="4" fontId="303" fillId="24" borderId="37" xfId="23896" applyNumberFormat="1" applyProtection="1">
      <alignment horizontal="right" shrinkToFit="1"/>
    </xf>
    <xf numFmtId="4" fontId="303" fillId="24" borderId="38" xfId="23897" applyNumberFormat="1" applyProtection="1">
      <alignment horizontal="right" shrinkToFit="1"/>
    </xf>
    <xf numFmtId="0" fontId="301" fillId="0" borderId="39" xfId="23898" applyNumberFormat="1" applyProtection="1"/>
    <xf numFmtId="0" fontId="75" fillId="0" borderId="39" xfId="23898" applyNumberFormat="1" applyFont="1" applyAlignment="1" applyProtection="1">
      <alignment horizontal="right"/>
    </xf>
    <xf numFmtId="0" fontId="75" fillId="0" borderId="39" xfId="23898" applyNumberFormat="1" applyFont="1" applyProtection="1"/>
    <xf numFmtId="4" fontId="75" fillId="0" borderId="39" xfId="23898" applyNumberFormat="1" applyFont="1" applyProtection="1"/>
    <xf numFmtId="4" fontId="73" fillId="0" borderId="0" xfId="3657" applyNumberFormat="1" applyProtection="1">
      <protection locked="0"/>
    </xf>
    <xf numFmtId="0" fontId="301" fillId="0" borderId="0" xfId="23899" applyNumberFormat="1" applyAlignment="1" applyProtection="1">
      <alignment vertical="top" wrapText="1"/>
    </xf>
    <xf numFmtId="0" fontId="301" fillId="0" borderId="0" xfId="23899" applyAlignment="1">
      <alignment vertical="top" wrapText="1"/>
    </xf>
    <xf numFmtId="0" fontId="75" fillId="0" borderId="0" xfId="23899" applyFont="1" applyAlignment="1">
      <alignment vertical="top" wrapText="1"/>
    </xf>
    <xf numFmtId="4" fontId="75" fillId="0" borderId="0" xfId="23899" applyNumberFormat="1" applyFont="1" applyAlignment="1">
      <alignment vertical="top" wrapText="1"/>
    </xf>
    <xf numFmtId="4" fontId="17" fillId="20" borderId="1" xfId="1" applyNumberFormat="1" applyFont="1" applyFill="1" applyBorder="1" applyAlignment="1">
      <alignment vertical="center" wrapText="1"/>
    </xf>
    <xf numFmtId="0" fontId="21" fillId="0" borderId="0" xfId="0" applyFont="1" applyFill="1"/>
    <xf numFmtId="0" fontId="18" fillId="0" borderId="0" xfId="0" applyFont="1" applyFill="1"/>
    <xf numFmtId="4" fontId="301" fillId="27" borderId="31" xfId="23889" applyNumberFormat="1" applyFill="1" applyProtection="1">
      <alignment horizontal="right" vertical="top" shrinkToFit="1"/>
    </xf>
    <xf numFmtId="0" fontId="20" fillId="164" borderId="0" xfId="3501" applyFont="1" applyFill="1"/>
    <xf numFmtId="0" fontId="20" fillId="164" borderId="0" xfId="3501" applyFont="1" applyFill="1" applyAlignment="1">
      <alignment horizontal="center"/>
    </xf>
    <xf numFmtId="165" fontId="20" fillId="164" borderId="0" xfId="3501" applyNumberFormat="1" applyFont="1" applyFill="1" applyAlignment="1">
      <alignment horizontal="center"/>
    </xf>
    <xf numFmtId="165" fontId="20" fillId="164" borderId="0" xfId="3501" applyNumberFormat="1" applyFont="1" applyFill="1"/>
    <xf numFmtId="165" fontId="20" fillId="164" borderId="0" xfId="3501" applyNumberFormat="1" applyFont="1" applyFill="1" applyAlignment="1">
      <alignment horizontal="right" vertical="center"/>
    </xf>
    <xf numFmtId="165" fontId="20" fillId="164" borderId="0" xfId="3501" applyNumberFormat="1" applyFont="1" applyFill="1" applyAlignment="1">
      <alignment horizontal="center" vertical="center"/>
    </xf>
    <xf numFmtId="167" fontId="20" fillId="171" borderId="0" xfId="5531" applyNumberFormat="1" applyFont="1" applyFill="1" applyAlignment="1">
      <alignment horizontal="center"/>
    </xf>
    <xf numFmtId="9" fontId="20" fillId="171" borderId="0" xfId="5531" applyNumberFormat="1" applyFont="1" applyFill="1" applyAlignment="1">
      <alignment horizontal="center"/>
    </xf>
    <xf numFmtId="165" fontId="20" fillId="171" borderId="0" xfId="5531" applyNumberFormat="1" applyFont="1" applyFill="1" applyAlignment="1">
      <alignment horizontal="center"/>
    </xf>
    <xf numFmtId="0" fontId="20" fillId="164" borderId="0" xfId="3501" applyFont="1" applyFill="1" applyAlignment="1">
      <alignment horizontal="right" vertical="center"/>
    </xf>
    <xf numFmtId="167" fontId="21" fillId="171" borderId="0" xfId="5531" applyNumberFormat="1" applyFont="1" applyFill="1" applyAlignment="1">
      <alignment horizontal="center"/>
    </xf>
    <xf numFmtId="9" fontId="21" fillId="171" borderId="0" xfId="5531" applyNumberFormat="1" applyFont="1" applyFill="1" applyAlignment="1">
      <alignment horizontal="center"/>
    </xf>
    <xf numFmtId="165" fontId="21" fillId="171" borderId="0" xfId="5531" applyNumberFormat="1" applyFont="1" applyFill="1" applyAlignment="1">
      <alignment horizontal="center"/>
    </xf>
    <xf numFmtId="4" fontId="30" fillId="164" borderId="74" xfId="14123" applyNumberFormat="1" applyFont="1" applyFill="1" applyBorder="1" applyAlignment="1" applyProtection="1">
      <alignment horizontal="center" vertical="center" wrapText="1"/>
      <protection locked="0"/>
    </xf>
    <xf numFmtId="4" fontId="30" fillId="164" borderId="73" xfId="14123" applyNumberFormat="1" applyFont="1" applyFill="1" applyBorder="1" applyAlignment="1" applyProtection="1">
      <alignment horizontal="center" vertical="center" wrapText="1"/>
      <protection locked="0"/>
    </xf>
    <xf numFmtId="165" fontId="30" fillId="164" borderId="73" xfId="3501" applyNumberFormat="1" applyFont="1" applyFill="1" applyBorder="1" applyAlignment="1" applyProtection="1">
      <alignment horizontal="center" vertical="center" wrapText="1"/>
      <protection locked="0"/>
    </xf>
    <xf numFmtId="167" fontId="30" fillId="171" borderId="73" xfId="5531" applyNumberFormat="1" applyFont="1" applyFill="1" applyBorder="1" applyAlignment="1" applyProtection="1">
      <alignment horizontal="center" vertical="center" wrapText="1"/>
      <protection locked="0"/>
    </xf>
    <xf numFmtId="0" fontId="70" fillId="164" borderId="73" xfId="5532" applyFont="1" applyFill="1" applyBorder="1" applyAlignment="1">
      <alignment horizontal="center" vertical="center" wrapText="1"/>
    </xf>
    <xf numFmtId="165" fontId="30" fillId="164" borderId="73" xfId="5532" applyNumberFormat="1" applyFont="1" applyFill="1" applyBorder="1" applyAlignment="1">
      <alignment horizontal="right" vertical="center" wrapText="1"/>
    </xf>
    <xf numFmtId="167" fontId="30" fillId="171" borderId="73" xfId="5532" applyNumberFormat="1" applyFont="1" applyFill="1" applyBorder="1" applyAlignment="1">
      <alignment horizontal="right" vertical="center" wrapText="1"/>
    </xf>
    <xf numFmtId="0" fontId="30" fillId="164" borderId="73" xfId="5532" applyFont="1" applyFill="1" applyBorder="1" applyAlignment="1">
      <alignment horizontal="center" vertical="center" wrapText="1"/>
    </xf>
    <xf numFmtId="0" fontId="30" fillId="164" borderId="73" xfId="5532" applyFont="1" applyFill="1" applyBorder="1" applyAlignment="1">
      <alignment horizontal="left" vertical="center" wrapText="1"/>
    </xf>
    <xf numFmtId="0" fontId="30" fillId="164" borderId="73" xfId="5532" applyFont="1" applyFill="1" applyBorder="1" applyAlignment="1">
      <alignment horizontal="left" vertical="center"/>
    </xf>
    <xf numFmtId="165" fontId="30" fillId="164" borderId="73" xfId="5532" applyNumberFormat="1" applyFont="1" applyFill="1" applyBorder="1" applyAlignment="1">
      <alignment horizontal="center" vertical="center" wrapText="1"/>
    </xf>
    <xf numFmtId="165" fontId="30" fillId="164" borderId="73" xfId="5532" applyNumberFormat="1" applyFont="1" applyFill="1" applyBorder="1" applyAlignment="1">
      <alignment horizontal="left" vertical="center" wrapText="1"/>
    </xf>
    <xf numFmtId="167" fontId="30" fillId="171" borderId="73" xfId="5532" applyNumberFormat="1" applyFont="1" applyFill="1" applyBorder="1" applyAlignment="1">
      <alignment horizontal="center" vertical="center" wrapText="1"/>
    </xf>
    <xf numFmtId="0" fontId="30" fillId="171" borderId="73" xfId="5532" applyFont="1" applyFill="1" applyBorder="1" applyAlignment="1">
      <alignment horizontal="left" vertical="center" wrapText="1"/>
    </xf>
    <xf numFmtId="165" fontId="30" fillId="171" borderId="73" xfId="5532" applyNumberFormat="1" applyFont="1" applyFill="1" applyBorder="1" applyAlignment="1">
      <alignment horizontal="left" vertical="center" wrapText="1"/>
    </xf>
    <xf numFmtId="0" fontId="253" fillId="164" borderId="73" xfId="5532" applyFont="1" applyFill="1" applyBorder="1" applyAlignment="1">
      <alignment horizontal="center" vertical="center" wrapText="1"/>
    </xf>
    <xf numFmtId="165" fontId="31" fillId="164" borderId="6" xfId="5532" applyNumberFormat="1" applyFont="1" applyFill="1" applyBorder="1" applyAlignment="1">
      <alignment horizontal="right" wrapText="1"/>
    </xf>
    <xf numFmtId="165" fontId="31" fillId="173" borderId="6" xfId="5532" applyNumberFormat="1" applyFont="1" applyFill="1" applyBorder="1" applyAlignment="1">
      <alignment horizontal="right" wrapText="1"/>
    </xf>
    <xf numFmtId="0" fontId="31" fillId="164" borderId="73" xfId="5532" applyFont="1" applyFill="1" applyBorder="1" applyAlignment="1">
      <alignment horizontal="center" vertical="center" wrapText="1"/>
    </xf>
    <xf numFmtId="165" fontId="31" fillId="164" borderId="73" xfId="5532" applyNumberFormat="1" applyFont="1" applyFill="1" applyBorder="1" applyAlignment="1">
      <alignment horizontal="right" wrapText="1"/>
    </xf>
    <xf numFmtId="165" fontId="31" fillId="173" borderId="73" xfId="5532" applyNumberFormat="1" applyFont="1" applyFill="1" applyBorder="1" applyAlignment="1">
      <alignment horizontal="right" wrapText="1"/>
    </xf>
    <xf numFmtId="165" fontId="31" fillId="164" borderId="74" xfId="5532" applyNumberFormat="1" applyFont="1" applyFill="1" applyBorder="1" applyAlignment="1">
      <alignment horizontal="right" wrapText="1"/>
    </xf>
    <xf numFmtId="165" fontId="31" fillId="173" borderId="5" xfId="5532" applyNumberFormat="1" applyFont="1" applyFill="1" applyBorder="1" applyAlignment="1">
      <alignment horizontal="right" wrapText="1"/>
    </xf>
    <xf numFmtId="165" fontId="31" fillId="173" borderId="74" xfId="5532" applyNumberFormat="1" applyFont="1" applyFill="1" applyBorder="1" applyAlignment="1">
      <alignment horizontal="right" wrapText="1"/>
    </xf>
    <xf numFmtId="165" fontId="31" fillId="164" borderId="73" xfId="5530" applyNumberFormat="1" applyFont="1" applyFill="1" applyBorder="1" applyAlignment="1">
      <alignment horizontal="right" wrapText="1"/>
    </xf>
    <xf numFmtId="165" fontId="31" fillId="171" borderId="73" xfId="5530" applyNumberFormat="1" applyFont="1" applyFill="1" applyBorder="1" applyAlignment="1">
      <alignment horizontal="right" wrapText="1"/>
    </xf>
    <xf numFmtId="165" fontId="31" fillId="173" borderId="73" xfId="5530" applyNumberFormat="1" applyFont="1" applyFill="1" applyBorder="1" applyAlignment="1">
      <alignment horizontal="right" wrapText="1"/>
    </xf>
    <xf numFmtId="165" fontId="31" fillId="164" borderId="74" xfId="5530" applyNumberFormat="1" applyFont="1" applyFill="1" applyBorder="1" applyAlignment="1">
      <alignment horizontal="right"/>
    </xf>
    <xf numFmtId="165" fontId="31" fillId="164" borderId="73" xfId="5530" applyNumberFormat="1" applyFont="1" applyFill="1" applyBorder="1" applyAlignment="1">
      <alignment horizontal="right"/>
    </xf>
    <xf numFmtId="0" fontId="31" fillId="164" borderId="73" xfId="5" applyFont="1" applyFill="1" applyBorder="1" applyAlignment="1">
      <alignment horizontal="center" vertical="center" wrapText="1"/>
    </xf>
    <xf numFmtId="165" fontId="31" fillId="164" borderId="73" xfId="4" applyNumberFormat="1" applyFont="1" applyFill="1" applyBorder="1" applyAlignment="1">
      <alignment horizontal="right" wrapText="1"/>
    </xf>
    <xf numFmtId="4" fontId="30" fillId="164" borderId="73" xfId="0" applyNumberFormat="1" applyFont="1" applyFill="1" applyBorder="1" applyAlignment="1">
      <alignment horizontal="right" wrapText="1"/>
    </xf>
    <xf numFmtId="165" fontId="70" fillId="164" borderId="6" xfId="5" applyNumberFormat="1" applyFont="1" applyFill="1" applyBorder="1" applyAlignment="1">
      <alignment horizontal="right" wrapText="1"/>
    </xf>
    <xf numFmtId="165" fontId="31" fillId="164" borderId="6" xfId="5" applyNumberFormat="1" applyFont="1" applyFill="1" applyBorder="1" applyAlignment="1">
      <alignment horizontal="right" wrapText="1"/>
    </xf>
    <xf numFmtId="165" fontId="30" fillId="164" borderId="73" xfId="5" applyNumberFormat="1" applyFont="1" applyFill="1" applyBorder="1" applyAlignment="1">
      <alignment horizontal="right" wrapText="1"/>
    </xf>
    <xf numFmtId="165" fontId="31" fillId="164" borderId="73" xfId="5" applyNumberFormat="1" applyFont="1" applyFill="1" applyBorder="1" applyAlignment="1">
      <alignment horizontal="right" wrapText="1"/>
    </xf>
    <xf numFmtId="165" fontId="30" fillId="164" borderId="6" xfId="5" applyNumberFormat="1" applyFont="1" applyFill="1" applyBorder="1" applyAlignment="1">
      <alignment horizontal="right" wrapText="1"/>
    </xf>
    <xf numFmtId="0" fontId="36" fillId="164" borderId="74" xfId="5530" applyFont="1" applyFill="1" applyBorder="1" applyAlignment="1">
      <alignment horizontal="center"/>
    </xf>
    <xf numFmtId="0" fontId="36" fillId="164" borderId="5" xfId="5530" applyFont="1" applyFill="1" applyBorder="1" applyAlignment="1">
      <alignment horizontal="center"/>
    </xf>
    <xf numFmtId="0" fontId="36" fillId="164" borderId="6" xfId="5530" applyFont="1" applyFill="1" applyBorder="1" applyAlignment="1">
      <alignment horizontal="center"/>
    </xf>
    <xf numFmtId="0" fontId="22" fillId="2" borderId="9" xfId="0" applyFont="1" applyFill="1" applyBorder="1" applyAlignment="1">
      <alignment horizontal="center" vertical="center" wrapText="1"/>
    </xf>
    <xf numFmtId="4" fontId="22" fillId="2" borderId="1" xfId="0" applyNumberFormat="1" applyFont="1" applyFill="1" applyBorder="1" applyAlignment="1">
      <alignment vertical="center" wrapText="1"/>
    </xf>
    <xf numFmtId="165" fontId="29" fillId="2" borderId="1" xfId="1" applyNumberFormat="1" applyFont="1" applyFill="1" applyBorder="1" applyAlignment="1">
      <alignment horizontal="right" vertical="center" wrapText="1"/>
    </xf>
    <xf numFmtId="165" fontId="22" fillId="2" borderId="1" xfId="1" applyNumberFormat="1" applyFont="1" applyFill="1" applyBorder="1" applyAlignment="1">
      <alignment horizontal="right" vertical="center" wrapText="1"/>
    </xf>
    <xf numFmtId="165" fontId="17" fillId="2" borderId="1" xfId="0" applyNumberFormat="1" applyFont="1" applyFill="1" applyBorder="1" applyAlignment="1">
      <alignment horizontal="right" vertical="center" wrapText="1"/>
    </xf>
    <xf numFmtId="0" fontId="32" fillId="2" borderId="1" xfId="0" applyFont="1" applyFill="1" applyBorder="1" applyAlignment="1">
      <alignment horizontal="center" vertical="center" wrapText="1"/>
    </xf>
    <xf numFmtId="167" fontId="22" fillId="2" borderId="94" xfId="1" applyNumberFormat="1" applyFont="1" applyFill="1" applyBorder="1" applyAlignment="1">
      <alignment vertical="center" wrapText="1"/>
    </xf>
    <xf numFmtId="4" fontId="32" fillId="2" borderId="1" xfId="0" applyNumberFormat="1" applyFont="1" applyFill="1" applyBorder="1" applyAlignment="1">
      <alignment horizontal="right" vertical="center" wrapText="1"/>
    </xf>
    <xf numFmtId="165" fontId="32" fillId="2" borderId="1" xfId="0" applyNumberFormat="1" applyFont="1" applyFill="1" applyBorder="1" applyAlignment="1">
      <alignment horizontal="right" vertical="center" wrapText="1"/>
    </xf>
    <xf numFmtId="4" fontId="20" fillId="2" borderId="1" xfId="0" applyNumberFormat="1" applyFont="1" applyFill="1" applyBorder="1" applyAlignment="1">
      <alignment horizontal="right" vertical="top" wrapText="1"/>
    </xf>
    <xf numFmtId="165" fontId="20" fillId="2" borderId="1" xfId="0" applyNumberFormat="1" applyFont="1" applyFill="1" applyBorder="1" applyAlignment="1">
      <alignment horizontal="center" vertical="top" wrapText="1"/>
    </xf>
    <xf numFmtId="4" fontId="20" fillId="2" borderId="1" xfId="0" applyNumberFormat="1" applyFont="1" applyFill="1" applyBorder="1" applyAlignment="1">
      <alignment horizontal="right" wrapText="1"/>
    </xf>
    <xf numFmtId="165" fontId="20" fillId="2" borderId="1" xfId="0" applyNumberFormat="1" applyFont="1" applyFill="1" applyBorder="1" applyAlignment="1">
      <alignment horizontal="right"/>
    </xf>
    <xf numFmtId="2" fontId="20" fillId="2" borderId="9" xfId="0" applyNumberFormat="1" applyFont="1" applyFill="1" applyBorder="1" applyAlignment="1">
      <alignment horizontal="right" wrapText="1"/>
    </xf>
    <xf numFmtId="165" fontId="20" fillId="2" borderId="1" xfId="0" applyNumberFormat="1" applyFont="1" applyFill="1" applyBorder="1" applyAlignment="1">
      <alignment horizontal="right" wrapText="1"/>
    </xf>
    <xf numFmtId="4" fontId="29" fillId="2" borderId="1" xfId="1" applyNumberFormat="1" applyFont="1" applyFill="1" applyBorder="1" applyAlignment="1">
      <alignment horizontal="right" wrapText="1"/>
    </xf>
    <xf numFmtId="167" fontId="29" fillId="2" borderId="11" xfId="1" applyNumberFormat="1" applyFont="1" applyFill="1" applyBorder="1" applyAlignment="1">
      <alignment wrapText="1"/>
    </xf>
    <xf numFmtId="165" fontId="17" fillId="2" borderId="9" xfId="0" applyNumberFormat="1" applyFont="1" applyFill="1" applyBorder="1" applyAlignment="1">
      <alignment horizontal="center" vertical="top" wrapText="1"/>
    </xf>
    <xf numFmtId="165" fontId="31" fillId="177" borderId="73" xfId="5532" applyNumberFormat="1" applyFont="1" applyFill="1" applyBorder="1" applyAlignment="1">
      <alignment horizontal="right" wrapText="1"/>
    </xf>
    <xf numFmtId="165" fontId="31" fillId="175" borderId="73" xfId="5530" applyNumberFormat="1" applyFont="1" applyFill="1" applyBorder="1" applyAlignment="1">
      <alignment horizontal="right" wrapText="1"/>
    </xf>
    <xf numFmtId="2" fontId="0" fillId="2" borderId="0" xfId="0" applyNumberFormat="1" applyFill="1"/>
    <xf numFmtId="0" fontId="0" fillId="2" borderId="0" xfId="0" applyFill="1" applyAlignment="1">
      <alignment vertical="center"/>
    </xf>
    <xf numFmtId="10" fontId="0" fillId="0" borderId="0" xfId="0" applyNumberFormat="1"/>
    <xf numFmtId="0" fontId="32" fillId="0" borderId="0" xfId="23900" applyFont="1"/>
    <xf numFmtId="0" fontId="60" fillId="0" borderId="73" xfId="23900" applyFont="1" applyFill="1" applyBorder="1"/>
    <xf numFmtId="165" fontId="60" fillId="0" borderId="73" xfId="23900" applyNumberFormat="1" applyFont="1" applyFill="1" applyBorder="1"/>
    <xf numFmtId="165" fontId="32" fillId="0" borderId="0" xfId="23900" applyNumberFormat="1" applyFont="1"/>
    <xf numFmtId="165" fontId="60" fillId="178" borderId="73" xfId="23900" applyNumberFormat="1" applyFont="1" applyFill="1" applyBorder="1"/>
    <xf numFmtId="165" fontId="60" fillId="179" borderId="73" xfId="23900" applyNumberFormat="1" applyFont="1" applyFill="1" applyBorder="1"/>
    <xf numFmtId="165" fontId="10" fillId="178" borderId="73" xfId="23900" applyNumberFormat="1" applyFont="1" applyFill="1" applyBorder="1"/>
    <xf numFmtId="165" fontId="60" fillId="2" borderId="73" xfId="23900" applyNumberFormat="1" applyFont="1" applyFill="1" applyBorder="1"/>
    <xf numFmtId="0" fontId="60" fillId="0" borderId="0" xfId="23900" applyFont="1" applyFill="1" applyAlignment="1">
      <alignment horizontal="center" vertical="center"/>
    </xf>
    <xf numFmtId="0" fontId="60" fillId="0" borderId="0" xfId="23900" applyFont="1" applyFill="1" applyAlignment="1">
      <alignment vertical="center"/>
    </xf>
    <xf numFmtId="0" fontId="60" fillId="0" borderId="0" xfId="23900" applyFont="1" applyFill="1"/>
    <xf numFmtId="0" fontId="31" fillId="0" borderId="1" xfId="0" applyFont="1" applyFill="1" applyBorder="1" applyAlignment="1">
      <alignment horizontal="center" vertical="center" wrapText="1"/>
    </xf>
    <xf numFmtId="0" fontId="30" fillId="0" borderId="1" xfId="0" applyFont="1" applyFill="1" applyBorder="1" applyAlignment="1">
      <alignment horizontal="center" vertical="center" wrapText="1"/>
    </xf>
    <xf numFmtId="165" fontId="29" fillId="20" borderId="1" xfId="1" applyNumberFormat="1" applyFont="1" applyFill="1" applyBorder="1" applyAlignment="1">
      <alignment horizontal="right" wrapText="1"/>
    </xf>
    <xf numFmtId="0" fontId="1" fillId="0" borderId="2" xfId="0" applyNumberFormat="1" applyFont="1" applyFill="1" applyBorder="1" applyAlignment="1">
      <alignment horizontal="center" vertical="center"/>
    </xf>
    <xf numFmtId="0" fontId="1" fillId="0" borderId="13" xfId="0" applyNumberFormat="1" applyFont="1" applyFill="1" applyBorder="1" applyAlignment="1">
      <alignment horizontal="center" vertical="center"/>
    </xf>
    <xf numFmtId="0" fontId="1" fillId="0" borderId="12" xfId="0" applyNumberFormat="1" applyFont="1" applyFill="1" applyBorder="1" applyAlignment="1">
      <alignment horizontal="center" vertical="center"/>
    </xf>
    <xf numFmtId="0" fontId="1" fillId="0" borderId="3" xfId="0" applyNumberFormat="1" applyFont="1" applyFill="1" applyBorder="1" applyAlignment="1">
      <alignment horizontal="center" vertical="center"/>
    </xf>
    <xf numFmtId="0" fontId="1" fillId="0" borderId="8" xfId="0" applyNumberFormat="1" applyFont="1" applyFill="1" applyBorder="1" applyAlignment="1">
      <alignment horizontal="center" vertical="center"/>
    </xf>
    <xf numFmtId="0" fontId="1" fillId="0" borderId="14" xfId="0" applyNumberFormat="1" applyFont="1" applyFill="1" applyBorder="1" applyAlignment="1">
      <alignment horizontal="center" vertical="center"/>
    </xf>
    <xf numFmtId="0" fontId="5" fillId="0" borderId="6"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8" fillId="2" borderId="1" xfId="0" applyNumberFormat="1"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14" fontId="10" fillId="2" borderId="1" xfId="0" applyNumberFormat="1" applyFont="1" applyFill="1" applyBorder="1" applyAlignment="1">
      <alignment horizontal="center" vertical="center" wrapText="1"/>
    </xf>
    <xf numFmtId="0" fontId="10" fillId="2" borderId="1" xfId="0" applyNumberFormat="1"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14" fontId="8" fillId="2" borderId="1" xfId="0" applyNumberFormat="1" applyFont="1" applyFill="1" applyBorder="1" applyAlignment="1">
      <alignment horizontal="center" vertical="center" wrapText="1"/>
    </xf>
    <xf numFmtId="0" fontId="13" fillId="2" borderId="0" xfId="0" applyFont="1" applyFill="1" applyBorder="1" applyAlignment="1">
      <alignment horizontal="center" vertical="center" wrapText="1"/>
    </xf>
    <xf numFmtId="0" fontId="8" fillId="2" borderId="0" xfId="0" applyNumberFormat="1" applyFont="1" applyFill="1" applyBorder="1" applyAlignment="1">
      <alignment horizontal="left" vertical="center" wrapText="1"/>
    </xf>
    <xf numFmtId="0" fontId="8" fillId="2" borderId="13" xfId="0" applyNumberFormat="1" applyFont="1" applyFill="1" applyBorder="1" applyAlignment="1">
      <alignment horizontal="left" vertical="center" wrapText="1"/>
    </xf>
    <xf numFmtId="0" fontId="15" fillId="2" borderId="1" xfId="0" applyFont="1" applyFill="1" applyBorder="1" applyAlignment="1">
      <alignment horizontal="center" vertical="center"/>
    </xf>
    <xf numFmtId="0" fontId="31" fillId="0" borderId="1" xfId="0" applyNumberFormat="1" applyFont="1" applyFill="1" applyBorder="1" applyAlignment="1">
      <alignment horizontal="center" vertical="center" wrapText="1"/>
    </xf>
    <xf numFmtId="0" fontId="31" fillId="0" borderId="1" xfId="0" applyFont="1" applyFill="1" applyBorder="1" applyAlignment="1">
      <alignment horizontal="left" vertical="center" wrapText="1"/>
    </xf>
    <xf numFmtId="0" fontId="31" fillId="0" borderId="4"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31" fillId="0" borderId="1" xfId="0" applyNumberFormat="1" applyFont="1" applyFill="1" applyBorder="1" applyAlignment="1">
      <alignment horizontal="left" vertical="center" wrapText="1"/>
    </xf>
    <xf numFmtId="0" fontId="31" fillId="0" borderId="6" xfId="0" applyFont="1" applyFill="1" applyBorder="1" applyAlignment="1">
      <alignment horizontal="center" vertical="center" wrapText="1"/>
    </xf>
    <xf numFmtId="0" fontId="31" fillId="0" borderId="4" xfId="0" applyNumberFormat="1" applyFont="1" applyFill="1" applyBorder="1" applyAlignment="1">
      <alignment horizontal="center" vertical="center" wrapText="1"/>
    </xf>
    <xf numFmtId="0" fontId="31" fillId="0" borderId="5" xfId="0" applyNumberFormat="1" applyFont="1" applyFill="1" applyBorder="1" applyAlignment="1">
      <alignment horizontal="center" vertical="center" wrapText="1"/>
    </xf>
    <xf numFmtId="0" fontId="31" fillId="0" borderId="6" xfId="0" applyNumberFormat="1" applyFont="1" applyFill="1" applyBorder="1" applyAlignment="1">
      <alignment horizontal="center" vertical="center" wrapText="1"/>
    </xf>
    <xf numFmtId="0" fontId="31" fillId="0" borderId="4" xfId="0" applyNumberFormat="1" applyFont="1" applyFill="1" applyBorder="1" applyAlignment="1">
      <alignment horizontal="left" vertical="center" wrapText="1"/>
    </xf>
    <xf numFmtId="0" fontId="31" fillId="0" borderId="5" xfId="0" applyNumberFormat="1" applyFont="1" applyFill="1" applyBorder="1" applyAlignment="1">
      <alignment horizontal="left" vertical="center" wrapText="1"/>
    </xf>
    <xf numFmtId="0" fontId="31" fillId="0" borderId="6" xfId="0" applyNumberFormat="1" applyFont="1" applyFill="1" applyBorder="1" applyAlignment="1">
      <alignment horizontal="left" vertical="center" wrapText="1"/>
    </xf>
    <xf numFmtId="0" fontId="32" fillId="0" borderId="0" xfId="0" applyFont="1" applyFill="1" applyAlignment="1">
      <alignment horizontal="center" vertical="center" wrapText="1"/>
    </xf>
    <xf numFmtId="0" fontId="31" fillId="0" borderId="1" xfId="0" applyFont="1" applyFill="1" applyBorder="1" applyAlignment="1">
      <alignment horizontal="center" vertical="center" wrapText="1"/>
    </xf>
    <xf numFmtId="0" fontId="10" fillId="0" borderId="1" xfId="8" applyFont="1" applyBorder="1" applyAlignment="1">
      <alignment horizontal="center" vertical="center" wrapText="1"/>
    </xf>
    <xf numFmtId="0" fontId="44" fillId="10" borderId="1" xfId="8" applyFont="1" applyFill="1" applyBorder="1" applyAlignment="1">
      <alignment horizontal="center" vertical="center" wrapText="1"/>
    </xf>
    <xf numFmtId="0" fontId="45" fillId="9" borderId="15" xfId="8" applyFont="1" applyFill="1" applyBorder="1" applyAlignment="1">
      <alignment horizontal="center" vertical="center" wrapText="1"/>
    </xf>
    <xf numFmtId="0" fontId="45" fillId="9" borderId="11" xfId="8" applyFont="1" applyFill="1" applyBorder="1" applyAlignment="1">
      <alignment horizontal="center" vertical="center" wrapText="1"/>
    </xf>
    <xf numFmtId="49" fontId="37" fillId="2" borderId="1" xfId="8" applyNumberFormat="1" applyFont="1" applyFill="1" applyBorder="1" applyAlignment="1">
      <alignment horizontal="right" vertical="top"/>
    </xf>
    <xf numFmtId="49" fontId="37" fillId="0" borderId="4" xfId="8" applyNumberFormat="1" applyFont="1" applyFill="1" applyBorder="1" applyAlignment="1">
      <alignment horizontal="right" vertical="top"/>
    </xf>
    <xf numFmtId="49" fontId="37" fillId="0" borderId="5" xfId="8" applyNumberFormat="1" applyFont="1" applyFill="1" applyBorder="1" applyAlignment="1">
      <alignment horizontal="right" vertical="top"/>
    </xf>
    <xf numFmtId="0" fontId="44" fillId="0" borderId="0" xfId="8" applyFont="1" applyAlignment="1">
      <alignment horizontal="center" vertical="center" wrapText="1"/>
    </xf>
    <xf numFmtId="0" fontId="14" fillId="0" borderId="4" xfId="8" applyFont="1" applyBorder="1" applyAlignment="1">
      <alignment horizontal="center" vertical="center" wrapText="1"/>
    </xf>
    <xf numFmtId="0" fontId="14" fillId="0" borderId="6" xfId="8" applyFont="1" applyBorder="1" applyAlignment="1">
      <alignment horizontal="center" vertical="center" wrapText="1"/>
    </xf>
    <xf numFmtId="0" fontId="36" fillId="0" borderId="4" xfId="8" applyFont="1" applyBorder="1" applyAlignment="1">
      <alignment horizontal="center" vertical="center"/>
    </xf>
    <xf numFmtId="0" fontId="36" fillId="0" borderId="6" xfId="8" applyFont="1" applyBorder="1" applyAlignment="1">
      <alignment horizontal="center" vertical="center"/>
    </xf>
    <xf numFmtId="0" fontId="37" fillId="2" borderId="4" xfId="8" applyFont="1" applyFill="1" applyBorder="1" applyAlignment="1">
      <alignment horizontal="center" vertical="center" wrapText="1"/>
    </xf>
    <xf numFmtId="0" fontId="37" fillId="2" borderId="6" xfId="8" applyFont="1" applyFill="1" applyBorder="1" applyAlignment="1">
      <alignment horizontal="center" vertical="center" wrapText="1"/>
    </xf>
    <xf numFmtId="0" fontId="10" fillId="0" borderId="4" xfId="8" applyFont="1" applyBorder="1" applyAlignment="1">
      <alignment horizontal="center" vertical="center" wrapText="1"/>
    </xf>
    <xf numFmtId="0" fontId="10" fillId="0" borderId="6" xfId="8" applyFont="1" applyBorder="1" applyAlignment="1">
      <alignment horizontal="center" vertical="center" wrapText="1"/>
    </xf>
    <xf numFmtId="0" fontId="5" fillId="2" borderId="1" xfId="0" applyNumberFormat="1" applyFont="1" applyFill="1" applyBorder="1" applyAlignment="1">
      <alignment horizontal="center" vertical="center" wrapText="1"/>
    </xf>
    <xf numFmtId="0" fontId="30"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35" fillId="2" borderId="1" xfId="0" applyFont="1" applyFill="1" applyBorder="1" applyAlignment="1">
      <alignment horizontal="center" vertical="center"/>
    </xf>
    <xf numFmtId="0" fontId="30" fillId="2" borderId="1" xfId="0" applyNumberFormat="1" applyFont="1" applyFill="1" applyBorder="1" applyAlignment="1">
      <alignment horizontal="center" vertical="center" wrapText="1"/>
    </xf>
    <xf numFmtId="0" fontId="5" fillId="2" borderId="4" xfId="0" applyNumberFormat="1" applyFont="1" applyFill="1" applyBorder="1" applyAlignment="1">
      <alignment horizontal="left" vertical="center" wrapText="1"/>
    </xf>
    <xf numFmtId="0" fontId="5" fillId="2" borderId="5" xfId="0" applyNumberFormat="1" applyFont="1" applyFill="1" applyBorder="1" applyAlignment="1">
      <alignment horizontal="left" vertical="center" wrapText="1"/>
    </xf>
    <xf numFmtId="0" fontId="5" fillId="2" borderId="6" xfId="0" applyNumberFormat="1"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5" xfId="0" applyFont="1" applyFill="1" applyBorder="1" applyAlignment="1">
      <alignment horizontal="left" vertical="center" wrapText="1"/>
    </xf>
    <xf numFmtId="0" fontId="30" fillId="2" borderId="6" xfId="0" applyFont="1" applyFill="1" applyBorder="1" applyAlignment="1">
      <alignment horizontal="left" vertical="center" wrapText="1"/>
    </xf>
    <xf numFmtId="49" fontId="5" fillId="2" borderId="1" xfId="0" applyNumberFormat="1" applyFont="1" applyFill="1" applyBorder="1" applyAlignment="1">
      <alignment horizontal="center" vertical="center" wrapText="1"/>
    </xf>
    <xf numFmtId="0" fontId="1" fillId="2" borderId="2" xfId="0" applyNumberFormat="1" applyFont="1" applyFill="1" applyBorder="1" applyAlignment="1">
      <alignment horizontal="center" vertical="center"/>
    </xf>
    <xf numFmtId="0" fontId="1" fillId="2" borderId="13" xfId="0" applyNumberFormat="1" applyFont="1" applyFill="1" applyBorder="1" applyAlignment="1">
      <alignment horizontal="center" vertical="center"/>
    </xf>
    <xf numFmtId="0" fontId="1" fillId="2" borderId="12" xfId="0" applyNumberFormat="1" applyFont="1" applyFill="1" applyBorder="1" applyAlignment="1">
      <alignment horizontal="center" vertical="center"/>
    </xf>
    <xf numFmtId="0" fontId="1" fillId="2" borderId="3" xfId="0" applyNumberFormat="1" applyFont="1" applyFill="1" applyBorder="1" applyAlignment="1">
      <alignment horizontal="center" vertical="center"/>
    </xf>
    <xf numFmtId="0" fontId="1" fillId="2" borderId="8" xfId="0" applyNumberFormat="1" applyFont="1" applyFill="1" applyBorder="1" applyAlignment="1">
      <alignment horizontal="center" vertical="center"/>
    </xf>
    <xf numFmtId="0" fontId="1" fillId="2" borderId="14" xfId="0" applyNumberFormat="1" applyFont="1" applyFill="1" applyBorder="1" applyAlignment="1">
      <alignment horizontal="center" vertical="center"/>
    </xf>
    <xf numFmtId="0" fontId="5" fillId="2" borderId="6" xfId="0" applyNumberFormat="1" applyFont="1" applyFill="1" applyBorder="1" applyAlignment="1">
      <alignment horizontal="center" vertical="center" wrapText="1"/>
    </xf>
    <xf numFmtId="0" fontId="5" fillId="2" borderId="6" xfId="0" applyFont="1" applyFill="1" applyBorder="1" applyAlignment="1">
      <alignment horizontal="center" vertical="center" wrapText="1"/>
    </xf>
    <xf numFmtId="0" fontId="30" fillId="2" borderId="6" xfId="0" applyFont="1" applyFill="1" applyBorder="1" applyAlignment="1">
      <alignment horizontal="center" vertical="center" wrapText="1"/>
    </xf>
    <xf numFmtId="49" fontId="10" fillId="2" borderId="74" xfId="0" applyNumberFormat="1" applyFont="1" applyFill="1" applyBorder="1" applyAlignment="1">
      <alignment horizontal="center" vertical="center" wrapText="1"/>
    </xf>
    <xf numFmtId="49" fontId="10" fillId="2" borderId="5" xfId="0" applyNumberFormat="1" applyFont="1" applyFill="1" applyBorder="1" applyAlignment="1">
      <alignment horizontal="center" vertical="center" wrapText="1"/>
    </xf>
    <xf numFmtId="49" fontId="10" fillId="2" borderId="6" xfId="0" applyNumberFormat="1" applyFont="1" applyFill="1" applyBorder="1" applyAlignment="1">
      <alignment horizontal="center" vertical="center" wrapText="1"/>
    </xf>
    <xf numFmtId="0" fontId="20" fillId="2" borderId="7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20" fillId="2" borderId="7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1" fillId="2" borderId="7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0" fillId="0" borderId="4"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6" xfId="0" applyFont="1" applyFill="1" applyBorder="1" applyAlignment="1">
      <alignment horizontal="center" vertical="center"/>
    </xf>
    <xf numFmtId="167" fontId="1" fillId="2" borderId="74" xfId="0" applyNumberFormat="1" applyFont="1" applyFill="1" applyBorder="1" applyAlignment="1">
      <alignment horizontal="center" vertical="center" wrapText="1"/>
    </xf>
    <xf numFmtId="167" fontId="1" fillId="2" borderId="5" xfId="0" applyNumberFormat="1" applyFont="1" applyFill="1" applyBorder="1" applyAlignment="1">
      <alignment horizontal="center" vertical="center" wrapText="1"/>
    </xf>
    <xf numFmtId="167" fontId="1" fillId="2" borderId="6" xfId="0" applyNumberFormat="1" applyFont="1" applyFill="1" applyBorder="1" applyAlignment="1">
      <alignment horizontal="center" vertical="center" wrapText="1"/>
    </xf>
    <xf numFmtId="0" fontId="8" fillId="2" borderId="4" xfId="0" applyNumberFormat="1" applyFont="1" applyFill="1" applyBorder="1" applyAlignment="1">
      <alignment horizontal="center" vertical="center" wrapText="1"/>
    </xf>
    <xf numFmtId="0" fontId="8" fillId="2" borderId="5" xfId="0" applyNumberFormat="1" applyFont="1" applyFill="1" applyBorder="1" applyAlignment="1">
      <alignment horizontal="center" vertical="center" wrapText="1"/>
    </xf>
    <xf numFmtId="0" fontId="8" fillId="2" borderId="6"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17" fillId="2" borderId="4" xfId="0" applyFont="1" applyFill="1" applyBorder="1" applyAlignment="1">
      <alignment horizontal="left" vertical="center" wrapText="1"/>
    </xf>
    <xf numFmtId="0" fontId="17" fillId="2" borderId="5" xfId="0" applyFont="1" applyFill="1" applyBorder="1" applyAlignment="1">
      <alignment horizontal="left" vertical="center" wrapText="1"/>
    </xf>
    <xf numFmtId="0" fontId="17" fillId="2" borderId="6" xfId="0" applyFont="1" applyFill="1" applyBorder="1" applyAlignment="1">
      <alignment horizontal="left" vertical="center" wrapText="1"/>
    </xf>
    <xf numFmtId="0" fontId="36" fillId="2" borderId="4" xfId="0" applyFont="1" applyFill="1" applyBorder="1" applyAlignment="1">
      <alignment vertical="center" wrapText="1"/>
    </xf>
    <xf numFmtId="0" fontId="36" fillId="2" borderId="5" xfId="0" applyFont="1" applyFill="1" applyBorder="1" applyAlignment="1">
      <alignment vertical="center" wrapText="1"/>
    </xf>
    <xf numFmtId="0" fontId="36" fillId="2" borderId="6" xfId="0" applyFont="1" applyFill="1" applyBorder="1" applyAlignment="1">
      <alignment vertical="center" wrapText="1"/>
    </xf>
    <xf numFmtId="0" fontId="0" fillId="20" borderId="4" xfId="0" applyFont="1" applyFill="1" applyBorder="1" applyAlignment="1">
      <alignment horizontal="center" vertical="center"/>
    </xf>
    <xf numFmtId="0" fontId="0" fillId="20" borderId="5" xfId="0" applyFont="1" applyFill="1" applyBorder="1" applyAlignment="1">
      <alignment horizontal="center" vertical="center"/>
    </xf>
    <xf numFmtId="0" fontId="0" fillId="20" borderId="6" xfId="0" applyFont="1" applyFill="1" applyBorder="1" applyAlignment="1">
      <alignment horizontal="center" vertical="center"/>
    </xf>
    <xf numFmtId="167" fontId="1" fillId="2" borderId="4" xfId="0" applyNumberFormat="1" applyFont="1" applyFill="1" applyBorder="1" applyAlignment="1">
      <alignment horizontal="center" vertical="center" wrapText="1"/>
    </xf>
    <xf numFmtId="0" fontId="1" fillId="2" borderId="4" xfId="0" applyFont="1" applyFill="1" applyBorder="1" applyAlignment="1">
      <alignment horizontal="center" vertical="center" wrapText="1"/>
    </xf>
    <xf numFmtId="167" fontId="27" fillId="2" borderId="4" xfId="0" applyNumberFormat="1" applyFont="1" applyFill="1" applyBorder="1" applyAlignment="1">
      <alignment horizontal="center" vertical="center" wrapText="1"/>
    </xf>
    <xf numFmtId="0" fontId="27" fillId="2" borderId="5" xfId="0" applyFont="1" applyFill="1" applyBorder="1" applyAlignment="1">
      <alignment horizontal="center" vertical="center" wrapText="1"/>
    </xf>
    <xf numFmtId="0" fontId="27" fillId="2" borderId="6" xfId="0" applyFont="1" applyFill="1" applyBorder="1" applyAlignment="1">
      <alignment horizontal="center" vertical="center" wrapText="1"/>
    </xf>
    <xf numFmtId="0" fontId="17" fillId="2" borderId="4" xfId="0" applyFont="1" applyFill="1" applyBorder="1" applyAlignment="1">
      <alignment vertical="center" wrapText="1"/>
    </xf>
    <xf numFmtId="0" fontId="17" fillId="2" borderId="5" xfId="0" applyFont="1" applyFill="1" applyBorder="1" applyAlignment="1">
      <alignment vertical="center" wrapText="1"/>
    </xf>
    <xf numFmtId="0" fontId="17" fillId="2" borderId="6" xfId="0" applyFont="1" applyFill="1" applyBorder="1" applyAlignment="1">
      <alignment vertical="center" wrapText="1"/>
    </xf>
    <xf numFmtId="0" fontId="1" fillId="2" borderId="4" xfId="0" applyFont="1" applyFill="1" applyBorder="1" applyAlignment="1">
      <alignment vertical="center" wrapText="1"/>
    </xf>
    <xf numFmtId="0" fontId="1" fillId="2" borderId="5" xfId="0" applyFont="1" applyFill="1" applyBorder="1" applyAlignment="1">
      <alignment vertical="center" wrapText="1"/>
    </xf>
    <xf numFmtId="0" fontId="1" fillId="2" borderId="6" xfId="0" applyFont="1" applyFill="1" applyBorder="1" applyAlignment="1">
      <alignment vertical="center" wrapText="1"/>
    </xf>
    <xf numFmtId="0" fontId="1" fillId="2" borderId="1" xfId="0" applyFont="1" applyFill="1" applyBorder="1" applyAlignment="1">
      <alignment horizontal="center" vertical="center" wrapText="1"/>
    </xf>
    <xf numFmtId="49" fontId="1" fillId="2" borderId="4" xfId="0" applyNumberFormat="1" applyFont="1" applyFill="1" applyBorder="1" applyAlignment="1">
      <alignment horizontal="center" vertical="center" wrapText="1"/>
    </xf>
    <xf numFmtId="0" fontId="1" fillId="11" borderId="4" xfId="0" applyFont="1" applyFill="1" applyBorder="1" applyAlignment="1">
      <alignment horizontal="center" vertical="center" wrapText="1"/>
    </xf>
    <xf numFmtId="0" fontId="1" fillId="11" borderId="5"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20" borderId="4" xfId="0" applyFont="1" applyFill="1" applyBorder="1" applyAlignment="1">
      <alignment horizontal="center" vertical="center" wrapText="1"/>
    </xf>
    <xf numFmtId="0" fontId="1" fillId="20" borderId="5" xfId="0" applyFont="1" applyFill="1" applyBorder="1" applyAlignment="1">
      <alignment horizontal="center" vertical="center" wrapText="1"/>
    </xf>
    <xf numFmtId="0" fontId="1" fillId="20" borderId="6" xfId="0" applyFont="1" applyFill="1" applyBorder="1" applyAlignment="1">
      <alignment horizontal="center" vertical="center" wrapText="1"/>
    </xf>
    <xf numFmtId="0" fontId="0" fillId="2" borderId="4" xfId="0" applyFont="1" applyFill="1" applyBorder="1" applyAlignment="1">
      <alignment horizontal="center" vertical="center"/>
    </xf>
    <xf numFmtId="0" fontId="0" fillId="2" borderId="5" xfId="0" applyFont="1" applyFill="1" applyBorder="1" applyAlignment="1">
      <alignment horizontal="center" vertical="center"/>
    </xf>
    <xf numFmtId="0" fontId="0" fillId="2" borderId="6" xfId="0" applyFont="1" applyFill="1" applyBorder="1" applyAlignment="1">
      <alignment horizontal="center" vertical="center"/>
    </xf>
    <xf numFmtId="0" fontId="1" fillId="20" borderId="1" xfId="0" applyFont="1" applyFill="1" applyBorder="1" applyAlignment="1">
      <alignment horizontal="center" vertical="center" wrapText="1"/>
    </xf>
    <xf numFmtId="0" fontId="0" fillId="20" borderId="1" xfId="0" applyFont="1" applyFill="1" applyBorder="1" applyAlignment="1">
      <alignment horizontal="center" vertical="center"/>
    </xf>
    <xf numFmtId="0" fontId="32" fillId="2" borderId="4"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6" xfId="0" applyFont="1" applyFill="1" applyBorder="1" applyAlignment="1">
      <alignment horizontal="center" vertical="center" wrapText="1"/>
    </xf>
    <xf numFmtId="0" fontId="27" fillId="176" borderId="74" xfId="0" applyFont="1" applyFill="1" applyBorder="1" applyAlignment="1">
      <alignment horizontal="center" vertical="center" wrapText="1"/>
    </xf>
    <xf numFmtId="0" fontId="27" fillId="176" borderId="5" xfId="0" applyFont="1" applyFill="1" applyBorder="1" applyAlignment="1">
      <alignment horizontal="center" vertical="center" wrapText="1"/>
    </xf>
    <xf numFmtId="0" fontId="27" fillId="176" borderId="6" xfId="0" applyFont="1" applyFill="1" applyBorder="1" applyAlignment="1">
      <alignment horizontal="center" vertical="center" wrapText="1"/>
    </xf>
    <xf numFmtId="0" fontId="0" fillId="2" borderId="1" xfId="0" applyFont="1" applyFill="1" applyBorder="1" applyAlignment="1">
      <alignment horizontal="center" vertical="center"/>
    </xf>
    <xf numFmtId="0" fontId="27" fillId="2" borderId="74" xfId="0"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7" fillId="2" borderId="4" xfId="0" applyFont="1" applyFill="1" applyBorder="1" applyAlignment="1">
      <alignment horizontal="center" vertical="center" wrapText="1"/>
    </xf>
    <xf numFmtId="0" fontId="0" fillId="0" borderId="1" xfId="0" applyFont="1" applyFill="1" applyBorder="1" applyAlignment="1">
      <alignment horizontal="center" vertical="center"/>
    </xf>
    <xf numFmtId="49" fontId="8" fillId="20" borderId="4" xfId="0" applyNumberFormat="1" applyFont="1" applyFill="1" applyBorder="1" applyAlignment="1">
      <alignment horizontal="center" vertical="center" wrapText="1"/>
    </xf>
    <xf numFmtId="49" fontId="8" fillId="20" borderId="5" xfId="0" applyNumberFormat="1" applyFont="1" applyFill="1" applyBorder="1" applyAlignment="1">
      <alignment horizontal="center" vertical="center" wrapText="1"/>
    </xf>
    <xf numFmtId="49" fontId="8" fillId="20" borderId="6" xfId="0" applyNumberFormat="1" applyFont="1" applyFill="1" applyBorder="1" applyAlignment="1">
      <alignment horizontal="center" vertical="center" wrapText="1"/>
    </xf>
    <xf numFmtId="49" fontId="10" fillId="2" borderId="4" xfId="0" applyNumberFormat="1" applyFont="1" applyFill="1" applyBorder="1" applyAlignment="1">
      <alignment horizontal="center" vertical="center" wrapText="1"/>
    </xf>
    <xf numFmtId="0" fontId="32" fillId="2" borderId="1" xfId="0" applyFont="1" applyFill="1" applyBorder="1" applyAlignment="1">
      <alignment horizontal="center" vertical="center" wrapText="1"/>
    </xf>
    <xf numFmtId="0" fontId="27" fillId="176" borderId="73" xfId="0" applyFont="1" applyFill="1" applyBorder="1" applyAlignment="1">
      <alignment horizontal="center" vertical="center" wrapText="1"/>
    </xf>
    <xf numFmtId="0" fontId="10" fillId="2" borderId="4" xfId="0" applyNumberFormat="1" applyFont="1" applyFill="1" applyBorder="1" applyAlignment="1">
      <alignment horizontal="center" vertical="center" wrapText="1"/>
    </xf>
    <xf numFmtId="0" fontId="10" fillId="2" borderId="5" xfId="0" applyNumberFormat="1" applyFont="1" applyFill="1" applyBorder="1" applyAlignment="1">
      <alignment horizontal="center" vertical="center" wrapText="1"/>
    </xf>
    <xf numFmtId="0" fontId="10" fillId="2" borderId="6" xfId="0" applyNumberFormat="1" applyFont="1" applyFill="1" applyBorder="1" applyAlignment="1">
      <alignment horizontal="center" vertical="center" wrapText="1"/>
    </xf>
    <xf numFmtId="0" fontId="20" fillId="2" borderId="4" xfId="0" applyFont="1" applyFill="1" applyBorder="1" applyAlignment="1">
      <alignment vertical="center" wrapText="1"/>
    </xf>
    <xf numFmtId="0" fontId="0" fillId="2" borderId="5" xfId="0" applyFont="1" applyFill="1" applyBorder="1" applyAlignment="1">
      <alignment vertical="center" wrapText="1"/>
    </xf>
    <xf numFmtId="0" fontId="0" fillId="2" borderId="6" xfId="0" applyFont="1" applyFill="1" applyBorder="1" applyAlignment="1">
      <alignment vertical="center" wrapText="1"/>
    </xf>
    <xf numFmtId="0" fontId="32" fillId="2" borderId="4" xfId="0" applyFont="1" applyFill="1" applyBorder="1" applyAlignment="1">
      <alignment horizontal="left"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left" vertical="center" wrapText="1"/>
    </xf>
    <xf numFmtId="0" fontId="20" fillId="2" borderId="4" xfId="0" applyNumberFormat="1" applyFont="1" applyFill="1" applyBorder="1" applyAlignment="1">
      <alignment horizontal="left" vertical="center" wrapText="1"/>
    </xf>
    <xf numFmtId="0" fontId="0" fillId="2" borderId="5" xfId="0" applyFill="1" applyBorder="1" applyAlignment="1">
      <alignment horizontal="left" vertical="center" wrapText="1"/>
    </xf>
    <xf numFmtId="0" fontId="0" fillId="2" borderId="6" xfId="0" applyFill="1" applyBorder="1" applyAlignment="1">
      <alignment horizontal="left" vertical="center" wrapText="1"/>
    </xf>
    <xf numFmtId="0" fontId="20" fillId="2" borderId="4" xfId="0" applyFont="1" applyFill="1" applyBorder="1" applyAlignment="1">
      <alignment horizontal="center" vertical="center" wrapText="1"/>
    </xf>
    <xf numFmtId="0" fontId="8" fillId="11" borderId="4" xfId="0" applyNumberFormat="1" applyFont="1" applyFill="1" applyBorder="1" applyAlignment="1">
      <alignment horizontal="center" vertical="center" wrapText="1"/>
    </xf>
    <xf numFmtId="0" fontId="8" fillId="11" borderId="5" xfId="0" applyNumberFormat="1" applyFont="1" applyFill="1" applyBorder="1" applyAlignment="1">
      <alignment horizontal="center" vertical="center" wrapText="1"/>
    </xf>
    <xf numFmtId="0" fontId="8" fillId="11" borderId="6" xfId="0" applyNumberFormat="1" applyFont="1" applyFill="1" applyBorder="1" applyAlignment="1">
      <alignment horizontal="center" vertical="center" wrapText="1"/>
    </xf>
    <xf numFmtId="0" fontId="22" fillId="11" borderId="4" xfId="0" applyFont="1" applyFill="1" applyBorder="1" applyAlignment="1">
      <alignment horizontal="left" vertical="center" wrapText="1"/>
    </xf>
    <xf numFmtId="0" fontId="22" fillId="11" borderId="5" xfId="0" applyFont="1" applyFill="1" applyBorder="1" applyAlignment="1">
      <alignment horizontal="left" vertical="center" wrapText="1"/>
    </xf>
    <xf numFmtId="0" fontId="22" fillId="11" borderId="6" xfId="0" applyFont="1" applyFill="1" applyBorder="1" applyAlignment="1">
      <alignment horizontal="left" vertical="center" wrapText="1"/>
    </xf>
    <xf numFmtId="0" fontId="17" fillId="2" borderId="4" xfId="0" applyNumberFormat="1" applyFont="1" applyFill="1" applyBorder="1" applyAlignment="1">
      <alignment horizontal="left" vertical="center" wrapText="1"/>
    </xf>
    <xf numFmtId="0" fontId="17" fillId="2" borderId="5" xfId="0" applyNumberFormat="1" applyFont="1" applyFill="1" applyBorder="1" applyAlignment="1">
      <alignment horizontal="left" vertical="center" wrapText="1"/>
    </xf>
    <xf numFmtId="0" fontId="17" fillId="2" borderId="6" xfId="0" applyNumberFormat="1" applyFont="1" applyFill="1" applyBorder="1" applyAlignment="1">
      <alignment horizontal="left" vertical="center" wrapText="1"/>
    </xf>
    <xf numFmtId="0" fontId="20" fillId="2" borderId="1" xfId="0" applyNumberFormat="1" applyFont="1" applyFill="1" applyBorder="1" applyAlignment="1">
      <alignment horizontal="center" vertical="center" wrapText="1"/>
    </xf>
    <xf numFmtId="0" fontId="22" fillId="20" borderId="4" xfId="0" applyNumberFormat="1" applyFont="1" applyFill="1" applyBorder="1" applyAlignment="1">
      <alignment horizontal="left" vertical="center" wrapText="1"/>
    </xf>
    <xf numFmtId="0" fontId="22" fillId="20" borderId="5" xfId="0" applyNumberFormat="1" applyFont="1" applyFill="1" applyBorder="1" applyAlignment="1">
      <alignment horizontal="left" vertical="center" wrapText="1"/>
    </xf>
    <xf numFmtId="0" fontId="22" fillId="20" borderId="6" xfId="0" applyNumberFormat="1" applyFont="1" applyFill="1" applyBorder="1" applyAlignment="1">
      <alignment horizontal="left" vertical="center" wrapText="1"/>
    </xf>
    <xf numFmtId="0" fontId="22" fillId="11" borderId="4" xfId="0" applyNumberFormat="1" applyFont="1" applyFill="1" applyBorder="1" applyAlignment="1">
      <alignment horizontal="left" vertical="center" wrapText="1"/>
    </xf>
    <xf numFmtId="0" fontId="22" fillId="11" borderId="5" xfId="0" applyNumberFormat="1" applyFont="1" applyFill="1" applyBorder="1" applyAlignment="1">
      <alignment horizontal="left" vertical="center" wrapText="1"/>
    </xf>
    <xf numFmtId="0" fontId="22" fillId="11" borderId="6" xfId="0" applyNumberFormat="1" applyFont="1" applyFill="1" applyBorder="1" applyAlignment="1">
      <alignment horizontal="left" vertical="center" wrapText="1"/>
    </xf>
    <xf numFmtId="0" fontId="32" fillId="2" borderId="74" xfId="0" applyFont="1" applyFill="1" applyBorder="1" applyAlignment="1">
      <alignment horizontal="center" vertical="center" wrapText="1"/>
    </xf>
    <xf numFmtId="0" fontId="20" fillId="2" borderId="5" xfId="0" applyNumberFormat="1" applyFont="1" applyFill="1" applyBorder="1" applyAlignment="1">
      <alignment horizontal="left" vertical="center" wrapText="1"/>
    </xf>
    <xf numFmtId="0" fontId="20" fillId="2" borderId="6" xfId="0" applyNumberFormat="1" applyFont="1" applyFill="1" applyBorder="1" applyAlignment="1">
      <alignment horizontal="left" vertical="center" wrapText="1"/>
    </xf>
    <xf numFmtId="0" fontId="17" fillId="20" borderId="4" xfId="0" applyNumberFormat="1" applyFont="1" applyFill="1" applyBorder="1" applyAlignment="1">
      <alignment horizontal="left" vertical="center" wrapText="1"/>
    </xf>
    <xf numFmtId="0" fontId="17" fillId="20" borderId="5" xfId="0" applyNumberFormat="1" applyFont="1" applyFill="1" applyBorder="1" applyAlignment="1">
      <alignment horizontal="left" vertical="center" wrapText="1"/>
    </xf>
    <xf numFmtId="0" fontId="17" fillId="20" borderId="6" xfId="0" applyNumberFormat="1" applyFont="1" applyFill="1" applyBorder="1" applyAlignment="1">
      <alignment horizontal="left" vertical="center" wrapText="1"/>
    </xf>
    <xf numFmtId="0" fontId="17" fillId="20" borderId="4" xfId="0" applyFont="1" applyFill="1" applyBorder="1" applyAlignment="1">
      <alignment horizontal="left" vertical="center" wrapText="1"/>
    </xf>
    <xf numFmtId="0" fontId="0" fillId="20" borderId="5" xfId="0" applyFill="1" applyBorder="1" applyAlignment="1">
      <alignment horizontal="left" vertical="center" wrapText="1"/>
    </xf>
    <xf numFmtId="0" fontId="0" fillId="20" borderId="6" xfId="0" applyFill="1" applyBorder="1" applyAlignment="1">
      <alignment horizontal="left" vertical="center" wrapText="1"/>
    </xf>
    <xf numFmtId="0" fontId="60" fillId="20" borderId="4" xfId="0" applyNumberFormat="1" applyFont="1" applyFill="1" applyBorder="1" applyAlignment="1">
      <alignment horizontal="center" vertical="center" wrapText="1"/>
    </xf>
    <xf numFmtId="0" fontId="60" fillId="20" borderId="5" xfId="0" applyNumberFormat="1" applyFont="1" applyFill="1" applyBorder="1" applyAlignment="1">
      <alignment horizontal="center" vertical="center" wrapText="1"/>
    </xf>
    <xf numFmtId="0" fontId="60" fillId="20" borderId="6" xfId="0" applyNumberFormat="1" applyFont="1" applyFill="1" applyBorder="1" applyAlignment="1">
      <alignment horizontal="center" vertical="center" wrapText="1"/>
    </xf>
    <xf numFmtId="0" fontId="32" fillId="20" borderId="4" xfId="0" applyFont="1" applyFill="1" applyBorder="1" applyAlignment="1">
      <alignment horizontal="center" vertical="center" wrapText="1"/>
    </xf>
    <xf numFmtId="0" fontId="32" fillId="20" borderId="5" xfId="0" applyFont="1" applyFill="1" applyBorder="1" applyAlignment="1">
      <alignment horizontal="center" vertical="center" wrapText="1"/>
    </xf>
    <xf numFmtId="0" fontId="32" fillId="20" borderId="6" xfId="0" applyFont="1" applyFill="1" applyBorder="1" applyAlignment="1">
      <alignment horizontal="center" vertical="center" wrapText="1"/>
    </xf>
    <xf numFmtId="49" fontId="32" fillId="2" borderId="4" xfId="0" applyNumberFormat="1" applyFont="1" applyFill="1" applyBorder="1" applyAlignment="1">
      <alignment horizontal="center" vertical="center" wrapText="1"/>
    </xf>
    <xf numFmtId="49" fontId="32" fillId="2" borderId="5" xfId="0" applyNumberFormat="1" applyFont="1" applyFill="1" applyBorder="1" applyAlignment="1">
      <alignment horizontal="center" vertical="center" wrapText="1"/>
    </xf>
    <xf numFmtId="49" fontId="32" fillId="2" borderId="6" xfId="0" applyNumberFormat="1" applyFont="1" applyFill="1" applyBorder="1" applyAlignment="1">
      <alignment horizontal="center" vertical="center" wrapText="1"/>
    </xf>
    <xf numFmtId="0" fontId="20" fillId="20" borderId="4" xfId="0" applyNumberFormat="1" applyFont="1" applyFill="1" applyBorder="1" applyAlignment="1">
      <alignment horizontal="left" vertical="center" wrapText="1"/>
    </xf>
    <xf numFmtId="0" fontId="20" fillId="20" borderId="5" xfId="0" applyNumberFormat="1" applyFont="1" applyFill="1" applyBorder="1" applyAlignment="1">
      <alignment horizontal="left" vertical="center" wrapText="1"/>
    </xf>
    <xf numFmtId="0" fontId="20" fillId="20" borderId="6" xfId="0" applyNumberFormat="1" applyFont="1" applyFill="1" applyBorder="1" applyAlignment="1">
      <alignment horizontal="left" vertical="center" wrapText="1"/>
    </xf>
    <xf numFmtId="0" fontId="20" fillId="2" borderId="1" xfId="0" applyFont="1" applyFill="1" applyBorder="1" applyAlignment="1">
      <alignment horizontal="center" vertical="center" wrapText="1"/>
    </xf>
    <xf numFmtId="0" fontId="27" fillId="2" borderId="74" xfId="0" applyFont="1" applyFill="1" applyBorder="1" applyAlignment="1">
      <alignment horizontal="center" vertical="top" wrapText="1"/>
    </xf>
    <xf numFmtId="0" fontId="27" fillId="2" borderId="5" xfId="0" applyFont="1" applyFill="1" applyBorder="1" applyAlignment="1">
      <alignment horizontal="center" vertical="top" wrapText="1"/>
    </xf>
    <xf numFmtId="0" fontId="27" fillId="2" borderId="6" xfId="0" applyFont="1" applyFill="1" applyBorder="1" applyAlignment="1">
      <alignment horizontal="center" vertical="top" wrapText="1"/>
    </xf>
    <xf numFmtId="0" fontId="8" fillId="20" borderId="4" xfId="0" applyNumberFormat="1" applyFont="1" applyFill="1" applyBorder="1" applyAlignment="1">
      <alignment horizontal="center" vertical="center" wrapText="1"/>
    </xf>
    <xf numFmtId="0" fontId="8" fillId="20" borderId="5" xfId="0" applyNumberFormat="1" applyFont="1" applyFill="1" applyBorder="1" applyAlignment="1">
      <alignment horizontal="center" vertical="center" wrapText="1"/>
    </xf>
    <xf numFmtId="0" fontId="8" fillId="20" borderId="6" xfId="0" applyNumberFormat="1" applyFont="1" applyFill="1" applyBorder="1" applyAlignment="1">
      <alignment horizontal="center" vertical="center" wrapText="1"/>
    </xf>
    <xf numFmtId="0" fontId="17" fillId="2" borderId="74" xfId="0" applyFont="1" applyFill="1" applyBorder="1" applyAlignment="1">
      <alignment horizontal="left" vertical="center" wrapText="1"/>
    </xf>
    <xf numFmtId="0" fontId="17" fillId="20" borderId="2" xfId="0" applyFont="1" applyFill="1" applyBorder="1" applyAlignment="1">
      <alignment horizontal="center" vertical="center" wrapText="1"/>
    </xf>
    <xf numFmtId="0" fontId="17" fillId="20" borderId="7" xfId="0" applyFont="1" applyFill="1" applyBorder="1" applyAlignment="1">
      <alignment horizontal="center" vertical="center" wrapText="1"/>
    </xf>
    <xf numFmtId="0" fontId="17" fillId="2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4" xfId="0" applyFont="1" applyFill="1" applyBorder="1" applyAlignment="1">
      <alignment vertical="center" wrapText="1"/>
    </xf>
    <xf numFmtId="0" fontId="1" fillId="0" borderId="5" xfId="0" applyFont="1" applyFill="1" applyBorder="1" applyAlignment="1">
      <alignment vertical="center" wrapText="1"/>
    </xf>
    <xf numFmtId="0" fontId="1" fillId="0" borderId="6" xfId="0" applyFont="1" applyFill="1" applyBorder="1" applyAlignment="1">
      <alignment vertical="center" wrapText="1"/>
    </xf>
    <xf numFmtId="0" fontId="27" fillId="2" borderId="74" xfId="0" applyFont="1" applyFill="1" applyBorder="1" applyAlignment="1">
      <alignment horizontal="left" vertical="top" wrapText="1"/>
    </xf>
    <xf numFmtId="0" fontId="27" fillId="2" borderId="5" xfId="0" applyFont="1" applyFill="1" applyBorder="1" applyAlignment="1">
      <alignment horizontal="left" vertical="top" wrapText="1"/>
    </xf>
    <xf numFmtId="0" fontId="27" fillId="2" borderId="6" xfId="0" applyFont="1" applyFill="1" applyBorder="1" applyAlignment="1">
      <alignment horizontal="left" vertical="top" wrapText="1"/>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22" fillId="20" borderId="4" xfId="0" applyNumberFormat="1" applyFont="1" applyFill="1" applyBorder="1" applyAlignment="1">
      <alignment horizontal="center" vertical="center" wrapText="1"/>
    </xf>
    <xf numFmtId="0" fontId="22" fillId="20" borderId="5" xfId="0" applyNumberFormat="1" applyFont="1" applyFill="1" applyBorder="1" applyAlignment="1">
      <alignment horizontal="center" vertical="center" wrapText="1"/>
    </xf>
    <xf numFmtId="0" fontId="22" fillId="20" borderId="6" xfId="0" applyNumberFormat="1" applyFont="1" applyFill="1" applyBorder="1" applyAlignment="1">
      <alignment horizontal="center" vertical="center" wrapText="1"/>
    </xf>
    <xf numFmtId="0" fontId="17" fillId="20" borderId="4" xfId="0" applyFont="1" applyFill="1" applyBorder="1" applyAlignment="1">
      <alignment horizontal="center" vertical="center" wrapText="1"/>
    </xf>
    <xf numFmtId="0" fontId="17" fillId="20" borderId="5" xfId="0" applyFont="1" applyFill="1" applyBorder="1" applyAlignment="1">
      <alignment horizontal="center" vertical="center" wrapText="1"/>
    </xf>
    <xf numFmtId="0" fontId="17" fillId="20" borderId="6" xfId="0" applyFont="1" applyFill="1" applyBorder="1" applyAlignment="1">
      <alignment horizontal="center" vertical="center" wrapText="1"/>
    </xf>
    <xf numFmtId="0" fontId="20" fillId="20" borderId="4" xfId="0" applyNumberFormat="1" applyFont="1" applyFill="1" applyBorder="1" applyAlignment="1">
      <alignment horizontal="center" vertical="center" wrapText="1"/>
    </xf>
    <xf numFmtId="0" fontId="20" fillId="20" borderId="5" xfId="0" applyNumberFormat="1" applyFont="1" applyFill="1" applyBorder="1" applyAlignment="1">
      <alignment horizontal="center" vertical="center" wrapText="1"/>
    </xf>
    <xf numFmtId="0" fontId="20" fillId="20" borderId="6" xfId="0" applyNumberFormat="1" applyFont="1" applyFill="1" applyBorder="1" applyAlignment="1">
      <alignment horizontal="center" vertical="center" wrapText="1"/>
    </xf>
    <xf numFmtId="49" fontId="10" fillId="20" borderId="4" xfId="0" applyNumberFormat="1" applyFont="1" applyFill="1" applyBorder="1" applyAlignment="1">
      <alignment horizontal="center" vertical="center" wrapText="1"/>
    </xf>
    <xf numFmtId="49" fontId="10" fillId="20" borderId="5" xfId="0" applyNumberFormat="1" applyFont="1" applyFill="1" applyBorder="1" applyAlignment="1">
      <alignment horizontal="center" vertical="center" wrapText="1"/>
    </xf>
    <xf numFmtId="49" fontId="10" fillId="20" borderId="6" xfId="0" applyNumberFormat="1" applyFont="1" applyFill="1" applyBorder="1" applyAlignment="1">
      <alignment horizontal="center" vertical="center" wrapText="1"/>
    </xf>
    <xf numFmtId="0" fontId="36" fillId="2" borderId="4" xfId="0" applyFont="1" applyFill="1" applyBorder="1" applyAlignment="1">
      <alignment horizontal="center" vertical="center" wrapText="1"/>
    </xf>
    <xf numFmtId="0" fontId="36" fillId="2" borderId="5" xfId="0" applyFont="1" applyFill="1" applyBorder="1" applyAlignment="1">
      <alignment horizontal="center" vertical="center" wrapText="1"/>
    </xf>
    <xf numFmtId="0" fontId="36" fillId="2" borderId="6" xfId="0"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49" fontId="1" fillId="0" borderId="5" xfId="0" applyNumberFormat="1" applyFont="1" applyFill="1" applyBorder="1" applyAlignment="1">
      <alignment horizontal="center" vertical="center" wrapText="1"/>
    </xf>
    <xf numFmtId="49" fontId="1" fillId="0" borderId="6"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27" fillId="2" borderId="5" xfId="0" applyFont="1" applyFill="1" applyBorder="1" applyAlignment="1">
      <alignment vertical="center" wrapText="1"/>
    </xf>
    <xf numFmtId="0" fontId="27" fillId="2" borderId="6" xfId="0" applyFont="1" applyFill="1" applyBorder="1" applyAlignment="1">
      <alignment vertical="center" wrapText="1"/>
    </xf>
    <xf numFmtId="0" fontId="32" fillId="2" borderId="4" xfId="0" applyFont="1" applyFill="1" applyBorder="1" applyAlignment="1">
      <alignment vertical="top" wrapText="1"/>
    </xf>
    <xf numFmtId="0" fontId="32" fillId="2" borderId="5" xfId="0" applyFont="1" applyFill="1" applyBorder="1" applyAlignment="1">
      <alignment vertical="top" wrapText="1"/>
    </xf>
    <xf numFmtId="0" fontId="32" fillId="2" borderId="6" xfId="0" applyFont="1" applyFill="1" applyBorder="1" applyAlignment="1">
      <alignment vertical="top" wrapText="1"/>
    </xf>
    <xf numFmtId="0" fontId="20" fillId="2" borderId="1" xfId="0" applyFont="1" applyFill="1" applyBorder="1" applyAlignment="1">
      <alignment horizontal="left" vertical="center" wrapText="1"/>
    </xf>
    <xf numFmtId="0" fontId="105" fillId="2" borderId="1" xfId="0" applyFont="1" applyFill="1" applyBorder="1" applyAlignment="1">
      <alignment horizontal="left" vertical="center" wrapText="1"/>
    </xf>
    <xf numFmtId="0" fontId="252" fillId="2" borderId="5" xfId="0" applyFont="1" applyFill="1" applyBorder="1" applyAlignment="1">
      <alignment horizontal="center" vertical="center" wrapText="1"/>
    </xf>
    <xf numFmtId="0" fontId="252" fillId="2" borderId="6" xfId="0" applyFont="1" applyFill="1" applyBorder="1" applyAlignment="1">
      <alignment horizontal="center" vertical="center" wrapText="1"/>
    </xf>
    <xf numFmtId="0" fontId="8" fillId="2" borderId="4" xfId="0" applyFont="1" applyFill="1" applyBorder="1" applyAlignment="1">
      <alignment vertical="center" wrapText="1"/>
    </xf>
    <xf numFmtId="0" fontId="60" fillId="2" borderId="5" xfId="0" applyFont="1" applyFill="1" applyBorder="1" applyAlignment="1">
      <alignment vertical="center" wrapText="1"/>
    </xf>
    <xf numFmtId="0" fontId="60" fillId="2" borderId="6" xfId="0" applyFont="1" applyFill="1" applyBorder="1" applyAlignment="1">
      <alignment vertical="center" wrapText="1"/>
    </xf>
    <xf numFmtId="0" fontId="32" fillId="2" borderId="5" xfId="0" applyFont="1" applyFill="1" applyBorder="1" applyAlignment="1">
      <alignment vertical="center" wrapText="1"/>
    </xf>
    <xf numFmtId="0" fontId="32" fillId="2" borderId="6" xfId="0" applyFont="1" applyFill="1" applyBorder="1" applyAlignment="1">
      <alignment vertical="center" wrapText="1"/>
    </xf>
    <xf numFmtId="0" fontId="0" fillId="2" borderId="5" xfId="0" applyFill="1" applyBorder="1" applyAlignment="1">
      <alignment vertical="center" wrapText="1"/>
    </xf>
    <xf numFmtId="0" fontId="0" fillId="2" borderId="6" xfId="0" applyFill="1" applyBorder="1" applyAlignment="1">
      <alignment vertical="center" wrapText="1"/>
    </xf>
    <xf numFmtId="0" fontId="8" fillId="0" borderId="4" xfId="0" applyNumberFormat="1" applyFont="1" applyFill="1" applyBorder="1" applyAlignment="1">
      <alignment horizontal="center" vertical="center" wrapText="1"/>
    </xf>
    <xf numFmtId="0" fontId="8" fillId="0" borderId="5" xfId="0" applyNumberFormat="1" applyFont="1" applyFill="1" applyBorder="1" applyAlignment="1">
      <alignment horizontal="center" vertical="center" wrapText="1"/>
    </xf>
    <xf numFmtId="0" fontId="8" fillId="0" borderId="6" xfId="0" applyNumberFormat="1" applyFont="1" applyFill="1" applyBorder="1" applyAlignment="1">
      <alignment horizontal="center" vertical="center" wrapText="1"/>
    </xf>
    <xf numFmtId="0" fontId="17" fillId="2" borderId="4" xfId="0" applyFont="1" applyFill="1" applyBorder="1" applyAlignment="1">
      <alignment vertical="center" wrapText="1" shrinkToFit="1"/>
    </xf>
    <xf numFmtId="0" fontId="0" fillId="2" borderId="5" xfId="0" applyFont="1" applyFill="1" applyBorder="1" applyAlignment="1">
      <alignment vertical="center" wrapText="1" shrinkToFit="1"/>
    </xf>
    <xf numFmtId="0" fontId="0" fillId="2" borderId="6" xfId="0" applyFont="1" applyFill="1" applyBorder="1" applyAlignment="1">
      <alignment vertical="center" wrapText="1" shrinkToFit="1"/>
    </xf>
    <xf numFmtId="0" fontId="60" fillId="11" borderId="4" xfId="0" applyNumberFormat="1" applyFont="1" applyFill="1" applyBorder="1" applyAlignment="1">
      <alignment horizontal="center" vertical="center" wrapText="1"/>
    </xf>
    <xf numFmtId="0" fontId="60" fillId="11" borderId="5" xfId="0" applyNumberFormat="1" applyFont="1" applyFill="1" applyBorder="1" applyAlignment="1">
      <alignment horizontal="center" vertical="center" wrapText="1"/>
    </xf>
    <xf numFmtId="0" fontId="60" fillId="11" borderId="6" xfId="0" applyNumberFormat="1" applyFont="1" applyFill="1" applyBorder="1" applyAlignment="1">
      <alignment horizontal="center" vertical="center" wrapText="1"/>
    </xf>
    <xf numFmtId="0" fontId="32" fillId="11" borderId="4" xfId="0" applyFont="1" applyFill="1" applyBorder="1" applyAlignment="1">
      <alignment horizontal="left" vertical="center" wrapText="1"/>
    </xf>
    <xf numFmtId="0" fontId="32" fillId="11" borderId="5" xfId="0" applyFont="1" applyFill="1" applyBorder="1" applyAlignment="1">
      <alignment horizontal="left" vertical="center" wrapText="1"/>
    </xf>
    <xf numFmtId="0" fontId="32" fillId="11" borderId="6" xfId="0" applyFont="1" applyFill="1" applyBorder="1" applyAlignment="1">
      <alignment horizontal="left" vertical="center" wrapText="1"/>
    </xf>
    <xf numFmtId="0" fontId="27" fillId="11" borderId="4" xfId="0" applyFont="1" applyFill="1" applyBorder="1" applyAlignment="1">
      <alignment horizontal="center" vertical="center" wrapText="1"/>
    </xf>
    <xf numFmtId="0" fontId="27" fillId="11" borderId="5" xfId="0" applyFont="1" applyFill="1" applyBorder="1" applyAlignment="1">
      <alignment horizontal="center" vertical="center" wrapText="1"/>
    </xf>
    <xf numFmtId="0" fontId="17" fillId="20" borderId="4" xfId="0" applyFont="1" applyFill="1" applyBorder="1" applyAlignment="1">
      <alignment vertical="center" wrapText="1"/>
    </xf>
    <xf numFmtId="0" fontId="0" fillId="20" borderId="5" xfId="0" applyFont="1" applyFill="1" applyBorder="1" applyAlignment="1">
      <alignment vertical="center" wrapText="1"/>
    </xf>
    <xf numFmtId="0" fontId="0" fillId="20" borderId="6" xfId="0" applyFont="1" applyFill="1" applyBorder="1" applyAlignment="1">
      <alignment vertical="center" wrapText="1"/>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10" fillId="0" borderId="4" xfId="0" applyNumberFormat="1" applyFont="1" applyFill="1" applyBorder="1" applyAlignment="1">
      <alignment horizontal="center" vertical="center" wrapText="1"/>
    </xf>
    <xf numFmtId="0" fontId="10" fillId="0" borderId="5" xfId="0" applyNumberFormat="1" applyFont="1" applyFill="1" applyBorder="1" applyAlignment="1">
      <alignment horizontal="center" vertical="center" wrapText="1"/>
    </xf>
    <xf numFmtId="0" fontId="10" fillId="0" borderId="6" xfId="0" applyNumberFormat="1" applyFont="1" applyFill="1" applyBorder="1" applyAlignment="1">
      <alignment horizontal="center" vertical="center" wrapText="1"/>
    </xf>
    <xf numFmtId="0" fontId="17" fillId="0" borderId="8" xfId="0" applyNumberFormat="1" applyFont="1" applyFill="1" applyBorder="1" applyAlignment="1">
      <alignment horizontal="center"/>
    </xf>
    <xf numFmtId="0" fontId="20" fillId="0" borderId="4" xfId="0" applyFont="1" applyFill="1" applyBorder="1" applyAlignment="1">
      <alignment horizontal="left" vertical="center" wrapText="1"/>
    </xf>
    <xf numFmtId="0" fontId="20" fillId="0" borderId="5" xfId="0" applyFont="1" applyFill="1" applyBorder="1" applyAlignment="1">
      <alignment horizontal="left" vertical="center" wrapText="1"/>
    </xf>
    <xf numFmtId="0" fontId="20" fillId="0" borderId="6" xfId="0" applyFont="1" applyFill="1" applyBorder="1" applyAlignment="1">
      <alignment horizontal="left" vertical="center" wrapText="1"/>
    </xf>
    <xf numFmtId="0" fontId="17" fillId="0" borderId="4" xfId="0" applyFont="1" applyFill="1" applyBorder="1" applyAlignment="1">
      <alignment horizontal="left" vertical="center" wrapText="1"/>
    </xf>
    <xf numFmtId="0" fontId="17" fillId="0" borderId="5" xfId="0" applyFont="1" applyFill="1" applyBorder="1" applyAlignment="1">
      <alignment horizontal="left" vertical="center" wrapText="1"/>
    </xf>
    <xf numFmtId="0" fontId="17" fillId="0" borderId="6" xfId="0" applyFont="1" applyFill="1" applyBorder="1" applyAlignment="1">
      <alignment horizontal="left" vertical="center" wrapText="1"/>
    </xf>
    <xf numFmtId="0" fontId="0" fillId="2" borderId="4" xfId="0" applyFont="1" applyFill="1" applyBorder="1" applyAlignment="1">
      <alignment horizontal="center" vertical="center" wrapText="1"/>
    </xf>
    <xf numFmtId="0" fontId="0" fillId="2" borderId="6"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7" fillId="0" borderId="2" xfId="0" applyFont="1" applyFill="1" applyBorder="1" applyAlignment="1">
      <alignment horizontal="center"/>
    </xf>
    <xf numFmtId="0" fontId="17" fillId="0" borderId="7" xfId="0" applyFont="1" applyFill="1" applyBorder="1" applyAlignment="1">
      <alignment horizontal="center"/>
    </xf>
    <xf numFmtId="0" fontId="17" fillId="0" borderId="3" xfId="0" applyFont="1" applyFill="1" applyBorder="1" applyAlignment="1">
      <alignment horizontal="center"/>
    </xf>
    <xf numFmtId="0" fontId="36" fillId="0" borderId="4" xfId="0" applyFont="1" applyFill="1" applyBorder="1" applyAlignment="1">
      <alignment horizontal="center" vertical="center" wrapText="1"/>
    </xf>
    <xf numFmtId="0" fontId="36" fillId="0" borderId="6" xfId="0" applyFont="1" applyFill="1" applyBorder="1" applyAlignment="1">
      <alignment horizontal="center" vertical="center" wrapText="1"/>
    </xf>
    <xf numFmtId="4" fontId="17" fillId="0" borderId="2" xfId="0" applyNumberFormat="1" applyFont="1" applyFill="1" applyBorder="1" applyAlignment="1">
      <alignment horizontal="center"/>
    </xf>
    <xf numFmtId="0" fontId="17" fillId="2" borderId="1"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0" fillId="0" borderId="10" xfId="0" applyFill="1" applyBorder="1"/>
    <xf numFmtId="0" fontId="0" fillId="0" borderId="11" xfId="0" applyFill="1" applyBorder="1"/>
    <xf numFmtId="0" fontId="0" fillId="11" borderId="4" xfId="0" applyFont="1" applyFill="1" applyBorder="1" applyAlignment="1">
      <alignment horizontal="center" vertical="center"/>
    </xf>
    <xf numFmtId="0" fontId="0" fillId="11" borderId="5" xfId="0" applyFont="1" applyFill="1" applyBorder="1" applyAlignment="1">
      <alignment horizontal="center" vertical="center"/>
    </xf>
    <xf numFmtId="0" fontId="32" fillId="11" borderId="2" xfId="0" applyFont="1" applyFill="1" applyBorder="1" applyAlignment="1">
      <alignment horizontal="center"/>
    </xf>
    <xf numFmtId="0" fontId="32" fillId="11" borderId="7" xfId="0" applyFont="1" applyFill="1" applyBorder="1" applyAlignment="1">
      <alignment horizontal="center"/>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20" fillId="2" borderId="5" xfId="0" applyFont="1" applyFill="1" applyBorder="1" applyAlignment="1">
      <alignment vertical="center" wrapText="1"/>
    </xf>
    <xf numFmtId="0" fontId="20" fillId="2" borderId="6" xfId="0" applyFont="1" applyFill="1" applyBorder="1" applyAlignment="1">
      <alignment vertical="center" wrapText="1"/>
    </xf>
    <xf numFmtId="0" fontId="0" fillId="11" borderId="6" xfId="0" applyFont="1" applyFill="1" applyBorder="1" applyAlignment="1">
      <alignment horizontal="center" vertical="center"/>
    </xf>
    <xf numFmtId="0" fontId="36" fillId="2" borderId="1" xfId="0" applyFont="1" applyFill="1" applyBorder="1" applyAlignment="1">
      <alignment horizontal="center" vertical="center" wrapText="1"/>
    </xf>
    <xf numFmtId="0" fontId="38" fillId="11" borderId="4" xfId="0" applyFont="1" applyFill="1" applyBorder="1" applyAlignment="1">
      <alignment horizontal="center" vertical="center" wrapText="1"/>
    </xf>
    <xf numFmtId="0" fontId="38" fillId="11" borderId="5" xfId="0" applyFont="1" applyFill="1" applyBorder="1" applyAlignment="1">
      <alignment horizontal="center" vertical="center" wrapText="1"/>
    </xf>
    <xf numFmtId="0" fontId="38" fillId="11" borderId="6" xfId="0" applyFont="1" applyFill="1" applyBorder="1" applyAlignment="1">
      <alignment horizontal="center" vertical="center" wrapText="1"/>
    </xf>
    <xf numFmtId="0" fontId="1" fillId="11" borderId="4" xfId="0" applyFont="1" applyFill="1" applyBorder="1" applyAlignment="1">
      <alignment horizontal="left" vertical="center" wrapText="1"/>
    </xf>
    <xf numFmtId="0" fontId="1" fillId="11" borderId="5" xfId="0" applyFont="1" applyFill="1" applyBorder="1" applyAlignment="1">
      <alignment horizontal="left" vertical="center" wrapText="1"/>
    </xf>
    <xf numFmtId="0" fontId="1" fillId="11" borderId="6" xfId="0" applyFont="1" applyFill="1" applyBorder="1" applyAlignment="1">
      <alignment horizontal="left" vertical="center" wrapText="1"/>
    </xf>
    <xf numFmtId="0" fontId="8" fillId="2" borderId="74" xfId="0" applyNumberFormat="1" applyFont="1" applyFill="1" applyBorder="1" applyAlignment="1">
      <alignment horizontal="center" vertical="center" wrapText="1"/>
    </xf>
    <xf numFmtId="0" fontId="17" fillId="2" borderId="74" xfId="0" applyNumberFormat="1" applyFont="1" applyFill="1" applyBorder="1" applyAlignment="1">
      <alignment horizontal="center" vertical="center" wrapText="1"/>
    </xf>
    <xf numFmtId="0" fontId="17" fillId="20" borderId="74" xfId="0" applyFont="1" applyFill="1" applyBorder="1" applyAlignment="1">
      <alignment horizontal="center" vertical="center" wrapText="1"/>
    </xf>
    <xf numFmtId="0" fontId="22" fillId="11" borderId="4" xfId="0" applyNumberFormat="1" applyFont="1" applyFill="1" applyBorder="1" applyAlignment="1">
      <alignment horizontal="center" vertical="center" wrapText="1"/>
    </xf>
    <xf numFmtId="0" fontId="22" fillId="11" borderId="5" xfId="0" applyNumberFormat="1" applyFont="1" applyFill="1" applyBorder="1" applyAlignment="1">
      <alignment horizontal="center" vertical="center" wrapText="1"/>
    </xf>
    <xf numFmtId="0" fontId="22" fillId="11" borderId="6" xfId="0" applyNumberFormat="1" applyFont="1" applyFill="1" applyBorder="1" applyAlignment="1">
      <alignment horizontal="center" vertical="center" wrapText="1"/>
    </xf>
    <xf numFmtId="0" fontId="22" fillId="11" borderId="2" xfId="0" applyFont="1" applyFill="1" applyBorder="1" applyAlignment="1">
      <alignment horizontal="center"/>
    </xf>
    <xf numFmtId="0" fontId="22" fillId="11" borderId="7" xfId="0" applyFont="1" applyFill="1" applyBorder="1" applyAlignment="1">
      <alignment horizontal="center"/>
    </xf>
    <xf numFmtId="0" fontId="22" fillId="11" borderId="3" xfId="0" applyFont="1" applyFill="1" applyBorder="1" applyAlignment="1">
      <alignment horizontal="center"/>
    </xf>
    <xf numFmtId="0" fontId="1" fillId="0" borderId="4" xfId="0" applyFont="1" applyFill="1" applyBorder="1" applyAlignment="1">
      <alignment horizontal="left" vertical="center" wrapText="1"/>
    </xf>
    <xf numFmtId="0" fontId="1" fillId="0" borderId="5" xfId="0" applyFont="1" applyFill="1" applyBorder="1" applyAlignment="1">
      <alignment horizontal="left" vertical="center" wrapText="1"/>
    </xf>
    <xf numFmtId="0" fontId="1" fillId="0" borderId="6" xfId="0" applyFont="1" applyFill="1" applyBorder="1" applyAlignment="1">
      <alignment horizontal="left" vertical="center" wrapText="1"/>
    </xf>
    <xf numFmtId="0" fontId="0" fillId="159" borderId="4" xfId="0" applyFont="1" applyFill="1" applyBorder="1" applyAlignment="1">
      <alignment horizontal="center" vertical="center"/>
    </xf>
    <xf numFmtId="0" fontId="0" fillId="159" borderId="5" xfId="0" applyFont="1" applyFill="1" applyBorder="1" applyAlignment="1">
      <alignment horizontal="center" vertical="center"/>
    </xf>
    <xf numFmtId="0" fontId="0" fillId="159" borderId="6" xfId="0" applyFont="1" applyFill="1" applyBorder="1" applyAlignment="1">
      <alignment horizontal="center" vertical="center"/>
    </xf>
    <xf numFmtId="0" fontId="1" fillId="2" borderId="74" xfId="0" applyFont="1" applyFill="1" applyBorder="1" applyAlignment="1">
      <alignment horizontal="left" vertical="center" wrapText="1"/>
    </xf>
    <xf numFmtId="0" fontId="27" fillId="2" borderId="5" xfId="0" applyFont="1" applyFill="1" applyBorder="1" applyAlignment="1">
      <alignment horizontal="left" vertical="center" wrapText="1"/>
    </xf>
    <xf numFmtId="0" fontId="27" fillId="2" borderId="6" xfId="0" applyFont="1" applyFill="1" applyBorder="1" applyAlignment="1">
      <alignment horizontal="left" vertical="center" wrapText="1"/>
    </xf>
    <xf numFmtId="0" fontId="0" fillId="0" borderId="74" xfId="0" applyFont="1" applyFill="1" applyBorder="1" applyAlignment="1">
      <alignment horizontal="center" vertical="center"/>
    </xf>
    <xf numFmtId="0" fontId="17" fillId="2" borderId="74" xfId="0" applyFont="1" applyFill="1" applyBorder="1" applyAlignment="1">
      <alignment horizontal="center" vertical="center" wrapText="1"/>
    </xf>
    <xf numFmtId="49" fontId="32" fillId="2" borderId="74" xfId="0" applyNumberFormat="1" applyFont="1" applyFill="1" applyBorder="1" applyAlignment="1">
      <alignment horizontal="center" vertical="center" wrapText="1"/>
    </xf>
    <xf numFmtId="49" fontId="1" fillId="2" borderId="74" xfId="0" applyNumberFormat="1" applyFont="1" applyFill="1" applyBorder="1" applyAlignment="1">
      <alignment horizontal="center" vertical="center" wrapText="1"/>
    </xf>
    <xf numFmtId="49" fontId="1" fillId="2" borderId="5" xfId="0" applyNumberFormat="1" applyFont="1" applyFill="1" applyBorder="1" applyAlignment="1">
      <alignment horizontal="center" vertical="center" wrapText="1"/>
    </xf>
    <xf numFmtId="49" fontId="1" fillId="2" borderId="6" xfId="0" applyNumberFormat="1" applyFont="1" applyFill="1" applyBorder="1" applyAlignment="1">
      <alignment horizontal="center" vertical="center" wrapText="1"/>
    </xf>
    <xf numFmtId="0" fontId="1" fillId="2" borderId="74" xfId="0" applyFont="1" applyFill="1" applyBorder="1" applyAlignment="1">
      <alignment vertical="center" wrapText="1"/>
    </xf>
    <xf numFmtId="0" fontId="22" fillId="20" borderId="74" xfId="0" applyNumberFormat="1" applyFont="1" applyFill="1" applyBorder="1" applyAlignment="1">
      <alignment horizontal="left" vertical="center" wrapText="1"/>
    </xf>
    <xf numFmtId="0" fontId="8" fillId="20" borderId="74" xfId="0" applyNumberFormat="1" applyFont="1" applyFill="1" applyBorder="1" applyAlignment="1">
      <alignment horizontal="center" vertical="center" wrapText="1"/>
    </xf>
    <xf numFmtId="0" fontId="17" fillId="2" borderId="74" xfId="0" applyNumberFormat="1" applyFont="1" applyFill="1" applyBorder="1" applyAlignment="1">
      <alignment horizontal="left" vertical="center" wrapText="1"/>
    </xf>
    <xf numFmtId="0" fontId="17" fillId="20" borderId="1" xfId="0" applyNumberFormat="1" applyFont="1" applyFill="1" applyBorder="1" applyAlignment="1">
      <alignment horizontal="center" vertical="center" wrapText="1"/>
    </xf>
    <xf numFmtId="0" fontId="17" fillId="20" borderId="2" xfId="0" applyFont="1" applyFill="1" applyBorder="1" applyAlignment="1">
      <alignment horizontal="center" wrapText="1"/>
    </xf>
    <xf numFmtId="0" fontId="17" fillId="20" borderId="7" xfId="0" applyFont="1" applyFill="1" applyBorder="1" applyAlignment="1">
      <alignment horizontal="center" wrapText="1"/>
    </xf>
    <xf numFmtId="0" fontId="17" fillId="20" borderId="3" xfId="0" applyFont="1" applyFill="1" applyBorder="1" applyAlignment="1">
      <alignment horizontal="center" wrapText="1"/>
    </xf>
    <xf numFmtId="0" fontId="17" fillId="20" borderId="4" xfId="0" applyNumberFormat="1" applyFont="1" applyFill="1" applyBorder="1" applyAlignment="1">
      <alignment horizontal="left" vertical="top" wrapText="1"/>
    </xf>
    <xf numFmtId="0" fontId="17" fillId="20" borderId="5" xfId="0" applyNumberFormat="1" applyFont="1" applyFill="1" applyBorder="1" applyAlignment="1">
      <alignment horizontal="left" vertical="top" wrapText="1"/>
    </xf>
    <xf numFmtId="0" fontId="17" fillId="20" borderId="6" xfId="0" applyNumberFormat="1" applyFont="1" applyFill="1" applyBorder="1" applyAlignment="1">
      <alignment horizontal="left" vertical="top" wrapText="1"/>
    </xf>
    <xf numFmtId="167" fontId="27" fillId="2" borderId="74" xfId="0" applyNumberFormat="1" applyFont="1" applyFill="1" applyBorder="1" applyAlignment="1">
      <alignment horizontal="center" vertical="top" wrapText="1"/>
    </xf>
    <xf numFmtId="167" fontId="27" fillId="2" borderId="5" xfId="0" applyNumberFormat="1" applyFont="1" applyFill="1" applyBorder="1" applyAlignment="1">
      <alignment horizontal="center" vertical="top" wrapText="1"/>
    </xf>
    <xf numFmtId="167" fontId="27" fillId="2" borderId="6" xfId="0" applyNumberFormat="1" applyFont="1" applyFill="1" applyBorder="1" applyAlignment="1">
      <alignment horizontal="center" vertical="top" wrapText="1"/>
    </xf>
    <xf numFmtId="49" fontId="32" fillId="2" borderId="4" xfId="0" applyNumberFormat="1" applyFont="1" applyFill="1" applyBorder="1" applyAlignment="1">
      <alignment horizontal="left" vertical="center" wrapText="1"/>
    </xf>
    <xf numFmtId="49" fontId="32" fillId="2" borderId="5" xfId="0" applyNumberFormat="1" applyFont="1" applyFill="1" applyBorder="1" applyAlignment="1">
      <alignment horizontal="left" vertical="center" wrapText="1"/>
    </xf>
    <xf numFmtId="49" fontId="32" fillId="2" borderId="6" xfId="0" applyNumberFormat="1" applyFont="1" applyFill="1" applyBorder="1" applyAlignment="1">
      <alignment horizontal="left" vertical="center" wrapText="1"/>
    </xf>
    <xf numFmtId="0" fontId="87" fillId="11" borderId="4" xfId="0" applyNumberFormat="1" applyFont="1" applyFill="1" applyBorder="1" applyAlignment="1">
      <alignment horizontal="center" vertical="center" wrapText="1"/>
    </xf>
    <xf numFmtId="0" fontId="87" fillId="11" borderId="5" xfId="0" applyNumberFormat="1" applyFont="1" applyFill="1" applyBorder="1" applyAlignment="1">
      <alignment horizontal="center" vertical="center" wrapText="1"/>
    </xf>
    <xf numFmtId="0" fontId="87" fillId="11" borderId="6" xfId="0" applyNumberFormat="1" applyFont="1" applyFill="1" applyBorder="1" applyAlignment="1">
      <alignment horizontal="center" vertical="center" wrapText="1"/>
    </xf>
    <xf numFmtId="14" fontId="8" fillId="2" borderId="4" xfId="0" applyNumberFormat="1" applyFont="1" applyFill="1" applyBorder="1" applyAlignment="1">
      <alignment horizontal="center" vertical="center" wrapText="1"/>
    </xf>
    <xf numFmtId="0" fontId="1" fillId="2" borderId="4" xfId="0" applyFont="1" applyFill="1" applyBorder="1" applyAlignment="1">
      <alignment horizontal="left" vertical="center" wrapText="1"/>
    </xf>
    <xf numFmtId="0" fontId="1" fillId="2" borderId="5" xfId="0" applyFont="1" applyFill="1" applyBorder="1" applyAlignment="1">
      <alignment horizontal="left" vertical="center" wrapText="1"/>
    </xf>
    <xf numFmtId="0" fontId="1" fillId="2" borderId="6" xfId="0" applyFont="1" applyFill="1" applyBorder="1" applyAlignment="1">
      <alignment horizontal="left" vertical="center" wrapText="1"/>
    </xf>
    <xf numFmtId="0" fontId="1" fillId="20" borderId="1" xfId="0" applyFont="1" applyFill="1" applyBorder="1" applyAlignment="1">
      <alignment horizontal="left" vertical="center" wrapText="1"/>
    </xf>
    <xf numFmtId="0" fontId="1" fillId="20" borderId="4" xfId="0" applyFont="1" applyFill="1" applyBorder="1" applyAlignment="1">
      <alignment horizontal="left" vertical="center" wrapText="1"/>
    </xf>
    <xf numFmtId="0" fontId="1" fillId="20" borderId="5" xfId="0" applyFont="1" applyFill="1" applyBorder="1" applyAlignment="1">
      <alignment horizontal="left" vertical="center" wrapText="1"/>
    </xf>
    <xf numFmtId="0" fontId="1" fillId="20" borderId="6" xfId="0" applyFont="1" applyFill="1" applyBorder="1" applyAlignment="1">
      <alignment horizontal="left" vertical="center" wrapText="1"/>
    </xf>
    <xf numFmtId="0" fontId="22" fillId="2" borderId="0" xfId="2" applyFont="1" applyFill="1" applyAlignment="1">
      <alignment horizontal="center"/>
    </xf>
    <xf numFmtId="0" fontId="30" fillId="2" borderId="4" xfId="2" applyFont="1" applyFill="1" applyBorder="1" applyAlignment="1">
      <alignment horizontal="center" vertical="center" wrapText="1"/>
    </xf>
    <xf numFmtId="0" fontId="30" fillId="2" borderId="6" xfId="2" applyFont="1" applyFill="1" applyBorder="1" applyAlignment="1">
      <alignment horizontal="center" vertical="center" wrapText="1"/>
    </xf>
    <xf numFmtId="4" fontId="30" fillId="2" borderId="4" xfId="2" applyNumberFormat="1" applyFont="1" applyFill="1" applyBorder="1" applyAlignment="1" applyProtection="1">
      <alignment horizontal="center" vertical="center" wrapText="1"/>
      <protection locked="0"/>
    </xf>
    <xf numFmtId="4" fontId="30" fillId="2" borderId="6" xfId="2" applyNumberFormat="1" applyFont="1" applyFill="1" applyBorder="1" applyAlignment="1" applyProtection="1">
      <alignment horizontal="center" vertical="center" wrapText="1"/>
      <protection locked="0"/>
    </xf>
    <xf numFmtId="165" fontId="30" fillId="2" borderId="4" xfId="2" applyNumberFormat="1" applyFont="1" applyFill="1" applyBorder="1" applyAlignment="1" applyProtection="1">
      <alignment horizontal="center" vertical="center" wrapText="1"/>
      <protection locked="0"/>
    </xf>
    <xf numFmtId="165" fontId="30" fillId="2" borderId="6" xfId="2" applyNumberFormat="1" applyFont="1" applyFill="1" applyBorder="1" applyAlignment="1" applyProtection="1">
      <alignment horizontal="center" vertical="center" wrapText="1"/>
      <protection locked="0"/>
    </xf>
    <xf numFmtId="165" fontId="30" fillId="2" borderId="9" xfId="2" applyNumberFormat="1" applyFont="1" applyFill="1" applyBorder="1" applyAlignment="1" applyProtection="1">
      <alignment horizontal="center" vertical="center" wrapText="1"/>
      <protection locked="0"/>
    </xf>
    <xf numFmtId="165" fontId="30" fillId="2" borderId="11" xfId="2" applyNumberFormat="1" applyFont="1" applyFill="1" applyBorder="1" applyAlignment="1" applyProtection="1">
      <alignment horizontal="center" vertical="center" wrapText="1"/>
      <protection locked="0"/>
    </xf>
    <xf numFmtId="165" fontId="30" fillId="2" borderId="10" xfId="2" applyNumberFormat="1" applyFont="1" applyFill="1" applyBorder="1" applyAlignment="1" applyProtection="1">
      <alignment horizontal="center" vertical="center" wrapText="1"/>
      <protection locked="0"/>
    </xf>
    <xf numFmtId="9" fontId="30" fillId="5" borderId="4" xfId="3" applyFont="1" applyFill="1" applyBorder="1" applyAlignment="1" applyProtection="1">
      <alignment horizontal="center" vertical="center" wrapText="1"/>
      <protection locked="0"/>
    </xf>
    <xf numFmtId="9" fontId="30" fillId="5" borderId="6" xfId="3" applyFont="1" applyFill="1" applyBorder="1" applyAlignment="1" applyProtection="1">
      <alignment horizontal="center" vertical="center" wrapText="1"/>
      <protection locked="0"/>
    </xf>
    <xf numFmtId="165" fontId="30" fillId="5" borderId="4" xfId="3" applyNumberFormat="1" applyFont="1" applyFill="1" applyBorder="1" applyAlignment="1" applyProtection="1">
      <alignment horizontal="center" vertical="center" wrapText="1"/>
      <protection locked="0"/>
    </xf>
    <xf numFmtId="165" fontId="30" fillId="5" borderId="6" xfId="3" applyNumberFormat="1" applyFont="1" applyFill="1" applyBorder="1" applyAlignment="1" applyProtection="1">
      <alignment horizontal="center" vertical="center" wrapText="1"/>
      <protection locked="0"/>
    </xf>
    <xf numFmtId="0" fontId="70" fillId="2" borderId="1" xfId="5" applyNumberFormat="1" applyFont="1" applyFill="1" applyBorder="1" applyAlignment="1">
      <alignment horizontal="center" vertical="center" wrapText="1"/>
    </xf>
    <xf numFmtId="0" fontId="70" fillId="2" borderId="1" xfId="5" applyFont="1" applyFill="1" applyBorder="1" applyAlignment="1">
      <alignment horizontal="left" vertical="center" wrapText="1"/>
    </xf>
    <xf numFmtId="9" fontId="70" fillId="5" borderId="1" xfId="3" applyFont="1" applyFill="1" applyBorder="1" applyAlignment="1">
      <alignment horizontal="center" vertical="center" wrapText="1"/>
    </xf>
    <xf numFmtId="165" fontId="70" fillId="5" borderId="4" xfId="3" applyNumberFormat="1" applyFont="1" applyFill="1" applyBorder="1" applyAlignment="1">
      <alignment horizontal="center" vertical="center" wrapText="1"/>
    </xf>
    <xf numFmtId="165" fontId="70" fillId="5" borderId="5" xfId="3" applyNumberFormat="1" applyFont="1" applyFill="1" applyBorder="1" applyAlignment="1">
      <alignment horizontal="center" vertical="center" wrapText="1"/>
    </xf>
    <xf numFmtId="165" fontId="70" fillId="5" borderId="6" xfId="3" applyNumberFormat="1" applyFont="1" applyFill="1" applyBorder="1" applyAlignment="1">
      <alignment horizontal="center" vertical="center" wrapText="1"/>
    </xf>
    <xf numFmtId="165" fontId="70" fillId="2" borderId="1" xfId="5" applyNumberFormat="1" applyFont="1" applyFill="1" applyBorder="1" applyAlignment="1">
      <alignment horizontal="left" vertical="center" wrapText="1"/>
    </xf>
    <xf numFmtId="9" fontId="31" fillId="5" borderId="4" xfId="3" applyFont="1" applyFill="1" applyBorder="1" applyAlignment="1">
      <alignment horizontal="center" vertical="center" wrapText="1"/>
    </xf>
    <xf numFmtId="9" fontId="31" fillId="5" borderId="5" xfId="3" applyFont="1" applyFill="1" applyBorder="1" applyAlignment="1">
      <alignment horizontal="center" vertical="center" wrapText="1"/>
    </xf>
    <xf numFmtId="9" fontId="31" fillId="5" borderId="6" xfId="3" applyFont="1" applyFill="1" applyBorder="1" applyAlignment="1">
      <alignment horizontal="center" vertical="center" wrapText="1"/>
    </xf>
    <xf numFmtId="165" fontId="31" fillId="5" borderId="4" xfId="3" applyNumberFormat="1" applyFont="1" applyFill="1" applyBorder="1" applyAlignment="1">
      <alignment horizontal="center" vertical="center" wrapText="1"/>
    </xf>
    <xf numFmtId="165" fontId="31" fillId="5" borderId="5" xfId="3" applyNumberFormat="1" applyFont="1" applyFill="1" applyBorder="1" applyAlignment="1">
      <alignment horizontal="center" vertical="center" wrapText="1"/>
    </xf>
    <xf numFmtId="165" fontId="31" fillId="5" borderId="6" xfId="3" applyNumberFormat="1" applyFont="1" applyFill="1" applyBorder="1" applyAlignment="1">
      <alignment horizontal="center" vertical="center" wrapText="1"/>
    </xf>
    <xf numFmtId="0" fontId="60" fillId="5" borderId="4" xfId="5" applyFont="1" applyFill="1" applyBorder="1" applyAlignment="1">
      <alignment horizontal="center" vertical="center" wrapText="1"/>
    </xf>
    <xf numFmtId="0" fontId="60" fillId="5" borderId="5" xfId="5" applyFont="1" applyFill="1" applyBorder="1" applyAlignment="1">
      <alignment horizontal="center" vertical="center" wrapText="1"/>
    </xf>
    <xf numFmtId="0" fontId="60" fillId="5" borderId="6" xfId="5" applyFont="1" applyFill="1" applyBorder="1" applyAlignment="1">
      <alignment horizontal="center" vertical="center" wrapText="1"/>
    </xf>
    <xf numFmtId="0" fontId="25" fillId="2" borderId="4" xfId="4" applyFill="1" applyBorder="1" applyAlignment="1">
      <alignment horizontal="center"/>
    </xf>
    <xf numFmtId="0" fontId="25" fillId="2" borderId="5" xfId="4" applyFill="1" applyBorder="1" applyAlignment="1">
      <alignment horizontal="center"/>
    </xf>
    <xf numFmtId="0" fontId="25" fillId="2" borderId="6" xfId="4" applyFill="1" applyBorder="1" applyAlignment="1">
      <alignment horizontal="center"/>
    </xf>
    <xf numFmtId="0" fontId="31" fillId="9" borderId="1" xfId="4" applyFont="1" applyFill="1" applyBorder="1" applyAlignment="1">
      <alignment horizontal="center" vertical="center" wrapText="1"/>
    </xf>
    <xf numFmtId="0" fontId="31" fillId="2" borderId="1" xfId="4" applyFont="1" applyFill="1" applyBorder="1" applyAlignment="1">
      <alignment horizontal="center" vertical="center" wrapText="1"/>
    </xf>
    <xf numFmtId="0" fontId="31" fillId="2" borderId="4" xfId="4" applyFont="1" applyFill="1" applyBorder="1" applyAlignment="1">
      <alignment horizontal="center" vertical="center" wrapText="1"/>
    </xf>
    <xf numFmtId="0" fontId="31" fillId="2" borderId="5" xfId="4" applyFont="1" applyFill="1" applyBorder="1" applyAlignment="1">
      <alignment horizontal="center" vertical="center" wrapText="1"/>
    </xf>
    <xf numFmtId="0" fontId="31" fillId="2" borderId="6" xfId="4" applyFont="1" applyFill="1" applyBorder="1" applyAlignment="1">
      <alignment horizontal="center" vertical="center" wrapText="1"/>
    </xf>
    <xf numFmtId="171" fontId="31" fillId="2" borderId="1" xfId="4" applyNumberFormat="1" applyFont="1" applyFill="1" applyBorder="1" applyAlignment="1">
      <alignment horizontal="center" vertical="center" wrapText="1"/>
    </xf>
    <xf numFmtId="0" fontId="30" fillId="2" borderId="4" xfId="5" applyNumberFormat="1" applyFont="1" applyFill="1" applyBorder="1" applyAlignment="1">
      <alignment horizontal="center" vertical="center" wrapText="1"/>
    </xf>
    <xf numFmtId="0" fontId="30" fillId="2" borderId="5" xfId="5" applyNumberFormat="1" applyFont="1" applyFill="1" applyBorder="1" applyAlignment="1">
      <alignment horizontal="center" vertical="center" wrapText="1"/>
    </xf>
    <xf numFmtId="0" fontId="30" fillId="2" borderId="6" xfId="5" applyNumberFormat="1" applyFont="1" applyFill="1" applyBorder="1" applyAlignment="1">
      <alignment horizontal="center" vertical="center" wrapText="1"/>
    </xf>
    <xf numFmtId="0" fontId="31" fillId="9" borderId="4" xfId="5" applyNumberFormat="1" applyFont="1" applyFill="1" applyBorder="1" applyAlignment="1">
      <alignment horizontal="center" vertical="center" wrapText="1"/>
    </xf>
    <xf numFmtId="0" fontId="31" fillId="9" borderId="5" xfId="5" applyNumberFormat="1" applyFont="1" applyFill="1" applyBorder="1" applyAlignment="1">
      <alignment horizontal="center" vertical="center" wrapText="1"/>
    </xf>
    <xf numFmtId="0" fontId="31" fillId="9" borderId="6" xfId="5" applyNumberFormat="1" applyFont="1" applyFill="1" applyBorder="1" applyAlignment="1">
      <alignment horizontal="center" vertical="center" wrapText="1"/>
    </xf>
    <xf numFmtId="0" fontId="31" fillId="0" borderId="4" xfId="5" applyFont="1" applyFill="1" applyBorder="1" applyAlignment="1">
      <alignment horizontal="center" vertical="center" wrapText="1"/>
    </xf>
    <xf numFmtId="0" fontId="31" fillId="0" borderId="5" xfId="5" applyFont="1" applyFill="1" applyBorder="1" applyAlignment="1">
      <alignment horizontal="center" vertical="center" wrapText="1"/>
    </xf>
    <xf numFmtId="0" fontId="31" fillId="0" borderId="6" xfId="5" applyFont="1" applyFill="1" applyBorder="1" applyAlignment="1">
      <alignment horizontal="center" vertical="center" wrapText="1"/>
    </xf>
    <xf numFmtId="165" fontId="31" fillId="0" borderId="4" xfId="5" applyNumberFormat="1" applyFont="1" applyFill="1" applyBorder="1" applyAlignment="1">
      <alignment horizontal="center" vertical="center" wrapText="1"/>
    </xf>
    <xf numFmtId="165" fontId="31" fillId="0" borderId="5" xfId="5" applyNumberFormat="1" applyFont="1" applyFill="1" applyBorder="1" applyAlignment="1">
      <alignment horizontal="center" vertical="center" wrapText="1"/>
    </xf>
    <xf numFmtId="165" fontId="31" fillId="0" borderId="6" xfId="5" applyNumberFormat="1" applyFont="1" applyFill="1" applyBorder="1" applyAlignment="1">
      <alignment horizontal="center" vertical="center" wrapText="1"/>
    </xf>
    <xf numFmtId="0" fontId="31" fillId="9" borderId="4" xfId="4" applyFont="1" applyFill="1" applyBorder="1" applyAlignment="1">
      <alignment horizontal="center" vertical="center" wrapText="1"/>
    </xf>
    <xf numFmtId="0" fontId="31" fillId="9" borderId="5" xfId="4" applyFont="1" applyFill="1" applyBorder="1" applyAlignment="1">
      <alignment horizontal="center" vertical="center" wrapText="1"/>
    </xf>
    <xf numFmtId="0" fontId="31" fillId="9" borderId="6" xfId="4" applyFont="1" applyFill="1" applyBorder="1" applyAlignment="1">
      <alignment horizontal="center" vertical="center" wrapText="1"/>
    </xf>
    <xf numFmtId="0" fontId="60" fillId="2" borderId="4" xfId="0" applyFont="1" applyFill="1" applyBorder="1" applyAlignment="1">
      <alignment horizontal="center" vertical="center" wrapText="1"/>
    </xf>
    <xf numFmtId="0" fontId="60" fillId="2" borderId="5" xfId="0" applyFont="1" applyFill="1" applyBorder="1" applyAlignment="1">
      <alignment horizontal="center" vertical="center" wrapText="1"/>
    </xf>
    <xf numFmtId="0" fontId="60" fillId="2" borderId="6" xfId="0" applyFont="1" applyFill="1" applyBorder="1" applyAlignment="1">
      <alignment horizontal="center" vertical="center" wrapText="1"/>
    </xf>
    <xf numFmtId="165" fontId="31" fillId="2" borderId="1" xfId="4" applyNumberFormat="1" applyFont="1" applyFill="1" applyBorder="1" applyAlignment="1">
      <alignment horizontal="center" vertical="center" wrapText="1"/>
    </xf>
    <xf numFmtId="9" fontId="31" fillId="5" borderId="4" xfId="4" applyNumberFormat="1" applyFont="1" applyFill="1" applyBorder="1" applyAlignment="1">
      <alignment horizontal="center" vertical="center" wrapText="1"/>
    </xf>
    <xf numFmtId="0" fontId="31" fillId="5" borderId="5" xfId="4" applyFont="1" applyFill="1" applyBorder="1" applyAlignment="1">
      <alignment horizontal="center" vertical="center" wrapText="1"/>
    </xf>
    <xf numFmtId="0" fontId="31" fillId="5" borderId="6" xfId="4" applyFont="1" applyFill="1" applyBorder="1" applyAlignment="1">
      <alignment horizontal="center" vertical="center" wrapText="1"/>
    </xf>
    <xf numFmtId="165" fontId="31" fillId="5" borderId="4" xfId="4" applyNumberFormat="1" applyFont="1" applyFill="1" applyBorder="1" applyAlignment="1">
      <alignment horizontal="center" vertical="center" wrapText="1"/>
    </xf>
    <xf numFmtId="165" fontId="31" fillId="5" borderId="5" xfId="4" applyNumberFormat="1" applyFont="1" applyFill="1" applyBorder="1" applyAlignment="1">
      <alignment horizontal="center" vertical="center" wrapText="1"/>
    </xf>
    <xf numFmtId="165" fontId="31" fillId="5" borderId="6" xfId="4" applyNumberFormat="1" applyFont="1" applyFill="1" applyBorder="1" applyAlignment="1">
      <alignment horizontal="center" vertical="center" wrapText="1"/>
    </xf>
    <xf numFmtId="166" fontId="31" fillId="5" borderId="4" xfId="4" applyNumberFormat="1" applyFont="1" applyFill="1" applyBorder="1" applyAlignment="1">
      <alignment horizontal="center" vertical="center" wrapText="1"/>
    </xf>
    <xf numFmtId="166" fontId="31" fillId="5" borderId="5" xfId="4" applyNumberFormat="1" applyFont="1" applyFill="1" applyBorder="1" applyAlignment="1">
      <alignment horizontal="center" vertical="center" wrapText="1"/>
    </xf>
    <xf numFmtId="166" fontId="31" fillId="5" borderId="6" xfId="4" applyNumberFormat="1" applyFont="1" applyFill="1" applyBorder="1" applyAlignment="1">
      <alignment horizontal="center" vertical="center" wrapText="1"/>
    </xf>
    <xf numFmtId="165" fontId="31" fillId="2" borderId="4" xfId="4" applyNumberFormat="1" applyFont="1" applyFill="1" applyBorder="1" applyAlignment="1">
      <alignment horizontal="center" vertical="center" wrapText="1"/>
    </xf>
    <xf numFmtId="165" fontId="31" fillId="2" borderId="5" xfId="4" applyNumberFormat="1" applyFont="1" applyFill="1" applyBorder="1" applyAlignment="1">
      <alignment horizontal="center" vertical="center" wrapText="1"/>
    </xf>
    <xf numFmtId="165" fontId="31" fillId="2" borderId="6" xfId="4" applyNumberFormat="1" applyFont="1" applyFill="1" applyBorder="1" applyAlignment="1">
      <alignment horizontal="center" vertical="center" wrapText="1"/>
    </xf>
    <xf numFmtId="0" fontId="60" fillId="2" borderId="4" xfId="0" applyFont="1" applyFill="1" applyBorder="1" applyAlignment="1">
      <alignment horizontal="center" vertical="top" wrapText="1"/>
    </xf>
    <xf numFmtId="0" fontId="60" fillId="2" borderId="5" xfId="0" applyFont="1" applyFill="1" applyBorder="1" applyAlignment="1">
      <alignment horizontal="center" vertical="top" wrapText="1"/>
    </xf>
    <xf numFmtId="0" fontId="60" fillId="2" borderId="6" xfId="0" applyFont="1" applyFill="1" applyBorder="1" applyAlignment="1">
      <alignment horizontal="center" vertical="top" wrapText="1"/>
    </xf>
    <xf numFmtId="9" fontId="31" fillId="5" borderId="5" xfId="4" applyNumberFormat="1" applyFont="1" applyFill="1" applyBorder="1" applyAlignment="1">
      <alignment horizontal="center" vertical="center" wrapText="1"/>
    </xf>
    <xf numFmtId="9" fontId="31" fillId="5" borderId="6" xfId="4" applyNumberFormat="1" applyFont="1" applyFill="1" applyBorder="1" applyAlignment="1">
      <alignment horizontal="center" vertical="center" wrapText="1"/>
    </xf>
    <xf numFmtId="2" fontId="31" fillId="5" borderId="5" xfId="4" applyNumberFormat="1" applyFont="1" applyFill="1" applyBorder="1" applyAlignment="1">
      <alignment horizontal="center" vertical="center" wrapText="1"/>
    </xf>
    <xf numFmtId="2" fontId="31" fillId="5" borderId="6" xfId="4" applyNumberFormat="1" applyFont="1" applyFill="1" applyBorder="1" applyAlignment="1">
      <alignment horizontal="center" vertical="center" wrapText="1"/>
    </xf>
    <xf numFmtId="0" fontId="60" fillId="2" borderId="4" xfId="4" applyFont="1" applyFill="1" applyBorder="1" applyAlignment="1">
      <alignment horizontal="center" vertical="center" wrapText="1"/>
    </xf>
    <xf numFmtId="0" fontId="60" fillId="2" borderId="5" xfId="4" applyFont="1" applyFill="1" applyBorder="1" applyAlignment="1">
      <alignment horizontal="center" vertical="center" wrapText="1"/>
    </xf>
    <xf numFmtId="0" fontId="60" fillId="2" borderId="6" xfId="4" applyFont="1" applyFill="1" applyBorder="1" applyAlignment="1">
      <alignment horizontal="center" vertical="center" wrapText="1"/>
    </xf>
    <xf numFmtId="0" fontId="0" fillId="2" borderId="0" xfId="0" applyFill="1" applyAlignment="1">
      <alignment horizontal="justify"/>
    </xf>
    <xf numFmtId="0" fontId="0" fillId="2" borderId="0" xfId="0" applyFill="1" applyAlignment="1"/>
    <xf numFmtId="0" fontId="31" fillId="5" borderId="4" xfId="4" applyFont="1" applyFill="1" applyBorder="1" applyAlignment="1">
      <alignment horizontal="center" vertical="center" wrapText="1"/>
    </xf>
    <xf numFmtId="0" fontId="72" fillId="0" borderId="0" xfId="11" applyNumberFormat="1" applyProtection="1">
      <alignment horizontal="center" vertical="top" wrapText="1"/>
    </xf>
    <xf numFmtId="0" fontId="72" fillId="0" borderId="0" xfId="11">
      <alignment horizontal="center" vertical="top" wrapText="1"/>
    </xf>
    <xf numFmtId="0" fontId="74" fillId="0" borderId="0" xfId="1849" applyNumberFormat="1" applyProtection="1">
      <alignment horizontal="right" vertical="top" wrapText="1"/>
    </xf>
    <xf numFmtId="0" fontId="74" fillId="0" borderId="0" xfId="1849">
      <alignment horizontal="right" vertical="top" wrapText="1"/>
    </xf>
    <xf numFmtId="0" fontId="30" fillId="2" borderId="74" xfId="5" applyNumberFormat="1" applyFont="1" applyFill="1" applyBorder="1" applyAlignment="1">
      <alignment horizontal="center" vertical="center" wrapText="1"/>
    </xf>
    <xf numFmtId="0" fontId="31" fillId="2" borderId="74" xfId="5" applyNumberFormat="1" applyFont="1" applyFill="1" applyBorder="1" applyAlignment="1">
      <alignment horizontal="center" vertical="center" wrapText="1"/>
    </xf>
    <xf numFmtId="0" fontId="31" fillId="2" borderId="5" xfId="5" applyNumberFormat="1" applyFont="1" applyFill="1" applyBorder="1" applyAlignment="1">
      <alignment horizontal="center" vertical="center" wrapText="1"/>
    </xf>
    <xf numFmtId="0" fontId="31" fillId="2" borderId="6" xfId="5" applyNumberFormat="1" applyFont="1" applyFill="1" applyBorder="1" applyAlignment="1">
      <alignment horizontal="center" vertical="center" wrapText="1"/>
    </xf>
    <xf numFmtId="0" fontId="31" fillId="2" borderId="74" xfId="5" applyFont="1" applyFill="1" applyBorder="1" applyAlignment="1">
      <alignment horizontal="center" vertical="center" wrapText="1"/>
    </xf>
    <xf numFmtId="0" fontId="31" fillId="2" borderId="5" xfId="5" applyFont="1" applyFill="1" applyBorder="1" applyAlignment="1">
      <alignment horizontal="center" vertical="center" wrapText="1"/>
    </xf>
    <xf numFmtId="0" fontId="31" fillId="2" borderId="6" xfId="5" applyFont="1" applyFill="1" applyBorder="1" applyAlignment="1">
      <alignment horizontal="center" vertical="center" wrapText="1"/>
    </xf>
    <xf numFmtId="172" fontId="31" fillId="2" borderId="74" xfId="5" applyNumberFormat="1" applyFont="1" applyFill="1" applyBorder="1" applyAlignment="1">
      <alignment horizontal="center" vertical="center" wrapText="1"/>
    </xf>
    <xf numFmtId="172" fontId="31" fillId="2" borderId="5" xfId="5" applyNumberFormat="1" applyFont="1" applyFill="1" applyBorder="1" applyAlignment="1">
      <alignment horizontal="center" vertical="center" wrapText="1"/>
    </xf>
    <xf numFmtId="172" fontId="31" fillId="2" borderId="6" xfId="5" applyNumberFormat="1" applyFont="1" applyFill="1" applyBorder="1" applyAlignment="1">
      <alignment horizontal="center" vertical="center" wrapText="1"/>
    </xf>
    <xf numFmtId="9" fontId="276" fillId="171" borderId="74" xfId="5530" applyNumberFormat="1" applyFont="1" applyFill="1" applyBorder="1" applyAlignment="1">
      <alignment horizontal="center" vertical="center" wrapText="1"/>
    </xf>
    <xf numFmtId="9" fontId="276" fillId="171" borderId="5" xfId="5530" applyNumberFormat="1" applyFont="1" applyFill="1" applyBorder="1" applyAlignment="1">
      <alignment horizontal="center" vertical="center" wrapText="1"/>
    </xf>
    <xf numFmtId="9" fontId="276" fillId="171" borderId="6" xfId="5530" applyNumberFormat="1" applyFont="1" applyFill="1" applyBorder="1" applyAlignment="1">
      <alignment horizontal="center" vertical="center" wrapText="1"/>
    </xf>
    <xf numFmtId="9" fontId="31" fillId="2" borderId="74" xfId="4" applyNumberFormat="1" applyFont="1" applyFill="1" applyBorder="1" applyAlignment="1">
      <alignment horizontal="center" vertical="center" wrapText="1"/>
    </xf>
    <xf numFmtId="9" fontId="31" fillId="2" borderId="5" xfId="4" applyNumberFormat="1" applyFont="1" applyFill="1" applyBorder="1" applyAlignment="1">
      <alignment horizontal="center" vertical="center" wrapText="1"/>
    </xf>
    <xf numFmtId="9" fontId="31" fillId="2" borderId="6" xfId="4" applyNumberFormat="1" applyFont="1" applyFill="1" applyBorder="1" applyAlignment="1">
      <alignment horizontal="center" vertical="center" wrapText="1"/>
    </xf>
    <xf numFmtId="165" fontId="31" fillId="2" borderId="74" xfId="3" applyNumberFormat="1" applyFont="1" applyFill="1" applyBorder="1" applyAlignment="1">
      <alignment horizontal="center" vertical="center" wrapText="1"/>
    </xf>
    <xf numFmtId="165" fontId="31" fillId="2" borderId="5" xfId="3" applyNumberFormat="1" applyFont="1" applyFill="1" applyBorder="1" applyAlignment="1">
      <alignment horizontal="center" vertical="center" wrapText="1"/>
    </xf>
    <xf numFmtId="165" fontId="31" fillId="2" borderId="6" xfId="3" applyNumberFormat="1" applyFont="1" applyFill="1" applyBorder="1" applyAlignment="1">
      <alignment horizontal="center" vertical="center" wrapText="1"/>
    </xf>
    <xf numFmtId="0" fontId="31" fillId="2" borderId="74" xfId="4" applyFont="1" applyFill="1" applyBorder="1" applyAlignment="1">
      <alignment horizontal="left" vertical="center" wrapText="1"/>
    </xf>
    <xf numFmtId="0" fontId="31" fillId="2" borderId="5" xfId="4" applyFont="1" applyFill="1" applyBorder="1" applyAlignment="1">
      <alignment horizontal="left" vertical="center" wrapText="1"/>
    </xf>
    <xf numFmtId="0" fontId="31" fillId="2" borderId="6" xfId="4" applyFont="1" applyFill="1" applyBorder="1" applyAlignment="1">
      <alignment horizontal="left" vertical="center" wrapText="1"/>
    </xf>
    <xf numFmtId="165" fontId="31" fillId="2" borderId="74" xfId="4" applyNumberFormat="1" applyFont="1" applyFill="1" applyBorder="1" applyAlignment="1">
      <alignment horizontal="center" vertical="center" wrapText="1"/>
    </xf>
    <xf numFmtId="10" fontId="31" fillId="2" borderId="74" xfId="4" applyNumberFormat="1" applyFont="1" applyFill="1" applyBorder="1" applyAlignment="1">
      <alignment horizontal="center" vertical="center" wrapText="1"/>
    </xf>
    <xf numFmtId="10" fontId="31" fillId="2" borderId="5" xfId="4" applyNumberFormat="1" applyFont="1" applyFill="1" applyBorder="1" applyAlignment="1">
      <alignment horizontal="center" vertical="center" wrapText="1"/>
    </xf>
    <xf numFmtId="10" fontId="31" fillId="2" borderId="6" xfId="4" applyNumberFormat="1" applyFont="1" applyFill="1" applyBorder="1" applyAlignment="1">
      <alignment horizontal="center" vertical="center" wrapText="1"/>
    </xf>
    <xf numFmtId="0" fontId="5" fillId="2" borderId="74" xfId="4" applyFont="1" applyFill="1" applyBorder="1" applyAlignment="1">
      <alignment horizontal="center" vertical="center"/>
    </xf>
    <xf numFmtId="0" fontId="5" fillId="2" borderId="5" xfId="4" applyFont="1" applyFill="1" applyBorder="1" applyAlignment="1">
      <alignment horizontal="center" vertical="center"/>
    </xf>
    <xf numFmtId="0" fontId="5" fillId="2" borderId="6" xfId="4" applyFont="1" applyFill="1" applyBorder="1" applyAlignment="1">
      <alignment horizontal="center" vertical="center"/>
    </xf>
    <xf numFmtId="0" fontId="31" fillId="2" borderId="74" xfId="0" applyFont="1" applyFill="1" applyBorder="1" applyAlignment="1">
      <alignment horizontal="center" vertical="center" wrapText="1"/>
    </xf>
    <xf numFmtId="0" fontId="31" fillId="2" borderId="5" xfId="0" applyFont="1" applyFill="1" applyBorder="1" applyAlignment="1">
      <alignment horizontal="center" vertical="center" wrapText="1"/>
    </xf>
    <xf numFmtId="0" fontId="31" fillId="2" borderId="6" xfId="0" applyFont="1" applyFill="1" applyBorder="1" applyAlignment="1">
      <alignment horizontal="center" vertical="center" wrapText="1"/>
    </xf>
    <xf numFmtId="0" fontId="31" fillId="2" borderId="74" xfId="4" applyFont="1" applyFill="1" applyBorder="1" applyAlignment="1">
      <alignment horizontal="center" vertical="center" wrapText="1"/>
    </xf>
    <xf numFmtId="0" fontId="271" fillId="164" borderId="0" xfId="3501" applyFont="1" applyFill="1" applyAlignment="1">
      <alignment horizontal="center"/>
    </xf>
    <xf numFmtId="0" fontId="273" fillId="164" borderId="74" xfId="3501" applyFont="1" applyFill="1" applyBorder="1" applyAlignment="1">
      <alignment horizontal="center" vertical="center" wrapText="1"/>
    </xf>
    <xf numFmtId="0" fontId="273" fillId="164" borderId="6" xfId="3501" applyFont="1" applyFill="1" applyBorder="1" applyAlignment="1">
      <alignment horizontal="center" vertical="center" wrapText="1"/>
    </xf>
    <xf numFmtId="4" fontId="273" fillId="164" borderId="74" xfId="3501" applyNumberFormat="1" applyFont="1" applyFill="1" applyBorder="1" applyAlignment="1" applyProtection="1">
      <alignment horizontal="center" vertical="center" wrapText="1"/>
      <protection locked="0"/>
    </xf>
    <xf numFmtId="4" fontId="273" fillId="164" borderId="6" xfId="3501" applyNumberFormat="1" applyFont="1" applyFill="1" applyBorder="1" applyAlignment="1" applyProtection="1">
      <alignment horizontal="center" vertical="center" wrapText="1"/>
      <protection locked="0"/>
    </xf>
    <xf numFmtId="165" fontId="273" fillId="164" borderId="74" xfId="3501" applyNumberFormat="1" applyFont="1" applyFill="1" applyBorder="1" applyAlignment="1" applyProtection="1">
      <alignment horizontal="center" vertical="center" wrapText="1"/>
      <protection locked="0"/>
    </xf>
    <xf numFmtId="165" fontId="273" fillId="164" borderId="6" xfId="3501" applyNumberFormat="1" applyFont="1" applyFill="1" applyBorder="1" applyAlignment="1" applyProtection="1">
      <alignment horizontal="center" vertical="center" wrapText="1"/>
      <protection locked="0"/>
    </xf>
    <xf numFmtId="165" fontId="273" fillId="164" borderId="92" xfId="3501" applyNumberFormat="1" applyFont="1" applyFill="1" applyBorder="1" applyAlignment="1" applyProtection="1">
      <alignment horizontal="center" vertical="center" wrapText="1"/>
      <protection locked="0"/>
    </xf>
    <xf numFmtId="165" fontId="273" fillId="164" borderId="94" xfId="3501" applyNumberFormat="1" applyFont="1" applyFill="1" applyBorder="1" applyAlignment="1" applyProtection="1">
      <alignment horizontal="center" vertical="center" wrapText="1"/>
      <protection locked="0"/>
    </xf>
    <xf numFmtId="165" fontId="30" fillId="164" borderId="92" xfId="3501" applyNumberFormat="1" applyFont="1" applyFill="1" applyBorder="1" applyAlignment="1" applyProtection="1">
      <alignment horizontal="center" vertical="center" wrapText="1"/>
      <protection locked="0"/>
    </xf>
    <xf numFmtId="165" fontId="273" fillId="164" borderId="93" xfId="3501" applyNumberFormat="1" applyFont="1" applyFill="1" applyBorder="1" applyAlignment="1" applyProtection="1">
      <alignment horizontal="center" vertical="center" wrapText="1"/>
      <protection locked="0"/>
    </xf>
    <xf numFmtId="9" fontId="273" fillId="171" borderId="74" xfId="5531" applyNumberFormat="1" applyFont="1" applyFill="1" applyBorder="1" applyAlignment="1" applyProtection="1">
      <alignment horizontal="center" vertical="center" wrapText="1"/>
      <protection locked="0"/>
    </xf>
    <xf numFmtId="9" fontId="273" fillId="171" borderId="6" xfId="5531" applyNumberFormat="1" applyFont="1" applyFill="1" applyBorder="1" applyAlignment="1" applyProtection="1">
      <alignment horizontal="center" vertical="center" wrapText="1"/>
      <protection locked="0"/>
    </xf>
    <xf numFmtId="165" fontId="273" fillId="171" borderId="74" xfId="5531" applyNumberFormat="1" applyFont="1" applyFill="1" applyBorder="1" applyAlignment="1" applyProtection="1">
      <alignment horizontal="center" vertical="center" wrapText="1"/>
      <protection locked="0"/>
    </xf>
    <xf numFmtId="165" fontId="273" fillId="171" borderId="6" xfId="5531" applyNumberFormat="1" applyFont="1" applyFill="1" applyBorder="1" applyAlignment="1" applyProtection="1">
      <alignment horizontal="center" vertical="center" wrapText="1"/>
      <protection locked="0"/>
    </xf>
    <xf numFmtId="165" fontId="275" fillId="164" borderId="73" xfId="5532" applyNumberFormat="1" applyFont="1" applyFill="1" applyBorder="1" applyAlignment="1">
      <alignment horizontal="left" vertical="center" wrapText="1"/>
    </xf>
    <xf numFmtId="0" fontId="275" fillId="164" borderId="73" xfId="5532" applyFont="1" applyFill="1" applyBorder="1" applyAlignment="1">
      <alignment horizontal="left" vertical="center" wrapText="1"/>
    </xf>
    <xf numFmtId="9" fontId="276" fillId="171" borderId="74" xfId="5531" applyNumberFormat="1" applyFont="1" applyFill="1" applyBorder="1" applyAlignment="1">
      <alignment horizontal="center" vertical="center" wrapText="1"/>
    </xf>
    <xf numFmtId="9" fontId="276" fillId="171" borderId="5" xfId="5531" applyNumberFormat="1" applyFont="1" applyFill="1" applyBorder="1" applyAlignment="1">
      <alignment horizontal="center" vertical="center" wrapText="1"/>
    </xf>
    <xf numFmtId="9" fontId="276" fillId="171" borderId="6" xfId="5531" applyNumberFormat="1" applyFont="1" applyFill="1" applyBorder="1" applyAlignment="1">
      <alignment horizontal="center" vertical="center" wrapText="1"/>
    </xf>
    <xf numFmtId="165" fontId="276" fillId="171" borderId="74" xfId="5531" applyNumberFormat="1" applyFont="1" applyFill="1" applyBorder="1" applyAlignment="1">
      <alignment horizontal="center" vertical="center" wrapText="1"/>
    </xf>
    <xf numFmtId="165" fontId="276" fillId="171" borderId="5" xfId="5531" applyNumberFormat="1" applyFont="1" applyFill="1" applyBorder="1" applyAlignment="1">
      <alignment horizontal="center" vertical="center" wrapText="1"/>
    </xf>
    <xf numFmtId="165" fontId="276" fillId="171" borderId="6" xfId="5531" applyNumberFormat="1" applyFont="1" applyFill="1" applyBorder="1" applyAlignment="1">
      <alignment horizontal="center" vertical="center" wrapText="1"/>
    </xf>
    <xf numFmtId="0" fontId="31" fillId="171" borderId="74" xfId="5532" applyFont="1" applyFill="1" applyBorder="1" applyAlignment="1">
      <alignment horizontal="center" vertical="center" wrapText="1"/>
    </xf>
    <xf numFmtId="0" fontId="31" fillId="171" borderId="5" xfId="5532" applyFont="1" applyFill="1" applyBorder="1" applyAlignment="1">
      <alignment horizontal="center" vertical="center" wrapText="1"/>
    </xf>
    <xf numFmtId="0" fontId="31" fillId="171" borderId="6" xfId="5532" applyFont="1" applyFill="1" applyBorder="1" applyAlignment="1">
      <alignment horizontal="center" vertical="center" wrapText="1"/>
    </xf>
    <xf numFmtId="165" fontId="276" fillId="2" borderId="74" xfId="5532" applyNumberFormat="1" applyFont="1" applyFill="1" applyBorder="1" applyAlignment="1">
      <alignment horizontal="center" vertical="center" wrapText="1"/>
    </xf>
    <xf numFmtId="165" fontId="276" fillId="2" borderId="5" xfId="5532" applyNumberFormat="1" applyFont="1" applyFill="1" applyBorder="1" applyAlignment="1">
      <alignment horizontal="center" vertical="center" wrapText="1"/>
    </xf>
    <xf numFmtId="165" fontId="276" fillId="2" borderId="6" xfId="5532" applyNumberFormat="1" applyFont="1" applyFill="1" applyBorder="1" applyAlignment="1">
      <alignment horizontal="center" vertical="center" wrapText="1"/>
    </xf>
    <xf numFmtId="0" fontId="275" fillId="164" borderId="73" xfId="5532" applyFont="1" applyFill="1" applyBorder="1" applyAlignment="1">
      <alignment horizontal="center" vertical="center" wrapText="1"/>
    </xf>
    <xf numFmtId="9" fontId="275" fillId="171" borderId="73" xfId="5531" applyNumberFormat="1" applyFont="1" applyFill="1" applyBorder="1" applyAlignment="1">
      <alignment horizontal="center" vertical="center" wrapText="1"/>
    </xf>
    <xf numFmtId="165" fontId="275" fillId="171" borderId="74" xfId="5531" applyNumberFormat="1" applyFont="1" applyFill="1" applyBorder="1" applyAlignment="1">
      <alignment horizontal="center" vertical="center" wrapText="1"/>
    </xf>
    <xf numFmtId="165" fontId="275" fillId="171" borderId="5" xfId="5531" applyNumberFormat="1" applyFont="1" applyFill="1" applyBorder="1" applyAlignment="1">
      <alignment horizontal="center" vertical="center" wrapText="1"/>
    </xf>
    <xf numFmtId="165" fontId="275" fillId="171" borderId="6" xfId="5531" applyNumberFormat="1" applyFont="1" applyFill="1" applyBorder="1" applyAlignment="1">
      <alignment horizontal="center" vertical="center" wrapText="1"/>
    </xf>
    <xf numFmtId="0" fontId="273" fillId="164" borderId="74" xfId="5532" applyFont="1" applyFill="1" applyBorder="1" applyAlignment="1">
      <alignment horizontal="center" vertical="center" wrapText="1"/>
    </xf>
    <xf numFmtId="0" fontId="273" fillId="164" borderId="5" xfId="5532" applyFont="1" applyFill="1" applyBorder="1" applyAlignment="1">
      <alignment horizontal="center" vertical="center" wrapText="1"/>
    </xf>
    <xf numFmtId="0" fontId="273" fillId="164" borderId="6" xfId="5532" applyFont="1" applyFill="1" applyBorder="1" applyAlignment="1">
      <alignment horizontal="center" vertical="center" wrapText="1"/>
    </xf>
    <xf numFmtId="0" fontId="276" fillId="172" borderId="74" xfId="5532" applyFont="1" applyFill="1" applyBorder="1" applyAlignment="1">
      <alignment horizontal="center" vertical="center" wrapText="1"/>
    </xf>
    <xf numFmtId="0" fontId="276" fillId="172" borderId="5" xfId="5532" applyFont="1" applyFill="1" applyBorder="1" applyAlignment="1">
      <alignment horizontal="center" vertical="center" wrapText="1"/>
    </xf>
    <xf numFmtId="0" fontId="276" fillId="172" borderId="6" xfId="5532" applyFont="1" applyFill="1" applyBorder="1" applyAlignment="1">
      <alignment horizontal="center" vertical="center" wrapText="1"/>
    </xf>
    <xf numFmtId="0" fontId="276" fillId="2" borderId="74" xfId="5532" applyFont="1" applyFill="1" applyBorder="1" applyAlignment="1">
      <alignment horizontal="center" vertical="center" wrapText="1"/>
    </xf>
    <xf numFmtId="0" fontId="276" fillId="2" borderId="5" xfId="5532" applyFont="1" applyFill="1" applyBorder="1" applyAlignment="1">
      <alignment horizontal="center" vertical="center" wrapText="1"/>
    </xf>
    <xf numFmtId="0" fontId="276" fillId="2" borderId="6" xfId="5532" applyFont="1" applyFill="1" applyBorder="1" applyAlignment="1">
      <alignment horizontal="center" vertical="center" wrapText="1"/>
    </xf>
    <xf numFmtId="0" fontId="269" fillId="164" borderId="74" xfId="5530" applyFont="1" applyFill="1" applyBorder="1" applyAlignment="1">
      <alignment horizontal="center"/>
    </xf>
    <xf numFmtId="0" fontId="269" fillId="164" borderId="5" xfId="5530" applyFont="1" applyFill="1" applyBorder="1" applyAlignment="1">
      <alignment horizontal="center"/>
    </xf>
    <xf numFmtId="0" fontId="269" fillId="164" borderId="6" xfId="5530" applyFont="1" applyFill="1" applyBorder="1" applyAlignment="1">
      <alignment horizontal="center"/>
    </xf>
    <xf numFmtId="0" fontId="31" fillId="172" borderId="73" xfId="5530" applyFont="1" applyFill="1" applyBorder="1" applyAlignment="1">
      <alignment horizontal="center" vertical="center" wrapText="1"/>
    </xf>
    <xf numFmtId="0" fontId="276" fillId="172" borderId="73" xfId="5530" applyFont="1" applyFill="1" applyBorder="1" applyAlignment="1">
      <alignment horizontal="center" vertical="center" wrapText="1"/>
    </xf>
    <xf numFmtId="0" fontId="276" fillId="164" borderId="73" xfId="5530" applyFont="1" applyFill="1" applyBorder="1" applyAlignment="1">
      <alignment horizontal="center" vertical="center" wrapText="1"/>
    </xf>
    <xf numFmtId="0" fontId="276" fillId="164" borderId="74" xfId="5530" applyFont="1" applyFill="1" applyBorder="1" applyAlignment="1">
      <alignment horizontal="center" vertical="center" wrapText="1"/>
    </xf>
    <xf numFmtId="0" fontId="276" fillId="164" borderId="5" xfId="5530" applyFont="1" applyFill="1" applyBorder="1" applyAlignment="1">
      <alignment horizontal="center" vertical="center" wrapText="1"/>
    </xf>
    <xf numFmtId="0" fontId="276" fillId="164" borderId="6" xfId="5530" applyFont="1" applyFill="1" applyBorder="1" applyAlignment="1">
      <alignment horizontal="center" vertical="center" wrapText="1"/>
    </xf>
    <xf numFmtId="0" fontId="276" fillId="172" borderId="74" xfId="5530" applyFont="1" applyFill="1" applyBorder="1" applyAlignment="1">
      <alignment horizontal="center" vertical="center" wrapText="1"/>
    </xf>
    <xf numFmtId="0" fontId="276" fillId="172" borderId="5" xfId="5530" applyFont="1" applyFill="1" applyBorder="1" applyAlignment="1">
      <alignment horizontal="center" vertical="center" wrapText="1"/>
    </xf>
    <xf numFmtId="0" fontId="276" fillId="172" borderId="6" xfId="5530" applyFont="1" applyFill="1" applyBorder="1" applyAlignment="1">
      <alignment horizontal="center" vertical="center" wrapText="1"/>
    </xf>
    <xf numFmtId="0" fontId="31" fillId="164" borderId="74" xfId="5528" applyFont="1" applyFill="1" applyBorder="1" applyAlignment="1">
      <alignment horizontal="center" vertical="center" wrapText="1"/>
    </xf>
    <xf numFmtId="0" fontId="31" fillId="164" borderId="5" xfId="5528" applyFont="1" applyFill="1" applyBorder="1" applyAlignment="1">
      <alignment horizontal="center" vertical="center" wrapText="1"/>
    </xf>
    <xf numFmtId="0" fontId="31" fillId="164" borderId="6" xfId="5528" applyFont="1" applyFill="1" applyBorder="1" applyAlignment="1">
      <alignment horizontal="center" vertical="center" wrapText="1"/>
    </xf>
    <xf numFmtId="165" fontId="276" fillId="164" borderId="73" xfId="5530" applyNumberFormat="1" applyFont="1" applyFill="1" applyBorder="1" applyAlignment="1">
      <alignment horizontal="center" vertical="center" wrapText="1"/>
    </xf>
    <xf numFmtId="0" fontId="276" fillId="171" borderId="5" xfId="5530" applyFont="1" applyFill="1" applyBorder="1" applyAlignment="1">
      <alignment horizontal="center" vertical="center" wrapText="1"/>
    </xf>
    <xf numFmtId="0" fontId="276" fillId="171" borderId="6" xfId="5530" applyFont="1" applyFill="1" applyBorder="1" applyAlignment="1">
      <alignment horizontal="center" vertical="center" wrapText="1"/>
    </xf>
    <xf numFmtId="165" fontId="276" fillId="171" borderId="74" xfId="5530" applyNumberFormat="1" applyFont="1" applyFill="1" applyBorder="1" applyAlignment="1">
      <alignment horizontal="center" vertical="center" wrapText="1"/>
    </xf>
    <xf numFmtId="165" fontId="276" fillId="171" borderId="5" xfId="5530" applyNumberFormat="1" applyFont="1" applyFill="1" applyBorder="1" applyAlignment="1">
      <alignment horizontal="center" vertical="center" wrapText="1"/>
    </xf>
    <xf numFmtId="165" fontId="276" fillId="171" borderId="6" xfId="5530" applyNumberFormat="1" applyFont="1" applyFill="1" applyBorder="1" applyAlignment="1">
      <alignment horizontal="center" vertical="center" wrapText="1"/>
    </xf>
    <xf numFmtId="171" fontId="276" fillId="164" borderId="73" xfId="5530" applyNumberFormat="1" applyFont="1" applyFill="1" applyBorder="1" applyAlignment="1">
      <alignment horizontal="center" vertical="center" wrapText="1"/>
    </xf>
    <xf numFmtId="0" fontId="31" fillId="164" borderId="74" xfId="5528" applyFont="1" applyFill="1" applyBorder="1" applyAlignment="1">
      <alignment horizontal="center" vertical="top" wrapText="1"/>
    </xf>
    <xf numFmtId="0" fontId="31" fillId="164" borderId="5" xfId="5528" applyFont="1" applyFill="1" applyBorder="1" applyAlignment="1">
      <alignment horizontal="center" vertical="top" wrapText="1"/>
    </xf>
    <xf numFmtId="0" fontId="31" fillId="164" borderId="6" xfId="5528" applyFont="1" applyFill="1" applyBorder="1" applyAlignment="1">
      <alignment horizontal="center" vertical="top" wrapText="1"/>
    </xf>
    <xf numFmtId="2" fontId="276" fillId="171" borderId="5" xfId="5530" applyNumberFormat="1" applyFont="1" applyFill="1" applyBorder="1" applyAlignment="1">
      <alignment horizontal="center" vertical="center" wrapText="1"/>
    </xf>
    <xf numFmtId="2" fontId="276" fillId="171" borderId="6" xfId="5530" applyNumberFormat="1" applyFont="1" applyFill="1" applyBorder="1" applyAlignment="1">
      <alignment horizontal="center" vertical="center" wrapText="1"/>
    </xf>
    <xf numFmtId="0" fontId="31" fillId="164" borderId="74" xfId="5530" applyFont="1" applyFill="1" applyBorder="1" applyAlignment="1">
      <alignment horizontal="center" vertical="center" wrapText="1"/>
    </xf>
    <xf numFmtId="0" fontId="31" fillId="164" borderId="5" xfId="5530" applyFont="1" applyFill="1" applyBorder="1" applyAlignment="1">
      <alignment horizontal="center" vertical="center" wrapText="1"/>
    </xf>
    <xf numFmtId="0" fontId="31" fillId="164" borderId="6" xfId="5530" applyFont="1" applyFill="1" applyBorder="1" applyAlignment="1">
      <alignment horizontal="center" vertical="center" wrapText="1"/>
    </xf>
    <xf numFmtId="0" fontId="276" fillId="171" borderId="74" xfId="5530" applyFont="1" applyFill="1" applyBorder="1" applyAlignment="1">
      <alignment horizontal="center" vertical="center" wrapText="1"/>
    </xf>
    <xf numFmtId="165" fontId="276" fillId="164" borderId="74" xfId="5530" applyNumberFormat="1" applyFont="1" applyFill="1" applyBorder="1" applyAlignment="1">
      <alignment horizontal="center" vertical="center" wrapText="1"/>
    </xf>
    <xf numFmtId="165" fontId="276" fillId="164" borderId="5" xfId="5530" applyNumberFormat="1" applyFont="1" applyFill="1" applyBorder="1" applyAlignment="1">
      <alignment horizontal="center" vertical="center" wrapText="1"/>
    </xf>
    <xf numFmtId="165" fontId="276" fillId="164" borderId="6" xfId="5530" applyNumberFormat="1" applyFont="1" applyFill="1" applyBorder="1" applyAlignment="1">
      <alignment horizontal="center" vertical="center" wrapText="1"/>
    </xf>
    <xf numFmtId="166" fontId="276" fillId="171" borderId="74" xfId="5530" applyNumberFormat="1" applyFont="1" applyFill="1" applyBorder="1" applyAlignment="1">
      <alignment horizontal="center" vertical="center" wrapText="1"/>
    </xf>
    <xf numFmtId="166" fontId="276" fillId="171" borderId="5" xfId="5530" applyNumberFormat="1" applyFont="1" applyFill="1" applyBorder="1" applyAlignment="1">
      <alignment horizontal="center" vertical="center" wrapText="1"/>
    </xf>
    <xf numFmtId="166" fontId="276" fillId="171" borderId="6" xfId="5530" applyNumberFormat="1" applyFont="1" applyFill="1" applyBorder="1" applyAlignment="1">
      <alignment horizontal="center" vertical="center" wrapText="1"/>
    </xf>
    <xf numFmtId="49" fontId="129" fillId="155" borderId="73" xfId="56" applyNumberFormat="1" applyFont="1" applyFill="1" applyBorder="1" applyAlignment="1">
      <alignment horizontal="center" vertical="center" wrapText="1"/>
    </xf>
    <xf numFmtId="0" fontId="127" fillId="155" borderId="73" xfId="56" applyFont="1" applyFill="1" applyBorder="1" applyAlignment="1">
      <alignment horizontal="left" vertical="center" wrapText="1"/>
    </xf>
    <xf numFmtId="0" fontId="129" fillId="155" borderId="73" xfId="56" applyFont="1" applyFill="1" applyBorder="1" applyAlignment="1">
      <alignment horizontal="center" vertical="center" wrapText="1"/>
    </xf>
    <xf numFmtId="0" fontId="127" fillId="155" borderId="73" xfId="56" applyFont="1" applyFill="1" applyBorder="1" applyAlignment="1">
      <alignment horizontal="center" vertical="center" wrapText="1"/>
    </xf>
    <xf numFmtId="0" fontId="135" fillId="0" borderId="77" xfId="56" applyFont="1" applyFill="1" applyBorder="1" applyAlignment="1">
      <alignment horizontal="center" vertical="center"/>
    </xf>
    <xf numFmtId="0" fontId="127" fillId="0" borderId="76" xfId="56" applyFont="1" applyFill="1" applyBorder="1" applyAlignment="1">
      <alignment vertical="center"/>
    </xf>
    <xf numFmtId="0" fontId="135" fillId="0" borderId="76" xfId="56" applyFont="1" applyFill="1" applyBorder="1" applyAlignment="1">
      <alignment horizontal="center" vertical="center"/>
    </xf>
    <xf numFmtId="0" fontId="127" fillId="0" borderId="76" xfId="56" applyFont="1" applyFill="1" applyBorder="1" applyAlignment="1">
      <alignment horizontal="center" vertical="center"/>
    </xf>
    <xf numFmtId="0" fontId="127" fillId="0" borderId="75" xfId="56" applyFont="1" applyFill="1" applyBorder="1" applyAlignment="1">
      <alignment horizontal="center" vertical="center"/>
    </xf>
    <xf numFmtId="0" fontId="135" fillId="0" borderId="3" xfId="56" applyFont="1" applyFill="1" applyBorder="1" applyAlignment="1">
      <alignment horizontal="center" vertical="center"/>
    </xf>
    <xf numFmtId="0" fontId="127" fillId="0" borderId="8" xfId="56" applyFont="1" applyFill="1" applyBorder="1" applyAlignment="1">
      <alignment vertical="center"/>
    </xf>
    <xf numFmtId="0" fontId="135" fillId="0" borderId="8" xfId="56" applyFont="1" applyFill="1" applyBorder="1" applyAlignment="1">
      <alignment horizontal="center" vertical="center"/>
    </xf>
    <xf numFmtId="0" fontId="127" fillId="0" borderId="8" xfId="56" applyFont="1" applyFill="1" applyBorder="1" applyAlignment="1">
      <alignment horizontal="center" vertical="center"/>
    </xf>
    <xf numFmtId="0" fontId="127" fillId="0" borderId="14" xfId="56" applyFont="1" applyFill="1" applyBorder="1" applyAlignment="1">
      <alignment horizontal="center" vertical="center"/>
    </xf>
    <xf numFmtId="49" fontId="121" fillId="0" borderId="6" xfId="56" applyNumberFormat="1" applyFont="1" applyFill="1" applyBorder="1" applyAlignment="1">
      <alignment horizontal="center" vertical="center" wrapText="1"/>
    </xf>
    <xf numFmtId="49" fontId="121" fillId="0" borderId="73" xfId="56" applyNumberFormat="1" applyFont="1" applyFill="1" applyBorder="1" applyAlignment="1">
      <alignment horizontal="center" vertical="center" wrapText="1"/>
    </xf>
    <xf numFmtId="0" fontId="121" fillId="0" borderId="6" xfId="56" applyFont="1" applyFill="1" applyBorder="1" applyAlignment="1">
      <alignment horizontal="left" vertical="center" wrapText="1"/>
    </xf>
    <xf numFmtId="0" fontId="121" fillId="0" borderId="73" xfId="56" applyFont="1" applyFill="1" applyBorder="1" applyAlignment="1">
      <alignment horizontal="left" vertical="center" wrapText="1"/>
    </xf>
    <xf numFmtId="0" fontId="126" fillId="0" borderId="6" xfId="56" applyFont="1" applyFill="1" applyBorder="1" applyAlignment="1">
      <alignment horizontal="center" vertical="center" wrapText="1"/>
    </xf>
    <xf numFmtId="0" fontId="126" fillId="0" borderId="73" xfId="56" applyFont="1" applyFill="1" applyBorder="1" applyAlignment="1">
      <alignment horizontal="center" vertical="center" wrapText="1"/>
    </xf>
    <xf numFmtId="0" fontId="121" fillId="0" borderId="6" xfId="56" applyFont="1" applyFill="1" applyBorder="1" applyAlignment="1">
      <alignment horizontal="center" vertical="center" wrapText="1"/>
    </xf>
    <xf numFmtId="0" fontId="121" fillId="0" borderId="73" xfId="56" applyFont="1" applyFill="1" applyBorder="1" applyAlignment="1">
      <alignment horizontal="center" vertical="center" wrapText="1"/>
    </xf>
    <xf numFmtId="0" fontId="120" fillId="0" borderId="7" xfId="56" applyFont="1" applyBorder="1" applyAlignment="1">
      <alignment horizontal="center" vertical="center" wrapText="1"/>
    </xf>
    <xf numFmtId="0" fontId="134" fillId="0" borderId="7" xfId="56" applyFont="1" applyBorder="1" applyAlignment="1">
      <alignment horizontal="center" vertical="center" wrapText="1"/>
    </xf>
    <xf numFmtId="49" fontId="126" fillId="155" borderId="73" xfId="56" applyNumberFormat="1" applyFont="1" applyFill="1" applyBorder="1" applyAlignment="1">
      <alignment horizontal="center" vertical="center" wrapText="1"/>
    </xf>
    <xf numFmtId="0" fontId="126" fillId="155" borderId="73" xfId="56" applyFont="1" applyFill="1" applyBorder="1" applyAlignment="1">
      <alignment horizontal="center" vertical="center" wrapText="1"/>
    </xf>
    <xf numFmtId="0" fontId="121" fillId="155" borderId="73" xfId="56" applyFont="1" applyFill="1" applyBorder="1" applyAlignment="1">
      <alignment horizontal="center" vertical="center" wrapText="1"/>
    </xf>
    <xf numFmtId="49" fontId="129" fillId="0" borderId="74" xfId="56" applyNumberFormat="1" applyFont="1" applyFill="1" applyBorder="1" applyAlignment="1">
      <alignment horizontal="center" vertical="center" wrapText="1"/>
    </xf>
    <xf numFmtId="49" fontId="129" fillId="0" borderId="5" xfId="56" applyNumberFormat="1" applyFont="1" applyFill="1" applyBorder="1" applyAlignment="1">
      <alignment horizontal="center" vertical="center" wrapText="1"/>
    </xf>
    <xf numFmtId="49" fontId="129" fillId="0" borderId="6" xfId="56" applyNumberFormat="1" applyFont="1" applyFill="1" applyBorder="1" applyAlignment="1">
      <alignment horizontal="center" vertical="center" wrapText="1"/>
    </xf>
    <xf numFmtId="0" fontId="127" fillId="0" borderId="74" xfId="56" applyFont="1" applyFill="1" applyBorder="1" applyAlignment="1">
      <alignment horizontal="left" vertical="center" wrapText="1"/>
    </xf>
    <xf numFmtId="0" fontId="127" fillId="0" borderId="5" xfId="56" applyFont="1" applyFill="1" applyBorder="1" applyAlignment="1">
      <alignment horizontal="left" vertical="center" wrapText="1"/>
    </xf>
    <xf numFmtId="0" fontId="127" fillId="0" borderId="6" xfId="56" applyFont="1" applyFill="1" applyBorder="1" applyAlignment="1">
      <alignment horizontal="left" vertical="center" wrapText="1"/>
    </xf>
    <xf numFmtId="0" fontId="129" fillId="0" borderId="74" xfId="56" applyFont="1" applyFill="1" applyBorder="1" applyAlignment="1">
      <alignment horizontal="center" vertical="center" wrapText="1"/>
    </xf>
    <xf numFmtId="0" fontId="129" fillId="0" borderId="5" xfId="56" applyFont="1" applyFill="1" applyBorder="1" applyAlignment="1">
      <alignment horizontal="center" vertical="center" wrapText="1"/>
    </xf>
    <xf numFmtId="0" fontId="129" fillId="0" borderId="6" xfId="56" applyFont="1" applyFill="1" applyBorder="1" applyAlignment="1">
      <alignment horizontal="center" vertical="center" wrapText="1"/>
    </xf>
    <xf numFmtId="0" fontId="127" fillId="0" borderId="74" xfId="56" applyFont="1" applyFill="1" applyBorder="1" applyAlignment="1">
      <alignment horizontal="center" vertical="center" wrapText="1"/>
    </xf>
    <xf numFmtId="0" fontId="127" fillId="0" borderId="5" xfId="56" applyFont="1" applyFill="1" applyBorder="1" applyAlignment="1">
      <alignment horizontal="center" vertical="center" wrapText="1"/>
    </xf>
    <xf numFmtId="0" fontId="127" fillId="0" borderId="6" xfId="56" applyFont="1" applyFill="1" applyBorder="1" applyAlignment="1">
      <alignment horizontal="center" vertical="center" wrapText="1"/>
    </xf>
    <xf numFmtId="49" fontId="126" fillId="0" borderId="74" xfId="56" applyNumberFormat="1" applyFont="1" applyFill="1" applyBorder="1" applyAlignment="1">
      <alignment horizontal="center" vertical="center" wrapText="1"/>
    </xf>
    <xf numFmtId="49" fontId="126" fillId="0" borderId="5" xfId="56" applyNumberFormat="1" applyFont="1" applyFill="1" applyBorder="1" applyAlignment="1">
      <alignment horizontal="center" vertical="center" wrapText="1"/>
    </xf>
    <xf numFmtId="49" fontId="126" fillId="0" borderId="6" xfId="56" applyNumberFormat="1" applyFont="1" applyFill="1" applyBorder="1" applyAlignment="1">
      <alignment horizontal="center" vertical="center" wrapText="1"/>
    </xf>
    <xf numFmtId="0" fontId="121" fillId="0" borderId="74" xfId="56" applyFont="1" applyFill="1" applyBorder="1" applyAlignment="1">
      <alignment horizontal="left" vertical="center" wrapText="1"/>
    </xf>
    <xf numFmtId="0" fontId="121" fillId="0" borderId="5" xfId="56" applyFont="1" applyFill="1" applyBorder="1" applyAlignment="1">
      <alignment horizontal="left" vertical="center" wrapText="1"/>
    </xf>
    <xf numFmtId="0" fontId="126" fillId="0" borderId="74" xfId="56" applyFont="1" applyFill="1" applyBorder="1" applyAlignment="1">
      <alignment horizontal="center" vertical="center" wrapText="1"/>
    </xf>
    <xf numFmtId="0" fontId="126" fillId="0" borderId="5" xfId="56" applyFont="1" applyFill="1" applyBorder="1" applyAlignment="1">
      <alignment horizontal="center" vertical="center" wrapText="1"/>
    </xf>
    <xf numFmtId="0" fontId="121" fillId="0" borderId="74" xfId="56" applyFont="1" applyFill="1" applyBorder="1" applyAlignment="1">
      <alignment horizontal="center" vertical="center" wrapText="1"/>
    </xf>
    <xf numFmtId="0" fontId="121" fillId="0" borderId="5" xfId="56" applyFont="1" applyFill="1" applyBorder="1" applyAlignment="1">
      <alignment horizontal="center" vertical="center" wrapText="1"/>
    </xf>
    <xf numFmtId="0" fontId="120" fillId="0" borderId="7" xfId="56" applyFont="1" applyBorder="1" applyAlignment="1">
      <alignment horizontal="center" wrapText="1"/>
    </xf>
    <xf numFmtId="49" fontId="129" fillId="155" borderId="74" xfId="56" applyNumberFormat="1" applyFont="1" applyFill="1" applyBorder="1" applyAlignment="1">
      <alignment horizontal="center" vertical="center" wrapText="1"/>
    </xf>
    <xf numFmtId="49" fontId="129" fillId="155" borderId="5" xfId="56" applyNumberFormat="1" applyFont="1" applyFill="1" applyBorder="1" applyAlignment="1">
      <alignment horizontal="center" vertical="center" wrapText="1"/>
    </xf>
    <xf numFmtId="49" fontId="129" fillId="155" borderId="6" xfId="56" applyNumberFormat="1" applyFont="1" applyFill="1" applyBorder="1" applyAlignment="1">
      <alignment horizontal="center" vertical="center" wrapText="1"/>
    </xf>
    <xf numFmtId="0" fontId="127" fillId="155" borderId="74" xfId="56" applyFont="1" applyFill="1" applyBorder="1" applyAlignment="1">
      <alignment horizontal="left" vertical="center" wrapText="1"/>
    </xf>
    <xf numFmtId="0" fontId="127" fillId="155" borderId="5" xfId="56" applyFont="1" applyFill="1" applyBorder="1" applyAlignment="1">
      <alignment horizontal="left" vertical="center" wrapText="1"/>
    </xf>
    <xf numFmtId="0" fontId="127" fillId="155" borderId="6" xfId="56" applyFont="1" applyFill="1" applyBorder="1" applyAlignment="1">
      <alignment horizontal="left" vertical="center" wrapText="1"/>
    </xf>
    <xf numFmtId="0" fontId="126" fillId="155" borderId="74" xfId="56" applyFont="1" applyFill="1" applyBorder="1" applyAlignment="1">
      <alignment horizontal="center" vertical="center" wrapText="1"/>
    </xf>
    <xf numFmtId="0" fontId="126" fillId="155" borderId="5" xfId="56" applyFont="1" applyFill="1" applyBorder="1" applyAlignment="1">
      <alignment horizontal="center" vertical="center" wrapText="1"/>
    </xf>
    <xf numFmtId="0" fontId="126" fillId="155" borderId="6" xfId="56" applyFont="1" applyFill="1" applyBorder="1" applyAlignment="1">
      <alignment horizontal="center" vertical="center" wrapText="1"/>
    </xf>
    <xf numFmtId="0" fontId="127" fillId="155" borderId="74" xfId="56" applyFont="1" applyFill="1" applyBorder="1" applyAlignment="1">
      <alignment horizontal="center" vertical="center" wrapText="1"/>
    </xf>
    <xf numFmtId="0" fontId="121" fillId="155" borderId="5" xfId="56" applyFont="1" applyFill="1" applyBorder="1" applyAlignment="1">
      <alignment horizontal="center" vertical="center" wrapText="1"/>
    </xf>
    <xf numFmtId="0" fontId="121" fillId="155" borderId="6" xfId="56" applyFont="1" applyFill="1" applyBorder="1" applyAlignment="1">
      <alignment horizontal="center" vertical="center" wrapText="1"/>
    </xf>
    <xf numFmtId="0" fontId="127" fillId="155" borderId="5" xfId="56" applyFont="1" applyFill="1" applyBorder="1" applyAlignment="1">
      <alignment horizontal="center" vertical="center" wrapText="1"/>
    </xf>
    <xf numFmtId="0" fontId="127" fillId="155" borderId="6" xfId="56" applyFont="1" applyFill="1" applyBorder="1" applyAlignment="1">
      <alignment horizontal="center" vertical="center" wrapText="1"/>
    </xf>
    <xf numFmtId="0" fontId="121" fillId="155" borderId="73" xfId="56" applyFont="1" applyFill="1" applyBorder="1" applyAlignment="1">
      <alignment horizontal="left" vertical="center" wrapText="1"/>
    </xf>
    <xf numFmtId="0" fontId="121" fillId="155" borderId="74" xfId="56" applyFont="1" applyFill="1" applyBorder="1" applyAlignment="1">
      <alignment horizontal="center" vertical="center" wrapText="1"/>
    </xf>
    <xf numFmtId="49" fontId="126" fillId="155" borderId="74" xfId="56" applyNumberFormat="1" applyFont="1" applyFill="1" applyBorder="1" applyAlignment="1">
      <alignment horizontal="center" vertical="center" wrapText="1"/>
    </xf>
    <xf numFmtId="49" fontId="126" fillId="155" borderId="5" xfId="56" applyNumberFormat="1" applyFont="1" applyFill="1" applyBorder="1" applyAlignment="1">
      <alignment horizontal="center" vertical="center" wrapText="1"/>
    </xf>
    <xf numFmtId="49" fontId="126" fillId="155" borderId="6" xfId="56" applyNumberFormat="1" applyFont="1" applyFill="1" applyBorder="1" applyAlignment="1">
      <alignment horizontal="center" vertical="center" wrapText="1"/>
    </xf>
    <xf numFmtId="0" fontId="121" fillId="155" borderId="74" xfId="56" applyFont="1" applyFill="1" applyBorder="1" applyAlignment="1">
      <alignment horizontal="left" vertical="center" wrapText="1"/>
    </xf>
    <xf numFmtId="0" fontId="121" fillId="155" borderId="5" xfId="56" applyFont="1" applyFill="1" applyBorder="1" applyAlignment="1">
      <alignment horizontal="left" vertical="center" wrapText="1"/>
    </xf>
    <xf numFmtId="0" fontId="121" fillId="155" borderId="6" xfId="56" applyFont="1" applyFill="1" applyBorder="1" applyAlignment="1">
      <alignment horizontal="left" vertical="center" wrapText="1"/>
    </xf>
    <xf numFmtId="0" fontId="30" fillId="155" borderId="74" xfId="56" applyFont="1" applyFill="1" applyBorder="1" applyAlignment="1">
      <alignment horizontal="left" vertical="center" wrapText="1"/>
    </xf>
    <xf numFmtId="0" fontId="30" fillId="155" borderId="74" xfId="56" applyFont="1" applyFill="1" applyBorder="1" applyAlignment="1">
      <alignment horizontal="center" vertical="center" wrapText="1"/>
    </xf>
    <xf numFmtId="0" fontId="129" fillId="155" borderId="74" xfId="56" applyFont="1" applyFill="1" applyBorder="1" applyAlignment="1">
      <alignment horizontal="center" vertical="center" wrapText="1"/>
    </xf>
    <xf numFmtId="0" fontId="129" fillId="155" borderId="5" xfId="56" applyFont="1" applyFill="1" applyBorder="1" applyAlignment="1">
      <alignment horizontal="center" vertical="center" wrapText="1"/>
    </xf>
    <xf numFmtId="0" fontId="129" fillId="155" borderId="6" xfId="56" applyFont="1" applyFill="1" applyBorder="1" applyAlignment="1">
      <alignment horizontal="center" vertical="center" wrapText="1"/>
    </xf>
    <xf numFmtId="49" fontId="126" fillId="0" borderId="73" xfId="56" applyNumberFormat="1" applyFont="1" applyFill="1" applyBorder="1" applyAlignment="1">
      <alignment horizontal="center" vertical="center" wrapText="1"/>
    </xf>
    <xf numFmtId="0" fontId="121" fillId="0" borderId="74" xfId="56" quotePrefix="1" applyFont="1" applyFill="1" applyBorder="1" applyAlignment="1">
      <alignment horizontal="left" vertical="center" wrapText="1"/>
    </xf>
    <xf numFmtId="49" fontId="129" fillId="0" borderId="73" xfId="56" applyNumberFormat="1" applyFont="1" applyFill="1" applyBorder="1" applyAlignment="1">
      <alignment horizontal="center" vertical="center" wrapText="1"/>
    </xf>
    <xf numFmtId="0" fontId="127" fillId="0" borderId="73" xfId="56" applyFont="1" applyFill="1" applyBorder="1" applyAlignment="1">
      <alignment horizontal="left" vertical="center" wrapText="1"/>
    </xf>
    <xf numFmtId="0" fontId="129" fillId="0" borderId="73" xfId="56" applyFont="1" applyFill="1" applyBorder="1" applyAlignment="1">
      <alignment horizontal="center" vertical="center" wrapText="1"/>
    </xf>
    <xf numFmtId="0" fontId="127" fillId="0" borderId="73" xfId="56" applyFont="1" applyFill="1" applyBorder="1" applyAlignment="1">
      <alignment horizontal="center" vertical="center" wrapText="1"/>
    </xf>
    <xf numFmtId="0" fontId="121" fillId="5" borderId="74" xfId="56" applyFont="1" applyFill="1" applyBorder="1" applyAlignment="1">
      <alignment horizontal="left" vertical="center" wrapText="1"/>
    </xf>
    <xf numFmtId="0" fontId="121" fillId="5" borderId="5" xfId="56" applyFont="1" applyFill="1" applyBorder="1" applyAlignment="1">
      <alignment horizontal="left" vertical="center" wrapText="1"/>
    </xf>
    <xf numFmtId="0" fontId="121" fillId="5" borderId="6" xfId="56" applyFont="1" applyFill="1" applyBorder="1" applyAlignment="1">
      <alignment horizontal="left" vertical="center" wrapText="1"/>
    </xf>
    <xf numFmtId="0" fontId="119" fillId="155" borderId="5" xfId="56" applyFill="1" applyBorder="1"/>
    <xf numFmtId="0" fontId="119" fillId="155" borderId="6" xfId="56" applyFill="1" applyBorder="1"/>
    <xf numFmtId="0" fontId="30" fillId="155" borderId="73" xfId="56" applyFont="1" applyFill="1" applyBorder="1" applyAlignment="1">
      <alignment horizontal="center" vertical="center" wrapText="1"/>
    </xf>
    <xf numFmtId="0" fontId="123" fillId="0" borderId="7" xfId="56" applyFont="1" applyBorder="1" applyAlignment="1">
      <alignment horizontal="center" vertical="center" wrapText="1"/>
    </xf>
    <xf numFmtId="0" fontId="130" fillId="155" borderId="73" xfId="56" applyFont="1" applyFill="1" applyBorder="1" applyAlignment="1">
      <alignment horizontal="center" vertical="center"/>
    </xf>
    <xf numFmtId="0" fontId="74" fillId="0" borderId="0" xfId="13" applyNumberFormat="1" applyProtection="1">
      <alignment horizontal="right" vertical="top" wrapText="1"/>
    </xf>
    <xf numFmtId="0" fontId="74" fillId="0" borderId="0" xfId="13">
      <alignment horizontal="right" vertical="top" wrapText="1"/>
    </xf>
    <xf numFmtId="0" fontId="74" fillId="0" borderId="0" xfId="52" applyNumberFormat="1" applyProtection="1">
      <alignment horizontal="left" vertical="top" wrapText="1"/>
    </xf>
    <xf numFmtId="0" fontId="74" fillId="0" borderId="0" xfId="52">
      <alignment horizontal="left" vertical="top" wrapText="1"/>
    </xf>
    <xf numFmtId="0" fontId="19" fillId="2" borderId="0" xfId="0" applyFont="1" applyFill="1" applyAlignment="1">
      <alignment wrapText="1"/>
    </xf>
    <xf numFmtId="0" fontId="17" fillId="157" borderId="4" xfId="0" applyNumberFormat="1" applyFont="1" applyFill="1" applyBorder="1" applyAlignment="1">
      <alignment horizontal="center" vertical="center" wrapText="1"/>
    </xf>
    <xf numFmtId="0" fontId="17" fillId="157" borderId="5" xfId="0" applyNumberFormat="1" applyFont="1" applyFill="1" applyBorder="1" applyAlignment="1">
      <alignment horizontal="center" vertical="center" wrapText="1"/>
    </xf>
    <xf numFmtId="0" fontId="17" fillId="157" borderId="6" xfId="0" applyNumberFormat="1" applyFont="1" applyFill="1" applyBorder="1" applyAlignment="1">
      <alignment horizontal="center" vertical="center" wrapText="1"/>
    </xf>
    <xf numFmtId="0" fontId="22" fillId="157" borderId="4" xfId="0" applyNumberFormat="1" applyFont="1" applyFill="1" applyBorder="1" applyAlignment="1">
      <alignment horizontal="center" vertical="center" wrapText="1"/>
    </xf>
    <xf numFmtId="0" fontId="22" fillId="157" borderId="5" xfId="0" applyNumberFormat="1" applyFont="1" applyFill="1" applyBorder="1" applyAlignment="1">
      <alignment horizontal="center" vertical="center" wrapText="1"/>
    </xf>
    <xf numFmtId="0" fontId="22" fillId="157" borderId="6" xfId="0" applyNumberFormat="1" applyFont="1" applyFill="1" applyBorder="1" applyAlignment="1">
      <alignment horizontal="center" vertical="center" wrapText="1"/>
    </xf>
    <xf numFmtId="0" fontId="22" fillId="12" borderId="4" xfId="0" applyNumberFormat="1" applyFont="1" applyFill="1" applyBorder="1" applyAlignment="1">
      <alignment horizontal="left" vertical="center" wrapText="1"/>
    </xf>
    <xf numFmtId="0" fontId="22" fillId="12" borderId="5" xfId="0" applyNumberFormat="1" applyFont="1" applyFill="1" applyBorder="1" applyAlignment="1">
      <alignment horizontal="left" vertical="center" wrapText="1"/>
    </xf>
    <xf numFmtId="0" fontId="22" fillId="12" borderId="6" xfId="0" applyNumberFormat="1" applyFont="1" applyFill="1" applyBorder="1" applyAlignment="1">
      <alignment horizontal="left" vertical="center" wrapText="1"/>
    </xf>
    <xf numFmtId="0" fontId="17" fillId="12" borderId="2" xfId="0" applyFont="1" applyFill="1" applyBorder="1" applyAlignment="1">
      <alignment horizontal="center"/>
    </xf>
    <xf numFmtId="0" fontId="17" fillId="12" borderId="7" xfId="0" applyFont="1" applyFill="1" applyBorder="1" applyAlignment="1">
      <alignment horizontal="center"/>
    </xf>
    <xf numFmtId="0" fontId="17" fillId="12" borderId="3" xfId="0" applyFont="1" applyFill="1" applyBorder="1" applyAlignment="1">
      <alignment horizontal="center"/>
    </xf>
    <xf numFmtId="0" fontId="1" fillId="12" borderId="4" xfId="0" applyFont="1" applyFill="1" applyBorder="1" applyAlignment="1">
      <alignment horizontal="center" vertical="center" wrapText="1"/>
    </xf>
    <xf numFmtId="0" fontId="1" fillId="12" borderId="5" xfId="0" applyFont="1" applyFill="1" applyBorder="1" applyAlignment="1">
      <alignment horizontal="center" vertical="center" wrapText="1"/>
    </xf>
    <xf numFmtId="0" fontId="1" fillId="12" borderId="6" xfId="0" applyFont="1" applyFill="1" applyBorder="1" applyAlignment="1">
      <alignment horizontal="center" vertical="center" wrapText="1"/>
    </xf>
    <xf numFmtId="0" fontId="0" fillId="12" borderId="4" xfId="0" applyFont="1" applyFill="1" applyBorder="1" applyAlignment="1">
      <alignment horizontal="center" vertical="center"/>
    </xf>
    <xf numFmtId="0" fontId="0" fillId="12" borderId="5" xfId="0" applyFont="1" applyFill="1" applyBorder="1" applyAlignment="1">
      <alignment horizontal="center" vertical="center"/>
    </xf>
    <xf numFmtId="0" fontId="0" fillId="12" borderId="6" xfId="0" applyFont="1" applyFill="1" applyBorder="1" applyAlignment="1">
      <alignment horizontal="center" vertical="center"/>
    </xf>
    <xf numFmtId="0" fontId="22" fillId="26" borderId="4" xfId="0" applyNumberFormat="1" applyFont="1" applyFill="1" applyBorder="1" applyAlignment="1">
      <alignment horizontal="left" vertical="center" wrapText="1"/>
    </xf>
    <xf numFmtId="0" fontId="22" fillId="26" borderId="5" xfId="0" applyNumberFormat="1" applyFont="1" applyFill="1" applyBorder="1" applyAlignment="1">
      <alignment horizontal="left" vertical="center" wrapText="1"/>
    </xf>
    <xf numFmtId="0" fontId="22" fillId="26" borderId="6" xfId="0" applyNumberFormat="1" applyFont="1" applyFill="1" applyBorder="1" applyAlignment="1">
      <alignment horizontal="left" vertical="center" wrapText="1"/>
    </xf>
    <xf numFmtId="0" fontId="22" fillId="26" borderId="2" xfId="0" applyFont="1" applyFill="1" applyBorder="1" applyAlignment="1">
      <alignment horizontal="center"/>
    </xf>
    <xf numFmtId="0" fontId="22" fillId="26" borderId="7" xfId="0" applyFont="1" applyFill="1" applyBorder="1" applyAlignment="1">
      <alignment horizontal="center"/>
    </xf>
    <xf numFmtId="0" fontId="22" fillId="26" borderId="3" xfId="0" applyFont="1" applyFill="1" applyBorder="1" applyAlignment="1">
      <alignment horizontal="center"/>
    </xf>
    <xf numFmtId="0" fontId="38" fillId="26" borderId="4" xfId="0" applyFont="1" applyFill="1" applyBorder="1" applyAlignment="1">
      <alignment horizontal="center" vertical="center" wrapText="1"/>
    </xf>
    <xf numFmtId="0" fontId="38" fillId="26" borderId="5" xfId="0" applyFont="1" applyFill="1" applyBorder="1" applyAlignment="1">
      <alignment horizontal="center" vertical="center" wrapText="1"/>
    </xf>
    <xf numFmtId="0" fontId="38" fillId="26" borderId="6" xfId="0" applyFont="1" applyFill="1" applyBorder="1" applyAlignment="1">
      <alignment horizontal="center" vertical="center" wrapText="1"/>
    </xf>
    <xf numFmtId="0" fontId="1" fillId="26" borderId="4" xfId="0" applyFont="1" applyFill="1" applyBorder="1" applyAlignment="1">
      <alignment horizontal="center" vertical="center" wrapText="1"/>
    </xf>
    <xf numFmtId="0" fontId="1" fillId="26" borderId="5" xfId="0" applyFont="1" applyFill="1" applyBorder="1" applyAlignment="1">
      <alignment horizontal="center" vertical="center" wrapText="1"/>
    </xf>
    <xf numFmtId="0" fontId="1" fillId="26" borderId="6" xfId="0" applyFont="1" applyFill="1" applyBorder="1" applyAlignment="1">
      <alignment horizontal="center" vertical="center" wrapText="1"/>
    </xf>
    <xf numFmtId="0" fontId="0" fillId="26" borderId="4" xfId="0" applyFont="1" applyFill="1" applyBorder="1" applyAlignment="1">
      <alignment horizontal="center" vertical="center"/>
    </xf>
    <xf numFmtId="0" fontId="0" fillId="26" borderId="5" xfId="0" applyFont="1" applyFill="1" applyBorder="1" applyAlignment="1">
      <alignment horizontal="center" vertical="center"/>
    </xf>
    <xf numFmtId="0" fontId="0" fillId="26" borderId="6" xfId="0" applyFont="1" applyFill="1" applyBorder="1" applyAlignment="1">
      <alignment horizontal="center" vertical="center"/>
    </xf>
    <xf numFmtId="0" fontId="1" fillId="5" borderId="4" xfId="0" applyFont="1" applyFill="1" applyBorder="1" applyAlignment="1">
      <alignment vertical="center" wrapText="1"/>
    </xf>
    <xf numFmtId="0" fontId="1" fillId="5" borderId="5" xfId="0" applyFont="1" applyFill="1" applyBorder="1" applyAlignment="1">
      <alignment vertical="center" wrapText="1"/>
    </xf>
    <xf numFmtId="0" fontId="1" fillId="5" borderId="6" xfId="0" applyFont="1" applyFill="1" applyBorder="1" applyAlignment="1">
      <alignment vertical="center" wrapText="1"/>
    </xf>
    <xf numFmtId="0" fontId="20" fillId="157" borderId="4" xfId="0" applyNumberFormat="1" applyFont="1" applyFill="1" applyBorder="1" applyAlignment="1">
      <alignment horizontal="center" vertical="center" wrapText="1"/>
    </xf>
    <xf numFmtId="0" fontId="20" fillId="157" borderId="5" xfId="0" applyNumberFormat="1" applyFont="1" applyFill="1" applyBorder="1" applyAlignment="1">
      <alignment horizontal="center" vertical="center" wrapText="1"/>
    </xf>
    <xf numFmtId="0" fontId="20" fillId="157" borderId="6" xfId="0" applyNumberFormat="1" applyFont="1" applyFill="1" applyBorder="1" applyAlignment="1">
      <alignment horizontal="center" vertical="center" wrapText="1"/>
    </xf>
    <xf numFmtId="0" fontId="20" fillId="160" borderId="4" xfId="0" applyNumberFormat="1" applyFont="1" applyFill="1" applyBorder="1" applyAlignment="1">
      <alignment horizontal="center" vertical="center" wrapText="1"/>
    </xf>
    <xf numFmtId="0" fontId="20" fillId="160" borderId="5" xfId="0" applyNumberFormat="1" applyFont="1" applyFill="1" applyBorder="1" applyAlignment="1">
      <alignment horizontal="center" vertical="center" wrapText="1"/>
    </xf>
    <xf numFmtId="0" fontId="20" fillId="160" borderId="6" xfId="0" applyNumberFormat="1" applyFont="1" applyFill="1" applyBorder="1" applyAlignment="1">
      <alignment horizontal="center" vertical="center" wrapText="1"/>
    </xf>
    <xf numFmtId="0" fontId="32" fillId="156" borderId="4" xfId="0" applyFont="1" applyFill="1" applyBorder="1" applyAlignment="1">
      <alignment horizontal="center" vertical="center" wrapText="1"/>
    </xf>
    <xf numFmtId="0" fontId="32" fillId="156" borderId="5" xfId="0" applyFont="1" applyFill="1" applyBorder="1" applyAlignment="1">
      <alignment horizontal="center" vertical="center" wrapText="1"/>
    </xf>
    <xf numFmtId="0" fontId="32" fillId="156" borderId="6" xfId="0" applyFont="1" applyFill="1" applyBorder="1" applyAlignment="1">
      <alignment horizontal="center" vertical="center" wrapText="1"/>
    </xf>
    <xf numFmtId="0" fontId="27" fillId="5" borderId="4" xfId="0" applyFont="1" applyFill="1" applyBorder="1" applyAlignment="1">
      <alignment horizontal="center" vertical="top" wrapText="1"/>
    </xf>
    <xf numFmtId="0" fontId="27" fillId="5" borderId="5" xfId="0" applyFont="1" applyFill="1" applyBorder="1" applyAlignment="1">
      <alignment horizontal="center" vertical="top" wrapText="1"/>
    </xf>
    <xf numFmtId="0" fontId="27" fillId="5" borderId="6" xfId="0" applyFont="1" applyFill="1" applyBorder="1" applyAlignment="1">
      <alignment horizontal="center" vertical="top" wrapText="1"/>
    </xf>
    <xf numFmtId="0" fontId="27" fillId="156" borderId="4" xfId="0" applyFont="1" applyFill="1" applyBorder="1" applyAlignment="1">
      <alignment horizontal="center" vertical="center" wrapText="1"/>
    </xf>
    <xf numFmtId="0" fontId="27" fillId="156" borderId="5" xfId="0" applyFont="1" applyFill="1" applyBorder="1" applyAlignment="1">
      <alignment horizontal="center" vertical="center" wrapText="1"/>
    </xf>
    <xf numFmtId="0" fontId="27" fillId="156" borderId="6" xfId="0" applyFont="1" applyFill="1" applyBorder="1" applyAlignment="1">
      <alignment horizontal="center" vertical="center" wrapText="1"/>
    </xf>
    <xf numFmtId="0" fontId="1" fillId="156" borderId="1" xfId="0" applyFont="1" applyFill="1" applyBorder="1" applyAlignment="1">
      <alignment horizontal="center" vertical="center" wrapText="1"/>
    </xf>
    <xf numFmtId="0" fontId="8" fillId="157" borderId="4" xfId="0" applyNumberFormat="1" applyFont="1" applyFill="1" applyBorder="1" applyAlignment="1">
      <alignment horizontal="center" vertical="center" wrapText="1"/>
    </xf>
    <xf numFmtId="0" fontId="8" fillId="157" borderId="5" xfId="0" applyNumberFormat="1" applyFont="1" applyFill="1" applyBorder="1" applyAlignment="1">
      <alignment horizontal="center" vertical="center" wrapText="1"/>
    </xf>
    <xf numFmtId="0" fontId="8" fillId="157" borderId="6" xfId="0" applyNumberFormat="1" applyFont="1" applyFill="1" applyBorder="1" applyAlignment="1">
      <alignment horizontal="center" vertical="center" wrapText="1"/>
    </xf>
    <xf numFmtId="0" fontId="17" fillId="160" borderId="4" xfId="0" applyNumberFormat="1" applyFont="1" applyFill="1" applyBorder="1" applyAlignment="1">
      <alignment horizontal="center" vertical="center" wrapText="1"/>
    </xf>
    <xf numFmtId="0" fontId="17" fillId="160" borderId="5" xfId="0" applyNumberFormat="1" applyFont="1" applyFill="1" applyBorder="1" applyAlignment="1">
      <alignment horizontal="center" vertical="center" wrapText="1"/>
    </xf>
    <xf numFmtId="0" fontId="17" fillId="160" borderId="6" xfId="0" applyNumberFormat="1"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0" fillId="156" borderId="4" xfId="0" applyFont="1" applyFill="1" applyBorder="1" applyAlignment="1">
      <alignment horizontal="center" vertical="center"/>
    </xf>
    <xf numFmtId="0" fontId="0" fillId="156" borderId="5" xfId="0" applyFont="1" applyFill="1" applyBorder="1" applyAlignment="1">
      <alignment horizontal="center" vertical="center"/>
    </xf>
    <xf numFmtId="0" fontId="0" fillId="156" borderId="6" xfId="0" applyFont="1" applyFill="1" applyBorder="1" applyAlignment="1">
      <alignment horizontal="center" vertical="center"/>
    </xf>
    <xf numFmtId="0" fontId="60" fillId="157" borderId="4" xfId="0" applyNumberFormat="1" applyFont="1" applyFill="1" applyBorder="1" applyAlignment="1">
      <alignment horizontal="center" vertical="center" wrapText="1"/>
    </xf>
    <xf numFmtId="0" fontId="60" fillId="157" borderId="5" xfId="0" applyNumberFormat="1" applyFont="1" applyFill="1" applyBorder="1" applyAlignment="1">
      <alignment horizontal="center" vertical="center" wrapText="1"/>
    </xf>
    <xf numFmtId="0" fontId="60" fillId="157" borderId="6" xfId="0" applyNumberFormat="1" applyFont="1" applyFill="1" applyBorder="1" applyAlignment="1">
      <alignment horizontal="center" vertical="center" wrapText="1"/>
    </xf>
    <xf numFmtId="0" fontId="22" fillId="160" borderId="4" xfId="0" applyNumberFormat="1" applyFont="1" applyFill="1" applyBorder="1" applyAlignment="1">
      <alignment horizontal="center" vertical="center" wrapText="1"/>
    </xf>
    <xf numFmtId="0" fontId="22" fillId="160" borderId="5" xfId="0" applyNumberFormat="1" applyFont="1" applyFill="1" applyBorder="1" applyAlignment="1">
      <alignment horizontal="center" vertical="center" wrapText="1"/>
    </xf>
    <xf numFmtId="0" fontId="22" fillId="160" borderId="6" xfId="0" applyNumberFormat="1" applyFont="1" applyFill="1" applyBorder="1" applyAlignment="1">
      <alignment horizontal="center" vertical="center" wrapText="1"/>
    </xf>
    <xf numFmtId="0" fontId="17" fillId="12" borderId="4"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17" fillId="12" borderId="6" xfId="0" applyFont="1" applyFill="1" applyBorder="1" applyAlignment="1">
      <alignment horizontal="center" vertical="center" wrapText="1"/>
    </xf>
    <xf numFmtId="49" fontId="10" fillId="157" borderId="4" xfId="0" applyNumberFormat="1" applyFont="1" applyFill="1" applyBorder="1" applyAlignment="1">
      <alignment horizontal="center" vertical="center" wrapText="1"/>
    </xf>
    <xf numFmtId="49" fontId="10" fillId="157" borderId="5" xfId="0" applyNumberFormat="1" applyFont="1" applyFill="1" applyBorder="1" applyAlignment="1">
      <alignment horizontal="center" vertical="center" wrapText="1"/>
    </xf>
    <xf numFmtId="49" fontId="10" fillId="157" borderId="6" xfId="0" applyNumberFormat="1" applyFont="1" applyFill="1" applyBorder="1" applyAlignment="1">
      <alignment horizontal="center" vertical="center" wrapText="1"/>
    </xf>
    <xf numFmtId="0" fontId="32" fillId="156" borderId="1"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5" borderId="5" xfId="0" applyFont="1" applyFill="1" applyBorder="1" applyAlignment="1">
      <alignment horizontal="center" vertical="center" wrapText="1"/>
    </xf>
    <xf numFmtId="0" fontId="27" fillId="5" borderId="6" xfId="0" applyFont="1" applyFill="1" applyBorder="1" applyAlignment="1">
      <alignment horizontal="center" vertical="center" wrapText="1"/>
    </xf>
    <xf numFmtId="0" fontId="1" fillId="156" borderId="4" xfId="0" applyFont="1" applyFill="1" applyBorder="1" applyAlignment="1">
      <alignment horizontal="center" vertical="center" wrapText="1"/>
    </xf>
    <xf numFmtId="0" fontId="1" fillId="156" borderId="5" xfId="0" applyFont="1" applyFill="1" applyBorder="1" applyAlignment="1">
      <alignment horizontal="center" vertical="center" wrapText="1"/>
    </xf>
    <xf numFmtId="0" fontId="1" fillId="156" borderId="6"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27" fillId="156" borderId="1" xfId="0" applyFont="1" applyFill="1" applyBorder="1" applyAlignment="1">
      <alignment horizontal="center" vertical="center" wrapText="1"/>
    </xf>
    <xf numFmtId="0" fontId="20" fillId="160" borderId="4" xfId="0" applyNumberFormat="1" applyFont="1" applyFill="1" applyBorder="1" applyAlignment="1">
      <alignment horizontal="left" vertical="center" wrapText="1"/>
    </xf>
    <xf numFmtId="0" fontId="20" fillId="160" borderId="5" xfId="0" applyNumberFormat="1" applyFont="1" applyFill="1" applyBorder="1" applyAlignment="1">
      <alignment horizontal="left" vertical="center" wrapText="1"/>
    </xf>
    <xf numFmtId="0" fontId="20" fillId="160" borderId="6" xfId="0" applyNumberFormat="1" applyFont="1" applyFill="1" applyBorder="1" applyAlignment="1">
      <alignment horizontal="left" vertical="center" wrapText="1"/>
    </xf>
    <xf numFmtId="0" fontId="0" fillId="156" borderId="1" xfId="0" applyFont="1" applyFill="1" applyBorder="1" applyAlignment="1">
      <alignment horizontal="center" vertical="center"/>
    </xf>
    <xf numFmtId="0" fontId="32" fillId="159" borderId="4" xfId="0" applyFont="1" applyFill="1" applyBorder="1" applyAlignment="1">
      <alignment horizontal="center" vertical="center" wrapText="1"/>
    </xf>
    <xf numFmtId="0" fontId="32" fillId="159" borderId="5" xfId="0" applyFont="1" applyFill="1" applyBorder="1" applyAlignment="1">
      <alignment horizontal="center" vertical="center" wrapText="1"/>
    </xf>
    <xf numFmtId="0" fontId="32" fillId="159" borderId="6"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1" fillId="159" borderId="4" xfId="0" applyFont="1" applyFill="1" applyBorder="1" applyAlignment="1">
      <alignment horizontal="center" vertical="center" wrapText="1"/>
    </xf>
    <xf numFmtId="0" fontId="1" fillId="159" borderId="5" xfId="0" applyFont="1" applyFill="1" applyBorder="1" applyAlignment="1">
      <alignment horizontal="center" vertical="center" wrapText="1"/>
    </xf>
    <xf numFmtId="0" fontId="1" fillId="159" borderId="6" xfId="0" applyFont="1" applyFill="1" applyBorder="1" applyAlignment="1">
      <alignment horizontal="center" vertical="center" wrapText="1"/>
    </xf>
    <xf numFmtId="0" fontId="20" fillId="160" borderId="1" xfId="0" applyNumberFormat="1" applyFont="1" applyFill="1" applyBorder="1" applyAlignment="1">
      <alignment horizontal="center" vertical="center" wrapText="1"/>
    </xf>
    <xf numFmtId="0" fontId="20" fillId="156" borderId="1" xfId="0" applyFont="1" applyFill="1" applyBorder="1" applyAlignment="1">
      <alignment horizontal="center" vertical="center" wrapText="1"/>
    </xf>
    <xf numFmtId="167" fontId="1" fillId="156" borderId="4" xfId="0" applyNumberFormat="1" applyFont="1" applyFill="1" applyBorder="1" applyAlignment="1">
      <alignment horizontal="center" vertical="center" wrapText="1"/>
    </xf>
    <xf numFmtId="167" fontId="1" fillId="156" borderId="5" xfId="0" applyNumberFormat="1" applyFont="1" applyFill="1" applyBorder="1" applyAlignment="1">
      <alignment horizontal="center" vertical="center" wrapText="1"/>
    </xf>
    <xf numFmtId="167" fontId="1" fillId="156" borderId="6" xfId="0" applyNumberFormat="1" applyFont="1" applyFill="1" applyBorder="1" applyAlignment="1">
      <alignment horizontal="center" vertical="center" wrapText="1"/>
    </xf>
    <xf numFmtId="0" fontId="20" fillId="0" borderId="4" xfId="0" applyNumberFormat="1" applyFont="1" applyFill="1" applyBorder="1" applyAlignment="1">
      <alignment horizontal="center" vertical="center" wrapText="1"/>
    </xf>
    <xf numFmtId="0" fontId="20" fillId="0" borderId="5" xfId="0" applyNumberFormat="1" applyFont="1" applyFill="1" applyBorder="1" applyAlignment="1">
      <alignment horizontal="center" vertical="center" wrapText="1"/>
    </xf>
    <xf numFmtId="0" fontId="20" fillId="0" borderId="6" xfId="0" applyNumberFormat="1" applyFont="1" applyFill="1" applyBorder="1" applyAlignment="1">
      <alignment horizontal="center" vertical="center" wrapText="1"/>
    </xf>
    <xf numFmtId="167" fontId="36" fillId="2" borderId="4" xfId="0" applyNumberFormat="1" applyFont="1" applyFill="1" applyBorder="1" applyAlignment="1">
      <alignment horizontal="center" vertical="center" wrapText="1"/>
    </xf>
    <xf numFmtId="167" fontId="36" fillId="2" borderId="5" xfId="0" applyNumberFormat="1" applyFont="1" applyFill="1" applyBorder="1" applyAlignment="1">
      <alignment horizontal="center" vertical="center" wrapText="1"/>
    </xf>
    <xf numFmtId="167" fontId="36" fillId="2" borderId="6" xfId="0" applyNumberFormat="1"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7" xfId="0" applyFont="1" applyFill="1" applyBorder="1" applyAlignment="1">
      <alignment horizontal="center" vertical="center" wrapText="1"/>
    </xf>
    <xf numFmtId="0" fontId="17" fillId="12" borderId="3" xfId="0" applyFont="1" applyFill="1" applyBorder="1" applyAlignment="1">
      <alignment horizontal="center" vertical="center" wrapText="1"/>
    </xf>
    <xf numFmtId="0" fontId="87" fillId="157" borderId="4" xfId="0" applyNumberFormat="1" applyFont="1" applyFill="1" applyBorder="1" applyAlignment="1">
      <alignment horizontal="center" vertical="center" wrapText="1"/>
    </xf>
    <xf numFmtId="0" fontId="87" fillId="157" borderId="5" xfId="0" applyNumberFormat="1" applyFont="1" applyFill="1" applyBorder="1" applyAlignment="1">
      <alignment horizontal="center" vertical="center" wrapText="1"/>
    </xf>
    <xf numFmtId="0" fontId="87" fillId="157" borderId="6" xfId="0" applyNumberFormat="1" applyFont="1" applyFill="1" applyBorder="1" applyAlignment="1">
      <alignment horizontal="center" vertical="center" wrapText="1"/>
    </xf>
    <xf numFmtId="0" fontId="17" fillId="26" borderId="2" xfId="0" applyFont="1" applyFill="1" applyBorder="1" applyAlignment="1">
      <alignment horizontal="center"/>
    </xf>
    <xf numFmtId="0" fontId="17" fillId="26" borderId="7" xfId="0" applyFont="1" applyFill="1" applyBorder="1" applyAlignment="1">
      <alignment horizontal="center"/>
    </xf>
    <xf numFmtId="0" fontId="17" fillId="26" borderId="3" xfId="0" applyFont="1" applyFill="1" applyBorder="1" applyAlignment="1">
      <alignment horizontal="center"/>
    </xf>
    <xf numFmtId="0" fontId="1" fillId="26" borderId="4" xfId="0" applyFont="1" applyFill="1" applyBorder="1" applyAlignment="1">
      <alignment horizontal="left" vertical="center" wrapText="1"/>
    </xf>
    <xf numFmtId="0" fontId="1" fillId="26" borderId="5" xfId="0" applyFont="1" applyFill="1" applyBorder="1" applyAlignment="1">
      <alignment horizontal="left" vertical="center" wrapText="1"/>
    </xf>
    <xf numFmtId="0" fontId="1" fillId="26" borderId="6" xfId="0" applyFont="1" applyFill="1" applyBorder="1" applyAlignment="1">
      <alignment horizontal="left" vertical="center" wrapText="1"/>
    </xf>
    <xf numFmtId="14" fontId="8" fillId="157" borderId="4" xfId="0" applyNumberFormat="1" applyFont="1" applyFill="1" applyBorder="1" applyAlignment="1">
      <alignment horizontal="center" vertical="center" wrapText="1"/>
    </xf>
    <xf numFmtId="0" fontId="17" fillId="12" borderId="4" xfId="0" applyNumberFormat="1" applyFont="1" applyFill="1" applyBorder="1" applyAlignment="1">
      <alignment horizontal="left" vertical="center" wrapText="1"/>
    </xf>
    <xf numFmtId="0" fontId="17" fillId="12" borderId="5" xfId="0" applyNumberFormat="1" applyFont="1" applyFill="1" applyBorder="1" applyAlignment="1">
      <alignment horizontal="left" vertical="center" wrapText="1"/>
    </xf>
    <xf numFmtId="0" fontId="17" fillId="12" borderId="6" xfId="0" applyNumberFormat="1" applyFont="1" applyFill="1" applyBorder="1" applyAlignment="1">
      <alignment horizontal="left" vertical="center" wrapText="1"/>
    </xf>
    <xf numFmtId="0" fontId="1" fillId="12" borderId="4" xfId="0" applyFont="1" applyFill="1" applyBorder="1" applyAlignment="1">
      <alignment horizontal="left" vertical="center" wrapText="1"/>
    </xf>
    <xf numFmtId="0" fontId="1" fillId="12" borderId="5" xfId="0" applyFont="1" applyFill="1" applyBorder="1" applyAlignment="1">
      <alignment horizontal="left" vertical="center" wrapText="1"/>
    </xf>
    <xf numFmtId="0" fontId="1" fillId="12" borderId="6" xfId="0" applyFont="1" applyFill="1" applyBorder="1" applyAlignment="1">
      <alignment horizontal="left" vertical="center" wrapText="1"/>
    </xf>
    <xf numFmtId="0" fontId="10" fillId="157" borderId="4" xfId="0" applyNumberFormat="1" applyFont="1" applyFill="1" applyBorder="1" applyAlignment="1">
      <alignment horizontal="center" vertical="center" wrapText="1"/>
    </xf>
    <xf numFmtId="0" fontId="10" fillId="157" borderId="5" xfId="0" applyNumberFormat="1" applyFont="1" applyFill="1" applyBorder="1" applyAlignment="1">
      <alignment horizontal="center" vertical="center" wrapText="1"/>
    </xf>
    <xf numFmtId="0" fontId="10" fillId="157" borderId="6" xfId="0" applyNumberFormat="1" applyFont="1" applyFill="1" applyBorder="1" applyAlignment="1">
      <alignment horizontal="center" vertical="center" wrapText="1"/>
    </xf>
    <xf numFmtId="0" fontId="20" fillId="159" borderId="4" xfId="0" applyNumberFormat="1" applyFont="1" applyFill="1" applyBorder="1" applyAlignment="1">
      <alignment horizontal="left" vertical="center" wrapText="1"/>
    </xf>
    <xf numFmtId="0" fontId="20" fillId="159" borderId="5" xfId="0" applyNumberFormat="1" applyFont="1" applyFill="1" applyBorder="1" applyAlignment="1">
      <alignment horizontal="left" vertical="center" wrapText="1"/>
    </xf>
    <xf numFmtId="0" fontId="20" fillId="159" borderId="6" xfId="0" applyNumberFormat="1" applyFont="1" applyFill="1" applyBorder="1" applyAlignment="1">
      <alignment horizontal="left" vertical="center" wrapText="1"/>
    </xf>
    <xf numFmtId="0" fontId="27" fillId="0" borderId="5" xfId="0" applyFont="1" applyBorder="1" applyAlignment="1">
      <alignment horizontal="left" vertical="center" wrapText="1"/>
    </xf>
    <xf numFmtId="0" fontId="27" fillId="0" borderId="6" xfId="0" applyFont="1" applyBorder="1" applyAlignment="1">
      <alignment horizontal="left" vertical="center" wrapText="1"/>
    </xf>
    <xf numFmtId="0" fontId="17" fillId="159" borderId="4" xfId="0" applyNumberFormat="1" applyFont="1" applyFill="1" applyBorder="1" applyAlignment="1">
      <alignment horizontal="left" vertical="center" wrapText="1"/>
    </xf>
    <xf numFmtId="0" fontId="17" fillId="159" borderId="5" xfId="0" applyNumberFormat="1" applyFont="1" applyFill="1" applyBorder="1" applyAlignment="1">
      <alignment horizontal="left" vertical="center" wrapText="1"/>
    </xf>
    <xf numFmtId="0" fontId="17" fillId="159" borderId="6" xfId="0" applyNumberFormat="1" applyFont="1" applyFill="1" applyBorder="1" applyAlignment="1">
      <alignment horizontal="left" vertical="center" wrapText="1"/>
    </xf>
    <xf numFmtId="0" fontId="17" fillId="159" borderId="4" xfId="0" applyFont="1" applyFill="1" applyBorder="1" applyAlignment="1">
      <alignment vertical="center" wrapText="1"/>
    </xf>
    <xf numFmtId="0" fontId="17" fillId="159" borderId="5" xfId="0" applyFont="1" applyFill="1" applyBorder="1" applyAlignment="1">
      <alignment vertical="center" wrapText="1"/>
    </xf>
    <xf numFmtId="0" fontId="17" fillId="159" borderId="6" xfId="0" applyFont="1" applyFill="1" applyBorder="1" applyAlignment="1">
      <alignment vertical="center" wrapText="1"/>
    </xf>
    <xf numFmtId="0" fontId="27" fillId="159" borderId="4" xfId="0" applyFont="1" applyFill="1" applyBorder="1" applyAlignment="1">
      <alignment horizontal="center" vertical="center" wrapText="1"/>
    </xf>
    <xf numFmtId="0" fontId="27" fillId="159" borderId="5" xfId="0" applyFont="1" applyFill="1" applyBorder="1" applyAlignment="1">
      <alignment horizontal="center" vertical="center" wrapText="1"/>
    </xf>
    <xf numFmtId="0" fontId="27" fillId="159" borderId="6" xfId="0" applyFont="1" applyFill="1" applyBorder="1" applyAlignment="1">
      <alignment horizontal="center" vertical="center" wrapText="1"/>
    </xf>
    <xf numFmtId="0" fontId="27" fillId="0" borderId="5" xfId="0" applyFont="1" applyBorder="1" applyAlignment="1">
      <alignment horizontal="center" vertical="center" wrapText="1"/>
    </xf>
    <xf numFmtId="0" fontId="27" fillId="0" borderId="6" xfId="0" applyFont="1" applyBorder="1" applyAlignment="1">
      <alignment horizontal="center" vertical="center" wrapText="1"/>
    </xf>
    <xf numFmtId="0" fontId="17" fillId="12" borderId="4" xfId="0" applyNumberFormat="1" applyFont="1" applyFill="1" applyBorder="1" applyAlignment="1">
      <alignment horizontal="left" vertical="top" wrapText="1"/>
    </xf>
    <xf numFmtId="0" fontId="17" fillId="12" borderId="5" xfId="0" applyNumberFormat="1" applyFont="1" applyFill="1" applyBorder="1" applyAlignment="1">
      <alignment horizontal="left" vertical="top" wrapText="1"/>
    </xf>
    <xf numFmtId="0" fontId="17" fillId="12" borderId="6" xfId="0" applyNumberFormat="1" applyFont="1" applyFill="1" applyBorder="1" applyAlignment="1">
      <alignment horizontal="left" vertical="top" wrapText="1"/>
    </xf>
    <xf numFmtId="0" fontId="17" fillId="12" borderId="2" xfId="0" applyFont="1" applyFill="1" applyBorder="1" applyAlignment="1">
      <alignment horizontal="center" wrapText="1"/>
    </xf>
    <xf numFmtId="0" fontId="17" fillId="12" borderId="7" xfId="0" applyFont="1" applyFill="1" applyBorder="1" applyAlignment="1">
      <alignment horizontal="center" wrapText="1"/>
    </xf>
    <xf numFmtId="0" fontId="17" fillId="12" borderId="3" xfId="0" applyFont="1" applyFill="1" applyBorder="1" applyAlignment="1">
      <alignment horizontal="center" wrapText="1"/>
    </xf>
    <xf numFmtId="0" fontId="1" fillId="12" borderId="1" xfId="0" applyFont="1" applyFill="1" applyBorder="1" applyAlignment="1">
      <alignment horizontal="center" vertical="center" wrapText="1"/>
    </xf>
    <xf numFmtId="0" fontId="1" fillId="12" borderId="1" xfId="0" applyFont="1" applyFill="1" applyBorder="1" applyAlignment="1">
      <alignment horizontal="left" vertical="center" wrapText="1"/>
    </xf>
    <xf numFmtId="49" fontId="32" fillId="157" borderId="4" xfId="0" applyNumberFormat="1" applyFont="1" applyFill="1" applyBorder="1" applyAlignment="1">
      <alignment horizontal="center" vertical="center" wrapText="1"/>
    </xf>
    <xf numFmtId="49" fontId="32" fillId="157" borderId="5" xfId="0" applyNumberFormat="1" applyFont="1" applyFill="1" applyBorder="1" applyAlignment="1">
      <alignment horizontal="center" vertical="center" wrapText="1"/>
    </xf>
    <xf numFmtId="49" fontId="32" fillId="157" borderId="6" xfId="0" applyNumberFormat="1" applyFont="1" applyFill="1" applyBorder="1" applyAlignment="1">
      <alignment horizontal="center" vertical="center" wrapText="1"/>
    </xf>
    <xf numFmtId="49" fontId="32" fillId="159" borderId="4" xfId="0" applyNumberFormat="1" applyFont="1" applyFill="1" applyBorder="1" applyAlignment="1">
      <alignment horizontal="left" vertical="center" wrapText="1"/>
    </xf>
    <xf numFmtId="49" fontId="32" fillId="159" borderId="5" xfId="0" applyNumberFormat="1" applyFont="1" applyFill="1" applyBorder="1" applyAlignment="1">
      <alignment horizontal="left" vertical="center" wrapText="1"/>
    </xf>
    <xf numFmtId="49" fontId="32" fillId="159" borderId="6" xfId="0" applyNumberFormat="1" applyFont="1" applyFill="1" applyBorder="1" applyAlignment="1">
      <alignment horizontal="left" vertical="center" wrapText="1"/>
    </xf>
    <xf numFmtId="0" fontId="0" fillId="159" borderId="5" xfId="0" applyFill="1" applyBorder="1" applyAlignment="1">
      <alignment vertical="center" wrapText="1"/>
    </xf>
    <xf numFmtId="0" fontId="0" fillId="159" borderId="6" xfId="0" applyFill="1" applyBorder="1" applyAlignment="1">
      <alignment vertical="center" wrapText="1"/>
    </xf>
    <xf numFmtId="49" fontId="32" fillId="159" borderId="4" xfId="0" applyNumberFormat="1" applyFont="1" applyFill="1" applyBorder="1" applyAlignment="1">
      <alignment horizontal="center" vertical="center" wrapText="1"/>
    </xf>
    <xf numFmtId="49" fontId="32" fillId="159" borderId="5" xfId="0" applyNumberFormat="1" applyFont="1" applyFill="1" applyBorder="1" applyAlignment="1">
      <alignment horizontal="center" vertical="center" wrapText="1"/>
    </xf>
    <xf numFmtId="49" fontId="32" fillId="159" borderId="6" xfId="0" applyNumberFormat="1" applyFont="1" applyFill="1" applyBorder="1" applyAlignment="1">
      <alignment horizontal="center" vertical="center" wrapText="1"/>
    </xf>
    <xf numFmtId="49" fontId="32" fillId="157" borderId="1" xfId="0" applyNumberFormat="1" applyFont="1" applyFill="1" applyBorder="1" applyAlignment="1">
      <alignment horizontal="center" vertical="center" wrapText="1"/>
    </xf>
    <xf numFmtId="0" fontId="17" fillId="159" borderId="4" xfId="0" applyNumberFormat="1" applyFont="1" applyFill="1" applyBorder="1" applyAlignment="1">
      <alignment horizontal="center" vertical="center" wrapText="1"/>
    </xf>
    <xf numFmtId="0" fontId="17" fillId="159" borderId="5" xfId="0" applyNumberFormat="1" applyFont="1" applyFill="1" applyBorder="1" applyAlignment="1">
      <alignment horizontal="center" vertical="center" wrapText="1"/>
    </xf>
    <xf numFmtId="0" fontId="17" fillId="159" borderId="6" xfId="0" applyNumberFormat="1" applyFont="1" applyFill="1" applyBorder="1" applyAlignment="1">
      <alignment horizontal="center" vertical="center" wrapText="1"/>
    </xf>
    <xf numFmtId="0" fontId="17" fillId="159" borderId="4" xfId="0" applyFont="1" applyFill="1" applyBorder="1" applyAlignment="1">
      <alignment horizontal="left" vertical="center" wrapText="1"/>
    </xf>
    <xf numFmtId="0" fontId="17" fillId="159" borderId="5" xfId="0" applyFont="1" applyFill="1" applyBorder="1" applyAlignment="1">
      <alignment horizontal="left" vertical="center" wrapText="1"/>
    </xf>
    <xf numFmtId="0" fontId="17" fillId="159" borderId="6" xfId="0" applyFont="1" applyFill="1" applyBorder="1" applyAlignment="1">
      <alignment horizontal="left" vertical="center" wrapText="1"/>
    </xf>
    <xf numFmtId="0" fontId="1" fillId="159" borderId="4" xfId="0" applyFont="1" applyFill="1" applyBorder="1" applyAlignment="1">
      <alignment vertical="center" wrapText="1"/>
    </xf>
    <xf numFmtId="0" fontId="1" fillId="159" borderId="5" xfId="0" applyFont="1" applyFill="1" applyBorder="1" applyAlignment="1">
      <alignment vertical="center" wrapText="1"/>
    </xf>
    <xf numFmtId="0" fontId="1" fillId="159" borderId="6" xfId="0" applyFont="1" applyFill="1" applyBorder="1" applyAlignment="1">
      <alignment vertical="center" wrapText="1"/>
    </xf>
    <xf numFmtId="0" fontId="1" fillId="28" borderId="4" xfId="0" applyFont="1" applyFill="1" applyBorder="1" applyAlignment="1">
      <alignment vertical="center" wrapText="1"/>
    </xf>
    <xf numFmtId="0" fontId="1" fillId="28" borderId="5" xfId="0" applyFont="1" applyFill="1" applyBorder="1" applyAlignment="1">
      <alignment vertical="center" wrapText="1"/>
    </xf>
    <xf numFmtId="0" fontId="1" fillId="28" borderId="6" xfId="0" applyFont="1" applyFill="1" applyBorder="1" applyAlignment="1">
      <alignment vertical="center" wrapText="1"/>
    </xf>
    <xf numFmtId="0" fontId="36" fillId="159" borderId="4" xfId="0" applyFont="1" applyFill="1" applyBorder="1" applyAlignment="1">
      <alignment vertical="center" wrapText="1"/>
    </xf>
    <xf numFmtId="0" fontId="36" fillId="159" borderId="5" xfId="0" applyFont="1" applyFill="1" applyBorder="1" applyAlignment="1">
      <alignment vertical="center" wrapText="1"/>
    </xf>
    <xf numFmtId="0" fontId="36" fillId="159" borderId="6" xfId="0" applyFont="1" applyFill="1" applyBorder="1" applyAlignment="1">
      <alignment vertical="center" wrapText="1"/>
    </xf>
    <xf numFmtId="49" fontId="1" fillId="159" borderId="4" xfId="0" applyNumberFormat="1" applyFont="1" applyFill="1" applyBorder="1" applyAlignment="1">
      <alignment horizontal="center" vertical="center" wrapText="1"/>
    </xf>
    <xf numFmtId="49" fontId="1" fillId="159" borderId="5" xfId="0" applyNumberFormat="1" applyFont="1" applyFill="1" applyBorder="1" applyAlignment="1">
      <alignment horizontal="center" vertical="center" wrapText="1"/>
    </xf>
    <xf numFmtId="49" fontId="1" fillId="159" borderId="6" xfId="0" applyNumberFormat="1" applyFont="1" applyFill="1" applyBorder="1" applyAlignment="1">
      <alignment horizontal="center" vertical="center" wrapText="1"/>
    </xf>
    <xf numFmtId="49" fontId="8" fillId="157" borderId="4" xfId="0" applyNumberFormat="1" applyFont="1" applyFill="1" applyBorder="1" applyAlignment="1">
      <alignment horizontal="center" vertical="center" wrapText="1"/>
    </xf>
    <xf numFmtId="49" fontId="8" fillId="157" borderId="5" xfId="0" applyNumberFormat="1" applyFont="1" applyFill="1" applyBorder="1" applyAlignment="1">
      <alignment horizontal="center" vertical="center" wrapText="1"/>
    </xf>
    <xf numFmtId="49" fontId="8" fillId="157" borderId="6" xfId="0" applyNumberFormat="1" applyFont="1" applyFill="1" applyBorder="1" applyAlignment="1">
      <alignment horizontal="center" vertical="center" wrapText="1"/>
    </xf>
    <xf numFmtId="0" fontId="0" fillId="12" borderId="5" xfId="0" applyFill="1" applyBorder="1" applyAlignment="1">
      <alignment horizontal="left" vertical="center" wrapText="1"/>
    </xf>
    <xf numFmtId="0" fontId="0" fillId="12" borderId="6" xfId="0" applyFill="1" applyBorder="1" applyAlignment="1">
      <alignment horizontal="left" vertical="center" wrapText="1"/>
    </xf>
    <xf numFmtId="0" fontId="17" fillId="12" borderId="4" xfId="0" applyFont="1" applyFill="1" applyBorder="1" applyAlignment="1">
      <alignment horizontal="left" vertical="center" wrapText="1"/>
    </xf>
    <xf numFmtId="0" fontId="22" fillId="26" borderId="4" xfId="0" applyFont="1" applyFill="1" applyBorder="1" applyAlignment="1">
      <alignment horizontal="left" vertical="center" wrapText="1"/>
    </xf>
    <xf numFmtId="0" fontId="22" fillId="26" borderId="5" xfId="0" applyFont="1" applyFill="1" applyBorder="1" applyAlignment="1">
      <alignment horizontal="left" vertical="center" wrapText="1"/>
    </xf>
    <xf numFmtId="0" fontId="22" fillId="26" borderId="6" xfId="0" applyFont="1" applyFill="1" applyBorder="1" applyAlignment="1">
      <alignment horizontal="left" vertical="center" wrapText="1"/>
    </xf>
    <xf numFmtId="0" fontId="20" fillId="159" borderId="4" xfId="0" applyNumberFormat="1" applyFont="1" applyFill="1" applyBorder="1" applyAlignment="1">
      <alignment horizontal="center" vertical="center" wrapText="1"/>
    </xf>
    <xf numFmtId="0" fontId="20" fillId="159" borderId="5" xfId="0" applyNumberFormat="1" applyFont="1" applyFill="1" applyBorder="1" applyAlignment="1">
      <alignment horizontal="center" vertical="center" wrapText="1"/>
    </xf>
    <xf numFmtId="0" fontId="20" fillId="159" borderId="6" xfId="0" applyNumberFormat="1" applyFont="1" applyFill="1" applyBorder="1" applyAlignment="1">
      <alignment horizontal="center" vertical="center" wrapText="1"/>
    </xf>
    <xf numFmtId="0" fontId="32" fillId="159" borderId="4" xfId="0" applyFont="1" applyFill="1" applyBorder="1" applyAlignment="1">
      <alignment horizontal="left" vertical="center" wrapText="1"/>
    </xf>
    <xf numFmtId="0" fontId="32" fillId="159" borderId="5" xfId="0" applyFont="1" applyFill="1" applyBorder="1" applyAlignment="1">
      <alignment horizontal="left" vertical="center" wrapText="1"/>
    </xf>
    <xf numFmtId="0" fontId="32" fillId="159" borderId="6" xfId="0" applyFont="1" applyFill="1" applyBorder="1" applyAlignment="1">
      <alignment horizontal="left" vertical="center" wrapText="1"/>
    </xf>
    <xf numFmtId="0" fontId="36" fillId="159" borderId="4" xfId="0" applyFont="1" applyFill="1" applyBorder="1" applyAlignment="1">
      <alignment horizontal="center" vertical="center" wrapText="1"/>
    </xf>
    <xf numFmtId="0" fontId="36" fillId="159" borderId="5" xfId="0" applyFont="1" applyFill="1" applyBorder="1" applyAlignment="1">
      <alignment horizontal="center" vertical="center" wrapText="1"/>
    </xf>
    <xf numFmtId="0" fontId="36" fillId="159" borderId="6" xfId="0" applyFont="1" applyFill="1" applyBorder="1" applyAlignment="1">
      <alignment horizontal="center" vertical="center" wrapText="1"/>
    </xf>
    <xf numFmtId="0" fontId="1" fillId="27" borderId="4" xfId="0" applyFont="1" applyFill="1" applyBorder="1" applyAlignment="1">
      <alignment vertical="center" wrapText="1"/>
    </xf>
    <xf numFmtId="0" fontId="1" fillId="27" borderId="5" xfId="0" applyFont="1" applyFill="1" applyBorder="1" applyAlignment="1">
      <alignment vertical="center" wrapText="1"/>
    </xf>
    <xf numFmtId="0" fontId="1" fillId="27" borderId="6" xfId="0" applyFont="1" applyFill="1" applyBorder="1" applyAlignment="1">
      <alignment vertical="center" wrapText="1"/>
    </xf>
    <xf numFmtId="0" fontId="20" fillId="159" borderId="1" xfId="0" applyNumberFormat="1" applyFont="1" applyFill="1" applyBorder="1" applyAlignment="1">
      <alignment horizontal="center" vertical="center" wrapText="1"/>
    </xf>
    <xf numFmtId="0" fontId="20" fillId="159" borderId="1" xfId="0" applyFont="1" applyFill="1" applyBorder="1" applyAlignment="1">
      <alignment horizontal="left" vertical="center" wrapText="1"/>
    </xf>
    <xf numFmtId="0" fontId="36" fillId="159" borderId="1" xfId="0" applyFont="1" applyFill="1" applyBorder="1" applyAlignment="1">
      <alignment horizontal="center" vertical="center" wrapText="1"/>
    </xf>
    <xf numFmtId="0" fontId="20" fillId="159" borderId="4" xfId="0" applyFont="1" applyFill="1" applyBorder="1" applyAlignment="1">
      <alignment vertical="center" wrapText="1"/>
    </xf>
    <xf numFmtId="0" fontId="20" fillId="159" borderId="5" xfId="0" applyFont="1" applyFill="1" applyBorder="1" applyAlignment="1">
      <alignment vertical="center" wrapText="1"/>
    </xf>
    <xf numFmtId="0" fontId="20" fillId="159" borderId="6" xfId="0" applyFont="1" applyFill="1" applyBorder="1" applyAlignment="1">
      <alignment vertical="center" wrapText="1"/>
    </xf>
    <xf numFmtId="167" fontId="1" fillId="0" borderId="4" xfId="0" applyNumberFormat="1" applyFont="1" applyFill="1" applyBorder="1" applyAlignment="1">
      <alignment horizontal="center" vertical="center" wrapText="1"/>
    </xf>
    <xf numFmtId="167" fontId="1" fillId="0" borderId="5" xfId="0" applyNumberFormat="1" applyFont="1" applyFill="1" applyBorder="1" applyAlignment="1">
      <alignment horizontal="center" vertical="center" wrapText="1"/>
    </xf>
    <xf numFmtId="167" fontId="1" fillId="0" borderId="6" xfId="0" applyNumberFormat="1" applyFont="1" applyFill="1" applyBorder="1" applyAlignment="1">
      <alignment horizontal="center" vertical="center" wrapText="1"/>
    </xf>
    <xf numFmtId="0" fontId="1" fillId="159" borderId="1" xfId="0" applyFont="1" applyFill="1" applyBorder="1" applyAlignment="1">
      <alignment horizontal="center" vertical="center" wrapText="1"/>
    </xf>
    <xf numFmtId="0" fontId="20" fillId="159" borderId="4" xfId="0" applyFont="1" applyFill="1" applyBorder="1" applyAlignment="1">
      <alignment horizontal="center" vertical="center" wrapText="1"/>
    </xf>
    <xf numFmtId="0" fontId="20" fillId="159" borderId="5" xfId="0" applyFont="1" applyFill="1" applyBorder="1" applyAlignment="1">
      <alignment horizontal="center" vertical="center" wrapText="1"/>
    </xf>
    <xf numFmtId="0" fontId="20" fillId="159" borderId="6" xfId="0" applyFont="1" applyFill="1" applyBorder="1" applyAlignment="1">
      <alignment horizontal="center" vertical="center" wrapText="1"/>
    </xf>
    <xf numFmtId="0" fontId="27" fillId="0" borderId="4" xfId="0" applyFont="1" applyBorder="1" applyAlignment="1">
      <alignment horizontal="center" vertical="center" wrapText="1"/>
    </xf>
    <xf numFmtId="0" fontId="0" fillId="159" borderId="1" xfId="0" applyFont="1" applyFill="1" applyBorder="1" applyAlignment="1">
      <alignment horizontal="center" vertical="center"/>
    </xf>
    <xf numFmtId="0" fontId="105" fillId="159" borderId="1" xfId="0" applyFont="1" applyFill="1" applyBorder="1" applyAlignment="1">
      <alignment horizontal="left" vertical="center" wrapText="1"/>
    </xf>
    <xf numFmtId="0" fontId="0" fillId="159" borderId="5" xfId="0" applyFill="1" applyBorder="1" applyAlignment="1">
      <alignment horizontal="left" vertical="center" wrapText="1"/>
    </xf>
    <xf numFmtId="0" fontId="0" fillId="159" borderId="6" xfId="0" applyFill="1" applyBorder="1" applyAlignment="1">
      <alignment horizontal="left" vertical="center" wrapText="1"/>
    </xf>
    <xf numFmtId="0" fontId="0" fillId="159" borderId="5" xfId="0" applyFont="1" applyFill="1" applyBorder="1" applyAlignment="1">
      <alignment vertical="center" wrapText="1"/>
    </xf>
    <xf numFmtId="0" fontId="0" fillId="159" borderId="6" xfId="0" applyFont="1" applyFill="1" applyBorder="1" applyAlignment="1">
      <alignment vertical="center" wrapText="1"/>
    </xf>
    <xf numFmtId="0" fontId="27" fillId="159" borderId="5" xfId="0" applyFont="1" applyFill="1" applyBorder="1" applyAlignment="1">
      <alignment vertical="center" wrapText="1"/>
    </xf>
    <xf numFmtId="0" fontId="27" fillId="159" borderId="6" xfId="0" applyFont="1" applyFill="1" applyBorder="1" applyAlignment="1">
      <alignment vertical="center" wrapText="1"/>
    </xf>
    <xf numFmtId="0" fontId="17" fillId="159" borderId="4" xfId="0" applyFont="1" applyFill="1" applyBorder="1" applyAlignment="1">
      <alignment vertical="center" wrapText="1" shrinkToFit="1"/>
    </xf>
    <xf numFmtId="0" fontId="0" fillId="159" borderId="5" xfId="0" applyFont="1" applyFill="1" applyBorder="1" applyAlignment="1">
      <alignment vertical="center" wrapText="1" shrinkToFit="1"/>
    </xf>
    <xf numFmtId="0" fontId="0" fillId="159" borderId="6" xfId="0" applyFont="1" applyFill="1" applyBorder="1" applyAlignment="1">
      <alignment vertical="center" wrapText="1" shrinkToFit="1"/>
    </xf>
    <xf numFmtId="0" fontId="27" fillId="2" borderId="4" xfId="0" applyFont="1" applyFill="1" applyBorder="1" applyAlignment="1">
      <alignment vertical="center" wrapText="1"/>
    </xf>
    <xf numFmtId="0" fontId="27" fillId="0" borderId="5" xfId="0" applyFont="1" applyBorder="1" applyAlignment="1">
      <alignment vertical="center" wrapText="1"/>
    </xf>
    <xf numFmtId="0" fontId="27" fillId="0" borderId="6" xfId="0" applyFont="1" applyBorder="1" applyAlignment="1">
      <alignment vertical="center" wrapText="1"/>
    </xf>
    <xf numFmtId="0" fontId="0" fillId="157" borderId="5" xfId="0" applyFill="1" applyBorder="1" applyAlignment="1">
      <alignment horizontal="center" vertical="center" wrapText="1"/>
    </xf>
    <xf numFmtId="0" fontId="0" fillId="157" borderId="6" xfId="0" applyFill="1" applyBorder="1" applyAlignment="1">
      <alignment horizontal="center" vertical="center" wrapText="1"/>
    </xf>
    <xf numFmtId="0" fontId="27" fillId="0" borderId="4" xfId="0" applyFont="1" applyFill="1" applyBorder="1" applyAlignment="1">
      <alignment vertical="center" wrapText="1"/>
    </xf>
    <xf numFmtId="0" fontId="27" fillId="0" borderId="5" xfId="0" applyFont="1" applyFill="1" applyBorder="1" applyAlignment="1">
      <alignment vertical="center" wrapText="1"/>
    </xf>
    <xf numFmtId="0" fontId="27" fillId="0" borderId="6" xfId="0" applyFont="1" applyFill="1" applyBorder="1" applyAlignment="1">
      <alignment vertical="center" wrapText="1"/>
    </xf>
    <xf numFmtId="0" fontId="20" fillId="12" borderId="4" xfId="0" applyNumberFormat="1" applyFont="1" applyFill="1" applyBorder="1" applyAlignment="1">
      <alignment horizontal="left" vertical="center" wrapText="1"/>
    </xf>
    <xf numFmtId="0" fontId="20" fillId="12" borderId="5" xfId="0" applyNumberFormat="1" applyFont="1" applyFill="1" applyBorder="1" applyAlignment="1">
      <alignment horizontal="left" vertical="center" wrapText="1"/>
    </xf>
    <xf numFmtId="0" fontId="20" fillId="12" borderId="6" xfId="0" applyNumberFormat="1" applyFont="1" applyFill="1" applyBorder="1" applyAlignment="1">
      <alignment horizontal="left" vertical="center" wrapText="1"/>
    </xf>
    <xf numFmtId="0" fontId="60" fillId="26" borderId="4" xfId="0" applyNumberFormat="1" applyFont="1" applyFill="1" applyBorder="1" applyAlignment="1">
      <alignment horizontal="center" vertical="center" wrapText="1"/>
    </xf>
    <xf numFmtId="0" fontId="60" fillId="26" borderId="5" xfId="0" applyNumberFormat="1" applyFont="1" applyFill="1" applyBorder="1" applyAlignment="1">
      <alignment horizontal="center" vertical="center" wrapText="1"/>
    </xf>
    <xf numFmtId="0" fontId="60" fillId="26" borderId="6" xfId="0" applyNumberFormat="1" applyFont="1" applyFill="1" applyBorder="1" applyAlignment="1">
      <alignment horizontal="center" vertical="center" wrapText="1"/>
    </xf>
    <xf numFmtId="0" fontId="32" fillId="26" borderId="4" xfId="0" applyFont="1" applyFill="1" applyBorder="1" applyAlignment="1">
      <alignment horizontal="left" vertical="center" wrapText="1"/>
    </xf>
    <xf numFmtId="0" fontId="32" fillId="26" borderId="5" xfId="0" applyFont="1" applyFill="1" applyBorder="1" applyAlignment="1">
      <alignment horizontal="left" vertical="center" wrapText="1"/>
    </xf>
    <xf numFmtId="0" fontId="32" fillId="26" borderId="6" xfId="0" applyFont="1" applyFill="1" applyBorder="1" applyAlignment="1">
      <alignment horizontal="left" vertical="center" wrapText="1"/>
    </xf>
    <xf numFmtId="0" fontId="32" fillId="26" borderId="2" xfId="0" applyFont="1" applyFill="1" applyBorder="1" applyAlignment="1">
      <alignment horizontal="center"/>
    </xf>
    <xf numFmtId="0" fontId="32" fillId="26" borderId="7" xfId="0" applyFont="1" applyFill="1" applyBorder="1" applyAlignment="1">
      <alignment horizontal="center"/>
    </xf>
    <xf numFmtId="0" fontId="27" fillId="26" borderId="4" xfId="0" applyFont="1" applyFill="1" applyBorder="1" applyAlignment="1">
      <alignment horizontal="center" vertical="center" wrapText="1"/>
    </xf>
    <xf numFmtId="0" fontId="27" fillId="26" borderId="5" xfId="0" applyFont="1" applyFill="1" applyBorder="1" applyAlignment="1">
      <alignment horizontal="center" vertical="center" wrapText="1"/>
    </xf>
    <xf numFmtId="0" fontId="10" fillId="154" borderId="4" xfId="0" applyNumberFormat="1" applyFont="1" applyFill="1" applyBorder="1" applyAlignment="1">
      <alignment horizontal="center" vertical="center" wrapText="1"/>
    </xf>
    <xf numFmtId="0" fontId="10" fillId="154" borderId="5" xfId="0" applyNumberFormat="1" applyFont="1" applyFill="1" applyBorder="1" applyAlignment="1">
      <alignment horizontal="center" vertical="center" wrapText="1"/>
    </xf>
    <xf numFmtId="0" fontId="10" fillId="154" borderId="6" xfId="0" applyNumberFormat="1" applyFont="1" applyFill="1" applyBorder="1" applyAlignment="1">
      <alignment horizontal="center" vertical="center" wrapText="1"/>
    </xf>
    <xf numFmtId="0" fontId="20" fillId="154" borderId="4" xfId="0" applyFont="1" applyFill="1" applyBorder="1" applyAlignment="1">
      <alignment horizontal="left" vertical="center" wrapText="1"/>
    </xf>
    <xf numFmtId="0" fontId="20" fillId="154" borderId="5" xfId="0" applyFont="1" applyFill="1" applyBorder="1" applyAlignment="1">
      <alignment horizontal="left" vertical="center" wrapText="1"/>
    </xf>
    <xf numFmtId="0" fontId="20" fillId="154" borderId="6" xfId="0" applyFont="1" applyFill="1" applyBorder="1" applyAlignment="1">
      <alignment horizontal="left" vertical="center" wrapText="1"/>
    </xf>
    <xf numFmtId="0" fontId="17" fillId="154" borderId="2" xfId="0" applyFont="1" applyFill="1" applyBorder="1" applyAlignment="1">
      <alignment horizontal="center"/>
    </xf>
    <xf numFmtId="0" fontId="17" fillId="154" borderId="7" xfId="0" applyFont="1" applyFill="1" applyBorder="1" applyAlignment="1">
      <alignment horizontal="center"/>
    </xf>
    <xf numFmtId="0" fontId="17" fillId="154" borderId="3" xfId="0" applyFont="1" applyFill="1" applyBorder="1" applyAlignment="1">
      <alignment horizontal="center"/>
    </xf>
    <xf numFmtId="0" fontId="1" fillId="154" borderId="4" xfId="0" applyFont="1" applyFill="1" applyBorder="1" applyAlignment="1">
      <alignment horizontal="center" vertical="center" wrapText="1"/>
    </xf>
    <xf numFmtId="0" fontId="1" fillId="154" borderId="5" xfId="0" applyFont="1" applyFill="1" applyBorder="1" applyAlignment="1">
      <alignment horizontal="center" vertical="center" wrapText="1"/>
    </xf>
    <xf numFmtId="0" fontId="1" fillId="154" borderId="1" xfId="0" applyFont="1" applyFill="1" applyBorder="1" applyAlignment="1">
      <alignment horizontal="center" vertical="center" wrapText="1"/>
    </xf>
    <xf numFmtId="0" fontId="0" fillId="154" borderId="4" xfId="0" applyFont="1" applyFill="1" applyBorder="1" applyAlignment="1">
      <alignment horizontal="center" vertical="center"/>
    </xf>
    <xf numFmtId="0" fontId="0" fillId="154" borderId="5" xfId="0" applyFont="1" applyFill="1" applyBorder="1" applyAlignment="1">
      <alignment horizontal="center" vertical="center"/>
    </xf>
    <xf numFmtId="0" fontId="0" fillId="154" borderId="6" xfId="0" applyFont="1" applyFill="1" applyBorder="1" applyAlignment="1">
      <alignment horizontal="center" vertical="center"/>
    </xf>
    <xf numFmtId="0" fontId="17" fillId="20" borderId="5" xfId="0" applyFont="1" applyFill="1" applyBorder="1" applyAlignment="1">
      <alignment horizontal="left" vertical="center" wrapText="1"/>
    </xf>
    <xf numFmtId="0" fontId="17" fillId="20" borderId="6" xfId="0" applyFont="1" applyFill="1" applyBorder="1" applyAlignment="1">
      <alignment horizontal="left" vertical="center" wrapText="1"/>
    </xf>
    <xf numFmtId="0" fontId="17" fillId="20" borderId="2" xfId="0" applyFont="1" applyFill="1" applyBorder="1" applyAlignment="1">
      <alignment horizontal="center"/>
    </xf>
    <xf numFmtId="0" fontId="17" fillId="20" borderId="7" xfId="0" applyFont="1" applyFill="1" applyBorder="1" applyAlignment="1">
      <alignment horizontal="center"/>
    </xf>
    <xf numFmtId="0" fontId="17" fillId="20" borderId="3" xfId="0" applyFont="1" applyFill="1" applyBorder="1" applyAlignment="1">
      <alignment horizontal="center"/>
    </xf>
    <xf numFmtId="0" fontId="60" fillId="27" borderId="4" xfId="5" applyFont="1" applyFill="1" applyBorder="1" applyAlignment="1">
      <alignment horizontal="center" vertical="center" wrapText="1"/>
    </xf>
    <xf numFmtId="0" fontId="60" fillId="27" borderId="5" xfId="5" applyFont="1" applyFill="1" applyBorder="1" applyAlignment="1">
      <alignment horizontal="center" vertical="center" wrapText="1"/>
    </xf>
    <xf numFmtId="0" fontId="60" fillId="27" borderId="6" xfId="5" applyFont="1" applyFill="1" applyBorder="1" applyAlignment="1">
      <alignment horizontal="center" vertical="center" wrapText="1"/>
    </xf>
    <xf numFmtId="166" fontId="31" fillId="163" borderId="4" xfId="4" applyNumberFormat="1" applyFont="1" applyFill="1" applyBorder="1" applyAlignment="1">
      <alignment horizontal="center" vertical="center" wrapText="1"/>
    </xf>
    <xf numFmtId="166" fontId="31" fillId="163" borderId="5" xfId="4" applyNumberFormat="1" applyFont="1" applyFill="1" applyBorder="1" applyAlignment="1">
      <alignment horizontal="center" vertical="center" wrapText="1"/>
    </xf>
    <xf numFmtId="166" fontId="31" fillId="163" borderId="6" xfId="4" applyNumberFormat="1" applyFont="1" applyFill="1" applyBorder="1" applyAlignment="1">
      <alignment horizontal="center" vertical="center" wrapText="1"/>
    </xf>
    <xf numFmtId="9" fontId="31" fillId="27" borderId="4" xfId="4" applyNumberFormat="1" applyFont="1" applyFill="1" applyBorder="1" applyAlignment="1">
      <alignment horizontal="center" vertical="center" wrapText="1"/>
    </xf>
    <xf numFmtId="9" fontId="31" fillId="27" borderId="5" xfId="4" applyNumberFormat="1" applyFont="1" applyFill="1" applyBorder="1" applyAlignment="1">
      <alignment horizontal="center" vertical="center" wrapText="1"/>
    </xf>
    <xf numFmtId="9" fontId="31" fillId="27" borderId="6" xfId="4" applyNumberFormat="1" applyFont="1" applyFill="1" applyBorder="1" applyAlignment="1">
      <alignment horizontal="center" vertical="center" wrapText="1"/>
    </xf>
    <xf numFmtId="0" fontId="31" fillId="27" borderId="5" xfId="4" applyFont="1" applyFill="1" applyBorder="1" applyAlignment="1">
      <alignment horizontal="center" vertical="center" wrapText="1"/>
    </xf>
    <xf numFmtId="0" fontId="31" fillId="27" borderId="6" xfId="4" applyFont="1" applyFill="1" applyBorder="1" applyAlignment="1">
      <alignment horizontal="center" vertical="center" wrapText="1"/>
    </xf>
    <xf numFmtId="2" fontId="31" fillId="27" borderId="4" xfId="4" applyNumberFormat="1" applyFont="1" applyFill="1" applyBorder="1" applyAlignment="1">
      <alignment horizontal="center" vertical="center" wrapText="1"/>
    </xf>
    <xf numFmtId="2" fontId="31" fillId="27" borderId="5" xfId="4" applyNumberFormat="1" applyFont="1" applyFill="1" applyBorder="1" applyAlignment="1">
      <alignment horizontal="center" vertical="center" wrapText="1"/>
    </xf>
    <xf numFmtId="2" fontId="31" fillId="27" borderId="6" xfId="4" applyNumberFormat="1" applyFont="1" applyFill="1" applyBorder="1" applyAlignment="1">
      <alignment horizontal="center" vertical="center" wrapText="1"/>
    </xf>
    <xf numFmtId="9" fontId="31" fillId="163" borderId="4" xfId="4" applyNumberFormat="1" applyFont="1" applyFill="1" applyBorder="1" applyAlignment="1">
      <alignment horizontal="center" vertical="center" wrapText="1"/>
    </xf>
    <xf numFmtId="0" fontId="31" fillId="163" borderId="5" xfId="4" applyFont="1" applyFill="1" applyBorder="1" applyAlignment="1">
      <alignment horizontal="center" vertical="center" wrapText="1"/>
    </xf>
    <xf numFmtId="0" fontId="31" fillId="163" borderId="6" xfId="4" applyFont="1" applyFill="1" applyBorder="1" applyAlignment="1">
      <alignment horizontal="center" vertical="center" wrapText="1"/>
    </xf>
    <xf numFmtId="165" fontId="31" fillId="27" borderId="4" xfId="4" applyNumberFormat="1" applyFont="1" applyFill="1" applyBorder="1" applyAlignment="1">
      <alignment horizontal="center" vertical="center" wrapText="1"/>
    </xf>
    <xf numFmtId="165" fontId="31" fillId="27" borderId="5" xfId="4" applyNumberFormat="1" applyFont="1" applyFill="1" applyBorder="1" applyAlignment="1">
      <alignment horizontal="center" vertical="center" wrapText="1"/>
    </xf>
    <xf numFmtId="165" fontId="31" fillId="27" borderId="6" xfId="4" applyNumberFormat="1" applyFont="1" applyFill="1" applyBorder="1" applyAlignment="1">
      <alignment horizontal="center" vertical="center" wrapText="1"/>
    </xf>
    <xf numFmtId="0" fontId="31" fillId="27" borderId="4" xfId="4" applyFont="1" applyFill="1" applyBorder="1" applyAlignment="1">
      <alignment horizontal="center" vertical="center" wrapText="1"/>
    </xf>
    <xf numFmtId="0" fontId="10" fillId="2" borderId="1" xfId="2945" applyFont="1" applyFill="1" applyBorder="1" applyAlignment="1">
      <alignment horizontal="center" vertical="center" wrapText="1"/>
    </xf>
    <xf numFmtId="0" fontId="44" fillId="2" borderId="0" xfId="2945" applyFont="1" applyFill="1" applyAlignment="1">
      <alignment horizontal="center" vertical="center" wrapText="1"/>
    </xf>
    <xf numFmtId="0" fontId="14" fillId="2" borderId="4" xfId="2945" applyFont="1" applyFill="1" applyBorder="1" applyAlignment="1">
      <alignment horizontal="center" vertical="center" wrapText="1"/>
    </xf>
    <xf numFmtId="0" fontId="14" fillId="2" borderId="6" xfId="2945" applyFont="1" applyFill="1" applyBorder="1" applyAlignment="1">
      <alignment horizontal="center" vertical="center" wrapText="1"/>
    </xf>
    <xf numFmtId="0" fontId="36" fillId="2" borderId="4" xfId="2945" applyFont="1" applyFill="1" applyBorder="1" applyAlignment="1">
      <alignment horizontal="center" vertical="center"/>
    </xf>
    <xf numFmtId="0" fontId="36" fillId="2" borderId="6" xfId="2945" applyFont="1" applyFill="1" applyBorder="1" applyAlignment="1">
      <alignment horizontal="center" vertical="center"/>
    </xf>
    <xf numFmtId="0" fontId="37" fillId="2" borderId="4" xfId="2945" applyFont="1" applyFill="1" applyBorder="1" applyAlignment="1">
      <alignment horizontal="center" vertical="center" wrapText="1"/>
    </xf>
    <xf numFmtId="0" fontId="37" fillId="2" borderId="6" xfId="2945" applyFont="1" applyFill="1" applyBorder="1" applyAlignment="1">
      <alignment horizontal="center" vertical="center" wrapText="1"/>
    </xf>
    <xf numFmtId="0" fontId="10" fillId="2" borderId="4" xfId="2945" applyFont="1" applyFill="1" applyBorder="1" applyAlignment="1">
      <alignment horizontal="center" vertical="center" wrapText="1"/>
    </xf>
    <xf numFmtId="0" fontId="10" fillId="2" borderId="6" xfId="2945" applyFont="1" applyFill="1" applyBorder="1" applyAlignment="1">
      <alignment horizontal="center" vertical="center" wrapText="1"/>
    </xf>
    <xf numFmtId="0" fontId="44" fillId="161" borderId="1" xfId="2945" applyFont="1" applyFill="1" applyBorder="1" applyAlignment="1">
      <alignment horizontal="center" vertical="center" wrapText="1"/>
    </xf>
    <xf numFmtId="0" fontId="45" fillId="18" borderId="15" xfId="2945" applyFont="1" applyFill="1" applyBorder="1" applyAlignment="1">
      <alignment horizontal="center" vertical="center" wrapText="1"/>
    </xf>
    <xf numFmtId="0" fontId="45" fillId="18" borderId="11" xfId="2945" applyFont="1" applyFill="1" applyBorder="1" applyAlignment="1">
      <alignment horizontal="center" vertical="center" wrapText="1"/>
    </xf>
    <xf numFmtId="0" fontId="10" fillId="2" borderId="4" xfId="2945" applyFont="1" applyFill="1" applyBorder="1" applyAlignment="1">
      <alignment horizontal="center" vertical="center"/>
    </xf>
    <xf numFmtId="0" fontId="10" fillId="2" borderId="5" xfId="2945" applyFont="1" applyFill="1" applyBorder="1" applyAlignment="1">
      <alignment horizontal="center" vertical="center"/>
    </xf>
    <xf numFmtId="49" fontId="37" fillId="2" borderId="4" xfId="2945" applyNumberFormat="1" applyFont="1" applyFill="1" applyBorder="1" applyAlignment="1">
      <alignment horizontal="right" vertical="top"/>
    </xf>
    <xf numFmtId="49" fontId="37" fillId="2" borderId="5" xfId="2945" applyNumberFormat="1" applyFont="1" applyFill="1" applyBorder="1" applyAlignment="1">
      <alignment horizontal="right" vertical="top"/>
    </xf>
    <xf numFmtId="0" fontId="10" fillId="2" borderId="6" xfId="2945" applyFont="1" applyFill="1" applyBorder="1" applyAlignment="1">
      <alignment horizontal="center" vertical="center"/>
    </xf>
    <xf numFmtId="165" fontId="79" fillId="0" borderId="45" xfId="53" applyNumberFormat="1" applyFont="1" applyFill="1" applyBorder="1" applyAlignment="1">
      <alignment horizontal="right" vertical="center" wrapText="1"/>
    </xf>
    <xf numFmtId="0" fontId="78" fillId="0" borderId="46" xfId="53" applyFont="1" applyFill="1" applyBorder="1" applyAlignment="1">
      <alignment horizontal="right" vertical="center" wrapText="1"/>
    </xf>
    <xf numFmtId="0" fontId="78" fillId="0" borderId="49" xfId="53" applyFont="1" applyFill="1" applyBorder="1" applyAlignment="1">
      <alignment horizontal="right" vertical="center" wrapText="1"/>
    </xf>
    <xf numFmtId="0" fontId="79" fillId="0" borderId="0" xfId="53" applyFont="1" applyFill="1" applyAlignment="1">
      <alignment horizontal="right" vertical="center" wrapText="1"/>
    </xf>
    <xf numFmtId="0" fontId="80" fillId="0" borderId="0" xfId="53" applyFont="1" applyFill="1" applyAlignment="1">
      <alignment horizontal="center" vertical="center" wrapText="1"/>
    </xf>
    <xf numFmtId="0" fontId="80" fillId="0" borderId="40" xfId="53" applyFont="1" applyFill="1" applyBorder="1" applyAlignment="1">
      <alignment horizontal="center" vertical="center" wrapText="1"/>
    </xf>
    <xf numFmtId="0" fontId="80" fillId="0" borderId="43" xfId="53" applyFont="1" applyFill="1" applyBorder="1" applyAlignment="1">
      <alignment horizontal="center" vertical="top" wrapText="1"/>
    </xf>
    <xf numFmtId="0" fontId="79" fillId="0" borderId="41" xfId="53" applyFont="1" applyFill="1" applyBorder="1" applyAlignment="1">
      <alignment horizontal="center" vertical="center" wrapText="1"/>
    </xf>
    <xf numFmtId="0" fontId="79" fillId="0" borderId="1" xfId="53" applyFont="1" applyFill="1" applyBorder="1" applyAlignment="1">
      <alignment horizontal="center" vertical="center" wrapText="1"/>
    </xf>
    <xf numFmtId="165" fontId="79" fillId="0" borderId="42" xfId="53" applyNumberFormat="1" applyFont="1" applyFill="1" applyBorder="1" applyAlignment="1">
      <alignment horizontal="center" vertical="center" wrapText="1"/>
    </xf>
    <xf numFmtId="165" fontId="79" fillId="0" borderId="44" xfId="53" applyNumberFormat="1" applyFont="1" applyFill="1" applyBorder="1" applyAlignment="1">
      <alignment vertical="top" wrapText="1"/>
    </xf>
    <xf numFmtId="165" fontId="79" fillId="2" borderId="45" xfId="53" applyNumberFormat="1" applyFont="1" applyFill="1" applyBorder="1" applyAlignment="1">
      <alignment horizontal="right" vertical="center" wrapText="1"/>
    </xf>
    <xf numFmtId="0" fontId="80" fillId="0" borderId="0" xfId="53" applyFont="1" applyFill="1" applyBorder="1" applyAlignment="1">
      <alignment horizontal="center" vertical="center" wrapText="1"/>
    </xf>
    <xf numFmtId="0" fontId="84" fillId="0" borderId="7" xfId="53" applyFont="1" applyFill="1" applyBorder="1" applyAlignment="1">
      <alignment horizontal="center" vertical="center" wrapText="1"/>
    </xf>
    <xf numFmtId="0" fontId="79" fillId="0" borderId="0" xfId="53" applyFont="1" applyFill="1" applyBorder="1" applyAlignment="1">
      <alignment horizontal="center" vertical="center" wrapText="1"/>
    </xf>
    <xf numFmtId="0" fontId="79" fillId="0" borderId="17" xfId="53" applyFont="1" applyFill="1" applyBorder="1" applyAlignment="1">
      <alignment horizontal="center" vertical="center" wrapText="1"/>
    </xf>
    <xf numFmtId="0" fontId="55" fillId="0" borderId="0" xfId="53" applyFont="1" applyFill="1" applyBorder="1" applyAlignment="1">
      <alignment horizontal="center" vertical="center" wrapText="1"/>
    </xf>
    <xf numFmtId="0" fontId="79" fillId="0" borderId="0" xfId="53" applyFont="1" applyFill="1" applyAlignment="1">
      <alignment vertical="top" wrapText="1"/>
    </xf>
    <xf numFmtId="0" fontId="79" fillId="0" borderId="40" xfId="53" applyFont="1" applyFill="1" applyBorder="1" applyAlignment="1">
      <alignment horizontal="center" vertical="center" wrapText="1"/>
    </xf>
    <xf numFmtId="0" fontId="79" fillId="0" borderId="47" xfId="53" applyFont="1" applyFill="1" applyBorder="1" applyAlignment="1">
      <alignment horizontal="center" vertical="center" wrapText="1"/>
    </xf>
    <xf numFmtId="0" fontId="79" fillId="0" borderId="48" xfId="53" applyFont="1" applyFill="1" applyBorder="1" applyAlignment="1">
      <alignment horizontal="center" vertical="center" wrapText="1"/>
    </xf>
    <xf numFmtId="0" fontId="79" fillId="0" borderId="51" xfId="53" applyFont="1" applyFill="1" applyBorder="1" applyAlignment="1">
      <alignment horizontal="center" vertical="center" wrapText="1"/>
    </xf>
    <xf numFmtId="0" fontId="79" fillId="0" borderId="52" xfId="53" applyFont="1" applyFill="1" applyBorder="1" applyAlignment="1">
      <alignment horizontal="center" vertical="center" wrapText="1"/>
    </xf>
    <xf numFmtId="0" fontId="79" fillId="0" borderId="42" xfId="53" applyFont="1" applyFill="1" applyBorder="1" applyAlignment="1">
      <alignment horizontal="center" vertical="center" wrapText="1"/>
    </xf>
    <xf numFmtId="0" fontId="79" fillId="0" borderId="53" xfId="53" applyFont="1" applyFill="1" applyBorder="1" applyAlignment="1">
      <alignment horizontal="center" vertical="center" wrapText="1"/>
    </xf>
    <xf numFmtId="0" fontId="80" fillId="0" borderId="54" xfId="53" applyFont="1" applyFill="1" applyBorder="1" applyAlignment="1">
      <alignment horizontal="center" vertical="top" wrapText="1"/>
    </xf>
    <xf numFmtId="0" fontId="80" fillId="0" borderId="55" xfId="53" applyFont="1" applyFill="1" applyBorder="1" applyAlignment="1">
      <alignment horizontal="center" vertical="top" wrapText="1"/>
    </xf>
    <xf numFmtId="0" fontId="80" fillId="0" borderId="56" xfId="53" applyFont="1" applyFill="1" applyBorder="1" applyAlignment="1">
      <alignment horizontal="center" vertical="top" wrapText="1"/>
    </xf>
    <xf numFmtId="0" fontId="38" fillId="2" borderId="2" xfId="0" applyNumberFormat="1" applyFont="1" applyFill="1" applyBorder="1" applyAlignment="1">
      <alignment horizontal="center" vertical="center"/>
    </xf>
    <xf numFmtId="0" fontId="86" fillId="2" borderId="13" xfId="0" applyNumberFormat="1" applyFont="1" applyFill="1" applyBorder="1" applyAlignment="1">
      <alignment vertical="center"/>
    </xf>
    <xf numFmtId="0" fontId="38" fillId="2" borderId="13" xfId="0" applyNumberFormat="1" applyFont="1" applyFill="1" applyBorder="1" applyAlignment="1">
      <alignment horizontal="center" vertical="center"/>
    </xf>
    <xf numFmtId="0" fontId="86" fillId="2" borderId="13" xfId="0" applyNumberFormat="1" applyFont="1" applyFill="1" applyBorder="1" applyAlignment="1">
      <alignment horizontal="center" vertical="center"/>
    </xf>
    <xf numFmtId="0" fontId="86" fillId="2" borderId="12" xfId="0" applyNumberFormat="1" applyFont="1" applyFill="1" applyBorder="1" applyAlignment="1">
      <alignment horizontal="center" vertical="center"/>
    </xf>
    <xf numFmtId="0" fontId="38" fillId="2" borderId="3" xfId="0" applyNumberFormat="1" applyFont="1" applyFill="1" applyBorder="1" applyAlignment="1">
      <alignment horizontal="center" vertical="center"/>
    </xf>
    <xf numFmtId="0" fontId="86" fillId="2" borderId="8" xfId="0" applyNumberFormat="1" applyFont="1" applyFill="1" applyBorder="1" applyAlignment="1">
      <alignment vertical="center"/>
    </xf>
    <xf numFmtId="0" fontId="38" fillId="2" borderId="8" xfId="0" applyNumberFormat="1" applyFont="1" applyFill="1" applyBorder="1" applyAlignment="1">
      <alignment horizontal="center" vertical="center"/>
    </xf>
    <xf numFmtId="0" fontId="86" fillId="2" borderId="8" xfId="0" applyNumberFormat="1" applyFont="1" applyFill="1" applyBorder="1" applyAlignment="1">
      <alignment horizontal="center" vertical="center"/>
    </xf>
    <xf numFmtId="0" fontId="86" fillId="2" borderId="14" xfId="0" applyNumberFormat="1" applyFont="1" applyFill="1" applyBorder="1" applyAlignment="1">
      <alignment horizontal="center" vertical="center"/>
    </xf>
    <xf numFmtId="0" fontId="5" fillId="2" borderId="6" xfId="0" applyFont="1" applyFill="1" applyBorder="1" applyAlignment="1">
      <alignment vertical="center" wrapText="1"/>
    </xf>
    <xf numFmtId="0" fontId="5" fillId="2" borderId="1" xfId="0" applyFont="1" applyFill="1" applyBorder="1" applyAlignment="1">
      <alignment vertical="center" wrapText="1"/>
    </xf>
    <xf numFmtId="0" fontId="87" fillId="6" borderId="1" xfId="0" applyNumberFormat="1" applyFont="1" applyFill="1" applyBorder="1" applyAlignment="1">
      <alignment horizontal="center" vertical="center" wrapText="1"/>
    </xf>
    <xf numFmtId="0" fontId="86" fillId="6" borderId="1" xfId="0" applyFont="1" applyFill="1" applyBorder="1" applyAlignment="1">
      <alignment vertical="center" wrapText="1"/>
    </xf>
    <xf numFmtId="0" fontId="87" fillId="6" borderId="1" xfId="0" applyFont="1" applyFill="1" applyBorder="1" applyAlignment="1">
      <alignment horizontal="center" vertical="center" wrapText="1"/>
    </xf>
    <xf numFmtId="0" fontId="70" fillId="6" borderId="1" xfId="0" applyFont="1" applyFill="1" applyBorder="1" applyAlignment="1">
      <alignment horizontal="center" vertical="center" wrapText="1"/>
    </xf>
    <xf numFmtId="0" fontId="86" fillId="6" borderId="1" xfId="0" applyFont="1" applyFill="1" applyBorder="1" applyAlignment="1">
      <alignment horizontal="center" vertical="center" wrapText="1"/>
    </xf>
    <xf numFmtId="0" fontId="87" fillId="2" borderId="1" xfId="0" applyNumberFormat="1" applyFont="1" applyFill="1" applyBorder="1" applyAlignment="1">
      <alignment horizontal="center" vertical="center" wrapText="1"/>
    </xf>
    <xf numFmtId="0" fontId="86" fillId="2" borderId="1" xfId="0" applyFont="1" applyFill="1" applyBorder="1" applyAlignment="1">
      <alignment vertical="center" wrapText="1"/>
    </xf>
    <xf numFmtId="0" fontId="87" fillId="2" borderId="1" xfId="0" applyFont="1" applyFill="1" applyBorder="1" applyAlignment="1">
      <alignment horizontal="center" vertical="center" wrapText="1"/>
    </xf>
    <xf numFmtId="0" fontId="70" fillId="2" borderId="1" xfId="0" applyFont="1" applyFill="1" applyBorder="1" applyAlignment="1">
      <alignment horizontal="center" vertical="center" wrapText="1"/>
    </xf>
    <xf numFmtId="0" fontId="86" fillId="2" borderId="1" xfId="0" applyFont="1" applyFill="1" applyBorder="1" applyAlignment="1">
      <alignment horizontal="center" vertical="center" wrapText="1"/>
    </xf>
    <xf numFmtId="0" fontId="89" fillId="2" borderId="1" xfId="0" applyNumberFormat="1" applyFont="1" applyFill="1" applyBorder="1" applyAlignment="1">
      <alignment horizontal="center" vertical="center" wrapText="1"/>
    </xf>
    <xf numFmtId="0" fontId="90" fillId="2" borderId="1" xfId="0" applyFont="1" applyFill="1" applyBorder="1" applyAlignment="1">
      <alignment vertical="center" wrapText="1"/>
    </xf>
    <xf numFmtId="0" fontId="89" fillId="2" borderId="1" xfId="0" applyFont="1" applyFill="1" applyBorder="1" applyAlignment="1">
      <alignment horizontal="center" vertical="center" wrapText="1"/>
    </xf>
    <xf numFmtId="0" fontId="90" fillId="2" borderId="1" xfId="0" applyFont="1" applyFill="1" applyBorder="1" applyAlignment="1">
      <alignment horizontal="center" vertical="center" wrapText="1"/>
    </xf>
    <xf numFmtId="0" fontId="87" fillId="15" borderId="1" xfId="0" applyNumberFormat="1" applyFont="1" applyFill="1" applyBorder="1" applyAlignment="1">
      <alignment horizontal="center" vertical="center" wrapText="1"/>
    </xf>
    <xf numFmtId="0" fontId="86" fillId="15" borderId="1" xfId="0" applyFont="1" applyFill="1" applyBorder="1" applyAlignment="1">
      <alignment vertical="center" wrapText="1"/>
    </xf>
    <xf numFmtId="0" fontId="87" fillId="15" borderId="1" xfId="0" applyFont="1" applyFill="1" applyBorder="1" applyAlignment="1">
      <alignment horizontal="center" vertical="center" wrapText="1"/>
    </xf>
    <xf numFmtId="0" fontId="70" fillId="15" borderId="1" xfId="0" applyFont="1" applyFill="1" applyBorder="1" applyAlignment="1">
      <alignment horizontal="center" vertical="center" wrapText="1"/>
    </xf>
    <xf numFmtId="0" fontId="86" fillId="15" borderId="1" xfId="0" applyFont="1" applyFill="1" applyBorder="1" applyAlignment="1">
      <alignment horizontal="center" vertical="center" wrapText="1"/>
    </xf>
    <xf numFmtId="0" fontId="87" fillId="18" borderId="1" xfId="0" applyNumberFormat="1" applyFont="1" applyFill="1" applyBorder="1" applyAlignment="1">
      <alignment horizontal="center" vertical="center" wrapText="1"/>
    </xf>
    <xf numFmtId="0" fontId="86" fillId="18" borderId="1" xfId="0" applyNumberFormat="1" applyFont="1" applyFill="1" applyBorder="1" applyAlignment="1">
      <alignment vertical="center" wrapText="1"/>
    </xf>
    <xf numFmtId="0" fontId="87" fillId="18" borderId="1" xfId="0" applyFont="1" applyFill="1" applyBorder="1" applyAlignment="1">
      <alignment horizontal="center" vertical="center" wrapText="1"/>
    </xf>
    <xf numFmtId="0" fontId="70" fillId="18" borderId="1" xfId="0" applyFont="1" applyFill="1" applyBorder="1" applyAlignment="1">
      <alignment horizontal="center" vertical="center" wrapText="1"/>
    </xf>
    <xf numFmtId="0" fontId="86" fillId="18" borderId="1" xfId="0" applyFont="1" applyFill="1" applyBorder="1" applyAlignment="1">
      <alignment horizontal="center" vertical="center" wrapText="1"/>
    </xf>
    <xf numFmtId="0" fontId="30" fillId="2" borderId="4" xfId="0" applyNumberFormat="1" applyFont="1" applyFill="1" applyBorder="1" applyAlignment="1">
      <alignment vertical="center" wrapText="1"/>
    </xf>
    <xf numFmtId="0" fontId="30" fillId="2" borderId="5" xfId="0" applyNumberFormat="1" applyFont="1" applyFill="1" applyBorder="1" applyAlignment="1">
      <alignment vertical="center" wrapText="1"/>
    </xf>
    <xf numFmtId="0" fontId="30" fillId="2" borderId="6" xfId="0" applyNumberFormat="1" applyFont="1" applyFill="1" applyBorder="1" applyAlignment="1">
      <alignment vertical="center" wrapText="1"/>
    </xf>
    <xf numFmtId="0" fontId="10" fillId="0" borderId="1" xfId="0" applyNumberFormat="1" applyFont="1" applyFill="1" applyBorder="1" applyAlignment="1">
      <alignment horizontal="center" vertical="center" wrapText="1"/>
    </xf>
    <xf numFmtId="0" fontId="92" fillId="0" borderId="4" xfId="0" applyNumberFormat="1" applyFont="1" applyFill="1" applyBorder="1" applyAlignment="1">
      <alignment vertical="center" wrapText="1"/>
    </xf>
    <xf numFmtId="0" fontId="92" fillId="0" borderId="5" xfId="0" applyNumberFormat="1" applyFont="1" applyFill="1" applyBorder="1" applyAlignment="1">
      <alignment vertical="center" wrapText="1"/>
    </xf>
    <xf numFmtId="0" fontId="92" fillId="0" borderId="6" xfId="0" applyNumberFormat="1" applyFont="1" applyFill="1" applyBorder="1" applyAlignment="1">
      <alignment vertical="center" wrapText="1"/>
    </xf>
    <xf numFmtId="0" fontId="92" fillId="2" borderId="4" xfId="0" applyFont="1" applyFill="1" applyBorder="1" applyAlignment="1">
      <alignment horizontal="center" vertical="center" wrapText="1"/>
    </xf>
    <xf numFmtId="0" fontId="92" fillId="2" borderId="5" xfId="0" applyFont="1" applyFill="1" applyBorder="1" applyAlignment="1">
      <alignment horizontal="center" vertical="center" wrapText="1"/>
    </xf>
    <xf numFmtId="0" fontId="92" fillId="2" borderId="6" xfId="0" applyFont="1" applyFill="1" applyBorder="1" applyAlignment="1">
      <alignment horizontal="center" vertical="center" wrapText="1"/>
    </xf>
    <xf numFmtId="0" fontId="92" fillId="0" borderId="1" xfId="0" applyFont="1" applyFill="1" applyBorder="1" applyAlignment="1">
      <alignment horizontal="center" vertical="center" wrapText="1"/>
    </xf>
    <xf numFmtId="0" fontId="70" fillId="18" borderId="1" xfId="0" applyFont="1" applyFill="1" applyBorder="1" applyAlignment="1">
      <alignment horizontal="center" vertical="top" wrapText="1"/>
    </xf>
    <xf numFmtId="0" fontId="30" fillId="2" borderId="1" xfId="0" applyNumberFormat="1" applyFont="1" applyFill="1" applyBorder="1" applyAlignment="1">
      <alignment vertical="center" wrapText="1"/>
    </xf>
    <xf numFmtId="0" fontId="10" fillId="2" borderId="1" xfId="0" applyFont="1" applyFill="1" applyBorder="1" applyAlignment="1">
      <alignment horizontal="center" vertical="center" wrapText="1"/>
    </xf>
    <xf numFmtId="0" fontId="92" fillId="2" borderId="1" xfId="0" applyFont="1" applyFill="1" applyBorder="1" applyAlignment="1">
      <alignment horizontal="center" vertical="top" wrapText="1"/>
    </xf>
    <xf numFmtId="0" fontId="55" fillId="18" borderId="1" xfId="0" applyNumberFormat="1" applyFont="1" applyFill="1" applyBorder="1" applyAlignment="1">
      <alignment horizontal="center" vertical="center" wrapText="1"/>
    </xf>
    <xf numFmtId="0" fontId="70" fillId="18" borderId="1" xfId="0" applyFont="1" applyFill="1" applyBorder="1" applyAlignment="1">
      <alignment vertical="center" wrapText="1"/>
    </xf>
    <xf numFmtId="0" fontId="55" fillId="18" borderId="1" xfId="0" applyFont="1" applyFill="1" applyBorder="1" applyAlignment="1">
      <alignment horizontal="center" vertical="center" wrapText="1"/>
    </xf>
    <xf numFmtId="0" fontId="30" fillId="0" borderId="1" xfId="0" applyNumberFormat="1" applyFont="1" applyFill="1" applyBorder="1" applyAlignment="1">
      <alignment vertical="center" wrapText="1"/>
    </xf>
    <xf numFmtId="0" fontId="92" fillId="2" borderId="1" xfId="0" applyFont="1" applyFill="1" applyBorder="1" applyAlignment="1">
      <alignment horizontal="center" vertical="center" wrapText="1"/>
    </xf>
    <xf numFmtId="0" fontId="92" fillId="2" borderId="1" xfId="0" applyNumberFormat="1" applyFont="1" applyFill="1" applyBorder="1" applyAlignment="1">
      <alignment vertical="center" wrapText="1"/>
    </xf>
    <xf numFmtId="0" fontId="70" fillId="15" borderId="1" xfId="0" applyFont="1" applyFill="1" applyBorder="1" applyAlignment="1">
      <alignment vertical="center" wrapText="1"/>
    </xf>
    <xf numFmtId="0" fontId="30" fillId="2" borderId="1" xfId="0" applyFont="1" applyFill="1" applyBorder="1" applyAlignment="1">
      <alignment horizontal="center" vertical="top" wrapText="1"/>
    </xf>
    <xf numFmtId="0" fontId="92" fillId="2" borderId="1" xfId="0" applyNumberFormat="1" applyFont="1" applyFill="1" applyBorder="1" applyAlignment="1">
      <alignment horizontal="center" vertical="center" wrapText="1"/>
    </xf>
    <xf numFmtId="0" fontId="92" fillId="0" borderId="1" xfId="0" applyNumberFormat="1" applyFont="1" applyFill="1" applyBorder="1" applyAlignment="1">
      <alignment vertical="center" wrapText="1"/>
    </xf>
    <xf numFmtId="0" fontId="92" fillId="0" borderId="1" xfId="0" applyNumberFormat="1" applyFont="1" applyFill="1" applyBorder="1" applyAlignment="1">
      <alignment horizontal="center" vertical="center" wrapText="1"/>
    </xf>
    <xf numFmtId="0" fontId="70" fillId="18" borderId="1" xfId="0" applyNumberFormat="1" applyFont="1" applyFill="1" applyBorder="1" applyAlignment="1">
      <alignment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92" fillId="2" borderId="1" xfId="0" applyFont="1" applyFill="1" applyBorder="1" applyAlignment="1">
      <alignment horizontal="left" vertical="center" wrapText="1"/>
    </xf>
    <xf numFmtId="0" fontId="30" fillId="2" borderId="4"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30" fillId="0" borderId="1" xfId="0" applyFont="1" applyFill="1" applyBorder="1" applyAlignment="1">
      <alignment horizontal="center" vertical="top" wrapText="1"/>
    </xf>
    <xf numFmtId="0" fontId="95" fillId="2" borderId="1" xfId="0" applyNumberFormat="1" applyFont="1" applyFill="1" applyBorder="1" applyAlignment="1">
      <alignment horizontal="center" vertical="center" wrapText="1"/>
    </xf>
    <xf numFmtId="0" fontId="96" fillId="2" borderId="1" xfId="0" applyNumberFormat="1" applyFont="1" applyFill="1" applyBorder="1" applyAlignment="1">
      <alignment vertical="center" wrapText="1"/>
    </xf>
    <xf numFmtId="0" fontId="95" fillId="2" borderId="1" xfId="0" applyFont="1" applyFill="1" applyBorder="1" applyAlignment="1">
      <alignment horizontal="center" vertical="center" wrapText="1"/>
    </xf>
    <xf numFmtId="0" fontId="96" fillId="2" borderId="1" xfId="0" applyFont="1" applyFill="1" applyBorder="1" applyAlignment="1">
      <alignment horizontal="center" vertical="center" wrapText="1"/>
    </xf>
    <xf numFmtId="0" fontId="96" fillId="0" borderId="1" xfId="0" applyNumberFormat="1" applyFont="1" applyFill="1" applyBorder="1" applyAlignment="1">
      <alignment vertical="center" wrapText="1"/>
    </xf>
    <xf numFmtId="0" fontId="95" fillId="0" borderId="1" xfId="0" applyNumberFormat="1" applyFont="1" applyFill="1" applyBorder="1" applyAlignment="1">
      <alignment horizontal="center" vertical="center" wrapText="1"/>
    </xf>
    <xf numFmtId="0" fontId="96" fillId="0" borderId="1" xfId="0" applyFont="1" applyFill="1" applyBorder="1" applyAlignment="1">
      <alignment horizontal="center" vertical="top" wrapText="1"/>
    </xf>
    <xf numFmtId="0" fontId="96" fillId="0" borderId="1"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14" fontId="95" fillId="2" borderId="1" xfId="0" applyNumberFormat="1" applyFont="1" applyFill="1" applyBorder="1" applyAlignment="1">
      <alignment horizontal="center" vertical="center" wrapText="1"/>
    </xf>
    <xf numFmtId="0" fontId="96" fillId="2" borderId="1" xfId="0" applyFont="1" applyFill="1" applyBorder="1" applyAlignment="1">
      <alignment vertical="center" wrapText="1"/>
    </xf>
    <xf numFmtId="0" fontId="95" fillId="2" borderId="4" xfId="0" applyNumberFormat="1" applyFont="1" applyFill="1" applyBorder="1" applyAlignment="1">
      <alignment horizontal="center" vertical="center" wrapText="1"/>
    </xf>
    <xf numFmtId="0" fontId="95" fillId="2" borderId="5" xfId="0" applyNumberFormat="1" applyFont="1" applyFill="1" applyBorder="1" applyAlignment="1">
      <alignment horizontal="center" vertical="center" wrapText="1"/>
    </xf>
    <xf numFmtId="0" fontId="95" fillId="2" borderId="6" xfId="0" applyNumberFormat="1" applyFont="1" applyFill="1" applyBorder="1" applyAlignment="1">
      <alignment horizontal="center" vertical="center" wrapText="1"/>
    </xf>
    <xf numFmtId="0" fontId="23" fillId="2" borderId="1" xfId="0" applyNumberFormat="1" applyFont="1" applyFill="1" applyBorder="1" applyAlignment="1">
      <alignment horizontal="center" vertical="center" wrapText="1"/>
    </xf>
    <xf numFmtId="0" fontId="96" fillId="2" borderId="1" xfId="0" applyFont="1" applyFill="1" applyBorder="1" applyAlignment="1">
      <alignment horizontal="center" vertical="top" wrapText="1"/>
    </xf>
    <xf numFmtId="0" fontId="30" fillId="2" borderId="1" xfId="0" applyFont="1" applyFill="1" applyBorder="1" applyAlignment="1">
      <alignment vertical="center" wrapText="1"/>
    </xf>
    <xf numFmtId="0" fontId="102" fillId="15" borderId="1" xfId="0" applyFont="1" applyFill="1" applyBorder="1" applyAlignment="1">
      <alignment horizontal="center" vertical="center"/>
    </xf>
    <xf numFmtId="49" fontId="37" fillId="20" borderId="4" xfId="8" applyNumberFormat="1" applyFont="1" applyFill="1" applyBorder="1" applyAlignment="1">
      <alignment horizontal="right" vertical="top"/>
    </xf>
    <xf numFmtId="49" fontId="37" fillId="20" borderId="5" xfId="8" applyNumberFormat="1" applyFont="1" applyFill="1" applyBorder="1" applyAlignment="1">
      <alignment horizontal="right" vertical="top"/>
    </xf>
    <xf numFmtId="0" fontId="64" fillId="2" borderId="0" xfId="0" applyFont="1" applyFill="1" applyAlignment="1">
      <alignment horizontal="center" wrapText="1"/>
    </xf>
    <xf numFmtId="0" fontId="60" fillId="2" borderId="0" xfId="0" applyFont="1" applyFill="1" applyAlignment="1">
      <alignment horizontal="left" vertical="center" wrapText="1"/>
    </xf>
    <xf numFmtId="0" fontId="17" fillId="0" borderId="0" xfId="0" applyFont="1" applyAlignment="1">
      <alignment horizontal="center" vertical="center" wrapText="1"/>
    </xf>
    <xf numFmtId="0" fontId="17" fillId="0" borderId="0" xfId="0" applyFont="1" applyAlignment="1">
      <alignment horizontal="center" vertical="center"/>
    </xf>
    <xf numFmtId="0" fontId="8" fillId="0" borderId="1" xfId="0" applyFont="1" applyBorder="1" applyAlignment="1">
      <alignment vertical="center" wrapText="1"/>
    </xf>
    <xf numFmtId="0" fontId="8" fillId="0" borderId="4" xfId="0" applyFont="1" applyBorder="1" applyAlignment="1">
      <alignment horizontal="center" vertical="center" wrapText="1"/>
    </xf>
    <xf numFmtId="0" fontId="8" fillId="0" borderId="6" xfId="0" applyFont="1" applyBorder="1" applyAlignment="1">
      <alignment horizontal="center" vertical="center" wrapText="1"/>
    </xf>
    <xf numFmtId="0" fontId="8" fillId="0" borderId="0" xfId="0" applyFont="1" applyAlignment="1">
      <alignment horizontal="left" vertical="top" wrapText="1"/>
    </xf>
    <xf numFmtId="0" fontId="5" fillId="0" borderId="1" xfId="0" applyFont="1" applyFill="1" applyBorder="1" applyAlignment="1">
      <alignment horizontal="left" vertical="center" wrapText="1"/>
    </xf>
    <xf numFmtId="165" fontId="5" fillId="0" borderId="1" xfId="0" applyNumberFormat="1" applyFont="1" applyFill="1" applyBorder="1" applyAlignment="1">
      <alignment horizontal="center" vertical="center" wrapText="1"/>
    </xf>
    <xf numFmtId="0" fontId="17" fillId="0" borderId="0" xfId="0" applyFont="1" applyBorder="1" applyAlignment="1">
      <alignment horizontal="center" vertical="center" wrapText="1"/>
    </xf>
    <xf numFmtId="0" fontId="5" fillId="2" borderId="1" xfId="0" applyFont="1" applyFill="1" applyBorder="1" applyAlignment="1">
      <alignment horizontal="left" vertical="center" wrapText="1"/>
    </xf>
    <xf numFmtId="165" fontId="5" fillId="2" borderId="1" xfId="0" applyNumberFormat="1" applyFont="1" applyFill="1" applyBorder="1" applyAlignment="1">
      <alignment horizontal="center" vertical="center" wrapText="1"/>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6" xfId="0" applyFont="1" applyFill="1" applyBorder="1" applyAlignment="1">
      <alignment horizontal="left" vertical="center" wrapText="1"/>
    </xf>
    <xf numFmtId="0" fontId="30" fillId="2" borderId="1"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165" fontId="5" fillId="2" borderId="4" xfId="0" applyNumberFormat="1" applyFont="1" applyFill="1" applyBorder="1" applyAlignment="1">
      <alignment horizontal="center" vertical="center" wrapText="1"/>
    </xf>
    <xf numFmtId="165" fontId="5" fillId="2" borderId="5" xfId="0" applyNumberFormat="1" applyFont="1" applyFill="1" applyBorder="1" applyAlignment="1">
      <alignment horizontal="center" vertical="center" wrapText="1"/>
    </xf>
    <xf numFmtId="165" fontId="5" fillId="2" borderId="6" xfId="0" applyNumberFormat="1" applyFont="1" applyFill="1" applyBorder="1" applyAlignment="1">
      <alignment horizontal="center" vertical="center" wrapText="1"/>
    </xf>
    <xf numFmtId="49" fontId="10" fillId="0" borderId="73" xfId="5528" applyNumberFormat="1" applyFont="1" applyFill="1" applyBorder="1" applyAlignment="1">
      <alignment horizontal="center" vertical="center" wrapText="1"/>
    </xf>
    <xf numFmtId="0" fontId="30" fillId="0" borderId="73" xfId="5528" applyFont="1" applyFill="1" applyBorder="1" applyAlignment="1">
      <alignment horizontal="left" vertical="center" wrapText="1"/>
    </xf>
    <xf numFmtId="0" fontId="10" fillId="0" borderId="73" xfId="5528" applyFont="1" applyFill="1" applyBorder="1" applyAlignment="1">
      <alignment horizontal="center" vertical="center" wrapText="1"/>
    </xf>
    <xf numFmtId="0" fontId="30" fillId="0" borderId="73" xfId="5528" applyFont="1" applyFill="1" applyBorder="1" applyAlignment="1">
      <alignment horizontal="center" vertical="center" wrapText="1"/>
    </xf>
    <xf numFmtId="49" fontId="55" fillId="0" borderId="73" xfId="5528" applyNumberFormat="1" applyFont="1" applyFill="1" applyBorder="1" applyAlignment="1">
      <alignment horizontal="center" vertical="center" wrapText="1"/>
    </xf>
    <xf numFmtId="0" fontId="70" fillId="0" borderId="73" xfId="5528" applyFont="1" applyFill="1" applyBorder="1" applyAlignment="1">
      <alignment horizontal="left" vertical="center" wrapText="1"/>
    </xf>
    <xf numFmtId="0" fontId="55" fillId="0" borderId="73" xfId="5528" applyFont="1" applyFill="1" applyBorder="1" applyAlignment="1">
      <alignment horizontal="center" vertical="center" wrapText="1"/>
    </xf>
    <xf numFmtId="0" fontId="102" fillId="0" borderId="73" xfId="5528" applyFont="1" applyFill="1" applyBorder="1" applyAlignment="1">
      <alignment horizontal="center" vertical="center"/>
    </xf>
    <xf numFmtId="0" fontId="70" fillId="0" borderId="73" xfId="5528" applyFont="1" applyFill="1" applyBorder="1" applyAlignment="1">
      <alignment horizontal="center" vertical="center" wrapText="1"/>
    </xf>
    <xf numFmtId="0" fontId="105" fillId="0" borderId="7" xfId="5528" applyFont="1" applyBorder="1" applyAlignment="1">
      <alignment horizontal="center" wrapText="1"/>
    </xf>
    <xf numFmtId="0" fontId="123" fillId="0" borderId="7" xfId="5528" applyFont="1" applyBorder="1" applyAlignment="1">
      <alignment horizontal="center" vertical="center" wrapText="1"/>
    </xf>
    <xf numFmtId="49" fontId="10" fillId="0" borderId="74" xfId="5528" applyNumberFormat="1" applyFont="1" applyFill="1" applyBorder="1" applyAlignment="1">
      <alignment horizontal="center" vertical="center" wrapText="1"/>
    </xf>
    <xf numFmtId="49" fontId="10" fillId="0" borderId="5" xfId="5528" applyNumberFormat="1" applyFont="1" applyFill="1" applyBorder="1" applyAlignment="1">
      <alignment horizontal="center" vertical="center" wrapText="1"/>
    </xf>
    <xf numFmtId="49" fontId="10" fillId="0" borderId="6" xfId="5528" applyNumberFormat="1" applyFont="1" applyFill="1" applyBorder="1" applyAlignment="1">
      <alignment horizontal="center" vertical="center" wrapText="1"/>
    </xf>
    <xf numFmtId="0" fontId="30" fillId="0" borderId="74" xfId="5528" applyFont="1" applyFill="1" applyBorder="1" applyAlignment="1">
      <alignment horizontal="center" vertical="center" wrapText="1"/>
    </xf>
    <xf numFmtId="0" fontId="30" fillId="0" borderId="5" xfId="5528" applyFont="1" applyFill="1" applyBorder="1" applyAlignment="1">
      <alignment horizontal="center" vertical="center" wrapText="1"/>
    </xf>
    <xf numFmtId="0" fontId="30" fillId="0" borderId="6" xfId="5528" applyFont="1" applyFill="1" applyBorder="1" applyAlignment="1">
      <alignment horizontal="center" vertical="center" wrapText="1"/>
    </xf>
    <xf numFmtId="49" fontId="55" fillId="0" borderId="74" xfId="5528" applyNumberFormat="1" applyFont="1" applyFill="1" applyBorder="1" applyAlignment="1">
      <alignment horizontal="center" vertical="center" wrapText="1"/>
    </xf>
    <xf numFmtId="49" fontId="55" fillId="0" borderId="5" xfId="5528" applyNumberFormat="1" applyFont="1" applyFill="1" applyBorder="1" applyAlignment="1">
      <alignment horizontal="center" vertical="center" wrapText="1"/>
    </xf>
    <xf numFmtId="49" fontId="55" fillId="0" borderId="6" xfId="5528" applyNumberFormat="1" applyFont="1" applyFill="1" applyBorder="1" applyAlignment="1">
      <alignment horizontal="center" vertical="center" wrapText="1"/>
    </xf>
    <xf numFmtId="0" fontId="70" fillId="0" borderId="74" xfId="5528" applyFont="1" applyFill="1" applyBorder="1" applyAlignment="1">
      <alignment horizontal="left" vertical="center" wrapText="1"/>
    </xf>
    <xf numFmtId="0" fontId="70" fillId="0" borderId="5" xfId="5528" applyFont="1" applyFill="1" applyBorder="1" applyAlignment="1">
      <alignment horizontal="left" vertical="center" wrapText="1"/>
    </xf>
    <xf numFmtId="0" fontId="70" fillId="0" borderId="6" xfId="5528" applyFont="1" applyFill="1" applyBorder="1" applyAlignment="1">
      <alignment horizontal="left" vertical="center" wrapText="1"/>
    </xf>
    <xf numFmtId="0" fontId="55" fillId="0" borderId="74" xfId="5528" applyFont="1" applyFill="1" applyBorder="1" applyAlignment="1">
      <alignment horizontal="center" vertical="center" wrapText="1"/>
    </xf>
    <xf numFmtId="0" fontId="55" fillId="0" borderId="5" xfId="5528" applyFont="1" applyFill="1" applyBorder="1" applyAlignment="1">
      <alignment horizontal="center" vertical="center" wrapText="1"/>
    </xf>
    <xf numFmtId="0" fontId="55" fillId="0" borderId="6" xfId="5528" applyFont="1" applyFill="1" applyBorder="1" applyAlignment="1">
      <alignment horizontal="center" vertical="center" wrapText="1"/>
    </xf>
    <xf numFmtId="0" fontId="70" fillId="0" borderId="74" xfId="5528" applyFont="1" applyFill="1" applyBorder="1" applyAlignment="1">
      <alignment horizontal="center" vertical="center" wrapText="1"/>
    </xf>
    <xf numFmtId="0" fontId="70" fillId="0" borderId="5" xfId="5528" applyFont="1" applyFill="1" applyBorder="1" applyAlignment="1">
      <alignment horizontal="center" vertical="center" wrapText="1"/>
    </xf>
    <xf numFmtId="0" fontId="70" fillId="0" borderId="6" xfId="5528" applyFont="1" applyFill="1" applyBorder="1" applyAlignment="1">
      <alignment horizontal="center" vertical="center" wrapText="1"/>
    </xf>
    <xf numFmtId="0" fontId="30" fillId="0" borderId="74" xfId="5528" applyFont="1" applyFill="1" applyBorder="1" applyAlignment="1">
      <alignment horizontal="left" vertical="center" wrapText="1"/>
    </xf>
    <xf numFmtId="0" fontId="267" fillId="0" borderId="5" xfId="5528" applyFill="1" applyBorder="1"/>
    <xf numFmtId="0" fontId="267" fillId="0" borderId="6" xfId="5528" applyFill="1" applyBorder="1"/>
    <xf numFmtId="0" fontId="10" fillId="0" borderId="74" xfId="5528" applyFont="1" applyFill="1" applyBorder="1" applyAlignment="1">
      <alignment horizontal="center" vertical="center" wrapText="1"/>
    </xf>
    <xf numFmtId="0" fontId="10" fillId="0" borderId="5" xfId="5528" applyFont="1" applyFill="1" applyBorder="1" applyAlignment="1">
      <alignment horizontal="center" vertical="center" wrapText="1"/>
    </xf>
    <xf numFmtId="0" fontId="10" fillId="0" borderId="6" xfId="5528" applyFont="1" applyFill="1" applyBorder="1" applyAlignment="1">
      <alignment horizontal="center" vertical="center" wrapText="1"/>
    </xf>
    <xf numFmtId="0" fontId="30" fillId="0" borderId="5" xfId="5528" applyFont="1" applyFill="1" applyBorder="1" applyAlignment="1">
      <alignment horizontal="left" vertical="center" wrapText="1"/>
    </xf>
    <xf numFmtId="0" fontId="30" fillId="0" borderId="6" xfId="5528" applyFont="1" applyFill="1" applyBorder="1" applyAlignment="1">
      <alignment horizontal="left" vertical="center" wrapText="1"/>
    </xf>
    <xf numFmtId="49" fontId="10" fillId="174" borderId="74" xfId="5528" applyNumberFormat="1" applyFont="1" applyFill="1" applyBorder="1" applyAlignment="1">
      <alignment horizontal="center" vertical="center" wrapText="1"/>
    </xf>
    <xf numFmtId="49" fontId="10" fillId="174" borderId="5" xfId="5528" applyNumberFormat="1" applyFont="1" applyFill="1" applyBorder="1" applyAlignment="1">
      <alignment horizontal="center" vertical="center" wrapText="1"/>
    </xf>
    <xf numFmtId="49" fontId="10" fillId="174" borderId="6" xfId="5528" applyNumberFormat="1" applyFont="1" applyFill="1" applyBorder="1" applyAlignment="1">
      <alignment horizontal="center" vertical="center" wrapText="1"/>
    </xf>
    <xf numFmtId="0" fontId="30" fillId="174" borderId="74" xfId="5528" applyFont="1" applyFill="1" applyBorder="1" applyAlignment="1">
      <alignment horizontal="left" vertical="center" wrapText="1"/>
    </xf>
    <xf numFmtId="0" fontId="30" fillId="174" borderId="5" xfId="5528" applyFont="1" applyFill="1" applyBorder="1" applyAlignment="1">
      <alignment horizontal="left" vertical="center" wrapText="1"/>
    </xf>
    <xf numFmtId="0" fontId="30" fillId="174" borderId="6" xfId="5528" applyFont="1" applyFill="1" applyBorder="1" applyAlignment="1">
      <alignment horizontal="left" vertical="center" wrapText="1"/>
    </xf>
    <xf numFmtId="0" fontId="10" fillId="174" borderId="73" xfId="5528" applyFont="1" applyFill="1" applyBorder="1" applyAlignment="1">
      <alignment horizontal="center" vertical="center" wrapText="1"/>
    </xf>
    <xf numFmtId="0" fontId="30" fillId="174" borderId="74" xfId="5528" applyFont="1" applyFill="1" applyBorder="1" applyAlignment="1">
      <alignment horizontal="center" vertical="center" wrapText="1"/>
    </xf>
    <xf numFmtId="0" fontId="30" fillId="174" borderId="5" xfId="5528" applyFont="1" applyFill="1" applyBorder="1" applyAlignment="1">
      <alignment horizontal="center" vertical="center" wrapText="1"/>
    </xf>
    <xf numFmtId="0" fontId="30" fillId="174" borderId="6" xfId="5528" applyFont="1" applyFill="1" applyBorder="1" applyAlignment="1">
      <alignment horizontal="center" vertical="center" wrapText="1"/>
    </xf>
    <xf numFmtId="0" fontId="105" fillId="0" borderId="7" xfId="5528" applyFont="1" applyBorder="1" applyAlignment="1">
      <alignment horizontal="center" vertical="center" wrapText="1"/>
    </xf>
    <xf numFmtId="0" fontId="30" fillId="0" borderId="74" xfId="5528" quotePrefix="1" applyFont="1" applyFill="1" applyBorder="1" applyAlignment="1">
      <alignment horizontal="left" vertical="center" wrapText="1"/>
    </xf>
    <xf numFmtId="165" fontId="70" fillId="0" borderId="73" xfId="5528" applyNumberFormat="1" applyFont="1" applyFill="1" applyBorder="1" applyAlignment="1">
      <alignment horizontal="center" vertical="center" wrapText="1"/>
    </xf>
    <xf numFmtId="0" fontId="118" fillId="0" borderId="7" xfId="5528" applyFont="1" applyBorder="1" applyAlignment="1">
      <alignment horizontal="center" vertical="center" wrapText="1"/>
    </xf>
    <xf numFmtId="0" fontId="37" fillId="0" borderId="77" xfId="5528" applyFont="1" applyFill="1" applyBorder="1" applyAlignment="1">
      <alignment horizontal="center" vertical="center"/>
    </xf>
    <xf numFmtId="0" fontId="70" fillId="0" borderId="76" xfId="5528" applyFont="1" applyFill="1" applyBorder="1" applyAlignment="1">
      <alignment vertical="center"/>
    </xf>
    <xf numFmtId="0" fontId="37" fillId="0" borderId="76" xfId="5528" applyFont="1" applyFill="1" applyBorder="1" applyAlignment="1">
      <alignment horizontal="center" vertical="center"/>
    </xf>
    <xf numFmtId="0" fontId="70" fillId="0" borderId="76" xfId="5528" applyFont="1" applyFill="1" applyBorder="1" applyAlignment="1">
      <alignment horizontal="center" vertical="center"/>
    </xf>
    <xf numFmtId="0" fontId="70" fillId="0" borderId="75" xfId="5528" applyFont="1" applyFill="1" applyBorder="1" applyAlignment="1">
      <alignment horizontal="center" vertical="center"/>
    </xf>
    <xf numFmtId="0" fontId="37" fillId="0" borderId="3" xfId="5528" applyFont="1" applyFill="1" applyBorder="1" applyAlignment="1">
      <alignment horizontal="center" vertical="center"/>
    </xf>
    <xf numFmtId="0" fontId="70" fillId="0" borderId="8" xfId="5528" applyFont="1" applyFill="1" applyBorder="1" applyAlignment="1">
      <alignment vertical="center"/>
    </xf>
    <xf numFmtId="0" fontId="37" fillId="0" borderId="8" xfId="5528" applyFont="1" applyFill="1" applyBorder="1" applyAlignment="1">
      <alignment horizontal="center" vertical="center"/>
    </xf>
    <xf numFmtId="0" fontId="70" fillId="0" borderId="8" xfId="5528" applyFont="1" applyFill="1" applyBorder="1" applyAlignment="1">
      <alignment horizontal="center" vertical="center"/>
    </xf>
    <xf numFmtId="0" fontId="70" fillId="0" borderId="14" xfId="5528" applyFont="1" applyFill="1" applyBorder="1" applyAlignment="1">
      <alignment horizontal="center" vertical="center"/>
    </xf>
    <xf numFmtId="49" fontId="30" fillId="0" borderId="6" xfId="5528" applyNumberFormat="1" applyFont="1" applyFill="1" applyBorder="1" applyAlignment="1">
      <alignment horizontal="center" vertical="center" wrapText="1"/>
    </xf>
    <xf numFmtId="49" fontId="30" fillId="0" borderId="73" xfId="5528" applyNumberFormat="1" applyFont="1" applyFill="1" applyBorder="1" applyAlignment="1">
      <alignment horizontal="center" vertical="center" wrapText="1"/>
    </xf>
    <xf numFmtId="0" fontId="269" fillId="0" borderId="4" xfId="5528" applyFont="1" applyBorder="1" applyAlignment="1">
      <alignment horizontal="left" vertical="center" wrapText="1"/>
    </xf>
    <xf numFmtId="0" fontId="269" fillId="0" borderId="5" xfId="5528" applyFont="1" applyBorder="1" applyAlignment="1">
      <alignment horizontal="left" vertical="center" wrapText="1"/>
    </xf>
    <xf numFmtId="0" fontId="269" fillId="0" borderId="6" xfId="5528" applyFont="1" applyBorder="1" applyAlignment="1">
      <alignment horizontal="left" vertical="center" wrapText="1"/>
    </xf>
    <xf numFmtId="0" fontId="267" fillId="0" borderId="4" xfId="5528" applyBorder="1" applyAlignment="1">
      <alignment horizontal="center" vertical="center"/>
    </xf>
    <xf numFmtId="0" fontId="267" fillId="0" borderId="5" xfId="5528" applyBorder="1" applyAlignment="1">
      <alignment horizontal="center" vertical="center"/>
    </xf>
    <xf numFmtId="0" fontId="267" fillId="0" borderId="6" xfId="5528" applyBorder="1" applyAlignment="1">
      <alignment horizontal="center" vertical="center"/>
    </xf>
    <xf numFmtId="0" fontId="270" fillId="0" borderId="4" xfId="5528" applyFont="1" applyBorder="1" applyAlignment="1">
      <alignment horizontal="center" vertical="center" wrapText="1"/>
    </xf>
    <xf numFmtId="0" fontId="270" fillId="0" borderId="5" xfId="5528" applyFont="1" applyBorder="1" applyAlignment="1">
      <alignment horizontal="center" vertical="center" wrapText="1"/>
    </xf>
    <xf numFmtId="0" fontId="270" fillId="0" borderId="6" xfId="5528" applyFont="1" applyBorder="1" applyAlignment="1">
      <alignment horizontal="center" vertical="center" wrapText="1"/>
    </xf>
    <xf numFmtId="0" fontId="270" fillId="0" borderId="4" xfId="5528" applyFont="1" applyBorder="1" applyAlignment="1">
      <alignment horizontal="left" vertical="center" wrapText="1"/>
    </xf>
    <xf numFmtId="0" fontId="270" fillId="0" borderId="5" xfId="5528" applyFont="1" applyBorder="1" applyAlignment="1">
      <alignment horizontal="left" vertical="center" wrapText="1"/>
    </xf>
    <xf numFmtId="0" fontId="270" fillId="0" borderId="6" xfId="5528" applyFont="1" applyBorder="1" applyAlignment="1">
      <alignment horizontal="left" vertical="center" wrapText="1"/>
    </xf>
    <xf numFmtId="0" fontId="270" fillId="0" borderId="4" xfId="5528" applyFont="1" applyBorder="1" applyAlignment="1">
      <alignment vertical="center" wrapText="1"/>
    </xf>
    <xf numFmtId="0" fontId="270" fillId="0" borderId="5" xfId="5528" applyFont="1" applyBorder="1" applyAlignment="1">
      <alignment vertical="center" wrapText="1"/>
    </xf>
    <xf numFmtId="0" fontId="270" fillId="0" borderId="6" xfId="5528" applyFont="1" applyBorder="1" applyAlignment="1">
      <alignment vertical="center" wrapText="1"/>
    </xf>
    <xf numFmtId="0" fontId="269" fillId="0" borderId="4" xfId="5528" applyFont="1" applyBorder="1" applyAlignment="1">
      <alignment vertical="center" wrapText="1"/>
    </xf>
    <xf numFmtId="0" fontId="269" fillId="0" borderId="5" xfId="5528" applyFont="1" applyBorder="1" applyAlignment="1">
      <alignment vertical="center" wrapText="1"/>
    </xf>
    <xf numFmtId="0" fontId="269" fillId="0" borderId="6" xfId="5528" applyFont="1" applyBorder="1" applyAlignment="1">
      <alignment vertical="center" wrapText="1"/>
    </xf>
    <xf numFmtId="167" fontId="285" fillId="0" borderId="4" xfId="5528" applyNumberFormat="1" applyFont="1" applyBorder="1" applyAlignment="1">
      <alignment horizontal="center" vertical="center" wrapText="1"/>
    </xf>
    <xf numFmtId="0" fontId="285" fillId="0" borderId="5" xfId="5528" applyFont="1" applyBorder="1" applyAlignment="1">
      <alignment horizontal="center" vertical="center" wrapText="1"/>
    </xf>
    <xf numFmtId="0" fontId="285" fillId="0" borderId="6" xfId="5528" applyFont="1" applyBorder="1" applyAlignment="1">
      <alignment horizontal="center" vertical="center" wrapText="1"/>
    </xf>
    <xf numFmtId="0" fontId="269" fillId="0" borderId="4" xfId="5528" applyFont="1" applyBorder="1" applyAlignment="1">
      <alignment horizontal="center" vertical="center" wrapText="1"/>
    </xf>
    <xf numFmtId="0" fontId="269" fillId="0" borderId="5" xfId="5528" applyFont="1" applyBorder="1" applyAlignment="1">
      <alignment horizontal="center" vertical="center" wrapText="1"/>
    </xf>
    <xf numFmtId="0" fontId="269" fillId="0" borderId="6" xfId="5528" applyFont="1" applyBorder="1" applyAlignment="1">
      <alignment horizontal="center" vertical="center" wrapText="1"/>
    </xf>
    <xf numFmtId="0" fontId="271" fillId="63" borderId="4" xfId="5528" applyFont="1" applyFill="1" applyBorder="1" applyAlignment="1">
      <alignment horizontal="center" vertical="center" wrapText="1"/>
    </xf>
    <xf numFmtId="0" fontId="271" fillId="63" borderId="5" xfId="5528" applyFont="1" applyFill="1" applyBorder="1" applyAlignment="1">
      <alignment horizontal="center" vertical="center" wrapText="1"/>
    </xf>
    <xf numFmtId="0" fontId="271" fillId="63" borderId="6" xfId="5528" applyFont="1" applyFill="1" applyBorder="1" applyAlignment="1">
      <alignment horizontal="center" vertical="center" wrapText="1"/>
    </xf>
    <xf numFmtId="0" fontId="271" fillId="63" borderId="4" xfId="5528" applyFont="1" applyFill="1" applyBorder="1" applyAlignment="1">
      <alignment horizontal="left" vertical="center" wrapText="1"/>
    </xf>
    <xf numFmtId="0" fontId="271" fillId="63" borderId="5" xfId="5528" applyFont="1" applyFill="1" applyBorder="1" applyAlignment="1">
      <alignment horizontal="left" vertical="center" wrapText="1"/>
    </xf>
    <xf numFmtId="0" fontId="271" fillId="63" borderId="6" xfId="5528" applyFont="1" applyFill="1" applyBorder="1" applyAlignment="1">
      <alignment horizontal="left" vertical="center" wrapText="1"/>
    </xf>
    <xf numFmtId="0" fontId="270" fillId="63" borderId="77" xfId="5528" applyFont="1" applyFill="1" applyBorder="1" applyAlignment="1">
      <alignment horizontal="center"/>
    </xf>
    <xf numFmtId="0" fontId="270" fillId="63" borderId="7" xfId="5528" applyFont="1" applyFill="1" applyBorder="1" applyAlignment="1">
      <alignment horizontal="center"/>
    </xf>
    <xf numFmtId="0" fontId="270" fillId="63" borderId="3" xfId="5528" applyFont="1" applyFill="1" applyBorder="1" applyAlignment="1">
      <alignment horizontal="center"/>
    </xf>
    <xf numFmtId="0" fontId="269" fillId="63" borderId="4" xfId="5528" applyFont="1" applyFill="1" applyBorder="1" applyAlignment="1">
      <alignment horizontal="center" vertical="center" wrapText="1"/>
    </xf>
    <xf numFmtId="0" fontId="269" fillId="63" borderId="5" xfId="5528" applyFont="1" applyFill="1" applyBorder="1" applyAlignment="1">
      <alignment horizontal="center" vertical="center" wrapText="1"/>
    </xf>
    <xf numFmtId="0" fontId="269" fillId="63" borderId="6" xfId="5528" applyFont="1" applyFill="1" applyBorder="1" applyAlignment="1">
      <alignment horizontal="center" vertical="center" wrapText="1"/>
    </xf>
    <xf numFmtId="0" fontId="267" fillId="63" borderId="4" xfId="5528" applyFill="1" applyBorder="1" applyAlignment="1">
      <alignment horizontal="center" vertical="center"/>
    </xf>
    <xf numFmtId="0" fontId="267" fillId="63" borderId="5" xfId="5528" applyFill="1" applyBorder="1" applyAlignment="1">
      <alignment horizontal="center" vertical="center"/>
    </xf>
    <xf numFmtId="0" fontId="267" fillId="63" borderId="6" xfId="5528" applyFill="1" applyBorder="1" applyAlignment="1">
      <alignment horizontal="center" vertical="center"/>
    </xf>
    <xf numFmtId="0" fontId="271" fillId="165" borderId="4" xfId="5528" applyFont="1" applyFill="1" applyBorder="1" applyAlignment="1">
      <alignment horizontal="center" vertical="center" wrapText="1"/>
    </xf>
    <xf numFmtId="0" fontId="271" fillId="165" borderId="5" xfId="5528" applyFont="1" applyFill="1" applyBorder="1" applyAlignment="1">
      <alignment horizontal="center" vertical="center" wrapText="1"/>
    </xf>
    <xf numFmtId="0" fontId="271" fillId="165" borderId="6" xfId="5528" applyFont="1" applyFill="1" applyBorder="1" applyAlignment="1">
      <alignment horizontal="center" vertical="center" wrapText="1"/>
    </xf>
    <xf numFmtId="0" fontId="271" fillId="165" borderId="4" xfId="5528" applyFont="1" applyFill="1" applyBorder="1" applyAlignment="1">
      <alignment horizontal="left" vertical="center" wrapText="1"/>
    </xf>
    <xf numFmtId="0" fontId="271" fillId="165" borderId="5" xfId="5528" applyFont="1" applyFill="1" applyBorder="1" applyAlignment="1">
      <alignment horizontal="left" vertical="center" wrapText="1"/>
    </xf>
    <xf numFmtId="0" fontId="271" fillId="165" borderId="6" xfId="5528" applyFont="1" applyFill="1" applyBorder="1" applyAlignment="1">
      <alignment horizontal="left" vertical="center" wrapText="1"/>
    </xf>
    <xf numFmtId="0" fontId="271" fillId="165" borderId="77" xfId="5528" applyFont="1" applyFill="1" applyBorder="1" applyAlignment="1">
      <alignment horizontal="center"/>
    </xf>
    <xf numFmtId="0" fontId="271" fillId="165" borderId="7" xfId="5528" applyFont="1" applyFill="1" applyBorder="1" applyAlignment="1">
      <alignment horizontal="center"/>
    </xf>
    <xf numFmtId="0" fontId="271" fillId="165" borderId="3" xfId="5528" applyFont="1" applyFill="1" applyBorder="1" applyAlignment="1">
      <alignment horizontal="center"/>
    </xf>
    <xf numFmtId="0" fontId="296" fillId="165" borderId="4" xfId="5528" applyFont="1" applyFill="1" applyBorder="1" applyAlignment="1">
      <alignment horizontal="center" vertical="center" wrapText="1"/>
    </xf>
    <xf numFmtId="0" fontId="296" fillId="165" borderId="5" xfId="5528" applyFont="1" applyFill="1" applyBorder="1" applyAlignment="1">
      <alignment horizontal="center" vertical="center" wrapText="1"/>
    </xf>
    <xf numFmtId="0" fontId="296" fillId="165" borderId="6" xfId="5528" applyFont="1" applyFill="1" applyBorder="1" applyAlignment="1">
      <alignment horizontal="center" vertical="center" wrapText="1"/>
    </xf>
    <xf numFmtId="0" fontId="269" fillId="165" borderId="4" xfId="5528" applyFont="1" applyFill="1" applyBorder="1" applyAlignment="1">
      <alignment horizontal="center" vertical="center" wrapText="1"/>
    </xf>
    <xf numFmtId="0" fontId="269" fillId="165" borderId="5" xfId="5528" applyFont="1" applyFill="1" applyBorder="1" applyAlignment="1">
      <alignment horizontal="center" vertical="center" wrapText="1"/>
    </xf>
    <xf numFmtId="0" fontId="269" fillId="165" borderId="6" xfId="5528" applyFont="1" applyFill="1" applyBorder="1" applyAlignment="1">
      <alignment horizontal="center" vertical="center" wrapText="1"/>
    </xf>
    <xf numFmtId="0" fontId="267" fillId="165" borderId="4" xfId="5528" applyFill="1" applyBorder="1" applyAlignment="1">
      <alignment horizontal="center" vertical="center"/>
    </xf>
    <xf numFmtId="0" fontId="267" fillId="165" borderId="5" xfId="5528" applyFill="1" applyBorder="1" applyAlignment="1">
      <alignment horizontal="center" vertical="center"/>
    </xf>
    <xf numFmtId="0" fontId="267" fillId="165" borderId="6" xfId="5528" applyFill="1" applyBorder="1" applyAlignment="1">
      <alignment horizontal="center" vertical="center"/>
    </xf>
    <xf numFmtId="0" fontId="284" fillId="0" borderId="4" xfId="5528" applyFont="1" applyBorder="1" applyAlignment="1">
      <alignment horizontal="center" vertical="center" wrapText="1"/>
    </xf>
    <xf numFmtId="0" fontId="284" fillId="0" borderId="5" xfId="5528" applyFont="1" applyBorder="1" applyAlignment="1">
      <alignment horizontal="center" vertical="center" wrapText="1"/>
    </xf>
    <xf numFmtId="0" fontId="284" fillId="0" borderId="6" xfId="5528" applyFont="1" applyBorder="1" applyAlignment="1">
      <alignment horizontal="center" vertical="center" wrapText="1"/>
    </xf>
    <xf numFmtId="0" fontId="288" fillId="0" borderId="4" xfId="5528" applyFont="1" applyBorder="1" applyAlignment="1">
      <alignment horizontal="center" vertical="center" wrapText="1"/>
    </xf>
    <xf numFmtId="0" fontId="288" fillId="0" borderId="5" xfId="5528" applyFont="1" applyBorder="1" applyAlignment="1">
      <alignment horizontal="center" vertical="center" wrapText="1"/>
    </xf>
    <xf numFmtId="0" fontId="288" fillId="0" borderId="6" xfId="5528" applyFont="1" applyBorder="1" applyAlignment="1">
      <alignment horizontal="center" vertical="center" wrapText="1"/>
    </xf>
    <xf numFmtId="0" fontId="285" fillId="0" borderId="4" xfId="5528" applyFont="1" applyBorder="1" applyAlignment="1">
      <alignment horizontal="center" vertical="top" wrapText="1"/>
    </xf>
    <xf numFmtId="0" fontId="285" fillId="0" borderId="5" xfId="5528" applyFont="1" applyBorder="1" applyAlignment="1">
      <alignment horizontal="center" vertical="top" wrapText="1"/>
    </xf>
    <xf numFmtId="0" fontId="285" fillId="0" borderId="6" xfId="5528" applyFont="1" applyBorder="1" applyAlignment="1">
      <alignment horizontal="center" vertical="top" wrapText="1"/>
    </xf>
    <xf numFmtId="0" fontId="269" fillId="0" borderId="1" xfId="5528" applyFont="1" applyBorder="1" applyAlignment="1">
      <alignment horizontal="center" vertical="center" wrapText="1"/>
    </xf>
    <xf numFmtId="0" fontId="281" fillId="0" borderId="4" xfId="5528" applyFont="1" applyBorder="1" applyAlignment="1">
      <alignment horizontal="center" vertical="center" wrapText="1"/>
    </xf>
    <xf numFmtId="0" fontId="281" fillId="0" borderId="5" xfId="5528" applyFont="1" applyBorder="1" applyAlignment="1">
      <alignment horizontal="center" vertical="center" wrapText="1"/>
    </xf>
    <xf numFmtId="0" fontId="281" fillId="0" borderId="6" xfId="5528" applyFont="1" applyBorder="1" applyAlignment="1">
      <alignment horizontal="center" vertical="center" wrapText="1"/>
    </xf>
    <xf numFmtId="167" fontId="269" fillId="0" borderId="4" xfId="5528" applyNumberFormat="1" applyFont="1" applyBorder="1" applyAlignment="1">
      <alignment horizontal="center" vertical="center" wrapText="1"/>
    </xf>
    <xf numFmtId="167" fontId="269" fillId="0" borderId="5" xfId="5528" applyNumberFormat="1" applyFont="1" applyBorder="1" applyAlignment="1">
      <alignment horizontal="center" vertical="center" wrapText="1"/>
    </xf>
    <xf numFmtId="167" fontId="269" fillId="0" borderId="6" xfId="5528" applyNumberFormat="1" applyFont="1" applyBorder="1" applyAlignment="1">
      <alignment horizontal="center" vertical="center" wrapText="1"/>
    </xf>
    <xf numFmtId="0" fontId="267" fillId="169" borderId="4" xfId="5528" applyFill="1" applyBorder="1" applyAlignment="1">
      <alignment horizontal="center" vertical="center"/>
    </xf>
    <xf numFmtId="0" fontId="267" fillId="169" borderId="5" xfId="5528" applyFill="1" applyBorder="1" applyAlignment="1">
      <alignment horizontal="center" vertical="center"/>
    </xf>
    <xf numFmtId="0" fontId="267" fillId="169" borderId="6" xfId="5528" applyFill="1" applyBorder="1" applyAlignment="1">
      <alignment horizontal="center" vertical="center"/>
    </xf>
    <xf numFmtId="0" fontId="272" fillId="63" borderId="4" xfId="5528" applyFont="1" applyFill="1" applyBorder="1" applyAlignment="1">
      <alignment horizontal="center" vertical="center" wrapText="1"/>
    </xf>
    <xf numFmtId="0" fontId="272" fillId="63" borderId="5" xfId="5528" applyFont="1" applyFill="1" applyBorder="1" applyAlignment="1">
      <alignment horizontal="center" vertical="center" wrapText="1"/>
    </xf>
    <xf numFmtId="0" fontId="272" fillId="63" borderId="6" xfId="5528" applyFont="1" applyFill="1" applyBorder="1" applyAlignment="1">
      <alignment horizontal="center" vertical="center" wrapText="1"/>
    </xf>
    <xf numFmtId="0" fontId="270" fillId="63" borderId="4" xfId="5528" applyFont="1" applyFill="1" applyBorder="1" applyAlignment="1">
      <alignment horizontal="center" vertical="center" wrapText="1"/>
    </xf>
    <xf numFmtId="0" fontId="270" fillId="63" borderId="5" xfId="5528" applyFont="1" applyFill="1" applyBorder="1" applyAlignment="1">
      <alignment horizontal="center" vertical="center" wrapText="1"/>
    </xf>
    <xf numFmtId="0" fontId="270" fillId="63" borderId="6" xfId="5528" applyFont="1" applyFill="1" applyBorder="1" applyAlignment="1">
      <alignment horizontal="center" vertical="center" wrapText="1"/>
    </xf>
    <xf numFmtId="49" fontId="287" fillId="0" borderId="4" xfId="5528" applyNumberFormat="1" applyFont="1" applyBorder="1" applyAlignment="1">
      <alignment horizontal="center" vertical="center" wrapText="1"/>
    </xf>
    <xf numFmtId="49" fontId="287" fillId="0" borderId="5" xfId="5528" applyNumberFormat="1" applyFont="1" applyBorder="1" applyAlignment="1">
      <alignment horizontal="center" vertical="center" wrapText="1"/>
    </xf>
    <xf numFmtId="49" fontId="287" fillId="0" borderId="6" xfId="5528" applyNumberFormat="1" applyFont="1" applyBorder="1" applyAlignment="1">
      <alignment horizontal="center" vertical="center" wrapText="1"/>
    </xf>
    <xf numFmtId="0" fontId="288" fillId="0" borderId="1" xfId="5528" applyFont="1" applyBorder="1" applyAlignment="1">
      <alignment horizontal="center" vertical="center" wrapText="1"/>
    </xf>
    <xf numFmtId="0" fontId="285" fillId="0" borderId="4" xfId="5528" applyFont="1" applyBorder="1" applyAlignment="1">
      <alignment horizontal="center" vertical="center" wrapText="1"/>
    </xf>
    <xf numFmtId="0" fontId="285" fillId="0" borderId="1" xfId="5528" applyFont="1" applyBorder="1" applyAlignment="1">
      <alignment horizontal="center" vertical="center" wrapText="1"/>
    </xf>
    <xf numFmtId="49" fontId="287" fillId="63" borderId="4" xfId="5528" applyNumberFormat="1" applyFont="1" applyFill="1" applyBorder="1" applyAlignment="1">
      <alignment horizontal="center" vertical="center" wrapText="1"/>
    </xf>
    <xf numFmtId="49" fontId="287" fillId="63" borderId="5" xfId="5528" applyNumberFormat="1" applyFont="1" applyFill="1" applyBorder="1" applyAlignment="1">
      <alignment horizontal="center" vertical="center" wrapText="1"/>
    </xf>
    <xf numFmtId="49" fontId="287" fillId="63" borderId="6" xfId="5528" applyNumberFormat="1" applyFont="1" applyFill="1" applyBorder="1" applyAlignment="1">
      <alignment horizontal="center" vertical="center" wrapText="1"/>
    </xf>
    <xf numFmtId="0" fontId="284" fillId="63" borderId="4" xfId="5528" applyFont="1" applyFill="1" applyBorder="1" applyAlignment="1">
      <alignment horizontal="left" vertical="center" wrapText="1"/>
    </xf>
    <xf numFmtId="0" fontId="284" fillId="63" borderId="5" xfId="5528" applyFont="1" applyFill="1" applyBorder="1" applyAlignment="1">
      <alignment horizontal="left" vertical="center" wrapText="1"/>
    </xf>
    <xf numFmtId="0" fontId="284" fillId="63" borderId="6" xfId="5528" applyFont="1" applyFill="1" applyBorder="1" applyAlignment="1">
      <alignment horizontal="left" vertical="center" wrapText="1"/>
    </xf>
    <xf numFmtId="0" fontId="270" fillId="63" borderId="77" xfId="5528" applyFont="1" applyFill="1" applyBorder="1" applyAlignment="1">
      <alignment horizontal="center" vertical="center" wrapText="1"/>
    </xf>
    <xf numFmtId="0" fontId="270" fillId="63" borderId="7" xfId="5528" applyFont="1" applyFill="1" applyBorder="1" applyAlignment="1">
      <alignment horizontal="center" vertical="center" wrapText="1"/>
    </xf>
    <xf numFmtId="0" fontId="270" fillId="63" borderId="3" xfId="5528" applyFont="1" applyFill="1" applyBorder="1" applyAlignment="1">
      <alignment horizontal="center" vertical="center" wrapText="1"/>
    </xf>
    <xf numFmtId="0" fontId="269" fillId="63" borderId="1" xfId="5528" applyFont="1" applyFill="1" applyBorder="1" applyAlignment="1">
      <alignment horizontal="center" vertical="center" wrapText="1"/>
    </xf>
    <xf numFmtId="0" fontId="269" fillId="170" borderId="4" xfId="5528" applyFont="1" applyFill="1" applyBorder="1" applyAlignment="1">
      <alignment vertical="center" wrapText="1"/>
    </xf>
    <xf numFmtId="0" fontId="269" fillId="170" borderId="5" xfId="5528" applyFont="1" applyFill="1" applyBorder="1" applyAlignment="1">
      <alignment vertical="center" wrapText="1"/>
    </xf>
    <xf numFmtId="0" fontId="269" fillId="170" borderId="6" xfId="5528" applyFont="1" applyFill="1" applyBorder="1" applyAlignment="1">
      <alignment vertical="center" wrapText="1"/>
    </xf>
    <xf numFmtId="0" fontId="267" fillId="170" borderId="1" xfId="5528" applyFill="1" applyBorder="1" applyAlignment="1">
      <alignment horizontal="center" vertical="center"/>
    </xf>
    <xf numFmtId="0" fontId="267" fillId="164" borderId="4" xfId="5528" applyFill="1" applyBorder="1" applyAlignment="1">
      <alignment horizontal="center" vertical="center"/>
    </xf>
    <xf numFmtId="0" fontId="267" fillId="164" borderId="5" xfId="5528" applyFill="1" applyBorder="1" applyAlignment="1">
      <alignment horizontal="center" vertical="center"/>
    </xf>
    <xf numFmtId="0" fontId="267" fillId="164" borderId="6" xfId="5528" applyFill="1" applyBorder="1" applyAlignment="1">
      <alignment horizontal="center" vertical="center"/>
    </xf>
    <xf numFmtId="49" fontId="287" fillId="170" borderId="4" xfId="5528" applyNumberFormat="1" applyFont="1" applyFill="1" applyBorder="1" applyAlignment="1">
      <alignment horizontal="center" vertical="center" wrapText="1"/>
    </xf>
    <xf numFmtId="49" fontId="287" fillId="170" borderId="5" xfId="5528" applyNumberFormat="1" applyFont="1" applyFill="1" applyBorder="1" applyAlignment="1">
      <alignment horizontal="center" vertical="center" wrapText="1"/>
    </xf>
    <xf numFmtId="49" fontId="287" fillId="170" borderId="6" xfId="5528" applyNumberFormat="1" applyFont="1" applyFill="1" applyBorder="1" applyAlignment="1">
      <alignment horizontal="center" vertical="center" wrapText="1"/>
    </xf>
    <xf numFmtId="0" fontId="284" fillId="170" borderId="1" xfId="5528" applyFont="1" applyFill="1" applyBorder="1" applyAlignment="1">
      <alignment horizontal="center" vertical="center" wrapText="1"/>
    </xf>
    <xf numFmtId="0" fontId="269" fillId="170" borderId="1" xfId="5528" applyFont="1" applyFill="1" applyBorder="1" applyAlignment="1">
      <alignment horizontal="center" vertical="center" wrapText="1"/>
    </xf>
    <xf numFmtId="167" fontId="285" fillId="170" borderId="4" xfId="5528" applyNumberFormat="1" applyFont="1" applyFill="1" applyBorder="1" applyAlignment="1">
      <alignment horizontal="center" vertical="center" wrapText="1"/>
    </xf>
    <xf numFmtId="0" fontId="285" fillId="170" borderId="5" xfId="5528" applyFont="1" applyFill="1" applyBorder="1" applyAlignment="1">
      <alignment horizontal="center" vertical="center" wrapText="1"/>
    </xf>
    <xf numFmtId="0" fontId="285" fillId="170" borderId="6" xfId="5528" applyFont="1" applyFill="1" applyBorder="1" applyAlignment="1">
      <alignment horizontal="center" vertical="center" wrapText="1"/>
    </xf>
    <xf numFmtId="0" fontId="281" fillId="63" borderId="4" xfId="5528" applyFont="1" applyFill="1" applyBorder="1" applyAlignment="1">
      <alignment horizontal="center" vertical="center" wrapText="1"/>
    </xf>
    <xf numFmtId="0" fontId="281" fillId="63" borderId="5" xfId="5528" applyFont="1" applyFill="1" applyBorder="1" applyAlignment="1">
      <alignment horizontal="center" vertical="center" wrapText="1"/>
    </xf>
    <xf numFmtId="0" fontId="281" fillId="63" borderId="6" xfId="5528" applyFont="1" applyFill="1" applyBorder="1" applyAlignment="1">
      <alignment horizontal="center" vertical="center" wrapText="1"/>
    </xf>
    <xf numFmtId="0" fontId="293" fillId="165" borderId="4" xfId="5528" applyFont="1" applyFill="1" applyBorder="1" applyAlignment="1">
      <alignment horizontal="center" vertical="center" wrapText="1"/>
    </xf>
    <xf numFmtId="0" fontId="293" fillId="165" borderId="5" xfId="5528" applyFont="1" applyFill="1" applyBorder="1" applyAlignment="1">
      <alignment horizontal="center" vertical="center" wrapText="1"/>
    </xf>
    <xf numFmtId="0" fontId="293" fillId="165" borderId="6" xfId="5528" applyFont="1" applyFill="1" applyBorder="1" applyAlignment="1">
      <alignment horizontal="center" vertical="center" wrapText="1"/>
    </xf>
    <xf numFmtId="0" fontId="269" fillId="165" borderId="4" xfId="5528" applyFont="1" applyFill="1" applyBorder="1" applyAlignment="1">
      <alignment horizontal="left" vertical="center" wrapText="1"/>
    </xf>
    <xf numFmtId="0" fontId="269" fillId="165" borderId="5" xfId="5528" applyFont="1" applyFill="1" applyBorder="1" applyAlignment="1">
      <alignment horizontal="left" vertical="center" wrapText="1"/>
    </xf>
    <xf numFmtId="0" fontId="269" fillId="165" borderId="6" xfId="5528" applyFont="1" applyFill="1" applyBorder="1" applyAlignment="1">
      <alignment horizontal="left" vertical="center" wrapText="1"/>
    </xf>
    <xf numFmtId="14" fontId="281" fillId="0" borderId="4" xfId="5528" applyNumberFormat="1" applyFont="1" applyBorder="1" applyAlignment="1">
      <alignment horizontal="center" vertical="center" wrapText="1"/>
    </xf>
    <xf numFmtId="0" fontId="270" fillId="63" borderId="4" xfId="5528" applyFont="1" applyFill="1" applyBorder="1" applyAlignment="1">
      <alignment horizontal="left" vertical="center" wrapText="1"/>
    </xf>
    <xf numFmtId="0" fontId="270" fillId="63" borderId="5" xfId="5528" applyFont="1" applyFill="1" applyBorder="1" applyAlignment="1">
      <alignment horizontal="left" vertical="center" wrapText="1"/>
    </xf>
    <xf numFmtId="0" fontId="270" fillId="63" borderId="6" xfId="5528" applyFont="1" applyFill="1" applyBorder="1" applyAlignment="1">
      <alignment horizontal="left" vertical="center" wrapText="1"/>
    </xf>
    <xf numFmtId="0" fontId="269" fillId="63" borderId="4" xfId="5528" applyFont="1" applyFill="1" applyBorder="1" applyAlignment="1">
      <alignment horizontal="left" vertical="center" wrapText="1"/>
    </xf>
    <xf numFmtId="0" fontId="269" fillId="63" borderId="5" xfId="5528" applyFont="1" applyFill="1" applyBorder="1" applyAlignment="1">
      <alignment horizontal="left" vertical="center" wrapText="1"/>
    </xf>
    <xf numFmtId="0" fontId="269" fillId="63" borderId="6" xfId="5528" applyFont="1" applyFill="1" applyBorder="1" applyAlignment="1">
      <alignment horizontal="left" vertical="center" wrapText="1"/>
    </xf>
    <xf numFmtId="0" fontId="287" fillId="0" borderId="4" xfId="5528" applyFont="1" applyBorder="1" applyAlignment="1">
      <alignment horizontal="center" vertical="center" wrapText="1"/>
    </xf>
    <xf numFmtId="0" fontId="287" fillId="0" borderId="5" xfId="5528" applyFont="1" applyBorder="1" applyAlignment="1">
      <alignment horizontal="center" vertical="center" wrapText="1"/>
    </xf>
    <xf numFmtId="0" fontId="287" fillId="0" borderId="6" xfId="5528" applyFont="1" applyBorder="1" applyAlignment="1">
      <alignment horizontal="center" vertical="center" wrapText="1"/>
    </xf>
    <xf numFmtId="0" fontId="284" fillId="0" borderId="4" xfId="5528" applyFont="1" applyBorder="1" applyAlignment="1">
      <alignment horizontal="left" vertical="center" wrapText="1"/>
    </xf>
    <xf numFmtId="0" fontId="284" fillId="0" borderId="5" xfId="5528" applyFont="1" applyBorder="1" applyAlignment="1">
      <alignment horizontal="left" vertical="center" wrapText="1"/>
    </xf>
    <xf numFmtId="0" fontId="284" fillId="0" borderId="6" xfId="5528" applyFont="1" applyBorder="1" applyAlignment="1">
      <alignment horizontal="left" vertical="center" wrapText="1"/>
    </xf>
    <xf numFmtId="0" fontId="270" fillId="63" borderId="4" xfId="5528" applyFont="1" applyFill="1" applyBorder="1" applyAlignment="1">
      <alignment horizontal="left" vertical="top" wrapText="1"/>
    </xf>
    <xf numFmtId="0" fontId="270" fillId="63" borderId="5" xfId="5528" applyFont="1" applyFill="1" applyBorder="1" applyAlignment="1">
      <alignment horizontal="left" vertical="top" wrapText="1"/>
    </xf>
    <xf numFmtId="0" fontId="270" fillId="63" borderId="6" xfId="5528" applyFont="1" applyFill="1" applyBorder="1" applyAlignment="1">
      <alignment horizontal="left" vertical="top" wrapText="1"/>
    </xf>
    <xf numFmtId="0" fontId="270" fillId="63" borderId="77" xfId="5528" applyFont="1" applyFill="1" applyBorder="1" applyAlignment="1">
      <alignment horizontal="center" wrapText="1"/>
    </xf>
    <xf numFmtId="0" fontId="270" fillId="63" borderId="7" xfId="5528" applyFont="1" applyFill="1" applyBorder="1" applyAlignment="1">
      <alignment horizontal="center" wrapText="1"/>
    </xf>
    <xf numFmtId="0" fontId="270" fillId="63" borderId="3" xfId="5528" applyFont="1" applyFill="1" applyBorder="1" applyAlignment="1">
      <alignment horizontal="center" wrapText="1"/>
    </xf>
    <xf numFmtId="0" fontId="269" fillId="63" borderId="1" xfId="5528" applyFont="1" applyFill="1" applyBorder="1" applyAlignment="1">
      <alignment horizontal="left" vertical="center" wrapText="1"/>
    </xf>
    <xf numFmtId="49" fontId="288" fillId="0" borderId="4" xfId="5528" applyNumberFormat="1" applyFont="1" applyBorder="1" applyAlignment="1">
      <alignment horizontal="center" vertical="center" wrapText="1"/>
    </xf>
    <xf numFmtId="49" fontId="288" fillId="0" borderId="5" xfId="5528" applyNumberFormat="1" applyFont="1" applyBorder="1" applyAlignment="1">
      <alignment horizontal="center" vertical="center" wrapText="1"/>
    </xf>
    <xf numFmtId="49" fontId="288" fillId="0" borderId="6" xfId="5528" applyNumberFormat="1" applyFont="1" applyBorder="1" applyAlignment="1">
      <alignment horizontal="center" vertical="center" wrapText="1"/>
    </xf>
    <xf numFmtId="49" fontId="288" fillId="0" borderId="4" xfId="5528" applyNumberFormat="1" applyFont="1" applyBorder="1" applyAlignment="1">
      <alignment horizontal="left" vertical="center" wrapText="1"/>
    </xf>
    <xf numFmtId="49" fontId="288" fillId="0" borderId="5" xfId="5528" applyNumberFormat="1" applyFont="1" applyBorder="1" applyAlignment="1">
      <alignment horizontal="left" vertical="center" wrapText="1"/>
    </xf>
    <xf numFmtId="49" fontId="288" fillId="0" borderId="6" xfId="5528" applyNumberFormat="1" applyFont="1" applyBorder="1" applyAlignment="1">
      <alignment horizontal="left" vertical="center" wrapText="1"/>
    </xf>
    <xf numFmtId="0" fontId="267" fillId="0" borderId="5" xfId="5528" applyBorder="1" applyAlignment="1">
      <alignment vertical="center" wrapText="1"/>
    </xf>
    <xf numFmtId="0" fontId="267" fillId="0" borderId="6" xfId="5528" applyBorder="1" applyAlignment="1">
      <alignment vertical="center" wrapText="1"/>
    </xf>
    <xf numFmtId="49" fontId="269" fillId="0" borderId="4" xfId="5528" applyNumberFormat="1" applyFont="1" applyBorder="1" applyAlignment="1">
      <alignment horizontal="center" vertical="center" wrapText="1"/>
    </xf>
    <xf numFmtId="49" fontId="288" fillId="0" borderId="1" xfId="5528" applyNumberFormat="1" applyFont="1" applyBorder="1" applyAlignment="1">
      <alignment horizontal="center" vertical="center" wrapText="1"/>
    </xf>
    <xf numFmtId="0" fontId="282" fillId="0" borderId="4" xfId="5528" applyFont="1" applyBorder="1" applyAlignment="1">
      <alignment horizontal="center" vertical="center" wrapText="1"/>
    </xf>
    <xf numFmtId="0" fontId="292" fillId="0" borderId="5" xfId="5528" applyFont="1" applyBorder="1" applyAlignment="1">
      <alignment horizontal="center" vertical="center" wrapText="1"/>
    </xf>
    <xf numFmtId="0" fontId="292" fillId="0" borderId="6" xfId="5528" applyFont="1" applyBorder="1" applyAlignment="1">
      <alignment horizontal="center" vertical="center" wrapText="1"/>
    </xf>
    <xf numFmtId="0" fontId="282" fillId="0" borderId="4" xfId="5528" applyFont="1" applyBorder="1" applyAlignment="1">
      <alignment vertical="center" wrapText="1"/>
    </xf>
    <xf numFmtId="0" fontId="282" fillId="0" borderId="5" xfId="5528" applyFont="1" applyBorder="1" applyAlignment="1">
      <alignment vertical="center" wrapText="1"/>
    </xf>
    <xf numFmtId="0" fontId="282" fillId="0" borderId="6" xfId="5528" applyFont="1" applyBorder="1" applyAlignment="1">
      <alignment vertical="center" wrapText="1"/>
    </xf>
    <xf numFmtId="49" fontId="269" fillId="0" borderId="5" xfId="5528" applyNumberFormat="1" applyFont="1" applyBorder="1" applyAlignment="1">
      <alignment horizontal="center" vertical="center" wrapText="1"/>
    </xf>
    <xf numFmtId="49" fontId="269" fillId="0" borderId="6" xfId="5528" applyNumberFormat="1" applyFont="1" applyBorder="1" applyAlignment="1">
      <alignment horizontal="center" vertical="center" wrapText="1"/>
    </xf>
    <xf numFmtId="49" fontId="281" fillId="63" borderId="4" xfId="5528" applyNumberFormat="1" applyFont="1" applyFill="1" applyBorder="1" applyAlignment="1">
      <alignment horizontal="center" vertical="center" wrapText="1"/>
    </xf>
    <xf numFmtId="49" fontId="281" fillId="63" borderId="5" xfId="5528" applyNumberFormat="1" applyFont="1" applyFill="1" applyBorder="1" applyAlignment="1">
      <alignment horizontal="center" vertical="center" wrapText="1"/>
    </xf>
    <xf numFmtId="49" fontId="281" fillId="63" borderId="6" xfId="5528" applyNumberFormat="1" applyFont="1" applyFill="1" applyBorder="1" applyAlignment="1">
      <alignment horizontal="center" vertical="center" wrapText="1"/>
    </xf>
    <xf numFmtId="0" fontId="267" fillId="63" borderId="5" xfId="5528" applyFill="1" applyBorder="1" applyAlignment="1">
      <alignment horizontal="left" vertical="center" wrapText="1"/>
    </xf>
    <xf numFmtId="0" fontId="267" fillId="63" borderId="6" xfId="5528" applyFill="1" applyBorder="1" applyAlignment="1">
      <alignment horizontal="left" vertical="center" wrapText="1"/>
    </xf>
    <xf numFmtId="0" fontId="281" fillId="165" borderId="4" xfId="5528" applyFont="1" applyFill="1" applyBorder="1" applyAlignment="1">
      <alignment horizontal="center" vertical="center" wrapText="1"/>
    </xf>
    <xf numFmtId="0" fontId="281" fillId="165" borderId="5" xfId="5528" applyFont="1" applyFill="1" applyBorder="1" applyAlignment="1">
      <alignment horizontal="center" vertical="center" wrapText="1"/>
    </xf>
    <xf numFmtId="0" fontId="281" fillId="165" borderId="6" xfId="5528" applyFont="1" applyFill="1" applyBorder="1" applyAlignment="1">
      <alignment horizontal="center" vertical="center" wrapText="1"/>
    </xf>
    <xf numFmtId="0" fontId="288" fillId="0" borderId="4" xfId="5528" applyFont="1" applyBorder="1" applyAlignment="1">
      <alignment horizontal="left" vertical="center" wrapText="1"/>
    </xf>
    <xf numFmtId="0" fontId="288" fillId="0" borderId="5" xfId="5528" applyFont="1" applyBorder="1" applyAlignment="1">
      <alignment horizontal="left" vertical="center" wrapText="1"/>
    </xf>
    <xf numFmtId="0" fontId="288" fillId="0" borderId="6" xfId="5528" applyFont="1" applyBorder="1" applyAlignment="1">
      <alignment horizontal="left" vertical="center" wrapText="1"/>
    </xf>
    <xf numFmtId="0" fontId="282" fillId="0" borderId="5" xfId="5528" applyFont="1" applyBorder="1" applyAlignment="1">
      <alignment horizontal="center" vertical="center" wrapText="1"/>
    </xf>
    <xf numFmtId="0" fontId="282" fillId="0" borderId="6" xfId="5528" applyFont="1" applyBorder="1" applyAlignment="1">
      <alignment horizontal="center" vertical="center" wrapText="1"/>
    </xf>
    <xf numFmtId="0" fontId="284" fillId="0" borderId="1" xfId="5528" applyFont="1" applyBorder="1" applyAlignment="1">
      <alignment horizontal="center" vertical="center" wrapText="1"/>
    </xf>
    <xf numFmtId="0" fontId="284" fillId="0" borderId="1" xfId="5528" applyFont="1" applyBorder="1" applyAlignment="1">
      <alignment horizontal="left" vertical="center" wrapText="1"/>
    </xf>
    <xf numFmtId="0" fontId="282" fillId="0" borderId="1" xfId="5528" applyFont="1" applyBorder="1" applyAlignment="1">
      <alignment horizontal="center" vertical="center" wrapText="1"/>
    </xf>
    <xf numFmtId="0" fontId="284" fillId="0" borderId="4" xfId="5528" applyFont="1" applyBorder="1" applyAlignment="1">
      <alignment vertical="center" wrapText="1"/>
    </xf>
    <xf numFmtId="0" fontId="284" fillId="0" borderId="5" xfId="5528" applyFont="1" applyBorder="1" applyAlignment="1">
      <alignment vertical="center" wrapText="1"/>
    </xf>
    <xf numFmtId="0" fontId="284" fillId="0" borderId="6" xfId="5528" applyFont="1" applyBorder="1" applyAlignment="1">
      <alignment vertical="center" wrapText="1"/>
    </xf>
    <xf numFmtId="0" fontId="285" fillId="0" borderId="4" xfId="5528" applyFont="1" applyBorder="1" applyAlignment="1">
      <alignment horizontal="left" vertical="center" wrapText="1"/>
    </xf>
    <xf numFmtId="0" fontId="285" fillId="0" borderId="5" xfId="5528" applyFont="1" applyBorder="1" applyAlignment="1">
      <alignment horizontal="left" vertical="center" wrapText="1"/>
    </xf>
    <xf numFmtId="0" fontId="285" fillId="0" borderId="6" xfId="5528" applyFont="1" applyBorder="1" applyAlignment="1">
      <alignment horizontal="left" vertical="center" wrapText="1"/>
    </xf>
    <xf numFmtId="0" fontId="267" fillId="0" borderId="1" xfId="5528" applyBorder="1" applyAlignment="1">
      <alignment horizontal="center" vertical="center"/>
    </xf>
    <xf numFmtId="0" fontId="291" fillId="0" borderId="1" xfId="5528" applyFont="1" applyBorder="1" applyAlignment="1">
      <alignment horizontal="left" vertical="center" wrapText="1"/>
    </xf>
    <xf numFmtId="0" fontId="285" fillId="0" borderId="5" xfId="5528" applyFont="1" applyBorder="1" applyAlignment="1">
      <alignment vertical="center" wrapText="1"/>
    </xf>
    <xf numFmtId="0" fontId="285" fillId="0" borderId="6" xfId="5528" applyFont="1" applyBorder="1" applyAlignment="1">
      <alignment vertical="center" wrapText="1"/>
    </xf>
    <xf numFmtId="0" fontId="267" fillId="0" borderId="5" xfId="5528" applyBorder="1" applyAlignment="1">
      <alignment horizontal="left" vertical="center" wrapText="1"/>
    </xf>
    <xf numFmtId="0" fontId="267" fillId="0" borderId="6" xfId="5528" applyBorder="1" applyAlignment="1">
      <alignment horizontal="left" vertical="center" wrapText="1"/>
    </xf>
    <xf numFmtId="0" fontId="270" fillId="0" borderId="4" xfId="5528" applyFont="1" applyBorder="1" applyAlignment="1">
      <alignment vertical="center" wrapText="1" shrinkToFit="1"/>
    </xf>
    <xf numFmtId="0" fontId="267" fillId="0" borderId="5" xfId="5528" applyBorder="1" applyAlignment="1">
      <alignment vertical="center" wrapText="1" shrinkToFit="1"/>
    </xf>
    <xf numFmtId="0" fontId="267" fillId="0" borderId="6" xfId="5528" applyBorder="1" applyAlignment="1">
      <alignment vertical="center" wrapText="1" shrinkToFit="1"/>
    </xf>
    <xf numFmtId="0" fontId="285" fillId="0" borderId="4" xfId="5528" applyFont="1" applyBorder="1" applyAlignment="1">
      <alignment vertical="top" wrapText="1"/>
    </xf>
    <xf numFmtId="0" fontId="285" fillId="0" borderId="5" xfId="5528" applyFont="1" applyBorder="1" applyAlignment="1">
      <alignment vertical="top" wrapText="1"/>
    </xf>
    <xf numFmtId="0" fontId="285" fillId="0" borderId="6" xfId="5528" applyFont="1" applyBorder="1" applyAlignment="1">
      <alignment vertical="top" wrapText="1"/>
    </xf>
    <xf numFmtId="0" fontId="267" fillId="0" borderId="5" xfId="5528" applyBorder="1" applyAlignment="1">
      <alignment horizontal="center" vertical="center" wrapText="1"/>
    </xf>
    <xf numFmtId="0" fontId="267" fillId="0" borderId="6" xfId="5528" applyBorder="1" applyAlignment="1">
      <alignment horizontal="center" vertical="center" wrapText="1"/>
    </xf>
    <xf numFmtId="0" fontId="270" fillId="63" borderId="4" xfId="5528" applyFont="1" applyFill="1" applyBorder="1" applyAlignment="1">
      <alignment vertical="center" wrapText="1"/>
    </xf>
    <xf numFmtId="0" fontId="267" fillId="63" borderId="5" xfId="5528" applyFill="1" applyBorder="1" applyAlignment="1">
      <alignment vertical="center" wrapText="1"/>
    </xf>
    <xf numFmtId="0" fontId="267" fillId="63" borderId="6" xfId="5528" applyFill="1" applyBorder="1" applyAlignment="1">
      <alignment vertical="center" wrapText="1"/>
    </xf>
    <xf numFmtId="0" fontId="272" fillId="165" borderId="4" xfId="5528" applyFont="1" applyFill="1" applyBorder="1" applyAlignment="1">
      <alignment horizontal="center" vertical="center" wrapText="1"/>
    </xf>
    <xf numFmtId="0" fontId="272" fillId="165" borderId="5" xfId="5528" applyFont="1" applyFill="1" applyBorder="1" applyAlignment="1">
      <alignment horizontal="center" vertical="center" wrapText="1"/>
    </xf>
    <xf numFmtId="0" fontId="272" fillId="165" borderId="6" xfId="5528" applyFont="1" applyFill="1" applyBorder="1" applyAlignment="1">
      <alignment horizontal="center" vertical="center" wrapText="1"/>
    </xf>
    <xf numFmtId="0" fontId="288" fillId="165" borderId="4" xfId="5528" applyFont="1" applyFill="1" applyBorder="1" applyAlignment="1">
      <alignment horizontal="left" vertical="center" wrapText="1"/>
    </xf>
    <xf numFmtId="0" fontId="288" fillId="165" borderId="5" xfId="5528" applyFont="1" applyFill="1" applyBorder="1" applyAlignment="1">
      <alignment horizontal="left" vertical="center" wrapText="1"/>
    </xf>
    <xf numFmtId="0" fontId="288" fillId="165" borderId="6" xfId="5528" applyFont="1" applyFill="1" applyBorder="1" applyAlignment="1">
      <alignment horizontal="left" vertical="center" wrapText="1"/>
    </xf>
    <xf numFmtId="0" fontId="288" fillId="165" borderId="77" xfId="5528" applyFont="1" applyFill="1" applyBorder="1" applyAlignment="1">
      <alignment horizontal="center"/>
    </xf>
    <xf numFmtId="0" fontId="288" fillId="165" borderId="7" xfId="5528" applyFont="1" applyFill="1" applyBorder="1" applyAlignment="1">
      <alignment horizontal="center"/>
    </xf>
    <xf numFmtId="0" fontId="285" fillId="165" borderId="4" xfId="5528" applyFont="1" applyFill="1" applyBorder="1" applyAlignment="1">
      <alignment horizontal="center" vertical="center" wrapText="1"/>
    </xf>
    <xf numFmtId="0" fontId="285" fillId="165" borderId="5" xfId="5528" applyFont="1" applyFill="1" applyBorder="1" applyAlignment="1">
      <alignment horizontal="center" vertical="center" wrapText="1"/>
    </xf>
    <xf numFmtId="0" fontId="270" fillId="0" borderId="77" xfId="5528" applyFont="1" applyBorder="1" applyAlignment="1">
      <alignment horizontal="center"/>
    </xf>
    <xf numFmtId="0" fontId="270" fillId="0" borderId="7" xfId="5528" applyFont="1" applyBorder="1" applyAlignment="1">
      <alignment horizontal="center"/>
    </xf>
    <xf numFmtId="0" fontId="270" fillId="0" borderId="3" xfId="5528" applyFont="1" applyBorder="1" applyAlignment="1">
      <alignment horizontal="center"/>
    </xf>
    <xf numFmtId="0" fontId="270" fillId="0" borderId="8" xfId="5528" applyFont="1" applyBorder="1" applyAlignment="1">
      <alignment horizontal="center"/>
    </xf>
    <xf numFmtId="0" fontId="281" fillId="164" borderId="4" xfId="5528" applyFont="1" applyFill="1" applyBorder="1" applyAlignment="1">
      <alignment horizontal="center" vertical="center" wrapText="1"/>
    </xf>
    <xf numFmtId="0" fontId="281" fillId="164" borderId="5" xfId="5528" applyFont="1" applyFill="1" applyBorder="1" applyAlignment="1">
      <alignment horizontal="center" vertical="center" wrapText="1"/>
    </xf>
    <xf numFmtId="0" fontId="270" fillId="164" borderId="4" xfId="5528" applyFont="1" applyFill="1" applyBorder="1" applyAlignment="1">
      <alignment horizontal="center" vertical="center" wrapText="1"/>
    </xf>
    <xf numFmtId="0" fontId="270" fillId="164" borderId="5" xfId="5528" applyFont="1" applyFill="1" applyBorder="1" applyAlignment="1">
      <alignment horizontal="center" vertical="center" wrapText="1"/>
    </xf>
    <xf numFmtId="0" fontId="270" fillId="164" borderId="1" xfId="5528" applyFont="1" applyFill="1" applyBorder="1" applyAlignment="1">
      <alignment horizontal="center" vertical="center" wrapText="1"/>
    </xf>
    <xf numFmtId="0" fontId="270" fillId="0" borderId="9" xfId="5528" applyFont="1" applyBorder="1" applyAlignment="1">
      <alignment horizontal="center" vertical="center" wrapText="1"/>
    </xf>
    <xf numFmtId="0" fontId="267" fillId="0" borderId="10" xfId="5528" applyBorder="1"/>
    <xf numFmtId="0" fontId="267" fillId="0" borderId="11" xfId="5528" applyBorder="1"/>
    <xf numFmtId="0" fontId="269" fillId="164" borderId="4" xfId="5528" applyFont="1" applyFill="1" applyBorder="1" applyAlignment="1">
      <alignment horizontal="center" vertical="center" wrapText="1"/>
    </xf>
    <xf numFmtId="0" fontId="269" fillId="164" borderId="6" xfId="5528" applyFont="1" applyFill="1" applyBorder="1" applyAlignment="1">
      <alignment horizontal="center" vertical="center" wrapText="1"/>
    </xf>
    <xf numFmtId="0" fontId="267" fillId="164" borderId="4" xfId="5528" applyFill="1" applyBorder="1" applyAlignment="1">
      <alignment horizontal="center" vertical="center" wrapText="1"/>
    </xf>
    <xf numFmtId="0" fontId="267" fillId="164" borderId="6" xfId="5528" applyFill="1" applyBorder="1" applyAlignment="1">
      <alignment horizontal="center" vertical="center" wrapText="1"/>
    </xf>
    <xf numFmtId="0" fontId="31" fillId="164" borderId="74" xfId="4" applyFont="1" applyFill="1" applyBorder="1" applyAlignment="1">
      <alignment horizontal="left" vertical="center" wrapText="1"/>
    </xf>
    <xf numFmtId="0" fontId="31" fillId="164" borderId="5" xfId="4" applyFont="1" applyFill="1" applyBorder="1" applyAlignment="1">
      <alignment horizontal="left" vertical="center" wrapText="1"/>
    </xf>
    <xf numFmtId="0" fontId="31" fillId="164" borderId="6" xfId="4" applyFont="1" applyFill="1" applyBorder="1" applyAlignment="1">
      <alignment horizontal="left" vertical="center" wrapText="1"/>
    </xf>
    <xf numFmtId="0" fontId="31" fillId="164" borderId="74" xfId="14123" applyFont="1" applyFill="1" applyBorder="1" applyAlignment="1">
      <alignment horizontal="center" vertical="top" wrapText="1"/>
    </xf>
    <xf numFmtId="0" fontId="31" fillId="164" borderId="5" xfId="14123" applyFont="1" applyFill="1" applyBorder="1" applyAlignment="1">
      <alignment horizontal="center" vertical="top" wrapText="1"/>
    </xf>
    <xf numFmtId="0" fontId="31" fillId="164" borderId="6" xfId="14123" applyFont="1" applyFill="1" applyBorder="1" applyAlignment="1">
      <alignment horizontal="center" vertical="top" wrapText="1"/>
    </xf>
    <xf numFmtId="0" fontId="31" fillId="164" borderId="74" xfId="0" applyFont="1" applyFill="1" applyBorder="1" applyAlignment="1">
      <alignment horizontal="center" vertical="center" wrapText="1"/>
    </xf>
    <xf numFmtId="0" fontId="31" fillId="164" borderId="5" xfId="0" applyFont="1" applyFill="1" applyBorder="1" applyAlignment="1">
      <alignment horizontal="center" vertical="center" wrapText="1"/>
    </xf>
    <xf numFmtId="0" fontId="31" fillId="164" borderId="6" xfId="0" applyFont="1" applyFill="1" applyBorder="1" applyAlignment="1">
      <alignment horizontal="center" vertical="center" wrapText="1"/>
    </xf>
    <xf numFmtId="0" fontId="31" fillId="164" borderId="74" xfId="4" applyFont="1" applyFill="1" applyBorder="1" applyAlignment="1">
      <alignment horizontal="center" vertical="center" wrapText="1"/>
    </xf>
    <xf numFmtId="0" fontId="31" fillId="164" borderId="5" xfId="4" applyFont="1" applyFill="1" applyBorder="1" applyAlignment="1">
      <alignment horizontal="center" vertical="center" wrapText="1"/>
    </xf>
    <xf numFmtId="0" fontId="31" fillId="164" borderId="6" xfId="4" applyFont="1" applyFill="1" applyBorder="1" applyAlignment="1">
      <alignment horizontal="center" vertical="center" wrapText="1"/>
    </xf>
    <xf numFmtId="0" fontId="31" fillId="164" borderId="74" xfId="14123" applyFont="1" applyFill="1" applyBorder="1" applyAlignment="1">
      <alignment horizontal="center" vertical="center" wrapText="1"/>
    </xf>
    <xf numFmtId="0" fontId="31" fillId="164" borderId="5" xfId="14123" applyFont="1" applyFill="1" applyBorder="1" applyAlignment="1">
      <alignment horizontal="center" vertical="center" wrapText="1"/>
    </xf>
    <xf numFmtId="0" fontId="31" fillId="164" borderId="6" xfId="14123" applyFont="1" applyFill="1" applyBorder="1" applyAlignment="1">
      <alignment horizontal="center" vertical="center" wrapText="1"/>
    </xf>
    <xf numFmtId="165" fontId="30" fillId="164" borderId="93" xfId="3501" applyNumberFormat="1" applyFont="1" applyFill="1" applyBorder="1" applyAlignment="1" applyProtection="1">
      <alignment horizontal="center" vertical="center" wrapText="1"/>
      <protection locked="0"/>
    </xf>
    <xf numFmtId="165" fontId="30" fillId="164" borderId="94" xfId="3501" applyNumberFormat="1" applyFont="1" applyFill="1" applyBorder="1" applyAlignment="1" applyProtection="1">
      <alignment horizontal="center" vertical="center" wrapText="1"/>
      <protection locked="0"/>
    </xf>
    <xf numFmtId="4" fontId="30" fillId="164" borderId="74" xfId="3501" applyNumberFormat="1" applyFont="1" applyFill="1" applyBorder="1" applyAlignment="1" applyProtection="1">
      <alignment horizontal="center" vertical="center" wrapText="1"/>
      <protection locked="0"/>
    </xf>
    <xf numFmtId="4" fontId="30" fillId="164" borderId="6" xfId="3501" applyNumberFormat="1" applyFont="1" applyFill="1" applyBorder="1" applyAlignment="1" applyProtection="1">
      <alignment horizontal="center" vertical="center" wrapText="1"/>
      <protection locked="0"/>
    </xf>
    <xf numFmtId="0" fontId="29" fillId="164" borderId="0" xfId="3501" applyFont="1" applyFill="1" applyAlignment="1">
      <alignment horizontal="center"/>
    </xf>
    <xf numFmtId="0" fontId="30" fillId="164" borderId="74" xfId="3501" applyFont="1" applyFill="1" applyBorder="1" applyAlignment="1">
      <alignment horizontal="center" vertical="center" wrapText="1"/>
    </xf>
    <xf numFmtId="0" fontId="30" fillId="164" borderId="6" xfId="3501" applyFont="1" applyFill="1" applyBorder="1" applyAlignment="1">
      <alignment horizontal="center" vertical="center" wrapText="1"/>
    </xf>
    <xf numFmtId="165" fontId="30" fillId="164" borderId="74" xfId="3501" applyNumberFormat="1" applyFont="1" applyFill="1" applyBorder="1" applyAlignment="1" applyProtection="1">
      <alignment horizontal="center" vertical="center" wrapText="1"/>
      <protection locked="0"/>
    </xf>
    <xf numFmtId="165" fontId="30" fillId="164" borderId="6" xfId="3501" applyNumberFormat="1" applyFont="1" applyFill="1" applyBorder="1" applyAlignment="1" applyProtection="1">
      <alignment horizontal="center" vertical="center" wrapText="1"/>
      <protection locked="0"/>
    </xf>
    <xf numFmtId="9" fontId="30" fillId="171" borderId="74" xfId="5531" applyNumberFormat="1" applyFont="1" applyFill="1" applyBorder="1" applyAlignment="1" applyProtection="1">
      <alignment horizontal="center" vertical="center" wrapText="1"/>
      <protection locked="0"/>
    </xf>
    <xf numFmtId="9" fontId="30" fillId="171" borderId="6" xfId="5531" applyNumberFormat="1" applyFont="1" applyFill="1" applyBorder="1" applyAlignment="1" applyProtection="1">
      <alignment horizontal="center" vertical="center" wrapText="1"/>
      <protection locked="0"/>
    </xf>
    <xf numFmtId="165" fontId="30" fillId="171" borderId="74" xfId="5531" applyNumberFormat="1" applyFont="1" applyFill="1" applyBorder="1" applyAlignment="1" applyProtection="1">
      <alignment horizontal="center" vertical="center" wrapText="1"/>
      <protection locked="0"/>
    </xf>
    <xf numFmtId="165" fontId="30" fillId="171" borderId="6" xfId="5531" applyNumberFormat="1" applyFont="1" applyFill="1" applyBorder="1" applyAlignment="1" applyProtection="1">
      <alignment horizontal="center" vertical="center" wrapText="1"/>
      <protection locked="0"/>
    </xf>
    <xf numFmtId="0" fontId="70" fillId="164" borderId="73" xfId="5532" applyFont="1" applyFill="1" applyBorder="1" applyAlignment="1">
      <alignment horizontal="center" vertical="center" wrapText="1"/>
    </xf>
    <xf numFmtId="0" fontId="70" fillId="164" borderId="73" xfId="5532" applyFont="1" applyFill="1" applyBorder="1" applyAlignment="1">
      <alignment horizontal="left" vertical="center" wrapText="1"/>
    </xf>
    <xf numFmtId="9" fontId="70" fillId="171" borderId="73" xfId="5531" applyNumberFormat="1" applyFont="1" applyFill="1" applyBorder="1" applyAlignment="1">
      <alignment horizontal="center" vertical="center" wrapText="1"/>
    </xf>
    <xf numFmtId="165" fontId="70" fillId="171" borderId="74" xfId="5531" applyNumberFormat="1" applyFont="1" applyFill="1" applyBorder="1" applyAlignment="1">
      <alignment horizontal="center" vertical="center" wrapText="1"/>
    </xf>
    <xf numFmtId="165" fontId="70" fillId="171" borderId="5" xfId="5531" applyNumberFormat="1" applyFont="1" applyFill="1" applyBorder="1" applyAlignment="1">
      <alignment horizontal="center" vertical="center" wrapText="1"/>
    </xf>
    <xf numFmtId="165" fontId="70" fillId="171" borderId="6" xfId="5531" applyNumberFormat="1" applyFont="1" applyFill="1" applyBorder="1" applyAlignment="1">
      <alignment horizontal="center" vertical="center" wrapText="1"/>
    </xf>
    <xf numFmtId="165" fontId="70" fillId="164" borderId="73" xfId="5532" applyNumberFormat="1" applyFont="1" applyFill="1" applyBorder="1" applyAlignment="1">
      <alignment horizontal="left" vertical="center" wrapText="1"/>
    </xf>
    <xf numFmtId="9" fontId="31" fillId="171" borderId="74" xfId="5531" applyNumberFormat="1" applyFont="1" applyFill="1" applyBorder="1" applyAlignment="1">
      <alignment horizontal="center" vertical="center" wrapText="1"/>
    </xf>
    <xf numFmtId="9" fontId="31" fillId="171" borderId="5" xfId="5531" applyNumberFormat="1" applyFont="1" applyFill="1" applyBorder="1" applyAlignment="1">
      <alignment horizontal="center" vertical="center" wrapText="1"/>
    </xf>
    <xf numFmtId="9" fontId="31" fillId="171" borderId="6" xfId="5531" applyNumberFormat="1" applyFont="1" applyFill="1" applyBorder="1" applyAlignment="1">
      <alignment horizontal="center" vertical="center" wrapText="1"/>
    </xf>
    <xf numFmtId="165" fontId="31" fillId="171" borderId="74" xfId="5531" applyNumberFormat="1" applyFont="1" applyFill="1" applyBorder="1" applyAlignment="1">
      <alignment horizontal="center" vertical="center" wrapText="1"/>
    </xf>
    <xf numFmtId="165" fontId="31" fillId="171" borderId="5" xfId="5531" applyNumberFormat="1" applyFont="1" applyFill="1" applyBorder="1" applyAlignment="1">
      <alignment horizontal="center" vertical="center" wrapText="1"/>
    </xf>
    <xf numFmtId="165" fontId="31" fillId="171" borderId="6" xfId="5531" applyNumberFormat="1" applyFont="1" applyFill="1" applyBorder="1" applyAlignment="1">
      <alignment horizontal="center" vertical="center" wrapText="1"/>
    </xf>
    <xf numFmtId="0" fontId="36" fillId="164" borderId="74" xfId="5530" applyFont="1" applyFill="1" applyBorder="1" applyAlignment="1">
      <alignment horizontal="center"/>
    </xf>
    <xf numFmtId="0" fontId="36" fillId="164" borderId="5" xfId="5530" applyFont="1" applyFill="1" applyBorder="1" applyAlignment="1">
      <alignment horizontal="center"/>
    </xf>
    <xf numFmtId="0" fontId="36" fillId="164" borderId="6" xfId="5530" applyFont="1" applyFill="1" applyBorder="1" applyAlignment="1">
      <alignment horizontal="center"/>
    </xf>
    <xf numFmtId="0" fontId="31" fillId="164" borderId="73" xfId="5530" applyFont="1" applyFill="1" applyBorder="1" applyAlignment="1">
      <alignment horizontal="center" vertical="center" wrapText="1"/>
    </xf>
    <xf numFmtId="171" fontId="31" fillId="177" borderId="73" xfId="5530" applyNumberFormat="1" applyFont="1" applyFill="1" applyBorder="1" applyAlignment="1">
      <alignment horizontal="center" vertical="center" wrapText="1"/>
    </xf>
    <xf numFmtId="0" fontId="30" fillId="164" borderId="74" xfId="5532" applyFont="1" applyFill="1" applyBorder="1" applyAlignment="1">
      <alignment horizontal="center" vertical="center" wrapText="1"/>
    </xf>
    <xf numFmtId="0" fontId="30" fillId="164" borderId="5" xfId="5532" applyFont="1" applyFill="1" applyBorder="1" applyAlignment="1">
      <alignment horizontal="center" vertical="center" wrapText="1"/>
    </xf>
    <xf numFmtId="0" fontId="30" fillId="164" borderId="6" xfId="5532" applyFont="1" applyFill="1" applyBorder="1" applyAlignment="1">
      <alignment horizontal="center" vertical="center" wrapText="1"/>
    </xf>
    <xf numFmtId="0" fontId="31" fillId="172" borderId="74" xfId="5532" applyFont="1" applyFill="1" applyBorder="1" applyAlignment="1">
      <alignment horizontal="center" vertical="center" wrapText="1"/>
    </xf>
    <xf numFmtId="0" fontId="31" fillId="172" borderId="5" xfId="5532" applyFont="1" applyFill="1" applyBorder="1" applyAlignment="1">
      <alignment horizontal="center" vertical="center" wrapText="1"/>
    </xf>
    <xf numFmtId="0" fontId="31" fillId="172" borderId="6" xfId="5532" applyFont="1" applyFill="1" applyBorder="1" applyAlignment="1">
      <alignment horizontal="center" vertical="center" wrapText="1"/>
    </xf>
    <xf numFmtId="0" fontId="31" fillId="164" borderId="74" xfId="5532" applyFont="1" applyFill="1" applyBorder="1" applyAlignment="1">
      <alignment horizontal="center" vertical="center" wrapText="1"/>
    </xf>
    <xf numFmtId="0" fontId="31" fillId="164" borderId="5" xfId="5532" applyFont="1" applyFill="1" applyBorder="1" applyAlignment="1">
      <alignment horizontal="center" vertical="center" wrapText="1"/>
    </xf>
    <xf numFmtId="0" fontId="31" fillId="164" borderId="6" xfId="5532" applyFont="1" applyFill="1" applyBorder="1" applyAlignment="1">
      <alignment horizontal="center" vertical="center" wrapText="1"/>
    </xf>
    <xf numFmtId="165" fontId="31" fillId="177" borderId="74" xfId="5532" applyNumberFormat="1" applyFont="1" applyFill="1" applyBorder="1" applyAlignment="1">
      <alignment horizontal="center" vertical="center" wrapText="1"/>
    </xf>
    <xf numFmtId="165" fontId="31" fillId="177" borderId="5" xfId="5532" applyNumberFormat="1" applyFont="1" applyFill="1" applyBorder="1" applyAlignment="1">
      <alignment horizontal="center" vertical="center" wrapText="1"/>
    </xf>
    <xf numFmtId="165" fontId="31" fillId="177" borderId="6" xfId="5532" applyNumberFormat="1" applyFont="1" applyFill="1" applyBorder="1" applyAlignment="1">
      <alignment horizontal="center" vertical="center" wrapText="1"/>
    </xf>
    <xf numFmtId="9" fontId="31" fillId="171" borderId="74" xfId="5530" applyNumberFormat="1" applyFont="1" applyFill="1" applyBorder="1" applyAlignment="1">
      <alignment horizontal="center" vertical="center" wrapText="1"/>
    </xf>
    <xf numFmtId="0" fontId="31" fillId="171" borderId="5" xfId="5530" applyFont="1" applyFill="1" applyBorder="1" applyAlignment="1">
      <alignment horizontal="center" vertical="center" wrapText="1"/>
    </xf>
    <xf numFmtId="0" fontId="31" fillId="171" borderId="6" xfId="5530" applyFont="1" applyFill="1" applyBorder="1" applyAlignment="1">
      <alignment horizontal="center" vertical="center" wrapText="1"/>
    </xf>
    <xf numFmtId="165" fontId="31" fillId="171" borderId="74" xfId="5530" applyNumberFormat="1" applyFont="1" applyFill="1" applyBorder="1" applyAlignment="1">
      <alignment horizontal="center" vertical="center" wrapText="1"/>
    </xf>
    <xf numFmtId="165" fontId="31" fillId="171" borderId="5" xfId="5530" applyNumberFormat="1" applyFont="1" applyFill="1" applyBorder="1" applyAlignment="1">
      <alignment horizontal="center" vertical="center" wrapText="1"/>
    </xf>
    <xf numFmtId="165" fontId="31" fillId="171" borderId="6" xfId="5530" applyNumberFormat="1" applyFont="1" applyFill="1" applyBorder="1" applyAlignment="1">
      <alignment horizontal="center" vertical="center" wrapText="1"/>
    </xf>
    <xf numFmtId="165" fontId="31" fillId="177" borderId="73" xfId="5530" applyNumberFormat="1" applyFont="1" applyFill="1" applyBorder="1" applyAlignment="1">
      <alignment horizontal="center" vertical="center" wrapText="1"/>
    </xf>
    <xf numFmtId="0" fontId="31" fillId="172" borderId="74" xfId="5530" applyFont="1" applyFill="1" applyBorder="1" applyAlignment="1">
      <alignment horizontal="center" vertical="center" wrapText="1"/>
    </xf>
    <xf numFmtId="0" fontId="31" fillId="172" borderId="5" xfId="5530" applyFont="1" applyFill="1" applyBorder="1" applyAlignment="1">
      <alignment horizontal="center" vertical="center" wrapText="1"/>
    </xf>
    <xf numFmtId="0" fontId="31" fillId="172" borderId="6" xfId="5530" applyFont="1" applyFill="1" applyBorder="1" applyAlignment="1">
      <alignment horizontal="center" vertical="center" wrapText="1"/>
    </xf>
    <xf numFmtId="165" fontId="31" fillId="164" borderId="74" xfId="5530" applyNumberFormat="1" applyFont="1" applyFill="1" applyBorder="1" applyAlignment="1">
      <alignment horizontal="center" vertical="center" wrapText="1"/>
    </xf>
    <xf numFmtId="165" fontId="31" fillId="164" borderId="5" xfId="5530" applyNumberFormat="1" applyFont="1" applyFill="1" applyBorder="1" applyAlignment="1">
      <alignment horizontal="center" vertical="center" wrapText="1"/>
    </xf>
    <xf numFmtId="165" fontId="31" fillId="164" borderId="6" xfId="5530" applyNumberFormat="1" applyFont="1" applyFill="1" applyBorder="1" applyAlignment="1">
      <alignment horizontal="center" vertical="center" wrapText="1"/>
    </xf>
    <xf numFmtId="9" fontId="31" fillId="171" borderId="5" xfId="5530" applyNumberFormat="1" applyFont="1" applyFill="1" applyBorder="1" applyAlignment="1">
      <alignment horizontal="center" vertical="center" wrapText="1"/>
    </xf>
    <xf numFmtId="9" fontId="31" fillId="171" borderId="6" xfId="5530" applyNumberFormat="1" applyFont="1" applyFill="1" applyBorder="1" applyAlignment="1">
      <alignment horizontal="center" vertical="center" wrapText="1"/>
    </xf>
    <xf numFmtId="166" fontId="31" fillId="171" borderId="74" xfId="5530" applyNumberFormat="1" applyFont="1" applyFill="1" applyBorder="1" applyAlignment="1">
      <alignment horizontal="center" vertical="center" wrapText="1"/>
    </xf>
    <xf numFmtId="166" fontId="31" fillId="171" borderId="5" xfId="5530" applyNumberFormat="1" applyFont="1" applyFill="1" applyBorder="1" applyAlignment="1">
      <alignment horizontal="center" vertical="center" wrapText="1"/>
    </xf>
    <xf numFmtId="166" fontId="31" fillId="171" borderId="6" xfId="5530" applyNumberFormat="1" applyFont="1" applyFill="1" applyBorder="1" applyAlignment="1">
      <alignment horizontal="center" vertical="center" wrapText="1"/>
    </xf>
    <xf numFmtId="2" fontId="31" fillId="171" borderId="5" xfId="5530" applyNumberFormat="1" applyFont="1" applyFill="1" applyBorder="1" applyAlignment="1">
      <alignment horizontal="center" vertical="center" wrapText="1"/>
    </xf>
    <xf numFmtId="2" fontId="31" fillId="171" borderId="6" xfId="5530" applyNumberFormat="1" applyFont="1" applyFill="1" applyBorder="1" applyAlignment="1">
      <alignment horizontal="center" vertical="center" wrapText="1"/>
    </xf>
    <xf numFmtId="0" fontId="283" fillId="164" borderId="74" xfId="4" applyFont="1" applyFill="1" applyBorder="1" applyAlignment="1">
      <alignment horizontal="center" vertical="center"/>
    </xf>
    <xf numFmtId="0" fontId="283" fillId="164" borderId="5" xfId="4" applyFont="1" applyFill="1" applyBorder="1" applyAlignment="1">
      <alignment horizontal="center" vertical="center"/>
    </xf>
    <xf numFmtId="0" fontId="283" fillId="164" borderId="6" xfId="4" applyFont="1" applyFill="1" applyBorder="1" applyAlignment="1">
      <alignment horizontal="center" vertical="center"/>
    </xf>
    <xf numFmtId="165" fontId="31" fillId="177" borderId="74" xfId="4" applyNumberFormat="1" applyFont="1" applyFill="1" applyBorder="1" applyAlignment="1">
      <alignment horizontal="center" vertical="center" wrapText="1"/>
    </xf>
    <xf numFmtId="165" fontId="31" fillId="177" borderId="5" xfId="4" applyNumberFormat="1" applyFont="1" applyFill="1" applyBorder="1" applyAlignment="1">
      <alignment horizontal="center" vertical="center" wrapText="1"/>
    </xf>
    <xf numFmtId="165" fontId="31" fillId="177" borderId="6" xfId="4" applyNumberFormat="1" applyFont="1" applyFill="1" applyBorder="1" applyAlignment="1">
      <alignment horizontal="center" vertical="center" wrapText="1"/>
    </xf>
    <xf numFmtId="10" fontId="31" fillId="164" borderId="74" xfId="4" applyNumberFormat="1" applyFont="1" applyFill="1" applyBorder="1" applyAlignment="1">
      <alignment horizontal="center" vertical="center" wrapText="1"/>
    </xf>
    <xf numFmtId="10" fontId="31" fillId="164" borderId="5" xfId="4" applyNumberFormat="1" applyFont="1" applyFill="1" applyBorder="1" applyAlignment="1">
      <alignment horizontal="center" vertical="center" wrapText="1"/>
    </xf>
    <xf numFmtId="10" fontId="31" fillId="164" borderId="6" xfId="4" applyNumberFormat="1" applyFont="1" applyFill="1" applyBorder="1" applyAlignment="1">
      <alignment horizontal="center" vertical="center" wrapText="1"/>
    </xf>
    <xf numFmtId="165" fontId="31" fillId="164" borderId="74" xfId="4" applyNumberFormat="1" applyFont="1" applyFill="1" applyBorder="1" applyAlignment="1">
      <alignment horizontal="center" vertical="center" wrapText="1"/>
    </xf>
    <xf numFmtId="165" fontId="31" fillId="164" borderId="5" xfId="4" applyNumberFormat="1" applyFont="1" applyFill="1" applyBorder="1" applyAlignment="1">
      <alignment horizontal="center" vertical="center" wrapText="1"/>
    </xf>
    <xf numFmtId="165" fontId="31" fillId="164" borderId="6" xfId="4" applyNumberFormat="1" applyFont="1" applyFill="1" applyBorder="1" applyAlignment="1">
      <alignment horizontal="center" vertical="center" wrapText="1"/>
    </xf>
    <xf numFmtId="0" fontId="31" fillId="171" borderId="74" xfId="5530" applyFont="1" applyFill="1" applyBorder="1" applyAlignment="1">
      <alignment horizontal="center" vertical="center" wrapText="1"/>
    </xf>
    <xf numFmtId="0" fontId="30" fillId="164" borderId="74" xfId="5" applyFont="1" applyFill="1" applyBorder="1" applyAlignment="1">
      <alignment horizontal="center" vertical="center" wrapText="1"/>
    </xf>
    <xf numFmtId="0" fontId="30" fillId="164" borderId="5" xfId="5" applyFont="1" applyFill="1" applyBorder="1" applyAlignment="1">
      <alignment horizontal="center" vertical="center" wrapText="1"/>
    </xf>
    <xf numFmtId="0" fontId="30" fillId="164" borderId="6" xfId="5" applyFont="1" applyFill="1" applyBorder="1" applyAlignment="1">
      <alignment horizontal="center" vertical="center" wrapText="1"/>
    </xf>
    <xf numFmtId="0" fontId="31" fillId="164" borderId="74" xfId="5" applyFont="1" applyFill="1" applyBorder="1" applyAlignment="1">
      <alignment horizontal="center" vertical="center" wrapText="1"/>
    </xf>
    <xf numFmtId="0" fontId="31" fillId="164" borderId="5" xfId="5" applyFont="1" applyFill="1" applyBorder="1" applyAlignment="1">
      <alignment horizontal="center" vertical="center" wrapText="1"/>
    </xf>
    <xf numFmtId="0" fontId="31" fillId="164" borderId="6" xfId="5" applyFont="1" applyFill="1" applyBorder="1" applyAlignment="1">
      <alignment horizontal="center" vertical="center" wrapText="1"/>
    </xf>
    <xf numFmtId="0" fontId="31" fillId="177" borderId="74" xfId="5" applyFont="1" applyFill="1" applyBorder="1" applyAlignment="1">
      <alignment horizontal="center" vertical="center" wrapText="1"/>
    </xf>
    <xf numFmtId="0" fontId="31" fillId="177" borderId="5" xfId="5" applyFont="1" applyFill="1" applyBorder="1" applyAlignment="1">
      <alignment horizontal="center" vertical="center" wrapText="1"/>
    </xf>
    <xf numFmtId="0" fontId="31" fillId="177" borderId="6" xfId="5" applyFont="1" applyFill="1" applyBorder="1" applyAlignment="1">
      <alignment horizontal="center" vertical="center" wrapText="1"/>
    </xf>
    <xf numFmtId="172" fontId="31" fillId="164" borderId="74" xfId="5" applyNumberFormat="1" applyFont="1" applyFill="1" applyBorder="1" applyAlignment="1">
      <alignment horizontal="center" vertical="center" wrapText="1"/>
    </xf>
    <xf numFmtId="172" fontId="31" fillId="164" borderId="5" xfId="5" applyNumberFormat="1" applyFont="1" applyFill="1" applyBorder="1" applyAlignment="1">
      <alignment horizontal="center" vertical="center" wrapText="1"/>
    </xf>
    <xf numFmtId="172" fontId="31" fillId="164" borderId="6" xfId="5" applyNumberFormat="1" applyFont="1" applyFill="1" applyBorder="1" applyAlignment="1">
      <alignment horizontal="center" vertical="center" wrapText="1"/>
    </xf>
    <xf numFmtId="9" fontId="31" fillId="164" borderId="74" xfId="4" applyNumberFormat="1" applyFont="1" applyFill="1" applyBorder="1" applyAlignment="1">
      <alignment horizontal="center" vertical="center" wrapText="1"/>
    </xf>
    <xf numFmtId="9" fontId="31" fillId="164" borderId="5" xfId="4" applyNumberFormat="1" applyFont="1" applyFill="1" applyBorder="1" applyAlignment="1">
      <alignment horizontal="center" vertical="center" wrapText="1"/>
    </xf>
    <xf numFmtId="9" fontId="31" fillId="164" borderId="6" xfId="4" applyNumberFormat="1" applyFont="1" applyFill="1" applyBorder="1" applyAlignment="1">
      <alignment horizontal="center" vertical="center" wrapText="1"/>
    </xf>
    <xf numFmtId="165" fontId="31" fillId="164" borderId="74" xfId="4732" applyNumberFormat="1" applyFont="1" applyFill="1" applyBorder="1" applyAlignment="1">
      <alignment horizontal="center" vertical="center" wrapText="1"/>
    </xf>
    <xf numFmtId="165" fontId="31" fillId="164" borderId="5" xfId="4732" applyNumberFormat="1" applyFont="1" applyFill="1" applyBorder="1" applyAlignment="1">
      <alignment horizontal="center" vertical="center" wrapText="1"/>
    </xf>
    <xf numFmtId="165" fontId="31" fillId="164" borderId="6" xfId="4732" applyNumberFormat="1" applyFont="1" applyFill="1" applyBorder="1" applyAlignment="1">
      <alignment horizontal="center" vertical="center" wrapText="1"/>
    </xf>
    <xf numFmtId="0" fontId="60" fillId="2" borderId="0" xfId="0" applyFont="1" applyFill="1" applyAlignment="1">
      <alignment horizontal="left" vertical="top" wrapText="1"/>
    </xf>
    <xf numFmtId="0" fontId="0" fillId="2" borderId="7" xfId="0" applyFill="1" applyBorder="1" applyAlignment="1">
      <alignment horizontal="center" vertical="center" wrapText="1"/>
    </xf>
    <xf numFmtId="0" fontId="0" fillId="2" borderId="0" xfId="0" applyFill="1" applyAlignment="1">
      <alignment horizontal="center" vertical="center" wrapText="1"/>
    </xf>
    <xf numFmtId="0" fontId="60" fillId="2" borderId="0" xfId="0" applyFont="1" applyFill="1" applyAlignment="1">
      <alignment horizontal="left" vertical="top"/>
    </xf>
    <xf numFmtId="0" fontId="298" fillId="0" borderId="8" xfId="0" applyNumberFormat="1" applyFont="1" applyBorder="1" applyAlignment="1">
      <alignment horizontal="center" vertical="center"/>
    </xf>
    <xf numFmtId="0" fontId="0" fillId="0" borderId="8" xfId="0" applyBorder="1" applyAlignment="1">
      <alignment vertical="center"/>
    </xf>
    <xf numFmtId="0" fontId="32" fillId="0" borderId="92" xfId="0" applyFont="1" applyFill="1" applyBorder="1" applyAlignment="1">
      <alignment horizontal="left" vertical="center" wrapText="1"/>
    </xf>
    <xf numFmtId="0" fontId="0" fillId="0" borderId="93" xfId="0" applyBorder="1" applyAlignment="1">
      <alignment horizontal="left" vertical="center" wrapText="1"/>
    </xf>
    <xf numFmtId="0" fontId="0" fillId="0" borderId="94" xfId="0" applyBorder="1" applyAlignment="1">
      <alignment horizontal="left" vertical="center" wrapText="1"/>
    </xf>
    <xf numFmtId="0" fontId="0" fillId="0" borderId="0" xfId="0" applyAlignment="1">
      <alignment horizontal="justify"/>
    </xf>
    <xf numFmtId="0" fontId="0" fillId="0" borderId="0" xfId="0" applyAlignment="1"/>
    <xf numFmtId="0" fontId="37" fillId="2" borderId="0" xfId="0" applyFont="1" applyFill="1" applyAlignment="1">
      <alignment horizontal="center" wrapText="1"/>
    </xf>
    <xf numFmtId="0" fontId="44" fillId="161" borderId="1" xfId="23854" applyFont="1" applyFill="1" applyBorder="1" applyAlignment="1">
      <alignment horizontal="center" vertical="center" wrapText="1"/>
    </xf>
    <xf numFmtId="0" fontId="45" fillId="18" borderId="15" xfId="23854" applyFont="1" applyFill="1" applyBorder="1" applyAlignment="1">
      <alignment horizontal="center" vertical="center" wrapText="1"/>
    </xf>
    <xf numFmtId="0" fontId="45" fillId="18" borderId="94" xfId="23854" applyFont="1" applyFill="1" applyBorder="1" applyAlignment="1">
      <alignment horizontal="center" vertical="center" wrapText="1"/>
    </xf>
    <xf numFmtId="49" fontId="37" fillId="2" borderId="74" xfId="23854" applyNumberFormat="1" applyFont="1" applyFill="1" applyBorder="1" applyAlignment="1">
      <alignment horizontal="right" vertical="top"/>
    </xf>
    <xf numFmtId="49" fontId="37" fillId="2" borderId="5" xfId="23854" applyNumberFormat="1" applyFont="1" applyFill="1" applyBorder="1" applyAlignment="1">
      <alignment horizontal="right" vertical="top"/>
    </xf>
    <xf numFmtId="0" fontId="10" fillId="2" borderId="74" xfId="23854" applyFont="1" applyFill="1" applyBorder="1" applyAlignment="1">
      <alignment horizontal="center" vertical="center"/>
    </xf>
    <xf numFmtId="0" fontId="10" fillId="2" borderId="5" xfId="23854" applyFont="1" applyFill="1" applyBorder="1" applyAlignment="1">
      <alignment horizontal="center" vertical="center"/>
    </xf>
    <xf numFmtId="0" fontId="10" fillId="2" borderId="6" xfId="23854" applyFont="1" applyFill="1" applyBorder="1" applyAlignment="1">
      <alignment horizontal="center" vertical="center"/>
    </xf>
    <xf numFmtId="0" fontId="10" fillId="2" borderId="1" xfId="23854" applyFont="1" applyFill="1" applyBorder="1" applyAlignment="1">
      <alignment horizontal="center" vertical="center" wrapText="1"/>
    </xf>
    <xf numFmtId="0" fontId="44" fillId="2" borderId="0" xfId="23854" applyFont="1" applyFill="1" applyAlignment="1">
      <alignment horizontal="center" vertical="center" wrapText="1"/>
    </xf>
    <xf numFmtId="0" fontId="14" fillId="2" borderId="74" xfId="23854" applyFont="1" applyFill="1" applyBorder="1" applyAlignment="1">
      <alignment horizontal="center" vertical="center" wrapText="1"/>
    </xf>
    <xf numFmtId="0" fontId="14" fillId="2" borderId="6" xfId="23854" applyFont="1" applyFill="1" applyBorder="1" applyAlignment="1">
      <alignment horizontal="center" vertical="center" wrapText="1"/>
    </xf>
    <xf numFmtId="0" fontId="36" fillId="2" borderId="74" xfId="23854" applyFont="1" applyFill="1" applyBorder="1" applyAlignment="1">
      <alignment horizontal="center" vertical="center"/>
    </xf>
    <xf numFmtId="0" fontId="36" fillId="2" borderId="6" xfId="23854" applyFont="1" applyFill="1" applyBorder="1" applyAlignment="1">
      <alignment horizontal="center" vertical="center"/>
    </xf>
    <xf numFmtId="0" fontId="37" fillId="2" borderId="74" xfId="23854" applyFont="1" applyFill="1" applyBorder="1" applyAlignment="1">
      <alignment horizontal="center" vertical="center" wrapText="1"/>
    </xf>
    <xf numFmtId="0" fontId="37" fillId="2" borderId="6" xfId="23854" applyFont="1" applyFill="1" applyBorder="1" applyAlignment="1">
      <alignment horizontal="center" vertical="center" wrapText="1"/>
    </xf>
    <xf numFmtId="0" fontId="10" fillId="2" borderId="74" xfId="23854" applyFont="1" applyFill="1" applyBorder="1" applyAlignment="1">
      <alignment horizontal="center" vertical="center" wrapText="1"/>
    </xf>
    <xf numFmtId="0" fontId="10" fillId="2" borderId="6" xfId="23854" applyFont="1" applyFill="1" applyBorder="1" applyAlignment="1">
      <alignment horizontal="center" vertical="center" wrapText="1"/>
    </xf>
    <xf numFmtId="0" fontId="300" fillId="0" borderId="0" xfId="23856" applyNumberFormat="1" applyProtection="1">
      <alignment horizontal="center" vertical="top" wrapText="1"/>
    </xf>
    <xf numFmtId="0" fontId="300" fillId="0" borderId="0" xfId="23856">
      <alignment horizontal="center" vertical="top" wrapText="1"/>
    </xf>
    <xf numFmtId="0" fontId="301" fillId="0" borderId="0" xfId="23857" applyNumberFormat="1" applyProtection="1">
      <alignment horizontal="right" vertical="top" wrapText="1"/>
    </xf>
    <xf numFmtId="0" fontId="301" fillId="0" borderId="0" xfId="23857">
      <alignment horizontal="right" vertical="top" wrapText="1"/>
    </xf>
    <xf numFmtId="0" fontId="60" fillId="0" borderId="0" xfId="23900" applyFont="1" applyFill="1" applyAlignment="1">
      <alignment horizontal="center"/>
    </xf>
    <xf numFmtId="0" fontId="60" fillId="0" borderId="8" xfId="23900" applyFont="1" applyFill="1" applyBorder="1" applyAlignment="1">
      <alignment horizontal="center"/>
    </xf>
    <xf numFmtId="0" fontId="60" fillId="0" borderId="73" xfId="23900" applyFont="1" applyFill="1" applyBorder="1" applyAlignment="1">
      <alignment horizontal="center" vertical="center" wrapText="1"/>
    </xf>
    <xf numFmtId="0" fontId="60" fillId="0" borderId="73" xfId="23900" applyFont="1" applyFill="1" applyBorder="1" applyAlignment="1">
      <alignment vertical="center" wrapText="1"/>
    </xf>
    <xf numFmtId="0" fontId="60" fillId="0" borderId="73" xfId="23900" applyFont="1" applyFill="1" applyBorder="1" applyAlignment="1">
      <alignment wrapText="1"/>
    </xf>
    <xf numFmtId="0" fontId="60" fillId="0" borderId="73" xfId="23900" applyFont="1" applyFill="1" applyBorder="1"/>
    <xf numFmtId="0" fontId="32" fillId="0" borderId="0" xfId="23900" applyFont="1"/>
    <xf numFmtId="0" fontId="30" fillId="27" borderId="74" xfId="23900" applyFont="1" applyFill="1" applyBorder="1" applyAlignment="1">
      <alignment horizontal="center" vertical="center" wrapText="1"/>
    </xf>
    <xf numFmtId="0" fontId="30" fillId="27" borderId="5" xfId="23900" applyFont="1" applyFill="1" applyBorder="1" applyAlignment="1">
      <alignment horizontal="center" vertical="center" wrapText="1"/>
    </xf>
    <xf numFmtId="0" fontId="30" fillId="27" borderId="6" xfId="23900" applyFont="1" applyFill="1" applyBorder="1" applyAlignment="1">
      <alignment horizontal="center" vertical="center" wrapText="1"/>
    </xf>
    <xf numFmtId="0" fontId="30" fillId="27" borderId="73" xfId="23900" applyFont="1" applyFill="1" applyBorder="1" applyAlignment="1">
      <alignment horizontal="center" vertical="center" wrapText="1"/>
    </xf>
    <xf numFmtId="0" fontId="20" fillId="0" borderId="0" xfId="3501" applyFont="1" applyFill="1"/>
    <xf numFmtId="0" fontId="20" fillId="0" borderId="0" xfId="3501" applyFont="1" applyFill="1" applyAlignment="1">
      <alignment horizontal="center"/>
    </xf>
    <xf numFmtId="165" fontId="20" fillId="0" borderId="0" xfId="3501" applyNumberFormat="1" applyFont="1" applyFill="1" applyAlignment="1">
      <alignment horizontal="center"/>
    </xf>
    <xf numFmtId="165" fontId="20" fillId="0" borderId="0" xfId="3501" applyNumberFormat="1" applyFont="1" applyFill="1"/>
    <xf numFmtId="165" fontId="20" fillId="0" borderId="0" xfId="3501" applyNumberFormat="1" applyFont="1" applyFill="1" applyAlignment="1">
      <alignment horizontal="right" vertical="center"/>
    </xf>
    <xf numFmtId="165" fontId="20" fillId="0" borderId="0" xfId="3501" applyNumberFormat="1" applyFont="1" applyFill="1" applyAlignment="1">
      <alignment horizontal="center" vertical="center"/>
    </xf>
    <xf numFmtId="167" fontId="20" fillId="0" borderId="0" xfId="23901" applyNumberFormat="1" applyFont="1" applyFill="1" applyAlignment="1">
      <alignment horizontal="center"/>
    </xf>
    <xf numFmtId="9" fontId="20" fillId="0" borderId="0" xfId="23901" applyNumberFormat="1" applyFont="1" applyFill="1" applyAlignment="1">
      <alignment horizontal="center"/>
    </xf>
    <xf numFmtId="165" fontId="20" fillId="0" borderId="0" xfId="23901" applyNumberFormat="1" applyFont="1" applyFill="1" applyAlignment="1">
      <alignment horizontal="center"/>
    </xf>
    <xf numFmtId="0" fontId="20" fillId="0" borderId="0" xfId="3501" applyFont="1" applyFill="1" applyAlignment="1">
      <alignment horizontal="right" vertical="center"/>
    </xf>
    <xf numFmtId="0" fontId="29" fillId="0" borderId="0" xfId="3501" applyFont="1" applyFill="1" applyAlignment="1">
      <alignment horizontal="center"/>
    </xf>
    <xf numFmtId="0" fontId="132" fillId="0" borderId="0" xfId="3501" applyFont="1" applyFill="1"/>
    <xf numFmtId="0" fontId="132" fillId="0" borderId="0" xfId="3501" applyFont="1" applyFill="1" applyAlignment="1">
      <alignment horizontal="center"/>
    </xf>
    <xf numFmtId="165" fontId="132" fillId="0" borderId="0" xfId="3501" applyNumberFormat="1" applyFont="1" applyFill="1" applyAlignment="1">
      <alignment horizontal="center"/>
    </xf>
    <xf numFmtId="165" fontId="132" fillId="0" borderId="0" xfId="3501" applyNumberFormat="1" applyFont="1" applyFill="1"/>
    <xf numFmtId="165" fontId="132" fillId="0" borderId="0" xfId="3501" applyNumberFormat="1" applyFont="1" applyFill="1" applyAlignment="1">
      <alignment horizontal="right"/>
    </xf>
    <xf numFmtId="167" fontId="21" fillId="0" borderId="0" xfId="23901" applyNumberFormat="1" applyFont="1" applyFill="1" applyAlignment="1">
      <alignment horizontal="center"/>
    </xf>
    <xf numFmtId="9" fontId="21" fillId="0" borderId="0" xfId="23901" applyNumberFormat="1" applyFont="1" applyFill="1" applyAlignment="1">
      <alignment horizontal="center"/>
    </xf>
    <xf numFmtId="165" fontId="21" fillId="0" borderId="0" xfId="23901" applyNumberFormat="1" applyFont="1" applyFill="1" applyAlignment="1">
      <alignment horizontal="center"/>
    </xf>
    <xf numFmtId="0" fontId="30" fillId="0" borderId="74" xfId="3501" applyFont="1" applyFill="1" applyBorder="1" applyAlignment="1">
      <alignment horizontal="center" vertical="center" wrapText="1"/>
    </xf>
    <xf numFmtId="4" fontId="30" fillId="0" borderId="74" xfId="3501" applyNumberFormat="1" applyFont="1" applyFill="1" applyBorder="1" applyAlignment="1" applyProtection="1">
      <alignment horizontal="center" vertical="center" wrapText="1"/>
      <protection locked="0"/>
    </xf>
    <xf numFmtId="165" fontId="30" fillId="0" borderId="74" xfId="3501" applyNumberFormat="1" applyFont="1" applyFill="1" applyBorder="1" applyAlignment="1" applyProtection="1">
      <alignment horizontal="center" vertical="center" wrapText="1"/>
      <protection locked="0"/>
    </xf>
    <xf numFmtId="165" fontId="30" fillId="0" borderId="92" xfId="3501" applyNumberFormat="1" applyFont="1" applyFill="1" applyBorder="1" applyAlignment="1" applyProtection="1">
      <alignment horizontal="center" vertical="center" wrapText="1"/>
      <protection locked="0"/>
    </xf>
    <xf numFmtId="165" fontId="30" fillId="0" borderId="94" xfId="3501" applyNumberFormat="1" applyFont="1" applyFill="1" applyBorder="1" applyAlignment="1" applyProtection="1">
      <alignment horizontal="center" vertical="center" wrapText="1"/>
      <protection locked="0"/>
    </xf>
    <xf numFmtId="165" fontId="30" fillId="0" borderId="93" xfId="3501" applyNumberFormat="1" applyFont="1" applyFill="1" applyBorder="1" applyAlignment="1" applyProtection="1">
      <alignment horizontal="center" vertical="center" wrapText="1"/>
      <protection locked="0"/>
    </xf>
    <xf numFmtId="9" fontId="30" fillId="0" borderId="74" xfId="23901" applyNumberFormat="1" applyFont="1" applyFill="1" applyBorder="1" applyAlignment="1" applyProtection="1">
      <alignment horizontal="center" vertical="center" wrapText="1"/>
      <protection locked="0"/>
    </xf>
    <xf numFmtId="165" fontId="30" fillId="0" borderId="74" xfId="23901" applyNumberFormat="1" applyFont="1" applyFill="1" applyBorder="1" applyAlignment="1" applyProtection="1">
      <alignment horizontal="center" vertical="center" wrapText="1"/>
      <protection locked="0"/>
    </xf>
    <xf numFmtId="0" fontId="30" fillId="0" borderId="6" xfId="3501" applyFont="1" applyFill="1" applyBorder="1" applyAlignment="1">
      <alignment horizontal="center" vertical="center" wrapText="1"/>
    </xf>
    <xf numFmtId="4" fontId="30" fillId="0" borderId="6" xfId="3501" applyNumberFormat="1" applyFont="1" applyFill="1" applyBorder="1" applyAlignment="1" applyProtection="1">
      <alignment horizontal="center" vertical="center" wrapText="1"/>
      <protection locked="0"/>
    </xf>
    <xf numFmtId="165" fontId="30" fillId="0" borderId="6" xfId="3501" applyNumberFormat="1" applyFont="1" applyFill="1" applyBorder="1" applyAlignment="1" applyProtection="1">
      <alignment horizontal="center" vertical="center" wrapText="1"/>
      <protection locked="0"/>
    </xf>
    <xf numFmtId="4" fontId="30" fillId="0" borderId="74" xfId="14123" applyNumberFormat="1" applyFont="1" applyFill="1" applyBorder="1" applyAlignment="1" applyProtection="1">
      <alignment horizontal="center" vertical="center" wrapText="1"/>
      <protection locked="0"/>
    </xf>
    <xf numFmtId="4" fontId="30" fillId="0" borderId="73" xfId="14123" applyNumberFormat="1" applyFont="1" applyFill="1" applyBorder="1" applyAlignment="1" applyProtection="1">
      <alignment horizontal="center" vertical="center" wrapText="1"/>
      <protection locked="0"/>
    </xf>
    <xf numFmtId="165" fontId="30" fillId="0" borderId="73" xfId="3501" applyNumberFormat="1" applyFont="1" applyFill="1" applyBorder="1" applyAlignment="1" applyProtection="1">
      <alignment horizontal="center" vertical="center" wrapText="1"/>
      <protection locked="0"/>
    </xf>
    <xf numFmtId="167" fontId="30" fillId="0" borderId="73" xfId="23901" applyNumberFormat="1" applyFont="1" applyFill="1" applyBorder="1" applyAlignment="1" applyProtection="1">
      <alignment horizontal="center" vertical="center" wrapText="1"/>
      <protection locked="0"/>
    </xf>
    <xf numFmtId="9" fontId="30" fillId="0" borderId="6" xfId="23901" applyNumberFormat="1" applyFont="1" applyFill="1" applyBorder="1" applyAlignment="1" applyProtection="1">
      <alignment horizontal="center" vertical="center" wrapText="1"/>
      <protection locked="0"/>
    </xf>
    <xf numFmtId="165" fontId="30" fillId="0" borderId="6" xfId="23901" applyNumberFormat="1" applyFont="1" applyFill="1" applyBorder="1" applyAlignment="1" applyProtection="1">
      <alignment horizontal="center" vertical="center" wrapText="1"/>
      <protection locked="0"/>
    </xf>
    <xf numFmtId="0" fontId="70" fillId="0" borderId="73" xfId="23902" applyFont="1" applyFill="1" applyBorder="1" applyAlignment="1">
      <alignment horizontal="center" vertical="center" wrapText="1"/>
    </xf>
    <xf numFmtId="0" fontId="70" fillId="0" borderId="73" xfId="23902" applyFont="1" applyFill="1" applyBorder="1" applyAlignment="1">
      <alignment horizontal="left" vertical="center" wrapText="1"/>
    </xf>
    <xf numFmtId="0" fontId="70" fillId="0" borderId="73" xfId="23902" applyFont="1" applyFill="1" applyBorder="1" applyAlignment="1">
      <alignment horizontal="center" vertical="center" wrapText="1"/>
    </xf>
    <xf numFmtId="165" fontId="30" fillId="0" borderId="73" xfId="23902" applyNumberFormat="1" applyFont="1" applyFill="1" applyBorder="1" applyAlignment="1">
      <alignment horizontal="right" vertical="center" wrapText="1"/>
    </xf>
    <xf numFmtId="167" fontId="30" fillId="0" borderId="73" xfId="23902" applyNumberFormat="1" applyFont="1" applyFill="1" applyBorder="1" applyAlignment="1">
      <alignment horizontal="right" vertical="center" wrapText="1"/>
    </xf>
    <xf numFmtId="9" fontId="70" fillId="0" borderId="73" xfId="23901" applyNumberFormat="1" applyFont="1" applyFill="1" applyBorder="1" applyAlignment="1">
      <alignment horizontal="center" vertical="center" wrapText="1"/>
    </xf>
    <xf numFmtId="165" fontId="70" fillId="0" borderId="74" xfId="23901" applyNumberFormat="1" applyFont="1" applyFill="1" applyBorder="1" applyAlignment="1">
      <alignment horizontal="center" vertical="center" wrapText="1"/>
    </xf>
    <xf numFmtId="165" fontId="70" fillId="0" borderId="73" xfId="23902" applyNumberFormat="1" applyFont="1" applyFill="1" applyBorder="1" applyAlignment="1">
      <alignment horizontal="left" vertical="center" wrapText="1"/>
    </xf>
    <xf numFmtId="0" fontId="30" fillId="0" borderId="73" xfId="23902" applyFont="1" applyFill="1" applyBorder="1" applyAlignment="1">
      <alignment horizontal="center" vertical="center" wrapText="1"/>
    </xf>
    <xf numFmtId="165" fontId="70" fillId="0" borderId="5" xfId="23901" applyNumberFormat="1" applyFont="1" applyFill="1" applyBorder="1" applyAlignment="1">
      <alignment horizontal="center" vertical="center" wrapText="1"/>
    </xf>
    <xf numFmtId="165" fontId="70" fillId="0" borderId="6" xfId="23901" applyNumberFormat="1" applyFont="1" applyFill="1" applyBorder="1" applyAlignment="1">
      <alignment horizontal="center" vertical="center" wrapText="1"/>
    </xf>
    <xf numFmtId="0" fontId="30" fillId="0" borderId="73" xfId="23902" applyFont="1" applyFill="1" applyBorder="1" applyAlignment="1">
      <alignment horizontal="left" vertical="center" wrapText="1"/>
    </xf>
    <xf numFmtId="0" fontId="30" fillId="0" borderId="73" xfId="23902" applyFont="1" applyFill="1" applyBorder="1" applyAlignment="1">
      <alignment horizontal="left" vertical="center"/>
    </xf>
    <xf numFmtId="165" fontId="30" fillId="0" borderId="73" xfId="23902" applyNumberFormat="1" applyFont="1" applyFill="1" applyBorder="1" applyAlignment="1">
      <alignment horizontal="center" vertical="center" wrapText="1"/>
    </xf>
    <xf numFmtId="165" fontId="30" fillId="0" borderId="73" xfId="23902" applyNumberFormat="1" applyFont="1" applyFill="1" applyBorder="1" applyAlignment="1">
      <alignment horizontal="left" vertical="center" wrapText="1"/>
    </xf>
    <xf numFmtId="167" fontId="30" fillId="0" borderId="73" xfId="23902" applyNumberFormat="1" applyFont="1" applyFill="1" applyBorder="1" applyAlignment="1">
      <alignment horizontal="center" vertical="center" wrapText="1"/>
    </xf>
    <xf numFmtId="0" fontId="30" fillId="0" borderId="74" xfId="23902" applyFont="1" applyFill="1" applyBorder="1" applyAlignment="1">
      <alignment horizontal="center" vertical="center" wrapText="1"/>
    </xf>
    <xf numFmtId="0" fontId="31" fillId="0" borderId="74" xfId="23902" applyFont="1" applyFill="1" applyBorder="1" applyAlignment="1">
      <alignment horizontal="center" vertical="center" wrapText="1"/>
    </xf>
    <xf numFmtId="165" fontId="31" fillId="0" borderId="74" xfId="23902" applyNumberFormat="1" applyFont="1" applyFill="1" applyBorder="1" applyAlignment="1">
      <alignment horizontal="center" vertical="center" wrapText="1"/>
    </xf>
    <xf numFmtId="0" fontId="253" fillId="0" borderId="73" xfId="23902" applyFont="1" applyFill="1" applyBorder="1" applyAlignment="1">
      <alignment horizontal="center" vertical="center" wrapText="1"/>
    </xf>
    <xf numFmtId="165" fontId="31" fillId="0" borderId="6" xfId="23902" applyNumberFormat="1" applyFont="1" applyFill="1" applyBorder="1" applyAlignment="1">
      <alignment horizontal="right" wrapText="1"/>
    </xf>
    <xf numFmtId="9" fontId="31" fillId="0" borderId="74" xfId="23901" applyNumberFormat="1" applyFont="1" applyFill="1" applyBorder="1" applyAlignment="1">
      <alignment horizontal="center" vertical="center" wrapText="1"/>
    </xf>
    <xf numFmtId="165" fontId="31" fillId="0" borderId="74" xfId="23901" applyNumberFormat="1" applyFont="1" applyFill="1" applyBorder="1" applyAlignment="1">
      <alignment horizontal="center" vertical="center" wrapText="1"/>
    </xf>
    <xf numFmtId="0" fontId="30" fillId="0" borderId="5" xfId="23902" applyFont="1" applyFill="1" applyBorder="1" applyAlignment="1">
      <alignment horizontal="center" vertical="center" wrapText="1"/>
    </xf>
    <xf numFmtId="0" fontId="31" fillId="0" borderId="5" xfId="23902" applyFont="1" applyFill="1" applyBorder="1" applyAlignment="1">
      <alignment horizontal="center" vertical="center" wrapText="1"/>
    </xf>
    <xf numFmtId="165" fontId="31" fillId="0" borderId="5" xfId="23902" applyNumberFormat="1" applyFont="1" applyFill="1" applyBorder="1" applyAlignment="1">
      <alignment horizontal="center" vertical="center" wrapText="1"/>
    </xf>
    <xf numFmtId="0" fontId="31" fillId="0" borderId="73" xfId="23902" applyFont="1" applyFill="1" applyBorder="1" applyAlignment="1">
      <alignment horizontal="center" vertical="center" wrapText="1"/>
    </xf>
    <xf numFmtId="165" fontId="31" fillId="0" borderId="73" xfId="23902" applyNumberFormat="1" applyFont="1" applyFill="1" applyBorder="1" applyAlignment="1">
      <alignment horizontal="right" wrapText="1"/>
    </xf>
    <xf numFmtId="9" fontId="31" fillId="0" borderId="5" xfId="23901" applyNumberFormat="1" applyFont="1" applyFill="1" applyBorder="1" applyAlignment="1">
      <alignment horizontal="center" vertical="center" wrapText="1"/>
    </xf>
    <xf numFmtId="165" fontId="31" fillId="0" borderId="5" xfId="23901" applyNumberFormat="1" applyFont="1" applyFill="1" applyBorder="1" applyAlignment="1">
      <alignment horizontal="center" vertical="center" wrapText="1"/>
    </xf>
    <xf numFmtId="0" fontId="30" fillId="0" borderId="6" xfId="23902" applyFont="1" applyFill="1" applyBorder="1" applyAlignment="1">
      <alignment horizontal="center" vertical="center" wrapText="1"/>
    </xf>
    <xf numFmtId="0" fontId="31" fillId="0" borderId="6" xfId="23902" applyFont="1" applyFill="1" applyBorder="1" applyAlignment="1">
      <alignment horizontal="center" vertical="center" wrapText="1"/>
    </xf>
    <xf numFmtId="165" fontId="31" fillId="0" borderId="6" xfId="23902" applyNumberFormat="1" applyFont="1" applyFill="1" applyBorder="1" applyAlignment="1">
      <alignment horizontal="center" vertical="center" wrapText="1"/>
    </xf>
    <xf numFmtId="165" fontId="31" fillId="0" borderId="74" xfId="23902" applyNumberFormat="1" applyFont="1" applyFill="1" applyBorder="1" applyAlignment="1">
      <alignment horizontal="right" wrapText="1"/>
    </xf>
    <xf numFmtId="165" fontId="31" fillId="0" borderId="5" xfId="23902" applyNumberFormat="1" applyFont="1" applyFill="1" applyBorder="1" applyAlignment="1">
      <alignment horizontal="right" wrapText="1"/>
    </xf>
    <xf numFmtId="9" fontId="31" fillId="0" borderId="6" xfId="23901" applyNumberFormat="1" applyFont="1" applyFill="1" applyBorder="1" applyAlignment="1">
      <alignment horizontal="center" vertical="center" wrapText="1"/>
    </xf>
    <xf numFmtId="165" fontId="31" fillId="0" borderId="6" xfId="23901" applyNumberFormat="1" applyFont="1" applyFill="1" applyBorder="1" applyAlignment="1">
      <alignment horizontal="center" vertical="center" wrapText="1"/>
    </xf>
    <xf numFmtId="0" fontId="36" fillId="0" borderId="74" xfId="23903" applyFont="1" applyFill="1" applyBorder="1" applyAlignment="1">
      <alignment horizontal="center"/>
    </xf>
    <xf numFmtId="0" fontId="31" fillId="0" borderId="73" xfId="23903" applyFont="1" applyFill="1" applyBorder="1" applyAlignment="1">
      <alignment horizontal="center" vertical="center" wrapText="1"/>
    </xf>
    <xf numFmtId="0" fontId="31" fillId="0" borderId="74" xfId="23903" applyFont="1" applyFill="1" applyBorder="1" applyAlignment="1">
      <alignment horizontal="center" vertical="center" wrapText="1"/>
    </xf>
    <xf numFmtId="171" fontId="31" fillId="0" borderId="73" xfId="23903" applyNumberFormat="1" applyFont="1" applyFill="1" applyBorder="1" applyAlignment="1">
      <alignment horizontal="center" vertical="center" wrapText="1"/>
    </xf>
    <xf numFmtId="165" fontId="31" fillId="0" borderId="73" xfId="23903" applyNumberFormat="1" applyFont="1" applyFill="1" applyBorder="1" applyAlignment="1">
      <alignment horizontal="right" wrapText="1"/>
    </xf>
    <xf numFmtId="9" fontId="31" fillId="0" borderId="74" xfId="23903" applyNumberFormat="1" applyFont="1" applyFill="1" applyBorder="1" applyAlignment="1">
      <alignment horizontal="center" vertical="center" wrapText="1"/>
    </xf>
    <xf numFmtId="165" fontId="31" fillId="0" borderId="74" xfId="23903" applyNumberFormat="1" applyFont="1" applyFill="1" applyBorder="1" applyAlignment="1">
      <alignment horizontal="center" vertical="center" wrapText="1"/>
    </xf>
    <xf numFmtId="0" fontId="31" fillId="0" borderId="74" xfId="14123" applyFont="1" applyFill="1" applyBorder="1" applyAlignment="1">
      <alignment horizontal="center" vertical="center" wrapText="1"/>
    </xf>
    <xf numFmtId="0" fontId="36" fillId="0" borderId="5" xfId="23903" applyFont="1" applyFill="1" applyBorder="1" applyAlignment="1">
      <alignment horizontal="center"/>
    </xf>
    <xf numFmtId="0" fontId="31" fillId="0" borderId="5" xfId="23903" applyFont="1" applyFill="1" applyBorder="1" applyAlignment="1">
      <alignment horizontal="center" vertical="center" wrapText="1"/>
    </xf>
    <xf numFmtId="165" fontId="31" fillId="0" borderId="5" xfId="23903" applyNumberFormat="1" applyFont="1" applyFill="1" applyBorder="1" applyAlignment="1">
      <alignment horizontal="center" vertical="center" wrapText="1"/>
    </xf>
    <xf numFmtId="0" fontId="31" fillId="0" borderId="5" xfId="14123" applyFont="1" applyFill="1" applyBorder="1" applyAlignment="1">
      <alignment horizontal="center" vertical="center" wrapText="1"/>
    </xf>
    <xf numFmtId="0" fontId="36" fillId="0" borderId="6" xfId="23903" applyFont="1" applyFill="1" applyBorder="1" applyAlignment="1">
      <alignment horizontal="center"/>
    </xf>
    <xf numFmtId="0" fontId="31" fillId="0" borderId="6" xfId="23903" applyFont="1" applyFill="1" applyBorder="1" applyAlignment="1">
      <alignment horizontal="center" vertical="center" wrapText="1"/>
    </xf>
    <xf numFmtId="165" fontId="31" fillId="0" borderId="6" xfId="23903" applyNumberFormat="1" applyFont="1" applyFill="1" applyBorder="1" applyAlignment="1">
      <alignment horizontal="center" vertical="center" wrapText="1"/>
    </xf>
    <xf numFmtId="0" fontId="31" fillId="0" borderId="6" xfId="14123" applyFont="1" applyFill="1" applyBorder="1" applyAlignment="1">
      <alignment horizontal="center" vertical="center" wrapText="1"/>
    </xf>
    <xf numFmtId="165" fontId="31" fillId="0" borderId="73" xfId="23903" applyNumberFormat="1" applyFont="1" applyFill="1" applyBorder="1" applyAlignment="1">
      <alignment horizontal="center" vertical="center" wrapText="1"/>
    </xf>
    <xf numFmtId="165" fontId="31" fillId="0" borderId="74" xfId="23903" applyNumberFormat="1" applyFont="1" applyFill="1" applyBorder="1" applyAlignment="1">
      <alignment horizontal="right"/>
    </xf>
    <xf numFmtId="165" fontId="31" fillId="0" borderId="73" xfId="23903" applyNumberFormat="1" applyFont="1" applyFill="1" applyBorder="1" applyAlignment="1">
      <alignment horizontal="right"/>
    </xf>
    <xf numFmtId="0" fontId="36" fillId="0" borderId="74" xfId="23903" applyFont="1" applyFill="1" applyBorder="1" applyAlignment="1">
      <alignment horizontal="center"/>
    </xf>
    <xf numFmtId="0" fontId="36" fillId="0" borderId="5" xfId="23903" applyFont="1" applyFill="1" applyBorder="1" applyAlignment="1">
      <alignment horizontal="center"/>
    </xf>
    <xf numFmtId="9" fontId="31" fillId="0" borderId="5" xfId="23903" applyNumberFormat="1" applyFont="1" applyFill="1" applyBorder="1" applyAlignment="1">
      <alignment horizontal="center" vertical="center" wrapText="1"/>
    </xf>
    <xf numFmtId="2" fontId="31" fillId="0" borderId="5" xfId="23903" applyNumberFormat="1" applyFont="1" applyFill="1" applyBorder="1" applyAlignment="1">
      <alignment horizontal="center" vertical="center" wrapText="1"/>
    </xf>
    <xf numFmtId="0" fontId="36" fillId="0" borderId="6" xfId="23903" applyFont="1" applyFill="1" applyBorder="1" applyAlignment="1">
      <alignment horizontal="center"/>
    </xf>
    <xf numFmtId="9" fontId="31" fillId="0" borderId="6" xfId="23903" applyNumberFormat="1" applyFont="1" applyFill="1" applyBorder="1" applyAlignment="1">
      <alignment horizontal="center" vertical="center" wrapText="1"/>
    </xf>
    <xf numFmtId="2" fontId="31" fillId="0" borderId="6" xfId="23903" applyNumberFormat="1" applyFont="1" applyFill="1" applyBorder="1" applyAlignment="1">
      <alignment horizontal="center" vertical="center" wrapText="1"/>
    </xf>
    <xf numFmtId="166" fontId="31" fillId="0" borderId="74" xfId="23903" applyNumberFormat="1" applyFont="1" applyFill="1" applyBorder="1" applyAlignment="1">
      <alignment horizontal="center" vertical="center" wrapText="1"/>
    </xf>
    <xf numFmtId="166" fontId="31" fillId="0" borderId="5" xfId="23903" applyNumberFormat="1" applyFont="1" applyFill="1" applyBorder="1" applyAlignment="1">
      <alignment horizontal="center" vertical="center" wrapText="1"/>
    </xf>
    <xf numFmtId="166" fontId="31" fillId="0" borderId="6" xfId="23903" applyNumberFormat="1" applyFont="1" applyFill="1" applyBorder="1" applyAlignment="1">
      <alignment horizontal="center" vertical="center" wrapText="1"/>
    </xf>
    <xf numFmtId="0" fontId="31" fillId="0" borderId="74" xfId="14123" applyFont="1" applyFill="1" applyBorder="1" applyAlignment="1">
      <alignment horizontal="center" vertical="top" wrapText="1"/>
    </xf>
    <xf numFmtId="0" fontId="31" fillId="0" borderId="5" xfId="14123" applyFont="1" applyFill="1" applyBorder="1" applyAlignment="1">
      <alignment horizontal="center" vertical="top" wrapText="1"/>
    </xf>
    <xf numFmtId="0" fontId="31" fillId="0" borderId="6" xfId="14123" applyFont="1" applyFill="1" applyBorder="1" applyAlignment="1">
      <alignment horizontal="center" vertical="top" wrapText="1"/>
    </xf>
    <xf numFmtId="0" fontId="283" fillId="0" borderId="74" xfId="4" applyFont="1" applyFill="1" applyBorder="1" applyAlignment="1">
      <alignment horizontal="center" vertical="center"/>
    </xf>
    <xf numFmtId="0" fontId="31" fillId="0" borderId="74" xfId="0" applyFont="1" applyFill="1" applyBorder="1" applyAlignment="1">
      <alignment horizontal="center" vertical="center" wrapText="1"/>
    </xf>
    <xf numFmtId="0" fontId="31" fillId="0" borderId="74" xfId="4" applyFont="1" applyFill="1" applyBorder="1" applyAlignment="1">
      <alignment horizontal="center" vertical="center" wrapText="1"/>
    </xf>
    <xf numFmtId="165" fontId="31" fillId="0" borderId="74" xfId="4" applyNumberFormat="1" applyFont="1" applyFill="1" applyBorder="1" applyAlignment="1">
      <alignment horizontal="center" vertical="center" wrapText="1"/>
    </xf>
    <xf numFmtId="0" fontId="31" fillId="0" borderId="73" xfId="5" applyFont="1" applyFill="1" applyBorder="1" applyAlignment="1">
      <alignment horizontal="center" vertical="center" wrapText="1"/>
    </xf>
    <xf numFmtId="165" fontId="31" fillId="0" borderId="73" xfId="4" applyNumberFormat="1" applyFont="1" applyFill="1" applyBorder="1" applyAlignment="1">
      <alignment horizontal="right" wrapText="1"/>
    </xf>
    <xf numFmtId="167" fontId="31" fillId="0" borderId="74" xfId="4" applyNumberFormat="1" applyFont="1" applyFill="1" applyBorder="1" applyAlignment="1">
      <alignment horizontal="center" vertical="center" wrapText="1"/>
    </xf>
    <xf numFmtId="0" fontId="31" fillId="0" borderId="74" xfId="4" applyFont="1" applyFill="1" applyBorder="1" applyAlignment="1">
      <alignment horizontal="left" vertical="center" wrapText="1"/>
    </xf>
    <xf numFmtId="0" fontId="283" fillId="0" borderId="5" xfId="4" applyFont="1" applyFill="1" applyBorder="1" applyAlignment="1">
      <alignment horizontal="center" vertical="center"/>
    </xf>
    <xf numFmtId="0" fontId="31" fillId="0" borderId="5" xfId="4" applyFont="1" applyFill="1" applyBorder="1" applyAlignment="1">
      <alignment horizontal="center" vertical="center" wrapText="1"/>
    </xf>
    <xf numFmtId="165" fontId="31" fillId="0" borderId="5" xfId="4" applyNumberFormat="1" applyFont="1" applyFill="1" applyBorder="1" applyAlignment="1">
      <alignment horizontal="center" vertical="center" wrapText="1"/>
    </xf>
    <xf numFmtId="4" fontId="30" fillId="0" borderId="73" xfId="0" applyNumberFormat="1" applyFont="1" applyFill="1" applyBorder="1" applyAlignment="1">
      <alignment horizontal="right" wrapText="1"/>
    </xf>
    <xf numFmtId="167" fontId="31" fillId="0" borderId="5" xfId="4" applyNumberFormat="1" applyFont="1" applyFill="1" applyBorder="1" applyAlignment="1">
      <alignment horizontal="center" vertical="center" wrapText="1"/>
    </xf>
    <xf numFmtId="0" fontId="31" fillId="0" borderId="5" xfId="4" applyFont="1" applyFill="1" applyBorder="1" applyAlignment="1">
      <alignment horizontal="left" vertical="center" wrapText="1"/>
    </xf>
    <xf numFmtId="0" fontId="283" fillId="0" borderId="6" xfId="4" applyFont="1" applyFill="1" applyBorder="1" applyAlignment="1">
      <alignment horizontal="center" vertical="center"/>
    </xf>
    <xf numFmtId="0" fontId="31" fillId="0" borderId="6" xfId="4" applyFont="1" applyFill="1" applyBorder="1" applyAlignment="1">
      <alignment horizontal="center" vertical="center" wrapText="1"/>
    </xf>
    <xf numFmtId="165" fontId="31" fillId="0" borderId="6" xfId="4" applyNumberFormat="1" applyFont="1" applyFill="1" applyBorder="1" applyAlignment="1">
      <alignment horizontal="center" vertical="center" wrapText="1"/>
    </xf>
    <xf numFmtId="167" fontId="31" fillId="0" borderId="6" xfId="4" applyNumberFormat="1" applyFont="1" applyFill="1" applyBorder="1" applyAlignment="1">
      <alignment horizontal="center" vertical="center" wrapText="1"/>
    </xf>
    <xf numFmtId="0" fontId="31" fillId="0" borderId="6" xfId="4" applyFont="1" applyFill="1" applyBorder="1" applyAlignment="1">
      <alignment horizontal="left" vertical="center" wrapText="1"/>
    </xf>
    <xf numFmtId="10" fontId="36" fillId="0" borderId="1" xfId="0" applyNumberFormat="1" applyFont="1" applyFill="1" applyBorder="1" applyAlignment="1">
      <alignment horizontal="center" vertical="center" wrapText="1"/>
    </xf>
    <xf numFmtId="167" fontId="36" fillId="0" borderId="1" xfId="0" applyNumberFormat="1" applyFont="1" applyFill="1" applyBorder="1" applyAlignment="1">
      <alignment horizontal="center" vertical="center" wrapText="1"/>
    </xf>
    <xf numFmtId="165" fontId="17" fillId="0" borderId="1" xfId="0" applyNumberFormat="1" applyFont="1" applyFill="1" applyBorder="1" applyAlignment="1">
      <alignment horizontal="right" vertical="center" wrapText="1"/>
    </xf>
    <xf numFmtId="0" fontId="40" fillId="0" borderId="0" xfId="0" applyNumberFormat="1" applyFont="1" applyFill="1" applyAlignment="1">
      <alignment horizontal="center"/>
    </xf>
    <xf numFmtId="0" fontId="40" fillId="0" borderId="0" xfId="0" applyFont="1" applyFill="1" applyAlignment="1">
      <alignment horizontal="center"/>
    </xf>
    <xf numFmtId="0" fontId="40" fillId="0" borderId="0" xfId="0" applyFont="1" applyFill="1" applyAlignment="1">
      <alignment horizontal="center" vertical="center"/>
    </xf>
    <xf numFmtId="0" fontId="40" fillId="0" borderId="0" xfId="0" applyFont="1" applyFill="1" applyAlignment="1">
      <alignment horizontal="left" vertical="center"/>
    </xf>
    <xf numFmtId="0" fontId="86" fillId="0" borderId="0" xfId="0" applyNumberFormat="1" applyFont="1" applyFill="1" applyAlignment="1">
      <alignment horizontal="center" wrapText="1"/>
    </xf>
    <xf numFmtId="0" fontId="30" fillId="0" borderId="1" xfId="11831" applyFont="1" applyFill="1" applyBorder="1" applyAlignment="1">
      <alignment horizontal="center" vertical="center" wrapText="1"/>
    </xf>
    <xf numFmtId="0" fontId="30" fillId="0" borderId="1" xfId="11831" applyFont="1" applyFill="1" applyBorder="1" applyAlignment="1">
      <alignment horizontal="left" vertical="center" wrapText="1"/>
    </xf>
    <xf numFmtId="0" fontId="30" fillId="0" borderId="1" xfId="0" applyNumberFormat="1" applyFont="1" applyFill="1" applyBorder="1" applyAlignment="1">
      <alignment horizontal="center" vertical="center" wrapText="1"/>
    </xf>
    <xf numFmtId="0" fontId="30" fillId="0" borderId="92" xfId="0" applyFont="1" applyFill="1" applyBorder="1" applyAlignment="1">
      <alignment horizontal="center" vertical="center" wrapText="1"/>
    </xf>
    <xf numFmtId="0" fontId="30" fillId="0" borderId="93" xfId="0" applyFont="1" applyFill="1" applyBorder="1" applyAlignment="1">
      <alignment horizontal="center" vertical="center" wrapText="1"/>
    </xf>
    <xf numFmtId="0" fontId="30" fillId="0" borderId="76" xfId="0" applyFont="1" applyFill="1" applyBorder="1" applyAlignment="1">
      <alignment horizontal="center" vertical="center" wrapText="1"/>
    </xf>
    <xf numFmtId="0" fontId="30" fillId="0" borderId="94" xfId="0" applyFont="1" applyFill="1" applyBorder="1" applyAlignment="1">
      <alignment horizontal="center" vertical="center" wrapText="1"/>
    </xf>
    <xf numFmtId="0" fontId="30" fillId="0" borderId="1" xfId="0" applyFont="1" applyFill="1" applyBorder="1" applyAlignment="1">
      <alignment horizontal="left" vertical="center" wrapText="1"/>
    </xf>
    <xf numFmtId="10" fontId="0" fillId="0" borderId="1" xfId="0" applyNumberFormat="1" applyFill="1" applyBorder="1"/>
    <xf numFmtId="0" fontId="30" fillId="0" borderId="1" xfId="0" applyFont="1" applyFill="1" applyBorder="1" applyAlignment="1">
      <alignment vertical="top" wrapText="1"/>
    </xf>
    <xf numFmtId="0" fontId="30" fillId="0" borderId="1" xfId="0" applyFont="1" applyFill="1" applyBorder="1" applyAlignment="1">
      <alignment vertical="center" wrapText="1"/>
    </xf>
    <xf numFmtId="0" fontId="30" fillId="0" borderId="94" xfId="0" applyFont="1" applyFill="1" applyBorder="1" applyAlignment="1">
      <alignment horizontal="center" vertical="center" wrapText="1"/>
    </xf>
    <xf numFmtId="167" fontId="30" fillId="0" borderId="1" xfId="0" applyNumberFormat="1" applyFont="1" applyFill="1" applyBorder="1" applyAlignment="1">
      <alignment horizontal="center" vertical="center" wrapText="1"/>
    </xf>
    <xf numFmtId="10" fontId="30" fillId="0" borderId="1" xfId="0" applyNumberFormat="1" applyFont="1" applyFill="1" applyBorder="1" applyAlignment="1">
      <alignment horizontal="center" vertical="center" wrapText="1"/>
    </xf>
    <xf numFmtId="166" fontId="30" fillId="0" borderId="94" xfId="0" applyNumberFormat="1" applyFont="1" applyFill="1" applyBorder="1" applyAlignment="1">
      <alignment horizontal="center" vertical="center" wrapText="1"/>
    </xf>
    <xf numFmtId="0" fontId="30" fillId="0" borderId="92" xfId="0" applyFont="1" applyFill="1" applyBorder="1" applyAlignment="1">
      <alignment horizontal="center" vertical="center"/>
    </xf>
    <xf numFmtId="0" fontId="30" fillId="0" borderId="93"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94" xfId="0" applyFont="1" applyFill="1" applyBorder="1" applyAlignment="1">
      <alignment horizontal="center" vertical="center"/>
    </xf>
    <xf numFmtId="16" fontId="30" fillId="0" borderId="1" xfId="0" applyNumberFormat="1" applyFont="1" applyFill="1" applyBorder="1" applyAlignment="1">
      <alignment horizontal="center" vertical="center" wrapText="1"/>
    </xf>
    <xf numFmtId="2" fontId="30" fillId="0" borderId="94" xfId="0" applyNumberFormat="1" applyFont="1" applyFill="1" applyBorder="1" applyAlignment="1">
      <alignment horizontal="center" vertical="center" wrapText="1"/>
    </xf>
    <xf numFmtId="0" fontId="30" fillId="0" borderId="1" xfId="0" applyFont="1" applyFill="1" applyBorder="1" applyAlignment="1">
      <alignment horizontal="left" vertical="top" wrapText="1"/>
    </xf>
    <xf numFmtId="0" fontId="31" fillId="0" borderId="94" xfId="0" applyFont="1" applyFill="1" applyBorder="1" applyAlignment="1">
      <alignment horizontal="center" vertical="center" wrapText="1"/>
    </xf>
    <xf numFmtId="10" fontId="30" fillId="0" borderId="94" xfId="0" applyNumberFormat="1" applyFont="1" applyFill="1" applyBorder="1" applyAlignment="1">
      <alignment horizontal="center" vertical="center" wrapText="1"/>
    </xf>
    <xf numFmtId="166" fontId="30" fillId="0" borderId="14" xfId="0" applyNumberFormat="1" applyFont="1" applyFill="1" applyBorder="1" applyAlignment="1">
      <alignment horizontal="center" vertical="center" wrapText="1"/>
    </xf>
    <xf numFmtId="166" fontId="30" fillId="0" borderId="1" xfId="0" applyNumberFormat="1" applyFont="1" applyFill="1" applyBorder="1" applyAlignment="1">
      <alignment horizontal="center" vertical="center" wrapText="1"/>
    </xf>
    <xf numFmtId="0" fontId="30" fillId="0" borderId="8" xfId="0" applyFont="1" applyFill="1" applyBorder="1" applyAlignment="1">
      <alignment horizontal="center" vertical="center"/>
    </xf>
    <xf numFmtId="1" fontId="30" fillId="0" borderId="94" xfId="0" applyNumberFormat="1" applyFont="1" applyFill="1" applyBorder="1" applyAlignment="1">
      <alignment horizontal="center" vertical="center" wrapText="1"/>
    </xf>
    <xf numFmtId="0" fontId="30" fillId="0" borderId="1" xfId="0" applyFont="1" applyFill="1" applyBorder="1" applyAlignment="1">
      <alignment vertical="center"/>
    </xf>
    <xf numFmtId="0" fontId="30" fillId="0" borderId="6" xfId="0" applyFont="1" applyFill="1" applyBorder="1" applyAlignment="1">
      <alignment vertical="center" wrapText="1"/>
    </xf>
    <xf numFmtId="0" fontId="30" fillId="0" borderId="5" xfId="0" applyFont="1" applyFill="1" applyBorder="1" applyAlignment="1">
      <alignment vertical="center" wrapText="1"/>
    </xf>
    <xf numFmtId="0" fontId="40" fillId="0" borderId="0" xfId="0" applyFont="1" applyFill="1" applyAlignment="1">
      <alignment vertical="center"/>
    </xf>
    <xf numFmtId="0" fontId="297" fillId="0" borderId="0" xfId="0" applyFont="1" applyFill="1" applyAlignment="1">
      <alignment horizontal="center"/>
    </xf>
    <xf numFmtId="0" fontId="297" fillId="0" borderId="0" xfId="0" applyFont="1" applyFill="1" applyAlignment="1">
      <alignment horizontal="left" vertical="center"/>
    </xf>
    <xf numFmtId="2" fontId="118" fillId="2" borderId="0" xfId="0" applyNumberFormat="1" applyFont="1" applyFill="1"/>
  </cellXfs>
  <cellStyles count="23904">
    <cellStyle name="20% - Accent1" xfId="58"/>
    <cellStyle name="20% - Accent1 10" xfId="5533"/>
    <cellStyle name="20% - Accent1 11" xfId="5534"/>
    <cellStyle name="20% - Accent1 12" xfId="5535"/>
    <cellStyle name="20% - Accent1 2" xfId="59"/>
    <cellStyle name="20% - Accent1 2 10" xfId="5536"/>
    <cellStyle name="20% - Accent1 2 11" xfId="5537"/>
    <cellStyle name="20% - Accent1 2 12" xfId="5538"/>
    <cellStyle name="20% - Accent1 2 2" xfId="60"/>
    <cellStyle name="20% - Accent1 2 2 2" xfId="5539"/>
    <cellStyle name="20% - Accent1 2 2 3" xfId="5540"/>
    <cellStyle name="20% - Accent1 2 2 4" xfId="5541"/>
    <cellStyle name="20% - Accent1 2 2 5" xfId="5542"/>
    <cellStyle name="20% - Accent1 2 2 6" xfId="5543"/>
    <cellStyle name="20% - Accent1 2 2 7" xfId="5544"/>
    <cellStyle name="20% - Accent1 2 2 8" xfId="5545"/>
    <cellStyle name="20% - Accent1 2 2 9" xfId="5546"/>
    <cellStyle name="20% - Accent1 2 3" xfId="61"/>
    <cellStyle name="20% - Accent1 2 3 2" xfId="5547"/>
    <cellStyle name="20% - Accent1 2 3 3" xfId="5548"/>
    <cellStyle name="20% - Accent1 2 3 4" xfId="5549"/>
    <cellStyle name="20% - Accent1 2 3 5" xfId="5550"/>
    <cellStyle name="20% - Accent1 2 3 6" xfId="5551"/>
    <cellStyle name="20% - Accent1 2 3 7" xfId="5552"/>
    <cellStyle name="20% - Accent1 2 3 8" xfId="5553"/>
    <cellStyle name="20% - Accent1 2 3 9" xfId="5554"/>
    <cellStyle name="20% - Accent1 2 4" xfId="62"/>
    <cellStyle name="20% - Accent1 2 4 2" xfId="5555"/>
    <cellStyle name="20% - Accent1 2 4 3" xfId="5556"/>
    <cellStyle name="20% - Accent1 2 4 4" xfId="5557"/>
    <cellStyle name="20% - Accent1 2 4 5" xfId="5558"/>
    <cellStyle name="20% - Accent1 2 4 6" xfId="5559"/>
    <cellStyle name="20% - Accent1 2 4 7" xfId="5560"/>
    <cellStyle name="20% - Accent1 2 4 8" xfId="5561"/>
    <cellStyle name="20% - Accent1 2 4 9" xfId="5562"/>
    <cellStyle name="20% - Accent1 2 5" xfId="5563"/>
    <cellStyle name="20% - Accent1 2 6" xfId="5564"/>
    <cellStyle name="20% - Accent1 2 7" xfId="5565"/>
    <cellStyle name="20% - Accent1 2 8" xfId="5566"/>
    <cellStyle name="20% - Accent1 2 9" xfId="5567"/>
    <cellStyle name="20% - Accent1 3" xfId="63"/>
    <cellStyle name="20% - Accent1 3 10" xfId="5568"/>
    <cellStyle name="20% - Accent1 3 11" xfId="5569"/>
    <cellStyle name="20% - Accent1 3 2" xfId="64"/>
    <cellStyle name="20% - Accent1 3 2 2" xfId="5570"/>
    <cellStyle name="20% - Accent1 3 2 3" xfId="5571"/>
    <cellStyle name="20% - Accent1 3 2 4" xfId="5572"/>
    <cellStyle name="20% - Accent1 3 2 5" xfId="5573"/>
    <cellStyle name="20% - Accent1 3 2 6" xfId="5574"/>
    <cellStyle name="20% - Accent1 3 2 7" xfId="5575"/>
    <cellStyle name="20% - Accent1 3 2 8" xfId="5576"/>
    <cellStyle name="20% - Accent1 3 2 9" xfId="5577"/>
    <cellStyle name="20% - Accent1 3 3" xfId="65"/>
    <cellStyle name="20% - Accent1 3 3 2" xfId="5578"/>
    <cellStyle name="20% - Accent1 3 3 3" xfId="5579"/>
    <cellStyle name="20% - Accent1 3 3 4" xfId="5580"/>
    <cellStyle name="20% - Accent1 3 3 5" xfId="5581"/>
    <cellStyle name="20% - Accent1 3 3 6" xfId="5582"/>
    <cellStyle name="20% - Accent1 3 3 7" xfId="5583"/>
    <cellStyle name="20% - Accent1 3 3 8" xfId="5584"/>
    <cellStyle name="20% - Accent1 3 3 9" xfId="5585"/>
    <cellStyle name="20% - Accent1 3 4" xfId="5586"/>
    <cellStyle name="20% - Accent1 3 5" xfId="5587"/>
    <cellStyle name="20% - Accent1 3 6" xfId="5588"/>
    <cellStyle name="20% - Accent1 3 7" xfId="5589"/>
    <cellStyle name="20% - Accent1 3 8" xfId="5590"/>
    <cellStyle name="20% - Accent1 3 9" xfId="5591"/>
    <cellStyle name="20% - Accent1 4" xfId="66"/>
    <cellStyle name="20% - Accent1 4 2" xfId="5592"/>
    <cellStyle name="20% - Accent1 4 3" xfId="5593"/>
    <cellStyle name="20% - Accent1 4 4" xfId="5594"/>
    <cellStyle name="20% - Accent1 4 5" xfId="5595"/>
    <cellStyle name="20% - Accent1 4 6" xfId="5596"/>
    <cellStyle name="20% - Accent1 4 7" xfId="5597"/>
    <cellStyle name="20% - Accent1 4 8" xfId="5598"/>
    <cellStyle name="20% - Accent1 4 9" xfId="5599"/>
    <cellStyle name="20% - Accent1 5" xfId="5600"/>
    <cellStyle name="20% - Accent1 6" xfId="5601"/>
    <cellStyle name="20% - Accent1 7" xfId="5602"/>
    <cellStyle name="20% - Accent1 8" xfId="5603"/>
    <cellStyle name="20% - Accent1 9" xfId="5604"/>
    <cellStyle name="20% - Accent2" xfId="67"/>
    <cellStyle name="20% - Accent2 10" xfId="5605"/>
    <cellStyle name="20% - Accent2 11" xfId="5606"/>
    <cellStyle name="20% - Accent2 12" xfId="5607"/>
    <cellStyle name="20% - Accent2 13" xfId="5608"/>
    <cellStyle name="20% - Accent2 2" xfId="68"/>
    <cellStyle name="20% - Accent2 2 10" xfId="5609"/>
    <cellStyle name="20% - Accent2 2 11" xfId="5610"/>
    <cellStyle name="20% - Accent2 2 12" xfId="5611"/>
    <cellStyle name="20% - Accent2 2 2" xfId="69"/>
    <cellStyle name="20% - Accent2 2 2 10" xfId="5612"/>
    <cellStyle name="20% - Accent2 2 2 11" xfId="5613"/>
    <cellStyle name="20% - Accent2 2 2 12" xfId="5614"/>
    <cellStyle name="20% - Accent2 2 2 2" xfId="70"/>
    <cellStyle name="20% - Accent2 2 2 2 2" xfId="5615"/>
    <cellStyle name="20% - Accent2 2 2 2 3" xfId="5616"/>
    <cellStyle name="20% - Accent2 2 2 2 4" xfId="5617"/>
    <cellStyle name="20% - Accent2 2 2 2 5" xfId="5618"/>
    <cellStyle name="20% - Accent2 2 2 2 6" xfId="5619"/>
    <cellStyle name="20% - Accent2 2 2 2 7" xfId="5620"/>
    <cellStyle name="20% - Accent2 2 2 2 8" xfId="5621"/>
    <cellStyle name="20% - Accent2 2 2 2 9" xfId="5622"/>
    <cellStyle name="20% - Accent2 2 2 3" xfId="71"/>
    <cellStyle name="20% - Accent2 2 2 3 2" xfId="5623"/>
    <cellStyle name="20% - Accent2 2 2 3 3" xfId="5624"/>
    <cellStyle name="20% - Accent2 2 2 3 4" xfId="5625"/>
    <cellStyle name="20% - Accent2 2 2 3 5" xfId="5626"/>
    <cellStyle name="20% - Accent2 2 2 3 6" xfId="5627"/>
    <cellStyle name="20% - Accent2 2 2 3 7" xfId="5628"/>
    <cellStyle name="20% - Accent2 2 2 3 8" xfId="5629"/>
    <cellStyle name="20% - Accent2 2 2 3 9" xfId="5630"/>
    <cellStyle name="20% - Accent2 2 2 4" xfId="72"/>
    <cellStyle name="20% - Accent2 2 2 4 2" xfId="5631"/>
    <cellStyle name="20% - Accent2 2 2 4 3" xfId="5632"/>
    <cellStyle name="20% - Accent2 2 2 4 4" xfId="5633"/>
    <cellStyle name="20% - Accent2 2 2 4 5" xfId="5634"/>
    <cellStyle name="20% - Accent2 2 2 4 6" xfId="5635"/>
    <cellStyle name="20% - Accent2 2 2 4 7" xfId="5636"/>
    <cellStyle name="20% - Accent2 2 2 4 8" xfId="5637"/>
    <cellStyle name="20% - Accent2 2 2 4 9" xfId="5638"/>
    <cellStyle name="20% - Accent2 2 2 5" xfId="5639"/>
    <cellStyle name="20% - Accent2 2 2 6" xfId="5640"/>
    <cellStyle name="20% - Accent2 2 2 7" xfId="5641"/>
    <cellStyle name="20% - Accent2 2 2 8" xfId="5642"/>
    <cellStyle name="20% - Accent2 2 2 9" xfId="5643"/>
    <cellStyle name="20% - Accent2 2 3" xfId="73"/>
    <cellStyle name="20% - Accent2 2 3 10" xfId="5644"/>
    <cellStyle name="20% - Accent2 2 3 11" xfId="5645"/>
    <cellStyle name="20% - Accent2 2 3 2" xfId="74"/>
    <cellStyle name="20% - Accent2 2 3 2 2" xfId="5646"/>
    <cellStyle name="20% - Accent2 2 3 2 3" xfId="5647"/>
    <cellStyle name="20% - Accent2 2 3 2 4" xfId="5648"/>
    <cellStyle name="20% - Accent2 2 3 2 5" xfId="5649"/>
    <cellStyle name="20% - Accent2 2 3 2 6" xfId="5650"/>
    <cellStyle name="20% - Accent2 2 3 2 7" xfId="5651"/>
    <cellStyle name="20% - Accent2 2 3 2 8" xfId="5652"/>
    <cellStyle name="20% - Accent2 2 3 2 9" xfId="5653"/>
    <cellStyle name="20% - Accent2 2 3 3" xfId="75"/>
    <cellStyle name="20% - Accent2 2 3 3 2" xfId="5654"/>
    <cellStyle name="20% - Accent2 2 3 3 3" xfId="5655"/>
    <cellStyle name="20% - Accent2 2 3 3 4" xfId="5656"/>
    <cellStyle name="20% - Accent2 2 3 3 5" xfId="5657"/>
    <cellStyle name="20% - Accent2 2 3 3 6" xfId="5658"/>
    <cellStyle name="20% - Accent2 2 3 3 7" xfId="5659"/>
    <cellStyle name="20% - Accent2 2 3 3 8" xfId="5660"/>
    <cellStyle name="20% - Accent2 2 3 3 9" xfId="5661"/>
    <cellStyle name="20% - Accent2 2 3 4" xfId="5662"/>
    <cellStyle name="20% - Accent2 2 3 5" xfId="5663"/>
    <cellStyle name="20% - Accent2 2 3 6" xfId="5664"/>
    <cellStyle name="20% - Accent2 2 3 7" xfId="5665"/>
    <cellStyle name="20% - Accent2 2 3 8" xfId="5666"/>
    <cellStyle name="20% - Accent2 2 3 9" xfId="5667"/>
    <cellStyle name="20% - Accent2 2 4" xfId="76"/>
    <cellStyle name="20% - Accent2 2 4 2" xfId="5668"/>
    <cellStyle name="20% - Accent2 2 4 3" xfId="5669"/>
    <cellStyle name="20% - Accent2 2 4 4" xfId="5670"/>
    <cellStyle name="20% - Accent2 2 4 5" xfId="5671"/>
    <cellStyle name="20% - Accent2 2 4 6" xfId="5672"/>
    <cellStyle name="20% - Accent2 2 4 7" xfId="5673"/>
    <cellStyle name="20% - Accent2 2 4 8" xfId="5674"/>
    <cellStyle name="20% - Accent2 2 4 9" xfId="5675"/>
    <cellStyle name="20% - Accent2 2 5" xfId="5676"/>
    <cellStyle name="20% - Accent2 2 6" xfId="5677"/>
    <cellStyle name="20% - Accent2 2 7" xfId="5678"/>
    <cellStyle name="20% - Accent2 2 8" xfId="5679"/>
    <cellStyle name="20% - Accent2 2 9" xfId="5680"/>
    <cellStyle name="20% - Accent2 3" xfId="77"/>
    <cellStyle name="20% - Accent2 3 10" xfId="5681"/>
    <cellStyle name="20% - Accent2 3 11" xfId="5682"/>
    <cellStyle name="20% - Accent2 3 12" xfId="5683"/>
    <cellStyle name="20% - Accent2 3 2" xfId="78"/>
    <cellStyle name="20% - Accent2 3 2 2" xfId="5684"/>
    <cellStyle name="20% - Accent2 3 2 3" xfId="5685"/>
    <cellStyle name="20% - Accent2 3 2 4" xfId="5686"/>
    <cellStyle name="20% - Accent2 3 2 5" xfId="5687"/>
    <cellStyle name="20% - Accent2 3 2 6" xfId="5688"/>
    <cellStyle name="20% - Accent2 3 2 7" xfId="5689"/>
    <cellStyle name="20% - Accent2 3 2 8" xfId="5690"/>
    <cellStyle name="20% - Accent2 3 2 9" xfId="5691"/>
    <cellStyle name="20% - Accent2 3 3" xfId="79"/>
    <cellStyle name="20% - Accent2 3 3 2" xfId="5692"/>
    <cellStyle name="20% - Accent2 3 3 3" xfId="5693"/>
    <cellStyle name="20% - Accent2 3 3 4" xfId="5694"/>
    <cellStyle name="20% - Accent2 3 3 5" xfId="5695"/>
    <cellStyle name="20% - Accent2 3 3 6" xfId="5696"/>
    <cellStyle name="20% - Accent2 3 3 7" xfId="5697"/>
    <cellStyle name="20% - Accent2 3 3 8" xfId="5698"/>
    <cellStyle name="20% - Accent2 3 3 9" xfId="5699"/>
    <cellStyle name="20% - Accent2 3 4" xfId="80"/>
    <cellStyle name="20% - Accent2 3 4 2" xfId="5700"/>
    <cellStyle name="20% - Accent2 3 4 3" xfId="5701"/>
    <cellStyle name="20% - Accent2 3 4 4" xfId="5702"/>
    <cellStyle name="20% - Accent2 3 4 5" xfId="5703"/>
    <cellStyle name="20% - Accent2 3 4 6" xfId="5704"/>
    <cellStyle name="20% - Accent2 3 4 7" xfId="5705"/>
    <cellStyle name="20% - Accent2 3 4 8" xfId="5706"/>
    <cellStyle name="20% - Accent2 3 4 9" xfId="5707"/>
    <cellStyle name="20% - Accent2 3 5" xfId="5708"/>
    <cellStyle name="20% - Accent2 3 6" xfId="5709"/>
    <cellStyle name="20% - Accent2 3 7" xfId="5710"/>
    <cellStyle name="20% - Accent2 3 8" xfId="5711"/>
    <cellStyle name="20% - Accent2 3 9" xfId="5712"/>
    <cellStyle name="20% - Accent2 4" xfId="81"/>
    <cellStyle name="20% - Accent2 4 10" xfId="5713"/>
    <cellStyle name="20% - Accent2 4 11" xfId="5714"/>
    <cellStyle name="20% - Accent2 4 2" xfId="82"/>
    <cellStyle name="20% - Accent2 4 2 2" xfId="5715"/>
    <cellStyle name="20% - Accent2 4 2 3" xfId="5716"/>
    <cellStyle name="20% - Accent2 4 2 4" xfId="5717"/>
    <cellStyle name="20% - Accent2 4 2 5" xfId="5718"/>
    <cellStyle name="20% - Accent2 4 2 6" xfId="5719"/>
    <cellStyle name="20% - Accent2 4 2 7" xfId="5720"/>
    <cellStyle name="20% - Accent2 4 2 8" xfId="5721"/>
    <cellStyle name="20% - Accent2 4 2 9" xfId="5722"/>
    <cellStyle name="20% - Accent2 4 3" xfId="83"/>
    <cellStyle name="20% - Accent2 4 3 2" xfId="5723"/>
    <cellStyle name="20% - Accent2 4 3 3" xfId="5724"/>
    <cellStyle name="20% - Accent2 4 3 4" xfId="5725"/>
    <cellStyle name="20% - Accent2 4 3 5" xfId="5726"/>
    <cellStyle name="20% - Accent2 4 3 6" xfId="5727"/>
    <cellStyle name="20% - Accent2 4 3 7" xfId="5728"/>
    <cellStyle name="20% - Accent2 4 3 8" xfId="5729"/>
    <cellStyle name="20% - Accent2 4 3 9" xfId="5730"/>
    <cellStyle name="20% - Accent2 4 4" xfId="5731"/>
    <cellStyle name="20% - Accent2 4 5" xfId="5732"/>
    <cellStyle name="20% - Accent2 4 6" xfId="5733"/>
    <cellStyle name="20% - Accent2 4 7" xfId="5734"/>
    <cellStyle name="20% - Accent2 4 8" xfId="5735"/>
    <cellStyle name="20% - Accent2 4 9" xfId="5736"/>
    <cellStyle name="20% - Accent2 5" xfId="84"/>
    <cellStyle name="20% - Accent2 5 2" xfId="5737"/>
    <cellStyle name="20% - Accent2 5 3" xfId="5738"/>
    <cellStyle name="20% - Accent2 5 4" xfId="5739"/>
    <cellStyle name="20% - Accent2 5 5" xfId="5740"/>
    <cellStyle name="20% - Accent2 5 6" xfId="5741"/>
    <cellStyle name="20% - Accent2 5 7" xfId="5742"/>
    <cellStyle name="20% - Accent2 5 8" xfId="5743"/>
    <cellStyle name="20% - Accent2 5 9" xfId="5744"/>
    <cellStyle name="20% - Accent2 6" xfId="5745"/>
    <cellStyle name="20% - Accent2 7" xfId="5746"/>
    <cellStyle name="20% - Accent2 8" xfId="5747"/>
    <cellStyle name="20% - Accent2 9" xfId="5748"/>
    <cellStyle name="20% - Accent3" xfId="85"/>
    <cellStyle name="20% - Accent3 10" xfId="5749"/>
    <cellStyle name="20% - Accent3 11" xfId="5750"/>
    <cellStyle name="20% - Accent3 12" xfId="5751"/>
    <cellStyle name="20% - Accent3 2" xfId="86"/>
    <cellStyle name="20% - Accent3 2 10" xfId="5752"/>
    <cellStyle name="20% - Accent3 2 11" xfId="5753"/>
    <cellStyle name="20% - Accent3 2 12" xfId="5754"/>
    <cellStyle name="20% - Accent3 2 2" xfId="87"/>
    <cellStyle name="20% - Accent3 2 2 2" xfId="5755"/>
    <cellStyle name="20% - Accent3 2 2 3" xfId="5756"/>
    <cellStyle name="20% - Accent3 2 2 4" xfId="5757"/>
    <cellStyle name="20% - Accent3 2 2 5" xfId="5758"/>
    <cellStyle name="20% - Accent3 2 2 6" xfId="5759"/>
    <cellStyle name="20% - Accent3 2 2 7" xfId="5760"/>
    <cellStyle name="20% - Accent3 2 2 8" xfId="5761"/>
    <cellStyle name="20% - Accent3 2 2 9" xfId="5762"/>
    <cellStyle name="20% - Accent3 2 3" xfId="88"/>
    <cellStyle name="20% - Accent3 2 3 2" xfId="5763"/>
    <cellStyle name="20% - Accent3 2 3 3" xfId="5764"/>
    <cellStyle name="20% - Accent3 2 3 4" xfId="5765"/>
    <cellStyle name="20% - Accent3 2 3 5" xfId="5766"/>
    <cellStyle name="20% - Accent3 2 3 6" xfId="5767"/>
    <cellStyle name="20% - Accent3 2 3 7" xfId="5768"/>
    <cellStyle name="20% - Accent3 2 3 8" xfId="5769"/>
    <cellStyle name="20% - Accent3 2 3 9" xfId="5770"/>
    <cellStyle name="20% - Accent3 2 4" xfId="89"/>
    <cellStyle name="20% - Accent3 2 4 2" xfId="5771"/>
    <cellStyle name="20% - Accent3 2 4 3" xfId="5772"/>
    <cellStyle name="20% - Accent3 2 4 4" xfId="5773"/>
    <cellStyle name="20% - Accent3 2 4 5" xfId="5774"/>
    <cellStyle name="20% - Accent3 2 4 6" xfId="5775"/>
    <cellStyle name="20% - Accent3 2 4 7" xfId="5776"/>
    <cellStyle name="20% - Accent3 2 4 8" xfId="5777"/>
    <cellStyle name="20% - Accent3 2 4 9" xfId="5778"/>
    <cellStyle name="20% - Accent3 2 5" xfId="5779"/>
    <cellStyle name="20% - Accent3 2 6" xfId="5780"/>
    <cellStyle name="20% - Accent3 2 7" xfId="5781"/>
    <cellStyle name="20% - Accent3 2 8" xfId="5782"/>
    <cellStyle name="20% - Accent3 2 9" xfId="5783"/>
    <cellStyle name="20% - Accent3 3" xfId="90"/>
    <cellStyle name="20% - Accent3 3 10" xfId="5784"/>
    <cellStyle name="20% - Accent3 3 11" xfId="5785"/>
    <cellStyle name="20% - Accent3 3 2" xfId="91"/>
    <cellStyle name="20% - Accent3 3 2 2" xfId="5786"/>
    <cellStyle name="20% - Accent3 3 2 3" xfId="5787"/>
    <cellStyle name="20% - Accent3 3 2 4" xfId="5788"/>
    <cellStyle name="20% - Accent3 3 2 5" xfId="5789"/>
    <cellStyle name="20% - Accent3 3 2 6" xfId="5790"/>
    <cellStyle name="20% - Accent3 3 2 7" xfId="5791"/>
    <cellStyle name="20% - Accent3 3 2 8" xfId="5792"/>
    <cellStyle name="20% - Accent3 3 2 9" xfId="5793"/>
    <cellStyle name="20% - Accent3 3 3" xfId="92"/>
    <cellStyle name="20% - Accent3 3 3 2" xfId="5794"/>
    <cellStyle name="20% - Accent3 3 3 3" xfId="5795"/>
    <cellStyle name="20% - Accent3 3 3 4" xfId="5796"/>
    <cellStyle name="20% - Accent3 3 3 5" xfId="5797"/>
    <cellStyle name="20% - Accent3 3 3 6" xfId="5798"/>
    <cellStyle name="20% - Accent3 3 3 7" xfId="5799"/>
    <cellStyle name="20% - Accent3 3 3 8" xfId="5800"/>
    <cellStyle name="20% - Accent3 3 3 9" xfId="5801"/>
    <cellStyle name="20% - Accent3 3 4" xfId="5802"/>
    <cellStyle name="20% - Accent3 3 5" xfId="5803"/>
    <cellStyle name="20% - Accent3 3 6" xfId="5804"/>
    <cellStyle name="20% - Accent3 3 7" xfId="5805"/>
    <cellStyle name="20% - Accent3 3 8" xfId="5806"/>
    <cellStyle name="20% - Accent3 3 9" xfId="5807"/>
    <cellStyle name="20% - Accent3 4" xfId="93"/>
    <cellStyle name="20% - Accent3 4 2" xfId="5808"/>
    <cellStyle name="20% - Accent3 4 3" xfId="5809"/>
    <cellStyle name="20% - Accent3 4 4" xfId="5810"/>
    <cellStyle name="20% - Accent3 4 5" xfId="5811"/>
    <cellStyle name="20% - Accent3 4 6" xfId="5812"/>
    <cellStyle name="20% - Accent3 4 7" xfId="5813"/>
    <cellStyle name="20% - Accent3 4 8" xfId="5814"/>
    <cellStyle name="20% - Accent3 4 9" xfId="5815"/>
    <cellStyle name="20% - Accent3 5" xfId="5816"/>
    <cellStyle name="20% - Accent3 6" xfId="5817"/>
    <cellStyle name="20% - Accent3 7" xfId="5818"/>
    <cellStyle name="20% - Accent3 8" xfId="5819"/>
    <cellStyle name="20% - Accent3 9" xfId="5820"/>
    <cellStyle name="20% - Accent4" xfId="94"/>
    <cellStyle name="20% - Accent4 10" xfId="5821"/>
    <cellStyle name="20% - Accent4 11" xfId="5822"/>
    <cellStyle name="20% - Accent4 12" xfId="5823"/>
    <cellStyle name="20% - Accent4 2" xfId="95"/>
    <cellStyle name="20% - Accent4 2 10" xfId="5824"/>
    <cellStyle name="20% - Accent4 2 11" xfId="5825"/>
    <cellStyle name="20% - Accent4 2 12" xfId="5826"/>
    <cellStyle name="20% - Accent4 2 2" xfId="96"/>
    <cellStyle name="20% - Accent4 2 2 2" xfId="5827"/>
    <cellStyle name="20% - Accent4 2 2 3" xfId="5828"/>
    <cellStyle name="20% - Accent4 2 2 4" xfId="5829"/>
    <cellStyle name="20% - Accent4 2 2 5" xfId="5830"/>
    <cellStyle name="20% - Accent4 2 2 6" xfId="5831"/>
    <cellStyle name="20% - Accent4 2 2 7" xfId="5832"/>
    <cellStyle name="20% - Accent4 2 2 8" xfId="5833"/>
    <cellStyle name="20% - Accent4 2 2 9" xfId="5834"/>
    <cellStyle name="20% - Accent4 2 3" xfId="97"/>
    <cellStyle name="20% - Accent4 2 3 2" xfId="5835"/>
    <cellStyle name="20% - Accent4 2 3 3" xfId="5836"/>
    <cellStyle name="20% - Accent4 2 3 4" xfId="5837"/>
    <cellStyle name="20% - Accent4 2 3 5" xfId="5838"/>
    <cellStyle name="20% - Accent4 2 3 6" xfId="5839"/>
    <cellStyle name="20% - Accent4 2 3 7" xfId="5840"/>
    <cellStyle name="20% - Accent4 2 3 8" xfId="5841"/>
    <cellStyle name="20% - Accent4 2 3 9" xfId="5842"/>
    <cellStyle name="20% - Accent4 2 4" xfId="98"/>
    <cellStyle name="20% - Accent4 2 4 2" xfId="5843"/>
    <cellStyle name="20% - Accent4 2 4 3" xfId="5844"/>
    <cellStyle name="20% - Accent4 2 4 4" xfId="5845"/>
    <cellStyle name="20% - Accent4 2 4 5" xfId="5846"/>
    <cellStyle name="20% - Accent4 2 4 6" xfId="5847"/>
    <cellStyle name="20% - Accent4 2 4 7" xfId="5848"/>
    <cellStyle name="20% - Accent4 2 4 8" xfId="5849"/>
    <cellStyle name="20% - Accent4 2 4 9" xfId="5850"/>
    <cellStyle name="20% - Accent4 2 5" xfId="5851"/>
    <cellStyle name="20% - Accent4 2 6" xfId="5852"/>
    <cellStyle name="20% - Accent4 2 7" xfId="5853"/>
    <cellStyle name="20% - Accent4 2 8" xfId="5854"/>
    <cellStyle name="20% - Accent4 2 9" xfId="5855"/>
    <cellStyle name="20% - Accent4 3" xfId="99"/>
    <cellStyle name="20% - Accent4 3 10" xfId="5856"/>
    <cellStyle name="20% - Accent4 3 11" xfId="5857"/>
    <cellStyle name="20% - Accent4 3 2" xfId="100"/>
    <cellStyle name="20% - Accent4 3 2 2" xfId="5858"/>
    <cellStyle name="20% - Accent4 3 2 3" xfId="5859"/>
    <cellStyle name="20% - Accent4 3 2 4" xfId="5860"/>
    <cellStyle name="20% - Accent4 3 2 5" xfId="5861"/>
    <cellStyle name="20% - Accent4 3 2 6" xfId="5862"/>
    <cellStyle name="20% - Accent4 3 2 7" xfId="5863"/>
    <cellStyle name="20% - Accent4 3 2 8" xfId="5864"/>
    <cellStyle name="20% - Accent4 3 2 9" xfId="5865"/>
    <cellStyle name="20% - Accent4 3 3" xfId="101"/>
    <cellStyle name="20% - Accent4 3 3 2" xfId="5866"/>
    <cellStyle name="20% - Accent4 3 3 3" xfId="5867"/>
    <cellStyle name="20% - Accent4 3 3 4" xfId="5868"/>
    <cellStyle name="20% - Accent4 3 3 5" xfId="5869"/>
    <cellStyle name="20% - Accent4 3 3 6" xfId="5870"/>
    <cellStyle name="20% - Accent4 3 3 7" xfId="5871"/>
    <cellStyle name="20% - Accent4 3 3 8" xfId="5872"/>
    <cellStyle name="20% - Accent4 3 3 9" xfId="5873"/>
    <cellStyle name="20% - Accent4 3 4" xfId="5874"/>
    <cellStyle name="20% - Accent4 3 5" xfId="5875"/>
    <cellStyle name="20% - Accent4 3 6" xfId="5876"/>
    <cellStyle name="20% - Accent4 3 7" xfId="5877"/>
    <cellStyle name="20% - Accent4 3 8" xfId="5878"/>
    <cellStyle name="20% - Accent4 3 9" xfId="5879"/>
    <cellStyle name="20% - Accent4 4" xfId="102"/>
    <cellStyle name="20% - Accent4 4 2" xfId="5880"/>
    <cellStyle name="20% - Accent4 4 3" xfId="5881"/>
    <cellStyle name="20% - Accent4 4 4" xfId="5882"/>
    <cellStyle name="20% - Accent4 4 5" xfId="5883"/>
    <cellStyle name="20% - Accent4 4 6" xfId="5884"/>
    <cellStyle name="20% - Accent4 4 7" xfId="5885"/>
    <cellStyle name="20% - Accent4 4 8" xfId="5886"/>
    <cellStyle name="20% - Accent4 4 9" xfId="5887"/>
    <cellStyle name="20% - Accent4 5" xfId="5888"/>
    <cellStyle name="20% - Accent4 6" xfId="5889"/>
    <cellStyle name="20% - Accent4 7" xfId="5890"/>
    <cellStyle name="20% - Accent4 8" xfId="5891"/>
    <cellStyle name="20% - Accent4 9" xfId="5892"/>
    <cellStyle name="20% - Accent5" xfId="103"/>
    <cellStyle name="20% - Accent5 10" xfId="5893"/>
    <cellStyle name="20% - Accent5 11" xfId="5894"/>
    <cellStyle name="20% - Accent5 12" xfId="5895"/>
    <cellStyle name="20% - Accent5 2" xfId="104"/>
    <cellStyle name="20% - Accent5 2 10" xfId="5896"/>
    <cellStyle name="20% - Accent5 2 11" xfId="5897"/>
    <cellStyle name="20% - Accent5 2 12" xfId="5898"/>
    <cellStyle name="20% - Accent5 2 2" xfId="105"/>
    <cellStyle name="20% - Accent5 2 2 2" xfId="5899"/>
    <cellStyle name="20% - Accent5 2 2 3" xfId="5900"/>
    <cellStyle name="20% - Accent5 2 2 4" xfId="5901"/>
    <cellStyle name="20% - Accent5 2 2 5" xfId="5902"/>
    <cellStyle name="20% - Accent5 2 2 6" xfId="5903"/>
    <cellStyle name="20% - Accent5 2 2 7" xfId="5904"/>
    <cellStyle name="20% - Accent5 2 2 8" xfId="5905"/>
    <cellStyle name="20% - Accent5 2 2 9" xfId="5906"/>
    <cellStyle name="20% - Accent5 2 3" xfId="106"/>
    <cellStyle name="20% - Accent5 2 3 2" xfId="5907"/>
    <cellStyle name="20% - Accent5 2 3 3" xfId="5908"/>
    <cellStyle name="20% - Accent5 2 3 4" xfId="5909"/>
    <cellStyle name="20% - Accent5 2 3 5" xfId="5910"/>
    <cellStyle name="20% - Accent5 2 3 6" xfId="5911"/>
    <cellStyle name="20% - Accent5 2 3 7" xfId="5912"/>
    <cellStyle name="20% - Accent5 2 3 8" xfId="5913"/>
    <cellStyle name="20% - Accent5 2 3 9" xfId="5914"/>
    <cellStyle name="20% - Accent5 2 4" xfId="107"/>
    <cellStyle name="20% - Accent5 2 4 2" xfId="5915"/>
    <cellStyle name="20% - Accent5 2 4 3" xfId="5916"/>
    <cellStyle name="20% - Accent5 2 4 4" xfId="5917"/>
    <cellStyle name="20% - Accent5 2 4 5" xfId="5918"/>
    <cellStyle name="20% - Accent5 2 4 6" xfId="5919"/>
    <cellStyle name="20% - Accent5 2 4 7" xfId="5920"/>
    <cellStyle name="20% - Accent5 2 4 8" xfId="5921"/>
    <cellStyle name="20% - Accent5 2 4 9" xfId="5922"/>
    <cellStyle name="20% - Accent5 2 5" xfId="5923"/>
    <cellStyle name="20% - Accent5 2 6" xfId="5924"/>
    <cellStyle name="20% - Accent5 2 7" xfId="5925"/>
    <cellStyle name="20% - Accent5 2 8" xfId="5926"/>
    <cellStyle name="20% - Accent5 2 9" xfId="5927"/>
    <cellStyle name="20% - Accent5 3" xfId="108"/>
    <cellStyle name="20% - Accent5 3 10" xfId="5928"/>
    <cellStyle name="20% - Accent5 3 11" xfId="5929"/>
    <cellStyle name="20% - Accent5 3 2" xfId="109"/>
    <cellStyle name="20% - Accent5 3 2 2" xfId="5930"/>
    <cellStyle name="20% - Accent5 3 2 3" xfId="5931"/>
    <cellStyle name="20% - Accent5 3 2 4" xfId="5932"/>
    <cellStyle name="20% - Accent5 3 2 5" xfId="5933"/>
    <cellStyle name="20% - Accent5 3 2 6" xfId="5934"/>
    <cellStyle name="20% - Accent5 3 2 7" xfId="5935"/>
    <cellStyle name="20% - Accent5 3 2 8" xfId="5936"/>
    <cellStyle name="20% - Accent5 3 2 9" xfId="5937"/>
    <cellStyle name="20% - Accent5 3 3" xfId="110"/>
    <cellStyle name="20% - Accent5 3 3 2" xfId="5938"/>
    <cellStyle name="20% - Accent5 3 3 3" xfId="5939"/>
    <cellStyle name="20% - Accent5 3 3 4" xfId="5940"/>
    <cellStyle name="20% - Accent5 3 3 5" xfId="5941"/>
    <cellStyle name="20% - Accent5 3 3 6" xfId="5942"/>
    <cellStyle name="20% - Accent5 3 3 7" xfId="5943"/>
    <cellStyle name="20% - Accent5 3 3 8" xfId="5944"/>
    <cellStyle name="20% - Accent5 3 3 9" xfId="5945"/>
    <cellStyle name="20% - Accent5 3 4" xfId="5946"/>
    <cellStyle name="20% - Accent5 3 5" xfId="5947"/>
    <cellStyle name="20% - Accent5 3 6" xfId="5948"/>
    <cellStyle name="20% - Accent5 3 7" xfId="5949"/>
    <cellStyle name="20% - Accent5 3 8" xfId="5950"/>
    <cellStyle name="20% - Accent5 3 9" xfId="5951"/>
    <cellStyle name="20% - Accent5 4" xfId="111"/>
    <cellStyle name="20% - Accent5 4 2" xfId="5952"/>
    <cellStyle name="20% - Accent5 4 3" xfId="5953"/>
    <cellStyle name="20% - Accent5 4 4" xfId="5954"/>
    <cellStyle name="20% - Accent5 4 5" xfId="5955"/>
    <cellStyle name="20% - Accent5 4 6" xfId="5956"/>
    <cellStyle name="20% - Accent5 4 7" xfId="5957"/>
    <cellStyle name="20% - Accent5 4 8" xfId="5958"/>
    <cellStyle name="20% - Accent5 4 9" xfId="5959"/>
    <cellStyle name="20% - Accent5 5" xfId="5960"/>
    <cellStyle name="20% - Accent5 6" xfId="5961"/>
    <cellStyle name="20% - Accent5 7" xfId="5962"/>
    <cellStyle name="20% - Accent5 8" xfId="5963"/>
    <cellStyle name="20% - Accent5 9" xfId="5964"/>
    <cellStyle name="20% - Accent6" xfId="112"/>
    <cellStyle name="20% - Accent6 10" xfId="5965"/>
    <cellStyle name="20% - Accent6 11" xfId="5966"/>
    <cellStyle name="20% - Accent6 12" xfId="5967"/>
    <cellStyle name="20% - Accent6 2" xfId="113"/>
    <cellStyle name="20% - Accent6 2 10" xfId="5968"/>
    <cellStyle name="20% - Accent6 2 11" xfId="5969"/>
    <cellStyle name="20% - Accent6 2 12" xfId="5970"/>
    <cellStyle name="20% - Accent6 2 2" xfId="114"/>
    <cellStyle name="20% - Accent6 2 2 2" xfId="5971"/>
    <cellStyle name="20% - Accent6 2 2 3" xfId="5972"/>
    <cellStyle name="20% - Accent6 2 2 4" xfId="5973"/>
    <cellStyle name="20% - Accent6 2 2 5" xfId="5974"/>
    <cellStyle name="20% - Accent6 2 2 6" xfId="5975"/>
    <cellStyle name="20% - Accent6 2 2 7" xfId="5976"/>
    <cellStyle name="20% - Accent6 2 2 8" xfId="5977"/>
    <cellStyle name="20% - Accent6 2 2 9" xfId="5978"/>
    <cellStyle name="20% - Accent6 2 3" xfId="115"/>
    <cellStyle name="20% - Accent6 2 3 2" xfId="5979"/>
    <cellStyle name="20% - Accent6 2 3 3" xfId="5980"/>
    <cellStyle name="20% - Accent6 2 3 4" xfId="5981"/>
    <cellStyle name="20% - Accent6 2 3 5" xfId="5982"/>
    <cellStyle name="20% - Accent6 2 3 6" xfId="5983"/>
    <cellStyle name="20% - Accent6 2 3 7" xfId="5984"/>
    <cellStyle name="20% - Accent6 2 3 8" xfId="5985"/>
    <cellStyle name="20% - Accent6 2 3 9" xfId="5986"/>
    <cellStyle name="20% - Accent6 2 4" xfId="116"/>
    <cellStyle name="20% - Accent6 2 4 2" xfId="5987"/>
    <cellStyle name="20% - Accent6 2 4 3" xfId="5988"/>
    <cellStyle name="20% - Accent6 2 4 4" xfId="5989"/>
    <cellStyle name="20% - Accent6 2 4 5" xfId="5990"/>
    <cellStyle name="20% - Accent6 2 4 6" xfId="5991"/>
    <cellStyle name="20% - Accent6 2 4 7" xfId="5992"/>
    <cellStyle name="20% - Accent6 2 4 8" xfId="5993"/>
    <cellStyle name="20% - Accent6 2 4 9" xfId="5994"/>
    <cellStyle name="20% - Accent6 2 5" xfId="5995"/>
    <cellStyle name="20% - Accent6 2 6" xfId="5996"/>
    <cellStyle name="20% - Accent6 2 7" xfId="5997"/>
    <cellStyle name="20% - Accent6 2 8" xfId="5998"/>
    <cellStyle name="20% - Accent6 2 9" xfId="5999"/>
    <cellStyle name="20% - Accent6 3" xfId="117"/>
    <cellStyle name="20% - Accent6 3 10" xfId="6000"/>
    <cellStyle name="20% - Accent6 3 11" xfId="6001"/>
    <cellStyle name="20% - Accent6 3 2" xfId="118"/>
    <cellStyle name="20% - Accent6 3 2 2" xfId="6002"/>
    <cellStyle name="20% - Accent6 3 2 3" xfId="6003"/>
    <cellStyle name="20% - Accent6 3 2 4" xfId="6004"/>
    <cellStyle name="20% - Accent6 3 2 5" xfId="6005"/>
    <cellStyle name="20% - Accent6 3 2 6" xfId="6006"/>
    <cellStyle name="20% - Accent6 3 2 7" xfId="6007"/>
    <cellStyle name="20% - Accent6 3 2 8" xfId="6008"/>
    <cellStyle name="20% - Accent6 3 2 9" xfId="6009"/>
    <cellStyle name="20% - Accent6 3 3" xfId="119"/>
    <cellStyle name="20% - Accent6 3 3 2" xfId="6010"/>
    <cellStyle name="20% - Accent6 3 3 3" xfId="6011"/>
    <cellStyle name="20% - Accent6 3 3 4" xfId="6012"/>
    <cellStyle name="20% - Accent6 3 3 5" xfId="6013"/>
    <cellStyle name="20% - Accent6 3 3 6" xfId="6014"/>
    <cellStyle name="20% - Accent6 3 3 7" xfId="6015"/>
    <cellStyle name="20% - Accent6 3 3 8" xfId="6016"/>
    <cellStyle name="20% - Accent6 3 3 9" xfId="6017"/>
    <cellStyle name="20% - Accent6 3 4" xfId="6018"/>
    <cellStyle name="20% - Accent6 3 5" xfId="6019"/>
    <cellStyle name="20% - Accent6 3 6" xfId="6020"/>
    <cellStyle name="20% - Accent6 3 7" xfId="6021"/>
    <cellStyle name="20% - Accent6 3 8" xfId="6022"/>
    <cellStyle name="20% - Accent6 3 9" xfId="6023"/>
    <cellStyle name="20% - Accent6 4" xfId="120"/>
    <cellStyle name="20% - Accent6 4 2" xfId="6024"/>
    <cellStyle name="20% - Accent6 4 3" xfId="6025"/>
    <cellStyle name="20% - Accent6 4 4" xfId="6026"/>
    <cellStyle name="20% - Accent6 4 5" xfId="6027"/>
    <cellStyle name="20% - Accent6 4 6" xfId="6028"/>
    <cellStyle name="20% - Accent6 4 7" xfId="6029"/>
    <cellStyle name="20% - Accent6 4 8" xfId="6030"/>
    <cellStyle name="20% - Accent6 4 9" xfId="6031"/>
    <cellStyle name="20% - Accent6 5" xfId="6032"/>
    <cellStyle name="20% - Accent6 6" xfId="6033"/>
    <cellStyle name="20% - Accent6 7" xfId="6034"/>
    <cellStyle name="20% - Accent6 8" xfId="6035"/>
    <cellStyle name="20% - Accent6 9" xfId="6036"/>
    <cellStyle name="20% - Акцент1 2" xfId="121"/>
    <cellStyle name="20% - Акцент1 2 2" xfId="122"/>
    <cellStyle name="20% - Акцент1 2 2 2" xfId="123"/>
    <cellStyle name="20% - Акцент1 2 2 2 2" xfId="124"/>
    <cellStyle name="20% - Акцент1 2 2 2 3" xfId="125"/>
    <cellStyle name="20% - Акцент1 2 2 3" xfId="126"/>
    <cellStyle name="20% - Акцент1 2 2 4" xfId="127"/>
    <cellStyle name="20% - Акцент1 2 2 4 2" xfId="6037"/>
    <cellStyle name="20% - Акцент1 2 2 4 3" xfId="6038"/>
    <cellStyle name="20% - Акцент1 2 2 4 4" xfId="6039"/>
    <cellStyle name="20% - Акцент1 2 2 4 5" xfId="6040"/>
    <cellStyle name="20% - Акцент1 2 2 5" xfId="6041"/>
    <cellStyle name="20% - Акцент1 2 2 6" xfId="6042"/>
    <cellStyle name="20% - Акцент1 2 2 7" xfId="6043"/>
    <cellStyle name="20% - Акцент1 2 2 8" xfId="6044"/>
    <cellStyle name="20% - Акцент1 2 3" xfId="128"/>
    <cellStyle name="20% - Акцент1 2 3 2" xfId="129"/>
    <cellStyle name="20% - Акцент1 2 3 3" xfId="130"/>
    <cellStyle name="20% - Акцент1 2 4" xfId="131"/>
    <cellStyle name="20% - Акцент1 2 5" xfId="132"/>
    <cellStyle name="20% - Акцент1 2 5 2" xfId="6045"/>
    <cellStyle name="20% - Акцент1 2 5 3" xfId="6046"/>
    <cellStyle name="20% - Акцент1 2 5 4" xfId="6047"/>
    <cellStyle name="20% - Акцент1 2 5 5" xfId="6048"/>
    <cellStyle name="20% - Акцент1 2 6" xfId="6049"/>
    <cellStyle name="20% - Акцент1 2 7" xfId="6050"/>
    <cellStyle name="20% - Акцент1 2 8" xfId="6051"/>
    <cellStyle name="20% - Акцент1 2 9" xfId="6052"/>
    <cellStyle name="20% - Акцент1 2_Расчет программы" xfId="133"/>
    <cellStyle name="20% - Акцент2 2" xfId="134"/>
    <cellStyle name="20% - Акцент2 2 2" xfId="135"/>
    <cellStyle name="20% - Акцент2 2 2 2" xfId="136"/>
    <cellStyle name="20% - Акцент2 2 2 2 2" xfId="137"/>
    <cellStyle name="20% - Акцент2 2 2 2 3" xfId="138"/>
    <cellStyle name="20% - Акцент2 2 2 3" xfId="139"/>
    <cellStyle name="20% - Акцент2 2 2 4" xfId="140"/>
    <cellStyle name="20% - Акцент2 2 2 4 2" xfId="6053"/>
    <cellStyle name="20% - Акцент2 2 2 4 3" xfId="6054"/>
    <cellStyle name="20% - Акцент2 2 2 4 4" xfId="6055"/>
    <cellStyle name="20% - Акцент2 2 2 4 5" xfId="6056"/>
    <cellStyle name="20% - Акцент2 2 2 5" xfId="6057"/>
    <cellStyle name="20% - Акцент2 2 2 6" xfId="6058"/>
    <cellStyle name="20% - Акцент2 2 2 7" xfId="6059"/>
    <cellStyle name="20% - Акцент2 2 2 8" xfId="6060"/>
    <cellStyle name="20% - Акцент2 2 3" xfId="141"/>
    <cellStyle name="20% - Акцент2 2 3 2" xfId="142"/>
    <cellStyle name="20% - Акцент2 2 3 3" xfId="143"/>
    <cellStyle name="20% - Акцент2 2 4" xfId="144"/>
    <cellStyle name="20% - Акцент2 2 5" xfId="145"/>
    <cellStyle name="20% - Акцент2 2 5 2" xfId="6061"/>
    <cellStyle name="20% - Акцент2 2 5 3" xfId="6062"/>
    <cellStyle name="20% - Акцент2 2 5 4" xfId="6063"/>
    <cellStyle name="20% - Акцент2 2 5 5" xfId="6064"/>
    <cellStyle name="20% - Акцент2 2 6" xfId="6065"/>
    <cellStyle name="20% - Акцент2 2 7" xfId="6066"/>
    <cellStyle name="20% - Акцент2 2 8" xfId="6067"/>
    <cellStyle name="20% - Акцент2 2 9" xfId="6068"/>
    <cellStyle name="20% - Акцент2 2_Расчет программы" xfId="146"/>
    <cellStyle name="20% - Акцент3 2" xfId="147"/>
    <cellStyle name="20% - Акцент3 2 2" xfId="148"/>
    <cellStyle name="20% - Акцент3 2 2 2" xfId="149"/>
    <cellStyle name="20% - Акцент3 2 2 2 2" xfId="150"/>
    <cellStyle name="20% - Акцент3 2 2 2 3" xfId="151"/>
    <cellStyle name="20% - Акцент3 2 2 3" xfId="152"/>
    <cellStyle name="20% - Акцент3 2 2 4" xfId="153"/>
    <cellStyle name="20% - Акцент3 2 2 4 2" xfId="6069"/>
    <cellStyle name="20% - Акцент3 2 2 4 3" xfId="6070"/>
    <cellStyle name="20% - Акцент3 2 2 4 4" xfId="6071"/>
    <cellStyle name="20% - Акцент3 2 2 4 5" xfId="6072"/>
    <cellStyle name="20% - Акцент3 2 2 5" xfId="6073"/>
    <cellStyle name="20% - Акцент3 2 2 6" xfId="6074"/>
    <cellStyle name="20% - Акцент3 2 2 7" xfId="6075"/>
    <cellStyle name="20% - Акцент3 2 2 8" xfId="6076"/>
    <cellStyle name="20% - Акцент3 2 3" xfId="154"/>
    <cellStyle name="20% - Акцент3 2 3 2" xfId="155"/>
    <cellStyle name="20% - Акцент3 2 3 3" xfId="156"/>
    <cellStyle name="20% - Акцент3 2 4" xfId="157"/>
    <cellStyle name="20% - Акцент3 2 5" xfId="158"/>
    <cellStyle name="20% - Акцент3 2 5 2" xfId="6077"/>
    <cellStyle name="20% - Акцент3 2 5 3" xfId="6078"/>
    <cellStyle name="20% - Акцент3 2 5 4" xfId="6079"/>
    <cellStyle name="20% - Акцент3 2 5 5" xfId="6080"/>
    <cellStyle name="20% - Акцент3 2 6" xfId="6081"/>
    <cellStyle name="20% - Акцент3 2 7" xfId="6082"/>
    <cellStyle name="20% - Акцент3 2 8" xfId="6083"/>
    <cellStyle name="20% - Акцент3 2 9" xfId="6084"/>
    <cellStyle name="20% - Акцент3 2_Расчет программы" xfId="159"/>
    <cellStyle name="20% - Акцент4 2" xfId="160"/>
    <cellStyle name="20% - Акцент4 2 2" xfId="161"/>
    <cellStyle name="20% - Акцент4 2 2 2" xfId="162"/>
    <cellStyle name="20% - Акцент4 2 2 2 2" xfId="163"/>
    <cellStyle name="20% - Акцент4 2 2 2 3" xfId="164"/>
    <cellStyle name="20% - Акцент4 2 2 3" xfId="165"/>
    <cellStyle name="20% - Акцент4 2 2 4" xfId="166"/>
    <cellStyle name="20% - Акцент4 2 2 4 2" xfId="6085"/>
    <cellStyle name="20% - Акцент4 2 2 4 3" xfId="6086"/>
    <cellStyle name="20% - Акцент4 2 2 4 4" xfId="6087"/>
    <cellStyle name="20% - Акцент4 2 2 4 5" xfId="6088"/>
    <cellStyle name="20% - Акцент4 2 2 5" xfId="6089"/>
    <cellStyle name="20% - Акцент4 2 2 6" xfId="6090"/>
    <cellStyle name="20% - Акцент4 2 2 7" xfId="6091"/>
    <cellStyle name="20% - Акцент4 2 2 8" xfId="6092"/>
    <cellStyle name="20% - Акцент4 2 3" xfId="167"/>
    <cellStyle name="20% - Акцент4 2 3 2" xfId="168"/>
    <cellStyle name="20% - Акцент4 2 3 3" xfId="169"/>
    <cellStyle name="20% - Акцент4 2 4" xfId="170"/>
    <cellStyle name="20% - Акцент4 2 5" xfId="171"/>
    <cellStyle name="20% - Акцент4 2 5 2" xfId="6093"/>
    <cellStyle name="20% - Акцент4 2 5 3" xfId="6094"/>
    <cellStyle name="20% - Акцент4 2 5 4" xfId="6095"/>
    <cellStyle name="20% - Акцент4 2 5 5" xfId="6096"/>
    <cellStyle name="20% - Акцент4 2 6" xfId="6097"/>
    <cellStyle name="20% - Акцент4 2 7" xfId="6098"/>
    <cellStyle name="20% - Акцент4 2 8" xfId="6099"/>
    <cellStyle name="20% - Акцент4 2 9" xfId="6100"/>
    <cellStyle name="20% - Акцент4 2_Расчет программы" xfId="172"/>
    <cellStyle name="20% - Акцент5 2" xfId="173"/>
    <cellStyle name="20% - Акцент5 2 2" xfId="174"/>
    <cellStyle name="20% - Акцент5 2 2 2" xfId="175"/>
    <cellStyle name="20% - Акцент5 2 2 2 2" xfId="176"/>
    <cellStyle name="20% - Акцент5 2 2 2 3" xfId="177"/>
    <cellStyle name="20% - Акцент5 2 2 3" xfId="178"/>
    <cellStyle name="20% - Акцент5 2 2 4" xfId="179"/>
    <cellStyle name="20% - Акцент5 2 2 4 2" xfId="6101"/>
    <cellStyle name="20% - Акцент5 2 2 4 3" xfId="6102"/>
    <cellStyle name="20% - Акцент5 2 2 4 4" xfId="6103"/>
    <cellStyle name="20% - Акцент5 2 2 4 5" xfId="6104"/>
    <cellStyle name="20% - Акцент5 2 2 5" xfId="6105"/>
    <cellStyle name="20% - Акцент5 2 2 6" xfId="6106"/>
    <cellStyle name="20% - Акцент5 2 2 7" xfId="6107"/>
    <cellStyle name="20% - Акцент5 2 2 8" xfId="6108"/>
    <cellStyle name="20% - Акцент5 2 3" xfId="180"/>
    <cellStyle name="20% - Акцент5 2 3 2" xfId="181"/>
    <cellStyle name="20% - Акцент5 2 3 3" xfId="182"/>
    <cellStyle name="20% - Акцент5 2 4" xfId="183"/>
    <cellStyle name="20% - Акцент5 2 5" xfId="184"/>
    <cellStyle name="20% - Акцент5 2 5 2" xfId="6109"/>
    <cellStyle name="20% - Акцент5 2 5 3" xfId="6110"/>
    <cellStyle name="20% - Акцент5 2 5 4" xfId="6111"/>
    <cellStyle name="20% - Акцент5 2 5 5" xfId="6112"/>
    <cellStyle name="20% - Акцент5 2 6" xfId="6113"/>
    <cellStyle name="20% - Акцент5 2 7" xfId="6114"/>
    <cellStyle name="20% - Акцент5 2 8" xfId="6115"/>
    <cellStyle name="20% - Акцент5 2 9" xfId="6116"/>
    <cellStyle name="20% - Акцент5 2_Расчет программы" xfId="185"/>
    <cellStyle name="20% - Акцент6 2" xfId="186"/>
    <cellStyle name="20% - Акцент6 2 2" xfId="187"/>
    <cellStyle name="20% - Акцент6 2 2 2" xfId="188"/>
    <cellStyle name="20% - Акцент6 2 2 2 2" xfId="189"/>
    <cellStyle name="20% - Акцент6 2 2 2 3" xfId="190"/>
    <cellStyle name="20% - Акцент6 2 2 3" xfId="191"/>
    <cellStyle name="20% - Акцент6 2 2 4" xfId="192"/>
    <cellStyle name="20% - Акцент6 2 2 4 2" xfId="6117"/>
    <cellStyle name="20% - Акцент6 2 2 4 3" xfId="6118"/>
    <cellStyle name="20% - Акцент6 2 2 4 4" xfId="6119"/>
    <cellStyle name="20% - Акцент6 2 2 4 5" xfId="6120"/>
    <cellStyle name="20% - Акцент6 2 2 5" xfId="6121"/>
    <cellStyle name="20% - Акцент6 2 2 6" xfId="6122"/>
    <cellStyle name="20% - Акцент6 2 2 7" xfId="6123"/>
    <cellStyle name="20% - Акцент6 2 2 8" xfId="6124"/>
    <cellStyle name="20% - Акцент6 2 3" xfId="193"/>
    <cellStyle name="20% - Акцент6 2 3 2" xfId="194"/>
    <cellStyle name="20% - Акцент6 2 3 3" xfId="195"/>
    <cellStyle name="20% - Акцент6 2 4" xfId="196"/>
    <cellStyle name="20% - Акцент6 2 5" xfId="197"/>
    <cellStyle name="20% - Акцент6 2 5 2" xfId="6125"/>
    <cellStyle name="20% - Акцент6 2 5 3" xfId="6126"/>
    <cellStyle name="20% - Акцент6 2 5 4" xfId="6127"/>
    <cellStyle name="20% - Акцент6 2 5 5" xfId="6128"/>
    <cellStyle name="20% - Акцент6 2 6" xfId="6129"/>
    <cellStyle name="20% - Акцент6 2 7" xfId="6130"/>
    <cellStyle name="20% - Акцент6 2 8" xfId="6131"/>
    <cellStyle name="20% - Акцент6 2 9" xfId="6132"/>
    <cellStyle name="20% - Акцент6 2_Расчет программы" xfId="198"/>
    <cellStyle name="40% - Accent1" xfId="199"/>
    <cellStyle name="40% - Accent1 10" xfId="6133"/>
    <cellStyle name="40% - Accent1 11" xfId="6134"/>
    <cellStyle name="40% - Accent1 12" xfId="6135"/>
    <cellStyle name="40% - Accent1 2" xfId="200"/>
    <cellStyle name="40% - Accent1 2 10" xfId="6136"/>
    <cellStyle name="40% - Accent1 2 11" xfId="6137"/>
    <cellStyle name="40% - Accent1 2 12" xfId="6138"/>
    <cellStyle name="40% - Accent1 2 2" xfId="201"/>
    <cellStyle name="40% - Accent1 2 2 2" xfId="6139"/>
    <cellStyle name="40% - Accent1 2 2 3" xfId="6140"/>
    <cellStyle name="40% - Accent1 2 2 4" xfId="6141"/>
    <cellStyle name="40% - Accent1 2 2 5" xfId="6142"/>
    <cellStyle name="40% - Accent1 2 2 6" xfId="6143"/>
    <cellStyle name="40% - Accent1 2 2 7" xfId="6144"/>
    <cellStyle name="40% - Accent1 2 2 8" xfId="6145"/>
    <cellStyle name="40% - Accent1 2 2 9" xfId="6146"/>
    <cellStyle name="40% - Accent1 2 3" xfId="202"/>
    <cellStyle name="40% - Accent1 2 3 2" xfId="6147"/>
    <cellStyle name="40% - Accent1 2 3 3" xfId="6148"/>
    <cellStyle name="40% - Accent1 2 3 4" xfId="6149"/>
    <cellStyle name="40% - Accent1 2 3 5" xfId="6150"/>
    <cellStyle name="40% - Accent1 2 3 6" xfId="6151"/>
    <cellStyle name="40% - Accent1 2 3 7" xfId="6152"/>
    <cellStyle name="40% - Accent1 2 3 8" xfId="6153"/>
    <cellStyle name="40% - Accent1 2 3 9" xfId="6154"/>
    <cellStyle name="40% - Accent1 2 4" xfId="203"/>
    <cellStyle name="40% - Accent1 2 4 2" xfId="6155"/>
    <cellStyle name="40% - Accent1 2 4 3" xfId="6156"/>
    <cellStyle name="40% - Accent1 2 4 4" xfId="6157"/>
    <cellStyle name="40% - Accent1 2 4 5" xfId="6158"/>
    <cellStyle name="40% - Accent1 2 4 6" xfId="6159"/>
    <cellStyle name="40% - Accent1 2 4 7" xfId="6160"/>
    <cellStyle name="40% - Accent1 2 4 8" xfId="6161"/>
    <cellStyle name="40% - Accent1 2 4 9" xfId="6162"/>
    <cellStyle name="40% - Accent1 2 5" xfId="6163"/>
    <cellStyle name="40% - Accent1 2 6" xfId="6164"/>
    <cellStyle name="40% - Accent1 2 7" xfId="6165"/>
    <cellStyle name="40% - Accent1 2 8" xfId="6166"/>
    <cellStyle name="40% - Accent1 2 9" xfId="6167"/>
    <cellStyle name="40% - Accent1 3" xfId="204"/>
    <cellStyle name="40% - Accent1 3 10" xfId="6168"/>
    <cellStyle name="40% - Accent1 3 11" xfId="6169"/>
    <cellStyle name="40% - Accent1 3 2" xfId="205"/>
    <cellStyle name="40% - Accent1 3 2 2" xfId="6170"/>
    <cellStyle name="40% - Accent1 3 2 3" xfId="6171"/>
    <cellStyle name="40% - Accent1 3 2 4" xfId="6172"/>
    <cellStyle name="40% - Accent1 3 2 5" xfId="6173"/>
    <cellStyle name="40% - Accent1 3 2 6" xfId="6174"/>
    <cellStyle name="40% - Accent1 3 2 7" xfId="6175"/>
    <cellStyle name="40% - Accent1 3 2 8" xfId="6176"/>
    <cellStyle name="40% - Accent1 3 2 9" xfId="6177"/>
    <cellStyle name="40% - Accent1 3 3" xfId="206"/>
    <cellStyle name="40% - Accent1 3 3 2" xfId="6178"/>
    <cellStyle name="40% - Accent1 3 3 3" xfId="6179"/>
    <cellStyle name="40% - Accent1 3 3 4" xfId="6180"/>
    <cellStyle name="40% - Accent1 3 3 5" xfId="6181"/>
    <cellStyle name="40% - Accent1 3 3 6" xfId="6182"/>
    <cellStyle name="40% - Accent1 3 3 7" xfId="6183"/>
    <cellStyle name="40% - Accent1 3 3 8" xfId="6184"/>
    <cellStyle name="40% - Accent1 3 3 9" xfId="6185"/>
    <cellStyle name="40% - Accent1 3 4" xfId="6186"/>
    <cellStyle name="40% - Accent1 3 5" xfId="6187"/>
    <cellStyle name="40% - Accent1 3 6" xfId="6188"/>
    <cellStyle name="40% - Accent1 3 7" xfId="6189"/>
    <cellStyle name="40% - Accent1 3 8" xfId="6190"/>
    <cellStyle name="40% - Accent1 3 9" xfId="6191"/>
    <cellStyle name="40% - Accent1 4" xfId="207"/>
    <cellStyle name="40% - Accent1 4 2" xfId="6192"/>
    <cellStyle name="40% - Accent1 4 3" xfId="6193"/>
    <cellStyle name="40% - Accent1 4 4" xfId="6194"/>
    <cellStyle name="40% - Accent1 4 5" xfId="6195"/>
    <cellStyle name="40% - Accent1 4 6" xfId="6196"/>
    <cellStyle name="40% - Accent1 4 7" xfId="6197"/>
    <cellStyle name="40% - Accent1 4 8" xfId="6198"/>
    <cellStyle name="40% - Accent1 4 9" xfId="6199"/>
    <cellStyle name="40% - Accent1 5" xfId="6200"/>
    <cellStyle name="40% - Accent1 6" xfId="6201"/>
    <cellStyle name="40% - Accent1 7" xfId="6202"/>
    <cellStyle name="40% - Accent1 8" xfId="6203"/>
    <cellStyle name="40% - Accent1 9" xfId="6204"/>
    <cellStyle name="40% - Accent2" xfId="208"/>
    <cellStyle name="40% - Accent2 10" xfId="6205"/>
    <cellStyle name="40% - Accent2 11" xfId="6206"/>
    <cellStyle name="40% - Accent2 12" xfId="6207"/>
    <cellStyle name="40% - Accent2 2" xfId="209"/>
    <cellStyle name="40% - Accent2 2 10" xfId="6208"/>
    <cellStyle name="40% - Accent2 2 11" xfId="6209"/>
    <cellStyle name="40% - Accent2 2 12" xfId="6210"/>
    <cellStyle name="40% - Accent2 2 2" xfId="210"/>
    <cellStyle name="40% - Accent2 2 2 2" xfId="6211"/>
    <cellStyle name="40% - Accent2 2 2 3" xfId="6212"/>
    <cellStyle name="40% - Accent2 2 2 4" xfId="6213"/>
    <cellStyle name="40% - Accent2 2 2 5" xfId="6214"/>
    <cellStyle name="40% - Accent2 2 2 6" xfId="6215"/>
    <cellStyle name="40% - Accent2 2 2 7" xfId="6216"/>
    <cellStyle name="40% - Accent2 2 2 8" xfId="6217"/>
    <cellStyle name="40% - Accent2 2 2 9" xfId="6218"/>
    <cellStyle name="40% - Accent2 2 3" xfId="211"/>
    <cellStyle name="40% - Accent2 2 3 2" xfId="6219"/>
    <cellStyle name="40% - Accent2 2 3 3" xfId="6220"/>
    <cellStyle name="40% - Accent2 2 3 4" xfId="6221"/>
    <cellStyle name="40% - Accent2 2 3 5" xfId="6222"/>
    <cellStyle name="40% - Accent2 2 3 6" xfId="6223"/>
    <cellStyle name="40% - Accent2 2 3 7" xfId="6224"/>
    <cellStyle name="40% - Accent2 2 3 8" xfId="6225"/>
    <cellStyle name="40% - Accent2 2 3 9" xfId="6226"/>
    <cellStyle name="40% - Accent2 2 4" xfId="212"/>
    <cellStyle name="40% - Accent2 2 4 2" xfId="6227"/>
    <cellStyle name="40% - Accent2 2 4 3" xfId="6228"/>
    <cellStyle name="40% - Accent2 2 4 4" xfId="6229"/>
    <cellStyle name="40% - Accent2 2 4 5" xfId="6230"/>
    <cellStyle name="40% - Accent2 2 4 6" xfId="6231"/>
    <cellStyle name="40% - Accent2 2 4 7" xfId="6232"/>
    <cellStyle name="40% - Accent2 2 4 8" xfId="6233"/>
    <cellStyle name="40% - Accent2 2 4 9" xfId="6234"/>
    <cellStyle name="40% - Accent2 2 5" xfId="6235"/>
    <cellStyle name="40% - Accent2 2 6" xfId="6236"/>
    <cellStyle name="40% - Accent2 2 7" xfId="6237"/>
    <cellStyle name="40% - Accent2 2 8" xfId="6238"/>
    <cellStyle name="40% - Accent2 2 9" xfId="6239"/>
    <cellStyle name="40% - Accent2 3" xfId="213"/>
    <cellStyle name="40% - Accent2 3 10" xfId="6240"/>
    <cellStyle name="40% - Accent2 3 11" xfId="6241"/>
    <cellStyle name="40% - Accent2 3 2" xfId="214"/>
    <cellStyle name="40% - Accent2 3 2 2" xfId="6242"/>
    <cellStyle name="40% - Accent2 3 2 3" xfId="6243"/>
    <cellStyle name="40% - Accent2 3 2 4" xfId="6244"/>
    <cellStyle name="40% - Accent2 3 2 5" xfId="6245"/>
    <cellStyle name="40% - Accent2 3 2 6" xfId="6246"/>
    <cellStyle name="40% - Accent2 3 2 7" xfId="6247"/>
    <cellStyle name="40% - Accent2 3 2 8" xfId="6248"/>
    <cellStyle name="40% - Accent2 3 2 9" xfId="6249"/>
    <cellStyle name="40% - Accent2 3 3" xfId="215"/>
    <cellStyle name="40% - Accent2 3 3 2" xfId="6250"/>
    <cellStyle name="40% - Accent2 3 3 3" xfId="6251"/>
    <cellStyle name="40% - Accent2 3 3 4" xfId="6252"/>
    <cellStyle name="40% - Accent2 3 3 5" xfId="6253"/>
    <cellStyle name="40% - Accent2 3 3 6" xfId="6254"/>
    <cellStyle name="40% - Accent2 3 3 7" xfId="6255"/>
    <cellStyle name="40% - Accent2 3 3 8" xfId="6256"/>
    <cellStyle name="40% - Accent2 3 3 9" xfId="6257"/>
    <cellStyle name="40% - Accent2 3 4" xfId="6258"/>
    <cellStyle name="40% - Accent2 3 5" xfId="6259"/>
    <cellStyle name="40% - Accent2 3 6" xfId="6260"/>
    <cellStyle name="40% - Accent2 3 7" xfId="6261"/>
    <cellStyle name="40% - Accent2 3 8" xfId="6262"/>
    <cellStyle name="40% - Accent2 3 9" xfId="6263"/>
    <cellStyle name="40% - Accent2 4" xfId="216"/>
    <cellStyle name="40% - Accent2 4 2" xfId="6264"/>
    <cellStyle name="40% - Accent2 4 3" xfId="6265"/>
    <cellStyle name="40% - Accent2 4 4" xfId="6266"/>
    <cellStyle name="40% - Accent2 4 5" xfId="6267"/>
    <cellStyle name="40% - Accent2 4 6" xfId="6268"/>
    <cellStyle name="40% - Accent2 4 7" xfId="6269"/>
    <cellStyle name="40% - Accent2 4 8" xfId="6270"/>
    <cellStyle name="40% - Accent2 4 9" xfId="6271"/>
    <cellStyle name="40% - Accent2 5" xfId="6272"/>
    <cellStyle name="40% - Accent2 6" xfId="6273"/>
    <cellStyle name="40% - Accent2 7" xfId="6274"/>
    <cellStyle name="40% - Accent2 8" xfId="6275"/>
    <cellStyle name="40% - Accent2 9" xfId="6276"/>
    <cellStyle name="40% - Accent3" xfId="217"/>
    <cellStyle name="40% - Accent3 10" xfId="6277"/>
    <cellStyle name="40% - Accent3 11" xfId="6278"/>
    <cellStyle name="40% - Accent3 12" xfId="6279"/>
    <cellStyle name="40% - Accent3 13" xfId="6280"/>
    <cellStyle name="40% - Accent3 2" xfId="218"/>
    <cellStyle name="40% - Accent3 2 10" xfId="6281"/>
    <cellStyle name="40% - Accent3 2 11" xfId="6282"/>
    <cellStyle name="40% - Accent3 2 12" xfId="6283"/>
    <cellStyle name="40% - Accent3 2 2" xfId="219"/>
    <cellStyle name="40% - Accent3 2 2 10" xfId="6284"/>
    <cellStyle name="40% - Accent3 2 2 11" xfId="6285"/>
    <cellStyle name="40% - Accent3 2 2 12" xfId="6286"/>
    <cellStyle name="40% - Accent3 2 2 2" xfId="220"/>
    <cellStyle name="40% - Accent3 2 2 2 2" xfId="6287"/>
    <cellStyle name="40% - Accent3 2 2 2 3" xfId="6288"/>
    <cellStyle name="40% - Accent3 2 2 2 4" xfId="6289"/>
    <cellStyle name="40% - Accent3 2 2 2 5" xfId="6290"/>
    <cellStyle name="40% - Accent3 2 2 2 6" xfId="6291"/>
    <cellStyle name="40% - Accent3 2 2 2 7" xfId="6292"/>
    <cellStyle name="40% - Accent3 2 2 2 8" xfId="6293"/>
    <cellStyle name="40% - Accent3 2 2 2 9" xfId="6294"/>
    <cellStyle name="40% - Accent3 2 2 3" xfId="221"/>
    <cellStyle name="40% - Accent3 2 2 3 2" xfId="6295"/>
    <cellStyle name="40% - Accent3 2 2 3 3" xfId="6296"/>
    <cellStyle name="40% - Accent3 2 2 3 4" xfId="6297"/>
    <cellStyle name="40% - Accent3 2 2 3 5" xfId="6298"/>
    <cellStyle name="40% - Accent3 2 2 3 6" xfId="6299"/>
    <cellStyle name="40% - Accent3 2 2 3 7" xfId="6300"/>
    <cellStyle name="40% - Accent3 2 2 3 8" xfId="6301"/>
    <cellStyle name="40% - Accent3 2 2 3 9" xfId="6302"/>
    <cellStyle name="40% - Accent3 2 2 4" xfId="222"/>
    <cellStyle name="40% - Accent3 2 2 4 2" xfId="6303"/>
    <cellStyle name="40% - Accent3 2 2 4 3" xfId="6304"/>
    <cellStyle name="40% - Accent3 2 2 4 4" xfId="6305"/>
    <cellStyle name="40% - Accent3 2 2 4 5" xfId="6306"/>
    <cellStyle name="40% - Accent3 2 2 4 6" xfId="6307"/>
    <cellStyle name="40% - Accent3 2 2 4 7" xfId="6308"/>
    <cellStyle name="40% - Accent3 2 2 4 8" xfId="6309"/>
    <cellStyle name="40% - Accent3 2 2 4 9" xfId="6310"/>
    <cellStyle name="40% - Accent3 2 2 5" xfId="6311"/>
    <cellStyle name="40% - Accent3 2 2 6" xfId="6312"/>
    <cellStyle name="40% - Accent3 2 2 7" xfId="6313"/>
    <cellStyle name="40% - Accent3 2 2 8" xfId="6314"/>
    <cellStyle name="40% - Accent3 2 2 9" xfId="6315"/>
    <cellStyle name="40% - Accent3 2 3" xfId="223"/>
    <cellStyle name="40% - Accent3 2 3 10" xfId="6316"/>
    <cellStyle name="40% - Accent3 2 3 11" xfId="6317"/>
    <cellStyle name="40% - Accent3 2 3 2" xfId="224"/>
    <cellStyle name="40% - Accent3 2 3 2 2" xfId="6318"/>
    <cellStyle name="40% - Accent3 2 3 2 3" xfId="6319"/>
    <cellStyle name="40% - Accent3 2 3 2 4" xfId="6320"/>
    <cellStyle name="40% - Accent3 2 3 2 5" xfId="6321"/>
    <cellStyle name="40% - Accent3 2 3 2 6" xfId="6322"/>
    <cellStyle name="40% - Accent3 2 3 2 7" xfId="6323"/>
    <cellStyle name="40% - Accent3 2 3 2 8" xfId="6324"/>
    <cellStyle name="40% - Accent3 2 3 2 9" xfId="6325"/>
    <cellStyle name="40% - Accent3 2 3 3" xfId="225"/>
    <cellStyle name="40% - Accent3 2 3 3 2" xfId="6326"/>
    <cellStyle name="40% - Accent3 2 3 3 3" xfId="6327"/>
    <cellStyle name="40% - Accent3 2 3 3 4" xfId="6328"/>
    <cellStyle name="40% - Accent3 2 3 3 5" xfId="6329"/>
    <cellStyle name="40% - Accent3 2 3 3 6" xfId="6330"/>
    <cellStyle name="40% - Accent3 2 3 3 7" xfId="6331"/>
    <cellStyle name="40% - Accent3 2 3 3 8" xfId="6332"/>
    <cellStyle name="40% - Accent3 2 3 3 9" xfId="6333"/>
    <cellStyle name="40% - Accent3 2 3 4" xfId="6334"/>
    <cellStyle name="40% - Accent3 2 3 5" xfId="6335"/>
    <cellStyle name="40% - Accent3 2 3 6" xfId="6336"/>
    <cellStyle name="40% - Accent3 2 3 7" xfId="6337"/>
    <cellStyle name="40% - Accent3 2 3 8" xfId="6338"/>
    <cellStyle name="40% - Accent3 2 3 9" xfId="6339"/>
    <cellStyle name="40% - Accent3 2 4" xfId="226"/>
    <cellStyle name="40% - Accent3 2 4 2" xfId="6340"/>
    <cellStyle name="40% - Accent3 2 4 3" xfId="6341"/>
    <cellStyle name="40% - Accent3 2 4 4" xfId="6342"/>
    <cellStyle name="40% - Accent3 2 4 5" xfId="6343"/>
    <cellStyle name="40% - Accent3 2 4 6" xfId="6344"/>
    <cellStyle name="40% - Accent3 2 4 7" xfId="6345"/>
    <cellStyle name="40% - Accent3 2 4 8" xfId="6346"/>
    <cellStyle name="40% - Accent3 2 4 9" xfId="6347"/>
    <cellStyle name="40% - Accent3 2 5" xfId="6348"/>
    <cellStyle name="40% - Accent3 2 6" xfId="6349"/>
    <cellStyle name="40% - Accent3 2 7" xfId="6350"/>
    <cellStyle name="40% - Accent3 2 8" xfId="6351"/>
    <cellStyle name="40% - Accent3 2 9" xfId="6352"/>
    <cellStyle name="40% - Accent3 3" xfId="227"/>
    <cellStyle name="40% - Accent3 3 10" xfId="6353"/>
    <cellStyle name="40% - Accent3 3 11" xfId="6354"/>
    <cellStyle name="40% - Accent3 3 12" xfId="6355"/>
    <cellStyle name="40% - Accent3 3 2" xfId="228"/>
    <cellStyle name="40% - Accent3 3 2 2" xfId="6356"/>
    <cellStyle name="40% - Accent3 3 2 3" xfId="6357"/>
    <cellStyle name="40% - Accent3 3 2 4" xfId="6358"/>
    <cellStyle name="40% - Accent3 3 2 5" xfId="6359"/>
    <cellStyle name="40% - Accent3 3 2 6" xfId="6360"/>
    <cellStyle name="40% - Accent3 3 2 7" xfId="6361"/>
    <cellStyle name="40% - Accent3 3 2 8" xfId="6362"/>
    <cellStyle name="40% - Accent3 3 2 9" xfId="6363"/>
    <cellStyle name="40% - Accent3 3 3" xfId="229"/>
    <cellStyle name="40% - Accent3 3 3 2" xfId="6364"/>
    <cellStyle name="40% - Accent3 3 3 3" xfId="6365"/>
    <cellStyle name="40% - Accent3 3 3 4" xfId="6366"/>
    <cellStyle name="40% - Accent3 3 3 5" xfId="6367"/>
    <cellStyle name="40% - Accent3 3 3 6" xfId="6368"/>
    <cellStyle name="40% - Accent3 3 3 7" xfId="6369"/>
    <cellStyle name="40% - Accent3 3 3 8" xfId="6370"/>
    <cellStyle name="40% - Accent3 3 3 9" xfId="6371"/>
    <cellStyle name="40% - Accent3 3 4" xfId="230"/>
    <cellStyle name="40% - Accent3 3 4 2" xfId="6372"/>
    <cellStyle name="40% - Accent3 3 4 3" xfId="6373"/>
    <cellStyle name="40% - Accent3 3 4 4" xfId="6374"/>
    <cellStyle name="40% - Accent3 3 4 5" xfId="6375"/>
    <cellStyle name="40% - Accent3 3 4 6" xfId="6376"/>
    <cellStyle name="40% - Accent3 3 4 7" xfId="6377"/>
    <cellStyle name="40% - Accent3 3 4 8" xfId="6378"/>
    <cellStyle name="40% - Accent3 3 4 9" xfId="6379"/>
    <cellStyle name="40% - Accent3 3 5" xfId="6380"/>
    <cellStyle name="40% - Accent3 3 6" xfId="6381"/>
    <cellStyle name="40% - Accent3 3 7" xfId="6382"/>
    <cellStyle name="40% - Accent3 3 8" xfId="6383"/>
    <cellStyle name="40% - Accent3 3 9" xfId="6384"/>
    <cellStyle name="40% - Accent3 4" xfId="231"/>
    <cellStyle name="40% - Accent3 4 10" xfId="6385"/>
    <cellStyle name="40% - Accent3 4 11" xfId="6386"/>
    <cellStyle name="40% - Accent3 4 2" xfId="232"/>
    <cellStyle name="40% - Accent3 4 2 2" xfId="6387"/>
    <cellStyle name="40% - Accent3 4 2 3" xfId="6388"/>
    <cellStyle name="40% - Accent3 4 2 4" xfId="6389"/>
    <cellStyle name="40% - Accent3 4 2 5" xfId="6390"/>
    <cellStyle name="40% - Accent3 4 2 6" xfId="6391"/>
    <cellStyle name="40% - Accent3 4 2 7" xfId="6392"/>
    <cellStyle name="40% - Accent3 4 2 8" xfId="6393"/>
    <cellStyle name="40% - Accent3 4 2 9" xfId="6394"/>
    <cellStyle name="40% - Accent3 4 3" xfId="233"/>
    <cellStyle name="40% - Accent3 4 3 2" xfId="6395"/>
    <cellStyle name="40% - Accent3 4 3 3" xfId="6396"/>
    <cellStyle name="40% - Accent3 4 3 4" xfId="6397"/>
    <cellStyle name="40% - Accent3 4 3 5" xfId="6398"/>
    <cellStyle name="40% - Accent3 4 3 6" xfId="6399"/>
    <cellStyle name="40% - Accent3 4 3 7" xfId="6400"/>
    <cellStyle name="40% - Accent3 4 3 8" xfId="6401"/>
    <cellStyle name="40% - Accent3 4 3 9" xfId="6402"/>
    <cellStyle name="40% - Accent3 4 4" xfId="6403"/>
    <cellStyle name="40% - Accent3 4 5" xfId="6404"/>
    <cellStyle name="40% - Accent3 4 6" xfId="6405"/>
    <cellStyle name="40% - Accent3 4 7" xfId="6406"/>
    <cellStyle name="40% - Accent3 4 8" xfId="6407"/>
    <cellStyle name="40% - Accent3 4 9" xfId="6408"/>
    <cellStyle name="40% - Accent3 5" xfId="234"/>
    <cellStyle name="40% - Accent3 5 2" xfId="6409"/>
    <cellStyle name="40% - Accent3 5 3" xfId="6410"/>
    <cellStyle name="40% - Accent3 5 4" xfId="6411"/>
    <cellStyle name="40% - Accent3 5 5" xfId="6412"/>
    <cellStyle name="40% - Accent3 5 6" xfId="6413"/>
    <cellStyle name="40% - Accent3 5 7" xfId="6414"/>
    <cellStyle name="40% - Accent3 5 8" xfId="6415"/>
    <cellStyle name="40% - Accent3 5 9" xfId="6416"/>
    <cellStyle name="40% - Accent3 6" xfId="6417"/>
    <cellStyle name="40% - Accent3 7" xfId="6418"/>
    <cellStyle name="40% - Accent3 8" xfId="6419"/>
    <cellStyle name="40% - Accent3 9" xfId="6420"/>
    <cellStyle name="40% - Accent4" xfId="235"/>
    <cellStyle name="40% - Accent4 10" xfId="6421"/>
    <cellStyle name="40% - Accent4 11" xfId="6422"/>
    <cellStyle name="40% - Accent4 12" xfId="6423"/>
    <cellStyle name="40% - Accent4 2" xfId="236"/>
    <cellStyle name="40% - Accent4 2 10" xfId="6424"/>
    <cellStyle name="40% - Accent4 2 11" xfId="6425"/>
    <cellStyle name="40% - Accent4 2 12" xfId="6426"/>
    <cellStyle name="40% - Accent4 2 2" xfId="237"/>
    <cellStyle name="40% - Accent4 2 2 2" xfId="6427"/>
    <cellStyle name="40% - Accent4 2 2 3" xfId="6428"/>
    <cellStyle name="40% - Accent4 2 2 4" xfId="6429"/>
    <cellStyle name="40% - Accent4 2 2 5" xfId="6430"/>
    <cellStyle name="40% - Accent4 2 2 6" xfId="6431"/>
    <cellStyle name="40% - Accent4 2 2 7" xfId="6432"/>
    <cellStyle name="40% - Accent4 2 2 8" xfId="6433"/>
    <cellStyle name="40% - Accent4 2 2 9" xfId="6434"/>
    <cellStyle name="40% - Accent4 2 3" xfId="238"/>
    <cellStyle name="40% - Accent4 2 3 2" xfId="6435"/>
    <cellStyle name="40% - Accent4 2 3 3" xfId="6436"/>
    <cellStyle name="40% - Accent4 2 3 4" xfId="6437"/>
    <cellStyle name="40% - Accent4 2 3 5" xfId="6438"/>
    <cellStyle name="40% - Accent4 2 3 6" xfId="6439"/>
    <cellStyle name="40% - Accent4 2 3 7" xfId="6440"/>
    <cellStyle name="40% - Accent4 2 3 8" xfId="6441"/>
    <cellStyle name="40% - Accent4 2 3 9" xfId="6442"/>
    <cellStyle name="40% - Accent4 2 4" xfId="239"/>
    <cellStyle name="40% - Accent4 2 4 2" xfId="6443"/>
    <cellStyle name="40% - Accent4 2 4 3" xfId="6444"/>
    <cellStyle name="40% - Accent4 2 4 4" xfId="6445"/>
    <cellStyle name="40% - Accent4 2 4 5" xfId="6446"/>
    <cellStyle name="40% - Accent4 2 4 6" xfId="6447"/>
    <cellStyle name="40% - Accent4 2 4 7" xfId="6448"/>
    <cellStyle name="40% - Accent4 2 4 8" xfId="6449"/>
    <cellStyle name="40% - Accent4 2 4 9" xfId="6450"/>
    <cellStyle name="40% - Accent4 2 5" xfId="6451"/>
    <cellStyle name="40% - Accent4 2 6" xfId="6452"/>
    <cellStyle name="40% - Accent4 2 7" xfId="6453"/>
    <cellStyle name="40% - Accent4 2 8" xfId="6454"/>
    <cellStyle name="40% - Accent4 2 9" xfId="6455"/>
    <cellStyle name="40% - Accent4 3" xfId="240"/>
    <cellStyle name="40% - Accent4 3 10" xfId="6456"/>
    <cellStyle name="40% - Accent4 3 11" xfId="6457"/>
    <cellStyle name="40% - Accent4 3 2" xfId="241"/>
    <cellStyle name="40% - Accent4 3 2 2" xfId="6458"/>
    <cellStyle name="40% - Accent4 3 2 3" xfId="6459"/>
    <cellStyle name="40% - Accent4 3 2 4" xfId="6460"/>
    <cellStyle name="40% - Accent4 3 2 5" xfId="6461"/>
    <cellStyle name="40% - Accent4 3 2 6" xfId="6462"/>
    <cellStyle name="40% - Accent4 3 2 7" xfId="6463"/>
    <cellStyle name="40% - Accent4 3 2 8" xfId="6464"/>
    <cellStyle name="40% - Accent4 3 2 9" xfId="6465"/>
    <cellStyle name="40% - Accent4 3 3" xfId="242"/>
    <cellStyle name="40% - Accent4 3 3 2" xfId="6466"/>
    <cellStyle name="40% - Accent4 3 3 3" xfId="6467"/>
    <cellStyle name="40% - Accent4 3 3 4" xfId="6468"/>
    <cellStyle name="40% - Accent4 3 3 5" xfId="6469"/>
    <cellStyle name="40% - Accent4 3 3 6" xfId="6470"/>
    <cellStyle name="40% - Accent4 3 3 7" xfId="6471"/>
    <cellStyle name="40% - Accent4 3 3 8" xfId="6472"/>
    <cellStyle name="40% - Accent4 3 3 9" xfId="6473"/>
    <cellStyle name="40% - Accent4 3 4" xfId="6474"/>
    <cellStyle name="40% - Accent4 3 5" xfId="6475"/>
    <cellStyle name="40% - Accent4 3 6" xfId="6476"/>
    <cellStyle name="40% - Accent4 3 7" xfId="6477"/>
    <cellStyle name="40% - Accent4 3 8" xfId="6478"/>
    <cellStyle name="40% - Accent4 3 9" xfId="6479"/>
    <cellStyle name="40% - Accent4 4" xfId="243"/>
    <cellStyle name="40% - Accent4 4 2" xfId="6480"/>
    <cellStyle name="40% - Accent4 4 3" xfId="6481"/>
    <cellStyle name="40% - Accent4 4 4" xfId="6482"/>
    <cellStyle name="40% - Accent4 4 5" xfId="6483"/>
    <cellStyle name="40% - Accent4 4 6" xfId="6484"/>
    <cellStyle name="40% - Accent4 4 7" xfId="6485"/>
    <cellStyle name="40% - Accent4 4 8" xfId="6486"/>
    <cellStyle name="40% - Accent4 4 9" xfId="6487"/>
    <cellStyle name="40% - Accent4 5" xfId="6488"/>
    <cellStyle name="40% - Accent4 6" xfId="6489"/>
    <cellStyle name="40% - Accent4 7" xfId="6490"/>
    <cellStyle name="40% - Accent4 8" xfId="6491"/>
    <cellStyle name="40% - Accent4 9" xfId="6492"/>
    <cellStyle name="40% - Accent5" xfId="244"/>
    <cellStyle name="40% - Accent5 10" xfId="6493"/>
    <cellStyle name="40% - Accent5 11" xfId="6494"/>
    <cellStyle name="40% - Accent5 12" xfId="6495"/>
    <cellStyle name="40% - Accent5 2" xfId="245"/>
    <cellStyle name="40% - Accent5 2 10" xfId="6496"/>
    <cellStyle name="40% - Accent5 2 11" xfId="6497"/>
    <cellStyle name="40% - Accent5 2 12" xfId="6498"/>
    <cellStyle name="40% - Accent5 2 2" xfId="246"/>
    <cellStyle name="40% - Accent5 2 2 2" xfId="6499"/>
    <cellStyle name="40% - Accent5 2 2 3" xfId="6500"/>
    <cellStyle name="40% - Accent5 2 2 4" xfId="6501"/>
    <cellStyle name="40% - Accent5 2 2 5" xfId="6502"/>
    <cellStyle name="40% - Accent5 2 2 6" xfId="6503"/>
    <cellStyle name="40% - Accent5 2 2 7" xfId="6504"/>
    <cellStyle name="40% - Accent5 2 2 8" xfId="6505"/>
    <cellStyle name="40% - Accent5 2 2 9" xfId="6506"/>
    <cellStyle name="40% - Accent5 2 3" xfId="247"/>
    <cellStyle name="40% - Accent5 2 3 2" xfId="6507"/>
    <cellStyle name="40% - Accent5 2 3 3" xfId="6508"/>
    <cellStyle name="40% - Accent5 2 3 4" xfId="6509"/>
    <cellStyle name="40% - Accent5 2 3 5" xfId="6510"/>
    <cellStyle name="40% - Accent5 2 3 6" xfId="6511"/>
    <cellStyle name="40% - Accent5 2 3 7" xfId="6512"/>
    <cellStyle name="40% - Accent5 2 3 8" xfId="6513"/>
    <cellStyle name="40% - Accent5 2 3 9" xfId="6514"/>
    <cellStyle name="40% - Accent5 2 4" xfId="248"/>
    <cellStyle name="40% - Accent5 2 4 2" xfId="6515"/>
    <cellStyle name="40% - Accent5 2 4 3" xfId="6516"/>
    <cellStyle name="40% - Accent5 2 4 4" xfId="6517"/>
    <cellStyle name="40% - Accent5 2 4 5" xfId="6518"/>
    <cellStyle name="40% - Accent5 2 4 6" xfId="6519"/>
    <cellStyle name="40% - Accent5 2 4 7" xfId="6520"/>
    <cellStyle name="40% - Accent5 2 4 8" xfId="6521"/>
    <cellStyle name="40% - Accent5 2 4 9" xfId="6522"/>
    <cellStyle name="40% - Accent5 2 5" xfId="6523"/>
    <cellStyle name="40% - Accent5 2 6" xfId="6524"/>
    <cellStyle name="40% - Accent5 2 7" xfId="6525"/>
    <cellStyle name="40% - Accent5 2 8" xfId="6526"/>
    <cellStyle name="40% - Accent5 2 9" xfId="6527"/>
    <cellStyle name="40% - Accent5 3" xfId="249"/>
    <cellStyle name="40% - Accent5 3 10" xfId="6528"/>
    <cellStyle name="40% - Accent5 3 11" xfId="6529"/>
    <cellStyle name="40% - Accent5 3 2" xfId="250"/>
    <cellStyle name="40% - Accent5 3 2 2" xfId="6530"/>
    <cellStyle name="40% - Accent5 3 2 3" xfId="6531"/>
    <cellStyle name="40% - Accent5 3 2 4" xfId="6532"/>
    <cellStyle name="40% - Accent5 3 2 5" xfId="6533"/>
    <cellStyle name="40% - Accent5 3 2 6" xfId="6534"/>
    <cellStyle name="40% - Accent5 3 2 7" xfId="6535"/>
    <cellStyle name="40% - Accent5 3 2 8" xfId="6536"/>
    <cellStyle name="40% - Accent5 3 2 9" xfId="6537"/>
    <cellStyle name="40% - Accent5 3 3" xfId="251"/>
    <cellStyle name="40% - Accent5 3 3 2" xfId="6538"/>
    <cellStyle name="40% - Accent5 3 3 3" xfId="6539"/>
    <cellStyle name="40% - Accent5 3 3 4" xfId="6540"/>
    <cellStyle name="40% - Accent5 3 3 5" xfId="6541"/>
    <cellStyle name="40% - Accent5 3 3 6" xfId="6542"/>
    <cellStyle name="40% - Accent5 3 3 7" xfId="6543"/>
    <cellStyle name="40% - Accent5 3 3 8" xfId="6544"/>
    <cellStyle name="40% - Accent5 3 3 9" xfId="6545"/>
    <cellStyle name="40% - Accent5 3 4" xfId="6546"/>
    <cellStyle name="40% - Accent5 3 5" xfId="6547"/>
    <cellStyle name="40% - Accent5 3 6" xfId="6548"/>
    <cellStyle name="40% - Accent5 3 7" xfId="6549"/>
    <cellStyle name="40% - Accent5 3 8" xfId="6550"/>
    <cellStyle name="40% - Accent5 3 9" xfId="6551"/>
    <cellStyle name="40% - Accent5 4" xfId="252"/>
    <cellStyle name="40% - Accent5 4 2" xfId="6552"/>
    <cellStyle name="40% - Accent5 4 3" xfId="6553"/>
    <cellStyle name="40% - Accent5 4 4" xfId="6554"/>
    <cellStyle name="40% - Accent5 4 5" xfId="6555"/>
    <cellStyle name="40% - Accent5 4 6" xfId="6556"/>
    <cellStyle name="40% - Accent5 4 7" xfId="6557"/>
    <cellStyle name="40% - Accent5 4 8" xfId="6558"/>
    <cellStyle name="40% - Accent5 4 9" xfId="6559"/>
    <cellStyle name="40% - Accent5 5" xfId="6560"/>
    <cellStyle name="40% - Accent5 6" xfId="6561"/>
    <cellStyle name="40% - Accent5 7" xfId="6562"/>
    <cellStyle name="40% - Accent5 8" xfId="6563"/>
    <cellStyle name="40% - Accent5 9" xfId="6564"/>
    <cellStyle name="40% - Accent6" xfId="253"/>
    <cellStyle name="40% - Accent6 10" xfId="6565"/>
    <cellStyle name="40% - Accent6 11" xfId="6566"/>
    <cellStyle name="40% - Accent6 12" xfId="6567"/>
    <cellStyle name="40% - Accent6 2" xfId="254"/>
    <cellStyle name="40% - Accent6 2 10" xfId="6568"/>
    <cellStyle name="40% - Accent6 2 11" xfId="6569"/>
    <cellStyle name="40% - Accent6 2 12" xfId="6570"/>
    <cellStyle name="40% - Accent6 2 2" xfId="255"/>
    <cellStyle name="40% - Accent6 2 2 2" xfId="6571"/>
    <cellStyle name="40% - Accent6 2 2 3" xfId="6572"/>
    <cellStyle name="40% - Accent6 2 2 4" xfId="6573"/>
    <cellStyle name="40% - Accent6 2 2 5" xfId="6574"/>
    <cellStyle name="40% - Accent6 2 2 6" xfId="6575"/>
    <cellStyle name="40% - Accent6 2 2 7" xfId="6576"/>
    <cellStyle name="40% - Accent6 2 2 8" xfId="6577"/>
    <cellStyle name="40% - Accent6 2 2 9" xfId="6578"/>
    <cellStyle name="40% - Accent6 2 3" xfId="256"/>
    <cellStyle name="40% - Accent6 2 3 2" xfId="6579"/>
    <cellStyle name="40% - Accent6 2 3 3" xfId="6580"/>
    <cellStyle name="40% - Accent6 2 3 4" xfId="6581"/>
    <cellStyle name="40% - Accent6 2 3 5" xfId="6582"/>
    <cellStyle name="40% - Accent6 2 3 6" xfId="6583"/>
    <cellStyle name="40% - Accent6 2 3 7" xfId="6584"/>
    <cellStyle name="40% - Accent6 2 3 8" xfId="6585"/>
    <cellStyle name="40% - Accent6 2 3 9" xfId="6586"/>
    <cellStyle name="40% - Accent6 2 4" xfId="257"/>
    <cellStyle name="40% - Accent6 2 4 2" xfId="6587"/>
    <cellStyle name="40% - Accent6 2 4 3" xfId="6588"/>
    <cellStyle name="40% - Accent6 2 4 4" xfId="6589"/>
    <cellStyle name="40% - Accent6 2 4 5" xfId="6590"/>
    <cellStyle name="40% - Accent6 2 4 6" xfId="6591"/>
    <cellStyle name="40% - Accent6 2 4 7" xfId="6592"/>
    <cellStyle name="40% - Accent6 2 4 8" xfId="6593"/>
    <cellStyle name="40% - Accent6 2 4 9" xfId="6594"/>
    <cellStyle name="40% - Accent6 2 5" xfId="6595"/>
    <cellStyle name="40% - Accent6 2 6" xfId="6596"/>
    <cellStyle name="40% - Accent6 2 7" xfId="6597"/>
    <cellStyle name="40% - Accent6 2 8" xfId="6598"/>
    <cellStyle name="40% - Accent6 2 9" xfId="6599"/>
    <cellStyle name="40% - Accent6 3" xfId="258"/>
    <cellStyle name="40% - Accent6 3 10" xfId="6600"/>
    <cellStyle name="40% - Accent6 3 11" xfId="6601"/>
    <cellStyle name="40% - Accent6 3 2" xfId="259"/>
    <cellStyle name="40% - Accent6 3 2 2" xfId="6602"/>
    <cellStyle name="40% - Accent6 3 2 3" xfId="6603"/>
    <cellStyle name="40% - Accent6 3 2 4" xfId="6604"/>
    <cellStyle name="40% - Accent6 3 2 5" xfId="6605"/>
    <cellStyle name="40% - Accent6 3 2 6" xfId="6606"/>
    <cellStyle name="40% - Accent6 3 2 7" xfId="6607"/>
    <cellStyle name="40% - Accent6 3 2 8" xfId="6608"/>
    <cellStyle name="40% - Accent6 3 2 9" xfId="6609"/>
    <cellStyle name="40% - Accent6 3 3" xfId="260"/>
    <cellStyle name="40% - Accent6 3 3 2" xfId="6610"/>
    <cellStyle name="40% - Accent6 3 3 3" xfId="6611"/>
    <cellStyle name="40% - Accent6 3 3 4" xfId="6612"/>
    <cellStyle name="40% - Accent6 3 3 5" xfId="6613"/>
    <cellStyle name="40% - Accent6 3 3 6" xfId="6614"/>
    <cellStyle name="40% - Accent6 3 3 7" xfId="6615"/>
    <cellStyle name="40% - Accent6 3 3 8" xfId="6616"/>
    <cellStyle name="40% - Accent6 3 3 9" xfId="6617"/>
    <cellStyle name="40% - Accent6 3 4" xfId="6618"/>
    <cellStyle name="40% - Accent6 3 5" xfId="6619"/>
    <cellStyle name="40% - Accent6 3 6" xfId="6620"/>
    <cellStyle name="40% - Accent6 3 7" xfId="6621"/>
    <cellStyle name="40% - Accent6 3 8" xfId="6622"/>
    <cellStyle name="40% - Accent6 3 9" xfId="6623"/>
    <cellStyle name="40% - Accent6 4" xfId="261"/>
    <cellStyle name="40% - Accent6 4 2" xfId="6624"/>
    <cellStyle name="40% - Accent6 4 3" xfId="6625"/>
    <cellStyle name="40% - Accent6 4 4" xfId="6626"/>
    <cellStyle name="40% - Accent6 4 5" xfId="6627"/>
    <cellStyle name="40% - Accent6 4 6" xfId="6628"/>
    <cellStyle name="40% - Accent6 4 7" xfId="6629"/>
    <cellStyle name="40% - Accent6 4 8" xfId="6630"/>
    <cellStyle name="40% - Accent6 4 9" xfId="6631"/>
    <cellStyle name="40% - Accent6 5" xfId="6632"/>
    <cellStyle name="40% - Accent6 6" xfId="6633"/>
    <cellStyle name="40% - Accent6 7" xfId="6634"/>
    <cellStyle name="40% - Accent6 8" xfId="6635"/>
    <cellStyle name="40% - Accent6 9" xfId="6636"/>
    <cellStyle name="40% - Акцент1 2" xfId="262"/>
    <cellStyle name="40% - Акцент1 2 2" xfId="263"/>
    <cellStyle name="40% - Акцент1 2 2 2" xfId="264"/>
    <cellStyle name="40% - Акцент1 2 2 2 2" xfId="265"/>
    <cellStyle name="40% - Акцент1 2 2 2 3" xfId="266"/>
    <cellStyle name="40% - Акцент1 2 2 3" xfId="267"/>
    <cellStyle name="40% - Акцент1 2 2 4" xfId="268"/>
    <cellStyle name="40% - Акцент1 2 2 4 2" xfId="6637"/>
    <cellStyle name="40% - Акцент1 2 2 4 3" xfId="6638"/>
    <cellStyle name="40% - Акцент1 2 2 4 4" xfId="6639"/>
    <cellStyle name="40% - Акцент1 2 2 4 5" xfId="6640"/>
    <cellStyle name="40% - Акцент1 2 2 5" xfId="6641"/>
    <cellStyle name="40% - Акцент1 2 2 6" xfId="6642"/>
    <cellStyle name="40% - Акцент1 2 2 7" xfId="6643"/>
    <cellStyle name="40% - Акцент1 2 2 8" xfId="6644"/>
    <cellStyle name="40% - Акцент1 2 3" xfId="269"/>
    <cellStyle name="40% - Акцент1 2 3 2" xfId="270"/>
    <cellStyle name="40% - Акцент1 2 3 3" xfId="271"/>
    <cellStyle name="40% - Акцент1 2 4" xfId="272"/>
    <cellStyle name="40% - Акцент1 2 5" xfId="273"/>
    <cellStyle name="40% - Акцент1 2 5 2" xfId="6645"/>
    <cellStyle name="40% - Акцент1 2 5 3" xfId="6646"/>
    <cellStyle name="40% - Акцент1 2 5 4" xfId="6647"/>
    <cellStyle name="40% - Акцент1 2 5 5" xfId="6648"/>
    <cellStyle name="40% - Акцент1 2 6" xfId="6649"/>
    <cellStyle name="40% - Акцент1 2 7" xfId="6650"/>
    <cellStyle name="40% - Акцент1 2 8" xfId="6651"/>
    <cellStyle name="40% - Акцент1 2 9" xfId="6652"/>
    <cellStyle name="40% - Акцент1 2_Расчет программы" xfId="274"/>
    <cellStyle name="40% - Акцент2 2" xfId="275"/>
    <cellStyle name="40% - Акцент2 2 2" xfId="276"/>
    <cellStyle name="40% - Акцент2 2 2 2" xfId="277"/>
    <cellStyle name="40% - Акцент2 2 2 2 2" xfId="278"/>
    <cellStyle name="40% - Акцент2 2 2 2 3" xfId="279"/>
    <cellStyle name="40% - Акцент2 2 2 3" xfId="280"/>
    <cellStyle name="40% - Акцент2 2 2 4" xfId="281"/>
    <cellStyle name="40% - Акцент2 2 2 4 2" xfId="6653"/>
    <cellStyle name="40% - Акцент2 2 2 4 3" xfId="6654"/>
    <cellStyle name="40% - Акцент2 2 2 4 4" xfId="6655"/>
    <cellStyle name="40% - Акцент2 2 2 4 5" xfId="6656"/>
    <cellStyle name="40% - Акцент2 2 2 5" xfId="6657"/>
    <cellStyle name="40% - Акцент2 2 2 6" xfId="6658"/>
    <cellStyle name="40% - Акцент2 2 2 7" xfId="6659"/>
    <cellStyle name="40% - Акцент2 2 2 8" xfId="6660"/>
    <cellStyle name="40% - Акцент2 2 3" xfId="282"/>
    <cellStyle name="40% - Акцент2 2 3 2" xfId="283"/>
    <cellStyle name="40% - Акцент2 2 3 3" xfId="284"/>
    <cellStyle name="40% - Акцент2 2 4" xfId="285"/>
    <cellStyle name="40% - Акцент2 2 5" xfId="286"/>
    <cellStyle name="40% - Акцент2 2 5 2" xfId="6661"/>
    <cellStyle name="40% - Акцент2 2 5 3" xfId="6662"/>
    <cellStyle name="40% - Акцент2 2 5 4" xfId="6663"/>
    <cellStyle name="40% - Акцент2 2 5 5" xfId="6664"/>
    <cellStyle name="40% - Акцент2 2 6" xfId="6665"/>
    <cellStyle name="40% - Акцент2 2 7" xfId="6666"/>
    <cellStyle name="40% - Акцент2 2 8" xfId="6667"/>
    <cellStyle name="40% - Акцент2 2 9" xfId="6668"/>
    <cellStyle name="40% - Акцент2 2_Расчет программы" xfId="287"/>
    <cellStyle name="40% - Акцент3 2" xfId="288"/>
    <cellStyle name="40% - Акцент3 2 2" xfId="289"/>
    <cellStyle name="40% - Акцент3 2 2 2" xfId="290"/>
    <cellStyle name="40% - Акцент3 2 2 2 2" xfId="291"/>
    <cellStyle name="40% - Акцент3 2 2 2 3" xfId="292"/>
    <cellStyle name="40% - Акцент3 2 2 3" xfId="293"/>
    <cellStyle name="40% - Акцент3 2 2 4" xfId="294"/>
    <cellStyle name="40% - Акцент3 2 2 4 2" xfId="6669"/>
    <cellStyle name="40% - Акцент3 2 2 4 3" xfId="6670"/>
    <cellStyle name="40% - Акцент3 2 2 4 4" xfId="6671"/>
    <cellStyle name="40% - Акцент3 2 2 4 5" xfId="6672"/>
    <cellStyle name="40% - Акцент3 2 2 5" xfId="6673"/>
    <cellStyle name="40% - Акцент3 2 2 6" xfId="6674"/>
    <cellStyle name="40% - Акцент3 2 2 7" xfId="6675"/>
    <cellStyle name="40% - Акцент3 2 2 8" xfId="6676"/>
    <cellStyle name="40% - Акцент3 2 3" xfId="295"/>
    <cellStyle name="40% - Акцент3 2 3 2" xfId="296"/>
    <cellStyle name="40% - Акцент3 2 3 3" xfId="297"/>
    <cellStyle name="40% - Акцент3 2 4" xfId="298"/>
    <cellStyle name="40% - Акцент3 2 5" xfId="299"/>
    <cellStyle name="40% - Акцент3 2 5 2" xfId="6677"/>
    <cellStyle name="40% - Акцент3 2 5 3" xfId="6678"/>
    <cellStyle name="40% - Акцент3 2 5 4" xfId="6679"/>
    <cellStyle name="40% - Акцент3 2 5 5" xfId="6680"/>
    <cellStyle name="40% - Акцент3 2 6" xfId="6681"/>
    <cellStyle name="40% - Акцент3 2 7" xfId="6682"/>
    <cellStyle name="40% - Акцент3 2 8" xfId="6683"/>
    <cellStyle name="40% - Акцент3 2 9" xfId="6684"/>
    <cellStyle name="40% - Акцент3 2_Расчет программы" xfId="300"/>
    <cellStyle name="40% - Акцент4 2" xfId="301"/>
    <cellStyle name="40% - Акцент4 2 2" xfId="302"/>
    <cellStyle name="40% - Акцент4 2 2 2" xfId="303"/>
    <cellStyle name="40% - Акцент4 2 2 2 2" xfId="304"/>
    <cellStyle name="40% - Акцент4 2 2 2 3" xfId="305"/>
    <cellStyle name="40% - Акцент4 2 2 3" xfId="306"/>
    <cellStyle name="40% - Акцент4 2 2 4" xfId="307"/>
    <cellStyle name="40% - Акцент4 2 2 4 2" xfId="6685"/>
    <cellStyle name="40% - Акцент4 2 2 4 3" xfId="6686"/>
    <cellStyle name="40% - Акцент4 2 2 4 4" xfId="6687"/>
    <cellStyle name="40% - Акцент4 2 2 4 5" xfId="6688"/>
    <cellStyle name="40% - Акцент4 2 2 5" xfId="6689"/>
    <cellStyle name="40% - Акцент4 2 2 6" xfId="6690"/>
    <cellStyle name="40% - Акцент4 2 2 7" xfId="6691"/>
    <cellStyle name="40% - Акцент4 2 2 8" xfId="6692"/>
    <cellStyle name="40% - Акцент4 2 3" xfId="308"/>
    <cellStyle name="40% - Акцент4 2 3 2" xfId="309"/>
    <cellStyle name="40% - Акцент4 2 3 3" xfId="310"/>
    <cellStyle name="40% - Акцент4 2 4" xfId="311"/>
    <cellStyle name="40% - Акцент4 2 5" xfId="312"/>
    <cellStyle name="40% - Акцент4 2 5 2" xfId="6693"/>
    <cellStyle name="40% - Акцент4 2 5 3" xfId="6694"/>
    <cellStyle name="40% - Акцент4 2 5 4" xfId="6695"/>
    <cellStyle name="40% - Акцент4 2 5 5" xfId="6696"/>
    <cellStyle name="40% - Акцент4 2 6" xfId="6697"/>
    <cellStyle name="40% - Акцент4 2 7" xfId="6698"/>
    <cellStyle name="40% - Акцент4 2 8" xfId="6699"/>
    <cellStyle name="40% - Акцент4 2 9" xfId="6700"/>
    <cellStyle name="40% - Акцент4 2_Расчет программы" xfId="313"/>
    <cellStyle name="40% - Акцент5 2" xfId="314"/>
    <cellStyle name="40% - Акцент5 2 2" xfId="315"/>
    <cellStyle name="40% - Акцент5 2 2 2" xfId="316"/>
    <cellStyle name="40% - Акцент5 2 2 2 2" xfId="317"/>
    <cellStyle name="40% - Акцент5 2 2 2 3" xfId="318"/>
    <cellStyle name="40% - Акцент5 2 2 3" xfId="319"/>
    <cellStyle name="40% - Акцент5 2 2 4" xfId="320"/>
    <cellStyle name="40% - Акцент5 2 2 4 2" xfId="6701"/>
    <cellStyle name="40% - Акцент5 2 2 4 3" xfId="6702"/>
    <cellStyle name="40% - Акцент5 2 2 4 4" xfId="6703"/>
    <cellStyle name="40% - Акцент5 2 2 4 5" xfId="6704"/>
    <cellStyle name="40% - Акцент5 2 2 5" xfId="6705"/>
    <cellStyle name="40% - Акцент5 2 2 6" xfId="6706"/>
    <cellStyle name="40% - Акцент5 2 2 7" xfId="6707"/>
    <cellStyle name="40% - Акцент5 2 2 8" xfId="6708"/>
    <cellStyle name="40% - Акцент5 2 3" xfId="321"/>
    <cellStyle name="40% - Акцент5 2 3 2" xfId="322"/>
    <cellStyle name="40% - Акцент5 2 3 3" xfId="323"/>
    <cellStyle name="40% - Акцент5 2 4" xfId="324"/>
    <cellStyle name="40% - Акцент5 2 5" xfId="325"/>
    <cellStyle name="40% - Акцент5 2 5 2" xfId="6709"/>
    <cellStyle name="40% - Акцент5 2 5 3" xfId="6710"/>
    <cellStyle name="40% - Акцент5 2 5 4" xfId="6711"/>
    <cellStyle name="40% - Акцент5 2 5 5" xfId="6712"/>
    <cellStyle name="40% - Акцент5 2 6" xfId="6713"/>
    <cellStyle name="40% - Акцент5 2 7" xfId="6714"/>
    <cellStyle name="40% - Акцент5 2 8" xfId="6715"/>
    <cellStyle name="40% - Акцент5 2 9" xfId="6716"/>
    <cellStyle name="40% - Акцент5 2_Расчет программы" xfId="326"/>
    <cellStyle name="40% - Акцент6 2" xfId="327"/>
    <cellStyle name="40% - Акцент6 2 2" xfId="328"/>
    <cellStyle name="40% - Акцент6 2 2 2" xfId="329"/>
    <cellStyle name="40% - Акцент6 2 2 2 2" xfId="330"/>
    <cellStyle name="40% - Акцент6 2 2 2 3" xfId="331"/>
    <cellStyle name="40% - Акцент6 2 2 3" xfId="332"/>
    <cellStyle name="40% - Акцент6 2 2 4" xfId="333"/>
    <cellStyle name="40% - Акцент6 2 2 4 2" xfId="6717"/>
    <cellStyle name="40% - Акцент6 2 2 4 3" xfId="6718"/>
    <cellStyle name="40% - Акцент6 2 2 4 4" xfId="6719"/>
    <cellStyle name="40% - Акцент6 2 2 4 5" xfId="6720"/>
    <cellStyle name="40% - Акцент6 2 2 5" xfId="6721"/>
    <cellStyle name="40% - Акцент6 2 2 6" xfId="6722"/>
    <cellStyle name="40% - Акцент6 2 2 7" xfId="6723"/>
    <cellStyle name="40% - Акцент6 2 2 8" xfId="6724"/>
    <cellStyle name="40% - Акцент6 2 3" xfId="334"/>
    <cellStyle name="40% - Акцент6 2 3 2" xfId="335"/>
    <cellStyle name="40% - Акцент6 2 3 3" xfId="336"/>
    <cellStyle name="40% - Акцент6 2 4" xfId="337"/>
    <cellStyle name="40% - Акцент6 2 5" xfId="338"/>
    <cellStyle name="40% - Акцент6 2 5 2" xfId="6725"/>
    <cellStyle name="40% - Акцент6 2 5 3" xfId="6726"/>
    <cellStyle name="40% - Акцент6 2 5 4" xfId="6727"/>
    <cellStyle name="40% - Акцент6 2 5 5" xfId="6728"/>
    <cellStyle name="40% - Акцент6 2 6" xfId="6729"/>
    <cellStyle name="40% - Акцент6 2 7" xfId="6730"/>
    <cellStyle name="40% - Акцент6 2 8" xfId="6731"/>
    <cellStyle name="40% - Акцент6 2 9" xfId="6732"/>
    <cellStyle name="40% - Акцент6 2_Расчет программы" xfId="339"/>
    <cellStyle name="60% - Accent1" xfId="340"/>
    <cellStyle name="60% - Accent1 2" xfId="341"/>
    <cellStyle name="60% - Accent1 2 2" xfId="342"/>
    <cellStyle name="60% - Accent1 2 2 2" xfId="6733"/>
    <cellStyle name="60% - Accent1 2 2 3" xfId="6734"/>
    <cellStyle name="60% - Accent1 2 2 4" xfId="6735"/>
    <cellStyle name="60% - Accent1 2 2 5" xfId="6736"/>
    <cellStyle name="60% - Accent1 2 2 6" xfId="6737"/>
    <cellStyle name="60% - Accent1 2 3" xfId="343"/>
    <cellStyle name="60% - Accent1 2 3 2" xfId="6738"/>
    <cellStyle name="60% - Accent1 2 3 3" xfId="6739"/>
    <cellStyle name="60% - Accent1 2 3 4" xfId="6740"/>
    <cellStyle name="60% - Accent1 2 3 5" xfId="6741"/>
    <cellStyle name="60% - Accent1 2 3 6" xfId="6742"/>
    <cellStyle name="60% - Accent1 2 4" xfId="6743"/>
    <cellStyle name="60% - Accent1 2 5" xfId="6744"/>
    <cellStyle name="60% - Accent1 2 6" xfId="6745"/>
    <cellStyle name="60% - Accent1 2 7" xfId="6746"/>
    <cellStyle name="60% - Accent1 2 8" xfId="6747"/>
    <cellStyle name="60% - Accent1 3" xfId="344"/>
    <cellStyle name="60% - Accent1 3 2" xfId="6748"/>
    <cellStyle name="60% - Accent1 3 3" xfId="6749"/>
    <cellStyle name="60% - Accent1 3 4" xfId="6750"/>
    <cellStyle name="60% - Accent1 3 5" xfId="6751"/>
    <cellStyle name="60% - Accent1 3 6" xfId="6752"/>
    <cellStyle name="60% - Accent1 4" xfId="345"/>
    <cellStyle name="60% - Accent1 4 2" xfId="6753"/>
    <cellStyle name="60% - Accent1 4 3" xfId="6754"/>
    <cellStyle name="60% - Accent1 4 4" xfId="6755"/>
    <cellStyle name="60% - Accent1 4 5" xfId="6756"/>
    <cellStyle name="60% - Accent1 5" xfId="6757"/>
    <cellStyle name="60% - Accent1 6" xfId="6758"/>
    <cellStyle name="60% - Accent1 7" xfId="6759"/>
    <cellStyle name="60% - Accent1 8" xfId="6760"/>
    <cellStyle name="60% - Accent2" xfId="346"/>
    <cellStyle name="60% - Accent2 2" xfId="347"/>
    <cellStyle name="60% - Accent2 2 2" xfId="348"/>
    <cellStyle name="60% - Accent2 2 2 2" xfId="6761"/>
    <cellStyle name="60% - Accent2 2 2 3" xfId="6762"/>
    <cellStyle name="60% - Accent2 2 2 4" xfId="6763"/>
    <cellStyle name="60% - Accent2 2 2 5" xfId="6764"/>
    <cellStyle name="60% - Accent2 2 2 6" xfId="6765"/>
    <cellStyle name="60% - Accent2 2 3" xfId="349"/>
    <cellStyle name="60% - Accent2 2 3 2" xfId="6766"/>
    <cellStyle name="60% - Accent2 2 3 3" xfId="6767"/>
    <cellStyle name="60% - Accent2 2 3 4" xfId="6768"/>
    <cellStyle name="60% - Accent2 2 3 5" xfId="6769"/>
    <cellStyle name="60% - Accent2 2 3 6" xfId="6770"/>
    <cellStyle name="60% - Accent2 2 4" xfId="6771"/>
    <cellStyle name="60% - Accent2 2 5" xfId="6772"/>
    <cellStyle name="60% - Accent2 2 6" xfId="6773"/>
    <cellStyle name="60% - Accent2 2 7" xfId="6774"/>
    <cellStyle name="60% - Accent2 2 8" xfId="6775"/>
    <cellStyle name="60% - Accent2 3" xfId="350"/>
    <cellStyle name="60% - Accent2 3 2" xfId="6776"/>
    <cellStyle name="60% - Accent2 3 3" xfId="6777"/>
    <cellStyle name="60% - Accent2 3 4" xfId="6778"/>
    <cellStyle name="60% - Accent2 3 5" xfId="6779"/>
    <cellStyle name="60% - Accent2 3 6" xfId="6780"/>
    <cellStyle name="60% - Accent2 4" xfId="351"/>
    <cellStyle name="60% - Accent2 4 2" xfId="6781"/>
    <cellStyle name="60% - Accent2 4 3" xfId="6782"/>
    <cellStyle name="60% - Accent2 4 4" xfId="6783"/>
    <cellStyle name="60% - Accent2 4 5" xfId="6784"/>
    <cellStyle name="60% - Accent2 5" xfId="6785"/>
    <cellStyle name="60% - Accent2 6" xfId="6786"/>
    <cellStyle name="60% - Accent2 7" xfId="6787"/>
    <cellStyle name="60% - Accent2 8" xfId="6788"/>
    <cellStyle name="60% - Accent3" xfId="352"/>
    <cellStyle name="60% - Accent3 2" xfId="353"/>
    <cellStyle name="60% - Accent3 2 2" xfId="354"/>
    <cellStyle name="60% - Accent3 2 2 2" xfId="6789"/>
    <cellStyle name="60% - Accent3 2 2 3" xfId="6790"/>
    <cellStyle name="60% - Accent3 2 2 4" xfId="6791"/>
    <cellStyle name="60% - Accent3 2 2 5" xfId="6792"/>
    <cellStyle name="60% - Accent3 2 2 6" xfId="6793"/>
    <cellStyle name="60% - Accent3 2 3" xfId="355"/>
    <cellStyle name="60% - Accent3 2 3 2" xfId="6794"/>
    <cellStyle name="60% - Accent3 2 3 3" xfId="6795"/>
    <cellStyle name="60% - Accent3 2 3 4" xfId="6796"/>
    <cellStyle name="60% - Accent3 2 3 5" xfId="6797"/>
    <cellStyle name="60% - Accent3 2 3 6" xfId="6798"/>
    <cellStyle name="60% - Accent3 2 4" xfId="6799"/>
    <cellStyle name="60% - Accent3 2 5" xfId="6800"/>
    <cellStyle name="60% - Accent3 2 6" xfId="6801"/>
    <cellStyle name="60% - Accent3 2 7" xfId="6802"/>
    <cellStyle name="60% - Accent3 2 8" xfId="6803"/>
    <cellStyle name="60% - Accent3 3" xfId="356"/>
    <cellStyle name="60% - Accent3 3 2" xfId="6804"/>
    <cellStyle name="60% - Accent3 3 3" xfId="6805"/>
    <cellStyle name="60% - Accent3 3 4" xfId="6806"/>
    <cellStyle name="60% - Accent3 3 5" xfId="6807"/>
    <cellStyle name="60% - Accent3 3 6" xfId="6808"/>
    <cellStyle name="60% - Accent3 4" xfId="357"/>
    <cellStyle name="60% - Accent3 4 2" xfId="6809"/>
    <cellStyle name="60% - Accent3 4 3" xfId="6810"/>
    <cellStyle name="60% - Accent3 4 4" xfId="6811"/>
    <cellStyle name="60% - Accent3 4 5" xfId="6812"/>
    <cellStyle name="60% - Accent3 5" xfId="6813"/>
    <cellStyle name="60% - Accent3 6" xfId="6814"/>
    <cellStyle name="60% - Accent3 7" xfId="6815"/>
    <cellStyle name="60% - Accent3 8" xfId="6816"/>
    <cellStyle name="60% - Accent4" xfId="358"/>
    <cellStyle name="60% - Accent4 2" xfId="359"/>
    <cellStyle name="60% - Accent4 2 2" xfId="360"/>
    <cellStyle name="60% - Accent4 2 2 2" xfId="6817"/>
    <cellStyle name="60% - Accent4 2 2 3" xfId="6818"/>
    <cellStyle name="60% - Accent4 2 2 4" xfId="6819"/>
    <cellStyle name="60% - Accent4 2 2 5" xfId="6820"/>
    <cellStyle name="60% - Accent4 2 2 6" xfId="6821"/>
    <cellStyle name="60% - Accent4 2 3" xfId="361"/>
    <cellStyle name="60% - Accent4 2 3 2" xfId="6822"/>
    <cellStyle name="60% - Accent4 2 3 3" xfId="6823"/>
    <cellStyle name="60% - Accent4 2 3 4" xfId="6824"/>
    <cellStyle name="60% - Accent4 2 3 5" xfId="6825"/>
    <cellStyle name="60% - Accent4 2 3 6" xfId="6826"/>
    <cellStyle name="60% - Accent4 2 4" xfId="6827"/>
    <cellStyle name="60% - Accent4 2 5" xfId="6828"/>
    <cellStyle name="60% - Accent4 2 6" xfId="6829"/>
    <cellStyle name="60% - Accent4 2 7" xfId="6830"/>
    <cellStyle name="60% - Accent4 2 8" xfId="6831"/>
    <cellStyle name="60% - Accent4 3" xfId="362"/>
    <cellStyle name="60% - Accent4 3 2" xfId="6832"/>
    <cellStyle name="60% - Accent4 3 3" xfId="6833"/>
    <cellStyle name="60% - Accent4 3 4" xfId="6834"/>
    <cellStyle name="60% - Accent4 3 5" xfId="6835"/>
    <cellStyle name="60% - Accent4 3 6" xfId="6836"/>
    <cellStyle name="60% - Accent4 4" xfId="363"/>
    <cellStyle name="60% - Accent4 4 2" xfId="6837"/>
    <cellStyle name="60% - Accent4 4 3" xfId="6838"/>
    <cellStyle name="60% - Accent4 4 4" xfId="6839"/>
    <cellStyle name="60% - Accent4 4 5" xfId="6840"/>
    <cellStyle name="60% - Accent4 5" xfId="6841"/>
    <cellStyle name="60% - Accent4 6" xfId="6842"/>
    <cellStyle name="60% - Accent4 7" xfId="6843"/>
    <cellStyle name="60% - Accent4 8" xfId="6844"/>
    <cellStyle name="60% - Accent5" xfId="364"/>
    <cellStyle name="60% - Accent5 2" xfId="365"/>
    <cellStyle name="60% - Accent5 2 2" xfId="366"/>
    <cellStyle name="60% - Accent5 2 2 2" xfId="6845"/>
    <cellStyle name="60% - Accent5 2 2 3" xfId="6846"/>
    <cellStyle name="60% - Accent5 2 2 4" xfId="6847"/>
    <cellStyle name="60% - Accent5 2 2 5" xfId="6848"/>
    <cellStyle name="60% - Accent5 2 2 6" xfId="6849"/>
    <cellStyle name="60% - Accent5 2 3" xfId="367"/>
    <cellStyle name="60% - Accent5 2 3 2" xfId="6850"/>
    <cellStyle name="60% - Accent5 2 3 3" xfId="6851"/>
    <cellStyle name="60% - Accent5 2 3 4" xfId="6852"/>
    <cellStyle name="60% - Accent5 2 3 5" xfId="6853"/>
    <cellStyle name="60% - Accent5 2 3 6" xfId="6854"/>
    <cellStyle name="60% - Accent5 2 4" xfId="6855"/>
    <cellStyle name="60% - Accent5 2 5" xfId="6856"/>
    <cellStyle name="60% - Accent5 2 6" xfId="6857"/>
    <cellStyle name="60% - Accent5 2 7" xfId="6858"/>
    <cellStyle name="60% - Accent5 2 8" xfId="6859"/>
    <cellStyle name="60% - Accent5 3" xfId="368"/>
    <cellStyle name="60% - Accent5 3 2" xfId="6860"/>
    <cellStyle name="60% - Accent5 3 3" xfId="6861"/>
    <cellStyle name="60% - Accent5 3 4" xfId="6862"/>
    <cellStyle name="60% - Accent5 3 5" xfId="6863"/>
    <cellStyle name="60% - Accent5 3 6" xfId="6864"/>
    <cellStyle name="60% - Accent5 4" xfId="369"/>
    <cellStyle name="60% - Accent5 4 2" xfId="6865"/>
    <cellStyle name="60% - Accent5 4 3" xfId="6866"/>
    <cellStyle name="60% - Accent5 4 4" xfId="6867"/>
    <cellStyle name="60% - Accent5 4 5" xfId="6868"/>
    <cellStyle name="60% - Accent5 5" xfId="6869"/>
    <cellStyle name="60% - Accent5 6" xfId="6870"/>
    <cellStyle name="60% - Accent5 7" xfId="6871"/>
    <cellStyle name="60% - Accent5 8" xfId="6872"/>
    <cellStyle name="60% - Accent6" xfId="370"/>
    <cellStyle name="60% - Accent6 2" xfId="371"/>
    <cellStyle name="60% - Accent6 2 2" xfId="372"/>
    <cellStyle name="60% - Accent6 2 2 2" xfId="6873"/>
    <cellStyle name="60% - Accent6 2 2 3" xfId="6874"/>
    <cellStyle name="60% - Accent6 2 2 4" xfId="6875"/>
    <cellStyle name="60% - Accent6 2 2 5" xfId="6876"/>
    <cellStyle name="60% - Accent6 2 2 6" xfId="6877"/>
    <cellStyle name="60% - Accent6 2 3" xfId="373"/>
    <cellStyle name="60% - Accent6 2 3 2" xfId="6878"/>
    <cellStyle name="60% - Accent6 2 3 3" xfId="6879"/>
    <cellStyle name="60% - Accent6 2 3 4" xfId="6880"/>
    <cellStyle name="60% - Accent6 2 3 5" xfId="6881"/>
    <cellStyle name="60% - Accent6 2 3 6" xfId="6882"/>
    <cellStyle name="60% - Accent6 2 4" xfId="6883"/>
    <cellStyle name="60% - Accent6 2 5" xfId="6884"/>
    <cellStyle name="60% - Accent6 2 6" xfId="6885"/>
    <cellStyle name="60% - Accent6 2 7" xfId="6886"/>
    <cellStyle name="60% - Accent6 2 8" xfId="6887"/>
    <cellStyle name="60% - Accent6 3" xfId="374"/>
    <cellStyle name="60% - Accent6 3 2" xfId="6888"/>
    <cellStyle name="60% - Accent6 3 3" xfId="6889"/>
    <cellStyle name="60% - Accent6 3 4" xfId="6890"/>
    <cellStyle name="60% - Accent6 3 5" xfId="6891"/>
    <cellStyle name="60% - Accent6 3 6" xfId="6892"/>
    <cellStyle name="60% - Accent6 4" xfId="375"/>
    <cellStyle name="60% - Accent6 4 2" xfId="6893"/>
    <cellStyle name="60% - Accent6 4 3" xfId="6894"/>
    <cellStyle name="60% - Accent6 4 4" xfId="6895"/>
    <cellStyle name="60% - Accent6 4 5" xfId="6896"/>
    <cellStyle name="60% - Accent6 5" xfId="6897"/>
    <cellStyle name="60% - Accent6 6" xfId="6898"/>
    <cellStyle name="60% - Accent6 7" xfId="6899"/>
    <cellStyle name="60% - Accent6 8" xfId="6900"/>
    <cellStyle name="60% - Акцент1 2" xfId="376"/>
    <cellStyle name="60% - Акцент1 2 2" xfId="377"/>
    <cellStyle name="60% - Акцент1 2 2 2" xfId="378"/>
    <cellStyle name="60% - Акцент1 2 2 3" xfId="379"/>
    <cellStyle name="60% - Акцент1 2 3" xfId="380"/>
    <cellStyle name="60% - Акцент1 2 4" xfId="381"/>
    <cellStyle name="60% - Акцент1 2 4 2" xfId="6901"/>
    <cellStyle name="60% - Акцент1 2 4 3" xfId="6902"/>
    <cellStyle name="60% - Акцент1 2 4 4" xfId="6903"/>
    <cellStyle name="60% - Акцент1 2 4 5" xfId="6904"/>
    <cellStyle name="60% - Акцент1 2 5" xfId="6905"/>
    <cellStyle name="60% - Акцент1 2 6" xfId="6906"/>
    <cellStyle name="60% - Акцент1 2 7" xfId="6907"/>
    <cellStyle name="60% - Акцент1 2 8" xfId="6908"/>
    <cellStyle name="60% - Акцент2 2" xfId="382"/>
    <cellStyle name="60% - Акцент2 2 2" xfId="383"/>
    <cellStyle name="60% - Акцент2 2 2 2" xfId="384"/>
    <cellStyle name="60% - Акцент2 2 2 3" xfId="385"/>
    <cellStyle name="60% - Акцент2 2 3" xfId="386"/>
    <cellStyle name="60% - Акцент2 2 4" xfId="387"/>
    <cellStyle name="60% - Акцент2 2 4 2" xfId="6909"/>
    <cellStyle name="60% - Акцент2 2 4 3" xfId="6910"/>
    <cellStyle name="60% - Акцент2 2 4 4" xfId="6911"/>
    <cellStyle name="60% - Акцент2 2 4 5" xfId="6912"/>
    <cellStyle name="60% - Акцент2 2 5" xfId="6913"/>
    <cellStyle name="60% - Акцент2 2 6" xfId="6914"/>
    <cellStyle name="60% - Акцент2 2 7" xfId="6915"/>
    <cellStyle name="60% - Акцент2 2 8" xfId="6916"/>
    <cellStyle name="60% - Акцент3 2" xfId="388"/>
    <cellStyle name="60% - Акцент3 2 2" xfId="389"/>
    <cellStyle name="60% - Акцент3 2 2 2" xfId="390"/>
    <cellStyle name="60% - Акцент3 2 2 3" xfId="391"/>
    <cellStyle name="60% - Акцент3 2 3" xfId="392"/>
    <cellStyle name="60% - Акцент3 2 4" xfId="393"/>
    <cellStyle name="60% - Акцент3 2 4 2" xfId="6917"/>
    <cellStyle name="60% - Акцент3 2 4 3" xfId="6918"/>
    <cellStyle name="60% - Акцент3 2 4 4" xfId="6919"/>
    <cellStyle name="60% - Акцент3 2 4 5" xfId="6920"/>
    <cellStyle name="60% - Акцент3 2 5" xfId="6921"/>
    <cellStyle name="60% - Акцент3 2 6" xfId="6922"/>
    <cellStyle name="60% - Акцент3 2 7" xfId="6923"/>
    <cellStyle name="60% - Акцент3 2 8" xfId="6924"/>
    <cellStyle name="60% - Акцент4 2" xfId="394"/>
    <cellStyle name="60% - Акцент4 2 10" xfId="6925"/>
    <cellStyle name="60% - Акцент4 2 11" xfId="6926"/>
    <cellStyle name="60% - Акцент4 2 12" xfId="6927"/>
    <cellStyle name="60% - Акцент4 2 13" xfId="6928"/>
    <cellStyle name="60% - Акцент4 2 14" xfId="6929"/>
    <cellStyle name="60% - Акцент4 2 15" xfId="6930"/>
    <cellStyle name="60% - Акцент4 2 16" xfId="6931"/>
    <cellStyle name="60% - Акцент4 2 17" xfId="6932"/>
    <cellStyle name="60% - Акцент4 2 2" xfId="395"/>
    <cellStyle name="60% - Акцент4 2 2 2" xfId="396"/>
    <cellStyle name="60% - Акцент4 2 2 3" xfId="397"/>
    <cellStyle name="60% - Акцент4 2 3" xfId="398"/>
    <cellStyle name="60% - Акцент4 2 4" xfId="399"/>
    <cellStyle name="60% - Акцент4 2 4 2" xfId="6933"/>
    <cellStyle name="60% - Акцент4 2 4 3" xfId="6934"/>
    <cellStyle name="60% - Акцент4 2 4 4" xfId="6935"/>
    <cellStyle name="60% - Акцент4 2 4 5" xfId="6936"/>
    <cellStyle name="60% - Акцент4 2 5" xfId="400"/>
    <cellStyle name="60% - Акцент4 2 5 2" xfId="6937"/>
    <cellStyle name="60% - Акцент4 2 5 3" xfId="6938"/>
    <cellStyle name="60% - Акцент4 2 5 4" xfId="6939"/>
    <cellStyle name="60% - Акцент4 2 5 5" xfId="6940"/>
    <cellStyle name="60% - Акцент4 2 6" xfId="401"/>
    <cellStyle name="60% - Акцент4 2 6 2" xfId="6941"/>
    <cellStyle name="60% - Акцент4 2 6 3" xfId="6942"/>
    <cellStyle name="60% - Акцент4 2 6 4" xfId="6943"/>
    <cellStyle name="60% - Акцент4 2 6 5" xfId="6944"/>
    <cellStyle name="60% - Акцент4 2 7" xfId="402"/>
    <cellStyle name="60% - Акцент4 2 7 2" xfId="6945"/>
    <cellStyle name="60% - Акцент4 2 7 3" xfId="6946"/>
    <cellStyle name="60% - Акцент4 2 7 4" xfId="6947"/>
    <cellStyle name="60% - Акцент4 2 7 5" xfId="6948"/>
    <cellStyle name="60% - Акцент4 2 8" xfId="403"/>
    <cellStyle name="60% - Акцент4 2 8 2" xfId="6949"/>
    <cellStyle name="60% - Акцент4 2 8 3" xfId="6950"/>
    <cellStyle name="60% - Акцент4 2 8 4" xfId="6951"/>
    <cellStyle name="60% - Акцент4 2 8 5" xfId="6952"/>
    <cellStyle name="60% - Акцент4 2 9" xfId="404"/>
    <cellStyle name="60% - Акцент4 2 9 2" xfId="6953"/>
    <cellStyle name="60% - Акцент4 2 9 3" xfId="6954"/>
    <cellStyle name="60% - Акцент4 2 9 4" xfId="6955"/>
    <cellStyle name="60% - Акцент4 2 9 5" xfId="6956"/>
    <cellStyle name="60% - Акцент5 2" xfId="405"/>
    <cellStyle name="60% - Акцент5 2 2" xfId="406"/>
    <cellStyle name="60% - Акцент5 2 2 2" xfId="407"/>
    <cellStyle name="60% - Акцент5 2 2 3" xfId="408"/>
    <cellStyle name="60% - Акцент5 2 3" xfId="409"/>
    <cellStyle name="60% - Акцент5 2 4" xfId="410"/>
    <cellStyle name="60% - Акцент5 2 4 2" xfId="6957"/>
    <cellStyle name="60% - Акцент5 2 4 3" xfId="6958"/>
    <cellStyle name="60% - Акцент5 2 4 4" xfId="6959"/>
    <cellStyle name="60% - Акцент5 2 4 5" xfId="6960"/>
    <cellStyle name="60% - Акцент5 2 5" xfId="6961"/>
    <cellStyle name="60% - Акцент5 2 6" xfId="6962"/>
    <cellStyle name="60% - Акцент5 2 7" xfId="6963"/>
    <cellStyle name="60% - Акцент5 2 8" xfId="6964"/>
    <cellStyle name="60% - Акцент6 2" xfId="411"/>
    <cellStyle name="60% - Акцент6 2 2" xfId="412"/>
    <cellStyle name="60% - Акцент6 2 2 2" xfId="413"/>
    <cellStyle name="60% - Акцент6 2 2 3" xfId="414"/>
    <cellStyle name="60% - Акцент6 2 3" xfId="415"/>
    <cellStyle name="60% - Акцент6 2 4" xfId="416"/>
    <cellStyle name="60% - Акцент6 2 4 2" xfId="6965"/>
    <cellStyle name="60% - Акцент6 2 4 3" xfId="6966"/>
    <cellStyle name="60% - Акцент6 2 4 4" xfId="6967"/>
    <cellStyle name="60% - Акцент6 2 4 5" xfId="6968"/>
    <cellStyle name="60% - Акцент6 2 5" xfId="6969"/>
    <cellStyle name="60% - Акцент6 2 6" xfId="6970"/>
    <cellStyle name="60% - Акцент6 2 7" xfId="6971"/>
    <cellStyle name="60% - Акцент6 2 8" xfId="6972"/>
    <cellStyle name="Accent1" xfId="417"/>
    <cellStyle name="Accent1 2" xfId="418"/>
    <cellStyle name="Accent1 2 2" xfId="419"/>
    <cellStyle name="Accent1 2 2 2" xfId="6973"/>
    <cellStyle name="Accent1 2 2 3" xfId="6974"/>
    <cellStyle name="Accent1 2 2 4" xfId="6975"/>
    <cellStyle name="Accent1 2 2 5" xfId="6976"/>
    <cellStyle name="Accent1 2 2 6" xfId="6977"/>
    <cellStyle name="Accent1 2 3" xfId="420"/>
    <cellStyle name="Accent1 2 3 2" xfId="6978"/>
    <cellStyle name="Accent1 2 3 3" xfId="6979"/>
    <cellStyle name="Accent1 2 3 4" xfId="6980"/>
    <cellStyle name="Accent1 2 3 5" xfId="6981"/>
    <cellStyle name="Accent1 2 3 6" xfId="6982"/>
    <cellStyle name="Accent1 2 4" xfId="6983"/>
    <cellStyle name="Accent1 2 5" xfId="6984"/>
    <cellStyle name="Accent1 2 6" xfId="6985"/>
    <cellStyle name="Accent1 2 7" xfId="6986"/>
    <cellStyle name="Accent1 2 8" xfId="6987"/>
    <cellStyle name="Accent1 3" xfId="421"/>
    <cellStyle name="Accent1 3 2" xfId="6988"/>
    <cellStyle name="Accent1 3 3" xfId="6989"/>
    <cellStyle name="Accent1 3 4" xfId="6990"/>
    <cellStyle name="Accent1 3 5" xfId="6991"/>
    <cellStyle name="Accent1 3 6" xfId="6992"/>
    <cellStyle name="Accent1 4" xfId="422"/>
    <cellStyle name="Accent1 4 2" xfId="6993"/>
    <cellStyle name="Accent1 4 3" xfId="6994"/>
    <cellStyle name="Accent1 4 4" xfId="6995"/>
    <cellStyle name="Accent1 4 5" xfId="6996"/>
    <cellStyle name="Accent1 5" xfId="6997"/>
    <cellStyle name="Accent1 6" xfId="6998"/>
    <cellStyle name="Accent1 7" xfId="6999"/>
    <cellStyle name="Accent1 8" xfId="7000"/>
    <cellStyle name="Accent2" xfId="423"/>
    <cellStyle name="Accent2 2" xfId="424"/>
    <cellStyle name="Accent2 2 2" xfId="425"/>
    <cellStyle name="Accent2 2 2 2" xfId="7001"/>
    <cellStyle name="Accent2 2 2 3" xfId="7002"/>
    <cellStyle name="Accent2 2 2 4" xfId="7003"/>
    <cellStyle name="Accent2 2 2 5" xfId="7004"/>
    <cellStyle name="Accent2 2 2 6" xfId="7005"/>
    <cellStyle name="Accent2 2 3" xfId="426"/>
    <cellStyle name="Accent2 2 3 2" xfId="7006"/>
    <cellStyle name="Accent2 2 3 3" xfId="7007"/>
    <cellStyle name="Accent2 2 3 4" xfId="7008"/>
    <cellStyle name="Accent2 2 3 5" xfId="7009"/>
    <cellStyle name="Accent2 2 3 6" xfId="7010"/>
    <cellStyle name="Accent2 2 4" xfId="7011"/>
    <cellStyle name="Accent2 2 5" xfId="7012"/>
    <cellStyle name="Accent2 2 6" xfId="7013"/>
    <cellStyle name="Accent2 2 7" xfId="7014"/>
    <cellStyle name="Accent2 2 8" xfId="7015"/>
    <cellStyle name="Accent2 3" xfId="427"/>
    <cellStyle name="Accent2 3 2" xfId="7016"/>
    <cellStyle name="Accent2 3 3" xfId="7017"/>
    <cellStyle name="Accent2 3 4" xfId="7018"/>
    <cellStyle name="Accent2 3 5" xfId="7019"/>
    <cellStyle name="Accent2 3 6" xfId="7020"/>
    <cellStyle name="Accent2 4" xfId="428"/>
    <cellStyle name="Accent2 4 2" xfId="7021"/>
    <cellStyle name="Accent2 4 3" xfId="7022"/>
    <cellStyle name="Accent2 4 4" xfId="7023"/>
    <cellStyle name="Accent2 4 5" xfId="7024"/>
    <cellStyle name="Accent2 5" xfId="7025"/>
    <cellStyle name="Accent2 6" xfId="7026"/>
    <cellStyle name="Accent2 7" xfId="7027"/>
    <cellStyle name="Accent2 8" xfId="7028"/>
    <cellStyle name="Accent3" xfId="429"/>
    <cellStyle name="Accent3 2" xfId="430"/>
    <cellStyle name="Accent3 2 2" xfId="431"/>
    <cellStyle name="Accent3 2 2 2" xfId="7029"/>
    <cellStyle name="Accent3 2 2 3" xfId="7030"/>
    <cellStyle name="Accent3 2 2 4" xfId="7031"/>
    <cellStyle name="Accent3 2 2 5" xfId="7032"/>
    <cellStyle name="Accent3 2 2 6" xfId="7033"/>
    <cellStyle name="Accent3 2 3" xfId="432"/>
    <cellStyle name="Accent3 2 3 2" xfId="7034"/>
    <cellStyle name="Accent3 2 3 3" xfId="7035"/>
    <cellStyle name="Accent3 2 3 4" xfId="7036"/>
    <cellStyle name="Accent3 2 3 5" xfId="7037"/>
    <cellStyle name="Accent3 2 3 6" xfId="7038"/>
    <cellStyle name="Accent3 2 4" xfId="7039"/>
    <cellStyle name="Accent3 2 5" xfId="7040"/>
    <cellStyle name="Accent3 2 6" xfId="7041"/>
    <cellStyle name="Accent3 2 7" xfId="7042"/>
    <cellStyle name="Accent3 2 8" xfId="7043"/>
    <cellStyle name="Accent3 3" xfId="433"/>
    <cellStyle name="Accent3 3 2" xfId="7044"/>
    <cellStyle name="Accent3 3 3" xfId="7045"/>
    <cellStyle name="Accent3 3 4" xfId="7046"/>
    <cellStyle name="Accent3 3 5" xfId="7047"/>
    <cellStyle name="Accent3 3 6" xfId="7048"/>
    <cellStyle name="Accent3 4" xfId="434"/>
    <cellStyle name="Accent3 4 2" xfId="7049"/>
    <cellStyle name="Accent3 4 3" xfId="7050"/>
    <cellStyle name="Accent3 4 4" xfId="7051"/>
    <cellStyle name="Accent3 4 5" xfId="7052"/>
    <cellStyle name="Accent3 5" xfId="7053"/>
    <cellStyle name="Accent3 6" xfId="7054"/>
    <cellStyle name="Accent3 7" xfId="7055"/>
    <cellStyle name="Accent3 8" xfId="7056"/>
    <cellStyle name="Accent4" xfId="435"/>
    <cellStyle name="Accent4 2" xfId="436"/>
    <cellStyle name="Accent4 2 2" xfId="437"/>
    <cellStyle name="Accent4 2 2 2" xfId="7057"/>
    <cellStyle name="Accent4 2 2 3" xfId="7058"/>
    <cellStyle name="Accent4 2 2 4" xfId="7059"/>
    <cellStyle name="Accent4 2 2 5" xfId="7060"/>
    <cellStyle name="Accent4 2 2 6" xfId="7061"/>
    <cellStyle name="Accent4 2 3" xfId="438"/>
    <cellStyle name="Accent4 2 3 2" xfId="7062"/>
    <cellStyle name="Accent4 2 3 3" xfId="7063"/>
    <cellStyle name="Accent4 2 3 4" xfId="7064"/>
    <cellStyle name="Accent4 2 3 5" xfId="7065"/>
    <cellStyle name="Accent4 2 3 6" xfId="7066"/>
    <cellStyle name="Accent4 2 4" xfId="7067"/>
    <cellStyle name="Accent4 2 5" xfId="7068"/>
    <cellStyle name="Accent4 2 6" xfId="7069"/>
    <cellStyle name="Accent4 2 7" xfId="7070"/>
    <cellStyle name="Accent4 2 8" xfId="7071"/>
    <cellStyle name="Accent4 3" xfId="439"/>
    <cellStyle name="Accent4 3 2" xfId="7072"/>
    <cellStyle name="Accent4 3 3" xfId="7073"/>
    <cellStyle name="Accent4 3 4" xfId="7074"/>
    <cellStyle name="Accent4 3 5" xfId="7075"/>
    <cellStyle name="Accent4 3 6" xfId="7076"/>
    <cellStyle name="Accent4 4" xfId="440"/>
    <cellStyle name="Accent4 4 2" xfId="7077"/>
    <cellStyle name="Accent4 4 3" xfId="7078"/>
    <cellStyle name="Accent4 4 4" xfId="7079"/>
    <cellStyle name="Accent4 4 5" xfId="7080"/>
    <cellStyle name="Accent4 5" xfId="7081"/>
    <cellStyle name="Accent4 6" xfId="7082"/>
    <cellStyle name="Accent4 7" xfId="7083"/>
    <cellStyle name="Accent4 8" xfId="7084"/>
    <cellStyle name="Accent5" xfId="441"/>
    <cellStyle name="Accent5 2" xfId="442"/>
    <cellStyle name="Accent5 2 2" xfId="443"/>
    <cellStyle name="Accent5 2 2 2" xfId="7085"/>
    <cellStyle name="Accent5 2 2 3" xfId="7086"/>
    <cellStyle name="Accent5 2 2 4" xfId="7087"/>
    <cellStyle name="Accent5 2 2 5" xfId="7088"/>
    <cellStyle name="Accent5 2 2 6" xfId="7089"/>
    <cellStyle name="Accent5 2 3" xfId="444"/>
    <cellStyle name="Accent5 2 3 2" xfId="7090"/>
    <cellStyle name="Accent5 2 3 3" xfId="7091"/>
    <cellStyle name="Accent5 2 3 4" xfId="7092"/>
    <cellStyle name="Accent5 2 3 5" xfId="7093"/>
    <cellStyle name="Accent5 2 3 6" xfId="7094"/>
    <cellStyle name="Accent5 2 4" xfId="7095"/>
    <cellStyle name="Accent5 2 5" xfId="7096"/>
    <cellStyle name="Accent5 2 6" xfId="7097"/>
    <cellStyle name="Accent5 2 7" xfId="7098"/>
    <cellStyle name="Accent5 2 8" xfId="7099"/>
    <cellStyle name="Accent5 3" xfId="445"/>
    <cellStyle name="Accent5 3 2" xfId="7100"/>
    <cellStyle name="Accent5 3 3" xfId="7101"/>
    <cellStyle name="Accent5 3 4" xfId="7102"/>
    <cellStyle name="Accent5 3 5" xfId="7103"/>
    <cellStyle name="Accent5 3 6" xfId="7104"/>
    <cellStyle name="Accent5 4" xfId="446"/>
    <cellStyle name="Accent5 4 2" xfId="7105"/>
    <cellStyle name="Accent5 4 3" xfId="7106"/>
    <cellStyle name="Accent5 4 4" xfId="7107"/>
    <cellStyle name="Accent5 4 5" xfId="7108"/>
    <cellStyle name="Accent5 5" xfId="7109"/>
    <cellStyle name="Accent5 6" xfId="7110"/>
    <cellStyle name="Accent5 7" xfId="7111"/>
    <cellStyle name="Accent5 8" xfId="7112"/>
    <cellStyle name="Accent6" xfId="447"/>
    <cellStyle name="Accent6 2" xfId="448"/>
    <cellStyle name="Accent6 2 2" xfId="449"/>
    <cellStyle name="Accent6 2 2 2" xfId="7113"/>
    <cellStyle name="Accent6 2 2 3" xfId="7114"/>
    <cellStyle name="Accent6 2 2 4" xfId="7115"/>
    <cellStyle name="Accent6 2 2 5" xfId="7116"/>
    <cellStyle name="Accent6 2 2 6" xfId="7117"/>
    <cellStyle name="Accent6 2 3" xfId="450"/>
    <cellStyle name="Accent6 2 3 2" xfId="7118"/>
    <cellStyle name="Accent6 2 3 3" xfId="7119"/>
    <cellStyle name="Accent6 2 3 4" xfId="7120"/>
    <cellStyle name="Accent6 2 3 5" xfId="7121"/>
    <cellStyle name="Accent6 2 3 6" xfId="7122"/>
    <cellStyle name="Accent6 2 4" xfId="7123"/>
    <cellStyle name="Accent6 2 5" xfId="7124"/>
    <cellStyle name="Accent6 2 6" xfId="7125"/>
    <cellStyle name="Accent6 2 7" xfId="7126"/>
    <cellStyle name="Accent6 2 8" xfId="7127"/>
    <cellStyle name="Accent6 3" xfId="451"/>
    <cellStyle name="Accent6 3 2" xfId="7128"/>
    <cellStyle name="Accent6 3 3" xfId="7129"/>
    <cellStyle name="Accent6 3 4" xfId="7130"/>
    <cellStyle name="Accent6 3 5" xfId="7131"/>
    <cellStyle name="Accent6 3 6" xfId="7132"/>
    <cellStyle name="Accent6 4" xfId="452"/>
    <cellStyle name="Accent6 4 2" xfId="7133"/>
    <cellStyle name="Accent6 4 3" xfId="7134"/>
    <cellStyle name="Accent6 4 4" xfId="7135"/>
    <cellStyle name="Accent6 4 5" xfId="7136"/>
    <cellStyle name="Accent6 5" xfId="7137"/>
    <cellStyle name="Accent6 6" xfId="7138"/>
    <cellStyle name="Accent6 7" xfId="7139"/>
    <cellStyle name="Accent6 8" xfId="7140"/>
    <cellStyle name="Bad" xfId="453"/>
    <cellStyle name="Bad 2" xfId="454"/>
    <cellStyle name="Bad 2 2" xfId="455"/>
    <cellStyle name="Bad 2 2 2" xfId="7141"/>
    <cellStyle name="Bad 2 2 3" xfId="7142"/>
    <cellStyle name="Bad 2 2 4" xfId="7143"/>
    <cellStyle name="Bad 2 2 5" xfId="7144"/>
    <cellStyle name="Bad 2 2 6" xfId="7145"/>
    <cellStyle name="Bad 2 3" xfId="456"/>
    <cellStyle name="Bad 2 3 2" xfId="7146"/>
    <cellStyle name="Bad 2 3 3" xfId="7147"/>
    <cellStyle name="Bad 2 3 4" xfId="7148"/>
    <cellStyle name="Bad 2 3 5" xfId="7149"/>
    <cellStyle name="Bad 2 3 6" xfId="7150"/>
    <cellStyle name="Bad 2 4" xfId="7151"/>
    <cellStyle name="Bad 2 5" xfId="7152"/>
    <cellStyle name="Bad 2 6" xfId="7153"/>
    <cellStyle name="Bad 2 7" xfId="7154"/>
    <cellStyle name="Bad 2 8" xfId="7155"/>
    <cellStyle name="Bad 3" xfId="457"/>
    <cellStyle name="Bad 3 2" xfId="7156"/>
    <cellStyle name="Bad 3 3" xfId="7157"/>
    <cellStyle name="Bad 3 4" xfId="7158"/>
    <cellStyle name="Bad 3 5" xfId="7159"/>
    <cellStyle name="Bad 3 6" xfId="7160"/>
    <cellStyle name="Bad 4" xfId="458"/>
    <cellStyle name="Bad 4 2" xfId="7161"/>
    <cellStyle name="Bad 4 3" xfId="7162"/>
    <cellStyle name="Bad 4 4" xfId="7163"/>
    <cellStyle name="Bad 4 5" xfId="7164"/>
    <cellStyle name="Bad 5" xfId="7165"/>
    <cellStyle name="Bad 6" xfId="7166"/>
    <cellStyle name="Bad 7" xfId="7167"/>
    <cellStyle name="Bad 8" xfId="7168"/>
    <cellStyle name="br" xfId="459"/>
    <cellStyle name="br 10" xfId="7169"/>
    <cellStyle name="br 2" xfId="460"/>
    <cellStyle name="br 2 2" xfId="461"/>
    <cellStyle name="br 2 2 2" xfId="462"/>
    <cellStyle name="br 2 2 3" xfId="463"/>
    <cellStyle name="br 2 3" xfId="464"/>
    <cellStyle name="br 2 4" xfId="465"/>
    <cellStyle name="br 2 4 2" xfId="7170"/>
    <cellStyle name="br 2 4 3" xfId="7171"/>
    <cellStyle name="br 2 4 4" xfId="7172"/>
    <cellStyle name="br 2 4 5" xfId="7173"/>
    <cellStyle name="br 2 5" xfId="7174"/>
    <cellStyle name="br 2 6" xfId="7175"/>
    <cellStyle name="br 2 7" xfId="7176"/>
    <cellStyle name="br 2 8" xfId="7177"/>
    <cellStyle name="br 3" xfId="466"/>
    <cellStyle name="br 3 2" xfId="467"/>
    <cellStyle name="br 3 2 2" xfId="468"/>
    <cellStyle name="br 3 2 3" xfId="469"/>
    <cellStyle name="br 3 3" xfId="470"/>
    <cellStyle name="br 3 4" xfId="471"/>
    <cellStyle name="br 3 4 2" xfId="7178"/>
    <cellStyle name="br 3 4 3" xfId="7179"/>
    <cellStyle name="br 3 4 4" xfId="7180"/>
    <cellStyle name="br 3 4 5" xfId="7181"/>
    <cellStyle name="br 3 5" xfId="7182"/>
    <cellStyle name="br 3 6" xfId="7183"/>
    <cellStyle name="br 3 7" xfId="7184"/>
    <cellStyle name="br 3 8" xfId="7185"/>
    <cellStyle name="br 4" xfId="472"/>
    <cellStyle name="br 4 2" xfId="473"/>
    <cellStyle name="br 4 3" xfId="474"/>
    <cellStyle name="br 5" xfId="475"/>
    <cellStyle name="br 6" xfId="476"/>
    <cellStyle name="br 6 2" xfId="7186"/>
    <cellStyle name="br 6 3" xfId="7187"/>
    <cellStyle name="br 6 4" xfId="7188"/>
    <cellStyle name="br 6 5" xfId="7189"/>
    <cellStyle name="br 7" xfId="7190"/>
    <cellStyle name="br 8" xfId="7191"/>
    <cellStyle name="br 9" xfId="7192"/>
    <cellStyle name="Calculation" xfId="477"/>
    <cellStyle name="Calculation 2" xfId="478"/>
    <cellStyle name="Calculation 2 2" xfId="479"/>
    <cellStyle name="Calculation 2 2 2" xfId="7193"/>
    <cellStyle name="Calculation 2 2 3" xfId="7194"/>
    <cellStyle name="Calculation 2 2 4" xfId="7195"/>
    <cellStyle name="Calculation 2 2 5" xfId="7196"/>
    <cellStyle name="Calculation 2 2 6" xfId="7197"/>
    <cellStyle name="Calculation 2 3" xfId="480"/>
    <cellStyle name="Calculation 2 3 2" xfId="7198"/>
    <cellStyle name="Calculation 2 3 3" xfId="7199"/>
    <cellStyle name="Calculation 2 3 4" xfId="7200"/>
    <cellStyle name="Calculation 2 3 5" xfId="7201"/>
    <cellStyle name="Calculation 2 3 6" xfId="7202"/>
    <cellStyle name="Calculation 2 4" xfId="7203"/>
    <cellStyle name="Calculation 2 5" xfId="7204"/>
    <cellStyle name="Calculation 2 6" xfId="7205"/>
    <cellStyle name="Calculation 2 7" xfId="7206"/>
    <cellStyle name="Calculation 2 8" xfId="7207"/>
    <cellStyle name="Calculation 3" xfId="481"/>
    <cellStyle name="Calculation 3 2" xfId="7208"/>
    <cellStyle name="Calculation 3 3" xfId="7209"/>
    <cellStyle name="Calculation 3 4" xfId="7210"/>
    <cellStyle name="Calculation 3 5" xfId="7211"/>
    <cellStyle name="Calculation 3 6" xfId="7212"/>
    <cellStyle name="Calculation 4" xfId="482"/>
    <cellStyle name="Calculation 4 2" xfId="7213"/>
    <cellStyle name="Calculation 4 3" xfId="7214"/>
    <cellStyle name="Calculation 4 4" xfId="7215"/>
    <cellStyle name="Calculation 4 5" xfId="7216"/>
    <cellStyle name="Calculation 5" xfId="7217"/>
    <cellStyle name="Calculation 6" xfId="7218"/>
    <cellStyle name="Calculation 7" xfId="7219"/>
    <cellStyle name="Calculation 8" xfId="7220"/>
    <cellStyle name="Check Cell" xfId="483"/>
    <cellStyle name="Check Cell 2" xfId="484"/>
    <cellStyle name="Check Cell 2 2" xfId="485"/>
    <cellStyle name="Check Cell 2 2 2" xfId="7221"/>
    <cellStyle name="Check Cell 2 2 3" xfId="7222"/>
    <cellStyle name="Check Cell 2 2 4" xfId="7223"/>
    <cellStyle name="Check Cell 2 2 5" xfId="7224"/>
    <cellStyle name="Check Cell 2 2 6" xfId="7225"/>
    <cellStyle name="Check Cell 2 3" xfId="486"/>
    <cellStyle name="Check Cell 2 3 2" xfId="7226"/>
    <cellStyle name="Check Cell 2 3 3" xfId="7227"/>
    <cellStyle name="Check Cell 2 3 4" xfId="7228"/>
    <cellStyle name="Check Cell 2 3 5" xfId="7229"/>
    <cellStyle name="Check Cell 2 3 6" xfId="7230"/>
    <cellStyle name="Check Cell 2 4" xfId="7231"/>
    <cellStyle name="Check Cell 2 5" xfId="7232"/>
    <cellStyle name="Check Cell 2 6" xfId="7233"/>
    <cellStyle name="Check Cell 2 7" xfId="7234"/>
    <cellStyle name="Check Cell 2 8" xfId="7235"/>
    <cellStyle name="Check Cell 3" xfId="487"/>
    <cellStyle name="Check Cell 3 2" xfId="7236"/>
    <cellStyle name="Check Cell 3 3" xfId="7237"/>
    <cellStyle name="Check Cell 3 4" xfId="7238"/>
    <cellStyle name="Check Cell 3 5" xfId="7239"/>
    <cellStyle name="Check Cell 3 6" xfId="7240"/>
    <cellStyle name="Check Cell 4" xfId="488"/>
    <cellStyle name="Check Cell 4 2" xfId="7241"/>
    <cellStyle name="Check Cell 4 3" xfId="7242"/>
    <cellStyle name="Check Cell 4 4" xfId="7243"/>
    <cellStyle name="Check Cell 4 5" xfId="7244"/>
    <cellStyle name="Check Cell 5" xfId="7245"/>
    <cellStyle name="Check Cell 6" xfId="7246"/>
    <cellStyle name="Check Cell 7" xfId="7247"/>
    <cellStyle name="Check Cell 8" xfId="7248"/>
    <cellStyle name="col" xfId="489"/>
    <cellStyle name="col 10" xfId="7249"/>
    <cellStyle name="col 2" xfId="490"/>
    <cellStyle name="col 2 2" xfId="491"/>
    <cellStyle name="col 2 2 2" xfId="492"/>
    <cellStyle name="col 2 2 3" xfId="493"/>
    <cellStyle name="col 2 3" xfId="494"/>
    <cellStyle name="col 2 4" xfId="495"/>
    <cellStyle name="col 2 4 2" xfId="7250"/>
    <cellStyle name="col 2 4 3" xfId="7251"/>
    <cellStyle name="col 2 4 4" xfId="7252"/>
    <cellStyle name="col 2 4 5" xfId="7253"/>
    <cellStyle name="col 2 5" xfId="7254"/>
    <cellStyle name="col 2 6" xfId="7255"/>
    <cellStyle name="col 2 7" xfId="7256"/>
    <cellStyle name="col 2 8" xfId="7257"/>
    <cellStyle name="col 3" xfId="496"/>
    <cellStyle name="col 3 2" xfId="497"/>
    <cellStyle name="col 3 2 2" xfId="498"/>
    <cellStyle name="col 3 2 3" xfId="499"/>
    <cellStyle name="col 3 3" xfId="500"/>
    <cellStyle name="col 3 4" xfId="501"/>
    <cellStyle name="col 3 4 2" xfId="7258"/>
    <cellStyle name="col 3 4 3" xfId="7259"/>
    <cellStyle name="col 3 4 4" xfId="7260"/>
    <cellStyle name="col 3 4 5" xfId="7261"/>
    <cellStyle name="col 3 5" xfId="7262"/>
    <cellStyle name="col 3 6" xfId="7263"/>
    <cellStyle name="col 3 7" xfId="7264"/>
    <cellStyle name="col 3 8" xfId="7265"/>
    <cellStyle name="col 4" xfId="502"/>
    <cellStyle name="col 4 2" xfId="503"/>
    <cellStyle name="col 4 3" xfId="504"/>
    <cellStyle name="col 5" xfId="505"/>
    <cellStyle name="col 6" xfId="506"/>
    <cellStyle name="col 6 2" xfId="7266"/>
    <cellStyle name="col 6 3" xfId="7267"/>
    <cellStyle name="col 6 4" xfId="7268"/>
    <cellStyle name="col 6 5" xfId="7269"/>
    <cellStyle name="col 7" xfId="7270"/>
    <cellStyle name="col 8" xfId="7271"/>
    <cellStyle name="col 9" xfId="7272"/>
    <cellStyle name="ex58" xfId="507"/>
    <cellStyle name="ex58 2" xfId="508"/>
    <cellStyle name="ex58 2 2" xfId="509"/>
    <cellStyle name="ex58 2 3" xfId="510"/>
    <cellStyle name="ex58 3" xfId="511"/>
    <cellStyle name="ex58 4" xfId="512"/>
    <cellStyle name="ex58 4 2" xfId="7273"/>
    <cellStyle name="ex58 4 3" xfId="7274"/>
    <cellStyle name="ex58 4 4" xfId="7275"/>
    <cellStyle name="ex58 4 5" xfId="7276"/>
    <cellStyle name="ex58 5" xfId="7277"/>
    <cellStyle name="ex58 6" xfId="7278"/>
    <cellStyle name="ex58 7" xfId="7279"/>
    <cellStyle name="ex58 8" xfId="7280"/>
    <cellStyle name="ex58 9" xfId="23896"/>
    <cellStyle name="ex59" xfId="49"/>
    <cellStyle name="ex59 10" xfId="513"/>
    <cellStyle name="ex59 10 2" xfId="514"/>
    <cellStyle name="ex59 10 2 2" xfId="515"/>
    <cellStyle name="ex59 10 2 3" xfId="516"/>
    <cellStyle name="ex59 10 3" xfId="517"/>
    <cellStyle name="ex59 10 4" xfId="518"/>
    <cellStyle name="ex59 10 4 2" xfId="7281"/>
    <cellStyle name="ex59 10 4 3" xfId="7282"/>
    <cellStyle name="ex59 10 4 4" xfId="7283"/>
    <cellStyle name="ex59 10 4 5" xfId="7284"/>
    <cellStyle name="ex59 10 5" xfId="7285"/>
    <cellStyle name="ex59 10 6" xfId="7286"/>
    <cellStyle name="ex59 10 7" xfId="7287"/>
    <cellStyle name="ex59 10 8" xfId="7288"/>
    <cellStyle name="ex59 11" xfId="519"/>
    <cellStyle name="ex59 11 2" xfId="520"/>
    <cellStyle name="ex59 11 2 2" xfId="521"/>
    <cellStyle name="ex59 11 2 3" xfId="522"/>
    <cellStyle name="ex59 11 3" xfId="523"/>
    <cellStyle name="ex59 11 4" xfId="524"/>
    <cellStyle name="ex59 11 4 2" xfId="7289"/>
    <cellStyle name="ex59 11 4 3" xfId="7290"/>
    <cellStyle name="ex59 11 4 4" xfId="7291"/>
    <cellStyle name="ex59 11 4 5" xfId="7292"/>
    <cellStyle name="ex59 11 5" xfId="7293"/>
    <cellStyle name="ex59 11 6" xfId="7294"/>
    <cellStyle name="ex59 11 7" xfId="7295"/>
    <cellStyle name="ex59 11 8" xfId="7296"/>
    <cellStyle name="ex59 12" xfId="525"/>
    <cellStyle name="ex59 12 2" xfId="526"/>
    <cellStyle name="ex59 12 3" xfId="527"/>
    <cellStyle name="ex59 13" xfId="528"/>
    <cellStyle name="ex59 14" xfId="529"/>
    <cellStyle name="ex59 14 2" xfId="7297"/>
    <cellStyle name="ex59 14 3" xfId="7298"/>
    <cellStyle name="ex59 14 4" xfId="7299"/>
    <cellStyle name="ex59 14 5" xfId="7300"/>
    <cellStyle name="ex59 15" xfId="7301"/>
    <cellStyle name="ex59 16" xfId="7302"/>
    <cellStyle name="ex59 17" xfId="7303"/>
    <cellStyle name="ex59 18" xfId="7304"/>
    <cellStyle name="ex59 19" xfId="23897"/>
    <cellStyle name="ex59 2" xfId="530"/>
    <cellStyle name="ex59 2 10" xfId="531"/>
    <cellStyle name="ex59 2 10 2" xfId="532"/>
    <cellStyle name="ex59 2 10 2 2" xfId="533"/>
    <cellStyle name="ex59 2 10 2 3" xfId="534"/>
    <cellStyle name="ex59 2 10 3" xfId="535"/>
    <cellStyle name="ex59 2 10 4" xfId="536"/>
    <cellStyle name="ex59 2 10 4 2" xfId="7305"/>
    <cellStyle name="ex59 2 10 4 3" xfId="7306"/>
    <cellStyle name="ex59 2 10 4 4" xfId="7307"/>
    <cellStyle name="ex59 2 10 4 5" xfId="7308"/>
    <cellStyle name="ex59 2 10 5" xfId="7309"/>
    <cellStyle name="ex59 2 10 6" xfId="7310"/>
    <cellStyle name="ex59 2 10 7" xfId="7311"/>
    <cellStyle name="ex59 2 10 8" xfId="7312"/>
    <cellStyle name="ex59 2 11" xfId="537"/>
    <cellStyle name="ex59 2 11 2" xfId="538"/>
    <cellStyle name="ex59 2 11 3" xfId="539"/>
    <cellStyle name="ex59 2 12" xfId="540"/>
    <cellStyle name="ex59 2 13" xfId="541"/>
    <cellStyle name="ex59 2 13 2" xfId="7313"/>
    <cellStyle name="ex59 2 13 3" xfId="7314"/>
    <cellStyle name="ex59 2 13 4" xfId="7315"/>
    <cellStyle name="ex59 2 13 5" xfId="7316"/>
    <cellStyle name="ex59 2 14" xfId="7317"/>
    <cellStyle name="ex59 2 15" xfId="7318"/>
    <cellStyle name="ex59 2 16" xfId="7319"/>
    <cellStyle name="ex59 2 17" xfId="7320"/>
    <cellStyle name="ex59 2 2" xfId="542"/>
    <cellStyle name="ex59 2 2 2" xfId="543"/>
    <cellStyle name="ex59 2 2 2 2" xfId="544"/>
    <cellStyle name="ex59 2 2 2 3" xfId="545"/>
    <cellStyle name="ex59 2 2 3" xfId="546"/>
    <cellStyle name="ex59 2 2 4" xfId="547"/>
    <cellStyle name="ex59 2 2 4 2" xfId="7321"/>
    <cellStyle name="ex59 2 2 4 3" xfId="7322"/>
    <cellStyle name="ex59 2 2 4 4" xfId="7323"/>
    <cellStyle name="ex59 2 2 4 5" xfId="7324"/>
    <cellStyle name="ex59 2 2 5" xfId="7325"/>
    <cellStyle name="ex59 2 2 6" xfId="7326"/>
    <cellStyle name="ex59 2 2 7" xfId="7327"/>
    <cellStyle name="ex59 2 2 8" xfId="7328"/>
    <cellStyle name="ex59 2 3" xfId="548"/>
    <cellStyle name="ex59 2 3 2" xfId="549"/>
    <cellStyle name="ex59 2 3 2 2" xfId="550"/>
    <cellStyle name="ex59 2 3 2 3" xfId="551"/>
    <cellStyle name="ex59 2 3 3" xfId="552"/>
    <cellStyle name="ex59 2 3 4" xfId="553"/>
    <cellStyle name="ex59 2 3 4 2" xfId="7329"/>
    <cellStyle name="ex59 2 3 4 3" xfId="7330"/>
    <cellStyle name="ex59 2 3 4 4" xfId="7331"/>
    <cellStyle name="ex59 2 3 4 5" xfId="7332"/>
    <cellStyle name="ex59 2 3 5" xfId="7333"/>
    <cellStyle name="ex59 2 3 6" xfId="7334"/>
    <cellStyle name="ex59 2 3 7" xfId="7335"/>
    <cellStyle name="ex59 2 3 8" xfId="7336"/>
    <cellStyle name="ex59 2 4" xfId="554"/>
    <cellStyle name="ex59 2 4 2" xfId="555"/>
    <cellStyle name="ex59 2 4 2 2" xfId="556"/>
    <cellStyle name="ex59 2 4 2 3" xfId="557"/>
    <cellStyle name="ex59 2 4 3" xfId="558"/>
    <cellStyle name="ex59 2 4 4" xfId="559"/>
    <cellStyle name="ex59 2 4 4 2" xfId="7337"/>
    <cellStyle name="ex59 2 4 4 3" xfId="7338"/>
    <cellStyle name="ex59 2 4 4 4" xfId="7339"/>
    <cellStyle name="ex59 2 4 4 5" xfId="7340"/>
    <cellStyle name="ex59 2 4 5" xfId="7341"/>
    <cellStyle name="ex59 2 4 6" xfId="7342"/>
    <cellStyle name="ex59 2 4 7" xfId="7343"/>
    <cellStyle name="ex59 2 4 8" xfId="7344"/>
    <cellStyle name="ex59 2 5" xfId="560"/>
    <cellStyle name="ex59 2 5 2" xfId="561"/>
    <cellStyle name="ex59 2 5 2 2" xfId="562"/>
    <cellStyle name="ex59 2 5 2 3" xfId="563"/>
    <cellStyle name="ex59 2 5 3" xfId="564"/>
    <cellStyle name="ex59 2 5 4" xfId="565"/>
    <cellStyle name="ex59 2 5 4 2" xfId="7345"/>
    <cellStyle name="ex59 2 5 4 3" xfId="7346"/>
    <cellStyle name="ex59 2 5 4 4" xfId="7347"/>
    <cellStyle name="ex59 2 5 4 5" xfId="7348"/>
    <cellStyle name="ex59 2 5 5" xfId="7349"/>
    <cellStyle name="ex59 2 5 6" xfId="7350"/>
    <cellStyle name="ex59 2 5 7" xfId="7351"/>
    <cellStyle name="ex59 2 5 8" xfId="7352"/>
    <cellStyle name="ex59 2 6" xfId="566"/>
    <cellStyle name="ex59 2 6 2" xfId="567"/>
    <cellStyle name="ex59 2 6 2 2" xfId="568"/>
    <cellStyle name="ex59 2 6 2 3" xfId="569"/>
    <cellStyle name="ex59 2 6 3" xfId="570"/>
    <cellStyle name="ex59 2 6 4" xfId="571"/>
    <cellStyle name="ex59 2 6 4 2" xfId="7353"/>
    <cellStyle name="ex59 2 6 4 3" xfId="7354"/>
    <cellStyle name="ex59 2 6 4 4" xfId="7355"/>
    <cellStyle name="ex59 2 6 4 5" xfId="7356"/>
    <cellStyle name="ex59 2 6 5" xfId="7357"/>
    <cellStyle name="ex59 2 6 6" xfId="7358"/>
    <cellStyle name="ex59 2 6 7" xfId="7359"/>
    <cellStyle name="ex59 2 6 8" xfId="7360"/>
    <cellStyle name="ex59 2 7" xfId="572"/>
    <cellStyle name="ex59 2 7 2" xfId="573"/>
    <cellStyle name="ex59 2 7 2 2" xfId="574"/>
    <cellStyle name="ex59 2 7 2 3" xfId="575"/>
    <cellStyle name="ex59 2 7 3" xfId="576"/>
    <cellStyle name="ex59 2 7 4" xfId="577"/>
    <cellStyle name="ex59 2 7 4 2" xfId="7361"/>
    <cellStyle name="ex59 2 7 4 3" xfId="7362"/>
    <cellStyle name="ex59 2 7 4 4" xfId="7363"/>
    <cellStyle name="ex59 2 7 4 5" xfId="7364"/>
    <cellStyle name="ex59 2 7 5" xfId="7365"/>
    <cellStyle name="ex59 2 7 6" xfId="7366"/>
    <cellStyle name="ex59 2 7 7" xfId="7367"/>
    <cellStyle name="ex59 2 7 8" xfId="7368"/>
    <cellStyle name="ex59 2 8" xfId="578"/>
    <cellStyle name="ex59 2 8 2" xfId="579"/>
    <cellStyle name="ex59 2 8 2 2" xfId="580"/>
    <cellStyle name="ex59 2 8 2 3" xfId="581"/>
    <cellStyle name="ex59 2 8 3" xfId="582"/>
    <cellStyle name="ex59 2 8 4" xfId="583"/>
    <cellStyle name="ex59 2 8 4 2" xfId="7369"/>
    <cellStyle name="ex59 2 8 4 3" xfId="7370"/>
    <cellStyle name="ex59 2 8 4 4" xfId="7371"/>
    <cellStyle name="ex59 2 8 4 5" xfId="7372"/>
    <cellStyle name="ex59 2 8 5" xfId="7373"/>
    <cellStyle name="ex59 2 8 6" xfId="7374"/>
    <cellStyle name="ex59 2 8 7" xfId="7375"/>
    <cellStyle name="ex59 2 8 8" xfId="7376"/>
    <cellStyle name="ex59 2 9" xfId="584"/>
    <cellStyle name="ex59 2 9 2" xfId="585"/>
    <cellStyle name="ex59 2 9 2 2" xfId="586"/>
    <cellStyle name="ex59 2 9 2 3" xfId="587"/>
    <cellStyle name="ex59 2 9 3" xfId="588"/>
    <cellStyle name="ex59 2 9 4" xfId="589"/>
    <cellStyle name="ex59 2 9 4 2" xfId="7377"/>
    <cellStyle name="ex59 2 9 4 3" xfId="7378"/>
    <cellStyle name="ex59 2 9 4 4" xfId="7379"/>
    <cellStyle name="ex59 2 9 4 5" xfId="7380"/>
    <cellStyle name="ex59 2 9 5" xfId="7381"/>
    <cellStyle name="ex59 2 9 6" xfId="7382"/>
    <cellStyle name="ex59 2 9 7" xfId="7383"/>
    <cellStyle name="ex59 2 9 8" xfId="7384"/>
    <cellStyle name="ex59 3" xfId="590"/>
    <cellStyle name="ex59 3 2" xfId="591"/>
    <cellStyle name="ex59 3 2 2" xfId="592"/>
    <cellStyle name="ex59 3 2 3" xfId="593"/>
    <cellStyle name="ex59 3 3" xfId="594"/>
    <cellStyle name="ex59 3 4" xfId="595"/>
    <cellStyle name="ex59 3 4 2" xfId="7385"/>
    <cellStyle name="ex59 3 4 3" xfId="7386"/>
    <cellStyle name="ex59 3 4 4" xfId="7387"/>
    <cellStyle name="ex59 3 4 5" xfId="7388"/>
    <cellStyle name="ex59 3 5" xfId="7389"/>
    <cellStyle name="ex59 3 6" xfId="7390"/>
    <cellStyle name="ex59 3 7" xfId="7391"/>
    <cellStyle name="ex59 3 8" xfId="7392"/>
    <cellStyle name="ex59 4" xfId="596"/>
    <cellStyle name="ex59 4 2" xfId="597"/>
    <cellStyle name="ex59 4 2 2" xfId="598"/>
    <cellStyle name="ex59 4 2 3" xfId="599"/>
    <cellStyle name="ex59 4 3" xfId="600"/>
    <cellStyle name="ex59 4 4" xfId="601"/>
    <cellStyle name="ex59 4 4 2" xfId="7393"/>
    <cellStyle name="ex59 4 4 3" xfId="7394"/>
    <cellStyle name="ex59 4 4 4" xfId="7395"/>
    <cellStyle name="ex59 4 4 5" xfId="7396"/>
    <cellStyle name="ex59 4 5" xfId="7397"/>
    <cellStyle name="ex59 4 6" xfId="7398"/>
    <cellStyle name="ex59 4 7" xfId="7399"/>
    <cellStyle name="ex59 4 8" xfId="7400"/>
    <cellStyle name="ex59 5" xfId="602"/>
    <cellStyle name="ex59 5 2" xfId="603"/>
    <cellStyle name="ex59 5 2 2" xfId="604"/>
    <cellStyle name="ex59 5 2 3" xfId="605"/>
    <cellStyle name="ex59 5 3" xfId="606"/>
    <cellStyle name="ex59 5 4" xfId="607"/>
    <cellStyle name="ex59 5 4 2" xfId="7401"/>
    <cellStyle name="ex59 5 4 3" xfId="7402"/>
    <cellStyle name="ex59 5 4 4" xfId="7403"/>
    <cellStyle name="ex59 5 4 5" xfId="7404"/>
    <cellStyle name="ex59 5 5" xfId="7405"/>
    <cellStyle name="ex59 5 6" xfId="7406"/>
    <cellStyle name="ex59 5 7" xfId="7407"/>
    <cellStyle name="ex59 5 8" xfId="7408"/>
    <cellStyle name="ex59 6" xfId="608"/>
    <cellStyle name="ex59 6 2" xfId="609"/>
    <cellStyle name="ex59 6 2 2" xfId="610"/>
    <cellStyle name="ex59 6 2 3" xfId="611"/>
    <cellStyle name="ex59 6 3" xfId="612"/>
    <cellStyle name="ex59 6 4" xfId="613"/>
    <cellStyle name="ex59 6 4 2" xfId="7409"/>
    <cellStyle name="ex59 6 4 3" xfId="7410"/>
    <cellStyle name="ex59 6 4 4" xfId="7411"/>
    <cellStyle name="ex59 6 4 5" xfId="7412"/>
    <cellStyle name="ex59 6 5" xfId="7413"/>
    <cellStyle name="ex59 6 6" xfId="7414"/>
    <cellStyle name="ex59 6 7" xfId="7415"/>
    <cellStyle name="ex59 6 8" xfId="7416"/>
    <cellStyle name="ex59 7" xfId="614"/>
    <cellStyle name="ex59 7 2" xfId="615"/>
    <cellStyle name="ex59 7 2 2" xfId="616"/>
    <cellStyle name="ex59 7 2 3" xfId="617"/>
    <cellStyle name="ex59 7 3" xfId="618"/>
    <cellStyle name="ex59 7 4" xfId="619"/>
    <cellStyle name="ex59 7 4 2" xfId="7417"/>
    <cellStyle name="ex59 7 4 3" xfId="7418"/>
    <cellStyle name="ex59 7 4 4" xfId="7419"/>
    <cellStyle name="ex59 7 4 5" xfId="7420"/>
    <cellStyle name="ex59 7 5" xfId="7421"/>
    <cellStyle name="ex59 7 6" xfId="7422"/>
    <cellStyle name="ex59 7 7" xfId="7423"/>
    <cellStyle name="ex59 7 8" xfId="7424"/>
    <cellStyle name="ex59 8" xfId="620"/>
    <cellStyle name="ex59 8 2" xfId="621"/>
    <cellStyle name="ex59 8 2 2" xfId="622"/>
    <cellStyle name="ex59 8 2 3" xfId="623"/>
    <cellStyle name="ex59 8 3" xfId="624"/>
    <cellStyle name="ex59 8 4" xfId="625"/>
    <cellStyle name="ex59 8 4 2" xfId="7425"/>
    <cellStyle name="ex59 8 4 3" xfId="7426"/>
    <cellStyle name="ex59 8 4 4" xfId="7427"/>
    <cellStyle name="ex59 8 4 5" xfId="7428"/>
    <cellStyle name="ex59 8 5" xfId="7429"/>
    <cellStyle name="ex59 8 6" xfId="7430"/>
    <cellStyle name="ex59 8 7" xfId="7431"/>
    <cellStyle name="ex59 8 8" xfId="7432"/>
    <cellStyle name="ex59 9" xfId="626"/>
    <cellStyle name="ex59 9 2" xfId="627"/>
    <cellStyle name="ex59 9 2 2" xfId="628"/>
    <cellStyle name="ex59 9 2 3" xfId="629"/>
    <cellStyle name="ex59 9 3" xfId="630"/>
    <cellStyle name="ex59 9 4" xfId="631"/>
    <cellStyle name="ex59 9 4 2" xfId="7433"/>
    <cellStyle name="ex59 9 4 3" xfId="7434"/>
    <cellStyle name="ex59 9 4 4" xfId="7435"/>
    <cellStyle name="ex59 9 4 5" xfId="7436"/>
    <cellStyle name="ex59 9 5" xfId="7437"/>
    <cellStyle name="ex59 9 6" xfId="7438"/>
    <cellStyle name="ex59 9 7" xfId="7439"/>
    <cellStyle name="ex59 9 8" xfId="7440"/>
    <cellStyle name="ex60" xfId="20"/>
    <cellStyle name="ex60 10" xfId="632"/>
    <cellStyle name="ex60 10 2" xfId="633"/>
    <cellStyle name="ex60 10 2 2" xfId="634"/>
    <cellStyle name="ex60 10 2 3" xfId="635"/>
    <cellStyle name="ex60 10 3" xfId="636"/>
    <cellStyle name="ex60 10 4" xfId="637"/>
    <cellStyle name="ex60 10 4 2" xfId="7441"/>
    <cellStyle name="ex60 10 4 3" xfId="7442"/>
    <cellStyle name="ex60 10 4 4" xfId="7443"/>
    <cellStyle name="ex60 10 4 5" xfId="7444"/>
    <cellStyle name="ex60 10 5" xfId="7445"/>
    <cellStyle name="ex60 10 6" xfId="7446"/>
    <cellStyle name="ex60 10 7" xfId="7447"/>
    <cellStyle name="ex60 10 8" xfId="7448"/>
    <cellStyle name="ex60 11" xfId="638"/>
    <cellStyle name="ex60 11 2" xfId="639"/>
    <cellStyle name="ex60 11 3" xfId="640"/>
    <cellStyle name="ex60 12" xfId="641"/>
    <cellStyle name="ex60 13" xfId="642"/>
    <cellStyle name="ex60 13 2" xfId="7449"/>
    <cellStyle name="ex60 13 3" xfId="7450"/>
    <cellStyle name="ex60 13 4" xfId="7451"/>
    <cellStyle name="ex60 13 5" xfId="7452"/>
    <cellStyle name="ex60 14" xfId="7453"/>
    <cellStyle name="ex60 15" xfId="7454"/>
    <cellStyle name="ex60 16" xfId="7455"/>
    <cellStyle name="ex60 17" xfId="7456"/>
    <cellStyle name="ex60 18" xfId="23864"/>
    <cellStyle name="ex60 2" xfId="643"/>
    <cellStyle name="ex60 2 10" xfId="644"/>
    <cellStyle name="ex60 2 10 2" xfId="645"/>
    <cellStyle name="ex60 2 10 2 2" xfId="646"/>
    <cellStyle name="ex60 2 10 2 3" xfId="647"/>
    <cellStyle name="ex60 2 10 3" xfId="648"/>
    <cellStyle name="ex60 2 10 4" xfId="649"/>
    <cellStyle name="ex60 2 10 4 2" xfId="7457"/>
    <cellStyle name="ex60 2 10 4 3" xfId="7458"/>
    <cellStyle name="ex60 2 10 4 4" xfId="7459"/>
    <cellStyle name="ex60 2 10 4 5" xfId="7460"/>
    <cellStyle name="ex60 2 10 5" xfId="7461"/>
    <cellStyle name="ex60 2 10 6" xfId="7462"/>
    <cellStyle name="ex60 2 10 7" xfId="7463"/>
    <cellStyle name="ex60 2 10 8" xfId="7464"/>
    <cellStyle name="ex60 2 11" xfId="650"/>
    <cellStyle name="ex60 2 11 2" xfId="651"/>
    <cellStyle name="ex60 2 11 3" xfId="652"/>
    <cellStyle name="ex60 2 12" xfId="653"/>
    <cellStyle name="ex60 2 13" xfId="654"/>
    <cellStyle name="ex60 2 13 2" xfId="7465"/>
    <cellStyle name="ex60 2 13 3" xfId="7466"/>
    <cellStyle name="ex60 2 13 4" xfId="7467"/>
    <cellStyle name="ex60 2 13 5" xfId="7468"/>
    <cellStyle name="ex60 2 14" xfId="7469"/>
    <cellStyle name="ex60 2 15" xfId="7470"/>
    <cellStyle name="ex60 2 16" xfId="7471"/>
    <cellStyle name="ex60 2 17" xfId="7472"/>
    <cellStyle name="ex60 2 2" xfId="655"/>
    <cellStyle name="ex60 2 2 2" xfId="656"/>
    <cellStyle name="ex60 2 2 2 2" xfId="657"/>
    <cellStyle name="ex60 2 2 2 3" xfId="658"/>
    <cellStyle name="ex60 2 2 3" xfId="659"/>
    <cellStyle name="ex60 2 2 4" xfId="660"/>
    <cellStyle name="ex60 2 2 4 2" xfId="7473"/>
    <cellStyle name="ex60 2 2 4 3" xfId="7474"/>
    <cellStyle name="ex60 2 2 4 4" xfId="7475"/>
    <cellStyle name="ex60 2 2 4 5" xfId="7476"/>
    <cellStyle name="ex60 2 2 5" xfId="7477"/>
    <cellStyle name="ex60 2 2 6" xfId="7478"/>
    <cellStyle name="ex60 2 2 7" xfId="7479"/>
    <cellStyle name="ex60 2 2 8" xfId="7480"/>
    <cellStyle name="ex60 2 3" xfId="661"/>
    <cellStyle name="ex60 2 3 2" xfId="662"/>
    <cellStyle name="ex60 2 3 2 2" xfId="663"/>
    <cellStyle name="ex60 2 3 2 3" xfId="664"/>
    <cellStyle name="ex60 2 3 3" xfId="665"/>
    <cellStyle name="ex60 2 3 4" xfId="666"/>
    <cellStyle name="ex60 2 3 4 2" xfId="7481"/>
    <cellStyle name="ex60 2 3 4 3" xfId="7482"/>
    <cellStyle name="ex60 2 3 4 4" xfId="7483"/>
    <cellStyle name="ex60 2 3 4 5" xfId="7484"/>
    <cellStyle name="ex60 2 3 5" xfId="7485"/>
    <cellStyle name="ex60 2 3 6" xfId="7486"/>
    <cellStyle name="ex60 2 3 7" xfId="7487"/>
    <cellStyle name="ex60 2 3 8" xfId="7488"/>
    <cellStyle name="ex60 2 4" xfId="667"/>
    <cellStyle name="ex60 2 4 2" xfId="668"/>
    <cellStyle name="ex60 2 4 2 2" xfId="669"/>
    <cellStyle name="ex60 2 4 2 3" xfId="670"/>
    <cellStyle name="ex60 2 4 3" xfId="671"/>
    <cellStyle name="ex60 2 4 4" xfId="672"/>
    <cellStyle name="ex60 2 4 4 2" xfId="7489"/>
    <cellStyle name="ex60 2 4 4 3" xfId="7490"/>
    <cellStyle name="ex60 2 4 4 4" xfId="7491"/>
    <cellStyle name="ex60 2 4 4 5" xfId="7492"/>
    <cellStyle name="ex60 2 4 5" xfId="7493"/>
    <cellStyle name="ex60 2 4 6" xfId="7494"/>
    <cellStyle name="ex60 2 4 7" xfId="7495"/>
    <cellStyle name="ex60 2 4 8" xfId="7496"/>
    <cellStyle name="ex60 2 5" xfId="673"/>
    <cellStyle name="ex60 2 5 2" xfId="674"/>
    <cellStyle name="ex60 2 5 2 2" xfId="675"/>
    <cellStyle name="ex60 2 5 2 3" xfId="676"/>
    <cellStyle name="ex60 2 5 3" xfId="677"/>
    <cellStyle name="ex60 2 5 4" xfId="678"/>
    <cellStyle name="ex60 2 5 4 2" xfId="7497"/>
    <cellStyle name="ex60 2 5 4 3" xfId="7498"/>
    <cellStyle name="ex60 2 5 4 4" xfId="7499"/>
    <cellStyle name="ex60 2 5 4 5" xfId="7500"/>
    <cellStyle name="ex60 2 5 5" xfId="7501"/>
    <cellStyle name="ex60 2 5 6" xfId="7502"/>
    <cellStyle name="ex60 2 5 7" xfId="7503"/>
    <cellStyle name="ex60 2 5 8" xfId="7504"/>
    <cellStyle name="ex60 2 6" xfId="679"/>
    <cellStyle name="ex60 2 6 2" xfId="680"/>
    <cellStyle name="ex60 2 6 2 2" xfId="681"/>
    <cellStyle name="ex60 2 6 2 3" xfId="682"/>
    <cellStyle name="ex60 2 6 3" xfId="683"/>
    <cellStyle name="ex60 2 6 4" xfId="684"/>
    <cellStyle name="ex60 2 6 4 2" xfId="7505"/>
    <cellStyle name="ex60 2 6 4 3" xfId="7506"/>
    <cellStyle name="ex60 2 6 4 4" xfId="7507"/>
    <cellStyle name="ex60 2 6 4 5" xfId="7508"/>
    <cellStyle name="ex60 2 6 5" xfId="7509"/>
    <cellStyle name="ex60 2 6 6" xfId="7510"/>
    <cellStyle name="ex60 2 6 7" xfId="7511"/>
    <cellStyle name="ex60 2 6 8" xfId="7512"/>
    <cellStyle name="ex60 2 7" xfId="685"/>
    <cellStyle name="ex60 2 7 2" xfId="686"/>
    <cellStyle name="ex60 2 7 2 2" xfId="687"/>
    <cellStyle name="ex60 2 7 2 3" xfId="688"/>
    <cellStyle name="ex60 2 7 3" xfId="689"/>
    <cellStyle name="ex60 2 7 4" xfId="690"/>
    <cellStyle name="ex60 2 7 4 2" xfId="7513"/>
    <cellStyle name="ex60 2 7 4 3" xfId="7514"/>
    <cellStyle name="ex60 2 7 4 4" xfId="7515"/>
    <cellStyle name="ex60 2 7 4 5" xfId="7516"/>
    <cellStyle name="ex60 2 7 5" xfId="7517"/>
    <cellStyle name="ex60 2 7 6" xfId="7518"/>
    <cellStyle name="ex60 2 7 7" xfId="7519"/>
    <cellStyle name="ex60 2 7 8" xfId="7520"/>
    <cellStyle name="ex60 2 8" xfId="691"/>
    <cellStyle name="ex60 2 8 2" xfId="692"/>
    <cellStyle name="ex60 2 8 2 2" xfId="693"/>
    <cellStyle name="ex60 2 8 2 3" xfId="694"/>
    <cellStyle name="ex60 2 8 3" xfId="695"/>
    <cellStyle name="ex60 2 8 4" xfId="696"/>
    <cellStyle name="ex60 2 8 4 2" xfId="7521"/>
    <cellStyle name="ex60 2 8 4 3" xfId="7522"/>
    <cellStyle name="ex60 2 8 4 4" xfId="7523"/>
    <cellStyle name="ex60 2 8 4 5" xfId="7524"/>
    <cellStyle name="ex60 2 8 5" xfId="7525"/>
    <cellStyle name="ex60 2 8 6" xfId="7526"/>
    <cellStyle name="ex60 2 8 7" xfId="7527"/>
    <cellStyle name="ex60 2 8 8" xfId="7528"/>
    <cellStyle name="ex60 2 9" xfId="697"/>
    <cellStyle name="ex60 2 9 2" xfId="698"/>
    <cellStyle name="ex60 2 9 2 2" xfId="699"/>
    <cellStyle name="ex60 2 9 2 3" xfId="700"/>
    <cellStyle name="ex60 2 9 3" xfId="701"/>
    <cellStyle name="ex60 2 9 4" xfId="702"/>
    <cellStyle name="ex60 2 9 4 2" xfId="7529"/>
    <cellStyle name="ex60 2 9 4 3" xfId="7530"/>
    <cellStyle name="ex60 2 9 4 4" xfId="7531"/>
    <cellStyle name="ex60 2 9 4 5" xfId="7532"/>
    <cellStyle name="ex60 2 9 5" xfId="7533"/>
    <cellStyle name="ex60 2 9 6" xfId="7534"/>
    <cellStyle name="ex60 2 9 7" xfId="7535"/>
    <cellStyle name="ex60 2 9 8" xfId="7536"/>
    <cellStyle name="ex60 3" xfId="703"/>
    <cellStyle name="ex60 3 2" xfId="704"/>
    <cellStyle name="ex60 3 2 2" xfId="705"/>
    <cellStyle name="ex60 3 2 3" xfId="706"/>
    <cellStyle name="ex60 3 3" xfId="707"/>
    <cellStyle name="ex60 3 4" xfId="708"/>
    <cellStyle name="ex60 3 4 2" xfId="7537"/>
    <cellStyle name="ex60 3 4 3" xfId="7538"/>
    <cellStyle name="ex60 3 4 4" xfId="7539"/>
    <cellStyle name="ex60 3 4 5" xfId="7540"/>
    <cellStyle name="ex60 3 5" xfId="7541"/>
    <cellStyle name="ex60 3 6" xfId="7542"/>
    <cellStyle name="ex60 3 7" xfId="7543"/>
    <cellStyle name="ex60 3 8" xfId="7544"/>
    <cellStyle name="ex60 4" xfId="709"/>
    <cellStyle name="ex60 4 2" xfId="710"/>
    <cellStyle name="ex60 4 2 2" xfId="711"/>
    <cellStyle name="ex60 4 2 3" xfId="712"/>
    <cellStyle name="ex60 4 3" xfId="713"/>
    <cellStyle name="ex60 4 4" xfId="714"/>
    <cellStyle name="ex60 4 4 2" xfId="7545"/>
    <cellStyle name="ex60 4 4 3" xfId="7546"/>
    <cellStyle name="ex60 4 4 4" xfId="7547"/>
    <cellStyle name="ex60 4 4 5" xfId="7548"/>
    <cellStyle name="ex60 4 5" xfId="7549"/>
    <cellStyle name="ex60 4 6" xfId="7550"/>
    <cellStyle name="ex60 4 7" xfId="7551"/>
    <cellStyle name="ex60 4 8" xfId="7552"/>
    <cellStyle name="ex60 5" xfId="715"/>
    <cellStyle name="ex60 5 2" xfId="716"/>
    <cellStyle name="ex60 5 2 2" xfId="717"/>
    <cellStyle name="ex60 5 2 3" xfId="718"/>
    <cellStyle name="ex60 5 3" xfId="719"/>
    <cellStyle name="ex60 5 4" xfId="720"/>
    <cellStyle name="ex60 5 4 2" xfId="7553"/>
    <cellStyle name="ex60 5 4 3" xfId="7554"/>
    <cellStyle name="ex60 5 4 4" xfId="7555"/>
    <cellStyle name="ex60 5 4 5" xfId="7556"/>
    <cellStyle name="ex60 5 5" xfId="7557"/>
    <cellStyle name="ex60 5 6" xfId="7558"/>
    <cellStyle name="ex60 5 7" xfId="7559"/>
    <cellStyle name="ex60 5 8" xfId="7560"/>
    <cellStyle name="ex60 6" xfId="721"/>
    <cellStyle name="ex60 6 2" xfId="722"/>
    <cellStyle name="ex60 6 2 2" xfId="723"/>
    <cellStyle name="ex60 6 2 3" xfId="724"/>
    <cellStyle name="ex60 6 3" xfId="725"/>
    <cellStyle name="ex60 6 4" xfId="726"/>
    <cellStyle name="ex60 6 4 2" xfId="7561"/>
    <cellStyle name="ex60 6 4 3" xfId="7562"/>
    <cellStyle name="ex60 6 4 4" xfId="7563"/>
    <cellStyle name="ex60 6 4 5" xfId="7564"/>
    <cellStyle name="ex60 6 5" xfId="7565"/>
    <cellStyle name="ex60 6 6" xfId="7566"/>
    <cellStyle name="ex60 6 7" xfId="7567"/>
    <cellStyle name="ex60 6 8" xfId="7568"/>
    <cellStyle name="ex60 7" xfId="727"/>
    <cellStyle name="ex60 7 2" xfId="728"/>
    <cellStyle name="ex60 7 2 2" xfId="729"/>
    <cellStyle name="ex60 7 2 3" xfId="730"/>
    <cellStyle name="ex60 7 3" xfId="731"/>
    <cellStyle name="ex60 7 4" xfId="732"/>
    <cellStyle name="ex60 7 4 2" xfId="7569"/>
    <cellStyle name="ex60 7 4 3" xfId="7570"/>
    <cellStyle name="ex60 7 4 4" xfId="7571"/>
    <cellStyle name="ex60 7 4 5" xfId="7572"/>
    <cellStyle name="ex60 7 5" xfId="7573"/>
    <cellStyle name="ex60 7 6" xfId="7574"/>
    <cellStyle name="ex60 7 7" xfId="7575"/>
    <cellStyle name="ex60 7 8" xfId="7576"/>
    <cellStyle name="ex60 8" xfId="733"/>
    <cellStyle name="ex60 8 2" xfId="734"/>
    <cellStyle name="ex60 8 2 2" xfId="735"/>
    <cellStyle name="ex60 8 2 3" xfId="736"/>
    <cellStyle name="ex60 8 3" xfId="737"/>
    <cellStyle name="ex60 8 4" xfId="738"/>
    <cellStyle name="ex60 8 4 2" xfId="7577"/>
    <cellStyle name="ex60 8 4 3" xfId="7578"/>
    <cellStyle name="ex60 8 4 4" xfId="7579"/>
    <cellStyle name="ex60 8 4 5" xfId="7580"/>
    <cellStyle name="ex60 8 5" xfId="7581"/>
    <cellStyle name="ex60 8 6" xfId="7582"/>
    <cellStyle name="ex60 8 7" xfId="7583"/>
    <cellStyle name="ex60 8 8" xfId="7584"/>
    <cellStyle name="ex60 9" xfId="739"/>
    <cellStyle name="ex60 9 2" xfId="740"/>
    <cellStyle name="ex60 9 2 2" xfId="741"/>
    <cellStyle name="ex60 9 2 3" xfId="742"/>
    <cellStyle name="ex60 9 3" xfId="743"/>
    <cellStyle name="ex60 9 4" xfId="744"/>
    <cellStyle name="ex60 9 4 2" xfId="7585"/>
    <cellStyle name="ex60 9 4 3" xfId="7586"/>
    <cellStyle name="ex60 9 4 4" xfId="7587"/>
    <cellStyle name="ex60 9 4 5" xfId="7588"/>
    <cellStyle name="ex60 9 5" xfId="7589"/>
    <cellStyle name="ex60 9 6" xfId="7590"/>
    <cellStyle name="ex60 9 7" xfId="7591"/>
    <cellStyle name="ex60 9 8" xfId="7592"/>
    <cellStyle name="ex61" xfId="21"/>
    <cellStyle name="ex61 10" xfId="745"/>
    <cellStyle name="ex61 10 2" xfId="746"/>
    <cellStyle name="ex61 10 2 2" xfId="747"/>
    <cellStyle name="ex61 10 2 3" xfId="748"/>
    <cellStyle name="ex61 10 3" xfId="749"/>
    <cellStyle name="ex61 10 4" xfId="750"/>
    <cellStyle name="ex61 10 4 2" xfId="7593"/>
    <cellStyle name="ex61 10 4 3" xfId="7594"/>
    <cellStyle name="ex61 10 4 4" xfId="7595"/>
    <cellStyle name="ex61 10 4 5" xfId="7596"/>
    <cellStyle name="ex61 10 5" xfId="7597"/>
    <cellStyle name="ex61 10 6" xfId="7598"/>
    <cellStyle name="ex61 10 7" xfId="7599"/>
    <cellStyle name="ex61 10 8" xfId="7600"/>
    <cellStyle name="ex61 11" xfId="751"/>
    <cellStyle name="ex61 11 2" xfId="752"/>
    <cellStyle name="ex61 11 3" xfId="753"/>
    <cellStyle name="ex61 12" xfId="754"/>
    <cellStyle name="ex61 13" xfId="755"/>
    <cellStyle name="ex61 13 2" xfId="7601"/>
    <cellStyle name="ex61 13 3" xfId="7602"/>
    <cellStyle name="ex61 13 4" xfId="7603"/>
    <cellStyle name="ex61 13 5" xfId="7604"/>
    <cellStyle name="ex61 14" xfId="5526"/>
    <cellStyle name="ex61 15" xfId="7605"/>
    <cellStyle name="ex61 16" xfId="7606"/>
    <cellStyle name="ex61 17" xfId="7607"/>
    <cellStyle name="ex61 18" xfId="23865"/>
    <cellStyle name="ex61 2" xfId="756"/>
    <cellStyle name="ex61 2 2" xfId="757"/>
    <cellStyle name="ex61 2 2 2" xfId="758"/>
    <cellStyle name="ex61 2 2 2 2" xfId="759"/>
    <cellStyle name="ex61 2 2 2 3" xfId="760"/>
    <cellStyle name="ex61 2 2 3" xfId="761"/>
    <cellStyle name="ex61 2 2 4" xfId="762"/>
    <cellStyle name="ex61 2 2 4 2" xfId="7608"/>
    <cellStyle name="ex61 2 2 4 3" xfId="7609"/>
    <cellStyle name="ex61 2 2 4 4" xfId="7610"/>
    <cellStyle name="ex61 2 2 4 5" xfId="7611"/>
    <cellStyle name="ex61 2 2 5" xfId="7612"/>
    <cellStyle name="ex61 2 2 6" xfId="7613"/>
    <cellStyle name="ex61 2 2 7" xfId="7614"/>
    <cellStyle name="ex61 2 2 8" xfId="7615"/>
    <cellStyle name="ex61 2 3" xfId="763"/>
    <cellStyle name="ex61 2 3 2" xfId="764"/>
    <cellStyle name="ex61 2 3 3" xfId="765"/>
    <cellStyle name="ex61 2 4" xfId="766"/>
    <cellStyle name="ex61 2 5" xfId="767"/>
    <cellStyle name="ex61 2 5 2" xfId="7616"/>
    <cellStyle name="ex61 2 5 3" xfId="7617"/>
    <cellStyle name="ex61 2 5 4" xfId="7618"/>
    <cellStyle name="ex61 2 5 5" xfId="7619"/>
    <cellStyle name="ex61 2 6" xfId="7620"/>
    <cellStyle name="ex61 2 7" xfId="7621"/>
    <cellStyle name="ex61 2 8" xfId="7622"/>
    <cellStyle name="ex61 2 9" xfId="7623"/>
    <cellStyle name="ex61 3" xfId="768"/>
    <cellStyle name="ex61 3 2" xfId="769"/>
    <cellStyle name="ex61 3 2 2" xfId="770"/>
    <cellStyle name="ex61 3 2 3" xfId="771"/>
    <cellStyle name="ex61 3 3" xfId="772"/>
    <cellStyle name="ex61 3 4" xfId="773"/>
    <cellStyle name="ex61 3 4 2" xfId="7624"/>
    <cellStyle name="ex61 3 4 3" xfId="7625"/>
    <cellStyle name="ex61 3 4 4" xfId="7626"/>
    <cellStyle name="ex61 3 4 5" xfId="7627"/>
    <cellStyle name="ex61 3 5" xfId="7628"/>
    <cellStyle name="ex61 3 6" xfId="7629"/>
    <cellStyle name="ex61 3 7" xfId="7630"/>
    <cellStyle name="ex61 3 8" xfId="7631"/>
    <cellStyle name="ex61 4" xfId="774"/>
    <cellStyle name="ex61 4 2" xfId="775"/>
    <cellStyle name="ex61 4 2 2" xfId="776"/>
    <cellStyle name="ex61 4 2 3" xfId="777"/>
    <cellStyle name="ex61 4 3" xfId="778"/>
    <cellStyle name="ex61 4 4" xfId="779"/>
    <cellStyle name="ex61 4 4 2" xfId="7632"/>
    <cellStyle name="ex61 4 4 3" xfId="7633"/>
    <cellStyle name="ex61 4 4 4" xfId="7634"/>
    <cellStyle name="ex61 4 4 5" xfId="7635"/>
    <cellStyle name="ex61 4 5" xfId="7636"/>
    <cellStyle name="ex61 4 6" xfId="7637"/>
    <cellStyle name="ex61 4 7" xfId="7638"/>
    <cellStyle name="ex61 4 8" xfId="7639"/>
    <cellStyle name="ex61 5" xfId="780"/>
    <cellStyle name="ex61 5 2" xfId="781"/>
    <cellStyle name="ex61 5 2 2" xfId="782"/>
    <cellStyle name="ex61 5 2 3" xfId="783"/>
    <cellStyle name="ex61 5 3" xfId="784"/>
    <cellStyle name="ex61 5 4" xfId="785"/>
    <cellStyle name="ex61 5 4 2" xfId="7640"/>
    <cellStyle name="ex61 5 4 3" xfId="7641"/>
    <cellStyle name="ex61 5 4 4" xfId="7642"/>
    <cellStyle name="ex61 5 4 5" xfId="7643"/>
    <cellStyle name="ex61 5 5" xfId="7644"/>
    <cellStyle name="ex61 5 6" xfId="7645"/>
    <cellStyle name="ex61 5 7" xfId="7646"/>
    <cellStyle name="ex61 5 8" xfId="7647"/>
    <cellStyle name="ex61 6" xfId="786"/>
    <cellStyle name="ex61 6 2" xfId="787"/>
    <cellStyle name="ex61 6 2 2" xfId="788"/>
    <cellStyle name="ex61 6 2 3" xfId="789"/>
    <cellStyle name="ex61 6 3" xfId="790"/>
    <cellStyle name="ex61 6 4" xfId="791"/>
    <cellStyle name="ex61 6 4 2" xfId="7648"/>
    <cellStyle name="ex61 6 4 3" xfId="7649"/>
    <cellStyle name="ex61 6 4 4" xfId="7650"/>
    <cellStyle name="ex61 6 4 5" xfId="7651"/>
    <cellStyle name="ex61 6 5" xfId="7652"/>
    <cellStyle name="ex61 6 6" xfId="7653"/>
    <cellStyle name="ex61 6 7" xfId="7654"/>
    <cellStyle name="ex61 6 8" xfId="7655"/>
    <cellStyle name="ex61 7" xfId="792"/>
    <cellStyle name="ex61 7 2" xfId="793"/>
    <cellStyle name="ex61 7 2 2" xfId="794"/>
    <cellStyle name="ex61 7 2 3" xfId="795"/>
    <cellStyle name="ex61 7 3" xfId="796"/>
    <cellStyle name="ex61 7 4" xfId="797"/>
    <cellStyle name="ex61 7 4 2" xfId="7656"/>
    <cellStyle name="ex61 7 4 3" xfId="7657"/>
    <cellStyle name="ex61 7 4 4" xfId="7658"/>
    <cellStyle name="ex61 7 4 5" xfId="7659"/>
    <cellStyle name="ex61 7 5" xfId="7660"/>
    <cellStyle name="ex61 7 6" xfId="7661"/>
    <cellStyle name="ex61 7 7" xfId="7662"/>
    <cellStyle name="ex61 7 8" xfId="7663"/>
    <cellStyle name="ex61 8" xfId="798"/>
    <cellStyle name="ex61 8 2" xfId="799"/>
    <cellStyle name="ex61 8 2 2" xfId="800"/>
    <cellStyle name="ex61 8 2 3" xfId="801"/>
    <cellStyle name="ex61 8 3" xfId="802"/>
    <cellStyle name="ex61 8 4" xfId="803"/>
    <cellStyle name="ex61 8 4 2" xfId="7664"/>
    <cellStyle name="ex61 8 4 3" xfId="7665"/>
    <cellStyle name="ex61 8 4 4" xfId="7666"/>
    <cellStyle name="ex61 8 4 5" xfId="7667"/>
    <cellStyle name="ex61 8 5" xfId="7668"/>
    <cellStyle name="ex61 8 6" xfId="7669"/>
    <cellStyle name="ex61 8 7" xfId="7670"/>
    <cellStyle name="ex61 8 8" xfId="7671"/>
    <cellStyle name="ex61 9" xfId="804"/>
    <cellStyle name="ex61 9 2" xfId="805"/>
    <cellStyle name="ex61 9 2 2" xfId="806"/>
    <cellStyle name="ex61 9 2 3" xfId="807"/>
    <cellStyle name="ex61 9 3" xfId="808"/>
    <cellStyle name="ex61 9 4" xfId="809"/>
    <cellStyle name="ex61 9 4 2" xfId="7672"/>
    <cellStyle name="ex61 9 4 3" xfId="7673"/>
    <cellStyle name="ex61 9 4 4" xfId="7674"/>
    <cellStyle name="ex61 9 4 5" xfId="7675"/>
    <cellStyle name="ex61 9 5" xfId="7676"/>
    <cellStyle name="ex61 9 6" xfId="7677"/>
    <cellStyle name="ex61 9 7" xfId="7678"/>
    <cellStyle name="ex61 9 8" xfId="7679"/>
    <cellStyle name="ex62" xfId="22"/>
    <cellStyle name="ex62 10" xfId="810"/>
    <cellStyle name="ex62 10 2" xfId="811"/>
    <cellStyle name="ex62 10 2 2" xfId="812"/>
    <cellStyle name="ex62 10 2 3" xfId="813"/>
    <cellStyle name="ex62 10 3" xfId="814"/>
    <cellStyle name="ex62 10 4" xfId="815"/>
    <cellStyle name="ex62 10 4 2" xfId="7680"/>
    <cellStyle name="ex62 10 4 3" xfId="7681"/>
    <cellStyle name="ex62 10 4 4" xfId="7682"/>
    <cellStyle name="ex62 10 4 5" xfId="7683"/>
    <cellStyle name="ex62 10 5" xfId="7684"/>
    <cellStyle name="ex62 10 6" xfId="7685"/>
    <cellStyle name="ex62 10 7" xfId="7686"/>
    <cellStyle name="ex62 10 8" xfId="7687"/>
    <cellStyle name="ex62 11" xfId="816"/>
    <cellStyle name="ex62 11 2" xfId="817"/>
    <cellStyle name="ex62 11 3" xfId="818"/>
    <cellStyle name="ex62 12" xfId="819"/>
    <cellStyle name="ex62 13" xfId="820"/>
    <cellStyle name="ex62 13 2" xfId="7688"/>
    <cellStyle name="ex62 13 3" xfId="7689"/>
    <cellStyle name="ex62 13 4" xfId="7690"/>
    <cellStyle name="ex62 13 5" xfId="7691"/>
    <cellStyle name="ex62 14" xfId="7692"/>
    <cellStyle name="ex62 15" xfId="7693"/>
    <cellStyle name="ex62 16" xfId="7694"/>
    <cellStyle name="ex62 17" xfId="7695"/>
    <cellStyle name="ex62 18" xfId="23866"/>
    <cellStyle name="ex62 2" xfId="821"/>
    <cellStyle name="ex62 2 2" xfId="822"/>
    <cellStyle name="ex62 2 2 2" xfId="823"/>
    <cellStyle name="ex62 2 2 2 2" xfId="824"/>
    <cellStyle name="ex62 2 2 2 3" xfId="825"/>
    <cellStyle name="ex62 2 2 3" xfId="826"/>
    <cellStyle name="ex62 2 2 4" xfId="827"/>
    <cellStyle name="ex62 2 2 4 2" xfId="7696"/>
    <cellStyle name="ex62 2 2 4 3" xfId="7697"/>
    <cellStyle name="ex62 2 2 4 4" xfId="7698"/>
    <cellStyle name="ex62 2 2 4 5" xfId="7699"/>
    <cellStyle name="ex62 2 2 5" xfId="7700"/>
    <cellStyle name="ex62 2 2 6" xfId="7701"/>
    <cellStyle name="ex62 2 2 7" xfId="7702"/>
    <cellStyle name="ex62 2 2 8" xfId="7703"/>
    <cellStyle name="ex62 2 3" xfId="828"/>
    <cellStyle name="ex62 2 3 2" xfId="829"/>
    <cellStyle name="ex62 2 3 3" xfId="830"/>
    <cellStyle name="ex62 2 4" xfId="831"/>
    <cellStyle name="ex62 2 5" xfId="832"/>
    <cellStyle name="ex62 2 5 2" xfId="7704"/>
    <cellStyle name="ex62 2 5 3" xfId="7705"/>
    <cellStyle name="ex62 2 5 4" xfId="7706"/>
    <cellStyle name="ex62 2 5 5" xfId="7707"/>
    <cellStyle name="ex62 2 6" xfId="7708"/>
    <cellStyle name="ex62 2 7" xfId="7709"/>
    <cellStyle name="ex62 2 8" xfId="7710"/>
    <cellStyle name="ex62 2 9" xfId="7711"/>
    <cellStyle name="ex62 3" xfId="833"/>
    <cellStyle name="ex62 3 2" xfId="834"/>
    <cellStyle name="ex62 3 2 2" xfId="835"/>
    <cellStyle name="ex62 3 2 3" xfId="836"/>
    <cellStyle name="ex62 3 3" xfId="837"/>
    <cellStyle name="ex62 3 4" xfId="838"/>
    <cellStyle name="ex62 3 4 2" xfId="7712"/>
    <cellStyle name="ex62 3 4 3" xfId="7713"/>
    <cellStyle name="ex62 3 4 4" xfId="7714"/>
    <cellStyle name="ex62 3 4 5" xfId="7715"/>
    <cellStyle name="ex62 3 5" xfId="7716"/>
    <cellStyle name="ex62 3 6" xfId="7717"/>
    <cellStyle name="ex62 3 7" xfId="7718"/>
    <cellStyle name="ex62 3 8" xfId="7719"/>
    <cellStyle name="ex62 4" xfId="839"/>
    <cellStyle name="ex62 4 2" xfId="840"/>
    <cellStyle name="ex62 4 2 2" xfId="841"/>
    <cellStyle name="ex62 4 2 3" xfId="842"/>
    <cellStyle name="ex62 4 3" xfId="843"/>
    <cellStyle name="ex62 4 4" xfId="844"/>
    <cellStyle name="ex62 4 4 2" xfId="7720"/>
    <cellStyle name="ex62 4 4 3" xfId="7721"/>
    <cellStyle name="ex62 4 4 4" xfId="7722"/>
    <cellStyle name="ex62 4 4 5" xfId="7723"/>
    <cellStyle name="ex62 4 5" xfId="7724"/>
    <cellStyle name="ex62 4 6" xfId="7725"/>
    <cellStyle name="ex62 4 7" xfId="7726"/>
    <cellStyle name="ex62 4 8" xfId="7727"/>
    <cellStyle name="ex62 5" xfId="845"/>
    <cellStyle name="ex62 5 2" xfId="846"/>
    <cellStyle name="ex62 5 2 2" xfId="847"/>
    <cellStyle name="ex62 5 2 3" xfId="848"/>
    <cellStyle name="ex62 5 3" xfId="849"/>
    <cellStyle name="ex62 5 4" xfId="850"/>
    <cellStyle name="ex62 5 4 2" xfId="7728"/>
    <cellStyle name="ex62 5 4 3" xfId="7729"/>
    <cellStyle name="ex62 5 4 4" xfId="7730"/>
    <cellStyle name="ex62 5 4 5" xfId="7731"/>
    <cellStyle name="ex62 5 5" xfId="7732"/>
    <cellStyle name="ex62 5 6" xfId="7733"/>
    <cellStyle name="ex62 5 7" xfId="7734"/>
    <cellStyle name="ex62 5 8" xfId="7735"/>
    <cellStyle name="ex62 6" xfId="851"/>
    <cellStyle name="ex62 6 2" xfId="852"/>
    <cellStyle name="ex62 6 2 2" xfId="853"/>
    <cellStyle name="ex62 6 2 3" xfId="854"/>
    <cellStyle name="ex62 6 3" xfId="855"/>
    <cellStyle name="ex62 6 4" xfId="856"/>
    <cellStyle name="ex62 6 4 2" xfId="7736"/>
    <cellStyle name="ex62 6 4 3" xfId="7737"/>
    <cellStyle name="ex62 6 4 4" xfId="7738"/>
    <cellStyle name="ex62 6 4 5" xfId="7739"/>
    <cellStyle name="ex62 6 5" xfId="7740"/>
    <cellStyle name="ex62 6 6" xfId="7741"/>
    <cellStyle name="ex62 6 7" xfId="7742"/>
    <cellStyle name="ex62 6 8" xfId="7743"/>
    <cellStyle name="ex62 7" xfId="857"/>
    <cellStyle name="ex62 7 2" xfId="858"/>
    <cellStyle name="ex62 7 2 2" xfId="859"/>
    <cellStyle name="ex62 7 2 3" xfId="860"/>
    <cellStyle name="ex62 7 3" xfId="861"/>
    <cellStyle name="ex62 7 4" xfId="862"/>
    <cellStyle name="ex62 7 4 2" xfId="7744"/>
    <cellStyle name="ex62 7 4 3" xfId="7745"/>
    <cellStyle name="ex62 7 4 4" xfId="7746"/>
    <cellStyle name="ex62 7 4 5" xfId="7747"/>
    <cellStyle name="ex62 7 5" xfId="7748"/>
    <cellStyle name="ex62 7 6" xfId="7749"/>
    <cellStyle name="ex62 7 7" xfId="7750"/>
    <cellStyle name="ex62 7 8" xfId="7751"/>
    <cellStyle name="ex62 8" xfId="863"/>
    <cellStyle name="ex62 8 2" xfId="864"/>
    <cellStyle name="ex62 8 2 2" xfId="865"/>
    <cellStyle name="ex62 8 2 3" xfId="866"/>
    <cellStyle name="ex62 8 3" xfId="867"/>
    <cellStyle name="ex62 8 4" xfId="868"/>
    <cellStyle name="ex62 8 4 2" xfId="7752"/>
    <cellStyle name="ex62 8 4 3" xfId="7753"/>
    <cellStyle name="ex62 8 4 4" xfId="7754"/>
    <cellStyle name="ex62 8 4 5" xfId="7755"/>
    <cellStyle name="ex62 8 5" xfId="7756"/>
    <cellStyle name="ex62 8 6" xfId="7757"/>
    <cellStyle name="ex62 8 7" xfId="7758"/>
    <cellStyle name="ex62 8 8" xfId="7759"/>
    <cellStyle name="ex62 9" xfId="869"/>
    <cellStyle name="ex62 9 2" xfId="870"/>
    <cellStyle name="ex62 9 2 2" xfId="871"/>
    <cellStyle name="ex62 9 2 3" xfId="872"/>
    <cellStyle name="ex62 9 3" xfId="873"/>
    <cellStyle name="ex62 9 4" xfId="874"/>
    <cellStyle name="ex62 9 4 2" xfId="7760"/>
    <cellStyle name="ex62 9 4 3" xfId="7761"/>
    <cellStyle name="ex62 9 4 4" xfId="7762"/>
    <cellStyle name="ex62 9 4 5" xfId="7763"/>
    <cellStyle name="ex62 9 5" xfId="7764"/>
    <cellStyle name="ex62 9 6" xfId="7765"/>
    <cellStyle name="ex62 9 7" xfId="7766"/>
    <cellStyle name="ex62 9 8" xfId="7767"/>
    <cellStyle name="ex63" xfId="23"/>
    <cellStyle name="ex63 10" xfId="875"/>
    <cellStyle name="ex63 10 2" xfId="876"/>
    <cellStyle name="ex63 10 2 2" xfId="877"/>
    <cellStyle name="ex63 10 2 3" xfId="878"/>
    <cellStyle name="ex63 10 3" xfId="879"/>
    <cellStyle name="ex63 10 4" xfId="880"/>
    <cellStyle name="ex63 10 4 2" xfId="7768"/>
    <cellStyle name="ex63 10 4 3" xfId="7769"/>
    <cellStyle name="ex63 10 4 4" xfId="7770"/>
    <cellStyle name="ex63 10 4 5" xfId="7771"/>
    <cellStyle name="ex63 10 5" xfId="7772"/>
    <cellStyle name="ex63 10 6" xfId="7773"/>
    <cellStyle name="ex63 10 7" xfId="7774"/>
    <cellStyle name="ex63 10 8" xfId="7775"/>
    <cellStyle name="ex63 11" xfId="881"/>
    <cellStyle name="ex63 11 2" xfId="882"/>
    <cellStyle name="ex63 11 3" xfId="883"/>
    <cellStyle name="ex63 12" xfId="884"/>
    <cellStyle name="ex63 13" xfId="885"/>
    <cellStyle name="ex63 13 2" xfId="7776"/>
    <cellStyle name="ex63 13 3" xfId="7777"/>
    <cellStyle name="ex63 13 4" xfId="7778"/>
    <cellStyle name="ex63 13 5" xfId="7779"/>
    <cellStyle name="ex63 14" xfId="5525"/>
    <cellStyle name="ex63 15" xfId="7780"/>
    <cellStyle name="ex63 16" xfId="7781"/>
    <cellStyle name="ex63 17" xfId="7782"/>
    <cellStyle name="ex63 18" xfId="23867"/>
    <cellStyle name="ex63 2" xfId="886"/>
    <cellStyle name="ex63 2 2" xfId="887"/>
    <cellStyle name="ex63 2 2 2" xfId="888"/>
    <cellStyle name="ex63 2 2 3" xfId="889"/>
    <cellStyle name="ex63 2 3" xfId="890"/>
    <cellStyle name="ex63 2 4" xfId="891"/>
    <cellStyle name="ex63 2 4 2" xfId="7783"/>
    <cellStyle name="ex63 2 4 3" xfId="7784"/>
    <cellStyle name="ex63 2 4 4" xfId="7785"/>
    <cellStyle name="ex63 2 4 5" xfId="7786"/>
    <cellStyle name="ex63 2 5" xfId="7787"/>
    <cellStyle name="ex63 2 6" xfId="7788"/>
    <cellStyle name="ex63 2 7" xfId="7789"/>
    <cellStyle name="ex63 2 8" xfId="7790"/>
    <cellStyle name="ex63 3" xfId="892"/>
    <cellStyle name="ex63 3 2" xfId="893"/>
    <cellStyle name="ex63 3 2 2" xfId="894"/>
    <cellStyle name="ex63 3 2 3" xfId="895"/>
    <cellStyle name="ex63 3 3" xfId="896"/>
    <cellStyle name="ex63 3 4" xfId="897"/>
    <cellStyle name="ex63 3 4 2" xfId="7791"/>
    <cellStyle name="ex63 3 4 3" xfId="7792"/>
    <cellStyle name="ex63 3 4 4" xfId="7793"/>
    <cellStyle name="ex63 3 4 5" xfId="7794"/>
    <cellStyle name="ex63 3 5" xfId="7795"/>
    <cellStyle name="ex63 3 6" xfId="7796"/>
    <cellStyle name="ex63 3 7" xfId="7797"/>
    <cellStyle name="ex63 3 8" xfId="7798"/>
    <cellStyle name="ex63 4" xfId="898"/>
    <cellStyle name="ex63 4 2" xfId="899"/>
    <cellStyle name="ex63 4 2 2" xfId="900"/>
    <cellStyle name="ex63 4 2 3" xfId="901"/>
    <cellStyle name="ex63 4 3" xfId="902"/>
    <cellStyle name="ex63 4 4" xfId="903"/>
    <cellStyle name="ex63 4 4 2" xfId="7799"/>
    <cellStyle name="ex63 4 4 3" xfId="7800"/>
    <cellStyle name="ex63 4 4 4" xfId="7801"/>
    <cellStyle name="ex63 4 4 5" xfId="7802"/>
    <cellStyle name="ex63 4 5" xfId="7803"/>
    <cellStyle name="ex63 4 6" xfId="7804"/>
    <cellStyle name="ex63 4 7" xfId="7805"/>
    <cellStyle name="ex63 4 8" xfId="7806"/>
    <cellStyle name="ex63 5" xfId="904"/>
    <cellStyle name="ex63 5 2" xfId="905"/>
    <cellStyle name="ex63 5 2 2" xfId="906"/>
    <cellStyle name="ex63 5 2 3" xfId="907"/>
    <cellStyle name="ex63 5 3" xfId="908"/>
    <cellStyle name="ex63 5 4" xfId="909"/>
    <cellStyle name="ex63 5 4 2" xfId="7807"/>
    <cellStyle name="ex63 5 4 3" xfId="7808"/>
    <cellStyle name="ex63 5 4 4" xfId="7809"/>
    <cellStyle name="ex63 5 4 5" xfId="7810"/>
    <cellStyle name="ex63 5 5" xfId="7811"/>
    <cellStyle name="ex63 5 6" xfId="7812"/>
    <cellStyle name="ex63 5 7" xfId="7813"/>
    <cellStyle name="ex63 5 8" xfId="7814"/>
    <cellStyle name="ex63 6" xfId="910"/>
    <cellStyle name="ex63 6 2" xfId="911"/>
    <cellStyle name="ex63 6 2 2" xfId="912"/>
    <cellStyle name="ex63 6 2 3" xfId="913"/>
    <cellStyle name="ex63 6 3" xfId="914"/>
    <cellStyle name="ex63 6 4" xfId="915"/>
    <cellStyle name="ex63 6 4 2" xfId="7815"/>
    <cellStyle name="ex63 6 4 3" xfId="7816"/>
    <cellStyle name="ex63 6 4 4" xfId="7817"/>
    <cellStyle name="ex63 6 4 5" xfId="7818"/>
    <cellStyle name="ex63 6 5" xfId="7819"/>
    <cellStyle name="ex63 6 6" xfId="7820"/>
    <cellStyle name="ex63 6 7" xfId="7821"/>
    <cellStyle name="ex63 6 8" xfId="7822"/>
    <cellStyle name="ex63 7" xfId="916"/>
    <cellStyle name="ex63 7 2" xfId="917"/>
    <cellStyle name="ex63 7 2 2" xfId="918"/>
    <cellStyle name="ex63 7 2 3" xfId="919"/>
    <cellStyle name="ex63 7 3" xfId="920"/>
    <cellStyle name="ex63 7 4" xfId="921"/>
    <cellStyle name="ex63 7 4 2" xfId="7823"/>
    <cellStyle name="ex63 7 4 3" xfId="7824"/>
    <cellStyle name="ex63 7 4 4" xfId="7825"/>
    <cellStyle name="ex63 7 4 5" xfId="7826"/>
    <cellStyle name="ex63 7 5" xfId="7827"/>
    <cellStyle name="ex63 7 6" xfId="7828"/>
    <cellStyle name="ex63 7 7" xfId="7829"/>
    <cellStyle name="ex63 7 8" xfId="7830"/>
    <cellStyle name="ex63 8" xfId="922"/>
    <cellStyle name="ex63 8 2" xfId="923"/>
    <cellStyle name="ex63 8 2 2" xfId="924"/>
    <cellStyle name="ex63 8 2 3" xfId="925"/>
    <cellStyle name="ex63 8 3" xfId="926"/>
    <cellStyle name="ex63 8 4" xfId="927"/>
    <cellStyle name="ex63 8 4 2" xfId="7831"/>
    <cellStyle name="ex63 8 4 3" xfId="7832"/>
    <cellStyle name="ex63 8 4 4" xfId="7833"/>
    <cellStyle name="ex63 8 4 5" xfId="7834"/>
    <cellStyle name="ex63 8 5" xfId="7835"/>
    <cellStyle name="ex63 8 6" xfId="7836"/>
    <cellStyle name="ex63 8 7" xfId="7837"/>
    <cellStyle name="ex63 8 8" xfId="7838"/>
    <cellStyle name="ex63 9" xfId="928"/>
    <cellStyle name="ex63 9 2" xfId="929"/>
    <cellStyle name="ex63 9 2 2" xfId="930"/>
    <cellStyle name="ex63 9 2 3" xfId="931"/>
    <cellStyle name="ex63 9 3" xfId="932"/>
    <cellStyle name="ex63 9 4" xfId="933"/>
    <cellStyle name="ex63 9 4 2" xfId="7839"/>
    <cellStyle name="ex63 9 4 3" xfId="7840"/>
    <cellStyle name="ex63 9 4 4" xfId="7841"/>
    <cellStyle name="ex63 9 4 5" xfId="7842"/>
    <cellStyle name="ex63 9 5" xfId="7843"/>
    <cellStyle name="ex63 9 6" xfId="7844"/>
    <cellStyle name="ex63 9 7" xfId="7845"/>
    <cellStyle name="ex63 9 8" xfId="7846"/>
    <cellStyle name="ex64" xfId="934"/>
    <cellStyle name="ex64 10" xfId="935"/>
    <cellStyle name="ex64 10 2" xfId="936"/>
    <cellStyle name="ex64 10 2 2" xfId="937"/>
    <cellStyle name="ex64 10 2 3" xfId="938"/>
    <cellStyle name="ex64 10 3" xfId="939"/>
    <cellStyle name="ex64 10 4" xfId="940"/>
    <cellStyle name="ex64 10 4 2" xfId="7847"/>
    <cellStyle name="ex64 10 4 3" xfId="7848"/>
    <cellStyle name="ex64 10 4 4" xfId="7849"/>
    <cellStyle name="ex64 10 4 5" xfId="7850"/>
    <cellStyle name="ex64 10 5" xfId="7851"/>
    <cellStyle name="ex64 10 6" xfId="7852"/>
    <cellStyle name="ex64 10 7" xfId="7853"/>
    <cellStyle name="ex64 10 8" xfId="7854"/>
    <cellStyle name="ex64 11" xfId="941"/>
    <cellStyle name="ex64 11 2" xfId="942"/>
    <cellStyle name="ex64 11 2 2" xfId="943"/>
    <cellStyle name="ex64 11 2 3" xfId="944"/>
    <cellStyle name="ex64 11 3" xfId="945"/>
    <cellStyle name="ex64 11 4" xfId="946"/>
    <cellStyle name="ex64 11 4 2" xfId="7855"/>
    <cellStyle name="ex64 11 4 3" xfId="7856"/>
    <cellStyle name="ex64 11 4 4" xfId="7857"/>
    <cellStyle name="ex64 11 4 5" xfId="7858"/>
    <cellStyle name="ex64 11 5" xfId="7859"/>
    <cellStyle name="ex64 11 6" xfId="7860"/>
    <cellStyle name="ex64 11 7" xfId="7861"/>
    <cellStyle name="ex64 11 8" xfId="7862"/>
    <cellStyle name="ex64 12" xfId="947"/>
    <cellStyle name="ex64 12 2" xfId="948"/>
    <cellStyle name="ex64 12 3" xfId="949"/>
    <cellStyle name="ex64 13" xfId="950"/>
    <cellStyle name="ex64 14" xfId="951"/>
    <cellStyle name="ex64 14 2" xfId="7863"/>
    <cellStyle name="ex64 14 3" xfId="7864"/>
    <cellStyle name="ex64 14 4" xfId="7865"/>
    <cellStyle name="ex64 14 5" xfId="7866"/>
    <cellStyle name="ex64 15" xfId="7867"/>
    <cellStyle name="ex64 16" xfId="7868"/>
    <cellStyle name="ex64 17" xfId="7869"/>
    <cellStyle name="ex64 18" xfId="7870"/>
    <cellStyle name="ex64 19" xfId="23868"/>
    <cellStyle name="ex64 2" xfId="952"/>
    <cellStyle name="ex64 2 10" xfId="953"/>
    <cellStyle name="ex64 2 10 2" xfId="954"/>
    <cellStyle name="ex64 2 10 2 2" xfId="955"/>
    <cellStyle name="ex64 2 10 2 3" xfId="956"/>
    <cellStyle name="ex64 2 10 3" xfId="957"/>
    <cellStyle name="ex64 2 10 4" xfId="958"/>
    <cellStyle name="ex64 2 10 4 2" xfId="7871"/>
    <cellStyle name="ex64 2 10 4 3" xfId="7872"/>
    <cellStyle name="ex64 2 10 4 4" xfId="7873"/>
    <cellStyle name="ex64 2 10 4 5" xfId="7874"/>
    <cellStyle name="ex64 2 10 5" xfId="7875"/>
    <cellStyle name="ex64 2 10 6" xfId="7876"/>
    <cellStyle name="ex64 2 10 7" xfId="7877"/>
    <cellStyle name="ex64 2 10 8" xfId="7878"/>
    <cellStyle name="ex64 2 11" xfId="959"/>
    <cellStyle name="ex64 2 11 2" xfId="960"/>
    <cellStyle name="ex64 2 11 3" xfId="961"/>
    <cellStyle name="ex64 2 12" xfId="962"/>
    <cellStyle name="ex64 2 13" xfId="963"/>
    <cellStyle name="ex64 2 13 2" xfId="7879"/>
    <cellStyle name="ex64 2 13 3" xfId="7880"/>
    <cellStyle name="ex64 2 13 4" xfId="7881"/>
    <cellStyle name="ex64 2 13 5" xfId="7882"/>
    <cellStyle name="ex64 2 14" xfId="7883"/>
    <cellStyle name="ex64 2 15" xfId="7884"/>
    <cellStyle name="ex64 2 16" xfId="7885"/>
    <cellStyle name="ex64 2 17" xfId="7886"/>
    <cellStyle name="ex64 2 2" xfId="964"/>
    <cellStyle name="ex64 2 2 2" xfId="965"/>
    <cellStyle name="ex64 2 2 2 2" xfId="966"/>
    <cellStyle name="ex64 2 2 2 3" xfId="967"/>
    <cellStyle name="ex64 2 2 3" xfId="968"/>
    <cellStyle name="ex64 2 2 4" xfId="969"/>
    <cellStyle name="ex64 2 2 4 2" xfId="7887"/>
    <cellStyle name="ex64 2 2 4 3" xfId="7888"/>
    <cellStyle name="ex64 2 2 4 4" xfId="7889"/>
    <cellStyle name="ex64 2 2 4 5" xfId="7890"/>
    <cellStyle name="ex64 2 2 5" xfId="7891"/>
    <cellStyle name="ex64 2 2 6" xfId="7892"/>
    <cellStyle name="ex64 2 2 7" xfId="7893"/>
    <cellStyle name="ex64 2 2 8" xfId="7894"/>
    <cellStyle name="ex64 2 3" xfId="970"/>
    <cellStyle name="ex64 2 3 2" xfId="971"/>
    <cellStyle name="ex64 2 3 2 2" xfId="972"/>
    <cellStyle name="ex64 2 3 2 3" xfId="973"/>
    <cellStyle name="ex64 2 3 3" xfId="974"/>
    <cellStyle name="ex64 2 3 4" xfId="975"/>
    <cellStyle name="ex64 2 3 4 2" xfId="7895"/>
    <cellStyle name="ex64 2 3 4 3" xfId="7896"/>
    <cellStyle name="ex64 2 3 4 4" xfId="7897"/>
    <cellStyle name="ex64 2 3 4 5" xfId="7898"/>
    <cellStyle name="ex64 2 3 5" xfId="7899"/>
    <cellStyle name="ex64 2 3 6" xfId="7900"/>
    <cellStyle name="ex64 2 3 7" xfId="7901"/>
    <cellStyle name="ex64 2 3 8" xfId="7902"/>
    <cellStyle name="ex64 2 4" xfId="976"/>
    <cellStyle name="ex64 2 4 2" xfId="977"/>
    <cellStyle name="ex64 2 4 2 2" xfId="978"/>
    <cellStyle name="ex64 2 4 2 3" xfId="979"/>
    <cellStyle name="ex64 2 4 3" xfId="980"/>
    <cellStyle name="ex64 2 4 4" xfId="981"/>
    <cellStyle name="ex64 2 4 4 2" xfId="7903"/>
    <cellStyle name="ex64 2 4 4 3" xfId="7904"/>
    <cellStyle name="ex64 2 4 4 4" xfId="7905"/>
    <cellStyle name="ex64 2 4 4 5" xfId="7906"/>
    <cellStyle name="ex64 2 4 5" xfId="7907"/>
    <cellStyle name="ex64 2 4 6" xfId="7908"/>
    <cellStyle name="ex64 2 4 7" xfId="7909"/>
    <cellStyle name="ex64 2 4 8" xfId="7910"/>
    <cellStyle name="ex64 2 5" xfId="982"/>
    <cellStyle name="ex64 2 5 2" xfId="983"/>
    <cellStyle name="ex64 2 5 2 2" xfId="984"/>
    <cellStyle name="ex64 2 5 2 3" xfId="985"/>
    <cellStyle name="ex64 2 5 3" xfId="986"/>
    <cellStyle name="ex64 2 5 4" xfId="987"/>
    <cellStyle name="ex64 2 5 4 2" xfId="7911"/>
    <cellStyle name="ex64 2 5 4 3" xfId="7912"/>
    <cellStyle name="ex64 2 5 4 4" xfId="7913"/>
    <cellStyle name="ex64 2 5 4 5" xfId="7914"/>
    <cellStyle name="ex64 2 5 5" xfId="7915"/>
    <cellStyle name="ex64 2 5 6" xfId="7916"/>
    <cellStyle name="ex64 2 5 7" xfId="7917"/>
    <cellStyle name="ex64 2 5 8" xfId="7918"/>
    <cellStyle name="ex64 2 6" xfId="988"/>
    <cellStyle name="ex64 2 6 2" xfId="989"/>
    <cellStyle name="ex64 2 6 2 2" xfId="990"/>
    <cellStyle name="ex64 2 6 2 3" xfId="991"/>
    <cellStyle name="ex64 2 6 3" xfId="992"/>
    <cellStyle name="ex64 2 6 4" xfId="993"/>
    <cellStyle name="ex64 2 6 4 2" xfId="7919"/>
    <cellStyle name="ex64 2 6 4 3" xfId="7920"/>
    <cellStyle name="ex64 2 6 4 4" xfId="7921"/>
    <cellStyle name="ex64 2 6 4 5" xfId="7922"/>
    <cellStyle name="ex64 2 6 5" xfId="7923"/>
    <cellStyle name="ex64 2 6 6" xfId="7924"/>
    <cellStyle name="ex64 2 6 7" xfId="7925"/>
    <cellStyle name="ex64 2 6 8" xfId="7926"/>
    <cellStyle name="ex64 2 7" xfId="994"/>
    <cellStyle name="ex64 2 7 2" xfId="995"/>
    <cellStyle name="ex64 2 7 2 2" xfId="996"/>
    <cellStyle name="ex64 2 7 2 3" xfId="997"/>
    <cellStyle name="ex64 2 7 3" xfId="998"/>
    <cellStyle name="ex64 2 7 4" xfId="999"/>
    <cellStyle name="ex64 2 7 4 2" xfId="7927"/>
    <cellStyle name="ex64 2 7 4 3" xfId="7928"/>
    <cellStyle name="ex64 2 7 4 4" xfId="7929"/>
    <cellStyle name="ex64 2 7 4 5" xfId="7930"/>
    <cellStyle name="ex64 2 7 5" xfId="7931"/>
    <cellStyle name="ex64 2 7 6" xfId="7932"/>
    <cellStyle name="ex64 2 7 7" xfId="7933"/>
    <cellStyle name="ex64 2 7 8" xfId="7934"/>
    <cellStyle name="ex64 2 8" xfId="1000"/>
    <cellStyle name="ex64 2 8 2" xfId="1001"/>
    <cellStyle name="ex64 2 8 2 2" xfId="1002"/>
    <cellStyle name="ex64 2 8 2 3" xfId="1003"/>
    <cellStyle name="ex64 2 8 3" xfId="1004"/>
    <cellStyle name="ex64 2 8 4" xfId="1005"/>
    <cellStyle name="ex64 2 8 4 2" xfId="7935"/>
    <cellStyle name="ex64 2 8 4 3" xfId="7936"/>
    <cellStyle name="ex64 2 8 4 4" xfId="7937"/>
    <cellStyle name="ex64 2 8 4 5" xfId="7938"/>
    <cellStyle name="ex64 2 8 5" xfId="7939"/>
    <cellStyle name="ex64 2 8 6" xfId="7940"/>
    <cellStyle name="ex64 2 8 7" xfId="7941"/>
    <cellStyle name="ex64 2 8 8" xfId="7942"/>
    <cellStyle name="ex64 2 9" xfId="1006"/>
    <cellStyle name="ex64 2 9 2" xfId="1007"/>
    <cellStyle name="ex64 2 9 2 2" xfId="1008"/>
    <cellStyle name="ex64 2 9 2 3" xfId="1009"/>
    <cellStyle name="ex64 2 9 3" xfId="1010"/>
    <cellStyle name="ex64 2 9 4" xfId="1011"/>
    <cellStyle name="ex64 2 9 4 2" xfId="7943"/>
    <cellStyle name="ex64 2 9 4 3" xfId="7944"/>
    <cellStyle name="ex64 2 9 4 4" xfId="7945"/>
    <cellStyle name="ex64 2 9 4 5" xfId="7946"/>
    <cellStyle name="ex64 2 9 5" xfId="7947"/>
    <cellStyle name="ex64 2 9 6" xfId="7948"/>
    <cellStyle name="ex64 2 9 7" xfId="7949"/>
    <cellStyle name="ex64 2 9 8" xfId="7950"/>
    <cellStyle name="ex64 3" xfId="1012"/>
    <cellStyle name="ex64 3 2" xfId="1013"/>
    <cellStyle name="ex64 3 2 2" xfId="1014"/>
    <cellStyle name="ex64 3 2 3" xfId="1015"/>
    <cellStyle name="ex64 3 3" xfId="1016"/>
    <cellStyle name="ex64 3 4" xfId="1017"/>
    <cellStyle name="ex64 3 4 2" xfId="7951"/>
    <cellStyle name="ex64 3 4 3" xfId="7952"/>
    <cellStyle name="ex64 3 4 4" xfId="7953"/>
    <cellStyle name="ex64 3 4 5" xfId="7954"/>
    <cellStyle name="ex64 3 5" xfId="7955"/>
    <cellStyle name="ex64 3 6" xfId="7956"/>
    <cellStyle name="ex64 3 7" xfId="7957"/>
    <cellStyle name="ex64 3 8" xfId="7958"/>
    <cellStyle name="ex64 4" xfId="1018"/>
    <cellStyle name="ex64 4 2" xfId="1019"/>
    <cellStyle name="ex64 4 2 2" xfId="1020"/>
    <cellStyle name="ex64 4 2 3" xfId="1021"/>
    <cellStyle name="ex64 4 3" xfId="1022"/>
    <cellStyle name="ex64 4 4" xfId="1023"/>
    <cellStyle name="ex64 4 4 2" xfId="7959"/>
    <cellStyle name="ex64 4 4 3" xfId="7960"/>
    <cellStyle name="ex64 4 4 4" xfId="7961"/>
    <cellStyle name="ex64 4 4 5" xfId="7962"/>
    <cellStyle name="ex64 4 5" xfId="7963"/>
    <cellStyle name="ex64 4 6" xfId="7964"/>
    <cellStyle name="ex64 4 7" xfId="7965"/>
    <cellStyle name="ex64 4 8" xfId="7966"/>
    <cellStyle name="ex64 5" xfId="1024"/>
    <cellStyle name="ex64 5 2" xfId="1025"/>
    <cellStyle name="ex64 5 2 2" xfId="1026"/>
    <cellStyle name="ex64 5 2 3" xfId="1027"/>
    <cellStyle name="ex64 5 3" xfId="1028"/>
    <cellStyle name="ex64 5 4" xfId="1029"/>
    <cellStyle name="ex64 5 4 2" xfId="7967"/>
    <cellStyle name="ex64 5 4 3" xfId="7968"/>
    <cellStyle name="ex64 5 4 4" xfId="7969"/>
    <cellStyle name="ex64 5 4 5" xfId="7970"/>
    <cellStyle name="ex64 5 5" xfId="7971"/>
    <cellStyle name="ex64 5 6" xfId="7972"/>
    <cellStyle name="ex64 5 7" xfId="7973"/>
    <cellStyle name="ex64 5 8" xfId="7974"/>
    <cellStyle name="ex64 6" xfId="1030"/>
    <cellStyle name="ex64 6 2" xfId="1031"/>
    <cellStyle name="ex64 6 2 2" xfId="1032"/>
    <cellStyle name="ex64 6 2 3" xfId="1033"/>
    <cellStyle name="ex64 6 3" xfId="1034"/>
    <cellStyle name="ex64 6 4" xfId="1035"/>
    <cellStyle name="ex64 6 4 2" xfId="7975"/>
    <cellStyle name="ex64 6 4 3" xfId="7976"/>
    <cellStyle name="ex64 6 4 4" xfId="7977"/>
    <cellStyle name="ex64 6 4 5" xfId="7978"/>
    <cellStyle name="ex64 6 5" xfId="7979"/>
    <cellStyle name="ex64 6 6" xfId="7980"/>
    <cellStyle name="ex64 6 7" xfId="7981"/>
    <cellStyle name="ex64 6 8" xfId="7982"/>
    <cellStyle name="ex64 7" xfId="1036"/>
    <cellStyle name="ex64 7 2" xfId="1037"/>
    <cellStyle name="ex64 7 2 2" xfId="1038"/>
    <cellStyle name="ex64 7 2 3" xfId="1039"/>
    <cellStyle name="ex64 7 3" xfId="1040"/>
    <cellStyle name="ex64 7 4" xfId="1041"/>
    <cellStyle name="ex64 7 4 2" xfId="7983"/>
    <cellStyle name="ex64 7 4 3" xfId="7984"/>
    <cellStyle name="ex64 7 4 4" xfId="7985"/>
    <cellStyle name="ex64 7 4 5" xfId="7986"/>
    <cellStyle name="ex64 7 5" xfId="7987"/>
    <cellStyle name="ex64 7 6" xfId="7988"/>
    <cellStyle name="ex64 7 7" xfId="7989"/>
    <cellStyle name="ex64 7 8" xfId="7990"/>
    <cellStyle name="ex64 8" xfId="1042"/>
    <cellStyle name="ex64 8 2" xfId="1043"/>
    <cellStyle name="ex64 8 2 2" xfId="1044"/>
    <cellStyle name="ex64 8 2 3" xfId="1045"/>
    <cellStyle name="ex64 8 3" xfId="1046"/>
    <cellStyle name="ex64 8 4" xfId="1047"/>
    <cellStyle name="ex64 8 4 2" xfId="7991"/>
    <cellStyle name="ex64 8 4 3" xfId="7992"/>
    <cellStyle name="ex64 8 4 4" xfId="7993"/>
    <cellStyle name="ex64 8 4 5" xfId="7994"/>
    <cellStyle name="ex64 8 5" xfId="7995"/>
    <cellStyle name="ex64 8 6" xfId="7996"/>
    <cellStyle name="ex64 8 7" xfId="7997"/>
    <cellStyle name="ex64 8 8" xfId="7998"/>
    <cellStyle name="ex64 9" xfId="1048"/>
    <cellStyle name="ex64 9 2" xfId="1049"/>
    <cellStyle name="ex64 9 2 2" xfId="1050"/>
    <cellStyle name="ex64 9 2 3" xfId="1051"/>
    <cellStyle name="ex64 9 3" xfId="1052"/>
    <cellStyle name="ex64 9 4" xfId="1053"/>
    <cellStyle name="ex64 9 4 2" xfId="7999"/>
    <cellStyle name="ex64 9 4 3" xfId="8000"/>
    <cellStyle name="ex64 9 4 4" xfId="8001"/>
    <cellStyle name="ex64 9 4 5" xfId="8002"/>
    <cellStyle name="ex64 9 5" xfId="8003"/>
    <cellStyle name="ex64 9 6" xfId="8004"/>
    <cellStyle name="ex64 9 7" xfId="8005"/>
    <cellStyle name="ex64 9 8" xfId="8006"/>
    <cellStyle name="ex65" xfId="25"/>
    <cellStyle name="ex65 10" xfId="1054"/>
    <cellStyle name="ex65 10 2" xfId="1055"/>
    <cellStyle name="ex65 10 2 2" xfId="1056"/>
    <cellStyle name="ex65 10 2 3" xfId="1057"/>
    <cellStyle name="ex65 10 3" xfId="1058"/>
    <cellStyle name="ex65 10 4" xfId="1059"/>
    <cellStyle name="ex65 10 4 2" xfId="8007"/>
    <cellStyle name="ex65 10 4 3" xfId="8008"/>
    <cellStyle name="ex65 10 4 4" xfId="8009"/>
    <cellStyle name="ex65 10 4 5" xfId="8010"/>
    <cellStyle name="ex65 10 5" xfId="8011"/>
    <cellStyle name="ex65 10 6" xfId="8012"/>
    <cellStyle name="ex65 10 7" xfId="8013"/>
    <cellStyle name="ex65 10 8" xfId="8014"/>
    <cellStyle name="ex65 11" xfId="1060"/>
    <cellStyle name="ex65 11 2" xfId="1061"/>
    <cellStyle name="ex65 11 3" xfId="1062"/>
    <cellStyle name="ex65 12" xfId="1063"/>
    <cellStyle name="ex65 13" xfId="1064"/>
    <cellStyle name="ex65 14" xfId="23869"/>
    <cellStyle name="ex65 2" xfId="1065"/>
    <cellStyle name="ex65 2 10" xfId="1066"/>
    <cellStyle name="ex65 2 10 2" xfId="1067"/>
    <cellStyle name="ex65 2 10 2 2" xfId="1068"/>
    <cellStyle name="ex65 2 10 2 3" xfId="1069"/>
    <cellStyle name="ex65 2 10 3" xfId="1070"/>
    <cellStyle name="ex65 2 10 4" xfId="1071"/>
    <cellStyle name="ex65 2 10 4 2" xfId="8015"/>
    <cellStyle name="ex65 2 10 4 3" xfId="8016"/>
    <cellStyle name="ex65 2 10 4 4" xfId="8017"/>
    <cellStyle name="ex65 2 10 4 5" xfId="8018"/>
    <cellStyle name="ex65 2 10 5" xfId="8019"/>
    <cellStyle name="ex65 2 10 6" xfId="8020"/>
    <cellStyle name="ex65 2 10 7" xfId="8021"/>
    <cellStyle name="ex65 2 10 8" xfId="8022"/>
    <cellStyle name="ex65 2 11" xfId="1072"/>
    <cellStyle name="ex65 2 11 2" xfId="1073"/>
    <cellStyle name="ex65 2 11 3" xfId="1074"/>
    <cellStyle name="ex65 2 12" xfId="1075"/>
    <cellStyle name="ex65 2 13" xfId="1076"/>
    <cellStyle name="ex65 2 13 2" xfId="8023"/>
    <cellStyle name="ex65 2 13 3" xfId="8024"/>
    <cellStyle name="ex65 2 13 4" xfId="8025"/>
    <cellStyle name="ex65 2 13 5" xfId="8026"/>
    <cellStyle name="ex65 2 14" xfId="8027"/>
    <cellStyle name="ex65 2 15" xfId="8028"/>
    <cellStyle name="ex65 2 16" xfId="8029"/>
    <cellStyle name="ex65 2 17" xfId="8030"/>
    <cellStyle name="ex65 2 2" xfId="1077"/>
    <cellStyle name="ex65 2 2 2" xfId="1078"/>
    <cellStyle name="ex65 2 2 2 2" xfId="1079"/>
    <cellStyle name="ex65 2 2 2 3" xfId="1080"/>
    <cellStyle name="ex65 2 2 3" xfId="1081"/>
    <cellStyle name="ex65 2 2 4" xfId="1082"/>
    <cellStyle name="ex65 2 2 4 2" xfId="8031"/>
    <cellStyle name="ex65 2 2 4 3" xfId="8032"/>
    <cellStyle name="ex65 2 2 4 4" xfId="8033"/>
    <cellStyle name="ex65 2 2 4 5" xfId="8034"/>
    <cellStyle name="ex65 2 2 5" xfId="8035"/>
    <cellStyle name="ex65 2 2 6" xfId="8036"/>
    <cellStyle name="ex65 2 2 7" xfId="8037"/>
    <cellStyle name="ex65 2 2 8" xfId="8038"/>
    <cellStyle name="ex65 2 3" xfId="1083"/>
    <cellStyle name="ex65 2 3 2" xfId="1084"/>
    <cellStyle name="ex65 2 3 2 2" xfId="1085"/>
    <cellStyle name="ex65 2 3 2 3" xfId="1086"/>
    <cellStyle name="ex65 2 3 3" xfId="1087"/>
    <cellStyle name="ex65 2 3 4" xfId="1088"/>
    <cellStyle name="ex65 2 3 4 2" xfId="8039"/>
    <cellStyle name="ex65 2 3 4 3" xfId="8040"/>
    <cellStyle name="ex65 2 3 4 4" xfId="8041"/>
    <cellStyle name="ex65 2 3 4 5" xfId="8042"/>
    <cellStyle name="ex65 2 3 5" xfId="8043"/>
    <cellStyle name="ex65 2 3 6" xfId="8044"/>
    <cellStyle name="ex65 2 3 7" xfId="8045"/>
    <cellStyle name="ex65 2 3 8" xfId="8046"/>
    <cellStyle name="ex65 2 4" xfId="1089"/>
    <cellStyle name="ex65 2 4 2" xfId="1090"/>
    <cellStyle name="ex65 2 4 2 2" xfId="1091"/>
    <cellStyle name="ex65 2 4 2 3" xfId="1092"/>
    <cellStyle name="ex65 2 4 3" xfId="1093"/>
    <cellStyle name="ex65 2 4 4" xfId="1094"/>
    <cellStyle name="ex65 2 4 4 2" xfId="8047"/>
    <cellStyle name="ex65 2 4 4 3" xfId="8048"/>
    <cellStyle name="ex65 2 4 4 4" xfId="8049"/>
    <cellStyle name="ex65 2 4 4 5" xfId="8050"/>
    <cellStyle name="ex65 2 4 5" xfId="8051"/>
    <cellStyle name="ex65 2 4 6" xfId="8052"/>
    <cellStyle name="ex65 2 4 7" xfId="8053"/>
    <cellStyle name="ex65 2 4 8" xfId="8054"/>
    <cellStyle name="ex65 2 5" xfId="1095"/>
    <cellStyle name="ex65 2 5 2" xfId="1096"/>
    <cellStyle name="ex65 2 5 2 2" xfId="1097"/>
    <cellStyle name="ex65 2 5 2 3" xfId="1098"/>
    <cellStyle name="ex65 2 5 3" xfId="1099"/>
    <cellStyle name="ex65 2 5 4" xfId="1100"/>
    <cellStyle name="ex65 2 5 4 2" xfId="8055"/>
    <cellStyle name="ex65 2 5 4 3" xfId="8056"/>
    <cellStyle name="ex65 2 5 4 4" xfId="8057"/>
    <cellStyle name="ex65 2 5 4 5" xfId="8058"/>
    <cellStyle name="ex65 2 5 5" xfId="8059"/>
    <cellStyle name="ex65 2 5 6" xfId="8060"/>
    <cellStyle name="ex65 2 5 7" xfId="8061"/>
    <cellStyle name="ex65 2 5 8" xfId="8062"/>
    <cellStyle name="ex65 2 6" xfId="1101"/>
    <cellStyle name="ex65 2 6 2" xfId="1102"/>
    <cellStyle name="ex65 2 6 2 2" xfId="1103"/>
    <cellStyle name="ex65 2 6 2 3" xfId="1104"/>
    <cellStyle name="ex65 2 6 3" xfId="1105"/>
    <cellStyle name="ex65 2 6 4" xfId="1106"/>
    <cellStyle name="ex65 2 6 4 2" xfId="8063"/>
    <cellStyle name="ex65 2 6 4 3" xfId="8064"/>
    <cellStyle name="ex65 2 6 4 4" xfId="8065"/>
    <cellStyle name="ex65 2 6 4 5" xfId="8066"/>
    <cellStyle name="ex65 2 6 5" xfId="8067"/>
    <cellStyle name="ex65 2 6 6" xfId="8068"/>
    <cellStyle name="ex65 2 6 7" xfId="8069"/>
    <cellStyle name="ex65 2 6 8" xfId="8070"/>
    <cellStyle name="ex65 2 7" xfId="1107"/>
    <cellStyle name="ex65 2 7 2" xfId="1108"/>
    <cellStyle name="ex65 2 7 2 2" xfId="1109"/>
    <cellStyle name="ex65 2 7 2 3" xfId="1110"/>
    <cellStyle name="ex65 2 7 3" xfId="1111"/>
    <cellStyle name="ex65 2 7 4" xfId="1112"/>
    <cellStyle name="ex65 2 7 4 2" xfId="8071"/>
    <cellStyle name="ex65 2 7 4 3" xfId="8072"/>
    <cellStyle name="ex65 2 7 4 4" xfId="8073"/>
    <cellStyle name="ex65 2 7 4 5" xfId="8074"/>
    <cellStyle name="ex65 2 7 5" xfId="8075"/>
    <cellStyle name="ex65 2 7 6" xfId="8076"/>
    <cellStyle name="ex65 2 7 7" xfId="8077"/>
    <cellStyle name="ex65 2 7 8" xfId="8078"/>
    <cellStyle name="ex65 2 8" xfId="1113"/>
    <cellStyle name="ex65 2 8 2" xfId="1114"/>
    <cellStyle name="ex65 2 8 2 2" xfId="1115"/>
    <cellStyle name="ex65 2 8 2 3" xfId="1116"/>
    <cellStyle name="ex65 2 8 3" xfId="1117"/>
    <cellStyle name="ex65 2 8 4" xfId="1118"/>
    <cellStyle name="ex65 2 8 4 2" xfId="8079"/>
    <cellStyle name="ex65 2 8 4 3" xfId="8080"/>
    <cellStyle name="ex65 2 8 4 4" xfId="8081"/>
    <cellStyle name="ex65 2 8 4 5" xfId="8082"/>
    <cellStyle name="ex65 2 8 5" xfId="8083"/>
    <cellStyle name="ex65 2 8 6" xfId="8084"/>
    <cellStyle name="ex65 2 8 7" xfId="8085"/>
    <cellStyle name="ex65 2 8 8" xfId="8086"/>
    <cellStyle name="ex65 2 9" xfId="1119"/>
    <cellStyle name="ex65 2 9 2" xfId="1120"/>
    <cellStyle name="ex65 2 9 2 2" xfId="1121"/>
    <cellStyle name="ex65 2 9 2 3" xfId="1122"/>
    <cellStyle name="ex65 2 9 3" xfId="1123"/>
    <cellStyle name="ex65 2 9 4" xfId="1124"/>
    <cellStyle name="ex65 2 9 4 2" xfId="8087"/>
    <cellStyle name="ex65 2 9 4 3" xfId="8088"/>
    <cellStyle name="ex65 2 9 4 4" xfId="8089"/>
    <cellStyle name="ex65 2 9 4 5" xfId="8090"/>
    <cellStyle name="ex65 2 9 5" xfId="8091"/>
    <cellStyle name="ex65 2 9 6" xfId="8092"/>
    <cellStyle name="ex65 2 9 7" xfId="8093"/>
    <cellStyle name="ex65 2 9 8" xfId="8094"/>
    <cellStyle name="ex65 3" xfId="1125"/>
    <cellStyle name="ex65 3 2" xfId="1126"/>
    <cellStyle name="ex65 3 2 2" xfId="1127"/>
    <cellStyle name="ex65 3 2 3" xfId="1128"/>
    <cellStyle name="ex65 3 3" xfId="1129"/>
    <cellStyle name="ex65 3 4" xfId="1130"/>
    <cellStyle name="ex65 3 4 2" xfId="8095"/>
    <cellStyle name="ex65 3 4 3" xfId="8096"/>
    <cellStyle name="ex65 3 4 4" xfId="8097"/>
    <cellStyle name="ex65 3 4 5" xfId="8098"/>
    <cellStyle name="ex65 3 5" xfId="8099"/>
    <cellStyle name="ex65 3 6" xfId="8100"/>
    <cellStyle name="ex65 3 7" xfId="8101"/>
    <cellStyle name="ex65 3 8" xfId="8102"/>
    <cellStyle name="ex65 4" xfId="1131"/>
    <cellStyle name="ex65 4 2" xfId="1132"/>
    <cellStyle name="ex65 4 2 2" xfId="1133"/>
    <cellStyle name="ex65 4 2 3" xfId="1134"/>
    <cellStyle name="ex65 4 3" xfId="1135"/>
    <cellStyle name="ex65 4 4" xfId="1136"/>
    <cellStyle name="ex65 4 4 2" xfId="8103"/>
    <cellStyle name="ex65 4 4 3" xfId="8104"/>
    <cellStyle name="ex65 4 4 4" xfId="8105"/>
    <cellStyle name="ex65 4 4 5" xfId="8106"/>
    <cellStyle name="ex65 4 5" xfId="8107"/>
    <cellStyle name="ex65 4 6" xfId="8108"/>
    <cellStyle name="ex65 4 7" xfId="8109"/>
    <cellStyle name="ex65 4 8" xfId="8110"/>
    <cellStyle name="ex65 5" xfId="1137"/>
    <cellStyle name="ex65 5 2" xfId="1138"/>
    <cellStyle name="ex65 5 2 2" xfId="1139"/>
    <cellStyle name="ex65 5 2 3" xfId="1140"/>
    <cellStyle name="ex65 5 3" xfId="1141"/>
    <cellStyle name="ex65 5 4" xfId="1142"/>
    <cellStyle name="ex65 5 4 2" xfId="8111"/>
    <cellStyle name="ex65 5 4 3" xfId="8112"/>
    <cellStyle name="ex65 5 4 4" xfId="8113"/>
    <cellStyle name="ex65 5 4 5" xfId="8114"/>
    <cellStyle name="ex65 5 5" xfId="8115"/>
    <cellStyle name="ex65 5 6" xfId="8116"/>
    <cellStyle name="ex65 5 7" xfId="8117"/>
    <cellStyle name="ex65 5 8" xfId="8118"/>
    <cellStyle name="ex65 6" xfId="1143"/>
    <cellStyle name="ex65 6 2" xfId="1144"/>
    <cellStyle name="ex65 6 2 2" xfId="1145"/>
    <cellStyle name="ex65 6 2 3" xfId="1146"/>
    <cellStyle name="ex65 6 3" xfId="1147"/>
    <cellStyle name="ex65 6 4" xfId="1148"/>
    <cellStyle name="ex65 6 4 2" xfId="8119"/>
    <cellStyle name="ex65 6 4 3" xfId="8120"/>
    <cellStyle name="ex65 6 4 4" xfId="8121"/>
    <cellStyle name="ex65 6 4 5" xfId="8122"/>
    <cellStyle name="ex65 6 5" xfId="8123"/>
    <cellStyle name="ex65 6 6" xfId="8124"/>
    <cellStyle name="ex65 6 7" xfId="8125"/>
    <cellStyle name="ex65 6 8" xfId="8126"/>
    <cellStyle name="ex65 7" xfId="1149"/>
    <cellStyle name="ex65 7 2" xfId="1150"/>
    <cellStyle name="ex65 7 2 2" xfId="1151"/>
    <cellStyle name="ex65 7 2 3" xfId="1152"/>
    <cellStyle name="ex65 7 3" xfId="1153"/>
    <cellStyle name="ex65 7 4" xfId="1154"/>
    <cellStyle name="ex65 7 4 2" xfId="8127"/>
    <cellStyle name="ex65 7 4 3" xfId="8128"/>
    <cellStyle name="ex65 7 4 4" xfId="8129"/>
    <cellStyle name="ex65 7 4 5" xfId="8130"/>
    <cellStyle name="ex65 7 5" xfId="8131"/>
    <cellStyle name="ex65 7 6" xfId="8132"/>
    <cellStyle name="ex65 7 7" xfId="8133"/>
    <cellStyle name="ex65 7 8" xfId="8134"/>
    <cellStyle name="ex65 8" xfId="1155"/>
    <cellStyle name="ex65 8 2" xfId="1156"/>
    <cellStyle name="ex65 8 2 2" xfId="1157"/>
    <cellStyle name="ex65 8 2 3" xfId="1158"/>
    <cellStyle name="ex65 8 3" xfId="1159"/>
    <cellStyle name="ex65 8 4" xfId="1160"/>
    <cellStyle name="ex65 8 4 2" xfId="8135"/>
    <cellStyle name="ex65 8 4 3" xfId="8136"/>
    <cellStyle name="ex65 8 4 4" xfId="8137"/>
    <cellStyle name="ex65 8 4 5" xfId="8138"/>
    <cellStyle name="ex65 8 5" xfId="8139"/>
    <cellStyle name="ex65 8 6" xfId="8140"/>
    <cellStyle name="ex65 8 7" xfId="8141"/>
    <cellStyle name="ex65 8 8" xfId="8142"/>
    <cellStyle name="ex65 9" xfId="1161"/>
    <cellStyle name="ex65 9 2" xfId="1162"/>
    <cellStyle name="ex65 9 2 2" xfId="1163"/>
    <cellStyle name="ex65 9 2 3" xfId="1164"/>
    <cellStyle name="ex65 9 3" xfId="1165"/>
    <cellStyle name="ex65 9 4" xfId="1166"/>
    <cellStyle name="ex65 9 4 2" xfId="8143"/>
    <cellStyle name="ex65 9 4 3" xfId="8144"/>
    <cellStyle name="ex65 9 4 4" xfId="8145"/>
    <cellStyle name="ex65 9 4 5" xfId="8146"/>
    <cellStyle name="ex65 9 5" xfId="8147"/>
    <cellStyle name="ex65 9 6" xfId="8148"/>
    <cellStyle name="ex65 9 7" xfId="8149"/>
    <cellStyle name="ex65 9 8" xfId="8150"/>
    <cellStyle name="ex66" xfId="26"/>
    <cellStyle name="ex66 10" xfId="1167"/>
    <cellStyle name="ex66 10 2" xfId="1168"/>
    <cellStyle name="ex66 10 2 2" xfId="1169"/>
    <cellStyle name="ex66 10 2 3" xfId="1170"/>
    <cellStyle name="ex66 10 3" xfId="1171"/>
    <cellStyle name="ex66 10 4" xfId="1172"/>
    <cellStyle name="ex66 10 4 2" xfId="8151"/>
    <cellStyle name="ex66 10 4 3" xfId="8152"/>
    <cellStyle name="ex66 10 4 4" xfId="8153"/>
    <cellStyle name="ex66 10 4 5" xfId="8154"/>
    <cellStyle name="ex66 10 5" xfId="8155"/>
    <cellStyle name="ex66 10 6" xfId="8156"/>
    <cellStyle name="ex66 10 7" xfId="8157"/>
    <cellStyle name="ex66 10 8" xfId="8158"/>
    <cellStyle name="ex66 11" xfId="1173"/>
    <cellStyle name="ex66 11 2" xfId="1174"/>
    <cellStyle name="ex66 11 2 2" xfId="1175"/>
    <cellStyle name="ex66 11 2 2 2" xfId="8159"/>
    <cellStyle name="ex66 11 2 2 3" xfId="8160"/>
    <cellStyle name="ex66 11 2 2 4" xfId="8161"/>
    <cellStyle name="ex66 11 2 2 5" xfId="8162"/>
    <cellStyle name="ex66 11 2 2 6" xfId="8163"/>
    <cellStyle name="ex66 11 2 3" xfId="1176"/>
    <cellStyle name="ex66 11 2 3 2" xfId="8164"/>
    <cellStyle name="ex66 11 2 3 3" xfId="8165"/>
    <cellStyle name="ex66 11 2 3 4" xfId="8166"/>
    <cellStyle name="ex66 11 2 3 5" xfId="8167"/>
    <cellStyle name="ex66 11 2 3 6" xfId="8168"/>
    <cellStyle name="ex66 11 2 4" xfId="8169"/>
    <cellStyle name="ex66 11 2 5" xfId="8170"/>
    <cellStyle name="ex66 11 2 6" xfId="8171"/>
    <cellStyle name="ex66 11 2 7" xfId="8172"/>
    <cellStyle name="ex66 11 2 8" xfId="8173"/>
    <cellStyle name="ex66 11 3" xfId="1177"/>
    <cellStyle name="ex66 11 3 2" xfId="8174"/>
    <cellStyle name="ex66 11 3 3" xfId="8175"/>
    <cellStyle name="ex66 11 3 4" xfId="8176"/>
    <cellStyle name="ex66 11 3 5" xfId="8177"/>
    <cellStyle name="ex66 11 3 6" xfId="8178"/>
    <cellStyle name="ex66 11 4" xfId="1178"/>
    <cellStyle name="ex66 11 4 2" xfId="8179"/>
    <cellStyle name="ex66 11 4 3" xfId="8180"/>
    <cellStyle name="ex66 11 4 4" xfId="8181"/>
    <cellStyle name="ex66 11 4 5" xfId="8182"/>
    <cellStyle name="ex66 11 5" xfId="8183"/>
    <cellStyle name="ex66 11 6" xfId="8184"/>
    <cellStyle name="ex66 11 7" xfId="8185"/>
    <cellStyle name="ex66 11 8" xfId="8186"/>
    <cellStyle name="ex66 12" xfId="1179"/>
    <cellStyle name="ex66 12 2" xfId="1180"/>
    <cellStyle name="ex66 12 2 2" xfId="1181"/>
    <cellStyle name="ex66 12 2 2 2" xfId="8187"/>
    <cellStyle name="ex66 12 2 2 3" xfId="8188"/>
    <cellStyle name="ex66 12 2 2 4" xfId="8189"/>
    <cellStyle name="ex66 12 2 2 5" xfId="8190"/>
    <cellStyle name="ex66 12 2 2 6" xfId="8191"/>
    <cellStyle name="ex66 12 2 3" xfId="1182"/>
    <cellStyle name="ex66 12 2 3 2" xfId="8192"/>
    <cellStyle name="ex66 12 2 3 3" xfId="8193"/>
    <cellStyle name="ex66 12 2 3 4" xfId="8194"/>
    <cellStyle name="ex66 12 2 3 5" xfId="8195"/>
    <cellStyle name="ex66 12 2 3 6" xfId="8196"/>
    <cellStyle name="ex66 12 2 4" xfId="8197"/>
    <cellStyle name="ex66 12 2 5" xfId="8198"/>
    <cellStyle name="ex66 12 2 6" xfId="8199"/>
    <cellStyle name="ex66 12 2 7" xfId="8200"/>
    <cellStyle name="ex66 12 2 8" xfId="8201"/>
    <cellStyle name="ex66 12 3" xfId="1183"/>
    <cellStyle name="ex66 12 3 2" xfId="8202"/>
    <cellStyle name="ex66 12 3 3" xfId="8203"/>
    <cellStyle name="ex66 12 3 4" xfId="8204"/>
    <cellStyle name="ex66 12 3 5" xfId="8205"/>
    <cellStyle name="ex66 12 3 6" xfId="8206"/>
    <cellStyle name="ex66 12 4" xfId="1184"/>
    <cellStyle name="ex66 12 4 2" xfId="8207"/>
    <cellStyle name="ex66 12 4 3" xfId="8208"/>
    <cellStyle name="ex66 12 4 4" xfId="8209"/>
    <cellStyle name="ex66 12 4 5" xfId="8210"/>
    <cellStyle name="ex66 12 5" xfId="8211"/>
    <cellStyle name="ex66 12 6" xfId="8212"/>
    <cellStyle name="ex66 12 7" xfId="8213"/>
    <cellStyle name="ex66 12 8" xfId="8214"/>
    <cellStyle name="ex66 13" xfId="1185"/>
    <cellStyle name="ex66 13 2" xfId="1186"/>
    <cellStyle name="ex66 13 3" xfId="1187"/>
    <cellStyle name="ex66 14" xfId="1188"/>
    <cellStyle name="ex66 15" xfId="1189"/>
    <cellStyle name="ex66 15 2" xfId="8215"/>
    <cellStyle name="ex66 15 3" xfId="8216"/>
    <cellStyle name="ex66 15 4" xfId="8217"/>
    <cellStyle name="ex66 15 5" xfId="8218"/>
    <cellStyle name="ex66 16" xfId="8219"/>
    <cellStyle name="ex66 17" xfId="8220"/>
    <cellStyle name="ex66 18" xfId="8221"/>
    <cellStyle name="ex66 19" xfId="8222"/>
    <cellStyle name="ex66 2" xfId="1190"/>
    <cellStyle name="ex66 2 2" xfId="1191"/>
    <cellStyle name="ex66 2 2 2" xfId="1192"/>
    <cellStyle name="ex66 2 2 2 2" xfId="1193"/>
    <cellStyle name="ex66 2 2 2 3" xfId="1194"/>
    <cellStyle name="ex66 2 2 3" xfId="1195"/>
    <cellStyle name="ex66 2 2 4" xfId="1196"/>
    <cellStyle name="ex66 2 2 4 2" xfId="8223"/>
    <cellStyle name="ex66 2 2 4 3" xfId="8224"/>
    <cellStyle name="ex66 2 2 4 4" xfId="8225"/>
    <cellStyle name="ex66 2 2 4 5" xfId="8226"/>
    <cellStyle name="ex66 2 2 5" xfId="8227"/>
    <cellStyle name="ex66 2 2 6" xfId="8228"/>
    <cellStyle name="ex66 2 2 7" xfId="8229"/>
    <cellStyle name="ex66 2 2 8" xfId="8230"/>
    <cellStyle name="ex66 2 3" xfId="1197"/>
    <cellStyle name="ex66 2 3 2" xfId="1198"/>
    <cellStyle name="ex66 2 3 3" xfId="1199"/>
    <cellStyle name="ex66 2 4" xfId="1200"/>
    <cellStyle name="ex66 2 5" xfId="1201"/>
    <cellStyle name="ex66 2 5 2" xfId="8231"/>
    <cellStyle name="ex66 2 5 3" xfId="8232"/>
    <cellStyle name="ex66 2 5 4" xfId="8233"/>
    <cellStyle name="ex66 2 5 5" xfId="8234"/>
    <cellStyle name="ex66 2 6" xfId="8235"/>
    <cellStyle name="ex66 2 7" xfId="8236"/>
    <cellStyle name="ex66 2 8" xfId="8237"/>
    <cellStyle name="ex66 2 9" xfId="8238"/>
    <cellStyle name="ex66 20" xfId="23870"/>
    <cellStyle name="ex66 3" xfId="1202"/>
    <cellStyle name="ex66 3 2" xfId="1203"/>
    <cellStyle name="ex66 3 2 2" xfId="1204"/>
    <cellStyle name="ex66 3 2 3" xfId="1205"/>
    <cellStyle name="ex66 3 3" xfId="1206"/>
    <cellStyle name="ex66 3 4" xfId="1207"/>
    <cellStyle name="ex66 3 4 2" xfId="8239"/>
    <cellStyle name="ex66 3 4 3" xfId="8240"/>
    <cellStyle name="ex66 3 4 4" xfId="8241"/>
    <cellStyle name="ex66 3 4 5" xfId="8242"/>
    <cellStyle name="ex66 3 5" xfId="8243"/>
    <cellStyle name="ex66 3 6" xfId="8244"/>
    <cellStyle name="ex66 3 7" xfId="8245"/>
    <cellStyle name="ex66 3 8" xfId="8246"/>
    <cellStyle name="ex66 4" xfId="1208"/>
    <cellStyle name="ex66 4 2" xfId="1209"/>
    <cellStyle name="ex66 4 2 2" xfId="1210"/>
    <cellStyle name="ex66 4 2 3" xfId="1211"/>
    <cellStyle name="ex66 4 3" xfId="1212"/>
    <cellStyle name="ex66 4 4" xfId="1213"/>
    <cellStyle name="ex66 4 4 2" xfId="8247"/>
    <cellStyle name="ex66 4 4 3" xfId="8248"/>
    <cellStyle name="ex66 4 4 4" xfId="8249"/>
    <cellStyle name="ex66 4 4 5" xfId="8250"/>
    <cellStyle name="ex66 4 5" xfId="8251"/>
    <cellStyle name="ex66 4 6" xfId="8252"/>
    <cellStyle name="ex66 4 7" xfId="8253"/>
    <cellStyle name="ex66 4 8" xfId="8254"/>
    <cellStyle name="ex66 5" xfId="1214"/>
    <cellStyle name="ex66 5 2" xfId="1215"/>
    <cellStyle name="ex66 5 2 2" xfId="1216"/>
    <cellStyle name="ex66 5 2 3" xfId="1217"/>
    <cellStyle name="ex66 5 3" xfId="1218"/>
    <cellStyle name="ex66 5 4" xfId="1219"/>
    <cellStyle name="ex66 5 4 2" xfId="8255"/>
    <cellStyle name="ex66 5 4 3" xfId="8256"/>
    <cellStyle name="ex66 5 4 4" xfId="8257"/>
    <cellStyle name="ex66 5 4 5" xfId="8258"/>
    <cellStyle name="ex66 5 5" xfId="8259"/>
    <cellStyle name="ex66 5 6" xfId="8260"/>
    <cellStyle name="ex66 5 7" xfId="8261"/>
    <cellStyle name="ex66 5 8" xfId="8262"/>
    <cellStyle name="ex66 6" xfId="1220"/>
    <cellStyle name="ex66 6 2" xfId="1221"/>
    <cellStyle name="ex66 6 2 2" xfId="1222"/>
    <cellStyle name="ex66 6 2 3" xfId="1223"/>
    <cellStyle name="ex66 6 3" xfId="1224"/>
    <cellStyle name="ex66 6 4" xfId="1225"/>
    <cellStyle name="ex66 6 4 2" xfId="8263"/>
    <cellStyle name="ex66 6 4 3" xfId="8264"/>
    <cellStyle name="ex66 6 4 4" xfId="8265"/>
    <cellStyle name="ex66 6 4 5" xfId="8266"/>
    <cellStyle name="ex66 6 5" xfId="8267"/>
    <cellStyle name="ex66 6 6" xfId="8268"/>
    <cellStyle name="ex66 6 7" xfId="8269"/>
    <cellStyle name="ex66 6 8" xfId="8270"/>
    <cellStyle name="ex66 7" xfId="1226"/>
    <cellStyle name="ex66 7 2" xfId="1227"/>
    <cellStyle name="ex66 7 2 2" xfId="1228"/>
    <cellStyle name="ex66 7 2 3" xfId="1229"/>
    <cellStyle name="ex66 7 3" xfId="1230"/>
    <cellStyle name="ex66 7 4" xfId="1231"/>
    <cellStyle name="ex66 7 4 2" xfId="8271"/>
    <cellStyle name="ex66 7 4 3" xfId="8272"/>
    <cellStyle name="ex66 7 4 4" xfId="8273"/>
    <cellStyle name="ex66 7 4 5" xfId="8274"/>
    <cellStyle name="ex66 7 5" xfId="8275"/>
    <cellStyle name="ex66 7 6" xfId="8276"/>
    <cellStyle name="ex66 7 7" xfId="8277"/>
    <cellStyle name="ex66 7 8" xfId="8278"/>
    <cellStyle name="ex66 8" xfId="1232"/>
    <cellStyle name="ex66 8 2" xfId="1233"/>
    <cellStyle name="ex66 8 2 2" xfId="1234"/>
    <cellStyle name="ex66 8 2 3" xfId="1235"/>
    <cellStyle name="ex66 8 3" xfId="1236"/>
    <cellStyle name="ex66 8 4" xfId="1237"/>
    <cellStyle name="ex66 8 4 2" xfId="8279"/>
    <cellStyle name="ex66 8 4 3" xfId="8280"/>
    <cellStyle name="ex66 8 4 4" xfId="8281"/>
    <cellStyle name="ex66 8 4 5" xfId="8282"/>
    <cellStyle name="ex66 8 5" xfId="8283"/>
    <cellStyle name="ex66 8 6" xfId="8284"/>
    <cellStyle name="ex66 8 7" xfId="8285"/>
    <cellStyle name="ex66 8 8" xfId="8286"/>
    <cellStyle name="ex66 9" xfId="1238"/>
    <cellStyle name="ex66 9 2" xfId="1239"/>
    <cellStyle name="ex66 9 2 2" xfId="1240"/>
    <cellStyle name="ex66 9 2 3" xfId="1241"/>
    <cellStyle name="ex66 9 3" xfId="1242"/>
    <cellStyle name="ex66 9 4" xfId="1243"/>
    <cellStyle name="ex66 9 4 2" xfId="8287"/>
    <cellStyle name="ex66 9 4 3" xfId="8288"/>
    <cellStyle name="ex66 9 4 4" xfId="8289"/>
    <cellStyle name="ex66 9 4 5" xfId="8290"/>
    <cellStyle name="ex66 9 5" xfId="8291"/>
    <cellStyle name="ex66 9 6" xfId="8292"/>
    <cellStyle name="ex66 9 7" xfId="8293"/>
    <cellStyle name="ex66 9 8" xfId="8294"/>
    <cellStyle name="ex67" xfId="27"/>
    <cellStyle name="ex67 10" xfId="1244"/>
    <cellStyle name="ex67 10 2" xfId="1245"/>
    <cellStyle name="ex67 10 2 2" xfId="1246"/>
    <cellStyle name="ex67 10 2 3" xfId="1247"/>
    <cellStyle name="ex67 10 3" xfId="1248"/>
    <cellStyle name="ex67 10 4" xfId="1249"/>
    <cellStyle name="ex67 10 4 2" xfId="8295"/>
    <cellStyle name="ex67 10 4 3" xfId="8296"/>
    <cellStyle name="ex67 10 4 4" xfId="8297"/>
    <cellStyle name="ex67 10 4 5" xfId="8298"/>
    <cellStyle name="ex67 10 5" xfId="8299"/>
    <cellStyle name="ex67 10 6" xfId="8300"/>
    <cellStyle name="ex67 10 7" xfId="8301"/>
    <cellStyle name="ex67 10 8" xfId="8302"/>
    <cellStyle name="ex67 11" xfId="1250"/>
    <cellStyle name="ex67 11 2" xfId="1251"/>
    <cellStyle name="ex67 11 2 2" xfId="1252"/>
    <cellStyle name="ex67 11 2 2 2" xfId="8303"/>
    <cellStyle name="ex67 11 2 2 3" xfId="8304"/>
    <cellStyle name="ex67 11 2 2 4" xfId="8305"/>
    <cellStyle name="ex67 11 2 2 5" xfId="8306"/>
    <cellStyle name="ex67 11 2 2 6" xfId="8307"/>
    <cellStyle name="ex67 11 2 3" xfId="1253"/>
    <cellStyle name="ex67 11 2 3 2" xfId="8308"/>
    <cellStyle name="ex67 11 2 3 3" xfId="8309"/>
    <cellStyle name="ex67 11 2 3 4" xfId="8310"/>
    <cellStyle name="ex67 11 2 3 5" xfId="8311"/>
    <cellStyle name="ex67 11 2 3 6" xfId="8312"/>
    <cellStyle name="ex67 11 2 4" xfId="8313"/>
    <cellStyle name="ex67 11 2 5" xfId="8314"/>
    <cellStyle name="ex67 11 2 6" xfId="8315"/>
    <cellStyle name="ex67 11 2 7" xfId="8316"/>
    <cellStyle name="ex67 11 2 8" xfId="8317"/>
    <cellStyle name="ex67 11 3" xfId="1254"/>
    <cellStyle name="ex67 11 3 2" xfId="8318"/>
    <cellStyle name="ex67 11 3 3" xfId="8319"/>
    <cellStyle name="ex67 11 3 4" xfId="8320"/>
    <cellStyle name="ex67 11 3 5" xfId="8321"/>
    <cellStyle name="ex67 11 3 6" xfId="8322"/>
    <cellStyle name="ex67 11 4" xfId="1255"/>
    <cellStyle name="ex67 11 4 2" xfId="8323"/>
    <cellStyle name="ex67 11 4 3" xfId="8324"/>
    <cellStyle name="ex67 11 4 4" xfId="8325"/>
    <cellStyle name="ex67 11 4 5" xfId="8326"/>
    <cellStyle name="ex67 11 5" xfId="8327"/>
    <cellStyle name="ex67 11 6" xfId="8328"/>
    <cellStyle name="ex67 11 7" xfId="8329"/>
    <cellStyle name="ex67 11 8" xfId="8330"/>
    <cellStyle name="ex67 12" xfId="1256"/>
    <cellStyle name="ex67 12 2" xfId="1257"/>
    <cellStyle name="ex67 12 2 2" xfId="1258"/>
    <cellStyle name="ex67 12 2 2 2" xfId="8331"/>
    <cellStyle name="ex67 12 2 2 3" xfId="8332"/>
    <cellStyle name="ex67 12 2 2 4" xfId="8333"/>
    <cellStyle name="ex67 12 2 2 5" xfId="8334"/>
    <cellStyle name="ex67 12 2 2 6" xfId="8335"/>
    <cellStyle name="ex67 12 2 3" xfId="1259"/>
    <cellStyle name="ex67 12 2 3 2" xfId="8336"/>
    <cellStyle name="ex67 12 2 3 3" xfId="8337"/>
    <cellStyle name="ex67 12 2 3 4" xfId="8338"/>
    <cellStyle name="ex67 12 2 3 5" xfId="8339"/>
    <cellStyle name="ex67 12 2 3 6" xfId="8340"/>
    <cellStyle name="ex67 12 2 4" xfId="8341"/>
    <cellStyle name="ex67 12 2 5" xfId="8342"/>
    <cellStyle name="ex67 12 2 6" xfId="8343"/>
    <cellStyle name="ex67 12 2 7" xfId="8344"/>
    <cellStyle name="ex67 12 2 8" xfId="8345"/>
    <cellStyle name="ex67 12 3" xfId="1260"/>
    <cellStyle name="ex67 12 3 2" xfId="8346"/>
    <cellStyle name="ex67 12 3 3" xfId="8347"/>
    <cellStyle name="ex67 12 3 4" xfId="8348"/>
    <cellStyle name="ex67 12 3 5" xfId="8349"/>
    <cellStyle name="ex67 12 3 6" xfId="8350"/>
    <cellStyle name="ex67 12 4" xfId="1261"/>
    <cellStyle name="ex67 12 4 2" xfId="8351"/>
    <cellStyle name="ex67 12 4 3" xfId="8352"/>
    <cellStyle name="ex67 12 4 4" xfId="8353"/>
    <cellStyle name="ex67 12 4 5" xfId="8354"/>
    <cellStyle name="ex67 12 5" xfId="8355"/>
    <cellStyle name="ex67 12 6" xfId="8356"/>
    <cellStyle name="ex67 12 7" xfId="8357"/>
    <cellStyle name="ex67 12 8" xfId="8358"/>
    <cellStyle name="ex67 13" xfId="1262"/>
    <cellStyle name="ex67 13 2" xfId="1263"/>
    <cellStyle name="ex67 13 3" xfId="1264"/>
    <cellStyle name="ex67 14" xfId="1265"/>
    <cellStyle name="ex67 15" xfId="1266"/>
    <cellStyle name="ex67 15 2" xfId="8359"/>
    <cellStyle name="ex67 15 3" xfId="8360"/>
    <cellStyle name="ex67 15 4" xfId="8361"/>
    <cellStyle name="ex67 15 5" xfId="8362"/>
    <cellStyle name="ex67 16" xfId="8363"/>
    <cellStyle name="ex67 17" xfId="8364"/>
    <cellStyle name="ex67 18" xfId="8365"/>
    <cellStyle name="ex67 19" xfId="8366"/>
    <cellStyle name="ex67 2" xfId="1267"/>
    <cellStyle name="ex67 2 2" xfId="1268"/>
    <cellStyle name="ex67 2 2 2" xfId="1269"/>
    <cellStyle name="ex67 2 2 2 2" xfId="1270"/>
    <cellStyle name="ex67 2 2 2 3" xfId="1271"/>
    <cellStyle name="ex67 2 2 3" xfId="1272"/>
    <cellStyle name="ex67 2 2 4" xfId="1273"/>
    <cellStyle name="ex67 2 2 4 2" xfId="8367"/>
    <cellStyle name="ex67 2 2 4 3" xfId="8368"/>
    <cellStyle name="ex67 2 2 4 4" xfId="8369"/>
    <cellStyle name="ex67 2 2 4 5" xfId="8370"/>
    <cellStyle name="ex67 2 2 5" xfId="8371"/>
    <cellStyle name="ex67 2 2 6" xfId="8372"/>
    <cellStyle name="ex67 2 2 7" xfId="8373"/>
    <cellStyle name="ex67 2 2 8" xfId="8374"/>
    <cellStyle name="ex67 2 3" xfId="1274"/>
    <cellStyle name="ex67 2 3 2" xfId="1275"/>
    <cellStyle name="ex67 2 3 3" xfId="1276"/>
    <cellStyle name="ex67 2 4" xfId="1277"/>
    <cellStyle name="ex67 2 5" xfId="1278"/>
    <cellStyle name="ex67 2 5 2" xfId="8375"/>
    <cellStyle name="ex67 2 5 3" xfId="8376"/>
    <cellStyle name="ex67 2 5 4" xfId="8377"/>
    <cellStyle name="ex67 2 5 5" xfId="8378"/>
    <cellStyle name="ex67 2 6" xfId="8379"/>
    <cellStyle name="ex67 2 7" xfId="8380"/>
    <cellStyle name="ex67 2 8" xfId="8381"/>
    <cellStyle name="ex67 2 9" xfId="8382"/>
    <cellStyle name="ex67 20" xfId="23871"/>
    <cellStyle name="ex67 3" xfId="1279"/>
    <cellStyle name="ex67 3 2" xfId="1280"/>
    <cellStyle name="ex67 3 2 2" xfId="1281"/>
    <cellStyle name="ex67 3 2 3" xfId="1282"/>
    <cellStyle name="ex67 3 3" xfId="1283"/>
    <cellStyle name="ex67 3 4" xfId="1284"/>
    <cellStyle name="ex67 3 4 2" xfId="8383"/>
    <cellStyle name="ex67 3 4 3" xfId="8384"/>
    <cellStyle name="ex67 3 4 4" xfId="8385"/>
    <cellStyle name="ex67 3 4 5" xfId="8386"/>
    <cellStyle name="ex67 3 5" xfId="8387"/>
    <cellStyle name="ex67 3 6" xfId="8388"/>
    <cellStyle name="ex67 3 7" xfId="8389"/>
    <cellStyle name="ex67 3 8" xfId="8390"/>
    <cellStyle name="ex67 4" xfId="1285"/>
    <cellStyle name="ex67 4 2" xfId="1286"/>
    <cellStyle name="ex67 4 2 2" xfId="1287"/>
    <cellStyle name="ex67 4 2 3" xfId="1288"/>
    <cellStyle name="ex67 4 3" xfId="1289"/>
    <cellStyle name="ex67 4 4" xfId="1290"/>
    <cellStyle name="ex67 4 4 2" xfId="8391"/>
    <cellStyle name="ex67 4 4 3" xfId="8392"/>
    <cellStyle name="ex67 4 4 4" xfId="8393"/>
    <cellStyle name="ex67 4 4 5" xfId="8394"/>
    <cellStyle name="ex67 4 5" xfId="8395"/>
    <cellStyle name="ex67 4 6" xfId="8396"/>
    <cellStyle name="ex67 4 7" xfId="8397"/>
    <cellStyle name="ex67 4 8" xfId="8398"/>
    <cellStyle name="ex67 5" xfId="1291"/>
    <cellStyle name="ex67 5 2" xfId="1292"/>
    <cellStyle name="ex67 5 2 2" xfId="1293"/>
    <cellStyle name="ex67 5 2 3" xfId="1294"/>
    <cellStyle name="ex67 5 3" xfId="1295"/>
    <cellStyle name="ex67 5 4" xfId="1296"/>
    <cellStyle name="ex67 5 4 2" xfId="8399"/>
    <cellStyle name="ex67 5 4 3" xfId="8400"/>
    <cellStyle name="ex67 5 4 4" xfId="8401"/>
    <cellStyle name="ex67 5 4 5" xfId="8402"/>
    <cellStyle name="ex67 5 5" xfId="8403"/>
    <cellStyle name="ex67 5 6" xfId="8404"/>
    <cellStyle name="ex67 5 7" xfId="8405"/>
    <cellStyle name="ex67 5 8" xfId="8406"/>
    <cellStyle name="ex67 6" xfId="1297"/>
    <cellStyle name="ex67 6 2" xfId="1298"/>
    <cellStyle name="ex67 6 2 2" xfId="1299"/>
    <cellStyle name="ex67 6 2 3" xfId="1300"/>
    <cellStyle name="ex67 6 3" xfId="1301"/>
    <cellStyle name="ex67 6 4" xfId="1302"/>
    <cellStyle name="ex67 6 4 2" xfId="8407"/>
    <cellStyle name="ex67 6 4 3" xfId="8408"/>
    <cellStyle name="ex67 6 4 4" xfId="8409"/>
    <cellStyle name="ex67 6 4 5" xfId="8410"/>
    <cellStyle name="ex67 6 5" xfId="8411"/>
    <cellStyle name="ex67 6 6" xfId="8412"/>
    <cellStyle name="ex67 6 7" xfId="8413"/>
    <cellStyle name="ex67 6 8" xfId="8414"/>
    <cellStyle name="ex67 7" xfId="1303"/>
    <cellStyle name="ex67 7 2" xfId="1304"/>
    <cellStyle name="ex67 7 2 2" xfId="1305"/>
    <cellStyle name="ex67 7 2 3" xfId="1306"/>
    <cellStyle name="ex67 7 3" xfId="1307"/>
    <cellStyle name="ex67 7 4" xfId="1308"/>
    <cellStyle name="ex67 7 4 2" xfId="8415"/>
    <cellStyle name="ex67 7 4 3" xfId="8416"/>
    <cellStyle name="ex67 7 4 4" xfId="8417"/>
    <cellStyle name="ex67 7 4 5" xfId="8418"/>
    <cellStyle name="ex67 7 5" xfId="8419"/>
    <cellStyle name="ex67 7 6" xfId="8420"/>
    <cellStyle name="ex67 7 7" xfId="8421"/>
    <cellStyle name="ex67 7 8" xfId="8422"/>
    <cellStyle name="ex67 8" xfId="1309"/>
    <cellStyle name="ex67 8 2" xfId="1310"/>
    <cellStyle name="ex67 8 2 2" xfId="1311"/>
    <cellStyle name="ex67 8 2 3" xfId="1312"/>
    <cellStyle name="ex67 8 3" xfId="1313"/>
    <cellStyle name="ex67 8 4" xfId="1314"/>
    <cellStyle name="ex67 8 4 2" xfId="8423"/>
    <cellStyle name="ex67 8 4 3" xfId="8424"/>
    <cellStyle name="ex67 8 4 4" xfId="8425"/>
    <cellStyle name="ex67 8 4 5" xfId="8426"/>
    <cellStyle name="ex67 8 5" xfId="8427"/>
    <cellStyle name="ex67 8 6" xfId="8428"/>
    <cellStyle name="ex67 8 7" xfId="8429"/>
    <cellStyle name="ex67 8 8" xfId="8430"/>
    <cellStyle name="ex67 9" xfId="1315"/>
    <cellStyle name="ex67 9 2" xfId="1316"/>
    <cellStyle name="ex67 9 2 2" xfId="1317"/>
    <cellStyle name="ex67 9 2 3" xfId="1318"/>
    <cellStyle name="ex67 9 3" xfId="1319"/>
    <cellStyle name="ex67 9 4" xfId="1320"/>
    <cellStyle name="ex67 9 4 2" xfId="8431"/>
    <cellStyle name="ex67 9 4 3" xfId="8432"/>
    <cellStyle name="ex67 9 4 4" xfId="8433"/>
    <cellStyle name="ex67 9 4 5" xfId="8434"/>
    <cellStyle name="ex67 9 5" xfId="8435"/>
    <cellStyle name="ex67 9 6" xfId="8436"/>
    <cellStyle name="ex67 9 7" xfId="8437"/>
    <cellStyle name="ex67 9 8" xfId="8438"/>
    <cellStyle name="ex68" xfId="28"/>
    <cellStyle name="ex68 10" xfId="1321"/>
    <cellStyle name="ex68 10 2" xfId="1322"/>
    <cellStyle name="ex68 10 2 2" xfId="1323"/>
    <cellStyle name="ex68 10 2 3" xfId="1324"/>
    <cellStyle name="ex68 10 3" xfId="1325"/>
    <cellStyle name="ex68 10 4" xfId="1326"/>
    <cellStyle name="ex68 10 4 2" xfId="8439"/>
    <cellStyle name="ex68 10 4 3" xfId="8440"/>
    <cellStyle name="ex68 10 4 4" xfId="8441"/>
    <cellStyle name="ex68 10 4 5" xfId="8442"/>
    <cellStyle name="ex68 10 5" xfId="8443"/>
    <cellStyle name="ex68 10 6" xfId="8444"/>
    <cellStyle name="ex68 10 7" xfId="8445"/>
    <cellStyle name="ex68 10 8" xfId="8446"/>
    <cellStyle name="ex68 11" xfId="1327"/>
    <cellStyle name="ex68 11 2" xfId="1328"/>
    <cellStyle name="ex68 11 2 2" xfId="1329"/>
    <cellStyle name="ex68 11 2 2 2" xfId="8447"/>
    <cellStyle name="ex68 11 2 2 3" xfId="8448"/>
    <cellStyle name="ex68 11 2 2 4" xfId="8449"/>
    <cellStyle name="ex68 11 2 2 5" xfId="8450"/>
    <cellStyle name="ex68 11 2 2 6" xfId="8451"/>
    <cellStyle name="ex68 11 2 3" xfId="1330"/>
    <cellStyle name="ex68 11 2 3 2" xfId="8452"/>
    <cellStyle name="ex68 11 2 3 3" xfId="8453"/>
    <cellStyle name="ex68 11 2 3 4" xfId="8454"/>
    <cellStyle name="ex68 11 2 3 5" xfId="8455"/>
    <cellStyle name="ex68 11 2 3 6" xfId="8456"/>
    <cellStyle name="ex68 11 2 4" xfId="8457"/>
    <cellStyle name="ex68 11 2 5" xfId="8458"/>
    <cellStyle name="ex68 11 2 6" xfId="8459"/>
    <cellStyle name="ex68 11 2 7" xfId="8460"/>
    <cellStyle name="ex68 11 2 8" xfId="8461"/>
    <cellStyle name="ex68 11 3" xfId="1331"/>
    <cellStyle name="ex68 11 3 2" xfId="8462"/>
    <cellStyle name="ex68 11 3 3" xfId="8463"/>
    <cellStyle name="ex68 11 3 4" xfId="8464"/>
    <cellStyle name="ex68 11 3 5" xfId="8465"/>
    <cellStyle name="ex68 11 3 6" xfId="8466"/>
    <cellStyle name="ex68 11 4" xfId="1332"/>
    <cellStyle name="ex68 11 4 2" xfId="8467"/>
    <cellStyle name="ex68 11 4 3" xfId="8468"/>
    <cellStyle name="ex68 11 4 4" xfId="8469"/>
    <cellStyle name="ex68 11 4 5" xfId="8470"/>
    <cellStyle name="ex68 11 5" xfId="8471"/>
    <cellStyle name="ex68 11 6" xfId="8472"/>
    <cellStyle name="ex68 11 7" xfId="8473"/>
    <cellStyle name="ex68 11 8" xfId="8474"/>
    <cellStyle name="ex68 12" xfId="1333"/>
    <cellStyle name="ex68 12 2" xfId="1334"/>
    <cellStyle name="ex68 12 2 2" xfId="1335"/>
    <cellStyle name="ex68 12 2 2 2" xfId="8475"/>
    <cellStyle name="ex68 12 2 2 3" xfId="8476"/>
    <cellStyle name="ex68 12 2 2 4" xfId="8477"/>
    <cellStyle name="ex68 12 2 2 5" xfId="8478"/>
    <cellStyle name="ex68 12 2 2 6" xfId="8479"/>
    <cellStyle name="ex68 12 2 3" xfId="1336"/>
    <cellStyle name="ex68 12 2 3 2" xfId="8480"/>
    <cellStyle name="ex68 12 2 3 3" xfId="8481"/>
    <cellStyle name="ex68 12 2 3 4" xfId="8482"/>
    <cellStyle name="ex68 12 2 3 5" xfId="8483"/>
    <cellStyle name="ex68 12 2 3 6" xfId="8484"/>
    <cellStyle name="ex68 12 2 4" xfId="8485"/>
    <cellStyle name="ex68 12 2 5" xfId="8486"/>
    <cellStyle name="ex68 12 2 6" xfId="8487"/>
    <cellStyle name="ex68 12 2 7" xfId="8488"/>
    <cellStyle name="ex68 12 2 8" xfId="8489"/>
    <cellStyle name="ex68 12 3" xfId="1337"/>
    <cellStyle name="ex68 12 3 2" xfId="8490"/>
    <cellStyle name="ex68 12 3 3" xfId="8491"/>
    <cellStyle name="ex68 12 3 4" xfId="8492"/>
    <cellStyle name="ex68 12 3 5" xfId="8493"/>
    <cellStyle name="ex68 12 3 6" xfId="8494"/>
    <cellStyle name="ex68 12 4" xfId="1338"/>
    <cellStyle name="ex68 12 4 2" xfId="8495"/>
    <cellStyle name="ex68 12 4 3" xfId="8496"/>
    <cellStyle name="ex68 12 4 4" xfId="8497"/>
    <cellStyle name="ex68 12 4 5" xfId="8498"/>
    <cellStyle name="ex68 12 5" xfId="8499"/>
    <cellStyle name="ex68 12 6" xfId="8500"/>
    <cellStyle name="ex68 12 7" xfId="8501"/>
    <cellStyle name="ex68 12 8" xfId="8502"/>
    <cellStyle name="ex68 13" xfId="1339"/>
    <cellStyle name="ex68 13 2" xfId="1340"/>
    <cellStyle name="ex68 13 3" xfId="1341"/>
    <cellStyle name="ex68 14" xfId="1342"/>
    <cellStyle name="ex68 15" xfId="1343"/>
    <cellStyle name="ex68 15 2" xfId="8503"/>
    <cellStyle name="ex68 15 3" xfId="8504"/>
    <cellStyle name="ex68 15 4" xfId="8505"/>
    <cellStyle name="ex68 15 5" xfId="8506"/>
    <cellStyle name="ex68 16" xfId="8507"/>
    <cellStyle name="ex68 17" xfId="8508"/>
    <cellStyle name="ex68 18" xfId="8509"/>
    <cellStyle name="ex68 19" xfId="8510"/>
    <cellStyle name="ex68 2" xfId="1344"/>
    <cellStyle name="ex68 2 2" xfId="1345"/>
    <cellStyle name="ex68 2 2 2" xfId="1346"/>
    <cellStyle name="ex68 2 2 3" xfId="1347"/>
    <cellStyle name="ex68 2 3" xfId="1348"/>
    <cellStyle name="ex68 2 4" xfId="1349"/>
    <cellStyle name="ex68 2 4 2" xfId="8511"/>
    <cellStyle name="ex68 2 4 3" xfId="8512"/>
    <cellStyle name="ex68 2 4 4" xfId="8513"/>
    <cellStyle name="ex68 2 4 5" xfId="8514"/>
    <cellStyle name="ex68 2 5" xfId="8515"/>
    <cellStyle name="ex68 2 6" xfId="8516"/>
    <cellStyle name="ex68 2 7" xfId="8517"/>
    <cellStyle name="ex68 2 8" xfId="8518"/>
    <cellStyle name="ex68 20" xfId="23872"/>
    <cellStyle name="ex68 3" xfId="1350"/>
    <cellStyle name="ex68 3 2" xfId="1351"/>
    <cellStyle name="ex68 3 2 2" xfId="1352"/>
    <cellStyle name="ex68 3 2 3" xfId="1353"/>
    <cellStyle name="ex68 3 3" xfId="1354"/>
    <cellStyle name="ex68 3 4" xfId="1355"/>
    <cellStyle name="ex68 3 4 2" xfId="8519"/>
    <cellStyle name="ex68 3 4 3" xfId="8520"/>
    <cellStyle name="ex68 3 4 4" xfId="8521"/>
    <cellStyle name="ex68 3 4 5" xfId="8522"/>
    <cellStyle name="ex68 3 5" xfId="8523"/>
    <cellStyle name="ex68 3 6" xfId="8524"/>
    <cellStyle name="ex68 3 7" xfId="8525"/>
    <cellStyle name="ex68 3 8" xfId="8526"/>
    <cellStyle name="ex68 4" xfId="1356"/>
    <cellStyle name="ex68 4 2" xfId="1357"/>
    <cellStyle name="ex68 4 2 2" xfId="1358"/>
    <cellStyle name="ex68 4 2 3" xfId="1359"/>
    <cellStyle name="ex68 4 3" xfId="1360"/>
    <cellStyle name="ex68 4 4" xfId="1361"/>
    <cellStyle name="ex68 4 4 2" xfId="8527"/>
    <cellStyle name="ex68 4 4 3" xfId="8528"/>
    <cellStyle name="ex68 4 4 4" xfId="8529"/>
    <cellStyle name="ex68 4 4 5" xfId="8530"/>
    <cellStyle name="ex68 4 5" xfId="8531"/>
    <cellStyle name="ex68 4 6" xfId="8532"/>
    <cellStyle name="ex68 4 7" xfId="8533"/>
    <cellStyle name="ex68 4 8" xfId="8534"/>
    <cellStyle name="ex68 5" xfId="1362"/>
    <cellStyle name="ex68 5 2" xfId="1363"/>
    <cellStyle name="ex68 5 2 2" xfId="1364"/>
    <cellStyle name="ex68 5 2 3" xfId="1365"/>
    <cellStyle name="ex68 5 3" xfId="1366"/>
    <cellStyle name="ex68 5 4" xfId="1367"/>
    <cellStyle name="ex68 5 4 2" xfId="8535"/>
    <cellStyle name="ex68 5 4 3" xfId="8536"/>
    <cellStyle name="ex68 5 4 4" xfId="8537"/>
    <cellStyle name="ex68 5 4 5" xfId="8538"/>
    <cellStyle name="ex68 5 5" xfId="8539"/>
    <cellStyle name="ex68 5 6" xfId="8540"/>
    <cellStyle name="ex68 5 7" xfId="8541"/>
    <cellStyle name="ex68 5 8" xfId="8542"/>
    <cellStyle name="ex68 6" xfId="1368"/>
    <cellStyle name="ex68 6 2" xfId="1369"/>
    <cellStyle name="ex68 6 2 2" xfId="1370"/>
    <cellStyle name="ex68 6 2 3" xfId="1371"/>
    <cellStyle name="ex68 6 3" xfId="1372"/>
    <cellStyle name="ex68 6 4" xfId="1373"/>
    <cellStyle name="ex68 6 4 2" xfId="8543"/>
    <cellStyle name="ex68 6 4 3" xfId="8544"/>
    <cellStyle name="ex68 6 4 4" xfId="8545"/>
    <cellStyle name="ex68 6 4 5" xfId="8546"/>
    <cellStyle name="ex68 6 5" xfId="8547"/>
    <cellStyle name="ex68 6 6" xfId="8548"/>
    <cellStyle name="ex68 6 7" xfId="8549"/>
    <cellStyle name="ex68 6 8" xfId="8550"/>
    <cellStyle name="ex68 7" xfId="1374"/>
    <cellStyle name="ex68 7 2" xfId="1375"/>
    <cellStyle name="ex68 7 2 2" xfId="1376"/>
    <cellStyle name="ex68 7 2 3" xfId="1377"/>
    <cellStyle name="ex68 7 3" xfId="1378"/>
    <cellStyle name="ex68 7 4" xfId="1379"/>
    <cellStyle name="ex68 7 4 2" xfId="8551"/>
    <cellStyle name="ex68 7 4 3" xfId="8552"/>
    <cellStyle name="ex68 7 4 4" xfId="8553"/>
    <cellStyle name="ex68 7 4 5" xfId="8554"/>
    <cellStyle name="ex68 7 5" xfId="8555"/>
    <cellStyle name="ex68 7 6" xfId="8556"/>
    <cellStyle name="ex68 7 7" xfId="8557"/>
    <cellStyle name="ex68 7 8" xfId="8558"/>
    <cellStyle name="ex68 8" xfId="1380"/>
    <cellStyle name="ex68 8 2" xfId="1381"/>
    <cellStyle name="ex68 8 2 2" xfId="1382"/>
    <cellStyle name="ex68 8 2 3" xfId="1383"/>
    <cellStyle name="ex68 8 3" xfId="1384"/>
    <cellStyle name="ex68 8 4" xfId="1385"/>
    <cellStyle name="ex68 8 4 2" xfId="8559"/>
    <cellStyle name="ex68 8 4 3" xfId="8560"/>
    <cellStyle name="ex68 8 4 4" xfId="8561"/>
    <cellStyle name="ex68 8 4 5" xfId="8562"/>
    <cellStyle name="ex68 8 5" xfId="8563"/>
    <cellStyle name="ex68 8 6" xfId="8564"/>
    <cellStyle name="ex68 8 7" xfId="8565"/>
    <cellStyle name="ex68 8 8" xfId="8566"/>
    <cellStyle name="ex68 9" xfId="1386"/>
    <cellStyle name="ex68 9 2" xfId="1387"/>
    <cellStyle name="ex68 9 2 2" xfId="1388"/>
    <cellStyle name="ex68 9 2 3" xfId="1389"/>
    <cellStyle name="ex68 9 3" xfId="1390"/>
    <cellStyle name="ex68 9 4" xfId="1391"/>
    <cellStyle name="ex68 9 4 2" xfId="8567"/>
    <cellStyle name="ex68 9 4 3" xfId="8568"/>
    <cellStyle name="ex68 9 4 4" xfId="8569"/>
    <cellStyle name="ex68 9 4 5" xfId="8570"/>
    <cellStyle name="ex68 9 5" xfId="8571"/>
    <cellStyle name="ex68 9 6" xfId="8572"/>
    <cellStyle name="ex68 9 7" xfId="8573"/>
    <cellStyle name="ex68 9 8" xfId="8574"/>
    <cellStyle name="ex69" xfId="1392"/>
    <cellStyle name="ex69 10" xfId="1393"/>
    <cellStyle name="ex69 10 2" xfId="1394"/>
    <cellStyle name="ex69 10 2 2" xfId="1395"/>
    <cellStyle name="ex69 10 2 3" xfId="1396"/>
    <cellStyle name="ex69 10 3" xfId="1397"/>
    <cellStyle name="ex69 10 4" xfId="1398"/>
    <cellStyle name="ex69 10 4 2" xfId="8575"/>
    <cellStyle name="ex69 10 4 3" xfId="8576"/>
    <cellStyle name="ex69 10 4 4" xfId="8577"/>
    <cellStyle name="ex69 10 4 5" xfId="8578"/>
    <cellStyle name="ex69 10 5" xfId="8579"/>
    <cellStyle name="ex69 10 6" xfId="8580"/>
    <cellStyle name="ex69 10 7" xfId="8581"/>
    <cellStyle name="ex69 10 8" xfId="8582"/>
    <cellStyle name="ex69 11" xfId="1399"/>
    <cellStyle name="ex69 11 2" xfId="1400"/>
    <cellStyle name="ex69 11 2 2" xfId="1401"/>
    <cellStyle name="ex69 11 2 3" xfId="1402"/>
    <cellStyle name="ex69 11 3" xfId="1403"/>
    <cellStyle name="ex69 11 4" xfId="1404"/>
    <cellStyle name="ex69 11 4 2" xfId="8583"/>
    <cellStyle name="ex69 11 4 3" xfId="8584"/>
    <cellStyle name="ex69 11 4 4" xfId="8585"/>
    <cellStyle name="ex69 11 4 5" xfId="8586"/>
    <cellStyle name="ex69 11 5" xfId="8587"/>
    <cellStyle name="ex69 11 6" xfId="8588"/>
    <cellStyle name="ex69 11 7" xfId="8589"/>
    <cellStyle name="ex69 11 8" xfId="8590"/>
    <cellStyle name="ex69 12" xfId="1405"/>
    <cellStyle name="ex69 12 2" xfId="1406"/>
    <cellStyle name="ex69 12 3" xfId="1407"/>
    <cellStyle name="ex69 13" xfId="1408"/>
    <cellStyle name="ex69 14" xfId="1409"/>
    <cellStyle name="ex69 14 2" xfId="8591"/>
    <cellStyle name="ex69 14 3" xfId="8592"/>
    <cellStyle name="ex69 14 4" xfId="8593"/>
    <cellStyle name="ex69 14 5" xfId="8594"/>
    <cellStyle name="ex69 15" xfId="8595"/>
    <cellStyle name="ex69 16" xfId="8596"/>
    <cellStyle name="ex69 17" xfId="8597"/>
    <cellStyle name="ex69 18" xfId="8598"/>
    <cellStyle name="ex69 19" xfId="23873"/>
    <cellStyle name="ex69 2" xfId="1410"/>
    <cellStyle name="ex69 2 10" xfId="1411"/>
    <cellStyle name="ex69 2 10 2" xfId="1412"/>
    <cellStyle name="ex69 2 10 2 2" xfId="1413"/>
    <cellStyle name="ex69 2 10 2 3" xfId="1414"/>
    <cellStyle name="ex69 2 10 3" xfId="1415"/>
    <cellStyle name="ex69 2 10 4" xfId="1416"/>
    <cellStyle name="ex69 2 10 4 2" xfId="8599"/>
    <cellStyle name="ex69 2 10 4 3" xfId="8600"/>
    <cellStyle name="ex69 2 10 4 4" xfId="8601"/>
    <cellStyle name="ex69 2 10 4 5" xfId="8602"/>
    <cellStyle name="ex69 2 10 5" xfId="8603"/>
    <cellStyle name="ex69 2 10 6" xfId="8604"/>
    <cellStyle name="ex69 2 10 7" xfId="8605"/>
    <cellStyle name="ex69 2 10 8" xfId="8606"/>
    <cellStyle name="ex69 2 11" xfId="1417"/>
    <cellStyle name="ex69 2 11 2" xfId="1418"/>
    <cellStyle name="ex69 2 11 3" xfId="1419"/>
    <cellStyle name="ex69 2 12" xfId="1420"/>
    <cellStyle name="ex69 2 13" xfId="1421"/>
    <cellStyle name="ex69 2 13 2" xfId="8607"/>
    <cellStyle name="ex69 2 13 3" xfId="8608"/>
    <cellStyle name="ex69 2 13 4" xfId="8609"/>
    <cellStyle name="ex69 2 13 5" xfId="8610"/>
    <cellStyle name="ex69 2 14" xfId="8611"/>
    <cellStyle name="ex69 2 15" xfId="8612"/>
    <cellStyle name="ex69 2 16" xfId="8613"/>
    <cellStyle name="ex69 2 17" xfId="8614"/>
    <cellStyle name="ex69 2 2" xfId="1422"/>
    <cellStyle name="ex69 2 2 2" xfId="1423"/>
    <cellStyle name="ex69 2 2 2 2" xfId="1424"/>
    <cellStyle name="ex69 2 2 2 3" xfId="1425"/>
    <cellStyle name="ex69 2 2 3" xfId="1426"/>
    <cellStyle name="ex69 2 2 4" xfId="1427"/>
    <cellStyle name="ex69 2 2 4 2" xfId="8615"/>
    <cellStyle name="ex69 2 2 4 3" xfId="8616"/>
    <cellStyle name="ex69 2 2 4 4" xfId="8617"/>
    <cellStyle name="ex69 2 2 4 5" xfId="8618"/>
    <cellStyle name="ex69 2 2 5" xfId="8619"/>
    <cellStyle name="ex69 2 2 6" xfId="8620"/>
    <cellStyle name="ex69 2 2 7" xfId="8621"/>
    <cellStyle name="ex69 2 2 8" xfId="8622"/>
    <cellStyle name="ex69 2 3" xfId="1428"/>
    <cellStyle name="ex69 2 3 2" xfId="1429"/>
    <cellStyle name="ex69 2 3 2 2" xfId="1430"/>
    <cellStyle name="ex69 2 3 2 3" xfId="1431"/>
    <cellStyle name="ex69 2 3 3" xfId="1432"/>
    <cellStyle name="ex69 2 3 4" xfId="1433"/>
    <cellStyle name="ex69 2 3 4 2" xfId="8623"/>
    <cellStyle name="ex69 2 3 4 3" xfId="8624"/>
    <cellStyle name="ex69 2 3 4 4" xfId="8625"/>
    <cellStyle name="ex69 2 3 4 5" xfId="8626"/>
    <cellStyle name="ex69 2 3 5" xfId="8627"/>
    <cellStyle name="ex69 2 3 6" xfId="8628"/>
    <cellStyle name="ex69 2 3 7" xfId="8629"/>
    <cellStyle name="ex69 2 3 8" xfId="8630"/>
    <cellStyle name="ex69 2 4" xfId="1434"/>
    <cellStyle name="ex69 2 4 2" xfId="1435"/>
    <cellStyle name="ex69 2 4 2 2" xfId="1436"/>
    <cellStyle name="ex69 2 4 2 3" xfId="1437"/>
    <cellStyle name="ex69 2 4 3" xfId="1438"/>
    <cellStyle name="ex69 2 4 4" xfId="1439"/>
    <cellStyle name="ex69 2 4 4 2" xfId="8631"/>
    <cellStyle name="ex69 2 4 4 3" xfId="8632"/>
    <cellStyle name="ex69 2 4 4 4" xfId="8633"/>
    <cellStyle name="ex69 2 4 4 5" xfId="8634"/>
    <cellStyle name="ex69 2 4 5" xfId="8635"/>
    <cellStyle name="ex69 2 4 6" xfId="8636"/>
    <cellStyle name="ex69 2 4 7" xfId="8637"/>
    <cellStyle name="ex69 2 4 8" xfId="8638"/>
    <cellStyle name="ex69 2 5" xfId="1440"/>
    <cellStyle name="ex69 2 5 2" xfId="1441"/>
    <cellStyle name="ex69 2 5 2 2" xfId="1442"/>
    <cellStyle name="ex69 2 5 2 3" xfId="1443"/>
    <cellStyle name="ex69 2 5 3" xfId="1444"/>
    <cellStyle name="ex69 2 5 4" xfId="1445"/>
    <cellStyle name="ex69 2 5 4 2" xfId="8639"/>
    <cellStyle name="ex69 2 5 4 3" xfId="8640"/>
    <cellStyle name="ex69 2 5 4 4" xfId="8641"/>
    <cellStyle name="ex69 2 5 4 5" xfId="8642"/>
    <cellStyle name="ex69 2 5 5" xfId="8643"/>
    <cellStyle name="ex69 2 5 6" xfId="8644"/>
    <cellStyle name="ex69 2 5 7" xfId="8645"/>
    <cellStyle name="ex69 2 5 8" xfId="8646"/>
    <cellStyle name="ex69 2 6" xfId="1446"/>
    <cellStyle name="ex69 2 6 2" xfId="1447"/>
    <cellStyle name="ex69 2 6 2 2" xfId="1448"/>
    <cellStyle name="ex69 2 6 2 3" xfId="1449"/>
    <cellStyle name="ex69 2 6 3" xfId="1450"/>
    <cellStyle name="ex69 2 6 4" xfId="1451"/>
    <cellStyle name="ex69 2 6 4 2" xfId="8647"/>
    <cellStyle name="ex69 2 6 4 3" xfId="8648"/>
    <cellStyle name="ex69 2 6 4 4" xfId="8649"/>
    <cellStyle name="ex69 2 6 4 5" xfId="8650"/>
    <cellStyle name="ex69 2 6 5" xfId="8651"/>
    <cellStyle name="ex69 2 6 6" xfId="8652"/>
    <cellStyle name="ex69 2 6 7" xfId="8653"/>
    <cellStyle name="ex69 2 6 8" xfId="8654"/>
    <cellStyle name="ex69 2 7" xfId="1452"/>
    <cellStyle name="ex69 2 7 2" xfId="1453"/>
    <cellStyle name="ex69 2 7 2 2" xfId="1454"/>
    <cellStyle name="ex69 2 7 2 3" xfId="1455"/>
    <cellStyle name="ex69 2 7 3" xfId="1456"/>
    <cellStyle name="ex69 2 7 4" xfId="1457"/>
    <cellStyle name="ex69 2 7 4 2" xfId="8655"/>
    <cellStyle name="ex69 2 7 4 3" xfId="8656"/>
    <cellStyle name="ex69 2 7 4 4" xfId="8657"/>
    <cellStyle name="ex69 2 7 4 5" xfId="8658"/>
    <cellStyle name="ex69 2 7 5" xfId="8659"/>
    <cellStyle name="ex69 2 7 6" xfId="8660"/>
    <cellStyle name="ex69 2 7 7" xfId="8661"/>
    <cellStyle name="ex69 2 7 8" xfId="8662"/>
    <cellStyle name="ex69 2 8" xfId="1458"/>
    <cellStyle name="ex69 2 8 2" xfId="1459"/>
    <cellStyle name="ex69 2 8 2 2" xfId="1460"/>
    <cellStyle name="ex69 2 8 2 3" xfId="1461"/>
    <cellStyle name="ex69 2 8 3" xfId="1462"/>
    <cellStyle name="ex69 2 8 4" xfId="1463"/>
    <cellStyle name="ex69 2 8 4 2" xfId="8663"/>
    <cellStyle name="ex69 2 8 4 3" xfId="8664"/>
    <cellStyle name="ex69 2 8 4 4" xfId="8665"/>
    <cellStyle name="ex69 2 8 4 5" xfId="8666"/>
    <cellStyle name="ex69 2 8 5" xfId="8667"/>
    <cellStyle name="ex69 2 8 6" xfId="8668"/>
    <cellStyle name="ex69 2 8 7" xfId="8669"/>
    <cellStyle name="ex69 2 8 8" xfId="8670"/>
    <cellStyle name="ex69 2 9" xfId="1464"/>
    <cellStyle name="ex69 2 9 2" xfId="1465"/>
    <cellStyle name="ex69 2 9 2 2" xfId="1466"/>
    <cellStyle name="ex69 2 9 2 3" xfId="1467"/>
    <cellStyle name="ex69 2 9 3" xfId="1468"/>
    <cellStyle name="ex69 2 9 4" xfId="1469"/>
    <cellStyle name="ex69 2 9 4 2" xfId="8671"/>
    <cellStyle name="ex69 2 9 4 3" xfId="8672"/>
    <cellStyle name="ex69 2 9 4 4" xfId="8673"/>
    <cellStyle name="ex69 2 9 4 5" xfId="8674"/>
    <cellStyle name="ex69 2 9 5" xfId="8675"/>
    <cellStyle name="ex69 2 9 6" xfId="8676"/>
    <cellStyle name="ex69 2 9 7" xfId="8677"/>
    <cellStyle name="ex69 2 9 8" xfId="8678"/>
    <cellStyle name="ex69 3" xfId="1470"/>
    <cellStyle name="ex69 3 2" xfId="1471"/>
    <cellStyle name="ex69 3 2 2" xfId="1472"/>
    <cellStyle name="ex69 3 2 3" xfId="1473"/>
    <cellStyle name="ex69 3 3" xfId="1474"/>
    <cellStyle name="ex69 3 4" xfId="1475"/>
    <cellStyle name="ex69 3 4 2" xfId="8679"/>
    <cellStyle name="ex69 3 4 3" xfId="8680"/>
    <cellStyle name="ex69 3 4 4" xfId="8681"/>
    <cellStyle name="ex69 3 4 5" xfId="8682"/>
    <cellStyle name="ex69 3 5" xfId="8683"/>
    <cellStyle name="ex69 3 6" xfId="8684"/>
    <cellStyle name="ex69 3 7" xfId="8685"/>
    <cellStyle name="ex69 3 8" xfId="8686"/>
    <cellStyle name="ex69 4" xfId="1476"/>
    <cellStyle name="ex69 4 2" xfId="1477"/>
    <cellStyle name="ex69 4 2 2" xfId="1478"/>
    <cellStyle name="ex69 4 2 3" xfId="1479"/>
    <cellStyle name="ex69 4 3" xfId="1480"/>
    <cellStyle name="ex69 4 4" xfId="1481"/>
    <cellStyle name="ex69 4 4 2" xfId="8687"/>
    <cellStyle name="ex69 4 4 3" xfId="8688"/>
    <cellStyle name="ex69 4 4 4" xfId="8689"/>
    <cellStyle name="ex69 4 4 5" xfId="8690"/>
    <cellStyle name="ex69 4 5" xfId="8691"/>
    <cellStyle name="ex69 4 6" xfId="8692"/>
    <cellStyle name="ex69 4 7" xfId="8693"/>
    <cellStyle name="ex69 4 8" xfId="8694"/>
    <cellStyle name="ex69 5" xfId="1482"/>
    <cellStyle name="ex69 5 2" xfId="1483"/>
    <cellStyle name="ex69 5 2 2" xfId="1484"/>
    <cellStyle name="ex69 5 2 3" xfId="1485"/>
    <cellStyle name="ex69 5 3" xfId="1486"/>
    <cellStyle name="ex69 5 4" xfId="1487"/>
    <cellStyle name="ex69 5 4 2" xfId="8695"/>
    <cellStyle name="ex69 5 4 3" xfId="8696"/>
    <cellStyle name="ex69 5 4 4" xfId="8697"/>
    <cellStyle name="ex69 5 4 5" xfId="8698"/>
    <cellStyle name="ex69 5 5" xfId="8699"/>
    <cellStyle name="ex69 5 6" xfId="8700"/>
    <cellStyle name="ex69 5 7" xfId="8701"/>
    <cellStyle name="ex69 5 8" xfId="8702"/>
    <cellStyle name="ex69 6" xfId="1488"/>
    <cellStyle name="ex69 6 2" xfId="1489"/>
    <cellStyle name="ex69 6 2 2" xfId="1490"/>
    <cellStyle name="ex69 6 2 3" xfId="1491"/>
    <cellStyle name="ex69 6 3" xfId="1492"/>
    <cellStyle name="ex69 6 4" xfId="1493"/>
    <cellStyle name="ex69 6 4 2" xfId="8703"/>
    <cellStyle name="ex69 6 4 3" xfId="8704"/>
    <cellStyle name="ex69 6 4 4" xfId="8705"/>
    <cellStyle name="ex69 6 4 5" xfId="8706"/>
    <cellStyle name="ex69 6 5" xfId="8707"/>
    <cellStyle name="ex69 6 6" xfId="8708"/>
    <cellStyle name="ex69 6 7" xfId="8709"/>
    <cellStyle name="ex69 6 8" xfId="8710"/>
    <cellStyle name="ex69 7" xfId="1494"/>
    <cellStyle name="ex69 7 2" xfId="1495"/>
    <cellStyle name="ex69 7 2 2" xfId="1496"/>
    <cellStyle name="ex69 7 2 3" xfId="1497"/>
    <cellStyle name="ex69 7 3" xfId="1498"/>
    <cellStyle name="ex69 7 4" xfId="1499"/>
    <cellStyle name="ex69 7 4 2" xfId="8711"/>
    <cellStyle name="ex69 7 4 3" xfId="8712"/>
    <cellStyle name="ex69 7 4 4" xfId="8713"/>
    <cellStyle name="ex69 7 4 5" xfId="8714"/>
    <cellStyle name="ex69 7 5" xfId="8715"/>
    <cellStyle name="ex69 7 6" xfId="8716"/>
    <cellStyle name="ex69 7 7" xfId="8717"/>
    <cellStyle name="ex69 7 8" xfId="8718"/>
    <cellStyle name="ex69 8" xfId="1500"/>
    <cellStyle name="ex69 8 2" xfId="1501"/>
    <cellStyle name="ex69 8 2 2" xfId="1502"/>
    <cellStyle name="ex69 8 2 3" xfId="1503"/>
    <cellStyle name="ex69 8 3" xfId="1504"/>
    <cellStyle name="ex69 8 4" xfId="1505"/>
    <cellStyle name="ex69 8 4 2" xfId="8719"/>
    <cellStyle name="ex69 8 4 3" xfId="8720"/>
    <cellStyle name="ex69 8 4 4" xfId="8721"/>
    <cellStyle name="ex69 8 4 5" xfId="8722"/>
    <cellStyle name="ex69 8 5" xfId="8723"/>
    <cellStyle name="ex69 8 6" xfId="8724"/>
    <cellStyle name="ex69 8 7" xfId="8725"/>
    <cellStyle name="ex69 8 8" xfId="8726"/>
    <cellStyle name="ex69 9" xfId="1506"/>
    <cellStyle name="ex69 9 2" xfId="1507"/>
    <cellStyle name="ex69 9 2 2" xfId="1508"/>
    <cellStyle name="ex69 9 2 3" xfId="1509"/>
    <cellStyle name="ex69 9 3" xfId="1510"/>
    <cellStyle name="ex69 9 4" xfId="1511"/>
    <cellStyle name="ex69 9 4 2" xfId="8727"/>
    <cellStyle name="ex69 9 4 3" xfId="8728"/>
    <cellStyle name="ex69 9 4 4" xfId="8729"/>
    <cellStyle name="ex69 9 4 5" xfId="8730"/>
    <cellStyle name="ex69 9 5" xfId="8731"/>
    <cellStyle name="ex69 9 6" xfId="8732"/>
    <cellStyle name="ex69 9 7" xfId="8733"/>
    <cellStyle name="ex69 9 8" xfId="8734"/>
    <cellStyle name="ex70" xfId="30"/>
    <cellStyle name="ex70 10" xfId="23874"/>
    <cellStyle name="ex70 2" xfId="1512"/>
    <cellStyle name="ex70 2 2" xfId="1513"/>
    <cellStyle name="ex70 2 2 2" xfId="1514"/>
    <cellStyle name="ex70 2 2 3" xfId="1515"/>
    <cellStyle name="ex70 2 3" xfId="1516"/>
    <cellStyle name="ex70 2 4" xfId="1517"/>
    <cellStyle name="ex70 2 4 2" xfId="8735"/>
    <cellStyle name="ex70 2 4 3" xfId="8736"/>
    <cellStyle name="ex70 2 4 4" xfId="8737"/>
    <cellStyle name="ex70 2 4 5" xfId="8738"/>
    <cellStyle name="ex70 2 5" xfId="8739"/>
    <cellStyle name="ex70 2 6" xfId="8740"/>
    <cellStyle name="ex70 2 7" xfId="8741"/>
    <cellStyle name="ex70 2 8" xfId="8742"/>
    <cellStyle name="ex70 3" xfId="1518"/>
    <cellStyle name="ex70 3 2" xfId="1519"/>
    <cellStyle name="ex70 3 3" xfId="1520"/>
    <cellStyle name="ex70 4" xfId="1521"/>
    <cellStyle name="ex70 5" xfId="1522"/>
    <cellStyle name="ex70 5 2" xfId="8743"/>
    <cellStyle name="ex70 5 3" xfId="8744"/>
    <cellStyle name="ex70 5 4" xfId="8745"/>
    <cellStyle name="ex70 5 5" xfId="8746"/>
    <cellStyle name="ex70 6" xfId="8747"/>
    <cellStyle name="ex70 7" xfId="8748"/>
    <cellStyle name="ex70 8" xfId="8749"/>
    <cellStyle name="ex70 9" xfId="8750"/>
    <cellStyle name="ex71" xfId="31"/>
    <cellStyle name="ex71 10" xfId="23875"/>
    <cellStyle name="ex71 2" xfId="1523"/>
    <cellStyle name="ex71 2 2" xfId="1524"/>
    <cellStyle name="ex71 2 2 2" xfId="1525"/>
    <cellStyle name="ex71 2 2 2 2" xfId="1526"/>
    <cellStyle name="ex71 2 2 2 3" xfId="1527"/>
    <cellStyle name="ex71 2 2 3" xfId="1528"/>
    <cellStyle name="ex71 2 2 4" xfId="1529"/>
    <cellStyle name="ex71 2 2 4 2" xfId="8751"/>
    <cellStyle name="ex71 2 2 4 3" xfId="8752"/>
    <cellStyle name="ex71 2 2 4 4" xfId="8753"/>
    <cellStyle name="ex71 2 2 4 5" xfId="8754"/>
    <cellStyle name="ex71 2 2 5" xfId="8755"/>
    <cellStyle name="ex71 2 2 6" xfId="8756"/>
    <cellStyle name="ex71 2 2 7" xfId="8757"/>
    <cellStyle name="ex71 2 2 8" xfId="8758"/>
    <cellStyle name="ex71 2 3" xfId="1530"/>
    <cellStyle name="ex71 2 3 2" xfId="1531"/>
    <cellStyle name="ex71 2 3 3" xfId="1532"/>
    <cellStyle name="ex71 2 4" xfId="1533"/>
    <cellStyle name="ex71 2 5" xfId="1534"/>
    <cellStyle name="ex71 2 5 2" xfId="8759"/>
    <cellStyle name="ex71 2 5 3" xfId="8760"/>
    <cellStyle name="ex71 2 5 4" xfId="8761"/>
    <cellStyle name="ex71 2 5 5" xfId="8762"/>
    <cellStyle name="ex71 2 6" xfId="8763"/>
    <cellStyle name="ex71 2 7" xfId="8764"/>
    <cellStyle name="ex71 2 8" xfId="8765"/>
    <cellStyle name="ex71 2 9" xfId="8766"/>
    <cellStyle name="ex71 3" xfId="1535"/>
    <cellStyle name="ex71 3 2" xfId="1536"/>
    <cellStyle name="ex71 3 3" xfId="1537"/>
    <cellStyle name="ex71 4" xfId="1538"/>
    <cellStyle name="ex71 5" xfId="1539"/>
    <cellStyle name="ex71 5 2" xfId="8767"/>
    <cellStyle name="ex71 5 3" xfId="8768"/>
    <cellStyle name="ex71 5 4" xfId="8769"/>
    <cellStyle name="ex71 5 5" xfId="8770"/>
    <cellStyle name="ex71 6" xfId="8771"/>
    <cellStyle name="ex71 7" xfId="8772"/>
    <cellStyle name="ex71 8" xfId="8773"/>
    <cellStyle name="ex71 9" xfId="8774"/>
    <cellStyle name="ex72" xfId="32"/>
    <cellStyle name="ex72 10" xfId="23876"/>
    <cellStyle name="ex72 2" xfId="1540"/>
    <cellStyle name="ex72 2 2" xfId="1541"/>
    <cellStyle name="ex72 2 2 2" xfId="1542"/>
    <cellStyle name="ex72 2 2 2 2" xfId="1543"/>
    <cellStyle name="ex72 2 2 2 3" xfId="1544"/>
    <cellStyle name="ex72 2 2 3" xfId="1545"/>
    <cellStyle name="ex72 2 2 4" xfId="1546"/>
    <cellStyle name="ex72 2 2 4 2" xfId="8775"/>
    <cellStyle name="ex72 2 2 4 3" xfId="8776"/>
    <cellStyle name="ex72 2 2 4 4" xfId="8777"/>
    <cellStyle name="ex72 2 2 4 5" xfId="8778"/>
    <cellStyle name="ex72 2 2 5" xfId="8779"/>
    <cellStyle name="ex72 2 2 6" xfId="8780"/>
    <cellStyle name="ex72 2 2 7" xfId="8781"/>
    <cellStyle name="ex72 2 2 8" xfId="8782"/>
    <cellStyle name="ex72 2 3" xfId="1547"/>
    <cellStyle name="ex72 2 3 2" xfId="1548"/>
    <cellStyle name="ex72 2 3 3" xfId="1549"/>
    <cellStyle name="ex72 2 4" xfId="1550"/>
    <cellStyle name="ex72 2 5" xfId="1551"/>
    <cellStyle name="ex72 2 5 2" xfId="8783"/>
    <cellStyle name="ex72 2 5 3" xfId="8784"/>
    <cellStyle name="ex72 2 5 4" xfId="8785"/>
    <cellStyle name="ex72 2 5 5" xfId="8786"/>
    <cellStyle name="ex72 2 6" xfId="8787"/>
    <cellStyle name="ex72 2 7" xfId="8788"/>
    <cellStyle name="ex72 2 8" xfId="8789"/>
    <cellStyle name="ex72 2 9" xfId="8790"/>
    <cellStyle name="ex72 3" xfId="1552"/>
    <cellStyle name="ex72 3 2" xfId="1553"/>
    <cellStyle name="ex72 3 3" xfId="1554"/>
    <cellStyle name="ex72 4" xfId="1555"/>
    <cellStyle name="ex72 5" xfId="1556"/>
    <cellStyle name="ex72 5 2" xfId="8791"/>
    <cellStyle name="ex72 5 3" xfId="8792"/>
    <cellStyle name="ex72 5 4" xfId="8793"/>
    <cellStyle name="ex72 5 5" xfId="8794"/>
    <cellStyle name="ex72 6" xfId="8795"/>
    <cellStyle name="ex72 7" xfId="8796"/>
    <cellStyle name="ex72 8" xfId="8797"/>
    <cellStyle name="ex72 9" xfId="8798"/>
    <cellStyle name="ex73" xfId="33"/>
    <cellStyle name="ex73 10" xfId="23877"/>
    <cellStyle name="ex73 2" xfId="1557"/>
    <cellStyle name="ex73 2 2" xfId="1558"/>
    <cellStyle name="ex73 2 2 2" xfId="1559"/>
    <cellStyle name="ex73 2 2 3" xfId="1560"/>
    <cellStyle name="ex73 2 3" xfId="1561"/>
    <cellStyle name="ex73 2 4" xfId="1562"/>
    <cellStyle name="ex73 2 4 2" xfId="8799"/>
    <cellStyle name="ex73 2 4 3" xfId="8800"/>
    <cellStyle name="ex73 2 4 4" xfId="8801"/>
    <cellStyle name="ex73 2 4 5" xfId="8802"/>
    <cellStyle name="ex73 2 5" xfId="8803"/>
    <cellStyle name="ex73 2 6" xfId="8804"/>
    <cellStyle name="ex73 2 7" xfId="8805"/>
    <cellStyle name="ex73 2 8" xfId="8806"/>
    <cellStyle name="ex73 3" xfId="1563"/>
    <cellStyle name="ex73 3 2" xfId="1564"/>
    <cellStyle name="ex73 3 3" xfId="1565"/>
    <cellStyle name="ex73 4" xfId="1566"/>
    <cellStyle name="ex73 5" xfId="1567"/>
    <cellStyle name="ex73 5 2" xfId="8807"/>
    <cellStyle name="ex73 5 3" xfId="8808"/>
    <cellStyle name="ex73 5 4" xfId="8809"/>
    <cellStyle name="ex73 5 5" xfId="8810"/>
    <cellStyle name="ex73 6" xfId="8811"/>
    <cellStyle name="ex73 7" xfId="8812"/>
    <cellStyle name="ex73 8" xfId="8813"/>
    <cellStyle name="ex73 9" xfId="8814"/>
    <cellStyle name="ex74" xfId="1568"/>
    <cellStyle name="ex74 10" xfId="8815"/>
    <cellStyle name="ex74 11" xfId="23878"/>
    <cellStyle name="ex74 2" xfId="1569"/>
    <cellStyle name="ex74 2 2" xfId="1570"/>
    <cellStyle name="ex74 2 2 2" xfId="1571"/>
    <cellStyle name="ex74 2 2 3" xfId="1572"/>
    <cellStyle name="ex74 2 3" xfId="1573"/>
    <cellStyle name="ex74 2 4" xfId="1574"/>
    <cellStyle name="ex74 2 4 2" xfId="8816"/>
    <cellStyle name="ex74 2 4 3" xfId="8817"/>
    <cellStyle name="ex74 2 4 4" xfId="8818"/>
    <cellStyle name="ex74 2 4 5" xfId="8819"/>
    <cellStyle name="ex74 2 5" xfId="8820"/>
    <cellStyle name="ex74 2 6" xfId="8821"/>
    <cellStyle name="ex74 2 7" xfId="8822"/>
    <cellStyle name="ex74 2 8" xfId="8823"/>
    <cellStyle name="ex74 3" xfId="1575"/>
    <cellStyle name="ex74 3 2" xfId="1576"/>
    <cellStyle name="ex74 3 2 2" xfId="1577"/>
    <cellStyle name="ex74 3 2 3" xfId="1578"/>
    <cellStyle name="ex74 3 3" xfId="1579"/>
    <cellStyle name="ex74 3 4" xfId="1580"/>
    <cellStyle name="ex74 3 4 2" xfId="8824"/>
    <cellStyle name="ex74 3 4 3" xfId="8825"/>
    <cellStyle name="ex74 3 4 4" xfId="8826"/>
    <cellStyle name="ex74 3 4 5" xfId="8827"/>
    <cellStyle name="ex74 3 5" xfId="8828"/>
    <cellStyle name="ex74 3 6" xfId="8829"/>
    <cellStyle name="ex74 3 7" xfId="8830"/>
    <cellStyle name="ex74 3 8" xfId="8831"/>
    <cellStyle name="ex74 4" xfId="1581"/>
    <cellStyle name="ex74 4 2" xfId="1582"/>
    <cellStyle name="ex74 4 3" xfId="1583"/>
    <cellStyle name="ex74 5" xfId="1584"/>
    <cellStyle name="ex74 6" xfId="1585"/>
    <cellStyle name="ex74 6 2" xfId="8832"/>
    <cellStyle name="ex74 6 3" xfId="8833"/>
    <cellStyle name="ex74 6 4" xfId="8834"/>
    <cellStyle name="ex74 6 5" xfId="8835"/>
    <cellStyle name="ex74 7" xfId="8836"/>
    <cellStyle name="ex74 8" xfId="8837"/>
    <cellStyle name="ex74 9" xfId="8838"/>
    <cellStyle name="ex75" xfId="35"/>
    <cellStyle name="ex75 2" xfId="1586"/>
    <cellStyle name="ex75 2 2" xfId="1587"/>
    <cellStyle name="ex75 2 2 2" xfId="1588"/>
    <cellStyle name="ex75 2 2 3" xfId="1589"/>
    <cellStyle name="ex75 2 3" xfId="1590"/>
    <cellStyle name="ex75 2 4" xfId="1591"/>
    <cellStyle name="ex75 3" xfId="1592"/>
    <cellStyle name="ex75 3 2" xfId="1593"/>
    <cellStyle name="ex75 3 3" xfId="1594"/>
    <cellStyle name="ex75 4" xfId="1595"/>
    <cellStyle name="ex75 5" xfId="1596"/>
    <cellStyle name="ex76" xfId="36"/>
    <cellStyle name="ex76 10" xfId="23879"/>
    <cellStyle name="ex76 2" xfId="1597"/>
    <cellStyle name="ex76 2 2" xfId="1598"/>
    <cellStyle name="ex76 2 2 2" xfId="1599"/>
    <cellStyle name="ex76 2 2 2 2" xfId="1600"/>
    <cellStyle name="ex76 2 2 2 3" xfId="1601"/>
    <cellStyle name="ex76 2 2 3" xfId="1602"/>
    <cellStyle name="ex76 2 2 4" xfId="1603"/>
    <cellStyle name="ex76 2 2 4 2" xfId="8839"/>
    <cellStyle name="ex76 2 2 4 3" xfId="8840"/>
    <cellStyle name="ex76 2 2 4 4" xfId="8841"/>
    <cellStyle name="ex76 2 2 4 5" xfId="8842"/>
    <cellStyle name="ex76 2 2 5" xfId="8843"/>
    <cellStyle name="ex76 2 2 6" xfId="8844"/>
    <cellStyle name="ex76 2 2 7" xfId="8845"/>
    <cellStyle name="ex76 2 2 8" xfId="8846"/>
    <cellStyle name="ex76 2 3" xfId="1604"/>
    <cellStyle name="ex76 2 3 2" xfId="1605"/>
    <cellStyle name="ex76 2 3 3" xfId="1606"/>
    <cellStyle name="ex76 2 4" xfId="1607"/>
    <cellStyle name="ex76 2 5" xfId="1608"/>
    <cellStyle name="ex76 2 5 2" xfId="8847"/>
    <cellStyle name="ex76 2 5 3" xfId="8848"/>
    <cellStyle name="ex76 2 5 4" xfId="8849"/>
    <cellStyle name="ex76 2 5 5" xfId="8850"/>
    <cellStyle name="ex76 2 6" xfId="8851"/>
    <cellStyle name="ex76 2 7" xfId="8852"/>
    <cellStyle name="ex76 2 8" xfId="8853"/>
    <cellStyle name="ex76 2 9" xfId="8854"/>
    <cellStyle name="ex76 3" xfId="1609"/>
    <cellStyle name="ex76 3 2" xfId="1610"/>
    <cellStyle name="ex76 3 3" xfId="1611"/>
    <cellStyle name="ex76 4" xfId="1612"/>
    <cellStyle name="ex76 5" xfId="1613"/>
    <cellStyle name="ex76 5 2" xfId="8855"/>
    <cellStyle name="ex76 5 3" xfId="8856"/>
    <cellStyle name="ex76 5 4" xfId="8857"/>
    <cellStyle name="ex76 5 5" xfId="8858"/>
    <cellStyle name="ex76 6" xfId="8859"/>
    <cellStyle name="ex76 7" xfId="8860"/>
    <cellStyle name="ex76 8" xfId="8861"/>
    <cellStyle name="ex76 9" xfId="8862"/>
    <cellStyle name="ex77" xfId="37"/>
    <cellStyle name="ex77 10" xfId="23880"/>
    <cellStyle name="ex77 2" xfId="1614"/>
    <cellStyle name="ex77 2 2" xfId="1615"/>
    <cellStyle name="ex77 2 2 2" xfId="1616"/>
    <cellStyle name="ex77 2 2 2 2" xfId="1617"/>
    <cellStyle name="ex77 2 2 2 3" xfId="1618"/>
    <cellStyle name="ex77 2 2 3" xfId="1619"/>
    <cellStyle name="ex77 2 2 4" xfId="1620"/>
    <cellStyle name="ex77 2 2 4 2" xfId="8863"/>
    <cellStyle name="ex77 2 2 4 3" xfId="8864"/>
    <cellStyle name="ex77 2 2 4 4" xfId="8865"/>
    <cellStyle name="ex77 2 2 4 5" xfId="8866"/>
    <cellStyle name="ex77 2 2 5" xfId="8867"/>
    <cellStyle name="ex77 2 2 6" xfId="8868"/>
    <cellStyle name="ex77 2 2 7" xfId="8869"/>
    <cellStyle name="ex77 2 2 8" xfId="8870"/>
    <cellStyle name="ex77 2 3" xfId="1621"/>
    <cellStyle name="ex77 2 3 2" xfId="1622"/>
    <cellStyle name="ex77 2 3 3" xfId="1623"/>
    <cellStyle name="ex77 2 4" xfId="1624"/>
    <cellStyle name="ex77 2 5" xfId="1625"/>
    <cellStyle name="ex77 2 5 2" xfId="8871"/>
    <cellStyle name="ex77 2 5 3" xfId="8872"/>
    <cellStyle name="ex77 2 5 4" xfId="8873"/>
    <cellStyle name="ex77 2 5 5" xfId="8874"/>
    <cellStyle name="ex77 2 6" xfId="8875"/>
    <cellStyle name="ex77 2 7" xfId="8876"/>
    <cellStyle name="ex77 2 8" xfId="8877"/>
    <cellStyle name="ex77 2 9" xfId="8878"/>
    <cellStyle name="ex77 3" xfId="1626"/>
    <cellStyle name="ex77 3 2" xfId="1627"/>
    <cellStyle name="ex77 3 3" xfId="1628"/>
    <cellStyle name="ex77 4" xfId="1629"/>
    <cellStyle name="ex77 5" xfId="1630"/>
    <cellStyle name="ex77 5 2" xfId="8879"/>
    <cellStyle name="ex77 5 3" xfId="8880"/>
    <cellStyle name="ex77 5 4" xfId="8881"/>
    <cellStyle name="ex77 5 5" xfId="8882"/>
    <cellStyle name="ex77 6" xfId="8883"/>
    <cellStyle name="ex77 7" xfId="8884"/>
    <cellStyle name="ex77 8" xfId="8885"/>
    <cellStyle name="ex77 9" xfId="8886"/>
    <cellStyle name="ex78" xfId="38"/>
    <cellStyle name="ex78 10" xfId="23881"/>
    <cellStyle name="ex78 2" xfId="1631"/>
    <cellStyle name="ex78 2 2" xfId="1632"/>
    <cellStyle name="ex78 2 2 2" xfId="1633"/>
    <cellStyle name="ex78 2 2 3" xfId="1634"/>
    <cellStyle name="ex78 2 3" xfId="1635"/>
    <cellStyle name="ex78 2 4" xfId="1636"/>
    <cellStyle name="ex78 2 4 2" xfId="8887"/>
    <cellStyle name="ex78 2 4 3" xfId="8888"/>
    <cellStyle name="ex78 2 4 4" xfId="8889"/>
    <cellStyle name="ex78 2 4 5" xfId="8890"/>
    <cellStyle name="ex78 2 5" xfId="8891"/>
    <cellStyle name="ex78 2 6" xfId="8892"/>
    <cellStyle name="ex78 2 7" xfId="8893"/>
    <cellStyle name="ex78 2 8" xfId="8894"/>
    <cellStyle name="ex78 3" xfId="1637"/>
    <cellStyle name="ex78 3 2" xfId="1638"/>
    <cellStyle name="ex78 3 3" xfId="1639"/>
    <cellStyle name="ex78 4" xfId="1640"/>
    <cellStyle name="ex78 5" xfId="1641"/>
    <cellStyle name="ex78 5 2" xfId="8895"/>
    <cellStyle name="ex78 5 3" xfId="8896"/>
    <cellStyle name="ex78 5 4" xfId="8897"/>
    <cellStyle name="ex78 5 5" xfId="8898"/>
    <cellStyle name="ex78 6" xfId="8899"/>
    <cellStyle name="ex78 7" xfId="8900"/>
    <cellStyle name="ex78 8" xfId="8901"/>
    <cellStyle name="ex78 9" xfId="8902"/>
    <cellStyle name="ex79" xfId="1642"/>
    <cellStyle name="ex79 10" xfId="8903"/>
    <cellStyle name="ex79 11" xfId="23882"/>
    <cellStyle name="ex79 2" xfId="1643"/>
    <cellStyle name="ex79 2 2" xfId="1644"/>
    <cellStyle name="ex79 2 2 2" xfId="1645"/>
    <cellStyle name="ex79 2 2 3" xfId="1646"/>
    <cellStyle name="ex79 2 3" xfId="1647"/>
    <cellStyle name="ex79 2 4" xfId="1648"/>
    <cellStyle name="ex79 2 4 2" xfId="8904"/>
    <cellStyle name="ex79 2 4 3" xfId="8905"/>
    <cellStyle name="ex79 2 4 4" xfId="8906"/>
    <cellStyle name="ex79 2 4 5" xfId="8907"/>
    <cellStyle name="ex79 2 5" xfId="8908"/>
    <cellStyle name="ex79 2 6" xfId="8909"/>
    <cellStyle name="ex79 2 7" xfId="8910"/>
    <cellStyle name="ex79 2 8" xfId="8911"/>
    <cellStyle name="ex79 3" xfId="1649"/>
    <cellStyle name="ex79 3 2" xfId="1650"/>
    <cellStyle name="ex79 3 2 2" xfId="1651"/>
    <cellStyle name="ex79 3 2 3" xfId="1652"/>
    <cellStyle name="ex79 3 3" xfId="1653"/>
    <cellStyle name="ex79 3 4" xfId="1654"/>
    <cellStyle name="ex79 3 4 2" xfId="8912"/>
    <cellStyle name="ex79 3 4 3" xfId="8913"/>
    <cellStyle name="ex79 3 4 4" xfId="8914"/>
    <cellStyle name="ex79 3 4 5" xfId="8915"/>
    <cellStyle name="ex79 3 5" xfId="8916"/>
    <cellStyle name="ex79 3 6" xfId="8917"/>
    <cellStyle name="ex79 3 7" xfId="8918"/>
    <cellStyle name="ex79 3 8" xfId="8919"/>
    <cellStyle name="ex79 4" xfId="1655"/>
    <cellStyle name="ex79 4 2" xfId="1656"/>
    <cellStyle name="ex79 4 3" xfId="1657"/>
    <cellStyle name="ex79 5" xfId="1658"/>
    <cellStyle name="ex79 6" xfId="1659"/>
    <cellStyle name="ex79 6 2" xfId="8920"/>
    <cellStyle name="ex79 6 3" xfId="8921"/>
    <cellStyle name="ex79 6 4" xfId="8922"/>
    <cellStyle name="ex79 6 5" xfId="8923"/>
    <cellStyle name="ex79 7" xfId="8924"/>
    <cellStyle name="ex79 8" xfId="8925"/>
    <cellStyle name="ex79 9" xfId="8926"/>
    <cellStyle name="ex80" xfId="40"/>
    <cellStyle name="ex80 2" xfId="1660"/>
    <cellStyle name="ex80 2 2" xfId="1661"/>
    <cellStyle name="ex80 2 2 2" xfId="1662"/>
    <cellStyle name="ex80 2 2 3" xfId="1663"/>
    <cellStyle name="ex80 2 3" xfId="1664"/>
    <cellStyle name="ex80 2 4" xfId="1665"/>
    <cellStyle name="ex80 3" xfId="1666"/>
    <cellStyle name="ex80 3 2" xfId="1667"/>
    <cellStyle name="ex80 3 3" xfId="1668"/>
    <cellStyle name="ex80 4" xfId="1669"/>
    <cellStyle name="ex80 5" xfId="1670"/>
    <cellStyle name="ex81" xfId="41"/>
    <cellStyle name="ex81 10" xfId="23883"/>
    <cellStyle name="ex81 2" xfId="1671"/>
    <cellStyle name="ex81 2 2" xfId="1672"/>
    <cellStyle name="ex81 2 2 2" xfId="1673"/>
    <cellStyle name="ex81 2 2 3" xfId="1674"/>
    <cellStyle name="ex81 2 3" xfId="1675"/>
    <cellStyle name="ex81 2 4" xfId="1676"/>
    <cellStyle name="ex81 2 4 2" xfId="8927"/>
    <cellStyle name="ex81 2 4 3" xfId="8928"/>
    <cellStyle name="ex81 2 4 4" xfId="8929"/>
    <cellStyle name="ex81 2 4 5" xfId="8930"/>
    <cellStyle name="ex81 2 5" xfId="8931"/>
    <cellStyle name="ex81 2 6" xfId="8932"/>
    <cellStyle name="ex81 2 7" xfId="8933"/>
    <cellStyle name="ex81 2 8" xfId="8934"/>
    <cellStyle name="ex81 3" xfId="1677"/>
    <cellStyle name="ex81 3 2" xfId="1678"/>
    <cellStyle name="ex81 3 3" xfId="1679"/>
    <cellStyle name="ex81 4" xfId="1680"/>
    <cellStyle name="ex81 5" xfId="1681"/>
    <cellStyle name="ex81 5 2" xfId="8935"/>
    <cellStyle name="ex81 5 3" xfId="8936"/>
    <cellStyle name="ex81 5 4" xfId="8937"/>
    <cellStyle name="ex81 5 5" xfId="8938"/>
    <cellStyle name="ex81 6" xfId="8939"/>
    <cellStyle name="ex81 7" xfId="8940"/>
    <cellStyle name="ex81 8" xfId="8941"/>
    <cellStyle name="ex81 9" xfId="8942"/>
    <cellStyle name="ex82" xfId="42"/>
    <cellStyle name="ex82 10" xfId="23884"/>
    <cellStyle name="ex82 2" xfId="1682"/>
    <cellStyle name="ex82 2 2" xfId="1683"/>
    <cellStyle name="ex82 2 2 2" xfId="1684"/>
    <cellStyle name="ex82 2 2 3" xfId="1685"/>
    <cellStyle name="ex82 2 3" xfId="1686"/>
    <cellStyle name="ex82 2 4" xfId="1687"/>
    <cellStyle name="ex82 2 4 2" xfId="8943"/>
    <cellStyle name="ex82 2 4 3" xfId="8944"/>
    <cellStyle name="ex82 2 4 4" xfId="8945"/>
    <cellStyle name="ex82 2 4 5" xfId="8946"/>
    <cellStyle name="ex82 2 5" xfId="8947"/>
    <cellStyle name="ex82 2 6" xfId="8948"/>
    <cellStyle name="ex82 2 7" xfId="8949"/>
    <cellStyle name="ex82 2 8" xfId="8950"/>
    <cellStyle name="ex82 3" xfId="1688"/>
    <cellStyle name="ex82 3 2" xfId="1689"/>
    <cellStyle name="ex82 3 3" xfId="1690"/>
    <cellStyle name="ex82 4" xfId="1691"/>
    <cellStyle name="ex82 5" xfId="1692"/>
    <cellStyle name="ex82 5 2" xfId="8951"/>
    <cellStyle name="ex82 5 3" xfId="8952"/>
    <cellStyle name="ex82 5 4" xfId="8953"/>
    <cellStyle name="ex82 5 5" xfId="8954"/>
    <cellStyle name="ex82 6" xfId="8955"/>
    <cellStyle name="ex82 7" xfId="8956"/>
    <cellStyle name="ex82 8" xfId="8957"/>
    <cellStyle name="ex82 9" xfId="8958"/>
    <cellStyle name="ex83" xfId="43"/>
    <cellStyle name="ex83 10" xfId="23885"/>
    <cellStyle name="ex83 2" xfId="1693"/>
    <cellStyle name="ex83 2 2" xfId="1694"/>
    <cellStyle name="ex83 2 2 2" xfId="1695"/>
    <cellStyle name="ex83 2 2 3" xfId="1696"/>
    <cellStyle name="ex83 2 3" xfId="1697"/>
    <cellStyle name="ex83 2 4" xfId="1698"/>
    <cellStyle name="ex83 2 4 2" xfId="8959"/>
    <cellStyle name="ex83 2 4 3" xfId="8960"/>
    <cellStyle name="ex83 2 4 4" xfId="8961"/>
    <cellStyle name="ex83 2 4 5" xfId="8962"/>
    <cellStyle name="ex83 2 5" xfId="8963"/>
    <cellStyle name="ex83 2 6" xfId="8964"/>
    <cellStyle name="ex83 2 7" xfId="8965"/>
    <cellStyle name="ex83 2 8" xfId="8966"/>
    <cellStyle name="ex83 3" xfId="1699"/>
    <cellStyle name="ex83 3 2" xfId="1700"/>
    <cellStyle name="ex83 3 3" xfId="1701"/>
    <cellStyle name="ex83 4" xfId="1702"/>
    <cellStyle name="ex83 5" xfId="1703"/>
    <cellStyle name="ex83 5 2" xfId="8967"/>
    <cellStyle name="ex83 5 3" xfId="8968"/>
    <cellStyle name="ex83 5 4" xfId="8969"/>
    <cellStyle name="ex83 5 5" xfId="8970"/>
    <cellStyle name="ex83 6" xfId="8971"/>
    <cellStyle name="ex83 7" xfId="8972"/>
    <cellStyle name="ex83 8" xfId="8973"/>
    <cellStyle name="ex83 9" xfId="8974"/>
    <cellStyle name="ex84" xfId="1704"/>
    <cellStyle name="ex84 10" xfId="23886"/>
    <cellStyle name="ex84 2" xfId="1705"/>
    <cellStyle name="ex84 2 2" xfId="1706"/>
    <cellStyle name="ex84 2 2 2" xfId="1707"/>
    <cellStyle name="ex84 2 2 3" xfId="1708"/>
    <cellStyle name="ex84 2 3" xfId="1709"/>
    <cellStyle name="ex84 2 4" xfId="1710"/>
    <cellStyle name="ex84 2 4 2" xfId="8975"/>
    <cellStyle name="ex84 2 4 3" xfId="8976"/>
    <cellStyle name="ex84 2 4 4" xfId="8977"/>
    <cellStyle name="ex84 2 4 5" xfId="8978"/>
    <cellStyle name="ex84 2 5" xfId="8979"/>
    <cellStyle name="ex84 2 6" xfId="8980"/>
    <cellStyle name="ex84 2 7" xfId="8981"/>
    <cellStyle name="ex84 2 8" xfId="8982"/>
    <cellStyle name="ex84 3" xfId="1711"/>
    <cellStyle name="ex84 3 2" xfId="1712"/>
    <cellStyle name="ex84 3 3" xfId="1713"/>
    <cellStyle name="ex84 4" xfId="1714"/>
    <cellStyle name="ex84 5" xfId="1715"/>
    <cellStyle name="ex84 5 2" xfId="8983"/>
    <cellStyle name="ex84 5 3" xfId="8984"/>
    <cellStyle name="ex84 5 4" xfId="8985"/>
    <cellStyle name="ex84 5 5" xfId="8986"/>
    <cellStyle name="ex84 6" xfId="8987"/>
    <cellStyle name="ex84 7" xfId="8988"/>
    <cellStyle name="ex84 8" xfId="8989"/>
    <cellStyle name="ex84 9" xfId="8990"/>
    <cellStyle name="ex85" xfId="1716"/>
    <cellStyle name="ex85 2" xfId="1717"/>
    <cellStyle name="ex85 2 2" xfId="1718"/>
    <cellStyle name="ex85 2 3" xfId="1719"/>
    <cellStyle name="ex85 3" xfId="1720"/>
    <cellStyle name="ex85 4" xfId="1721"/>
    <cellStyle name="ex86" xfId="1722"/>
    <cellStyle name="ex86 2" xfId="1723"/>
    <cellStyle name="ex86 2 2" xfId="1724"/>
    <cellStyle name="ex86 2 3" xfId="1725"/>
    <cellStyle name="ex86 3" xfId="1726"/>
    <cellStyle name="ex86 4" xfId="1727"/>
    <cellStyle name="ex86 4 2" xfId="8991"/>
    <cellStyle name="ex86 4 3" xfId="8992"/>
    <cellStyle name="ex86 4 4" xfId="8993"/>
    <cellStyle name="ex86 4 5" xfId="8994"/>
    <cellStyle name="ex86 5" xfId="8995"/>
    <cellStyle name="ex86 6" xfId="8996"/>
    <cellStyle name="ex86 7" xfId="8997"/>
    <cellStyle name="ex86 8" xfId="8998"/>
    <cellStyle name="ex86 9" xfId="23887"/>
    <cellStyle name="ex87" xfId="1728"/>
    <cellStyle name="ex87 2" xfId="1729"/>
    <cellStyle name="ex87 2 2" xfId="1730"/>
    <cellStyle name="ex87 2 3" xfId="1731"/>
    <cellStyle name="ex87 3" xfId="1732"/>
    <cellStyle name="ex87 4" xfId="1733"/>
    <cellStyle name="ex87 4 2" xfId="8999"/>
    <cellStyle name="ex87 4 3" xfId="9000"/>
    <cellStyle name="ex87 4 4" xfId="9001"/>
    <cellStyle name="ex87 4 5" xfId="9002"/>
    <cellStyle name="ex87 5" xfId="9003"/>
    <cellStyle name="ex87 6" xfId="9004"/>
    <cellStyle name="ex87 7" xfId="9005"/>
    <cellStyle name="ex87 8" xfId="9006"/>
    <cellStyle name="ex87 9" xfId="23888"/>
    <cellStyle name="ex88" xfId="1734"/>
    <cellStyle name="ex88 2" xfId="1735"/>
    <cellStyle name="ex88 2 2" xfId="1736"/>
    <cellStyle name="ex88 2 3" xfId="1737"/>
    <cellStyle name="ex88 3" xfId="1738"/>
    <cellStyle name="ex88 4" xfId="1739"/>
    <cellStyle name="ex88 4 2" xfId="9007"/>
    <cellStyle name="ex88 4 3" xfId="9008"/>
    <cellStyle name="ex88 4 4" xfId="9009"/>
    <cellStyle name="ex88 4 5" xfId="9010"/>
    <cellStyle name="ex88 5" xfId="9011"/>
    <cellStyle name="ex88 6" xfId="9012"/>
    <cellStyle name="ex88 7" xfId="9013"/>
    <cellStyle name="ex88 8" xfId="9014"/>
    <cellStyle name="ex88 9" xfId="23889"/>
    <cellStyle name="ex89" xfId="1740"/>
    <cellStyle name="ex89 2" xfId="1741"/>
    <cellStyle name="ex89 2 2" xfId="1742"/>
    <cellStyle name="ex89 2 3" xfId="1743"/>
    <cellStyle name="ex89 3" xfId="1744"/>
    <cellStyle name="ex89 4" xfId="1745"/>
    <cellStyle name="ex89 4 2" xfId="9015"/>
    <cellStyle name="ex89 4 3" xfId="9016"/>
    <cellStyle name="ex89 4 4" xfId="9017"/>
    <cellStyle name="ex89 4 5" xfId="9018"/>
    <cellStyle name="ex89 5" xfId="9019"/>
    <cellStyle name="ex89 6" xfId="9020"/>
    <cellStyle name="ex89 7" xfId="9021"/>
    <cellStyle name="ex89 8" xfId="9022"/>
    <cellStyle name="ex89 9" xfId="23890"/>
    <cellStyle name="Explanatory Text" xfId="1746"/>
    <cellStyle name="Explanatory Text 2" xfId="1747"/>
    <cellStyle name="Explanatory Text 2 2" xfId="1748"/>
    <cellStyle name="Explanatory Text 2 2 2" xfId="9023"/>
    <cellStyle name="Explanatory Text 2 2 3" xfId="9024"/>
    <cellStyle name="Explanatory Text 2 2 4" xfId="9025"/>
    <cellStyle name="Explanatory Text 2 2 5" xfId="9026"/>
    <cellStyle name="Explanatory Text 2 2 6" xfId="9027"/>
    <cellStyle name="Explanatory Text 2 3" xfId="1749"/>
    <cellStyle name="Explanatory Text 2 3 2" xfId="9028"/>
    <cellStyle name="Explanatory Text 2 3 3" xfId="9029"/>
    <cellStyle name="Explanatory Text 2 3 4" xfId="9030"/>
    <cellStyle name="Explanatory Text 2 3 5" xfId="9031"/>
    <cellStyle name="Explanatory Text 2 3 6" xfId="9032"/>
    <cellStyle name="Explanatory Text 2 4" xfId="9033"/>
    <cellStyle name="Explanatory Text 2 5" xfId="9034"/>
    <cellStyle name="Explanatory Text 2 6" xfId="9035"/>
    <cellStyle name="Explanatory Text 2 7" xfId="9036"/>
    <cellStyle name="Explanatory Text 2 8" xfId="9037"/>
    <cellStyle name="Explanatory Text 3" xfId="1750"/>
    <cellStyle name="Explanatory Text 3 2" xfId="9038"/>
    <cellStyle name="Explanatory Text 3 3" xfId="9039"/>
    <cellStyle name="Explanatory Text 3 4" xfId="9040"/>
    <cellStyle name="Explanatory Text 3 5" xfId="9041"/>
    <cellStyle name="Explanatory Text 3 6" xfId="9042"/>
    <cellStyle name="Explanatory Text 4" xfId="1751"/>
    <cellStyle name="Explanatory Text 4 2" xfId="9043"/>
    <cellStyle name="Explanatory Text 4 3" xfId="9044"/>
    <cellStyle name="Explanatory Text 4 4" xfId="9045"/>
    <cellStyle name="Explanatory Text 4 5" xfId="9046"/>
    <cellStyle name="Explanatory Text 5" xfId="9047"/>
    <cellStyle name="Explanatory Text 6" xfId="9048"/>
    <cellStyle name="Explanatory Text 7" xfId="9049"/>
    <cellStyle name="Explanatory Text 8" xfId="9050"/>
    <cellStyle name="Good" xfId="1752"/>
    <cellStyle name="Good 2" xfId="1753"/>
    <cellStyle name="Good 2 2" xfId="1754"/>
    <cellStyle name="Good 2 2 2" xfId="9051"/>
    <cellStyle name="Good 2 2 3" xfId="9052"/>
    <cellStyle name="Good 2 2 4" xfId="9053"/>
    <cellStyle name="Good 2 2 5" xfId="9054"/>
    <cellStyle name="Good 2 2 6" xfId="9055"/>
    <cellStyle name="Good 2 3" xfId="1755"/>
    <cellStyle name="Good 2 3 2" xfId="9056"/>
    <cellStyle name="Good 2 3 3" xfId="9057"/>
    <cellStyle name="Good 2 3 4" xfId="9058"/>
    <cellStyle name="Good 2 3 5" xfId="9059"/>
    <cellStyle name="Good 2 3 6" xfId="9060"/>
    <cellStyle name="Good 2 4" xfId="9061"/>
    <cellStyle name="Good 2 5" xfId="9062"/>
    <cellStyle name="Good 2 6" xfId="9063"/>
    <cellStyle name="Good 2 7" xfId="9064"/>
    <cellStyle name="Good 2 8" xfId="9065"/>
    <cellStyle name="Good 3" xfId="1756"/>
    <cellStyle name="Good 3 2" xfId="9066"/>
    <cellStyle name="Good 3 3" xfId="9067"/>
    <cellStyle name="Good 3 4" xfId="9068"/>
    <cellStyle name="Good 3 5" xfId="9069"/>
    <cellStyle name="Good 3 6" xfId="9070"/>
    <cellStyle name="Good 4" xfId="1757"/>
    <cellStyle name="Good 4 2" xfId="9071"/>
    <cellStyle name="Good 4 3" xfId="9072"/>
    <cellStyle name="Good 4 4" xfId="9073"/>
    <cellStyle name="Good 4 5" xfId="9074"/>
    <cellStyle name="Good 5" xfId="9075"/>
    <cellStyle name="Good 6" xfId="9076"/>
    <cellStyle name="Good 7" xfId="9077"/>
    <cellStyle name="Good 8" xfId="9078"/>
    <cellStyle name="Heading 1" xfId="1758"/>
    <cellStyle name="Heading 1 2" xfId="1759"/>
    <cellStyle name="Heading 1 2 2" xfId="1760"/>
    <cellStyle name="Heading 1 2 2 2" xfId="9079"/>
    <cellStyle name="Heading 1 2 2 3" xfId="9080"/>
    <cellStyle name="Heading 1 2 2 4" xfId="9081"/>
    <cellStyle name="Heading 1 2 2 5" xfId="9082"/>
    <cellStyle name="Heading 1 2 2 6" xfId="9083"/>
    <cellStyle name="Heading 1 2 3" xfId="1761"/>
    <cellStyle name="Heading 1 2 3 2" xfId="9084"/>
    <cellStyle name="Heading 1 2 3 3" xfId="9085"/>
    <cellStyle name="Heading 1 2 3 4" xfId="9086"/>
    <cellStyle name="Heading 1 2 3 5" xfId="9087"/>
    <cellStyle name="Heading 1 2 3 6" xfId="9088"/>
    <cellStyle name="Heading 1 2 4" xfId="9089"/>
    <cellStyle name="Heading 1 2 5" xfId="9090"/>
    <cellStyle name="Heading 1 2 6" xfId="9091"/>
    <cellStyle name="Heading 1 2 7" xfId="9092"/>
    <cellStyle name="Heading 1 2 8" xfId="9093"/>
    <cellStyle name="Heading 1 3" xfId="1762"/>
    <cellStyle name="Heading 1 3 2" xfId="9094"/>
    <cellStyle name="Heading 1 3 3" xfId="9095"/>
    <cellStyle name="Heading 1 3 4" xfId="9096"/>
    <cellStyle name="Heading 1 3 5" xfId="9097"/>
    <cellStyle name="Heading 1 3 6" xfId="9098"/>
    <cellStyle name="Heading 1 4" xfId="1763"/>
    <cellStyle name="Heading 1 4 2" xfId="9099"/>
    <cellStyle name="Heading 1 4 3" xfId="9100"/>
    <cellStyle name="Heading 1 4 4" xfId="9101"/>
    <cellStyle name="Heading 1 4 5" xfId="9102"/>
    <cellStyle name="Heading 1 5" xfId="9103"/>
    <cellStyle name="Heading 1 6" xfId="9104"/>
    <cellStyle name="Heading 1 7" xfId="9105"/>
    <cellStyle name="Heading 1 8" xfId="9106"/>
    <cellStyle name="Heading 2" xfId="1764"/>
    <cellStyle name="Heading 2 2" xfId="1765"/>
    <cellStyle name="Heading 2 2 2" xfId="1766"/>
    <cellStyle name="Heading 2 2 2 2" xfId="9107"/>
    <cellStyle name="Heading 2 2 2 3" xfId="9108"/>
    <cellStyle name="Heading 2 2 2 4" xfId="9109"/>
    <cellStyle name="Heading 2 2 2 5" xfId="9110"/>
    <cellStyle name="Heading 2 2 2 6" xfId="9111"/>
    <cellStyle name="Heading 2 2 3" xfId="1767"/>
    <cellStyle name="Heading 2 2 3 2" xfId="9112"/>
    <cellStyle name="Heading 2 2 3 3" xfId="9113"/>
    <cellStyle name="Heading 2 2 3 4" xfId="9114"/>
    <cellStyle name="Heading 2 2 3 5" xfId="9115"/>
    <cellStyle name="Heading 2 2 3 6" xfId="9116"/>
    <cellStyle name="Heading 2 2 4" xfId="9117"/>
    <cellStyle name="Heading 2 2 5" xfId="9118"/>
    <cellStyle name="Heading 2 2 6" xfId="9119"/>
    <cellStyle name="Heading 2 2 7" xfId="9120"/>
    <cellStyle name="Heading 2 2 8" xfId="9121"/>
    <cellStyle name="Heading 2 3" xfId="1768"/>
    <cellStyle name="Heading 2 3 2" xfId="9122"/>
    <cellStyle name="Heading 2 3 3" xfId="9123"/>
    <cellStyle name="Heading 2 3 4" xfId="9124"/>
    <cellStyle name="Heading 2 3 5" xfId="9125"/>
    <cellStyle name="Heading 2 3 6" xfId="9126"/>
    <cellStyle name="Heading 2 4" xfId="1769"/>
    <cellStyle name="Heading 2 4 2" xfId="9127"/>
    <cellStyle name="Heading 2 4 3" xfId="9128"/>
    <cellStyle name="Heading 2 4 4" xfId="9129"/>
    <cellStyle name="Heading 2 4 5" xfId="9130"/>
    <cellStyle name="Heading 2 5" xfId="9131"/>
    <cellStyle name="Heading 2 6" xfId="9132"/>
    <cellStyle name="Heading 2 7" xfId="9133"/>
    <cellStyle name="Heading 2 8" xfId="9134"/>
    <cellStyle name="Heading 3" xfId="1770"/>
    <cellStyle name="Heading 3 2" xfId="1771"/>
    <cellStyle name="Heading 3 2 2" xfId="1772"/>
    <cellStyle name="Heading 3 2 2 2" xfId="9135"/>
    <cellStyle name="Heading 3 2 2 3" xfId="9136"/>
    <cellStyle name="Heading 3 2 2 4" xfId="9137"/>
    <cellStyle name="Heading 3 2 2 5" xfId="9138"/>
    <cellStyle name="Heading 3 2 2 6" xfId="9139"/>
    <cellStyle name="Heading 3 2 3" xfId="1773"/>
    <cellStyle name="Heading 3 2 3 2" xfId="9140"/>
    <cellStyle name="Heading 3 2 3 3" xfId="9141"/>
    <cellStyle name="Heading 3 2 3 4" xfId="9142"/>
    <cellStyle name="Heading 3 2 3 5" xfId="9143"/>
    <cellStyle name="Heading 3 2 3 6" xfId="9144"/>
    <cellStyle name="Heading 3 2 4" xfId="9145"/>
    <cellStyle name="Heading 3 2 5" xfId="9146"/>
    <cellStyle name="Heading 3 2 6" xfId="9147"/>
    <cellStyle name="Heading 3 2 7" xfId="9148"/>
    <cellStyle name="Heading 3 2 8" xfId="9149"/>
    <cellStyle name="Heading 3 3" xfId="1774"/>
    <cellStyle name="Heading 3 3 2" xfId="9150"/>
    <cellStyle name="Heading 3 3 3" xfId="9151"/>
    <cellStyle name="Heading 3 3 4" xfId="9152"/>
    <cellStyle name="Heading 3 3 5" xfId="9153"/>
    <cellStyle name="Heading 3 3 6" xfId="9154"/>
    <cellStyle name="Heading 3 4" xfId="1775"/>
    <cellStyle name="Heading 3 4 2" xfId="9155"/>
    <cellStyle name="Heading 3 4 3" xfId="9156"/>
    <cellStyle name="Heading 3 4 4" xfId="9157"/>
    <cellStyle name="Heading 3 4 5" xfId="9158"/>
    <cellStyle name="Heading 3 5" xfId="9159"/>
    <cellStyle name="Heading 3 6" xfId="9160"/>
    <cellStyle name="Heading 3 7" xfId="9161"/>
    <cellStyle name="Heading 3 8" xfId="9162"/>
    <cellStyle name="Heading 4" xfId="1776"/>
    <cellStyle name="Heading 4 2" xfId="1777"/>
    <cellStyle name="Heading 4 2 2" xfId="1778"/>
    <cellStyle name="Heading 4 2 2 2" xfId="9163"/>
    <cellStyle name="Heading 4 2 2 3" xfId="9164"/>
    <cellStyle name="Heading 4 2 2 4" xfId="9165"/>
    <cellStyle name="Heading 4 2 2 5" xfId="9166"/>
    <cellStyle name="Heading 4 2 2 6" xfId="9167"/>
    <cellStyle name="Heading 4 2 3" xfId="1779"/>
    <cellStyle name="Heading 4 2 3 2" xfId="9168"/>
    <cellStyle name="Heading 4 2 3 3" xfId="9169"/>
    <cellStyle name="Heading 4 2 3 4" xfId="9170"/>
    <cellStyle name="Heading 4 2 3 5" xfId="9171"/>
    <cellStyle name="Heading 4 2 3 6" xfId="9172"/>
    <cellStyle name="Heading 4 2 4" xfId="9173"/>
    <cellStyle name="Heading 4 2 5" xfId="9174"/>
    <cellStyle name="Heading 4 2 6" xfId="9175"/>
    <cellStyle name="Heading 4 2 7" xfId="9176"/>
    <cellStyle name="Heading 4 2 8" xfId="9177"/>
    <cellStyle name="Heading 4 3" xfId="1780"/>
    <cellStyle name="Heading 4 3 2" xfId="9178"/>
    <cellStyle name="Heading 4 3 3" xfId="9179"/>
    <cellStyle name="Heading 4 3 4" xfId="9180"/>
    <cellStyle name="Heading 4 3 5" xfId="9181"/>
    <cellStyle name="Heading 4 3 6" xfId="9182"/>
    <cellStyle name="Heading 4 4" xfId="1781"/>
    <cellStyle name="Heading 4 4 2" xfId="9183"/>
    <cellStyle name="Heading 4 4 3" xfId="9184"/>
    <cellStyle name="Heading 4 4 4" xfId="9185"/>
    <cellStyle name="Heading 4 4 5" xfId="9186"/>
    <cellStyle name="Heading 4 5" xfId="9187"/>
    <cellStyle name="Heading 4 6" xfId="9188"/>
    <cellStyle name="Heading 4 7" xfId="9189"/>
    <cellStyle name="Heading 4 8" xfId="9190"/>
    <cellStyle name="Input" xfId="1782"/>
    <cellStyle name="Input 2" xfId="1783"/>
    <cellStyle name="Input 2 2" xfId="1784"/>
    <cellStyle name="Input 2 2 2" xfId="9191"/>
    <cellStyle name="Input 2 2 3" xfId="9192"/>
    <cellStyle name="Input 2 2 4" xfId="9193"/>
    <cellStyle name="Input 2 2 5" xfId="9194"/>
    <cellStyle name="Input 2 2 6" xfId="9195"/>
    <cellStyle name="Input 2 3" xfId="1785"/>
    <cellStyle name="Input 2 3 2" xfId="9196"/>
    <cellStyle name="Input 2 3 3" xfId="9197"/>
    <cellStyle name="Input 2 3 4" xfId="9198"/>
    <cellStyle name="Input 2 3 5" xfId="9199"/>
    <cellStyle name="Input 2 3 6" xfId="9200"/>
    <cellStyle name="Input 2 4" xfId="9201"/>
    <cellStyle name="Input 2 5" xfId="9202"/>
    <cellStyle name="Input 2 6" xfId="9203"/>
    <cellStyle name="Input 2 7" xfId="9204"/>
    <cellStyle name="Input 2 8" xfId="9205"/>
    <cellStyle name="Input 3" xfId="1786"/>
    <cellStyle name="Input 3 2" xfId="9206"/>
    <cellStyle name="Input 3 3" xfId="9207"/>
    <cellStyle name="Input 3 4" xfId="9208"/>
    <cellStyle name="Input 3 5" xfId="9209"/>
    <cellStyle name="Input 3 6" xfId="9210"/>
    <cellStyle name="Input 4" xfId="1787"/>
    <cellStyle name="Input 4 2" xfId="9211"/>
    <cellStyle name="Input 4 3" xfId="9212"/>
    <cellStyle name="Input 4 4" xfId="9213"/>
    <cellStyle name="Input 4 5" xfId="9214"/>
    <cellStyle name="Input 5" xfId="9215"/>
    <cellStyle name="Input 6" xfId="9216"/>
    <cellStyle name="Input 7" xfId="9217"/>
    <cellStyle name="Input 8" xfId="9218"/>
    <cellStyle name="Linked Cell" xfId="1788"/>
    <cellStyle name="Linked Cell 2" xfId="1789"/>
    <cellStyle name="Linked Cell 2 2" xfId="1790"/>
    <cellStyle name="Linked Cell 2 2 2" xfId="9219"/>
    <cellStyle name="Linked Cell 2 2 3" xfId="9220"/>
    <cellStyle name="Linked Cell 2 2 4" xfId="9221"/>
    <cellStyle name="Linked Cell 2 2 5" xfId="9222"/>
    <cellStyle name="Linked Cell 2 2 6" xfId="9223"/>
    <cellStyle name="Linked Cell 2 3" xfId="1791"/>
    <cellStyle name="Linked Cell 2 3 2" xfId="9224"/>
    <cellStyle name="Linked Cell 2 3 3" xfId="9225"/>
    <cellStyle name="Linked Cell 2 3 4" xfId="9226"/>
    <cellStyle name="Linked Cell 2 3 5" xfId="9227"/>
    <cellStyle name="Linked Cell 2 3 6" xfId="9228"/>
    <cellStyle name="Linked Cell 2 4" xfId="9229"/>
    <cellStyle name="Linked Cell 2 5" xfId="9230"/>
    <cellStyle name="Linked Cell 2 6" xfId="9231"/>
    <cellStyle name="Linked Cell 2 7" xfId="9232"/>
    <cellStyle name="Linked Cell 2 8" xfId="9233"/>
    <cellStyle name="Linked Cell 3" xfId="1792"/>
    <cellStyle name="Linked Cell 3 2" xfId="9234"/>
    <cellStyle name="Linked Cell 3 3" xfId="9235"/>
    <cellStyle name="Linked Cell 3 4" xfId="9236"/>
    <cellStyle name="Linked Cell 3 5" xfId="9237"/>
    <cellStyle name="Linked Cell 3 6" xfId="9238"/>
    <cellStyle name="Linked Cell 4" xfId="1793"/>
    <cellStyle name="Linked Cell 4 2" xfId="9239"/>
    <cellStyle name="Linked Cell 4 3" xfId="9240"/>
    <cellStyle name="Linked Cell 4 4" xfId="9241"/>
    <cellStyle name="Linked Cell 4 5" xfId="9242"/>
    <cellStyle name="Linked Cell 5" xfId="9243"/>
    <cellStyle name="Linked Cell 6" xfId="9244"/>
    <cellStyle name="Linked Cell 7" xfId="9245"/>
    <cellStyle name="Linked Cell 8" xfId="9246"/>
    <cellStyle name="Neutral" xfId="1794"/>
    <cellStyle name="Neutral 2" xfId="1795"/>
    <cellStyle name="Neutral 2 2" xfId="1796"/>
    <cellStyle name="Neutral 2 2 2" xfId="9247"/>
    <cellStyle name="Neutral 2 2 3" xfId="9248"/>
    <cellStyle name="Neutral 2 2 4" xfId="9249"/>
    <cellStyle name="Neutral 2 2 5" xfId="9250"/>
    <cellStyle name="Neutral 2 2 6" xfId="9251"/>
    <cellStyle name="Neutral 2 3" xfId="1797"/>
    <cellStyle name="Neutral 2 3 2" xfId="9252"/>
    <cellStyle name="Neutral 2 3 3" xfId="9253"/>
    <cellStyle name="Neutral 2 3 4" xfId="9254"/>
    <cellStyle name="Neutral 2 3 5" xfId="9255"/>
    <cellStyle name="Neutral 2 3 6" xfId="9256"/>
    <cellStyle name="Neutral 2 4" xfId="9257"/>
    <cellStyle name="Neutral 2 5" xfId="9258"/>
    <cellStyle name="Neutral 2 6" xfId="9259"/>
    <cellStyle name="Neutral 2 7" xfId="9260"/>
    <cellStyle name="Neutral 2 8" xfId="9261"/>
    <cellStyle name="Neutral 3" xfId="1798"/>
    <cellStyle name="Neutral 3 2" xfId="9262"/>
    <cellStyle name="Neutral 3 3" xfId="9263"/>
    <cellStyle name="Neutral 3 4" xfId="9264"/>
    <cellStyle name="Neutral 3 5" xfId="9265"/>
    <cellStyle name="Neutral 3 6" xfId="9266"/>
    <cellStyle name="Neutral 4" xfId="1799"/>
    <cellStyle name="Neutral 4 2" xfId="9267"/>
    <cellStyle name="Neutral 4 3" xfId="9268"/>
    <cellStyle name="Neutral 4 4" xfId="9269"/>
    <cellStyle name="Neutral 4 5" xfId="9270"/>
    <cellStyle name="Neutral 5" xfId="9271"/>
    <cellStyle name="Neutral 6" xfId="9272"/>
    <cellStyle name="Neutral 7" xfId="9273"/>
    <cellStyle name="Neutral 8" xfId="9274"/>
    <cellStyle name="Normal" xfId="1800"/>
    <cellStyle name="Normal 2" xfId="1801"/>
    <cellStyle name="Normal 2 2" xfId="1802"/>
    <cellStyle name="Normal 2 3" xfId="1803"/>
    <cellStyle name="Normal 3" xfId="1804"/>
    <cellStyle name="Normal 4" xfId="1805"/>
    <cellStyle name="Normal 4 2" xfId="9275"/>
    <cellStyle name="Normal 4 3" xfId="9276"/>
    <cellStyle name="Normal 4 4" xfId="9277"/>
    <cellStyle name="Normal 4 5" xfId="9278"/>
    <cellStyle name="Normal 5" xfId="9279"/>
    <cellStyle name="Normal 6" xfId="9280"/>
    <cellStyle name="Normal 7" xfId="9281"/>
    <cellStyle name="Normal 8" xfId="9282"/>
    <cellStyle name="Note" xfId="1806"/>
    <cellStyle name="Note 10" xfId="9283"/>
    <cellStyle name="Note 11" xfId="9284"/>
    <cellStyle name="Note 12" xfId="9285"/>
    <cellStyle name="Note 13" xfId="9286"/>
    <cellStyle name="Note 2" xfId="1807"/>
    <cellStyle name="Note 2 2" xfId="1808"/>
    <cellStyle name="Note 2 2 2" xfId="1809"/>
    <cellStyle name="Note 2 2 3" xfId="1810"/>
    <cellStyle name="Note 2 3" xfId="1811"/>
    <cellStyle name="Note 2 4" xfId="1812"/>
    <cellStyle name="Note 2 4 2" xfId="9287"/>
    <cellStyle name="Note 2 4 3" xfId="9288"/>
    <cellStyle name="Note 2 4 4" xfId="9289"/>
    <cellStyle name="Note 2 4 5" xfId="9290"/>
    <cellStyle name="Note 2 5" xfId="9291"/>
    <cellStyle name="Note 2 6" xfId="9292"/>
    <cellStyle name="Note 2 7" xfId="9293"/>
    <cellStyle name="Note 2 8" xfId="9294"/>
    <cellStyle name="Note 3" xfId="1813"/>
    <cellStyle name="Note 3 2" xfId="1814"/>
    <cellStyle name="Note 3 2 2" xfId="1815"/>
    <cellStyle name="Note 3 2 3" xfId="1816"/>
    <cellStyle name="Note 3 3" xfId="1817"/>
    <cellStyle name="Note 3 4" xfId="1818"/>
    <cellStyle name="Note 3 4 2" xfId="9295"/>
    <cellStyle name="Note 3 4 3" xfId="9296"/>
    <cellStyle name="Note 3 4 4" xfId="9297"/>
    <cellStyle name="Note 3 4 5" xfId="9298"/>
    <cellStyle name="Note 3 5" xfId="9299"/>
    <cellStyle name="Note 3 6" xfId="9300"/>
    <cellStyle name="Note 3 7" xfId="9301"/>
    <cellStyle name="Note 3 8" xfId="9302"/>
    <cellStyle name="Note 4" xfId="1819"/>
    <cellStyle name="Note 4 2" xfId="1820"/>
    <cellStyle name="Note 4 2 2" xfId="1821"/>
    <cellStyle name="Note 4 2 3" xfId="1822"/>
    <cellStyle name="Note 4 3" xfId="1823"/>
    <cellStyle name="Note 4 4" xfId="1824"/>
    <cellStyle name="Note 4 4 2" xfId="9303"/>
    <cellStyle name="Note 4 4 3" xfId="9304"/>
    <cellStyle name="Note 4 4 4" xfId="9305"/>
    <cellStyle name="Note 4 4 5" xfId="9306"/>
    <cellStyle name="Note 4 5" xfId="9307"/>
    <cellStyle name="Note 4 6" xfId="9308"/>
    <cellStyle name="Note 4 7" xfId="9309"/>
    <cellStyle name="Note 4 8" xfId="9310"/>
    <cellStyle name="Note 5" xfId="1825"/>
    <cellStyle name="Note 5 2" xfId="1826"/>
    <cellStyle name="Note 5 2 2" xfId="1827"/>
    <cellStyle name="Note 5 2 3" xfId="1828"/>
    <cellStyle name="Note 5 3" xfId="1829"/>
    <cellStyle name="Note 5 4" xfId="1830"/>
    <cellStyle name="Note 5 4 2" xfId="9311"/>
    <cellStyle name="Note 5 4 3" xfId="9312"/>
    <cellStyle name="Note 5 4 4" xfId="9313"/>
    <cellStyle name="Note 5 4 5" xfId="9314"/>
    <cellStyle name="Note 5 5" xfId="9315"/>
    <cellStyle name="Note 5 6" xfId="9316"/>
    <cellStyle name="Note 5 7" xfId="9317"/>
    <cellStyle name="Note 5 8" xfId="9318"/>
    <cellStyle name="Note 6" xfId="1831"/>
    <cellStyle name="Note 6 2" xfId="1832"/>
    <cellStyle name="Note 6 2 2" xfId="1833"/>
    <cellStyle name="Note 6 2 3" xfId="1834"/>
    <cellStyle name="Note 6 3" xfId="1835"/>
    <cellStyle name="Note 6 4" xfId="1836"/>
    <cellStyle name="Note 6 4 2" xfId="9319"/>
    <cellStyle name="Note 6 4 3" xfId="9320"/>
    <cellStyle name="Note 6 4 4" xfId="9321"/>
    <cellStyle name="Note 6 4 5" xfId="9322"/>
    <cellStyle name="Note 6 5" xfId="9323"/>
    <cellStyle name="Note 6 6" xfId="9324"/>
    <cellStyle name="Note 6 7" xfId="9325"/>
    <cellStyle name="Note 6 8" xfId="9326"/>
    <cellStyle name="Note 7" xfId="1837"/>
    <cellStyle name="Note 7 2" xfId="1838"/>
    <cellStyle name="Note 7 3" xfId="1839"/>
    <cellStyle name="Note 8" xfId="1840"/>
    <cellStyle name="Note 9" xfId="1841"/>
    <cellStyle name="Note 9 2" xfId="9327"/>
    <cellStyle name="Note 9 3" xfId="9328"/>
    <cellStyle name="Note 9 4" xfId="9329"/>
    <cellStyle name="Note 9 5" xfId="9330"/>
    <cellStyle name="Output" xfId="1842"/>
    <cellStyle name="Output 2" xfId="1843"/>
    <cellStyle name="Output 2 2" xfId="1844"/>
    <cellStyle name="Output 2 2 2" xfId="9331"/>
    <cellStyle name="Output 2 2 3" xfId="9332"/>
    <cellStyle name="Output 2 2 4" xfId="9333"/>
    <cellStyle name="Output 2 2 5" xfId="9334"/>
    <cellStyle name="Output 2 2 6" xfId="9335"/>
    <cellStyle name="Output 2 3" xfId="1845"/>
    <cellStyle name="Output 2 3 2" xfId="9336"/>
    <cellStyle name="Output 2 3 3" xfId="9337"/>
    <cellStyle name="Output 2 3 4" xfId="9338"/>
    <cellStyle name="Output 2 3 5" xfId="9339"/>
    <cellStyle name="Output 2 3 6" xfId="9340"/>
    <cellStyle name="Output 2 4" xfId="9341"/>
    <cellStyle name="Output 2 5" xfId="9342"/>
    <cellStyle name="Output 2 6" xfId="9343"/>
    <cellStyle name="Output 2 7" xfId="9344"/>
    <cellStyle name="Output 2 8" xfId="9345"/>
    <cellStyle name="Output 3" xfId="1846"/>
    <cellStyle name="Output 3 2" xfId="9346"/>
    <cellStyle name="Output 3 3" xfId="9347"/>
    <cellStyle name="Output 3 4" xfId="9348"/>
    <cellStyle name="Output 3 5" xfId="9349"/>
    <cellStyle name="Output 3 6" xfId="9350"/>
    <cellStyle name="Output 4" xfId="1847"/>
    <cellStyle name="Output 4 2" xfId="9351"/>
    <cellStyle name="Output 4 3" xfId="9352"/>
    <cellStyle name="Output 4 4" xfId="9353"/>
    <cellStyle name="Output 4 5" xfId="9354"/>
    <cellStyle name="Output 5" xfId="9355"/>
    <cellStyle name="Output 6" xfId="9356"/>
    <cellStyle name="Output 7" xfId="9357"/>
    <cellStyle name="Output 8" xfId="9358"/>
    <cellStyle name="st57" xfId="1848"/>
    <cellStyle name="st57 2" xfId="1849"/>
    <cellStyle name="st57 2 2" xfId="1850"/>
    <cellStyle name="st57 2 3" xfId="1851"/>
    <cellStyle name="st57 3" xfId="1852"/>
    <cellStyle name="st57 4" xfId="1853"/>
    <cellStyle name="st57 4 2" xfId="9359"/>
    <cellStyle name="st57 4 3" xfId="9360"/>
    <cellStyle name="st57 4 4" xfId="9361"/>
    <cellStyle name="st57 4 5" xfId="9362"/>
    <cellStyle name="st57 5" xfId="9363"/>
    <cellStyle name="st57 6" xfId="9364"/>
    <cellStyle name="st57 7" xfId="9365"/>
    <cellStyle name="st57 8" xfId="9366"/>
    <cellStyle name="st57 9" xfId="23857"/>
    <cellStyle name="st58" xfId="13"/>
    <cellStyle name="st58 2" xfId="1854"/>
    <cellStyle name="st58 2 2" xfId="1855"/>
    <cellStyle name="st58 2 3" xfId="1856"/>
    <cellStyle name="st58 3" xfId="1857"/>
    <cellStyle name="st58 4" xfId="1858"/>
    <cellStyle name="st58 4 2" xfId="9367"/>
    <cellStyle name="st58 4 3" xfId="9368"/>
    <cellStyle name="st58 4 4" xfId="9369"/>
    <cellStyle name="st58 4 5" xfId="9370"/>
    <cellStyle name="st58 5" xfId="9371"/>
    <cellStyle name="st58 6" xfId="9372"/>
    <cellStyle name="st58 7" xfId="9373"/>
    <cellStyle name="st58 8" xfId="9374"/>
    <cellStyle name="st80" xfId="1859"/>
    <cellStyle name="st80 2" xfId="1860"/>
    <cellStyle name="st80 2 2" xfId="1861"/>
    <cellStyle name="st80 2 3" xfId="1862"/>
    <cellStyle name="st80 3" xfId="1863"/>
    <cellStyle name="st80 4" xfId="1864"/>
    <cellStyle name="st80 4 2" xfId="9375"/>
    <cellStyle name="st80 4 3" xfId="9376"/>
    <cellStyle name="st80 4 4" xfId="9377"/>
    <cellStyle name="st80 4 5" xfId="9378"/>
    <cellStyle name="st80 5" xfId="9379"/>
    <cellStyle name="st80 6" xfId="9380"/>
    <cellStyle name="st80 7" xfId="9381"/>
    <cellStyle name="st80 8" xfId="9382"/>
    <cellStyle name="st81" xfId="1865"/>
    <cellStyle name="st81 2" xfId="1866"/>
    <cellStyle name="st81 2 2" xfId="1867"/>
    <cellStyle name="st81 2 3" xfId="1868"/>
    <cellStyle name="st81 3" xfId="1869"/>
    <cellStyle name="st81 4" xfId="1870"/>
    <cellStyle name="st81 4 2" xfId="9383"/>
    <cellStyle name="st81 4 3" xfId="9384"/>
    <cellStyle name="st81 4 4" xfId="9385"/>
    <cellStyle name="st81 4 5" xfId="9386"/>
    <cellStyle name="st81 5" xfId="9387"/>
    <cellStyle name="st81 6" xfId="9388"/>
    <cellStyle name="st81 7" xfId="9389"/>
    <cellStyle name="st81 8" xfId="9390"/>
    <cellStyle name="st82" xfId="1871"/>
    <cellStyle name="st82 2" xfId="1872"/>
    <cellStyle name="st82 2 2" xfId="1873"/>
    <cellStyle name="st82 2 3" xfId="1874"/>
    <cellStyle name="st82 3" xfId="1875"/>
    <cellStyle name="st82 4" xfId="1876"/>
    <cellStyle name="st82 4 2" xfId="9391"/>
    <cellStyle name="st82 4 3" xfId="9392"/>
    <cellStyle name="st82 4 4" xfId="9393"/>
    <cellStyle name="st82 4 5" xfId="9394"/>
    <cellStyle name="st82 5" xfId="9395"/>
    <cellStyle name="st82 6" xfId="9396"/>
    <cellStyle name="st82 7" xfId="9397"/>
    <cellStyle name="st82 8" xfId="9398"/>
    <cellStyle name="st83" xfId="1877"/>
    <cellStyle name="st83 10" xfId="9399"/>
    <cellStyle name="st83 2" xfId="1878"/>
    <cellStyle name="st83 2 2" xfId="1879"/>
    <cellStyle name="st83 2 2 2" xfId="1880"/>
    <cellStyle name="st83 2 2 3" xfId="1881"/>
    <cellStyle name="st83 2 3" xfId="1882"/>
    <cellStyle name="st83 2 4" xfId="1883"/>
    <cellStyle name="st83 2 4 2" xfId="9400"/>
    <cellStyle name="st83 2 4 3" xfId="9401"/>
    <cellStyle name="st83 2 4 4" xfId="9402"/>
    <cellStyle name="st83 2 4 5" xfId="9403"/>
    <cellStyle name="st83 2 5" xfId="9404"/>
    <cellStyle name="st83 2 6" xfId="9405"/>
    <cellStyle name="st83 2 7" xfId="9406"/>
    <cellStyle name="st83 2 8" xfId="9407"/>
    <cellStyle name="st83 3" xfId="1884"/>
    <cellStyle name="st83 3 2" xfId="1885"/>
    <cellStyle name="st83 3 2 2" xfId="1886"/>
    <cellStyle name="st83 3 2 3" xfId="1887"/>
    <cellStyle name="st83 3 3" xfId="1888"/>
    <cellStyle name="st83 3 4" xfId="1889"/>
    <cellStyle name="st83 3 4 2" xfId="9408"/>
    <cellStyle name="st83 3 4 3" xfId="9409"/>
    <cellStyle name="st83 3 4 4" xfId="9410"/>
    <cellStyle name="st83 3 4 5" xfId="9411"/>
    <cellStyle name="st83 3 5" xfId="9412"/>
    <cellStyle name="st83 3 6" xfId="9413"/>
    <cellStyle name="st83 3 7" xfId="9414"/>
    <cellStyle name="st83 3 8" xfId="9415"/>
    <cellStyle name="st83 4" xfId="1890"/>
    <cellStyle name="st83 4 2" xfId="1891"/>
    <cellStyle name="st83 4 3" xfId="1892"/>
    <cellStyle name="st83 5" xfId="1893"/>
    <cellStyle name="st83 6" xfId="1894"/>
    <cellStyle name="st83 6 2" xfId="9416"/>
    <cellStyle name="st83 6 3" xfId="9417"/>
    <cellStyle name="st83 6 4" xfId="9418"/>
    <cellStyle name="st83 6 5" xfId="9419"/>
    <cellStyle name="st83 7" xfId="9420"/>
    <cellStyle name="st83 8" xfId="9421"/>
    <cellStyle name="st83 9" xfId="9422"/>
    <cellStyle name="st84" xfId="1895"/>
    <cellStyle name="st84 2" xfId="1896"/>
    <cellStyle name="st84 2 2" xfId="1897"/>
    <cellStyle name="st84 2 2 2" xfId="1898"/>
    <cellStyle name="st84 2 2 3" xfId="1899"/>
    <cellStyle name="st84 2 3" xfId="1900"/>
    <cellStyle name="st84 2 4" xfId="1901"/>
    <cellStyle name="st84 2 4 2" xfId="9423"/>
    <cellStyle name="st84 2 4 3" xfId="9424"/>
    <cellStyle name="st84 2 4 4" xfId="9425"/>
    <cellStyle name="st84 2 4 5" xfId="9426"/>
    <cellStyle name="st84 2 5" xfId="9427"/>
    <cellStyle name="st84 2 6" xfId="9428"/>
    <cellStyle name="st84 2 7" xfId="9429"/>
    <cellStyle name="st84 2 8" xfId="9430"/>
    <cellStyle name="st84 3" xfId="1902"/>
    <cellStyle name="st84 3 2" xfId="1903"/>
    <cellStyle name="st84 3 3" xfId="1904"/>
    <cellStyle name="st84 4" xfId="1905"/>
    <cellStyle name="st84 5" xfId="1906"/>
    <cellStyle name="st84 5 2" xfId="9431"/>
    <cellStyle name="st84 5 3" xfId="9432"/>
    <cellStyle name="st84 5 4" xfId="9433"/>
    <cellStyle name="st84 5 5" xfId="9434"/>
    <cellStyle name="st84 6" xfId="9435"/>
    <cellStyle name="st84 7" xfId="9436"/>
    <cellStyle name="st84 8" xfId="9437"/>
    <cellStyle name="st84 9" xfId="9438"/>
    <cellStyle name="st85" xfId="39"/>
    <cellStyle name="st85 10" xfId="9439"/>
    <cellStyle name="st85 2" xfId="1907"/>
    <cellStyle name="st85 2 2" xfId="1908"/>
    <cellStyle name="st85 2 2 2" xfId="1909"/>
    <cellStyle name="st85 2 2 3" xfId="1910"/>
    <cellStyle name="st85 2 3" xfId="1911"/>
    <cellStyle name="st85 2 4" xfId="1912"/>
    <cellStyle name="st85 2 4 2" xfId="9440"/>
    <cellStyle name="st85 2 4 3" xfId="9441"/>
    <cellStyle name="st85 2 4 4" xfId="9442"/>
    <cellStyle name="st85 2 4 5" xfId="9443"/>
    <cellStyle name="st85 2 5" xfId="9444"/>
    <cellStyle name="st85 2 6" xfId="9445"/>
    <cellStyle name="st85 2 7" xfId="9446"/>
    <cellStyle name="st85 2 8" xfId="9447"/>
    <cellStyle name="st85 3" xfId="1913"/>
    <cellStyle name="st85 3 2" xfId="1914"/>
    <cellStyle name="st85 3 2 2" xfId="1915"/>
    <cellStyle name="st85 3 2 3" xfId="1916"/>
    <cellStyle name="st85 3 3" xfId="1917"/>
    <cellStyle name="st85 3 4" xfId="1918"/>
    <cellStyle name="st85 3 4 2" xfId="9448"/>
    <cellStyle name="st85 3 4 3" xfId="9449"/>
    <cellStyle name="st85 3 4 4" xfId="9450"/>
    <cellStyle name="st85 3 4 5" xfId="9451"/>
    <cellStyle name="st85 3 5" xfId="9452"/>
    <cellStyle name="st85 3 6" xfId="9453"/>
    <cellStyle name="st85 3 7" xfId="9454"/>
    <cellStyle name="st85 3 8" xfId="9455"/>
    <cellStyle name="st85 4" xfId="1919"/>
    <cellStyle name="st85 4 2" xfId="1920"/>
    <cellStyle name="st85 4 3" xfId="1921"/>
    <cellStyle name="st85 5" xfId="1922"/>
    <cellStyle name="st85 6" xfId="1923"/>
    <cellStyle name="st85 6 2" xfId="9456"/>
    <cellStyle name="st85 6 3" xfId="9457"/>
    <cellStyle name="st85 6 4" xfId="9458"/>
    <cellStyle name="st85 6 5" xfId="9459"/>
    <cellStyle name="st85 7" xfId="9460"/>
    <cellStyle name="st85 8" xfId="9461"/>
    <cellStyle name="st85 9" xfId="9462"/>
    <cellStyle name="st86" xfId="34"/>
    <cellStyle name="st86 10" xfId="9463"/>
    <cellStyle name="st86 2" xfId="1924"/>
    <cellStyle name="st86 2 2" xfId="1925"/>
    <cellStyle name="st86 2 2 2" xfId="1926"/>
    <cellStyle name="st86 2 2 3" xfId="1927"/>
    <cellStyle name="st86 2 3" xfId="1928"/>
    <cellStyle name="st86 2 4" xfId="1929"/>
    <cellStyle name="st86 2 4 2" xfId="9464"/>
    <cellStyle name="st86 2 4 3" xfId="9465"/>
    <cellStyle name="st86 2 4 4" xfId="9466"/>
    <cellStyle name="st86 2 4 5" xfId="9467"/>
    <cellStyle name="st86 2 5" xfId="9468"/>
    <cellStyle name="st86 2 6" xfId="9469"/>
    <cellStyle name="st86 2 7" xfId="9470"/>
    <cellStyle name="st86 2 8" xfId="9471"/>
    <cellStyle name="st86 3" xfId="1930"/>
    <cellStyle name="st86 3 2" xfId="1931"/>
    <cellStyle name="st86 3 2 2" xfId="1932"/>
    <cellStyle name="st86 3 2 3" xfId="1933"/>
    <cellStyle name="st86 3 3" xfId="1934"/>
    <cellStyle name="st86 3 4" xfId="1935"/>
    <cellStyle name="st86 3 4 2" xfId="9472"/>
    <cellStyle name="st86 3 4 3" xfId="9473"/>
    <cellStyle name="st86 3 4 4" xfId="9474"/>
    <cellStyle name="st86 3 4 5" xfId="9475"/>
    <cellStyle name="st86 3 5" xfId="9476"/>
    <cellStyle name="st86 3 6" xfId="9477"/>
    <cellStyle name="st86 3 7" xfId="9478"/>
    <cellStyle name="st86 3 8" xfId="9479"/>
    <cellStyle name="st86 4" xfId="1936"/>
    <cellStyle name="st86 4 2" xfId="1937"/>
    <cellStyle name="st86 4 3" xfId="1938"/>
    <cellStyle name="st86 5" xfId="1939"/>
    <cellStyle name="st86 6" xfId="1940"/>
    <cellStyle name="st86 6 2" xfId="9480"/>
    <cellStyle name="st86 6 3" xfId="9481"/>
    <cellStyle name="st86 6 4" xfId="9482"/>
    <cellStyle name="st86 6 5" xfId="9483"/>
    <cellStyle name="st86 7" xfId="9484"/>
    <cellStyle name="st86 8" xfId="9485"/>
    <cellStyle name="st86 9" xfId="9486"/>
    <cellStyle name="st87" xfId="29"/>
    <cellStyle name="st87 2" xfId="1941"/>
    <cellStyle name="st87 2 2" xfId="1942"/>
    <cellStyle name="st87 2 2 2" xfId="1943"/>
    <cellStyle name="st87 2 2 3" xfId="1944"/>
    <cellStyle name="st87 2 3" xfId="1945"/>
    <cellStyle name="st87 2 4" xfId="1946"/>
    <cellStyle name="st87 2 4 2" xfId="9487"/>
    <cellStyle name="st87 2 4 3" xfId="9488"/>
    <cellStyle name="st87 2 4 4" xfId="9489"/>
    <cellStyle name="st87 2 4 5" xfId="9490"/>
    <cellStyle name="st87 2 5" xfId="9491"/>
    <cellStyle name="st87 2 6" xfId="9492"/>
    <cellStyle name="st87 2 7" xfId="9493"/>
    <cellStyle name="st87 2 8" xfId="9494"/>
    <cellStyle name="st87 3" xfId="1947"/>
    <cellStyle name="st87 3 2" xfId="1948"/>
    <cellStyle name="st87 3 3" xfId="1949"/>
    <cellStyle name="st87 4" xfId="1950"/>
    <cellStyle name="st87 5" xfId="1951"/>
    <cellStyle name="st87 5 2" xfId="9495"/>
    <cellStyle name="st87 5 3" xfId="9496"/>
    <cellStyle name="st87 5 4" xfId="9497"/>
    <cellStyle name="st87 5 5" xfId="9498"/>
    <cellStyle name="st87 6" xfId="9499"/>
    <cellStyle name="st87 7" xfId="9500"/>
    <cellStyle name="st87 8" xfId="9501"/>
    <cellStyle name="st87 9" xfId="9502"/>
    <cellStyle name="st88" xfId="24"/>
    <cellStyle name="st88 2" xfId="1952"/>
    <cellStyle name="st88 2 2" xfId="1953"/>
    <cellStyle name="st88 2 2 2" xfId="1954"/>
    <cellStyle name="st88 2 2 3" xfId="1955"/>
    <cellStyle name="st88 2 3" xfId="1956"/>
    <cellStyle name="st88 2 4" xfId="1957"/>
    <cellStyle name="st88 2 4 2" xfId="9503"/>
    <cellStyle name="st88 2 4 3" xfId="9504"/>
    <cellStyle name="st88 2 4 4" xfId="9505"/>
    <cellStyle name="st88 2 4 5" xfId="9506"/>
    <cellStyle name="st88 2 5" xfId="9507"/>
    <cellStyle name="st88 2 6" xfId="9508"/>
    <cellStyle name="st88 2 7" xfId="9509"/>
    <cellStyle name="st88 2 8" xfId="9510"/>
    <cellStyle name="st88 3" xfId="1958"/>
    <cellStyle name="st88 3 2" xfId="1959"/>
    <cellStyle name="st88 3 3" xfId="1960"/>
    <cellStyle name="st88 4" xfId="1961"/>
    <cellStyle name="st88 5" xfId="1962"/>
    <cellStyle name="st88 5 2" xfId="9511"/>
    <cellStyle name="st88 5 3" xfId="9512"/>
    <cellStyle name="st88 5 4" xfId="9513"/>
    <cellStyle name="st88 5 5" xfId="9514"/>
    <cellStyle name="st88 6" xfId="9515"/>
    <cellStyle name="st88 7" xfId="9516"/>
    <cellStyle name="st88 8" xfId="9517"/>
    <cellStyle name="st88 9" xfId="9518"/>
    <cellStyle name="st89" xfId="1963"/>
    <cellStyle name="st89 2" xfId="1964"/>
    <cellStyle name="st89 2 2" xfId="1965"/>
    <cellStyle name="st89 2 3" xfId="1966"/>
    <cellStyle name="st89 3" xfId="1967"/>
    <cellStyle name="st89 4" xfId="1968"/>
    <cellStyle name="st89 4 2" xfId="9519"/>
    <cellStyle name="st89 4 3" xfId="9520"/>
    <cellStyle name="st89 4 4" xfId="9521"/>
    <cellStyle name="st89 4 5" xfId="9522"/>
    <cellStyle name="st89 5" xfId="9523"/>
    <cellStyle name="st89 6" xfId="9524"/>
    <cellStyle name="st89 7" xfId="9525"/>
    <cellStyle name="st89 8" xfId="9526"/>
    <cellStyle name="st90" xfId="1969"/>
    <cellStyle name="st90 2" xfId="1970"/>
    <cellStyle name="st90 2 2" xfId="1971"/>
    <cellStyle name="st90 2 3" xfId="1972"/>
    <cellStyle name="st90 3" xfId="1973"/>
    <cellStyle name="st90 4" xfId="1974"/>
    <cellStyle name="st90 4 2" xfId="9527"/>
    <cellStyle name="st90 4 3" xfId="9528"/>
    <cellStyle name="st90 4 4" xfId="9529"/>
    <cellStyle name="st90 4 5" xfId="9530"/>
    <cellStyle name="st90 5" xfId="9531"/>
    <cellStyle name="st90 6" xfId="9532"/>
    <cellStyle name="st90 7" xfId="9533"/>
    <cellStyle name="st90 8" xfId="9534"/>
    <cellStyle name="st91" xfId="1975"/>
    <cellStyle name="st91 2" xfId="1976"/>
    <cellStyle name="st91 2 2" xfId="1977"/>
    <cellStyle name="st91 2 3" xfId="1978"/>
    <cellStyle name="st91 3" xfId="1979"/>
    <cellStyle name="st91 4" xfId="1980"/>
    <cellStyle name="st91 4 2" xfId="9535"/>
    <cellStyle name="st91 4 3" xfId="9536"/>
    <cellStyle name="st91 4 4" xfId="9537"/>
    <cellStyle name="st91 4 5" xfId="9538"/>
    <cellStyle name="st91 5" xfId="9539"/>
    <cellStyle name="st91 6" xfId="9540"/>
    <cellStyle name="st91 7" xfId="9541"/>
    <cellStyle name="st91 8" xfId="9542"/>
    <cellStyle name="st92" xfId="1981"/>
    <cellStyle name="st92 2" xfId="1982"/>
    <cellStyle name="st92 2 2" xfId="1983"/>
    <cellStyle name="st92 2 3" xfId="1984"/>
    <cellStyle name="st92 3" xfId="1985"/>
    <cellStyle name="st92 4" xfId="1986"/>
    <cellStyle name="st92 4 2" xfId="9543"/>
    <cellStyle name="st92 4 3" xfId="9544"/>
    <cellStyle name="st92 4 4" xfId="9545"/>
    <cellStyle name="st92 4 5" xfId="9546"/>
    <cellStyle name="st92 5" xfId="9547"/>
    <cellStyle name="st92 6" xfId="9548"/>
    <cellStyle name="st92 7" xfId="9549"/>
    <cellStyle name="st92 8" xfId="9550"/>
    <cellStyle name="style0" xfId="1987"/>
    <cellStyle name="style0 2" xfId="1988"/>
    <cellStyle name="style0 2 2" xfId="1989"/>
    <cellStyle name="style0 2 2 2" xfId="1990"/>
    <cellStyle name="style0 2 2 3" xfId="1991"/>
    <cellStyle name="style0 2 3" xfId="1992"/>
    <cellStyle name="style0 2 4" xfId="1993"/>
    <cellStyle name="style0 2 4 2" xfId="9551"/>
    <cellStyle name="style0 2 4 3" xfId="9552"/>
    <cellStyle name="style0 2 4 4" xfId="9553"/>
    <cellStyle name="style0 2 4 5" xfId="9554"/>
    <cellStyle name="style0 2 5" xfId="9555"/>
    <cellStyle name="style0 2 6" xfId="9556"/>
    <cellStyle name="style0 2 7" xfId="9557"/>
    <cellStyle name="style0 2 8" xfId="9558"/>
    <cellStyle name="style0 3" xfId="1994"/>
    <cellStyle name="style0 3 2" xfId="1995"/>
    <cellStyle name="style0 3 3" xfId="1996"/>
    <cellStyle name="style0 4" xfId="1997"/>
    <cellStyle name="style0 5" xfId="1998"/>
    <cellStyle name="style0 5 2" xfId="9559"/>
    <cellStyle name="style0 5 3" xfId="9560"/>
    <cellStyle name="style0 5 4" xfId="9561"/>
    <cellStyle name="style0 5 5" xfId="9562"/>
    <cellStyle name="style0 6" xfId="9563"/>
    <cellStyle name="style0 7" xfId="9564"/>
    <cellStyle name="style0 8" xfId="9565"/>
    <cellStyle name="style0 9" xfId="9566"/>
    <cellStyle name="td" xfId="1999"/>
    <cellStyle name="td 2" xfId="2000"/>
    <cellStyle name="td 2 2" xfId="2001"/>
    <cellStyle name="td 2 2 2" xfId="2002"/>
    <cellStyle name="td 2 2 3" xfId="2003"/>
    <cellStyle name="td 2 3" xfId="2004"/>
    <cellStyle name="td 2 4" xfId="2005"/>
    <cellStyle name="td 2 4 2" xfId="9567"/>
    <cellStyle name="td 2 4 3" xfId="9568"/>
    <cellStyle name="td 2 4 4" xfId="9569"/>
    <cellStyle name="td 2 4 5" xfId="9570"/>
    <cellStyle name="td 2 5" xfId="9571"/>
    <cellStyle name="td 2 6" xfId="9572"/>
    <cellStyle name="td 2 7" xfId="9573"/>
    <cellStyle name="td 2 8" xfId="9574"/>
    <cellStyle name="td 3" xfId="2006"/>
    <cellStyle name="td 3 2" xfId="2007"/>
    <cellStyle name="td 3 3" xfId="2008"/>
    <cellStyle name="td 4" xfId="2009"/>
    <cellStyle name="td 5" xfId="2010"/>
    <cellStyle name="td 5 2" xfId="9575"/>
    <cellStyle name="td 5 3" xfId="9576"/>
    <cellStyle name="td 5 4" xfId="9577"/>
    <cellStyle name="td 5 5" xfId="9578"/>
    <cellStyle name="td 6" xfId="9579"/>
    <cellStyle name="td 7" xfId="9580"/>
    <cellStyle name="td 8" xfId="9581"/>
    <cellStyle name="td 9" xfId="9582"/>
    <cellStyle name="Title" xfId="2011"/>
    <cellStyle name="Title 10" xfId="9583"/>
    <cellStyle name="Title 11" xfId="9584"/>
    <cellStyle name="Title 12" xfId="9585"/>
    <cellStyle name="Title 2" xfId="2012"/>
    <cellStyle name="Title 2 2" xfId="2013"/>
    <cellStyle name="Title 2 2 2" xfId="2014"/>
    <cellStyle name="Title 2 2 2 2" xfId="9586"/>
    <cellStyle name="Title 2 2 2 3" xfId="9587"/>
    <cellStyle name="Title 2 2 2 4" xfId="9588"/>
    <cellStyle name="Title 2 2 2 5" xfId="9589"/>
    <cellStyle name="Title 2 2 2 6" xfId="9590"/>
    <cellStyle name="Title 2 2 3" xfId="2015"/>
    <cellStyle name="Title 2 2 3 2" xfId="9591"/>
    <cellStyle name="Title 2 2 3 3" xfId="9592"/>
    <cellStyle name="Title 2 2 3 4" xfId="9593"/>
    <cellStyle name="Title 2 2 3 5" xfId="9594"/>
    <cellStyle name="Title 2 2 3 6" xfId="9595"/>
    <cellStyle name="Title 2 2 4" xfId="9596"/>
    <cellStyle name="Title 2 2 5" xfId="9597"/>
    <cellStyle name="Title 2 2 6" xfId="9598"/>
    <cellStyle name="Title 2 2 7" xfId="9599"/>
    <cellStyle name="Title 2 2 8" xfId="9600"/>
    <cellStyle name="Title 2 3" xfId="2016"/>
    <cellStyle name="Title 2 3 2" xfId="9601"/>
    <cellStyle name="Title 2 3 3" xfId="9602"/>
    <cellStyle name="Title 2 3 4" xfId="9603"/>
    <cellStyle name="Title 2 3 5" xfId="9604"/>
    <cellStyle name="Title 2 3 6" xfId="9605"/>
    <cellStyle name="Title 2 4" xfId="2017"/>
    <cellStyle name="Title 2 4 2" xfId="9606"/>
    <cellStyle name="Title 2 4 3" xfId="9607"/>
    <cellStyle name="Title 2 4 4" xfId="9608"/>
    <cellStyle name="Title 2 4 5" xfId="9609"/>
    <cellStyle name="Title 2 5" xfId="9610"/>
    <cellStyle name="Title 2 6" xfId="9611"/>
    <cellStyle name="Title 2 7" xfId="9612"/>
    <cellStyle name="Title 2 8" xfId="9613"/>
    <cellStyle name="Title 3" xfId="2018"/>
    <cellStyle name="Title 3 2" xfId="2019"/>
    <cellStyle name="Title 3 2 2" xfId="2020"/>
    <cellStyle name="Title 3 2 2 2" xfId="9614"/>
    <cellStyle name="Title 3 2 2 3" xfId="9615"/>
    <cellStyle name="Title 3 2 2 4" xfId="9616"/>
    <cellStyle name="Title 3 2 2 5" xfId="9617"/>
    <cellStyle name="Title 3 2 2 6" xfId="9618"/>
    <cellStyle name="Title 3 2 3" xfId="2021"/>
    <cellStyle name="Title 3 2 3 2" xfId="9619"/>
    <cellStyle name="Title 3 2 3 3" xfId="9620"/>
    <cellStyle name="Title 3 2 3 4" xfId="9621"/>
    <cellStyle name="Title 3 2 3 5" xfId="9622"/>
    <cellStyle name="Title 3 2 3 6" xfId="9623"/>
    <cellStyle name="Title 3 2 4" xfId="9624"/>
    <cellStyle name="Title 3 2 5" xfId="9625"/>
    <cellStyle name="Title 3 2 6" xfId="9626"/>
    <cellStyle name="Title 3 2 7" xfId="9627"/>
    <cellStyle name="Title 3 2 8" xfId="9628"/>
    <cellStyle name="Title 3 3" xfId="2022"/>
    <cellStyle name="Title 3 3 2" xfId="9629"/>
    <cellStyle name="Title 3 3 3" xfId="9630"/>
    <cellStyle name="Title 3 3 4" xfId="9631"/>
    <cellStyle name="Title 3 3 5" xfId="9632"/>
    <cellStyle name="Title 3 3 6" xfId="9633"/>
    <cellStyle name="Title 3 4" xfId="2023"/>
    <cellStyle name="Title 3 4 2" xfId="9634"/>
    <cellStyle name="Title 3 4 3" xfId="9635"/>
    <cellStyle name="Title 3 4 4" xfId="9636"/>
    <cellStyle name="Title 3 4 5" xfId="9637"/>
    <cellStyle name="Title 3 5" xfId="9638"/>
    <cellStyle name="Title 3 6" xfId="9639"/>
    <cellStyle name="Title 3 7" xfId="9640"/>
    <cellStyle name="Title 3 8" xfId="9641"/>
    <cellStyle name="Title 4" xfId="2024"/>
    <cellStyle name="Title 4 2" xfId="2025"/>
    <cellStyle name="Title 4 2 2" xfId="2026"/>
    <cellStyle name="Title 4 2 2 2" xfId="9642"/>
    <cellStyle name="Title 4 2 2 3" xfId="9643"/>
    <cellStyle name="Title 4 2 2 4" xfId="9644"/>
    <cellStyle name="Title 4 2 2 5" xfId="9645"/>
    <cellStyle name="Title 4 2 2 6" xfId="9646"/>
    <cellStyle name="Title 4 2 3" xfId="2027"/>
    <cellStyle name="Title 4 2 3 2" xfId="9647"/>
    <cellStyle name="Title 4 2 3 3" xfId="9648"/>
    <cellStyle name="Title 4 2 3 4" xfId="9649"/>
    <cellStyle name="Title 4 2 3 5" xfId="9650"/>
    <cellStyle name="Title 4 2 3 6" xfId="9651"/>
    <cellStyle name="Title 4 2 4" xfId="9652"/>
    <cellStyle name="Title 4 2 5" xfId="9653"/>
    <cellStyle name="Title 4 2 6" xfId="9654"/>
    <cellStyle name="Title 4 2 7" xfId="9655"/>
    <cellStyle name="Title 4 2 8" xfId="9656"/>
    <cellStyle name="Title 4 3" xfId="2028"/>
    <cellStyle name="Title 4 3 2" xfId="9657"/>
    <cellStyle name="Title 4 3 3" xfId="9658"/>
    <cellStyle name="Title 4 3 4" xfId="9659"/>
    <cellStyle name="Title 4 3 5" xfId="9660"/>
    <cellStyle name="Title 4 3 6" xfId="9661"/>
    <cellStyle name="Title 4 4" xfId="2029"/>
    <cellStyle name="Title 4 4 2" xfId="9662"/>
    <cellStyle name="Title 4 4 3" xfId="9663"/>
    <cellStyle name="Title 4 4 4" xfId="9664"/>
    <cellStyle name="Title 4 4 5" xfId="9665"/>
    <cellStyle name="Title 4 5" xfId="9666"/>
    <cellStyle name="Title 4 6" xfId="9667"/>
    <cellStyle name="Title 4 7" xfId="9668"/>
    <cellStyle name="Title 4 8" xfId="9669"/>
    <cellStyle name="Title 5" xfId="2030"/>
    <cellStyle name="Title 5 2" xfId="2031"/>
    <cellStyle name="Title 5 2 2" xfId="2032"/>
    <cellStyle name="Title 5 2 2 2" xfId="9670"/>
    <cellStyle name="Title 5 2 2 3" xfId="9671"/>
    <cellStyle name="Title 5 2 2 4" xfId="9672"/>
    <cellStyle name="Title 5 2 2 5" xfId="9673"/>
    <cellStyle name="Title 5 2 2 6" xfId="9674"/>
    <cellStyle name="Title 5 2 3" xfId="2033"/>
    <cellStyle name="Title 5 2 3 2" xfId="9675"/>
    <cellStyle name="Title 5 2 3 3" xfId="9676"/>
    <cellStyle name="Title 5 2 3 4" xfId="9677"/>
    <cellStyle name="Title 5 2 3 5" xfId="9678"/>
    <cellStyle name="Title 5 2 3 6" xfId="9679"/>
    <cellStyle name="Title 5 2 4" xfId="9680"/>
    <cellStyle name="Title 5 2 5" xfId="9681"/>
    <cellStyle name="Title 5 2 6" xfId="9682"/>
    <cellStyle name="Title 5 2 7" xfId="9683"/>
    <cellStyle name="Title 5 2 8" xfId="9684"/>
    <cellStyle name="Title 5 3" xfId="2034"/>
    <cellStyle name="Title 5 3 2" xfId="9685"/>
    <cellStyle name="Title 5 3 3" xfId="9686"/>
    <cellStyle name="Title 5 3 4" xfId="9687"/>
    <cellStyle name="Title 5 3 5" xfId="9688"/>
    <cellStyle name="Title 5 3 6" xfId="9689"/>
    <cellStyle name="Title 5 4" xfId="2035"/>
    <cellStyle name="Title 5 4 2" xfId="9690"/>
    <cellStyle name="Title 5 4 3" xfId="9691"/>
    <cellStyle name="Title 5 4 4" xfId="9692"/>
    <cellStyle name="Title 5 4 5" xfId="9693"/>
    <cellStyle name="Title 5 5" xfId="9694"/>
    <cellStyle name="Title 5 6" xfId="9695"/>
    <cellStyle name="Title 5 7" xfId="9696"/>
    <cellStyle name="Title 5 8" xfId="9697"/>
    <cellStyle name="Title 6" xfId="2036"/>
    <cellStyle name="Title 6 2" xfId="2037"/>
    <cellStyle name="Title 6 2 2" xfId="9698"/>
    <cellStyle name="Title 6 2 3" xfId="9699"/>
    <cellStyle name="Title 6 2 4" xfId="9700"/>
    <cellStyle name="Title 6 2 5" xfId="9701"/>
    <cellStyle name="Title 6 2 6" xfId="9702"/>
    <cellStyle name="Title 6 3" xfId="2038"/>
    <cellStyle name="Title 6 3 2" xfId="9703"/>
    <cellStyle name="Title 6 3 3" xfId="9704"/>
    <cellStyle name="Title 6 3 4" xfId="9705"/>
    <cellStyle name="Title 6 3 5" xfId="9706"/>
    <cellStyle name="Title 6 3 6" xfId="9707"/>
    <cellStyle name="Title 6 4" xfId="9708"/>
    <cellStyle name="Title 6 5" xfId="9709"/>
    <cellStyle name="Title 6 6" xfId="9710"/>
    <cellStyle name="Title 6 7" xfId="9711"/>
    <cellStyle name="Title 6 8" xfId="9712"/>
    <cellStyle name="Title 7" xfId="2039"/>
    <cellStyle name="Title 7 2" xfId="9713"/>
    <cellStyle name="Title 7 3" xfId="9714"/>
    <cellStyle name="Title 7 4" xfId="9715"/>
    <cellStyle name="Title 7 5" xfId="9716"/>
    <cellStyle name="Title 7 6" xfId="9717"/>
    <cellStyle name="Title 8" xfId="2040"/>
    <cellStyle name="Title 8 2" xfId="9718"/>
    <cellStyle name="Title 8 3" xfId="9719"/>
    <cellStyle name="Title 8 4" xfId="9720"/>
    <cellStyle name="Title 8 5" xfId="9721"/>
    <cellStyle name="Title 9" xfId="9722"/>
    <cellStyle name="Total" xfId="2041"/>
    <cellStyle name="Total 2" xfId="2042"/>
    <cellStyle name="Total 2 2" xfId="2043"/>
    <cellStyle name="Total 2 2 2" xfId="9723"/>
    <cellStyle name="Total 2 2 3" xfId="9724"/>
    <cellStyle name="Total 2 2 4" xfId="9725"/>
    <cellStyle name="Total 2 2 5" xfId="9726"/>
    <cellStyle name="Total 2 2 6" xfId="9727"/>
    <cellStyle name="Total 2 3" xfId="2044"/>
    <cellStyle name="Total 2 3 2" xfId="9728"/>
    <cellStyle name="Total 2 3 3" xfId="9729"/>
    <cellStyle name="Total 2 3 4" xfId="9730"/>
    <cellStyle name="Total 2 3 5" xfId="9731"/>
    <cellStyle name="Total 2 3 6" xfId="9732"/>
    <cellStyle name="Total 2 4" xfId="9733"/>
    <cellStyle name="Total 2 5" xfId="9734"/>
    <cellStyle name="Total 2 6" xfId="9735"/>
    <cellStyle name="Total 2 7" xfId="9736"/>
    <cellStyle name="Total 2 8" xfId="9737"/>
    <cellStyle name="Total 3" xfId="2045"/>
    <cellStyle name="Total 3 2" xfId="9738"/>
    <cellStyle name="Total 3 3" xfId="9739"/>
    <cellStyle name="Total 3 4" xfId="9740"/>
    <cellStyle name="Total 3 5" xfId="9741"/>
    <cellStyle name="Total 3 6" xfId="9742"/>
    <cellStyle name="Total 4" xfId="2046"/>
    <cellStyle name="Total 4 2" xfId="9743"/>
    <cellStyle name="Total 4 3" xfId="9744"/>
    <cellStyle name="Total 4 4" xfId="9745"/>
    <cellStyle name="Total 4 5" xfId="9746"/>
    <cellStyle name="Total 5" xfId="9747"/>
    <cellStyle name="Total 6" xfId="9748"/>
    <cellStyle name="Total 7" xfId="9749"/>
    <cellStyle name="Total 8" xfId="9750"/>
    <cellStyle name="tr" xfId="2047"/>
    <cellStyle name="tr 10" xfId="9751"/>
    <cellStyle name="tr 2" xfId="2048"/>
    <cellStyle name="tr 2 2" xfId="2049"/>
    <cellStyle name="tr 2 2 2" xfId="2050"/>
    <cellStyle name="tr 2 2 3" xfId="2051"/>
    <cellStyle name="tr 2 3" xfId="2052"/>
    <cellStyle name="tr 2 4" xfId="2053"/>
    <cellStyle name="tr 2 4 2" xfId="9752"/>
    <cellStyle name="tr 2 4 3" xfId="9753"/>
    <cellStyle name="tr 2 4 4" xfId="9754"/>
    <cellStyle name="tr 2 4 5" xfId="9755"/>
    <cellStyle name="tr 2 5" xfId="9756"/>
    <cellStyle name="tr 2 6" xfId="9757"/>
    <cellStyle name="tr 2 7" xfId="9758"/>
    <cellStyle name="tr 2 8" xfId="9759"/>
    <cellStyle name="tr 3" xfId="2054"/>
    <cellStyle name="tr 3 2" xfId="2055"/>
    <cellStyle name="tr 3 2 2" xfId="2056"/>
    <cellStyle name="tr 3 2 3" xfId="2057"/>
    <cellStyle name="tr 3 3" xfId="2058"/>
    <cellStyle name="tr 3 4" xfId="2059"/>
    <cellStyle name="tr 3 4 2" xfId="9760"/>
    <cellStyle name="tr 3 4 3" xfId="9761"/>
    <cellStyle name="tr 3 4 4" xfId="9762"/>
    <cellStyle name="tr 3 4 5" xfId="9763"/>
    <cellStyle name="tr 3 5" xfId="9764"/>
    <cellStyle name="tr 3 6" xfId="9765"/>
    <cellStyle name="tr 3 7" xfId="9766"/>
    <cellStyle name="tr 3 8" xfId="9767"/>
    <cellStyle name="tr 4" xfId="2060"/>
    <cellStyle name="tr 4 2" xfId="2061"/>
    <cellStyle name="tr 4 3" xfId="2062"/>
    <cellStyle name="tr 5" xfId="2063"/>
    <cellStyle name="tr 6" xfId="2064"/>
    <cellStyle name="tr 6 2" xfId="9768"/>
    <cellStyle name="tr 6 3" xfId="9769"/>
    <cellStyle name="tr 6 4" xfId="9770"/>
    <cellStyle name="tr 6 5" xfId="9771"/>
    <cellStyle name="tr 7" xfId="9772"/>
    <cellStyle name="tr 8" xfId="9773"/>
    <cellStyle name="tr 9" xfId="9774"/>
    <cellStyle name="Warning Text" xfId="2065"/>
    <cellStyle name="Warning Text 2" xfId="2066"/>
    <cellStyle name="Warning Text 2 2" xfId="2067"/>
    <cellStyle name="Warning Text 2 3" xfId="2068"/>
    <cellStyle name="Warning Text 3" xfId="2069"/>
    <cellStyle name="Warning Text 4" xfId="2070"/>
    <cellStyle name="Warning Text 4 2" xfId="9775"/>
    <cellStyle name="Warning Text 4 3" xfId="9776"/>
    <cellStyle name="Warning Text 4 4" xfId="9777"/>
    <cellStyle name="Warning Text 4 5" xfId="9778"/>
    <cellStyle name="Warning Text 5" xfId="9779"/>
    <cellStyle name="Warning Text 6" xfId="9780"/>
    <cellStyle name="Warning Text 7" xfId="9781"/>
    <cellStyle name="Warning Text 8" xfId="9782"/>
    <cellStyle name="xl_bot_header" xfId="18"/>
    <cellStyle name="xl_bot_header 2" xfId="23862"/>
    <cellStyle name="xl_bot_left_header" xfId="17"/>
    <cellStyle name="xl_bot_left_header 2" xfId="23861"/>
    <cellStyle name="xl_bot_right_header" xfId="19"/>
    <cellStyle name="xl_bot_right_header 2" xfId="23863"/>
    <cellStyle name="xl_footer" xfId="52"/>
    <cellStyle name="xl_footer 2" xfId="23899"/>
    <cellStyle name="xl_header" xfId="11"/>
    <cellStyle name="xl_header 2" xfId="23856"/>
    <cellStyle name="xl_top_header" xfId="15"/>
    <cellStyle name="xl_top_header 2" xfId="23859"/>
    <cellStyle name="xl_top_left_header" xfId="14"/>
    <cellStyle name="xl_top_left_header 2" xfId="23858"/>
    <cellStyle name="xl_top_right_header" xfId="16"/>
    <cellStyle name="xl_top_right_header 2" xfId="23860"/>
    <cellStyle name="xl_total_bot" xfId="51"/>
    <cellStyle name="xl_total_bot 2" xfId="23898"/>
    <cellStyle name="xl_total_center" xfId="48"/>
    <cellStyle name="xl_total_center 2" xfId="23895"/>
    <cellStyle name="xl_total_left" xfId="47"/>
    <cellStyle name="xl_total_left 2" xfId="23894"/>
    <cellStyle name="xl_total_right" xfId="50"/>
    <cellStyle name="xl_total_top" xfId="45"/>
    <cellStyle name="xl_total_top 2" xfId="23892"/>
    <cellStyle name="xl_total_top_left" xfId="44"/>
    <cellStyle name="xl_total_top_left 2" xfId="23891"/>
    <cellStyle name="xl_total_top_right" xfId="46"/>
    <cellStyle name="xl_total_top_right 2" xfId="23893"/>
    <cellStyle name="xl29" xfId="2071"/>
    <cellStyle name="xl29 2" xfId="2072"/>
    <cellStyle name="xl29 2 2" xfId="2073"/>
    <cellStyle name="xl29 2 3" xfId="2074"/>
    <cellStyle name="xl29 3" xfId="2075"/>
    <cellStyle name="xl29 4" xfId="2076"/>
    <cellStyle name="xl29 4 2" xfId="9783"/>
    <cellStyle name="xl29 4 3" xfId="9784"/>
    <cellStyle name="xl29 5" xfId="9785"/>
    <cellStyle name="xl29 6" xfId="9786"/>
    <cellStyle name="xl63" xfId="2077"/>
    <cellStyle name="xl63 2" xfId="2078"/>
    <cellStyle name="xl63 2 2" xfId="2079"/>
    <cellStyle name="xl63 2 3" xfId="2080"/>
    <cellStyle name="xl63 3" xfId="2081"/>
    <cellStyle name="xl63 4" xfId="2082"/>
    <cellStyle name="xl63 4 2" xfId="9787"/>
    <cellStyle name="xl63 4 3" xfId="9788"/>
    <cellStyle name="xl63 5" xfId="9789"/>
    <cellStyle name="xl63 6" xfId="9790"/>
    <cellStyle name="Акцент1 2" xfId="2083"/>
    <cellStyle name="Акцент1 2 2" xfId="2084"/>
    <cellStyle name="Акцент1 2 2 2" xfId="2085"/>
    <cellStyle name="Акцент1 2 2 2 2" xfId="2086"/>
    <cellStyle name="Акцент1 2 2 2 3" xfId="2087"/>
    <cellStyle name="Акцент1 2 2 3" xfId="2088"/>
    <cellStyle name="Акцент1 2 2 4" xfId="2089"/>
    <cellStyle name="Акцент1 2 2 4 2" xfId="9791"/>
    <cellStyle name="Акцент1 2 2 4 3" xfId="9792"/>
    <cellStyle name="Акцент1 2 2 4 4" xfId="9793"/>
    <cellStyle name="Акцент1 2 2 4 5" xfId="9794"/>
    <cellStyle name="Акцент1 2 2 5" xfId="9795"/>
    <cellStyle name="Акцент1 2 2 6" xfId="9796"/>
    <cellStyle name="Акцент1 2 2 7" xfId="9797"/>
    <cellStyle name="Акцент1 2 2 8" xfId="9798"/>
    <cellStyle name="Акцент1 2 3" xfId="2090"/>
    <cellStyle name="Акцент1 2 3 2" xfId="2091"/>
    <cellStyle name="Акцент1 2 3 3" xfId="2092"/>
    <cellStyle name="Акцент1 2 4" xfId="2093"/>
    <cellStyle name="Акцент1 2 5" xfId="2094"/>
    <cellStyle name="Акцент1 2 5 2" xfId="9799"/>
    <cellStyle name="Акцент1 2 5 3" xfId="9800"/>
    <cellStyle name="Акцент1 2 5 4" xfId="9801"/>
    <cellStyle name="Акцент1 2 5 5" xfId="9802"/>
    <cellStyle name="Акцент1 2 6" xfId="9803"/>
    <cellStyle name="Акцент1 2 7" xfId="9804"/>
    <cellStyle name="Акцент1 2 8" xfId="9805"/>
    <cellStyle name="Акцент1 2 9" xfId="9806"/>
    <cellStyle name="Акцент1 3" xfId="2095"/>
    <cellStyle name="Акцент1 3 2" xfId="2096"/>
    <cellStyle name="Акцент1 3 2 2" xfId="2097"/>
    <cellStyle name="Акцент1 3 2 3" xfId="2098"/>
    <cellStyle name="Акцент1 3 3" xfId="2099"/>
    <cellStyle name="Акцент1 3 4" xfId="2100"/>
    <cellStyle name="Акцент1 3 4 2" xfId="9807"/>
    <cellStyle name="Акцент1 3 4 3" xfId="9808"/>
    <cellStyle name="Акцент1 3 4 4" xfId="9809"/>
    <cellStyle name="Акцент1 3 4 5" xfId="9810"/>
    <cellStyle name="Акцент1 3 5" xfId="9811"/>
    <cellStyle name="Акцент1 3 6" xfId="9812"/>
    <cellStyle name="Акцент1 3 7" xfId="9813"/>
    <cellStyle name="Акцент1 3 8" xfId="9814"/>
    <cellStyle name="Акцент1 4" xfId="2101"/>
    <cellStyle name="Акцент1 4 2" xfId="2102"/>
    <cellStyle name="Акцент1 4 2 2" xfId="2103"/>
    <cellStyle name="Акцент1 4 2 3" xfId="2104"/>
    <cellStyle name="Акцент1 4 3" xfId="2105"/>
    <cellStyle name="Акцент1 4 4" xfId="2106"/>
    <cellStyle name="Акцент1 4 4 2" xfId="9815"/>
    <cellStyle name="Акцент1 4 4 3" xfId="9816"/>
    <cellStyle name="Акцент1 4 4 4" xfId="9817"/>
    <cellStyle name="Акцент1 4 4 5" xfId="9818"/>
    <cellStyle name="Акцент1 4 5" xfId="9819"/>
    <cellStyle name="Акцент1 4 6" xfId="9820"/>
    <cellStyle name="Акцент1 4 7" xfId="9821"/>
    <cellStyle name="Акцент1 4 8" xfId="9822"/>
    <cellStyle name="Акцент1 5" xfId="2107"/>
    <cellStyle name="Акцент1 5 2" xfId="2108"/>
    <cellStyle name="Акцент1 5 2 2" xfId="2109"/>
    <cellStyle name="Акцент1 5 2 3" xfId="2110"/>
    <cellStyle name="Акцент1 5 3" xfId="2111"/>
    <cellStyle name="Акцент1 5 4" xfId="2112"/>
    <cellStyle name="Акцент1 5 4 2" xfId="9823"/>
    <cellStyle name="Акцент1 5 4 3" xfId="9824"/>
    <cellStyle name="Акцент1 5 4 4" xfId="9825"/>
    <cellStyle name="Акцент1 5 4 5" xfId="9826"/>
    <cellStyle name="Акцент1 5 5" xfId="9827"/>
    <cellStyle name="Акцент1 5 6" xfId="9828"/>
    <cellStyle name="Акцент1 5 7" xfId="9829"/>
    <cellStyle name="Акцент1 5 8" xfId="9830"/>
    <cellStyle name="Акцент1 6" xfId="2113"/>
    <cellStyle name="Акцент1 6 2" xfId="2114"/>
    <cellStyle name="Акцент1 6 2 2" xfId="2115"/>
    <cellStyle name="Акцент1 6 2 3" xfId="2116"/>
    <cellStyle name="Акцент1 6 3" xfId="2117"/>
    <cellStyle name="Акцент1 6 4" xfId="2118"/>
    <cellStyle name="Акцент1 6 4 2" xfId="9831"/>
    <cellStyle name="Акцент1 6 4 3" xfId="9832"/>
    <cellStyle name="Акцент1 6 4 4" xfId="9833"/>
    <cellStyle name="Акцент1 6 4 5" xfId="9834"/>
    <cellStyle name="Акцент1 6 5" xfId="9835"/>
    <cellStyle name="Акцент1 6 6" xfId="9836"/>
    <cellStyle name="Акцент1 6 7" xfId="9837"/>
    <cellStyle name="Акцент1 6 8" xfId="9838"/>
    <cellStyle name="Акцент2 2" xfId="2119"/>
    <cellStyle name="Акцент2 2 2" xfId="2120"/>
    <cellStyle name="Акцент2 2 2 2" xfId="2121"/>
    <cellStyle name="Акцент2 2 2 2 2" xfId="2122"/>
    <cellStyle name="Акцент2 2 2 2 3" xfId="2123"/>
    <cellStyle name="Акцент2 2 2 3" xfId="2124"/>
    <cellStyle name="Акцент2 2 2 4" xfId="2125"/>
    <cellStyle name="Акцент2 2 2 4 2" xfId="9839"/>
    <cellStyle name="Акцент2 2 2 4 3" xfId="9840"/>
    <cellStyle name="Акцент2 2 2 4 4" xfId="9841"/>
    <cellStyle name="Акцент2 2 2 4 5" xfId="9842"/>
    <cellStyle name="Акцент2 2 2 5" xfId="9843"/>
    <cellStyle name="Акцент2 2 2 6" xfId="9844"/>
    <cellStyle name="Акцент2 2 2 7" xfId="9845"/>
    <cellStyle name="Акцент2 2 2 8" xfId="9846"/>
    <cellStyle name="Акцент2 2 3" xfId="2126"/>
    <cellStyle name="Акцент2 2 3 2" xfId="2127"/>
    <cellStyle name="Акцент2 2 3 3" xfId="2128"/>
    <cellStyle name="Акцент2 2 4" xfId="2129"/>
    <cellStyle name="Акцент2 2 5" xfId="2130"/>
    <cellStyle name="Акцент2 2 5 2" xfId="9847"/>
    <cellStyle name="Акцент2 2 5 3" xfId="9848"/>
    <cellStyle name="Акцент2 2 5 4" xfId="9849"/>
    <cellStyle name="Акцент2 2 5 5" xfId="9850"/>
    <cellStyle name="Акцент2 2 6" xfId="9851"/>
    <cellStyle name="Акцент2 2 7" xfId="9852"/>
    <cellStyle name="Акцент2 2 8" xfId="9853"/>
    <cellStyle name="Акцент2 2 9" xfId="9854"/>
    <cellStyle name="Акцент2 3" xfId="2131"/>
    <cellStyle name="Акцент2 3 2" xfId="2132"/>
    <cellStyle name="Акцент2 3 2 2" xfId="2133"/>
    <cellStyle name="Акцент2 3 2 3" xfId="2134"/>
    <cellStyle name="Акцент2 3 3" xfId="2135"/>
    <cellStyle name="Акцент2 3 4" xfId="2136"/>
    <cellStyle name="Акцент2 3 4 2" xfId="9855"/>
    <cellStyle name="Акцент2 3 4 3" xfId="9856"/>
    <cellStyle name="Акцент2 3 4 4" xfId="9857"/>
    <cellStyle name="Акцент2 3 4 5" xfId="9858"/>
    <cellStyle name="Акцент2 3 5" xfId="9859"/>
    <cellStyle name="Акцент2 3 6" xfId="9860"/>
    <cellStyle name="Акцент2 3 7" xfId="9861"/>
    <cellStyle name="Акцент2 3 8" xfId="9862"/>
    <cellStyle name="Акцент2 4" xfId="2137"/>
    <cellStyle name="Акцент2 4 2" xfId="2138"/>
    <cellStyle name="Акцент2 4 2 2" xfId="2139"/>
    <cellStyle name="Акцент2 4 2 3" xfId="2140"/>
    <cellStyle name="Акцент2 4 3" xfId="2141"/>
    <cellStyle name="Акцент2 4 4" xfId="2142"/>
    <cellStyle name="Акцент2 4 4 2" xfId="9863"/>
    <cellStyle name="Акцент2 4 4 3" xfId="9864"/>
    <cellStyle name="Акцент2 4 4 4" xfId="9865"/>
    <cellStyle name="Акцент2 4 4 5" xfId="9866"/>
    <cellStyle name="Акцент2 4 5" xfId="9867"/>
    <cellStyle name="Акцент2 4 6" xfId="9868"/>
    <cellStyle name="Акцент2 4 7" xfId="9869"/>
    <cellStyle name="Акцент2 4 8" xfId="9870"/>
    <cellStyle name="Акцент2 5" xfId="2143"/>
    <cellStyle name="Акцент2 5 2" xfId="2144"/>
    <cellStyle name="Акцент2 5 2 2" xfId="2145"/>
    <cellStyle name="Акцент2 5 2 3" xfId="2146"/>
    <cellStyle name="Акцент2 5 3" xfId="2147"/>
    <cellStyle name="Акцент2 5 4" xfId="2148"/>
    <cellStyle name="Акцент2 5 4 2" xfId="9871"/>
    <cellStyle name="Акцент2 5 4 3" xfId="9872"/>
    <cellStyle name="Акцент2 5 4 4" xfId="9873"/>
    <cellStyle name="Акцент2 5 4 5" xfId="9874"/>
    <cellStyle name="Акцент2 5 5" xfId="9875"/>
    <cellStyle name="Акцент2 5 6" xfId="9876"/>
    <cellStyle name="Акцент2 5 7" xfId="9877"/>
    <cellStyle name="Акцент2 5 8" xfId="9878"/>
    <cellStyle name="Акцент2 6" xfId="2149"/>
    <cellStyle name="Акцент2 6 2" xfId="2150"/>
    <cellStyle name="Акцент2 6 2 2" xfId="2151"/>
    <cellStyle name="Акцент2 6 2 3" xfId="2152"/>
    <cellStyle name="Акцент2 6 3" xfId="2153"/>
    <cellStyle name="Акцент2 6 4" xfId="2154"/>
    <cellStyle name="Акцент2 6 4 2" xfId="9879"/>
    <cellStyle name="Акцент2 6 4 3" xfId="9880"/>
    <cellStyle name="Акцент2 6 4 4" xfId="9881"/>
    <cellStyle name="Акцент2 6 4 5" xfId="9882"/>
    <cellStyle name="Акцент2 6 5" xfId="9883"/>
    <cellStyle name="Акцент2 6 6" xfId="9884"/>
    <cellStyle name="Акцент2 6 7" xfId="9885"/>
    <cellStyle name="Акцент2 6 8" xfId="9886"/>
    <cellStyle name="Акцент3 2" xfId="2155"/>
    <cellStyle name="Акцент3 2 2" xfId="2156"/>
    <cellStyle name="Акцент3 2 2 2" xfId="2157"/>
    <cellStyle name="Акцент3 2 2 2 2" xfId="2158"/>
    <cellStyle name="Акцент3 2 2 2 3" xfId="2159"/>
    <cellStyle name="Акцент3 2 2 3" xfId="2160"/>
    <cellStyle name="Акцент3 2 2 4" xfId="2161"/>
    <cellStyle name="Акцент3 2 2 4 2" xfId="9887"/>
    <cellStyle name="Акцент3 2 2 4 3" xfId="9888"/>
    <cellStyle name="Акцент3 2 2 4 4" xfId="9889"/>
    <cellStyle name="Акцент3 2 2 4 5" xfId="9890"/>
    <cellStyle name="Акцент3 2 2 5" xfId="9891"/>
    <cellStyle name="Акцент3 2 2 6" xfId="9892"/>
    <cellStyle name="Акцент3 2 2 7" xfId="9893"/>
    <cellStyle name="Акцент3 2 2 8" xfId="9894"/>
    <cellStyle name="Акцент3 2 3" xfId="2162"/>
    <cellStyle name="Акцент3 2 3 2" xfId="2163"/>
    <cellStyle name="Акцент3 2 3 3" xfId="2164"/>
    <cellStyle name="Акцент3 2 4" xfId="2165"/>
    <cellStyle name="Акцент3 2 5" xfId="2166"/>
    <cellStyle name="Акцент3 2 5 2" xfId="9895"/>
    <cellStyle name="Акцент3 2 5 3" xfId="9896"/>
    <cellStyle name="Акцент3 2 5 4" xfId="9897"/>
    <cellStyle name="Акцент3 2 5 5" xfId="9898"/>
    <cellStyle name="Акцент3 2 6" xfId="9899"/>
    <cellStyle name="Акцент3 2 7" xfId="9900"/>
    <cellStyle name="Акцент3 2 8" xfId="9901"/>
    <cellStyle name="Акцент3 2 9" xfId="9902"/>
    <cellStyle name="Акцент3 3" xfId="2167"/>
    <cellStyle name="Акцент3 3 2" xfId="2168"/>
    <cellStyle name="Акцент3 3 2 2" xfId="2169"/>
    <cellStyle name="Акцент3 3 2 3" xfId="2170"/>
    <cellStyle name="Акцент3 3 3" xfId="2171"/>
    <cellStyle name="Акцент3 3 4" xfId="2172"/>
    <cellStyle name="Акцент3 3 4 2" xfId="9903"/>
    <cellStyle name="Акцент3 3 4 3" xfId="9904"/>
    <cellStyle name="Акцент3 3 4 4" xfId="9905"/>
    <cellStyle name="Акцент3 3 4 5" xfId="9906"/>
    <cellStyle name="Акцент3 3 5" xfId="9907"/>
    <cellStyle name="Акцент3 3 6" xfId="9908"/>
    <cellStyle name="Акцент3 3 7" xfId="9909"/>
    <cellStyle name="Акцент3 3 8" xfId="9910"/>
    <cellStyle name="Акцент3 4" xfId="2173"/>
    <cellStyle name="Акцент3 4 2" xfId="2174"/>
    <cellStyle name="Акцент3 4 2 2" xfId="2175"/>
    <cellStyle name="Акцент3 4 2 3" xfId="2176"/>
    <cellStyle name="Акцент3 4 3" xfId="2177"/>
    <cellStyle name="Акцент3 4 4" xfId="2178"/>
    <cellStyle name="Акцент3 4 4 2" xfId="9911"/>
    <cellStyle name="Акцент3 4 4 3" xfId="9912"/>
    <cellStyle name="Акцент3 4 4 4" xfId="9913"/>
    <cellStyle name="Акцент3 4 4 5" xfId="9914"/>
    <cellStyle name="Акцент3 4 5" xfId="9915"/>
    <cellStyle name="Акцент3 4 6" xfId="9916"/>
    <cellStyle name="Акцент3 4 7" xfId="9917"/>
    <cellStyle name="Акцент3 4 8" xfId="9918"/>
    <cellStyle name="Акцент3 5" xfId="2179"/>
    <cellStyle name="Акцент3 5 2" xfId="2180"/>
    <cellStyle name="Акцент3 5 2 2" xfId="2181"/>
    <cellStyle name="Акцент3 5 2 3" xfId="2182"/>
    <cellStyle name="Акцент3 5 3" xfId="2183"/>
    <cellStyle name="Акцент3 5 4" xfId="2184"/>
    <cellStyle name="Акцент3 5 4 2" xfId="9919"/>
    <cellStyle name="Акцент3 5 4 3" xfId="9920"/>
    <cellStyle name="Акцент3 5 4 4" xfId="9921"/>
    <cellStyle name="Акцент3 5 4 5" xfId="9922"/>
    <cellStyle name="Акцент3 5 5" xfId="9923"/>
    <cellStyle name="Акцент3 5 6" xfId="9924"/>
    <cellStyle name="Акцент3 5 7" xfId="9925"/>
    <cellStyle name="Акцент3 5 8" xfId="9926"/>
    <cellStyle name="Акцент3 6" xfId="2185"/>
    <cellStyle name="Акцент3 6 2" xfId="2186"/>
    <cellStyle name="Акцент3 6 2 2" xfId="2187"/>
    <cellStyle name="Акцент3 6 2 3" xfId="2188"/>
    <cellStyle name="Акцент3 6 3" xfId="2189"/>
    <cellStyle name="Акцент3 6 4" xfId="2190"/>
    <cellStyle name="Акцент3 6 4 2" xfId="9927"/>
    <cellStyle name="Акцент3 6 4 3" xfId="9928"/>
    <cellStyle name="Акцент3 6 4 4" xfId="9929"/>
    <cellStyle name="Акцент3 6 4 5" xfId="9930"/>
    <cellStyle name="Акцент3 6 5" xfId="9931"/>
    <cellStyle name="Акцент3 6 6" xfId="9932"/>
    <cellStyle name="Акцент3 6 7" xfId="9933"/>
    <cellStyle name="Акцент3 6 8" xfId="9934"/>
    <cellStyle name="Акцент4 2" xfId="2191"/>
    <cellStyle name="Акцент4 2 10" xfId="2192"/>
    <cellStyle name="Акцент4 2 10 2" xfId="9935"/>
    <cellStyle name="Акцент4 2 10 3" xfId="9936"/>
    <cellStyle name="Акцент4 2 10 4" xfId="9937"/>
    <cellStyle name="Акцент4 2 10 5" xfId="9938"/>
    <cellStyle name="Акцент4 2 11" xfId="9939"/>
    <cellStyle name="Акцент4 2 12" xfId="9940"/>
    <cellStyle name="Акцент4 2 13" xfId="9941"/>
    <cellStyle name="Акцент4 2 14" xfId="9942"/>
    <cellStyle name="Акцент4 2 15" xfId="9943"/>
    <cellStyle name="Акцент4 2 16" xfId="9944"/>
    <cellStyle name="Акцент4 2 17" xfId="9945"/>
    <cellStyle name="Акцент4 2 18" xfId="9946"/>
    <cellStyle name="Акцент4 2 2" xfId="2193"/>
    <cellStyle name="Акцент4 2 2 2" xfId="2194"/>
    <cellStyle name="Акцент4 2 2 2 2" xfId="2195"/>
    <cellStyle name="Акцент4 2 2 2 3" xfId="2196"/>
    <cellStyle name="Акцент4 2 2 3" xfId="2197"/>
    <cellStyle name="Акцент4 2 2 4" xfId="2198"/>
    <cellStyle name="Акцент4 2 2 4 2" xfId="9947"/>
    <cellStyle name="Акцент4 2 2 4 3" xfId="9948"/>
    <cellStyle name="Акцент4 2 2 4 4" xfId="9949"/>
    <cellStyle name="Акцент4 2 2 4 5" xfId="9950"/>
    <cellStyle name="Акцент4 2 2 5" xfId="9951"/>
    <cellStyle name="Акцент4 2 2 6" xfId="9952"/>
    <cellStyle name="Акцент4 2 2 7" xfId="9953"/>
    <cellStyle name="Акцент4 2 2 8" xfId="9954"/>
    <cellStyle name="Акцент4 2 3" xfId="2199"/>
    <cellStyle name="Акцент4 2 3 2" xfId="2200"/>
    <cellStyle name="Акцент4 2 3 3" xfId="2201"/>
    <cellStyle name="Акцент4 2 4" xfId="2202"/>
    <cellStyle name="Акцент4 2 5" xfId="2203"/>
    <cellStyle name="Акцент4 2 5 2" xfId="9955"/>
    <cellStyle name="Акцент4 2 5 3" xfId="9956"/>
    <cellStyle name="Акцент4 2 5 4" xfId="9957"/>
    <cellStyle name="Акцент4 2 5 5" xfId="9958"/>
    <cellStyle name="Акцент4 2 6" xfId="2204"/>
    <cellStyle name="Акцент4 2 6 2" xfId="9959"/>
    <cellStyle name="Акцент4 2 6 3" xfId="9960"/>
    <cellStyle name="Акцент4 2 6 4" xfId="9961"/>
    <cellStyle name="Акцент4 2 6 5" xfId="9962"/>
    <cellStyle name="Акцент4 2 7" xfId="2205"/>
    <cellStyle name="Акцент4 2 7 2" xfId="9963"/>
    <cellStyle name="Акцент4 2 7 3" xfId="9964"/>
    <cellStyle name="Акцент4 2 7 4" xfId="9965"/>
    <cellStyle name="Акцент4 2 7 5" xfId="9966"/>
    <cellStyle name="Акцент4 2 8" xfId="2206"/>
    <cellStyle name="Акцент4 2 8 2" xfId="9967"/>
    <cellStyle name="Акцент4 2 8 3" xfId="9968"/>
    <cellStyle name="Акцент4 2 8 4" xfId="9969"/>
    <cellStyle name="Акцент4 2 8 5" xfId="9970"/>
    <cellStyle name="Акцент4 2 9" xfId="2207"/>
    <cellStyle name="Акцент4 2 9 2" xfId="9971"/>
    <cellStyle name="Акцент4 2 9 3" xfId="9972"/>
    <cellStyle name="Акцент4 2 9 4" xfId="9973"/>
    <cellStyle name="Акцент4 2 9 5" xfId="9974"/>
    <cellStyle name="Акцент4 3" xfId="2208"/>
    <cellStyle name="Акцент4 3 10" xfId="9975"/>
    <cellStyle name="Акцент4 3 11" xfId="9976"/>
    <cellStyle name="Акцент4 3 12" xfId="9977"/>
    <cellStyle name="Акцент4 3 13" xfId="9978"/>
    <cellStyle name="Акцент4 3 14" xfId="9979"/>
    <cellStyle name="Акцент4 3 15" xfId="9980"/>
    <cellStyle name="Акцент4 3 16" xfId="9981"/>
    <cellStyle name="Акцент4 3 17" xfId="9982"/>
    <cellStyle name="Акцент4 3 2" xfId="2209"/>
    <cellStyle name="Акцент4 3 2 2" xfId="2210"/>
    <cellStyle name="Акцент4 3 2 3" xfId="2211"/>
    <cellStyle name="Акцент4 3 3" xfId="2212"/>
    <cellStyle name="Акцент4 3 4" xfId="2213"/>
    <cellStyle name="Акцент4 3 4 2" xfId="9983"/>
    <cellStyle name="Акцент4 3 4 3" xfId="9984"/>
    <cellStyle name="Акцент4 3 4 4" xfId="9985"/>
    <cellStyle name="Акцент4 3 4 5" xfId="9986"/>
    <cellStyle name="Акцент4 3 5" xfId="2214"/>
    <cellStyle name="Акцент4 3 5 2" xfId="9987"/>
    <cellStyle name="Акцент4 3 5 3" xfId="9988"/>
    <cellStyle name="Акцент4 3 5 4" xfId="9989"/>
    <cellStyle name="Акцент4 3 5 5" xfId="9990"/>
    <cellStyle name="Акцент4 3 6" xfId="2215"/>
    <cellStyle name="Акцент4 3 6 2" xfId="9991"/>
    <cellStyle name="Акцент4 3 6 3" xfId="9992"/>
    <cellStyle name="Акцент4 3 6 4" xfId="9993"/>
    <cellStyle name="Акцент4 3 6 5" xfId="9994"/>
    <cellStyle name="Акцент4 3 7" xfId="2216"/>
    <cellStyle name="Акцент4 3 7 2" xfId="9995"/>
    <cellStyle name="Акцент4 3 7 3" xfId="9996"/>
    <cellStyle name="Акцент4 3 7 4" xfId="9997"/>
    <cellStyle name="Акцент4 3 7 5" xfId="9998"/>
    <cellStyle name="Акцент4 3 8" xfId="2217"/>
    <cellStyle name="Акцент4 3 8 2" xfId="9999"/>
    <cellStyle name="Акцент4 3 8 3" xfId="10000"/>
    <cellStyle name="Акцент4 3 8 4" xfId="10001"/>
    <cellStyle name="Акцент4 3 8 5" xfId="10002"/>
    <cellStyle name="Акцент4 3 9" xfId="2218"/>
    <cellStyle name="Акцент4 3 9 2" xfId="10003"/>
    <cellStyle name="Акцент4 3 9 3" xfId="10004"/>
    <cellStyle name="Акцент4 3 9 4" xfId="10005"/>
    <cellStyle name="Акцент4 3 9 5" xfId="10006"/>
    <cellStyle name="Акцент4 4" xfId="2219"/>
    <cellStyle name="Акцент4 4 10" xfId="10007"/>
    <cellStyle name="Акцент4 4 11" xfId="10008"/>
    <cellStyle name="Акцент4 4 12" xfId="10009"/>
    <cellStyle name="Акцент4 4 13" xfId="10010"/>
    <cellStyle name="Акцент4 4 14" xfId="10011"/>
    <cellStyle name="Акцент4 4 15" xfId="10012"/>
    <cellStyle name="Акцент4 4 16" xfId="10013"/>
    <cellStyle name="Акцент4 4 17" xfId="10014"/>
    <cellStyle name="Акцент4 4 2" xfId="2220"/>
    <cellStyle name="Акцент4 4 2 2" xfId="2221"/>
    <cellStyle name="Акцент4 4 2 3" xfId="2222"/>
    <cellStyle name="Акцент4 4 3" xfId="2223"/>
    <cellStyle name="Акцент4 4 4" xfId="2224"/>
    <cellStyle name="Акцент4 4 4 2" xfId="10015"/>
    <cellStyle name="Акцент4 4 4 3" xfId="10016"/>
    <cellStyle name="Акцент4 4 4 4" xfId="10017"/>
    <cellStyle name="Акцент4 4 4 5" xfId="10018"/>
    <cellStyle name="Акцент4 4 5" xfId="2225"/>
    <cellStyle name="Акцент4 4 5 2" xfId="10019"/>
    <cellStyle name="Акцент4 4 5 3" xfId="10020"/>
    <cellStyle name="Акцент4 4 5 4" xfId="10021"/>
    <cellStyle name="Акцент4 4 5 5" xfId="10022"/>
    <cellStyle name="Акцент4 4 6" xfId="2226"/>
    <cellStyle name="Акцент4 4 6 2" xfId="10023"/>
    <cellStyle name="Акцент4 4 6 3" xfId="10024"/>
    <cellStyle name="Акцент4 4 6 4" xfId="10025"/>
    <cellStyle name="Акцент4 4 6 5" xfId="10026"/>
    <cellStyle name="Акцент4 4 7" xfId="2227"/>
    <cellStyle name="Акцент4 4 7 2" xfId="10027"/>
    <cellStyle name="Акцент4 4 7 3" xfId="10028"/>
    <cellStyle name="Акцент4 4 7 4" xfId="10029"/>
    <cellStyle name="Акцент4 4 7 5" xfId="10030"/>
    <cellStyle name="Акцент4 4 8" xfId="2228"/>
    <cellStyle name="Акцент4 4 8 2" xfId="10031"/>
    <cellStyle name="Акцент4 4 8 3" xfId="10032"/>
    <cellStyle name="Акцент4 4 8 4" xfId="10033"/>
    <cellStyle name="Акцент4 4 8 5" xfId="10034"/>
    <cellStyle name="Акцент4 4 9" xfId="2229"/>
    <cellStyle name="Акцент4 4 9 2" xfId="10035"/>
    <cellStyle name="Акцент4 4 9 3" xfId="10036"/>
    <cellStyle name="Акцент4 4 9 4" xfId="10037"/>
    <cellStyle name="Акцент4 4 9 5" xfId="10038"/>
    <cellStyle name="Акцент4 5" xfId="2230"/>
    <cellStyle name="Акцент4 5 10" xfId="10039"/>
    <cellStyle name="Акцент4 5 11" xfId="10040"/>
    <cellStyle name="Акцент4 5 12" xfId="10041"/>
    <cellStyle name="Акцент4 5 13" xfId="10042"/>
    <cellStyle name="Акцент4 5 14" xfId="10043"/>
    <cellStyle name="Акцент4 5 15" xfId="10044"/>
    <cellStyle name="Акцент4 5 16" xfId="10045"/>
    <cellStyle name="Акцент4 5 17" xfId="10046"/>
    <cellStyle name="Акцент4 5 2" xfId="2231"/>
    <cellStyle name="Акцент4 5 2 2" xfId="2232"/>
    <cellStyle name="Акцент4 5 2 3" xfId="2233"/>
    <cellStyle name="Акцент4 5 3" xfId="2234"/>
    <cellStyle name="Акцент4 5 4" xfId="2235"/>
    <cellStyle name="Акцент4 5 4 2" xfId="10047"/>
    <cellStyle name="Акцент4 5 4 3" xfId="10048"/>
    <cellStyle name="Акцент4 5 4 4" xfId="10049"/>
    <cellStyle name="Акцент4 5 4 5" xfId="10050"/>
    <cellStyle name="Акцент4 5 5" xfId="2236"/>
    <cellStyle name="Акцент4 5 5 2" xfId="10051"/>
    <cellStyle name="Акцент4 5 5 3" xfId="10052"/>
    <cellStyle name="Акцент4 5 5 4" xfId="10053"/>
    <cellStyle name="Акцент4 5 5 5" xfId="10054"/>
    <cellStyle name="Акцент4 5 6" xfId="2237"/>
    <cellStyle name="Акцент4 5 6 2" xfId="10055"/>
    <cellStyle name="Акцент4 5 6 3" xfId="10056"/>
    <cellStyle name="Акцент4 5 6 4" xfId="10057"/>
    <cellStyle name="Акцент4 5 6 5" xfId="10058"/>
    <cellStyle name="Акцент4 5 7" xfId="2238"/>
    <cellStyle name="Акцент4 5 7 2" xfId="10059"/>
    <cellStyle name="Акцент4 5 7 3" xfId="10060"/>
    <cellStyle name="Акцент4 5 7 4" xfId="10061"/>
    <cellStyle name="Акцент4 5 7 5" xfId="10062"/>
    <cellStyle name="Акцент4 5 8" xfId="2239"/>
    <cellStyle name="Акцент4 5 8 2" xfId="10063"/>
    <cellStyle name="Акцент4 5 8 3" xfId="10064"/>
    <cellStyle name="Акцент4 5 8 4" xfId="10065"/>
    <cellStyle name="Акцент4 5 8 5" xfId="10066"/>
    <cellStyle name="Акцент4 5 9" xfId="2240"/>
    <cellStyle name="Акцент4 5 9 2" xfId="10067"/>
    <cellStyle name="Акцент4 5 9 3" xfId="10068"/>
    <cellStyle name="Акцент4 5 9 4" xfId="10069"/>
    <cellStyle name="Акцент4 5 9 5" xfId="10070"/>
    <cellStyle name="Акцент4 6" xfId="2241"/>
    <cellStyle name="Акцент4 6 10" xfId="10071"/>
    <cellStyle name="Акцент4 6 11" xfId="10072"/>
    <cellStyle name="Акцент4 6 12" xfId="10073"/>
    <cellStyle name="Акцент4 6 13" xfId="10074"/>
    <cellStyle name="Акцент4 6 14" xfId="10075"/>
    <cellStyle name="Акцент4 6 15" xfId="10076"/>
    <cellStyle name="Акцент4 6 16" xfId="10077"/>
    <cellStyle name="Акцент4 6 17" xfId="10078"/>
    <cellStyle name="Акцент4 6 2" xfId="2242"/>
    <cellStyle name="Акцент4 6 2 2" xfId="2243"/>
    <cellStyle name="Акцент4 6 2 3" xfId="2244"/>
    <cellStyle name="Акцент4 6 3" xfId="2245"/>
    <cellStyle name="Акцент4 6 4" xfId="2246"/>
    <cellStyle name="Акцент4 6 4 2" xfId="10079"/>
    <cellStyle name="Акцент4 6 4 3" xfId="10080"/>
    <cellStyle name="Акцент4 6 4 4" xfId="10081"/>
    <cellStyle name="Акцент4 6 4 5" xfId="10082"/>
    <cellStyle name="Акцент4 6 5" xfId="2247"/>
    <cellStyle name="Акцент4 6 5 2" xfId="10083"/>
    <cellStyle name="Акцент4 6 5 3" xfId="10084"/>
    <cellStyle name="Акцент4 6 5 4" xfId="10085"/>
    <cellStyle name="Акцент4 6 5 5" xfId="10086"/>
    <cellStyle name="Акцент4 6 6" xfId="2248"/>
    <cellStyle name="Акцент4 6 6 2" xfId="10087"/>
    <cellStyle name="Акцент4 6 6 3" xfId="10088"/>
    <cellStyle name="Акцент4 6 6 4" xfId="10089"/>
    <cellStyle name="Акцент4 6 6 5" xfId="10090"/>
    <cellStyle name="Акцент4 6 7" xfId="2249"/>
    <cellStyle name="Акцент4 6 7 2" xfId="10091"/>
    <cellStyle name="Акцент4 6 7 3" xfId="10092"/>
    <cellStyle name="Акцент4 6 7 4" xfId="10093"/>
    <cellStyle name="Акцент4 6 7 5" xfId="10094"/>
    <cellStyle name="Акцент4 6 8" xfId="2250"/>
    <cellStyle name="Акцент4 6 8 2" xfId="10095"/>
    <cellStyle name="Акцент4 6 8 3" xfId="10096"/>
    <cellStyle name="Акцент4 6 8 4" xfId="10097"/>
    <cellStyle name="Акцент4 6 8 5" xfId="10098"/>
    <cellStyle name="Акцент4 6 9" xfId="2251"/>
    <cellStyle name="Акцент4 6 9 2" xfId="10099"/>
    <cellStyle name="Акцент4 6 9 3" xfId="10100"/>
    <cellStyle name="Акцент4 6 9 4" xfId="10101"/>
    <cellStyle name="Акцент4 6 9 5" xfId="10102"/>
    <cellStyle name="Акцент5 2" xfId="2252"/>
    <cellStyle name="Акцент5 2 2" xfId="2253"/>
    <cellStyle name="Акцент5 2 2 2" xfId="2254"/>
    <cellStyle name="Акцент5 2 2 2 2" xfId="2255"/>
    <cellStyle name="Акцент5 2 2 2 3" xfId="2256"/>
    <cellStyle name="Акцент5 2 2 3" xfId="2257"/>
    <cellStyle name="Акцент5 2 2 4" xfId="2258"/>
    <cellStyle name="Акцент5 2 2 4 2" xfId="10103"/>
    <cellStyle name="Акцент5 2 2 4 3" xfId="10104"/>
    <cellStyle name="Акцент5 2 2 4 4" xfId="10105"/>
    <cellStyle name="Акцент5 2 2 4 5" xfId="10106"/>
    <cellStyle name="Акцент5 2 2 5" xfId="10107"/>
    <cellStyle name="Акцент5 2 2 6" xfId="10108"/>
    <cellStyle name="Акцент5 2 2 7" xfId="10109"/>
    <cellStyle name="Акцент5 2 2 8" xfId="10110"/>
    <cellStyle name="Акцент5 2 3" xfId="2259"/>
    <cellStyle name="Акцент5 2 3 2" xfId="2260"/>
    <cellStyle name="Акцент5 2 3 3" xfId="2261"/>
    <cellStyle name="Акцент5 2 4" xfId="2262"/>
    <cellStyle name="Акцент5 2 5" xfId="2263"/>
    <cellStyle name="Акцент5 2 5 2" xfId="10111"/>
    <cellStyle name="Акцент5 2 5 3" xfId="10112"/>
    <cellStyle name="Акцент5 2 5 4" xfId="10113"/>
    <cellStyle name="Акцент5 2 5 5" xfId="10114"/>
    <cellStyle name="Акцент5 2 6" xfId="10115"/>
    <cellStyle name="Акцент5 2 7" xfId="10116"/>
    <cellStyle name="Акцент5 2 8" xfId="10117"/>
    <cellStyle name="Акцент5 2 9" xfId="10118"/>
    <cellStyle name="Акцент5 3" xfId="2264"/>
    <cellStyle name="Акцент5 3 2" xfId="2265"/>
    <cellStyle name="Акцент5 3 2 2" xfId="2266"/>
    <cellStyle name="Акцент5 3 2 3" xfId="2267"/>
    <cellStyle name="Акцент5 3 3" xfId="2268"/>
    <cellStyle name="Акцент5 3 4" xfId="2269"/>
    <cellStyle name="Акцент5 3 4 2" xfId="10119"/>
    <cellStyle name="Акцент5 3 4 3" xfId="10120"/>
    <cellStyle name="Акцент5 3 4 4" xfId="10121"/>
    <cellStyle name="Акцент5 3 4 5" xfId="10122"/>
    <cellStyle name="Акцент5 3 5" xfId="10123"/>
    <cellStyle name="Акцент5 3 6" xfId="10124"/>
    <cellStyle name="Акцент5 3 7" xfId="10125"/>
    <cellStyle name="Акцент5 3 8" xfId="10126"/>
    <cellStyle name="Акцент5 4" xfId="2270"/>
    <cellStyle name="Акцент5 4 2" xfId="2271"/>
    <cellStyle name="Акцент5 4 2 2" xfId="2272"/>
    <cellStyle name="Акцент5 4 2 3" xfId="2273"/>
    <cellStyle name="Акцент5 4 3" xfId="2274"/>
    <cellStyle name="Акцент5 4 4" xfId="2275"/>
    <cellStyle name="Акцент5 4 4 2" xfId="10127"/>
    <cellStyle name="Акцент5 4 4 3" xfId="10128"/>
    <cellStyle name="Акцент5 4 4 4" xfId="10129"/>
    <cellStyle name="Акцент5 4 4 5" xfId="10130"/>
    <cellStyle name="Акцент5 4 5" xfId="10131"/>
    <cellStyle name="Акцент5 4 6" xfId="10132"/>
    <cellStyle name="Акцент5 4 7" xfId="10133"/>
    <cellStyle name="Акцент5 4 8" xfId="10134"/>
    <cellStyle name="Акцент5 5" xfId="2276"/>
    <cellStyle name="Акцент5 5 2" xfId="2277"/>
    <cellStyle name="Акцент5 5 2 2" xfId="2278"/>
    <cellStyle name="Акцент5 5 2 3" xfId="2279"/>
    <cellStyle name="Акцент5 5 3" xfId="2280"/>
    <cellStyle name="Акцент5 5 4" xfId="2281"/>
    <cellStyle name="Акцент5 5 4 2" xfId="10135"/>
    <cellStyle name="Акцент5 5 4 3" xfId="10136"/>
    <cellStyle name="Акцент5 5 4 4" xfId="10137"/>
    <cellStyle name="Акцент5 5 4 5" xfId="10138"/>
    <cellStyle name="Акцент5 5 5" xfId="10139"/>
    <cellStyle name="Акцент5 5 6" xfId="10140"/>
    <cellStyle name="Акцент5 5 7" xfId="10141"/>
    <cellStyle name="Акцент5 5 8" xfId="10142"/>
    <cellStyle name="Акцент5 6" xfId="2282"/>
    <cellStyle name="Акцент5 6 2" xfId="2283"/>
    <cellStyle name="Акцент5 6 2 2" xfId="2284"/>
    <cellStyle name="Акцент5 6 2 3" xfId="2285"/>
    <cellStyle name="Акцент5 6 3" xfId="2286"/>
    <cellStyle name="Акцент5 6 4" xfId="2287"/>
    <cellStyle name="Акцент5 6 4 2" xfId="10143"/>
    <cellStyle name="Акцент5 6 4 3" xfId="10144"/>
    <cellStyle name="Акцент5 6 4 4" xfId="10145"/>
    <cellStyle name="Акцент5 6 4 5" xfId="10146"/>
    <cellStyle name="Акцент5 6 5" xfId="10147"/>
    <cellStyle name="Акцент5 6 6" xfId="10148"/>
    <cellStyle name="Акцент5 6 7" xfId="10149"/>
    <cellStyle name="Акцент5 6 8" xfId="10150"/>
    <cellStyle name="Акцент6 2" xfId="2288"/>
    <cellStyle name="Акцент6 2 2" xfId="2289"/>
    <cellStyle name="Акцент6 2 2 2" xfId="2290"/>
    <cellStyle name="Акцент6 2 2 2 2" xfId="2291"/>
    <cellStyle name="Акцент6 2 2 2 3" xfId="2292"/>
    <cellStyle name="Акцент6 2 2 3" xfId="2293"/>
    <cellStyle name="Акцент6 2 2 4" xfId="2294"/>
    <cellStyle name="Акцент6 2 2 4 2" xfId="10151"/>
    <cellStyle name="Акцент6 2 2 4 3" xfId="10152"/>
    <cellStyle name="Акцент6 2 2 4 4" xfId="10153"/>
    <cellStyle name="Акцент6 2 2 4 5" xfId="10154"/>
    <cellStyle name="Акцент6 2 2 5" xfId="10155"/>
    <cellStyle name="Акцент6 2 2 6" xfId="10156"/>
    <cellStyle name="Акцент6 2 2 7" xfId="10157"/>
    <cellStyle name="Акцент6 2 2 8" xfId="10158"/>
    <cellStyle name="Акцент6 2 3" xfId="2295"/>
    <cellStyle name="Акцент6 2 3 2" xfId="2296"/>
    <cellStyle name="Акцент6 2 3 3" xfId="2297"/>
    <cellStyle name="Акцент6 2 4" xfId="2298"/>
    <cellStyle name="Акцент6 2 5" xfId="2299"/>
    <cellStyle name="Акцент6 2 5 2" xfId="10159"/>
    <cellStyle name="Акцент6 2 5 3" xfId="10160"/>
    <cellStyle name="Акцент6 2 5 4" xfId="10161"/>
    <cellStyle name="Акцент6 2 5 5" xfId="10162"/>
    <cellStyle name="Акцент6 2 6" xfId="10163"/>
    <cellStyle name="Акцент6 2 7" xfId="10164"/>
    <cellStyle name="Акцент6 2 8" xfId="10165"/>
    <cellStyle name="Акцент6 2 9" xfId="10166"/>
    <cellStyle name="Акцент6 3" xfId="2300"/>
    <cellStyle name="Акцент6 3 2" xfId="2301"/>
    <cellStyle name="Акцент6 3 2 2" xfId="2302"/>
    <cellStyle name="Акцент6 3 2 3" xfId="2303"/>
    <cellStyle name="Акцент6 3 3" xfId="2304"/>
    <cellStyle name="Акцент6 3 4" xfId="2305"/>
    <cellStyle name="Акцент6 3 4 2" xfId="10167"/>
    <cellStyle name="Акцент6 3 4 3" xfId="10168"/>
    <cellStyle name="Акцент6 3 4 4" xfId="10169"/>
    <cellStyle name="Акцент6 3 4 5" xfId="10170"/>
    <cellStyle name="Акцент6 3 5" xfId="10171"/>
    <cellStyle name="Акцент6 3 6" xfId="10172"/>
    <cellStyle name="Акцент6 3 7" xfId="10173"/>
    <cellStyle name="Акцент6 3 8" xfId="10174"/>
    <cellStyle name="Акцент6 4" xfId="2306"/>
    <cellStyle name="Акцент6 4 2" xfId="2307"/>
    <cellStyle name="Акцент6 4 2 2" xfId="2308"/>
    <cellStyle name="Акцент6 4 2 3" xfId="2309"/>
    <cellStyle name="Акцент6 4 3" xfId="2310"/>
    <cellStyle name="Акцент6 4 4" xfId="2311"/>
    <cellStyle name="Акцент6 4 4 2" xfId="10175"/>
    <cellStyle name="Акцент6 4 4 3" xfId="10176"/>
    <cellStyle name="Акцент6 4 4 4" xfId="10177"/>
    <cellStyle name="Акцент6 4 4 5" xfId="10178"/>
    <cellStyle name="Акцент6 4 5" xfId="10179"/>
    <cellStyle name="Акцент6 4 6" xfId="10180"/>
    <cellStyle name="Акцент6 4 7" xfId="10181"/>
    <cellStyle name="Акцент6 4 8" xfId="10182"/>
    <cellStyle name="Акцент6 5" xfId="2312"/>
    <cellStyle name="Акцент6 5 2" xfId="2313"/>
    <cellStyle name="Акцент6 5 2 2" xfId="2314"/>
    <cellStyle name="Акцент6 5 2 3" xfId="2315"/>
    <cellStyle name="Акцент6 5 3" xfId="2316"/>
    <cellStyle name="Акцент6 5 4" xfId="2317"/>
    <cellStyle name="Акцент6 5 4 2" xfId="10183"/>
    <cellStyle name="Акцент6 5 4 3" xfId="10184"/>
    <cellStyle name="Акцент6 5 4 4" xfId="10185"/>
    <cellStyle name="Акцент6 5 4 5" xfId="10186"/>
    <cellStyle name="Акцент6 5 5" xfId="10187"/>
    <cellStyle name="Акцент6 5 6" xfId="10188"/>
    <cellStyle name="Акцент6 5 7" xfId="10189"/>
    <cellStyle name="Акцент6 5 8" xfId="10190"/>
    <cellStyle name="Акцент6 6" xfId="2318"/>
    <cellStyle name="Акцент6 6 2" xfId="2319"/>
    <cellStyle name="Акцент6 6 2 2" xfId="2320"/>
    <cellStyle name="Акцент6 6 2 3" xfId="2321"/>
    <cellStyle name="Акцент6 6 3" xfId="2322"/>
    <cellStyle name="Акцент6 6 4" xfId="2323"/>
    <cellStyle name="Акцент6 6 4 2" xfId="10191"/>
    <cellStyle name="Акцент6 6 4 3" xfId="10192"/>
    <cellStyle name="Акцент6 6 4 4" xfId="10193"/>
    <cellStyle name="Акцент6 6 4 5" xfId="10194"/>
    <cellStyle name="Акцент6 6 5" xfId="10195"/>
    <cellStyle name="Акцент6 6 6" xfId="10196"/>
    <cellStyle name="Акцент6 6 7" xfId="10197"/>
    <cellStyle name="Акцент6 6 8" xfId="10198"/>
    <cellStyle name="Ввод  2" xfId="2324"/>
    <cellStyle name="Ввод  2 10" xfId="10199"/>
    <cellStyle name="Ввод  2 11" xfId="10200"/>
    <cellStyle name="Ввод  2 12" xfId="10201"/>
    <cellStyle name="Ввод  2 13" xfId="10202"/>
    <cellStyle name="Ввод  2 14" xfId="10203"/>
    <cellStyle name="Ввод  2 15" xfId="10204"/>
    <cellStyle name="Ввод  2 2" xfId="2325"/>
    <cellStyle name="Ввод  2 2 10" xfId="10205"/>
    <cellStyle name="Ввод  2 2 11" xfId="10206"/>
    <cellStyle name="Ввод  2 2 12" xfId="10207"/>
    <cellStyle name="Ввод  2 2 13" xfId="10208"/>
    <cellStyle name="Ввод  2 2 14" xfId="10209"/>
    <cellStyle name="Ввод  2 2 2" xfId="2326"/>
    <cellStyle name="Ввод  2 2 2 10" xfId="10210"/>
    <cellStyle name="Ввод  2 2 2 11" xfId="10211"/>
    <cellStyle name="Ввод  2 2 2 12" xfId="10212"/>
    <cellStyle name="Ввод  2 2 2 2" xfId="2327"/>
    <cellStyle name="Ввод  2 2 2 2 2" xfId="10213"/>
    <cellStyle name="Ввод  2 2 2 2 3" xfId="10214"/>
    <cellStyle name="Ввод  2 2 2 2 4" xfId="10215"/>
    <cellStyle name="Ввод  2 2 2 2 5" xfId="10216"/>
    <cellStyle name="Ввод  2 2 2 3" xfId="2328"/>
    <cellStyle name="Ввод  2 2 2 3 2" xfId="10217"/>
    <cellStyle name="Ввод  2 2 2 3 3" xfId="10218"/>
    <cellStyle name="Ввод  2 2 2 3 4" xfId="10219"/>
    <cellStyle name="Ввод  2 2 2 3 5" xfId="10220"/>
    <cellStyle name="Ввод  2 2 2 4" xfId="2329"/>
    <cellStyle name="Ввод  2 2 2 4 2" xfId="10221"/>
    <cellStyle name="Ввод  2 2 2 4 3" xfId="10222"/>
    <cellStyle name="Ввод  2 2 2 4 4" xfId="10223"/>
    <cellStyle name="Ввод  2 2 2 4 5" xfId="10224"/>
    <cellStyle name="Ввод  2 2 2 5" xfId="10225"/>
    <cellStyle name="Ввод  2 2 2 5 2" xfId="10226"/>
    <cellStyle name="Ввод  2 2 2 5 3" xfId="10227"/>
    <cellStyle name="Ввод  2 2 2 5 4" xfId="10228"/>
    <cellStyle name="Ввод  2 2 2 6" xfId="10229"/>
    <cellStyle name="Ввод  2 2 2 7" xfId="10230"/>
    <cellStyle name="Ввод  2 2 2 8" xfId="10231"/>
    <cellStyle name="Ввод  2 2 2 9" xfId="10232"/>
    <cellStyle name="Ввод  2 2 3" xfId="2330"/>
    <cellStyle name="Ввод  2 2 3 10" xfId="10233"/>
    <cellStyle name="Ввод  2 2 3 11" xfId="10234"/>
    <cellStyle name="Ввод  2 2 3 2" xfId="2331"/>
    <cellStyle name="Ввод  2 2 3 2 2" xfId="10235"/>
    <cellStyle name="Ввод  2 2 3 2 3" xfId="10236"/>
    <cellStyle name="Ввод  2 2 3 2 4" xfId="10237"/>
    <cellStyle name="Ввод  2 2 3 2 5" xfId="10238"/>
    <cellStyle name="Ввод  2 2 3 3" xfId="2332"/>
    <cellStyle name="Ввод  2 2 3 3 2" xfId="10239"/>
    <cellStyle name="Ввод  2 2 3 3 3" xfId="10240"/>
    <cellStyle name="Ввод  2 2 3 3 4" xfId="10241"/>
    <cellStyle name="Ввод  2 2 3 3 5" xfId="10242"/>
    <cellStyle name="Ввод  2 2 3 4" xfId="10243"/>
    <cellStyle name="Ввод  2 2 3 4 2" xfId="10244"/>
    <cellStyle name="Ввод  2 2 3 4 3" xfId="10245"/>
    <cellStyle name="Ввод  2 2 3 4 4" xfId="10246"/>
    <cellStyle name="Ввод  2 2 3 5" xfId="10247"/>
    <cellStyle name="Ввод  2 2 3 6" xfId="10248"/>
    <cellStyle name="Ввод  2 2 3 7" xfId="10249"/>
    <cellStyle name="Ввод  2 2 3 8" xfId="10250"/>
    <cellStyle name="Ввод  2 2 3 9" xfId="10251"/>
    <cellStyle name="Ввод  2 2 4" xfId="2333"/>
    <cellStyle name="Ввод  2 2 4 2" xfId="10252"/>
    <cellStyle name="Ввод  2 2 4 3" xfId="10253"/>
    <cellStyle name="Ввод  2 2 4 4" xfId="10254"/>
    <cellStyle name="Ввод  2 2 4 5" xfId="10255"/>
    <cellStyle name="Ввод  2 2 4 6" xfId="10256"/>
    <cellStyle name="Ввод  2 2 4 7" xfId="10257"/>
    <cellStyle name="Ввод  2 2 4 8" xfId="10258"/>
    <cellStyle name="Ввод  2 2 5" xfId="2334"/>
    <cellStyle name="Ввод  2 2 5 2" xfId="10259"/>
    <cellStyle name="Ввод  2 2 5 3" xfId="10260"/>
    <cellStyle name="Ввод  2 2 5 4" xfId="10261"/>
    <cellStyle name="Ввод  2 2 5 5" xfId="10262"/>
    <cellStyle name="Ввод  2 2 5 6" xfId="10263"/>
    <cellStyle name="Ввод  2 2 5 7" xfId="10264"/>
    <cellStyle name="Ввод  2 2 5 8" xfId="10265"/>
    <cellStyle name="Ввод  2 2 6" xfId="2335"/>
    <cellStyle name="Ввод  2 2 6 2" xfId="10266"/>
    <cellStyle name="Ввод  2 2 6 3" xfId="10267"/>
    <cellStyle name="Ввод  2 2 6 4" xfId="10268"/>
    <cellStyle name="Ввод  2 2 6 5" xfId="10269"/>
    <cellStyle name="Ввод  2 2 6 6" xfId="10270"/>
    <cellStyle name="Ввод  2 2 6 7" xfId="10271"/>
    <cellStyle name="Ввод  2 2 6 8" xfId="10272"/>
    <cellStyle name="Ввод  2 2 7" xfId="10273"/>
    <cellStyle name="Ввод  2 2 7 2" xfId="10274"/>
    <cellStyle name="Ввод  2 2 7 3" xfId="10275"/>
    <cellStyle name="Ввод  2 2 7 4" xfId="10276"/>
    <cellStyle name="Ввод  2 2 8" xfId="10277"/>
    <cellStyle name="Ввод  2 2 9" xfId="10278"/>
    <cellStyle name="Ввод  2 3" xfId="2336"/>
    <cellStyle name="Ввод  2 3 10" xfId="10279"/>
    <cellStyle name="Ввод  2 3 11" xfId="10280"/>
    <cellStyle name="Ввод  2 3 12" xfId="10281"/>
    <cellStyle name="Ввод  2 3 2" xfId="2337"/>
    <cellStyle name="Ввод  2 3 2 2" xfId="10282"/>
    <cellStyle name="Ввод  2 3 2 2 2" xfId="10283"/>
    <cellStyle name="Ввод  2 3 2 2 3" xfId="10284"/>
    <cellStyle name="Ввод  2 3 2 2 4" xfId="10285"/>
    <cellStyle name="Ввод  2 3 2 3" xfId="10286"/>
    <cellStyle name="Ввод  2 3 2 4" xfId="10287"/>
    <cellStyle name="Ввод  2 3 2 5" xfId="10288"/>
    <cellStyle name="Ввод  2 3 2 6" xfId="10289"/>
    <cellStyle name="Ввод  2 3 3" xfId="2338"/>
    <cellStyle name="Ввод  2 3 3 2" xfId="10290"/>
    <cellStyle name="Ввод  2 3 3 2 2" xfId="10291"/>
    <cellStyle name="Ввод  2 3 3 2 3" xfId="10292"/>
    <cellStyle name="Ввод  2 3 3 2 4" xfId="10293"/>
    <cellStyle name="Ввод  2 3 3 3" xfId="10294"/>
    <cellStyle name="Ввод  2 3 3 4" xfId="10295"/>
    <cellStyle name="Ввод  2 3 3 5" xfId="10296"/>
    <cellStyle name="Ввод  2 3 3 6" xfId="10297"/>
    <cellStyle name="Ввод  2 3 4" xfId="2339"/>
    <cellStyle name="Ввод  2 3 4 2" xfId="10298"/>
    <cellStyle name="Ввод  2 3 4 2 2" xfId="10299"/>
    <cellStyle name="Ввод  2 3 4 2 3" xfId="10300"/>
    <cellStyle name="Ввод  2 3 4 2 4" xfId="10301"/>
    <cellStyle name="Ввод  2 3 4 3" xfId="10302"/>
    <cellStyle name="Ввод  2 3 4 4" xfId="10303"/>
    <cellStyle name="Ввод  2 3 4 5" xfId="10304"/>
    <cellStyle name="Ввод  2 3 4 6" xfId="10305"/>
    <cellStyle name="Ввод  2 3 5" xfId="10306"/>
    <cellStyle name="Ввод  2 3 5 2" xfId="10307"/>
    <cellStyle name="Ввод  2 3 5 3" xfId="10308"/>
    <cellStyle name="Ввод  2 3 5 4" xfId="10309"/>
    <cellStyle name="Ввод  2 3 6" xfId="10310"/>
    <cellStyle name="Ввод  2 3 7" xfId="10311"/>
    <cellStyle name="Ввод  2 3 8" xfId="10312"/>
    <cellStyle name="Ввод  2 3 9" xfId="10313"/>
    <cellStyle name="Ввод  2 4" xfId="2340"/>
    <cellStyle name="Ввод  2 4 10" xfId="10314"/>
    <cellStyle name="Ввод  2 4 11" xfId="10315"/>
    <cellStyle name="Ввод  2 4 2" xfId="2341"/>
    <cellStyle name="Ввод  2 4 2 2" xfId="10316"/>
    <cellStyle name="Ввод  2 4 2 2 2" xfId="10317"/>
    <cellStyle name="Ввод  2 4 2 2 3" xfId="10318"/>
    <cellStyle name="Ввод  2 4 2 2 4" xfId="10319"/>
    <cellStyle name="Ввод  2 4 2 3" xfId="10320"/>
    <cellStyle name="Ввод  2 4 2 4" xfId="10321"/>
    <cellStyle name="Ввод  2 4 2 5" xfId="10322"/>
    <cellStyle name="Ввод  2 4 2 6" xfId="10323"/>
    <cellStyle name="Ввод  2 4 3" xfId="2342"/>
    <cellStyle name="Ввод  2 4 3 2" xfId="10324"/>
    <cellStyle name="Ввод  2 4 3 2 2" xfId="10325"/>
    <cellStyle name="Ввод  2 4 3 2 3" xfId="10326"/>
    <cellStyle name="Ввод  2 4 3 2 4" xfId="10327"/>
    <cellStyle name="Ввод  2 4 3 3" xfId="10328"/>
    <cellStyle name="Ввод  2 4 3 4" xfId="10329"/>
    <cellStyle name="Ввод  2 4 3 5" xfId="10330"/>
    <cellStyle name="Ввод  2 4 3 6" xfId="10331"/>
    <cellStyle name="Ввод  2 4 4" xfId="10332"/>
    <cellStyle name="Ввод  2 4 4 2" xfId="10333"/>
    <cellStyle name="Ввод  2 4 4 3" xfId="10334"/>
    <cellStyle name="Ввод  2 4 4 4" xfId="10335"/>
    <cellStyle name="Ввод  2 4 5" xfId="10336"/>
    <cellStyle name="Ввод  2 4 6" xfId="10337"/>
    <cellStyle name="Ввод  2 4 7" xfId="10338"/>
    <cellStyle name="Ввод  2 4 8" xfId="10339"/>
    <cellStyle name="Ввод  2 4 9" xfId="10340"/>
    <cellStyle name="Ввод  2 5" xfId="2343"/>
    <cellStyle name="Ввод  2 5 2" xfId="10341"/>
    <cellStyle name="Ввод  2 5 3" xfId="10342"/>
    <cellStyle name="Ввод  2 5 4" xfId="10343"/>
    <cellStyle name="Ввод  2 5 5" xfId="10344"/>
    <cellStyle name="Ввод  2 5 6" xfId="10345"/>
    <cellStyle name="Ввод  2 5 7" xfId="10346"/>
    <cellStyle name="Ввод  2 5 8" xfId="10347"/>
    <cellStyle name="Ввод  2 6" xfId="2344"/>
    <cellStyle name="Ввод  2 6 2" xfId="10348"/>
    <cellStyle name="Ввод  2 6 3" xfId="10349"/>
    <cellStyle name="Ввод  2 6 4" xfId="10350"/>
    <cellStyle name="Ввод  2 6 5" xfId="10351"/>
    <cellStyle name="Ввод  2 6 6" xfId="10352"/>
    <cellStyle name="Ввод  2 6 7" xfId="10353"/>
    <cellStyle name="Ввод  2 6 8" xfId="10354"/>
    <cellStyle name="Ввод  2 7" xfId="2345"/>
    <cellStyle name="Ввод  2 7 2" xfId="10355"/>
    <cellStyle name="Ввод  2 7 3" xfId="10356"/>
    <cellStyle name="Ввод  2 7 4" xfId="10357"/>
    <cellStyle name="Ввод  2 7 5" xfId="10358"/>
    <cellStyle name="Ввод  2 7 6" xfId="10359"/>
    <cellStyle name="Ввод  2 7 7" xfId="10360"/>
    <cellStyle name="Ввод  2 7 8" xfId="10361"/>
    <cellStyle name="Ввод  2 8" xfId="10362"/>
    <cellStyle name="Ввод  2 8 2" xfId="10363"/>
    <cellStyle name="Ввод  2 8 3" xfId="10364"/>
    <cellStyle name="Ввод  2 8 4" xfId="10365"/>
    <cellStyle name="Ввод  2 9" xfId="10366"/>
    <cellStyle name="Ввод  3" xfId="2346"/>
    <cellStyle name="Ввод  3 10" xfId="10367"/>
    <cellStyle name="Ввод  3 11" xfId="10368"/>
    <cellStyle name="Ввод  3 12" xfId="10369"/>
    <cellStyle name="Ввод  3 13" xfId="10370"/>
    <cellStyle name="Ввод  3 14" xfId="10371"/>
    <cellStyle name="Ввод  3 2" xfId="2347"/>
    <cellStyle name="Ввод  3 2 10" xfId="10372"/>
    <cellStyle name="Ввод  3 2 11" xfId="10373"/>
    <cellStyle name="Ввод  3 2 12" xfId="10374"/>
    <cellStyle name="Ввод  3 2 2" xfId="2348"/>
    <cellStyle name="Ввод  3 2 2 2" xfId="10375"/>
    <cellStyle name="Ввод  3 2 2 2 2" xfId="10376"/>
    <cellStyle name="Ввод  3 2 2 2 3" xfId="10377"/>
    <cellStyle name="Ввод  3 2 2 2 4" xfId="10378"/>
    <cellStyle name="Ввод  3 2 2 3" xfId="10379"/>
    <cellStyle name="Ввод  3 2 2 4" xfId="10380"/>
    <cellStyle name="Ввод  3 2 2 5" xfId="10381"/>
    <cellStyle name="Ввод  3 2 2 6" xfId="10382"/>
    <cellStyle name="Ввод  3 2 3" xfId="2349"/>
    <cellStyle name="Ввод  3 2 3 2" xfId="10383"/>
    <cellStyle name="Ввод  3 2 3 2 2" xfId="10384"/>
    <cellStyle name="Ввод  3 2 3 2 3" xfId="10385"/>
    <cellStyle name="Ввод  3 2 3 2 4" xfId="10386"/>
    <cellStyle name="Ввод  3 2 3 3" xfId="10387"/>
    <cellStyle name="Ввод  3 2 3 4" xfId="10388"/>
    <cellStyle name="Ввод  3 2 3 5" xfId="10389"/>
    <cellStyle name="Ввод  3 2 3 6" xfId="10390"/>
    <cellStyle name="Ввод  3 2 4" xfId="2350"/>
    <cellStyle name="Ввод  3 2 4 2" xfId="10391"/>
    <cellStyle name="Ввод  3 2 4 2 2" xfId="10392"/>
    <cellStyle name="Ввод  3 2 4 2 3" xfId="10393"/>
    <cellStyle name="Ввод  3 2 4 2 4" xfId="10394"/>
    <cellStyle name="Ввод  3 2 4 3" xfId="10395"/>
    <cellStyle name="Ввод  3 2 4 4" xfId="10396"/>
    <cellStyle name="Ввод  3 2 4 5" xfId="10397"/>
    <cellStyle name="Ввод  3 2 4 6" xfId="10398"/>
    <cellStyle name="Ввод  3 2 5" xfId="10399"/>
    <cellStyle name="Ввод  3 2 5 2" xfId="10400"/>
    <cellStyle name="Ввод  3 2 5 3" xfId="10401"/>
    <cellStyle name="Ввод  3 2 5 4" xfId="10402"/>
    <cellStyle name="Ввод  3 2 6" xfId="10403"/>
    <cellStyle name="Ввод  3 2 7" xfId="10404"/>
    <cellStyle name="Ввод  3 2 8" xfId="10405"/>
    <cellStyle name="Ввод  3 2 9" xfId="10406"/>
    <cellStyle name="Ввод  3 3" xfId="2351"/>
    <cellStyle name="Ввод  3 3 10" xfId="10407"/>
    <cellStyle name="Ввод  3 3 11" xfId="10408"/>
    <cellStyle name="Ввод  3 3 2" xfId="2352"/>
    <cellStyle name="Ввод  3 3 2 2" xfId="10409"/>
    <cellStyle name="Ввод  3 3 2 2 2" xfId="10410"/>
    <cellStyle name="Ввод  3 3 2 2 3" xfId="10411"/>
    <cellStyle name="Ввод  3 3 2 2 4" xfId="10412"/>
    <cellStyle name="Ввод  3 3 2 3" xfId="10413"/>
    <cellStyle name="Ввод  3 3 2 4" xfId="10414"/>
    <cellStyle name="Ввод  3 3 2 5" xfId="10415"/>
    <cellStyle name="Ввод  3 3 2 6" xfId="10416"/>
    <cellStyle name="Ввод  3 3 3" xfId="2353"/>
    <cellStyle name="Ввод  3 3 3 2" xfId="10417"/>
    <cellStyle name="Ввод  3 3 3 2 2" xfId="10418"/>
    <cellStyle name="Ввод  3 3 3 2 3" xfId="10419"/>
    <cellStyle name="Ввод  3 3 3 2 4" xfId="10420"/>
    <cellStyle name="Ввод  3 3 3 3" xfId="10421"/>
    <cellStyle name="Ввод  3 3 3 4" xfId="10422"/>
    <cellStyle name="Ввод  3 3 3 5" xfId="10423"/>
    <cellStyle name="Ввод  3 3 3 6" xfId="10424"/>
    <cellStyle name="Ввод  3 3 4" xfId="10425"/>
    <cellStyle name="Ввод  3 3 4 2" xfId="10426"/>
    <cellStyle name="Ввод  3 3 4 3" xfId="10427"/>
    <cellStyle name="Ввод  3 3 4 4" xfId="10428"/>
    <cellStyle name="Ввод  3 3 5" xfId="10429"/>
    <cellStyle name="Ввод  3 3 6" xfId="10430"/>
    <cellStyle name="Ввод  3 3 7" xfId="10431"/>
    <cellStyle name="Ввод  3 3 8" xfId="10432"/>
    <cellStyle name="Ввод  3 3 9" xfId="10433"/>
    <cellStyle name="Ввод  3 4" xfId="2354"/>
    <cellStyle name="Ввод  3 4 2" xfId="10434"/>
    <cellStyle name="Ввод  3 4 3" xfId="10435"/>
    <cellStyle name="Ввод  3 4 4" xfId="10436"/>
    <cellStyle name="Ввод  3 4 5" xfId="10437"/>
    <cellStyle name="Ввод  3 4 6" xfId="10438"/>
    <cellStyle name="Ввод  3 4 7" xfId="10439"/>
    <cellStyle name="Ввод  3 4 8" xfId="10440"/>
    <cellStyle name="Ввод  3 5" xfId="2355"/>
    <cellStyle name="Ввод  3 5 2" xfId="10441"/>
    <cellStyle name="Ввод  3 5 3" xfId="10442"/>
    <cellStyle name="Ввод  3 5 4" xfId="10443"/>
    <cellStyle name="Ввод  3 5 5" xfId="10444"/>
    <cellStyle name="Ввод  3 5 6" xfId="10445"/>
    <cellStyle name="Ввод  3 5 7" xfId="10446"/>
    <cellStyle name="Ввод  3 5 8" xfId="10447"/>
    <cellStyle name="Ввод  3 6" xfId="2356"/>
    <cellStyle name="Ввод  3 6 2" xfId="10448"/>
    <cellStyle name="Ввод  3 6 3" xfId="10449"/>
    <cellStyle name="Ввод  3 6 4" xfId="10450"/>
    <cellStyle name="Ввод  3 6 5" xfId="10451"/>
    <cellStyle name="Ввод  3 6 6" xfId="10452"/>
    <cellStyle name="Ввод  3 6 7" xfId="10453"/>
    <cellStyle name="Ввод  3 6 8" xfId="10454"/>
    <cellStyle name="Ввод  3 7" xfId="10455"/>
    <cellStyle name="Ввод  3 7 2" xfId="10456"/>
    <cellStyle name="Ввод  3 7 3" xfId="10457"/>
    <cellStyle name="Ввод  3 7 4" xfId="10458"/>
    <cellStyle name="Ввод  3 8" xfId="10459"/>
    <cellStyle name="Ввод  3 9" xfId="10460"/>
    <cellStyle name="Ввод  4" xfId="2357"/>
    <cellStyle name="Ввод  4 10" xfId="10461"/>
    <cellStyle name="Ввод  4 11" xfId="10462"/>
    <cellStyle name="Ввод  4 12" xfId="10463"/>
    <cellStyle name="Ввод  4 13" xfId="10464"/>
    <cellStyle name="Ввод  4 14" xfId="10465"/>
    <cellStyle name="Ввод  4 2" xfId="2358"/>
    <cellStyle name="Ввод  4 2 10" xfId="10466"/>
    <cellStyle name="Ввод  4 2 11" xfId="10467"/>
    <cellStyle name="Ввод  4 2 12" xfId="10468"/>
    <cellStyle name="Ввод  4 2 2" xfId="2359"/>
    <cellStyle name="Ввод  4 2 2 2" xfId="10469"/>
    <cellStyle name="Ввод  4 2 2 2 2" xfId="10470"/>
    <cellStyle name="Ввод  4 2 2 2 3" xfId="10471"/>
    <cellStyle name="Ввод  4 2 2 2 4" xfId="10472"/>
    <cellStyle name="Ввод  4 2 2 3" xfId="10473"/>
    <cellStyle name="Ввод  4 2 2 4" xfId="10474"/>
    <cellStyle name="Ввод  4 2 2 5" xfId="10475"/>
    <cellStyle name="Ввод  4 2 2 6" xfId="10476"/>
    <cellStyle name="Ввод  4 2 3" xfId="2360"/>
    <cellStyle name="Ввод  4 2 3 2" xfId="10477"/>
    <cellStyle name="Ввод  4 2 3 2 2" xfId="10478"/>
    <cellStyle name="Ввод  4 2 3 2 3" xfId="10479"/>
    <cellStyle name="Ввод  4 2 3 2 4" xfId="10480"/>
    <cellStyle name="Ввод  4 2 3 3" xfId="10481"/>
    <cellStyle name="Ввод  4 2 3 4" xfId="10482"/>
    <cellStyle name="Ввод  4 2 3 5" xfId="10483"/>
    <cellStyle name="Ввод  4 2 3 6" xfId="10484"/>
    <cellStyle name="Ввод  4 2 4" xfId="2361"/>
    <cellStyle name="Ввод  4 2 4 2" xfId="10485"/>
    <cellStyle name="Ввод  4 2 4 2 2" xfId="10486"/>
    <cellStyle name="Ввод  4 2 4 2 3" xfId="10487"/>
    <cellStyle name="Ввод  4 2 4 2 4" xfId="10488"/>
    <cellStyle name="Ввод  4 2 4 3" xfId="10489"/>
    <cellStyle name="Ввод  4 2 4 4" xfId="10490"/>
    <cellStyle name="Ввод  4 2 4 5" xfId="10491"/>
    <cellStyle name="Ввод  4 2 4 6" xfId="10492"/>
    <cellStyle name="Ввод  4 2 5" xfId="10493"/>
    <cellStyle name="Ввод  4 2 5 2" xfId="10494"/>
    <cellStyle name="Ввод  4 2 5 3" xfId="10495"/>
    <cellStyle name="Ввод  4 2 5 4" xfId="10496"/>
    <cellStyle name="Ввод  4 2 6" xfId="10497"/>
    <cellStyle name="Ввод  4 2 7" xfId="10498"/>
    <cellStyle name="Ввод  4 2 8" xfId="10499"/>
    <cellStyle name="Ввод  4 2 9" xfId="10500"/>
    <cellStyle name="Ввод  4 3" xfId="2362"/>
    <cellStyle name="Ввод  4 3 10" xfId="10501"/>
    <cellStyle name="Ввод  4 3 11" xfId="10502"/>
    <cellStyle name="Ввод  4 3 2" xfId="2363"/>
    <cellStyle name="Ввод  4 3 2 2" xfId="10503"/>
    <cellStyle name="Ввод  4 3 2 2 2" xfId="10504"/>
    <cellStyle name="Ввод  4 3 2 2 3" xfId="10505"/>
    <cellStyle name="Ввод  4 3 2 2 4" xfId="10506"/>
    <cellStyle name="Ввод  4 3 2 3" xfId="10507"/>
    <cellStyle name="Ввод  4 3 2 4" xfId="10508"/>
    <cellStyle name="Ввод  4 3 2 5" xfId="10509"/>
    <cellStyle name="Ввод  4 3 2 6" xfId="10510"/>
    <cellStyle name="Ввод  4 3 3" xfId="2364"/>
    <cellStyle name="Ввод  4 3 3 2" xfId="10511"/>
    <cellStyle name="Ввод  4 3 3 2 2" xfId="10512"/>
    <cellStyle name="Ввод  4 3 3 2 3" xfId="10513"/>
    <cellStyle name="Ввод  4 3 3 2 4" xfId="10514"/>
    <cellStyle name="Ввод  4 3 3 3" xfId="10515"/>
    <cellStyle name="Ввод  4 3 3 4" xfId="10516"/>
    <cellStyle name="Ввод  4 3 3 5" xfId="10517"/>
    <cellStyle name="Ввод  4 3 3 6" xfId="10518"/>
    <cellStyle name="Ввод  4 3 4" xfId="10519"/>
    <cellStyle name="Ввод  4 3 4 2" xfId="10520"/>
    <cellStyle name="Ввод  4 3 4 3" xfId="10521"/>
    <cellStyle name="Ввод  4 3 4 4" xfId="10522"/>
    <cellStyle name="Ввод  4 3 5" xfId="10523"/>
    <cellStyle name="Ввод  4 3 6" xfId="10524"/>
    <cellStyle name="Ввод  4 3 7" xfId="10525"/>
    <cellStyle name="Ввод  4 3 8" xfId="10526"/>
    <cellStyle name="Ввод  4 3 9" xfId="10527"/>
    <cellStyle name="Ввод  4 4" xfId="2365"/>
    <cellStyle name="Ввод  4 4 2" xfId="10528"/>
    <cellStyle name="Ввод  4 4 3" xfId="10529"/>
    <cellStyle name="Ввод  4 4 4" xfId="10530"/>
    <cellStyle name="Ввод  4 4 5" xfId="10531"/>
    <cellStyle name="Ввод  4 4 6" xfId="10532"/>
    <cellStyle name="Ввод  4 4 7" xfId="10533"/>
    <cellStyle name="Ввод  4 4 8" xfId="10534"/>
    <cellStyle name="Ввод  4 5" xfId="2366"/>
    <cellStyle name="Ввод  4 5 2" xfId="10535"/>
    <cellStyle name="Ввод  4 5 3" xfId="10536"/>
    <cellStyle name="Ввод  4 5 4" xfId="10537"/>
    <cellStyle name="Ввод  4 5 5" xfId="10538"/>
    <cellStyle name="Ввод  4 5 6" xfId="10539"/>
    <cellStyle name="Ввод  4 5 7" xfId="10540"/>
    <cellStyle name="Ввод  4 5 8" xfId="10541"/>
    <cellStyle name="Ввод  4 6" xfId="2367"/>
    <cellStyle name="Ввод  4 6 2" xfId="10542"/>
    <cellStyle name="Ввод  4 6 3" xfId="10543"/>
    <cellStyle name="Ввод  4 6 4" xfId="10544"/>
    <cellStyle name="Ввод  4 6 5" xfId="10545"/>
    <cellStyle name="Ввод  4 6 6" xfId="10546"/>
    <cellStyle name="Ввод  4 6 7" xfId="10547"/>
    <cellStyle name="Ввод  4 6 8" xfId="10548"/>
    <cellStyle name="Ввод  4 7" xfId="10549"/>
    <cellStyle name="Ввод  4 7 2" xfId="10550"/>
    <cellStyle name="Ввод  4 7 3" xfId="10551"/>
    <cellStyle name="Ввод  4 7 4" xfId="10552"/>
    <cellStyle name="Ввод  4 8" xfId="10553"/>
    <cellStyle name="Ввод  4 9" xfId="10554"/>
    <cellStyle name="Ввод  5" xfId="2368"/>
    <cellStyle name="Ввод  5 10" xfId="10555"/>
    <cellStyle name="Ввод  5 11" xfId="10556"/>
    <cellStyle name="Ввод  5 12" xfId="10557"/>
    <cellStyle name="Ввод  5 13" xfId="10558"/>
    <cellStyle name="Ввод  5 14" xfId="10559"/>
    <cellStyle name="Ввод  5 2" xfId="2369"/>
    <cellStyle name="Ввод  5 2 10" xfId="10560"/>
    <cellStyle name="Ввод  5 2 11" xfId="10561"/>
    <cellStyle name="Ввод  5 2 12" xfId="10562"/>
    <cellStyle name="Ввод  5 2 2" xfId="2370"/>
    <cellStyle name="Ввод  5 2 2 2" xfId="10563"/>
    <cellStyle name="Ввод  5 2 2 2 2" xfId="10564"/>
    <cellStyle name="Ввод  5 2 2 2 3" xfId="10565"/>
    <cellStyle name="Ввод  5 2 2 2 4" xfId="10566"/>
    <cellStyle name="Ввод  5 2 2 3" xfId="10567"/>
    <cellStyle name="Ввод  5 2 2 4" xfId="10568"/>
    <cellStyle name="Ввод  5 2 2 5" xfId="10569"/>
    <cellStyle name="Ввод  5 2 2 6" xfId="10570"/>
    <cellStyle name="Ввод  5 2 3" xfId="2371"/>
    <cellStyle name="Ввод  5 2 3 2" xfId="10571"/>
    <cellStyle name="Ввод  5 2 3 2 2" xfId="10572"/>
    <cellStyle name="Ввод  5 2 3 2 3" xfId="10573"/>
    <cellStyle name="Ввод  5 2 3 2 4" xfId="10574"/>
    <cellStyle name="Ввод  5 2 3 3" xfId="10575"/>
    <cellStyle name="Ввод  5 2 3 4" xfId="10576"/>
    <cellStyle name="Ввод  5 2 3 5" xfId="10577"/>
    <cellStyle name="Ввод  5 2 3 6" xfId="10578"/>
    <cellStyle name="Ввод  5 2 4" xfId="2372"/>
    <cellStyle name="Ввод  5 2 4 2" xfId="10579"/>
    <cellStyle name="Ввод  5 2 4 2 2" xfId="10580"/>
    <cellStyle name="Ввод  5 2 4 2 3" xfId="10581"/>
    <cellStyle name="Ввод  5 2 4 2 4" xfId="10582"/>
    <cellStyle name="Ввод  5 2 4 3" xfId="10583"/>
    <cellStyle name="Ввод  5 2 4 4" xfId="10584"/>
    <cellStyle name="Ввод  5 2 4 5" xfId="10585"/>
    <cellStyle name="Ввод  5 2 4 6" xfId="10586"/>
    <cellStyle name="Ввод  5 2 5" xfId="10587"/>
    <cellStyle name="Ввод  5 2 5 2" xfId="10588"/>
    <cellStyle name="Ввод  5 2 5 3" xfId="10589"/>
    <cellStyle name="Ввод  5 2 5 4" xfId="10590"/>
    <cellStyle name="Ввод  5 2 6" xfId="10591"/>
    <cellStyle name="Ввод  5 2 7" xfId="10592"/>
    <cellStyle name="Ввод  5 2 8" xfId="10593"/>
    <cellStyle name="Ввод  5 2 9" xfId="10594"/>
    <cellStyle name="Ввод  5 3" xfId="2373"/>
    <cellStyle name="Ввод  5 3 10" xfId="10595"/>
    <cellStyle name="Ввод  5 3 11" xfId="10596"/>
    <cellStyle name="Ввод  5 3 2" xfId="2374"/>
    <cellStyle name="Ввод  5 3 2 2" xfId="10597"/>
    <cellStyle name="Ввод  5 3 2 2 2" xfId="10598"/>
    <cellStyle name="Ввод  5 3 2 2 3" xfId="10599"/>
    <cellStyle name="Ввод  5 3 2 2 4" xfId="10600"/>
    <cellStyle name="Ввод  5 3 2 3" xfId="10601"/>
    <cellStyle name="Ввод  5 3 2 4" xfId="10602"/>
    <cellStyle name="Ввод  5 3 2 5" xfId="10603"/>
    <cellStyle name="Ввод  5 3 2 6" xfId="10604"/>
    <cellStyle name="Ввод  5 3 3" xfId="2375"/>
    <cellStyle name="Ввод  5 3 3 2" xfId="10605"/>
    <cellStyle name="Ввод  5 3 3 2 2" xfId="10606"/>
    <cellStyle name="Ввод  5 3 3 2 3" xfId="10607"/>
    <cellStyle name="Ввод  5 3 3 2 4" xfId="10608"/>
    <cellStyle name="Ввод  5 3 3 3" xfId="10609"/>
    <cellStyle name="Ввод  5 3 3 4" xfId="10610"/>
    <cellStyle name="Ввод  5 3 3 5" xfId="10611"/>
    <cellStyle name="Ввод  5 3 3 6" xfId="10612"/>
    <cellStyle name="Ввод  5 3 4" xfId="10613"/>
    <cellStyle name="Ввод  5 3 4 2" xfId="10614"/>
    <cellStyle name="Ввод  5 3 4 3" xfId="10615"/>
    <cellStyle name="Ввод  5 3 4 4" xfId="10616"/>
    <cellStyle name="Ввод  5 3 5" xfId="10617"/>
    <cellStyle name="Ввод  5 3 6" xfId="10618"/>
    <cellStyle name="Ввод  5 3 7" xfId="10619"/>
    <cellStyle name="Ввод  5 3 8" xfId="10620"/>
    <cellStyle name="Ввод  5 3 9" xfId="10621"/>
    <cellStyle name="Ввод  5 4" xfId="2376"/>
    <cellStyle name="Ввод  5 4 2" xfId="10622"/>
    <cellStyle name="Ввод  5 4 3" xfId="10623"/>
    <cellStyle name="Ввод  5 4 4" xfId="10624"/>
    <cellStyle name="Ввод  5 4 5" xfId="10625"/>
    <cellStyle name="Ввод  5 4 6" xfId="10626"/>
    <cellStyle name="Ввод  5 4 7" xfId="10627"/>
    <cellStyle name="Ввод  5 4 8" xfId="10628"/>
    <cellStyle name="Ввод  5 5" xfId="2377"/>
    <cellStyle name="Ввод  5 5 2" xfId="10629"/>
    <cellStyle name="Ввод  5 5 3" xfId="10630"/>
    <cellStyle name="Ввод  5 5 4" xfId="10631"/>
    <cellStyle name="Ввод  5 5 5" xfId="10632"/>
    <cellStyle name="Ввод  5 5 6" xfId="10633"/>
    <cellStyle name="Ввод  5 5 7" xfId="10634"/>
    <cellStyle name="Ввод  5 5 8" xfId="10635"/>
    <cellStyle name="Ввод  5 6" xfId="2378"/>
    <cellStyle name="Ввод  5 6 2" xfId="10636"/>
    <cellStyle name="Ввод  5 6 3" xfId="10637"/>
    <cellStyle name="Ввод  5 6 4" xfId="10638"/>
    <cellStyle name="Ввод  5 6 5" xfId="10639"/>
    <cellStyle name="Ввод  5 6 6" xfId="10640"/>
    <cellStyle name="Ввод  5 6 7" xfId="10641"/>
    <cellStyle name="Ввод  5 6 8" xfId="10642"/>
    <cellStyle name="Ввод  5 7" xfId="10643"/>
    <cellStyle name="Ввод  5 7 2" xfId="10644"/>
    <cellStyle name="Ввод  5 7 3" xfId="10645"/>
    <cellStyle name="Ввод  5 7 4" xfId="10646"/>
    <cellStyle name="Ввод  5 8" xfId="10647"/>
    <cellStyle name="Ввод  5 9" xfId="10648"/>
    <cellStyle name="Ввод  6" xfId="2379"/>
    <cellStyle name="Ввод  6 10" xfId="10649"/>
    <cellStyle name="Ввод  6 11" xfId="10650"/>
    <cellStyle name="Ввод  6 12" xfId="10651"/>
    <cellStyle name="Ввод  6 13" xfId="10652"/>
    <cellStyle name="Ввод  6 14" xfId="10653"/>
    <cellStyle name="Ввод  6 2" xfId="2380"/>
    <cellStyle name="Ввод  6 2 10" xfId="10654"/>
    <cellStyle name="Ввод  6 2 11" xfId="10655"/>
    <cellStyle name="Ввод  6 2 12" xfId="10656"/>
    <cellStyle name="Ввод  6 2 2" xfId="2381"/>
    <cellStyle name="Ввод  6 2 2 2" xfId="10657"/>
    <cellStyle name="Ввод  6 2 2 2 2" xfId="10658"/>
    <cellStyle name="Ввод  6 2 2 2 3" xfId="10659"/>
    <cellStyle name="Ввод  6 2 2 2 4" xfId="10660"/>
    <cellStyle name="Ввод  6 2 2 3" xfId="10661"/>
    <cellStyle name="Ввод  6 2 2 4" xfId="10662"/>
    <cellStyle name="Ввод  6 2 2 5" xfId="10663"/>
    <cellStyle name="Ввод  6 2 2 6" xfId="10664"/>
    <cellStyle name="Ввод  6 2 3" xfId="2382"/>
    <cellStyle name="Ввод  6 2 3 2" xfId="10665"/>
    <cellStyle name="Ввод  6 2 3 2 2" xfId="10666"/>
    <cellStyle name="Ввод  6 2 3 2 3" xfId="10667"/>
    <cellStyle name="Ввод  6 2 3 2 4" xfId="10668"/>
    <cellStyle name="Ввод  6 2 3 3" xfId="10669"/>
    <cellStyle name="Ввод  6 2 3 4" xfId="10670"/>
    <cellStyle name="Ввод  6 2 3 5" xfId="10671"/>
    <cellStyle name="Ввод  6 2 3 6" xfId="10672"/>
    <cellStyle name="Ввод  6 2 4" xfId="2383"/>
    <cellStyle name="Ввод  6 2 4 2" xfId="10673"/>
    <cellStyle name="Ввод  6 2 4 2 2" xfId="10674"/>
    <cellStyle name="Ввод  6 2 4 2 3" xfId="10675"/>
    <cellStyle name="Ввод  6 2 4 2 4" xfId="10676"/>
    <cellStyle name="Ввод  6 2 4 3" xfId="10677"/>
    <cellStyle name="Ввод  6 2 4 4" xfId="10678"/>
    <cellStyle name="Ввод  6 2 4 5" xfId="10679"/>
    <cellStyle name="Ввод  6 2 4 6" xfId="10680"/>
    <cellStyle name="Ввод  6 2 5" xfId="10681"/>
    <cellStyle name="Ввод  6 2 5 2" xfId="10682"/>
    <cellStyle name="Ввод  6 2 5 3" xfId="10683"/>
    <cellStyle name="Ввод  6 2 5 4" xfId="10684"/>
    <cellStyle name="Ввод  6 2 6" xfId="10685"/>
    <cellStyle name="Ввод  6 2 7" xfId="10686"/>
    <cellStyle name="Ввод  6 2 8" xfId="10687"/>
    <cellStyle name="Ввод  6 2 9" xfId="10688"/>
    <cellStyle name="Ввод  6 3" xfId="2384"/>
    <cellStyle name="Ввод  6 3 10" xfId="10689"/>
    <cellStyle name="Ввод  6 3 11" xfId="10690"/>
    <cellStyle name="Ввод  6 3 2" xfId="2385"/>
    <cellStyle name="Ввод  6 3 2 2" xfId="10691"/>
    <cellStyle name="Ввод  6 3 2 2 2" xfId="10692"/>
    <cellStyle name="Ввод  6 3 2 2 3" xfId="10693"/>
    <cellStyle name="Ввод  6 3 2 2 4" xfId="10694"/>
    <cellStyle name="Ввод  6 3 2 3" xfId="10695"/>
    <cellStyle name="Ввод  6 3 2 4" xfId="10696"/>
    <cellStyle name="Ввод  6 3 2 5" xfId="10697"/>
    <cellStyle name="Ввод  6 3 2 6" xfId="10698"/>
    <cellStyle name="Ввод  6 3 3" xfId="2386"/>
    <cellStyle name="Ввод  6 3 3 2" xfId="10699"/>
    <cellStyle name="Ввод  6 3 3 2 2" xfId="10700"/>
    <cellStyle name="Ввод  6 3 3 2 3" xfId="10701"/>
    <cellStyle name="Ввод  6 3 3 2 4" xfId="10702"/>
    <cellStyle name="Ввод  6 3 3 3" xfId="10703"/>
    <cellStyle name="Ввод  6 3 3 4" xfId="10704"/>
    <cellStyle name="Ввод  6 3 3 5" xfId="10705"/>
    <cellStyle name="Ввод  6 3 3 6" xfId="10706"/>
    <cellStyle name="Ввод  6 3 4" xfId="10707"/>
    <cellStyle name="Ввод  6 3 4 2" xfId="10708"/>
    <cellStyle name="Ввод  6 3 4 3" xfId="10709"/>
    <cellStyle name="Ввод  6 3 4 4" xfId="10710"/>
    <cellStyle name="Ввод  6 3 5" xfId="10711"/>
    <cellStyle name="Ввод  6 3 6" xfId="10712"/>
    <cellStyle name="Ввод  6 3 7" xfId="10713"/>
    <cellStyle name="Ввод  6 3 8" xfId="10714"/>
    <cellStyle name="Ввод  6 3 9" xfId="10715"/>
    <cellStyle name="Ввод  6 4" xfId="2387"/>
    <cellStyle name="Ввод  6 4 2" xfId="10716"/>
    <cellStyle name="Ввод  6 4 3" xfId="10717"/>
    <cellStyle name="Ввод  6 4 4" xfId="10718"/>
    <cellStyle name="Ввод  6 4 5" xfId="10719"/>
    <cellStyle name="Ввод  6 4 6" xfId="10720"/>
    <cellStyle name="Ввод  6 4 7" xfId="10721"/>
    <cellStyle name="Ввод  6 4 8" xfId="10722"/>
    <cellStyle name="Ввод  6 5" xfId="2388"/>
    <cellStyle name="Ввод  6 5 2" xfId="10723"/>
    <cellStyle name="Ввод  6 5 3" xfId="10724"/>
    <cellStyle name="Ввод  6 5 4" xfId="10725"/>
    <cellStyle name="Ввод  6 5 5" xfId="10726"/>
    <cellStyle name="Ввод  6 5 6" xfId="10727"/>
    <cellStyle name="Ввод  6 5 7" xfId="10728"/>
    <cellStyle name="Ввод  6 5 8" xfId="10729"/>
    <cellStyle name="Ввод  6 6" xfId="2389"/>
    <cellStyle name="Ввод  6 6 2" xfId="10730"/>
    <cellStyle name="Ввод  6 6 3" xfId="10731"/>
    <cellStyle name="Ввод  6 6 4" xfId="10732"/>
    <cellStyle name="Ввод  6 6 5" xfId="10733"/>
    <cellStyle name="Ввод  6 6 6" xfId="10734"/>
    <cellStyle name="Ввод  6 6 7" xfId="10735"/>
    <cellStyle name="Ввод  6 6 8" xfId="10736"/>
    <cellStyle name="Ввод  6 7" xfId="10737"/>
    <cellStyle name="Ввод  6 7 2" xfId="10738"/>
    <cellStyle name="Ввод  6 7 3" xfId="10739"/>
    <cellStyle name="Ввод  6 7 4" xfId="10740"/>
    <cellStyle name="Ввод  6 8" xfId="10741"/>
    <cellStyle name="Ввод  6 9" xfId="10742"/>
    <cellStyle name="Вывод 2" xfId="2390"/>
    <cellStyle name="Вывод 2 10" xfId="10743"/>
    <cellStyle name="Вывод 2 11" xfId="10744"/>
    <cellStyle name="Вывод 2 12" xfId="10745"/>
    <cellStyle name="Вывод 2 13" xfId="10746"/>
    <cellStyle name="Вывод 2 14" xfId="10747"/>
    <cellStyle name="Вывод 2 15" xfId="10748"/>
    <cellStyle name="Вывод 2 2" xfId="2391"/>
    <cellStyle name="Вывод 2 2 10" xfId="10749"/>
    <cellStyle name="Вывод 2 2 11" xfId="10750"/>
    <cellStyle name="Вывод 2 2 12" xfId="10751"/>
    <cellStyle name="Вывод 2 2 13" xfId="10752"/>
    <cellStyle name="Вывод 2 2 14" xfId="10753"/>
    <cellStyle name="Вывод 2 2 2" xfId="2392"/>
    <cellStyle name="Вывод 2 2 2 10" xfId="10754"/>
    <cellStyle name="Вывод 2 2 2 11" xfId="10755"/>
    <cellStyle name="Вывод 2 2 2 12" xfId="10756"/>
    <cellStyle name="Вывод 2 2 2 2" xfId="2393"/>
    <cellStyle name="Вывод 2 2 2 2 2" xfId="10757"/>
    <cellStyle name="Вывод 2 2 2 2 3" xfId="10758"/>
    <cellStyle name="Вывод 2 2 2 2 4" xfId="10759"/>
    <cellStyle name="Вывод 2 2 2 2 5" xfId="10760"/>
    <cellStyle name="Вывод 2 2 2 3" xfId="2394"/>
    <cellStyle name="Вывод 2 2 2 3 2" xfId="10761"/>
    <cellStyle name="Вывод 2 2 2 3 3" xfId="10762"/>
    <cellStyle name="Вывод 2 2 2 3 4" xfId="10763"/>
    <cellStyle name="Вывод 2 2 2 3 5" xfId="10764"/>
    <cellStyle name="Вывод 2 2 2 4" xfId="2395"/>
    <cellStyle name="Вывод 2 2 2 4 2" xfId="10765"/>
    <cellStyle name="Вывод 2 2 2 4 3" xfId="10766"/>
    <cellStyle name="Вывод 2 2 2 4 4" xfId="10767"/>
    <cellStyle name="Вывод 2 2 2 4 5" xfId="10768"/>
    <cellStyle name="Вывод 2 2 2 5" xfId="10769"/>
    <cellStyle name="Вывод 2 2 2 5 2" xfId="10770"/>
    <cellStyle name="Вывод 2 2 2 5 3" xfId="10771"/>
    <cellStyle name="Вывод 2 2 2 5 4" xfId="10772"/>
    <cellStyle name="Вывод 2 2 2 6" xfId="10773"/>
    <cellStyle name="Вывод 2 2 2 7" xfId="10774"/>
    <cellStyle name="Вывод 2 2 2 8" xfId="10775"/>
    <cellStyle name="Вывод 2 2 2 9" xfId="10776"/>
    <cellStyle name="Вывод 2 2 3" xfId="2396"/>
    <cellStyle name="Вывод 2 2 3 10" xfId="10777"/>
    <cellStyle name="Вывод 2 2 3 11" xfId="10778"/>
    <cellStyle name="Вывод 2 2 3 2" xfId="2397"/>
    <cellStyle name="Вывод 2 2 3 2 2" xfId="10779"/>
    <cellStyle name="Вывод 2 2 3 2 3" xfId="10780"/>
    <cellStyle name="Вывод 2 2 3 2 4" xfId="10781"/>
    <cellStyle name="Вывод 2 2 3 2 5" xfId="10782"/>
    <cellStyle name="Вывод 2 2 3 3" xfId="2398"/>
    <cellStyle name="Вывод 2 2 3 3 2" xfId="10783"/>
    <cellStyle name="Вывод 2 2 3 3 3" xfId="10784"/>
    <cellStyle name="Вывод 2 2 3 3 4" xfId="10785"/>
    <cellStyle name="Вывод 2 2 3 3 5" xfId="10786"/>
    <cellStyle name="Вывод 2 2 3 4" xfId="10787"/>
    <cellStyle name="Вывод 2 2 3 4 2" xfId="10788"/>
    <cellStyle name="Вывод 2 2 3 4 3" xfId="10789"/>
    <cellStyle name="Вывод 2 2 3 4 4" xfId="10790"/>
    <cellStyle name="Вывод 2 2 3 5" xfId="10791"/>
    <cellStyle name="Вывод 2 2 3 6" xfId="10792"/>
    <cellStyle name="Вывод 2 2 3 7" xfId="10793"/>
    <cellStyle name="Вывод 2 2 3 8" xfId="10794"/>
    <cellStyle name="Вывод 2 2 3 9" xfId="10795"/>
    <cellStyle name="Вывод 2 2 4" xfId="2399"/>
    <cellStyle name="Вывод 2 2 4 2" xfId="10796"/>
    <cellStyle name="Вывод 2 2 4 3" xfId="10797"/>
    <cellStyle name="Вывод 2 2 4 4" xfId="10798"/>
    <cellStyle name="Вывод 2 2 4 5" xfId="10799"/>
    <cellStyle name="Вывод 2 2 4 6" xfId="10800"/>
    <cellStyle name="Вывод 2 2 4 7" xfId="10801"/>
    <cellStyle name="Вывод 2 2 4 8" xfId="10802"/>
    <cellStyle name="Вывод 2 2 5" xfId="2400"/>
    <cellStyle name="Вывод 2 2 5 2" xfId="10803"/>
    <cellStyle name="Вывод 2 2 5 3" xfId="10804"/>
    <cellStyle name="Вывод 2 2 5 4" xfId="10805"/>
    <cellStyle name="Вывод 2 2 5 5" xfId="10806"/>
    <cellStyle name="Вывод 2 2 5 6" xfId="10807"/>
    <cellStyle name="Вывод 2 2 5 7" xfId="10808"/>
    <cellStyle name="Вывод 2 2 5 8" xfId="10809"/>
    <cellStyle name="Вывод 2 2 6" xfId="2401"/>
    <cellStyle name="Вывод 2 2 6 2" xfId="10810"/>
    <cellStyle name="Вывод 2 2 6 3" xfId="10811"/>
    <cellStyle name="Вывод 2 2 6 4" xfId="10812"/>
    <cellStyle name="Вывод 2 2 6 5" xfId="10813"/>
    <cellStyle name="Вывод 2 2 6 6" xfId="10814"/>
    <cellStyle name="Вывод 2 2 6 7" xfId="10815"/>
    <cellStyle name="Вывод 2 2 6 8" xfId="10816"/>
    <cellStyle name="Вывод 2 2 7" xfId="10817"/>
    <cellStyle name="Вывод 2 2 7 2" xfId="10818"/>
    <cellStyle name="Вывод 2 2 7 3" xfId="10819"/>
    <cellStyle name="Вывод 2 2 7 4" xfId="10820"/>
    <cellStyle name="Вывод 2 2 8" xfId="10821"/>
    <cellStyle name="Вывод 2 2 9" xfId="10822"/>
    <cellStyle name="Вывод 2 3" xfId="2402"/>
    <cellStyle name="Вывод 2 3 10" xfId="10823"/>
    <cellStyle name="Вывод 2 3 11" xfId="10824"/>
    <cellStyle name="Вывод 2 3 12" xfId="10825"/>
    <cellStyle name="Вывод 2 3 2" xfId="2403"/>
    <cellStyle name="Вывод 2 3 2 2" xfId="10826"/>
    <cellStyle name="Вывод 2 3 2 2 2" xfId="10827"/>
    <cellStyle name="Вывод 2 3 2 2 3" xfId="10828"/>
    <cellStyle name="Вывод 2 3 2 2 4" xfId="10829"/>
    <cellStyle name="Вывод 2 3 2 3" xfId="10830"/>
    <cellStyle name="Вывод 2 3 2 4" xfId="10831"/>
    <cellStyle name="Вывод 2 3 2 5" xfId="10832"/>
    <cellStyle name="Вывод 2 3 2 6" xfId="10833"/>
    <cellStyle name="Вывод 2 3 3" xfId="2404"/>
    <cellStyle name="Вывод 2 3 3 2" xfId="10834"/>
    <cellStyle name="Вывод 2 3 3 2 2" xfId="10835"/>
    <cellStyle name="Вывод 2 3 3 2 3" xfId="10836"/>
    <cellStyle name="Вывод 2 3 3 2 4" xfId="10837"/>
    <cellStyle name="Вывод 2 3 3 3" xfId="10838"/>
    <cellStyle name="Вывод 2 3 3 4" xfId="10839"/>
    <cellStyle name="Вывод 2 3 3 5" xfId="10840"/>
    <cellStyle name="Вывод 2 3 3 6" xfId="10841"/>
    <cellStyle name="Вывод 2 3 4" xfId="2405"/>
    <cellStyle name="Вывод 2 3 4 2" xfId="10842"/>
    <cellStyle name="Вывод 2 3 4 2 2" xfId="10843"/>
    <cellStyle name="Вывод 2 3 4 2 3" xfId="10844"/>
    <cellStyle name="Вывод 2 3 4 2 4" xfId="10845"/>
    <cellStyle name="Вывод 2 3 4 3" xfId="10846"/>
    <cellStyle name="Вывод 2 3 4 4" xfId="10847"/>
    <cellStyle name="Вывод 2 3 4 5" xfId="10848"/>
    <cellStyle name="Вывод 2 3 4 6" xfId="10849"/>
    <cellStyle name="Вывод 2 3 5" xfId="10850"/>
    <cellStyle name="Вывод 2 3 5 2" xfId="10851"/>
    <cellStyle name="Вывод 2 3 5 3" xfId="10852"/>
    <cellStyle name="Вывод 2 3 5 4" xfId="10853"/>
    <cellStyle name="Вывод 2 3 6" xfId="10854"/>
    <cellStyle name="Вывод 2 3 7" xfId="10855"/>
    <cellStyle name="Вывод 2 3 8" xfId="10856"/>
    <cellStyle name="Вывод 2 3 9" xfId="10857"/>
    <cellStyle name="Вывод 2 4" xfId="2406"/>
    <cellStyle name="Вывод 2 4 10" xfId="10858"/>
    <cellStyle name="Вывод 2 4 11" xfId="10859"/>
    <cellStyle name="Вывод 2 4 2" xfId="2407"/>
    <cellStyle name="Вывод 2 4 2 2" xfId="10860"/>
    <cellStyle name="Вывод 2 4 2 2 2" xfId="10861"/>
    <cellStyle name="Вывод 2 4 2 2 3" xfId="10862"/>
    <cellStyle name="Вывод 2 4 2 2 4" xfId="10863"/>
    <cellStyle name="Вывод 2 4 2 3" xfId="10864"/>
    <cellStyle name="Вывод 2 4 2 4" xfId="10865"/>
    <cellStyle name="Вывод 2 4 2 5" xfId="10866"/>
    <cellStyle name="Вывод 2 4 2 6" xfId="10867"/>
    <cellStyle name="Вывод 2 4 3" xfId="2408"/>
    <cellStyle name="Вывод 2 4 3 2" xfId="10868"/>
    <cellStyle name="Вывод 2 4 3 2 2" xfId="10869"/>
    <cellStyle name="Вывод 2 4 3 2 3" xfId="10870"/>
    <cellStyle name="Вывод 2 4 3 2 4" xfId="10871"/>
    <cellStyle name="Вывод 2 4 3 3" xfId="10872"/>
    <cellStyle name="Вывод 2 4 3 4" xfId="10873"/>
    <cellStyle name="Вывод 2 4 3 5" xfId="10874"/>
    <cellStyle name="Вывод 2 4 3 6" xfId="10875"/>
    <cellStyle name="Вывод 2 4 4" xfId="10876"/>
    <cellStyle name="Вывод 2 4 4 2" xfId="10877"/>
    <cellStyle name="Вывод 2 4 4 3" xfId="10878"/>
    <cellStyle name="Вывод 2 4 4 4" xfId="10879"/>
    <cellStyle name="Вывод 2 4 5" xfId="10880"/>
    <cellStyle name="Вывод 2 4 6" xfId="10881"/>
    <cellStyle name="Вывод 2 4 7" xfId="10882"/>
    <cellStyle name="Вывод 2 4 8" xfId="10883"/>
    <cellStyle name="Вывод 2 4 9" xfId="10884"/>
    <cellStyle name="Вывод 2 5" xfId="2409"/>
    <cellStyle name="Вывод 2 5 2" xfId="10885"/>
    <cellStyle name="Вывод 2 5 3" xfId="10886"/>
    <cellStyle name="Вывод 2 5 4" xfId="10887"/>
    <cellStyle name="Вывод 2 5 5" xfId="10888"/>
    <cellStyle name="Вывод 2 5 6" xfId="10889"/>
    <cellStyle name="Вывод 2 5 7" xfId="10890"/>
    <cellStyle name="Вывод 2 5 8" xfId="10891"/>
    <cellStyle name="Вывод 2 6" xfId="2410"/>
    <cellStyle name="Вывод 2 6 2" xfId="10892"/>
    <cellStyle name="Вывод 2 6 3" xfId="10893"/>
    <cellStyle name="Вывод 2 6 4" xfId="10894"/>
    <cellStyle name="Вывод 2 6 5" xfId="10895"/>
    <cellStyle name="Вывод 2 6 6" xfId="10896"/>
    <cellStyle name="Вывод 2 6 7" xfId="10897"/>
    <cellStyle name="Вывод 2 6 8" xfId="10898"/>
    <cellStyle name="Вывод 2 7" xfId="2411"/>
    <cellStyle name="Вывод 2 7 2" xfId="10899"/>
    <cellStyle name="Вывод 2 7 3" xfId="10900"/>
    <cellStyle name="Вывод 2 7 4" xfId="10901"/>
    <cellStyle name="Вывод 2 7 5" xfId="10902"/>
    <cellStyle name="Вывод 2 7 6" xfId="10903"/>
    <cellStyle name="Вывод 2 7 7" xfId="10904"/>
    <cellStyle name="Вывод 2 7 8" xfId="10905"/>
    <cellStyle name="Вывод 2 8" xfId="10906"/>
    <cellStyle name="Вывод 2 8 2" xfId="10907"/>
    <cellStyle name="Вывод 2 8 3" xfId="10908"/>
    <cellStyle name="Вывод 2 8 4" xfId="10909"/>
    <cellStyle name="Вывод 2 9" xfId="10910"/>
    <cellStyle name="Вывод 3" xfId="2412"/>
    <cellStyle name="Вывод 3 10" xfId="10911"/>
    <cellStyle name="Вывод 3 11" xfId="10912"/>
    <cellStyle name="Вывод 3 12" xfId="10913"/>
    <cellStyle name="Вывод 3 13" xfId="10914"/>
    <cellStyle name="Вывод 3 14" xfId="10915"/>
    <cellStyle name="Вывод 3 2" xfId="2413"/>
    <cellStyle name="Вывод 3 2 10" xfId="10916"/>
    <cellStyle name="Вывод 3 2 11" xfId="10917"/>
    <cellStyle name="Вывод 3 2 12" xfId="10918"/>
    <cellStyle name="Вывод 3 2 2" xfId="2414"/>
    <cellStyle name="Вывод 3 2 2 2" xfId="10919"/>
    <cellStyle name="Вывод 3 2 2 2 2" xfId="10920"/>
    <cellStyle name="Вывод 3 2 2 2 3" xfId="10921"/>
    <cellStyle name="Вывод 3 2 2 2 4" xfId="10922"/>
    <cellStyle name="Вывод 3 2 2 3" xfId="10923"/>
    <cellStyle name="Вывод 3 2 2 4" xfId="10924"/>
    <cellStyle name="Вывод 3 2 2 5" xfId="10925"/>
    <cellStyle name="Вывод 3 2 2 6" xfId="10926"/>
    <cellStyle name="Вывод 3 2 3" xfId="2415"/>
    <cellStyle name="Вывод 3 2 3 2" xfId="10927"/>
    <cellStyle name="Вывод 3 2 3 2 2" xfId="10928"/>
    <cellStyle name="Вывод 3 2 3 2 3" xfId="10929"/>
    <cellStyle name="Вывод 3 2 3 2 4" xfId="10930"/>
    <cellStyle name="Вывод 3 2 3 3" xfId="10931"/>
    <cellStyle name="Вывод 3 2 3 4" xfId="10932"/>
    <cellStyle name="Вывод 3 2 3 5" xfId="10933"/>
    <cellStyle name="Вывод 3 2 3 6" xfId="10934"/>
    <cellStyle name="Вывод 3 2 4" xfId="2416"/>
    <cellStyle name="Вывод 3 2 4 2" xfId="10935"/>
    <cellStyle name="Вывод 3 2 4 2 2" xfId="10936"/>
    <cellStyle name="Вывод 3 2 4 2 3" xfId="10937"/>
    <cellStyle name="Вывод 3 2 4 2 4" xfId="10938"/>
    <cellStyle name="Вывод 3 2 4 3" xfId="10939"/>
    <cellStyle name="Вывод 3 2 4 4" xfId="10940"/>
    <cellStyle name="Вывод 3 2 4 5" xfId="10941"/>
    <cellStyle name="Вывод 3 2 4 6" xfId="10942"/>
    <cellStyle name="Вывод 3 2 5" xfId="10943"/>
    <cellStyle name="Вывод 3 2 5 2" xfId="10944"/>
    <cellStyle name="Вывод 3 2 5 3" xfId="10945"/>
    <cellStyle name="Вывод 3 2 5 4" xfId="10946"/>
    <cellStyle name="Вывод 3 2 6" xfId="10947"/>
    <cellStyle name="Вывод 3 2 7" xfId="10948"/>
    <cellStyle name="Вывод 3 2 8" xfId="10949"/>
    <cellStyle name="Вывод 3 2 9" xfId="10950"/>
    <cellStyle name="Вывод 3 3" xfId="2417"/>
    <cellStyle name="Вывод 3 3 10" xfId="10951"/>
    <cellStyle name="Вывод 3 3 11" xfId="10952"/>
    <cellStyle name="Вывод 3 3 2" xfId="2418"/>
    <cellStyle name="Вывод 3 3 2 2" xfId="10953"/>
    <cellStyle name="Вывод 3 3 2 2 2" xfId="10954"/>
    <cellStyle name="Вывод 3 3 2 2 3" xfId="10955"/>
    <cellStyle name="Вывод 3 3 2 2 4" xfId="10956"/>
    <cellStyle name="Вывод 3 3 2 3" xfId="10957"/>
    <cellStyle name="Вывод 3 3 2 4" xfId="10958"/>
    <cellStyle name="Вывод 3 3 2 5" xfId="10959"/>
    <cellStyle name="Вывод 3 3 2 6" xfId="10960"/>
    <cellStyle name="Вывод 3 3 3" xfId="2419"/>
    <cellStyle name="Вывод 3 3 3 2" xfId="10961"/>
    <cellStyle name="Вывод 3 3 3 2 2" xfId="10962"/>
    <cellStyle name="Вывод 3 3 3 2 3" xfId="10963"/>
    <cellStyle name="Вывод 3 3 3 2 4" xfId="10964"/>
    <cellStyle name="Вывод 3 3 3 3" xfId="10965"/>
    <cellStyle name="Вывод 3 3 3 4" xfId="10966"/>
    <cellStyle name="Вывод 3 3 3 5" xfId="10967"/>
    <cellStyle name="Вывод 3 3 3 6" xfId="10968"/>
    <cellStyle name="Вывод 3 3 4" xfId="10969"/>
    <cellStyle name="Вывод 3 3 4 2" xfId="10970"/>
    <cellStyle name="Вывод 3 3 4 3" xfId="10971"/>
    <cellStyle name="Вывод 3 3 4 4" xfId="10972"/>
    <cellStyle name="Вывод 3 3 5" xfId="10973"/>
    <cellStyle name="Вывод 3 3 6" xfId="10974"/>
    <cellStyle name="Вывод 3 3 7" xfId="10975"/>
    <cellStyle name="Вывод 3 3 8" xfId="10976"/>
    <cellStyle name="Вывод 3 3 9" xfId="10977"/>
    <cellStyle name="Вывод 3 4" xfId="2420"/>
    <cellStyle name="Вывод 3 4 2" xfId="10978"/>
    <cellStyle name="Вывод 3 4 3" xfId="10979"/>
    <cellStyle name="Вывод 3 4 4" xfId="10980"/>
    <cellStyle name="Вывод 3 4 5" xfId="10981"/>
    <cellStyle name="Вывод 3 4 6" xfId="10982"/>
    <cellStyle name="Вывод 3 4 7" xfId="10983"/>
    <cellStyle name="Вывод 3 4 8" xfId="10984"/>
    <cellStyle name="Вывод 3 5" xfId="2421"/>
    <cellStyle name="Вывод 3 5 2" xfId="10985"/>
    <cellStyle name="Вывод 3 5 3" xfId="10986"/>
    <cellStyle name="Вывод 3 5 4" xfId="10987"/>
    <cellStyle name="Вывод 3 5 5" xfId="10988"/>
    <cellStyle name="Вывод 3 5 6" xfId="10989"/>
    <cellStyle name="Вывод 3 5 7" xfId="10990"/>
    <cellStyle name="Вывод 3 5 8" xfId="10991"/>
    <cellStyle name="Вывод 3 6" xfId="2422"/>
    <cellStyle name="Вывод 3 6 2" xfId="10992"/>
    <cellStyle name="Вывод 3 6 3" xfId="10993"/>
    <cellStyle name="Вывод 3 6 4" xfId="10994"/>
    <cellStyle name="Вывод 3 6 5" xfId="10995"/>
    <cellStyle name="Вывод 3 6 6" xfId="10996"/>
    <cellStyle name="Вывод 3 6 7" xfId="10997"/>
    <cellStyle name="Вывод 3 6 8" xfId="10998"/>
    <cellStyle name="Вывод 3 7" xfId="10999"/>
    <cellStyle name="Вывод 3 7 2" xfId="11000"/>
    <cellStyle name="Вывод 3 7 3" xfId="11001"/>
    <cellStyle name="Вывод 3 7 4" xfId="11002"/>
    <cellStyle name="Вывод 3 8" xfId="11003"/>
    <cellStyle name="Вывод 3 9" xfId="11004"/>
    <cellStyle name="Вывод 4" xfId="2423"/>
    <cellStyle name="Вывод 4 10" xfId="11005"/>
    <cellStyle name="Вывод 4 11" xfId="11006"/>
    <cellStyle name="Вывод 4 12" xfId="11007"/>
    <cellStyle name="Вывод 4 13" xfId="11008"/>
    <cellStyle name="Вывод 4 14" xfId="11009"/>
    <cellStyle name="Вывод 4 2" xfId="2424"/>
    <cellStyle name="Вывод 4 2 10" xfId="11010"/>
    <cellStyle name="Вывод 4 2 11" xfId="11011"/>
    <cellStyle name="Вывод 4 2 12" xfId="11012"/>
    <cellStyle name="Вывод 4 2 2" xfId="2425"/>
    <cellStyle name="Вывод 4 2 2 2" xfId="11013"/>
    <cellStyle name="Вывод 4 2 2 2 2" xfId="11014"/>
    <cellStyle name="Вывод 4 2 2 2 3" xfId="11015"/>
    <cellStyle name="Вывод 4 2 2 2 4" xfId="11016"/>
    <cellStyle name="Вывод 4 2 2 3" xfId="11017"/>
    <cellStyle name="Вывод 4 2 2 4" xfId="11018"/>
    <cellStyle name="Вывод 4 2 2 5" xfId="11019"/>
    <cellStyle name="Вывод 4 2 2 6" xfId="11020"/>
    <cellStyle name="Вывод 4 2 3" xfId="2426"/>
    <cellStyle name="Вывод 4 2 3 2" xfId="11021"/>
    <cellStyle name="Вывод 4 2 3 2 2" xfId="11022"/>
    <cellStyle name="Вывод 4 2 3 2 3" xfId="11023"/>
    <cellStyle name="Вывод 4 2 3 2 4" xfId="11024"/>
    <cellStyle name="Вывод 4 2 3 3" xfId="11025"/>
    <cellStyle name="Вывод 4 2 3 4" xfId="11026"/>
    <cellStyle name="Вывод 4 2 3 5" xfId="11027"/>
    <cellStyle name="Вывод 4 2 3 6" xfId="11028"/>
    <cellStyle name="Вывод 4 2 4" xfId="2427"/>
    <cellStyle name="Вывод 4 2 4 2" xfId="11029"/>
    <cellStyle name="Вывод 4 2 4 2 2" xfId="11030"/>
    <cellStyle name="Вывод 4 2 4 2 3" xfId="11031"/>
    <cellStyle name="Вывод 4 2 4 2 4" xfId="11032"/>
    <cellStyle name="Вывод 4 2 4 3" xfId="11033"/>
    <cellStyle name="Вывод 4 2 4 4" xfId="11034"/>
    <cellStyle name="Вывод 4 2 4 5" xfId="11035"/>
    <cellStyle name="Вывод 4 2 4 6" xfId="11036"/>
    <cellStyle name="Вывод 4 2 5" xfId="11037"/>
    <cellStyle name="Вывод 4 2 5 2" xfId="11038"/>
    <cellStyle name="Вывод 4 2 5 3" xfId="11039"/>
    <cellStyle name="Вывод 4 2 5 4" xfId="11040"/>
    <cellStyle name="Вывод 4 2 6" xfId="11041"/>
    <cellStyle name="Вывод 4 2 7" xfId="11042"/>
    <cellStyle name="Вывод 4 2 8" xfId="11043"/>
    <cellStyle name="Вывод 4 2 9" xfId="11044"/>
    <cellStyle name="Вывод 4 3" xfId="2428"/>
    <cellStyle name="Вывод 4 3 10" xfId="11045"/>
    <cellStyle name="Вывод 4 3 11" xfId="11046"/>
    <cellStyle name="Вывод 4 3 2" xfId="2429"/>
    <cellStyle name="Вывод 4 3 2 2" xfId="11047"/>
    <cellStyle name="Вывод 4 3 2 2 2" xfId="11048"/>
    <cellStyle name="Вывод 4 3 2 2 3" xfId="11049"/>
    <cellStyle name="Вывод 4 3 2 2 4" xfId="11050"/>
    <cellStyle name="Вывод 4 3 2 3" xfId="11051"/>
    <cellStyle name="Вывод 4 3 2 4" xfId="11052"/>
    <cellStyle name="Вывод 4 3 2 5" xfId="11053"/>
    <cellStyle name="Вывод 4 3 2 6" xfId="11054"/>
    <cellStyle name="Вывод 4 3 3" xfId="2430"/>
    <cellStyle name="Вывод 4 3 3 2" xfId="11055"/>
    <cellStyle name="Вывод 4 3 3 2 2" xfId="11056"/>
    <cellStyle name="Вывод 4 3 3 2 3" xfId="11057"/>
    <cellStyle name="Вывод 4 3 3 2 4" xfId="11058"/>
    <cellStyle name="Вывод 4 3 3 3" xfId="11059"/>
    <cellStyle name="Вывод 4 3 3 4" xfId="11060"/>
    <cellStyle name="Вывод 4 3 3 5" xfId="11061"/>
    <cellStyle name="Вывод 4 3 3 6" xfId="11062"/>
    <cellStyle name="Вывод 4 3 4" xfId="11063"/>
    <cellStyle name="Вывод 4 3 4 2" xfId="11064"/>
    <cellStyle name="Вывод 4 3 4 3" xfId="11065"/>
    <cellStyle name="Вывод 4 3 4 4" xfId="11066"/>
    <cellStyle name="Вывод 4 3 5" xfId="11067"/>
    <cellStyle name="Вывод 4 3 6" xfId="11068"/>
    <cellStyle name="Вывод 4 3 7" xfId="11069"/>
    <cellStyle name="Вывод 4 3 8" xfId="11070"/>
    <cellStyle name="Вывод 4 3 9" xfId="11071"/>
    <cellStyle name="Вывод 4 4" xfId="2431"/>
    <cellStyle name="Вывод 4 4 2" xfId="11072"/>
    <cellStyle name="Вывод 4 4 3" xfId="11073"/>
    <cellStyle name="Вывод 4 4 4" xfId="11074"/>
    <cellStyle name="Вывод 4 4 5" xfId="11075"/>
    <cellStyle name="Вывод 4 4 6" xfId="11076"/>
    <cellStyle name="Вывод 4 4 7" xfId="11077"/>
    <cellStyle name="Вывод 4 4 8" xfId="11078"/>
    <cellStyle name="Вывод 4 5" xfId="2432"/>
    <cellStyle name="Вывод 4 5 2" xfId="11079"/>
    <cellStyle name="Вывод 4 5 3" xfId="11080"/>
    <cellStyle name="Вывод 4 5 4" xfId="11081"/>
    <cellStyle name="Вывод 4 5 5" xfId="11082"/>
    <cellStyle name="Вывод 4 5 6" xfId="11083"/>
    <cellStyle name="Вывод 4 5 7" xfId="11084"/>
    <cellStyle name="Вывод 4 5 8" xfId="11085"/>
    <cellStyle name="Вывод 4 6" xfId="2433"/>
    <cellStyle name="Вывод 4 6 2" xfId="11086"/>
    <cellStyle name="Вывод 4 6 3" xfId="11087"/>
    <cellStyle name="Вывод 4 6 4" xfId="11088"/>
    <cellStyle name="Вывод 4 6 5" xfId="11089"/>
    <cellStyle name="Вывод 4 6 6" xfId="11090"/>
    <cellStyle name="Вывод 4 6 7" xfId="11091"/>
    <cellStyle name="Вывод 4 6 8" xfId="11092"/>
    <cellStyle name="Вывод 4 7" xfId="11093"/>
    <cellStyle name="Вывод 4 7 2" xfId="11094"/>
    <cellStyle name="Вывод 4 7 3" xfId="11095"/>
    <cellStyle name="Вывод 4 7 4" xfId="11096"/>
    <cellStyle name="Вывод 4 8" xfId="11097"/>
    <cellStyle name="Вывод 4 9" xfId="11098"/>
    <cellStyle name="Вывод 5" xfId="2434"/>
    <cellStyle name="Вывод 5 10" xfId="11099"/>
    <cellStyle name="Вывод 5 11" xfId="11100"/>
    <cellStyle name="Вывод 5 12" xfId="11101"/>
    <cellStyle name="Вывод 5 13" xfId="11102"/>
    <cellStyle name="Вывод 5 14" xfId="11103"/>
    <cellStyle name="Вывод 5 2" xfId="2435"/>
    <cellStyle name="Вывод 5 2 10" xfId="11104"/>
    <cellStyle name="Вывод 5 2 11" xfId="11105"/>
    <cellStyle name="Вывод 5 2 12" xfId="11106"/>
    <cellStyle name="Вывод 5 2 2" xfId="2436"/>
    <cellStyle name="Вывод 5 2 2 2" xfId="11107"/>
    <cellStyle name="Вывод 5 2 2 2 2" xfId="11108"/>
    <cellStyle name="Вывод 5 2 2 2 3" xfId="11109"/>
    <cellStyle name="Вывод 5 2 2 2 4" xfId="11110"/>
    <cellStyle name="Вывод 5 2 2 3" xfId="11111"/>
    <cellStyle name="Вывод 5 2 2 4" xfId="11112"/>
    <cellStyle name="Вывод 5 2 2 5" xfId="11113"/>
    <cellStyle name="Вывод 5 2 2 6" xfId="11114"/>
    <cellStyle name="Вывод 5 2 3" xfId="2437"/>
    <cellStyle name="Вывод 5 2 3 2" xfId="11115"/>
    <cellStyle name="Вывод 5 2 3 2 2" xfId="11116"/>
    <cellStyle name="Вывод 5 2 3 2 3" xfId="11117"/>
    <cellStyle name="Вывод 5 2 3 2 4" xfId="11118"/>
    <cellStyle name="Вывод 5 2 3 3" xfId="11119"/>
    <cellStyle name="Вывод 5 2 3 4" xfId="11120"/>
    <cellStyle name="Вывод 5 2 3 5" xfId="11121"/>
    <cellStyle name="Вывод 5 2 3 6" xfId="11122"/>
    <cellStyle name="Вывод 5 2 4" xfId="2438"/>
    <cellStyle name="Вывод 5 2 4 2" xfId="11123"/>
    <cellStyle name="Вывод 5 2 4 2 2" xfId="11124"/>
    <cellStyle name="Вывод 5 2 4 2 3" xfId="11125"/>
    <cellStyle name="Вывод 5 2 4 2 4" xfId="11126"/>
    <cellStyle name="Вывод 5 2 4 3" xfId="11127"/>
    <cellStyle name="Вывод 5 2 4 4" xfId="11128"/>
    <cellStyle name="Вывод 5 2 4 5" xfId="11129"/>
    <cellStyle name="Вывод 5 2 4 6" xfId="11130"/>
    <cellStyle name="Вывод 5 2 5" xfId="11131"/>
    <cellStyle name="Вывод 5 2 5 2" xfId="11132"/>
    <cellStyle name="Вывод 5 2 5 3" xfId="11133"/>
    <cellStyle name="Вывод 5 2 5 4" xfId="11134"/>
    <cellStyle name="Вывод 5 2 6" xfId="11135"/>
    <cellStyle name="Вывод 5 2 7" xfId="11136"/>
    <cellStyle name="Вывод 5 2 8" xfId="11137"/>
    <cellStyle name="Вывод 5 2 9" xfId="11138"/>
    <cellStyle name="Вывод 5 3" xfId="2439"/>
    <cellStyle name="Вывод 5 3 10" xfId="11139"/>
    <cellStyle name="Вывод 5 3 11" xfId="11140"/>
    <cellStyle name="Вывод 5 3 2" xfId="2440"/>
    <cellStyle name="Вывод 5 3 2 2" xfId="11141"/>
    <cellStyle name="Вывод 5 3 2 2 2" xfId="11142"/>
    <cellStyle name="Вывод 5 3 2 2 3" xfId="11143"/>
    <cellStyle name="Вывод 5 3 2 2 4" xfId="11144"/>
    <cellStyle name="Вывод 5 3 2 3" xfId="11145"/>
    <cellStyle name="Вывод 5 3 2 4" xfId="11146"/>
    <cellStyle name="Вывод 5 3 2 5" xfId="11147"/>
    <cellStyle name="Вывод 5 3 2 6" xfId="11148"/>
    <cellStyle name="Вывод 5 3 3" xfId="2441"/>
    <cellStyle name="Вывод 5 3 3 2" xfId="11149"/>
    <cellStyle name="Вывод 5 3 3 2 2" xfId="11150"/>
    <cellStyle name="Вывод 5 3 3 2 3" xfId="11151"/>
    <cellStyle name="Вывод 5 3 3 2 4" xfId="11152"/>
    <cellStyle name="Вывод 5 3 3 3" xfId="11153"/>
    <cellStyle name="Вывод 5 3 3 4" xfId="11154"/>
    <cellStyle name="Вывод 5 3 3 5" xfId="11155"/>
    <cellStyle name="Вывод 5 3 3 6" xfId="11156"/>
    <cellStyle name="Вывод 5 3 4" xfId="11157"/>
    <cellStyle name="Вывод 5 3 4 2" xfId="11158"/>
    <cellStyle name="Вывод 5 3 4 3" xfId="11159"/>
    <cellStyle name="Вывод 5 3 4 4" xfId="11160"/>
    <cellStyle name="Вывод 5 3 5" xfId="11161"/>
    <cellStyle name="Вывод 5 3 6" xfId="11162"/>
    <cellStyle name="Вывод 5 3 7" xfId="11163"/>
    <cellStyle name="Вывод 5 3 8" xfId="11164"/>
    <cellStyle name="Вывод 5 3 9" xfId="11165"/>
    <cellStyle name="Вывод 5 4" xfId="2442"/>
    <cellStyle name="Вывод 5 4 2" xfId="11166"/>
    <cellStyle name="Вывод 5 4 3" xfId="11167"/>
    <cellStyle name="Вывод 5 4 4" xfId="11168"/>
    <cellStyle name="Вывод 5 4 5" xfId="11169"/>
    <cellStyle name="Вывод 5 4 6" xfId="11170"/>
    <cellStyle name="Вывод 5 4 7" xfId="11171"/>
    <cellStyle name="Вывод 5 4 8" xfId="11172"/>
    <cellStyle name="Вывод 5 5" xfId="2443"/>
    <cellStyle name="Вывод 5 5 2" xfId="11173"/>
    <cellStyle name="Вывод 5 5 3" xfId="11174"/>
    <cellStyle name="Вывод 5 5 4" xfId="11175"/>
    <cellStyle name="Вывод 5 5 5" xfId="11176"/>
    <cellStyle name="Вывод 5 5 6" xfId="11177"/>
    <cellStyle name="Вывод 5 5 7" xfId="11178"/>
    <cellStyle name="Вывод 5 5 8" xfId="11179"/>
    <cellStyle name="Вывод 5 6" xfId="2444"/>
    <cellStyle name="Вывод 5 6 2" xfId="11180"/>
    <cellStyle name="Вывод 5 6 3" xfId="11181"/>
    <cellStyle name="Вывод 5 6 4" xfId="11182"/>
    <cellStyle name="Вывод 5 6 5" xfId="11183"/>
    <cellStyle name="Вывод 5 6 6" xfId="11184"/>
    <cellStyle name="Вывод 5 6 7" xfId="11185"/>
    <cellStyle name="Вывод 5 6 8" xfId="11186"/>
    <cellStyle name="Вывод 5 7" xfId="11187"/>
    <cellStyle name="Вывод 5 7 2" xfId="11188"/>
    <cellStyle name="Вывод 5 7 3" xfId="11189"/>
    <cellStyle name="Вывод 5 7 4" xfId="11190"/>
    <cellStyle name="Вывод 5 8" xfId="11191"/>
    <cellStyle name="Вывод 5 9" xfId="11192"/>
    <cellStyle name="Вывод 6" xfId="2445"/>
    <cellStyle name="Вывод 6 10" xfId="11193"/>
    <cellStyle name="Вывод 6 11" xfId="11194"/>
    <cellStyle name="Вывод 6 12" xfId="11195"/>
    <cellStyle name="Вывод 6 13" xfId="11196"/>
    <cellStyle name="Вывод 6 14" xfId="11197"/>
    <cellStyle name="Вывод 6 2" xfId="2446"/>
    <cellStyle name="Вывод 6 2 10" xfId="11198"/>
    <cellStyle name="Вывод 6 2 11" xfId="11199"/>
    <cellStyle name="Вывод 6 2 12" xfId="11200"/>
    <cellStyle name="Вывод 6 2 2" xfId="2447"/>
    <cellStyle name="Вывод 6 2 2 2" xfId="11201"/>
    <cellStyle name="Вывод 6 2 2 2 2" xfId="11202"/>
    <cellStyle name="Вывод 6 2 2 2 3" xfId="11203"/>
    <cellStyle name="Вывод 6 2 2 2 4" xfId="11204"/>
    <cellStyle name="Вывод 6 2 2 3" xfId="11205"/>
    <cellStyle name="Вывод 6 2 2 4" xfId="11206"/>
    <cellStyle name="Вывод 6 2 2 5" xfId="11207"/>
    <cellStyle name="Вывод 6 2 2 6" xfId="11208"/>
    <cellStyle name="Вывод 6 2 3" xfId="2448"/>
    <cellStyle name="Вывод 6 2 3 2" xfId="11209"/>
    <cellStyle name="Вывод 6 2 3 2 2" xfId="11210"/>
    <cellStyle name="Вывод 6 2 3 2 3" xfId="11211"/>
    <cellStyle name="Вывод 6 2 3 2 4" xfId="11212"/>
    <cellStyle name="Вывод 6 2 3 3" xfId="11213"/>
    <cellStyle name="Вывод 6 2 3 4" xfId="11214"/>
    <cellStyle name="Вывод 6 2 3 5" xfId="11215"/>
    <cellStyle name="Вывод 6 2 3 6" xfId="11216"/>
    <cellStyle name="Вывод 6 2 4" xfId="2449"/>
    <cellStyle name="Вывод 6 2 4 2" xfId="11217"/>
    <cellStyle name="Вывод 6 2 4 2 2" xfId="11218"/>
    <cellStyle name="Вывод 6 2 4 2 3" xfId="11219"/>
    <cellStyle name="Вывод 6 2 4 2 4" xfId="11220"/>
    <cellStyle name="Вывод 6 2 4 3" xfId="11221"/>
    <cellStyle name="Вывод 6 2 4 4" xfId="11222"/>
    <cellStyle name="Вывод 6 2 4 5" xfId="11223"/>
    <cellStyle name="Вывод 6 2 4 6" xfId="11224"/>
    <cellStyle name="Вывод 6 2 5" xfId="11225"/>
    <cellStyle name="Вывод 6 2 5 2" xfId="11226"/>
    <cellStyle name="Вывод 6 2 5 3" xfId="11227"/>
    <cellStyle name="Вывод 6 2 5 4" xfId="11228"/>
    <cellStyle name="Вывод 6 2 6" xfId="11229"/>
    <cellStyle name="Вывод 6 2 7" xfId="11230"/>
    <cellStyle name="Вывод 6 2 8" xfId="11231"/>
    <cellStyle name="Вывод 6 2 9" xfId="11232"/>
    <cellStyle name="Вывод 6 3" xfId="2450"/>
    <cellStyle name="Вывод 6 3 10" xfId="11233"/>
    <cellStyle name="Вывод 6 3 11" xfId="11234"/>
    <cellStyle name="Вывод 6 3 2" xfId="2451"/>
    <cellStyle name="Вывод 6 3 2 2" xfId="11235"/>
    <cellStyle name="Вывод 6 3 2 2 2" xfId="11236"/>
    <cellStyle name="Вывод 6 3 2 2 3" xfId="11237"/>
    <cellStyle name="Вывод 6 3 2 2 4" xfId="11238"/>
    <cellStyle name="Вывод 6 3 2 3" xfId="11239"/>
    <cellStyle name="Вывод 6 3 2 4" xfId="11240"/>
    <cellStyle name="Вывод 6 3 2 5" xfId="11241"/>
    <cellStyle name="Вывод 6 3 2 6" xfId="11242"/>
    <cellStyle name="Вывод 6 3 3" xfId="2452"/>
    <cellStyle name="Вывод 6 3 3 2" xfId="11243"/>
    <cellStyle name="Вывод 6 3 3 2 2" xfId="11244"/>
    <cellStyle name="Вывод 6 3 3 2 3" xfId="11245"/>
    <cellStyle name="Вывод 6 3 3 2 4" xfId="11246"/>
    <cellStyle name="Вывод 6 3 3 3" xfId="11247"/>
    <cellStyle name="Вывод 6 3 3 4" xfId="11248"/>
    <cellStyle name="Вывод 6 3 3 5" xfId="11249"/>
    <cellStyle name="Вывод 6 3 3 6" xfId="11250"/>
    <cellStyle name="Вывод 6 3 4" xfId="11251"/>
    <cellStyle name="Вывод 6 3 4 2" xfId="11252"/>
    <cellStyle name="Вывод 6 3 4 3" xfId="11253"/>
    <cellStyle name="Вывод 6 3 4 4" xfId="11254"/>
    <cellStyle name="Вывод 6 3 5" xfId="11255"/>
    <cellStyle name="Вывод 6 3 6" xfId="11256"/>
    <cellStyle name="Вывод 6 3 7" xfId="11257"/>
    <cellStyle name="Вывод 6 3 8" xfId="11258"/>
    <cellStyle name="Вывод 6 3 9" xfId="11259"/>
    <cellStyle name="Вывод 6 4" xfId="2453"/>
    <cellStyle name="Вывод 6 4 2" xfId="11260"/>
    <cellStyle name="Вывод 6 4 3" xfId="11261"/>
    <cellStyle name="Вывод 6 4 4" xfId="11262"/>
    <cellStyle name="Вывод 6 4 5" xfId="11263"/>
    <cellStyle name="Вывод 6 4 6" xfId="11264"/>
    <cellStyle name="Вывод 6 4 7" xfId="11265"/>
    <cellStyle name="Вывод 6 4 8" xfId="11266"/>
    <cellStyle name="Вывод 6 5" xfId="2454"/>
    <cellStyle name="Вывод 6 5 2" xfId="11267"/>
    <cellStyle name="Вывод 6 5 3" xfId="11268"/>
    <cellStyle name="Вывод 6 5 4" xfId="11269"/>
    <cellStyle name="Вывод 6 5 5" xfId="11270"/>
    <cellStyle name="Вывод 6 5 6" xfId="11271"/>
    <cellStyle name="Вывод 6 5 7" xfId="11272"/>
    <cellStyle name="Вывод 6 5 8" xfId="11273"/>
    <cellStyle name="Вывод 6 6" xfId="2455"/>
    <cellStyle name="Вывод 6 6 2" xfId="11274"/>
    <cellStyle name="Вывод 6 6 3" xfId="11275"/>
    <cellStyle name="Вывод 6 6 4" xfId="11276"/>
    <cellStyle name="Вывод 6 6 5" xfId="11277"/>
    <cellStyle name="Вывод 6 6 6" xfId="11278"/>
    <cellStyle name="Вывод 6 6 7" xfId="11279"/>
    <cellStyle name="Вывод 6 6 8" xfId="11280"/>
    <cellStyle name="Вывод 6 7" xfId="11281"/>
    <cellStyle name="Вывод 6 7 2" xfId="11282"/>
    <cellStyle name="Вывод 6 7 3" xfId="11283"/>
    <cellStyle name="Вывод 6 7 4" xfId="11284"/>
    <cellStyle name="Вывод 6 8" xfId="11285"/>
    <cellStyle name="Вывод 6 9" xfId="11286"/>
    <cellStyle name="Вычисление 2" xfId="2456"/>
    <cellStyle name="Вычисление 2 10" xfId="11287"/>
    <cellStyle name="Вычисление 2 11" xfId="11288"/>
    <cellStyle name="Вычисление 2 12" xfId="11289"/>
    <cellStyle name="Вычисление 2 13" xfId="11290"/>
    <cellStyle name="Вычисление 2 14" xfId="11291"/>
    <cellStyle name="Вычисление 2 15" xfId="11292"/>
    <cellStyle name="Вычисление 2 2" xfId="2457"/>
    <cellStyle name="Вычисление 2 2 10" xfId="11293"/>
    <cellStyle name="Вычисление 2 2 11" xfId="11294"/>
    <cellStyle name="Вычисление 2 2 12" xfId="11295"/>
    <cellStyle name="Вычисление 2 2 13" xfId="11296"/>
    <cellStyle name="Вычисление 2 2 14" xfId="11297"/>
    <cellStyle name="Вычисление 2 2 2" xfId="2458"/>
    <cellStyle name="Вычисление 2 2 2 10" xfId="11298"/>
    <cellStyle name="Вычисление 2 2 2 11" xfId="11299"/>
    <cellStyle name="Вычисление 2 2 2 12" xfId="11300"/>
    <cellStyle name="Вычисление 2 2 2 2" xfId="2459"/>
    <cellStyle name="Вычисление 2 2 2 2 2" xfId="11301"/>
    <cellStyle name="Вычисление 2 2 2 2 3" xfId="11302"/>
    <cellStyle name="Вычисление 2 2 2 2 4" xfId="11303"/>
    <cellStyle name="Вычисление 2 2 2 2 5" xfId="11304"/>
    <cellStyle name="Вычисление 2 2 2 3" xfId="2460"/>
    <cellStyle name="Вычисление 2 2 2 3 2" xfId="11305"/>
    <cellStyle name="Вычисление 2 2 2 3 3" xfId="11306"/>
    <cellStyle name="Вычисление 2 2 2 3 4" xfId="11307"/>
    <cellStyle name="Вычисление 2 2 2 3 5" xfId="11308"/>
    <cellStyle name="Вычисление 2 2 2 4" xfId="2461"/>
    <cellStyle name="Вычисление 2 2 2 4 2" xfId="11309"/>
    <cellStyle name="Вычисление 2 2 2 4 3" xfId="11310"/>
    <cellStyle name="Вычисление 2 2 2 4 4" xfId="11311"/>
    <cellStyle name="Вычисление 2 2 2 4 5" xfId="11312"/>
    <cellStyle name="Вычисление 2 2 2 5" xfId="11313"/>
    <cellStyle name="Вычисление 2 2 2 5 2" xfId="11314"/>
    <cellStyle name="Вычисление 2 2 2 5 3" xfId="11315"/>
    <cellStyle name="Вычисление 2 2 2 5 4" xfId="11316"/>
    <cellStyle name="Вычисление 2 2 2 6" xfId="11317"/>
    <cellStyle name="Вычисление 2 2 2 7" xfId="11318"/>
    <cellStyle name="Вычисление 2 2 2 8" xfId="11319"/>
    <cellStyle name="Вычисление 2 2 2 9" xfId="11320"/>
    <cellStyle name="Вычисление 2 2 3" xfId="2462"/>
    <cellStyle name="Вычисление 2 2 3 10" xfId="11321"/>
    <cellStyle name="Вычисление 2 2 3 11" xfId="11322"/>
    <cellStyle name="Вычисление 2 2 3 2" xfId="2463"/>
    <cellStyle name="Вычисление 2 2 3 2 2" xfId="11323"/>
    <cellStyle name="Вычисление 2 2 3 2 3" xfId="11324"/>
    <cellStyle name="Вычисление 2 2 3 2 4" xfId="11325"/>
    <cellStyle name="Вычисление 2 2 3 2 5" xfId="11326"/>
    <cellStyle name="Вычисление 2 2 3 3" xfId="2464"/>
    <cellStyle name="Вычисление 2 2 3 3 2" xfId="11327"/>
    <cellStyle name="Вычисление 2 2 3 3 3" xfId="11328"/>
    <cellStyle name="Вычисление 2 2 3 3 4" xfId="11329"/>
    <cellStyle name="Вычисление 2 2 3 3 5" xfId="11330"/>
    <cellStyle name="Вычисление 2 2 3 4" xfId="11331"/>
    <cellStyle name="Вычисление 2 2 3 4 2" xfId="11332"/>
    <cellStyle name="Вычисление 2 2 3 4 3" xfId="11333"/>
    <cellStyle name="Вычисление 2 2 3 4 4" xfId="11334"/>
    <cellStyle name="Вычисление 2 2 3 5" xfId="11335"/>
    <cellStyle name="Вычисление 2 2 3 6" xfId="11336"/>
    <cellStyle name="Вычисление 2 2 3 7" xfId="11337"/>
    <cellStyle name="Вычисление 2 2 3 8" xfId="11338"/>
    <cellStyle name="Вычисление 2 2 3 9" xfId="11339"/>
    <cellStyle name="Вычисление 2 2 4" xfId="2465"/>
    <cellStyle name="Вычисление 2 2 4 2" xfId="11340"/>
    <cellStyle name="Вычисление 2 2 4 3" xfId="11341"/>
    <cellStyle name="Вычисление 2 2 4 4" xfId="11342"/>
    <cellStyle name="Вычисление 2 2 4 5" xfId="11343"/>
    <cellStyle name="Вычисление 2 2 4 6" xfId="11344"/>
    <cellStyle name="Вычисление 2 2 4 7" xfId="11345"/>
    <cellStyle name="Вычисление 2 2 4 8" xfId="11346"/>
    <cellStyle name="Вычисление 2 2 5" xfId="2466"/>
    <cellStyle name="Вычисление 2 2 5 2" xfId="11347"/>
    <cellStyle name="Вычисление 2 2 5 3" xfId="11348"/>
    <cellStyle name="Вычисление 2 2 5 4" xfId="11349"/>
    <cellStyle name="Вычисление 2 2 5 5" xfId="11350"/>
    <cellStyle name="Вычисление 2 2 5 6" xfId="11351"/>
    <cellStyle name="Вычисление 2 2 5 7" xfId="11352"/>
    <cellStyle name="Вычисление 2 2 5 8" xfId="11353"/>
    <cellStyle name="Вычисление 2 2 6" xfId="2467"/>
    <cellStyle name="Вычисление 2 2 6 2" xfId="11354"/>
    <cellStyle name="Вычисление 2 2 6 3" xfId="11355"/>
    <cellStyle name="Вычисление 2 2 6 4" xfId="11356"/>
    <cellStyle name="Вычисление 2 2 6 5" xfId="11357"/>
    <cellStyle name="Вычисление 2 2 6 6" xfId="11358"/>
    <cellStyle name="Вычисление 2 2 6 7" xfId="11359"/>
    <cellStyle name="Вычисление 2 2 6 8" xfId="11360"/>
    <cellStyle name="Вычисление 2 2 7" xfId="11361"/>
    <cellStyle name="Вычисление 2 2 7 2" xfId="11362"/>
    <cellStyle name="Вычисление 2 2 7 3" xfId="11363"/>
    <cellStyle name="Вычисление 2 2 7 4" xfId="11364"/>
    <cellStyle name="Вычисление 2 2 8" xfId="11365"/>
    <cellStyle name="Вычисление 2 2 9" xfId="11366"/>
    <cellStyle name="Вычисление 2 3" xfId="2468"/>
    <cellStyle name="Вычисление 2 3 10" xfId="11367"/>
    <cellStyle name="Вычисление 2 3 11" xfId="11368"/>
    <cellStyle name="Вычисление 2 3 12" xfId="11369"/>
    <cellStyle name="Вычисление 2 3 2" xfId="2469"/>
    <cellStyle name="Вычисление 2 3 2 2" xfId="11370"/>
    <cellStyle name="Вычисление 2 3 2 2 2" xfId="11371"/>
    <cellStyle name="Вычисление 2 3 2 2 3" xfId="11372"/>
    <cellStyle name="Вычисление 2 3 2 2 4" xfId="11373"/>
    <cellStyle name="Вычисление 2 3 2 3" xfId="11374"/>
    <cellStyle name="Вычисление 2 3 2 4" xfId="11375"/>
    <cellStyle name="Вычисление 2 3 2 5" xfId="11376"/>
    <cellStyle name="Вычисление 2 3 2 6" xfId="11377"/>
    <cellStyle name="Вычисление 2 3 3" xfId="2470"/>
    <cellStyle name="Вычисление 2 3 3 2" xfId="11378"/>
    <cellStyle name="Вычисление 2 3 3 2 2" xfId="11379"/>
    <cellStyle name="Вычисление 2 3 3 2 3" xfId="11380"/>
    <cellStyle name="Вычисление 2 3 3 2 4" xfId="11381"/>
    <cellStyle name="Вычисление 2 3 3 3" xfId="11382"/>
    <cellStyle name="Вычисление 2 3 3 4" xfId="11383"/>
    <cellStyle name="Вычисление 2 3 3 5" xfId="11384"/>
    <cellStyle name="Вычисление 2 3 3 6" xfId="11385"/>
    <cellStyle name="Вычисление 2 3 4" xfId="2471"/>
    <cellStyle name="Вычисление 2 3 4 2" xfId="11386"/>
    <cellStyle name="Вычисление 2 3 4 2 2" xfId="11387"/>
    <cellStyle name="Вычисление 2 3 4 2 3" xfId="11388"/>
    <cellStyle name="Вычисление 2 3 4 2 4" xfId="11389"/>
    <cellStyle name="Вычисление 2 3 4 3" xfId="11390"/>
    <cellStyle name="Вычисление 2 3 4 4" xfId="11391"/>
    <cellStyle name="Вычисление 2 3 4 5" xfId="11392"/>
    <cellStyle name="Вычисление 2 3 4 6" xfId="11393"/>
    <cellStyle name="Вычисление 2 3 5" xfId="11394"/>
    <cellStyle name="Вычисление 2 3 5 2" xfId="11395"/>
    <cellStyle name="Вычисление 2 3 5 3" xfId="11396"/>
    <cellStyle name="Вычисление 2 3 5 4" xfId="11397"/>
    <cellStyle name="Вычисление 2 3 6" xfId="11398"/>
    <cellStyle name="Вычисление 2 3 7" xfId="11399"/>
    <cellStyle name="Вычисление 2 3 8" xfId="11400"/>
    <cellStyle name="Вычисление 2 3 9" xfId="11401"/>
    <cellStyle name="Вычисление 2 4" xfId="2472"/>
    <cellStyle name="Вычисление 2 4 10" xfId="11402"/>
    <cellStyle name="Вычисление 2 4 11" xfId="11403"/>
    <cellStyle name="Вычисление 2 4 2" xfId="2473"/>
    <cellStyle name="Вычисление 2 4 2 2" xfId="11404"/>
    <cellStyle name="Вычисление 2 4 2 2 2" xfId="11405"/>
    <cellStyle name="Вычисление 2 4 2 2 3" xfId="11406"/>
    <cellStyle name="Вычисление 2 4 2 2 4" xfId="11407"/>
    <cellStyle name="Вычисление 2 4 2 3" xfId="11408"/>
    <cellStyle name="Вычисление 2 4 2 4" xfId="11409"/>
    <cellStyle name="Вычисление 2 4 2 5" xfId="11410"/>
    <cellStyle name="Вычисление 2 4 2 6" xfId="11411"/>
    <cellStyle name="Вычисление 2 4 3" xfId="2474"/>
    <cellStyle name="Вычисление 2 4 3 2" xfId="11412"/>
    <cellStyle name="Вычисление 2 4 3 2 2" xfId="11413"/>
    <cellStyle name="Вычисление 2 4 3 2 3" xfId="11414"/>
    <cellStyle name="Вычисление 2 4 3 2 4" xfId="11415"/>
    <cellStyle name="Вычисление 2 4 3 3" xfId="11416"/>
    <cellStyle name="Вычисление 2 4 3 4" xfId="11417"/>
    <cellStyle name="Вычисление 2 4 3 5" xfId="11418"/>
    <cellStyle name="Вычисление 2 4 3 6" xfId="11419"/>
    <cellStyle name="Вычисление 2 4 4" xfId="11420"/>
    <cellStyle name="Вычисление 2 4 4 2" xfId="11421"/>
    <cellStyle name="Вычисление 2 4 4 3" xfId="11422"/>
    <cellStyle name="Вычисление 2 4 4 4" xfId="11423"/>
    <cellStyle name="Вычисление 2 4 5" xfId="11424"/>
    <cellStyle name="Вычисление 2 4 6" xfId="11425"/>
    <cellStyle name="Вычисление 2 4 7" xfId="11426"/>
    <cellStyle name="Вычисление 2 4 8" xfId="11427"/>
    <cellStyle name="Вычисление 2 4 9" xfId="11428"/>
    <cellStyle name="Вычисление 2 5" xfId="2475"/>
    <cellStyle name="Вычисление 2 5 2" xfId="11429"/>
    <cellStyle name="Вычисление 2 5 3" xfId="11430"/>
    <cellStyle name="Вычисление 2 5 4" xfId="11431"/>
    <cellStyle name="Вычисление 2 5 5" xfId="11432"/>
    <cellStyle name="Вычисление 2 5 6" xfId="11433"/>
    <cellStyle name="Вычисление 2 5 7" xfId="11434"/>
    <cellStyle name="Вычисление 2 5 8" xfId="11435"/>
    <cellStyle name="Вычисление 2 6" xfId="2476"/>
    <cellStyle name="Вычисление 2 6 2" xfId="11436"/>
    <cellStyle name="Вычисление 2 6 3" xfId="11437"/>
    <cellStyle name="Вычисление 2 6 4" xfId="11438"/>
    <cellStyle name="Вычисление 2 6 5" xfId="11439"/>
    <cellStyle name="Вычисление 2 6 6" xfId="11440"/>
    <cellStyle name="Вычисление 2 6 7" xfId="11441"/>
    <cellStyle name="Вычисление 2 6 8" xfId="11442"/>
    <cellStyle name="Вычисление 2 7" xfId="2477"/>
    <cellStyle name="Вычисление 2 7 2" xfId="11443"/>
    <cellStyle name="Вычисление 2 7 3" xfId="11444"/>
    <cellStyle name="Вычисление 2 7 4" xfId="11445"/>
    <cellStyle name="Вычисление 2 7 5" xfId="11446"/>
    <cellStyle name="Вычисление 2 7 6" xfId="11447"/>
    <cellStyle name="Вычисление 2 7 7" xfId="11448"/>
    <cellStyle name="Вычисление 2 7 8" xfId="11449"/>
    <cellStyle name="Вычисление 2 8" xfId="11450"/>
    <cellStyle name="Вычисление 2 8 2" xfId="11451"/>
    <cellStyle name="Вычисление 2 8 3" xfId="11452"/>
    <cellStyle name="Вычисление 2 8 4" xfId="11453"/>
    <cellStyle name="Вычисление 2 9" xfId="11454"/>
    <cellStyle name="Вычисление 3" xfId="2478"/>
    <cellStyle name="Вычисление 3 10" xfId="11455"/>
    <cellStyle name="Вычисление 3 11" xfId="11456"/>
    <cellStyle name="Вычисление 3 12" xfId="11457"/>
    <cellStyle name="Вычисление 3 13" xfId="11458"/>
    <cellStyle name="Вычисление 3 14" xfId="11459"/>
    <cellStyle name="Вычисление 3 2" xfId="2479"/>
    <cellStyle name="Вычисление 3 2 10" xfId="11460"/>
    <cellStyle name="Вычисление 3 2 11" xfId="11461"/>
    <cellStyle name="Вычисление 3 2 12" xfId="11462"/>
    <cellStyle name="Вычисление 3 2 2" xfId="2480"/>
    <cellStyle name="Вычисление 3 2 2 2" xfId="11463"/>
    <cellStyle name="Вычисление 3 2 2 2 2" xfId="11464"/>
    <cellStyle name="Вычисление 3 2 2 2 3" xfId="11465"/>
    <cellStyle name="Вычисление 3 2 2 2 4" xfId="11466"/>
    <cellStyle name="Вычисление 3 2 2 3" xfId="11467"/>
    <cellStyle name="Вычисление 3 2 2 4" xfId="11468"/>
    <cellStyle name="Вычисление 3 2 2 5" xfId="11469"/>
    <cellStyle name="Вычисление 3 2 2 6" xfId="11470"/>
    <cellStyle name="Вычисление 3 2 3" xfId="2481"/>
    <cellStyle name="Вычисление 3 2 3 2" xfId="11471"/>
    <cellStyle name="Вычисление 3 2 3 2 2" xfId="11472"/>
    <cellStyle name="Вычисление 3 2 3 2 3" xfId="11473"/>
    <cellStyle name="Вычисление 3 2 3 2 4" xfId="11474"/>
    <cellStyle name="Вычисление 3 2 3 3" xfId="11475"/>
    <cellStyle name="Вычисление 3 2 3 4" xfId="11476"/>
    <cellStyle name="Вычисление 3 2 3 5" xfId="11477"/>
    <cellStyle name="Вычисление 3 2 3 6" xfId="11478"/>
    <cellStyle name="Вычисление 3 2 4" xfId="2482"/>
    <cellStyle name="Вычисление 3 2 4 2" xfId="11479"/>
    <cellStyle name="Вычисление 3 2 4 2 2" xfId="11480"/>
    <cellStyle name="Вычисление 3 2 4 2 3" xfId="11481"/>
    <cellStyle name="Вычисление 3 2 4 2 4" xfId="11482"/>
    <cellStyle name="Вычисление 3 2 4 3" xfId="11483"/>
    <cellStyle name="Вычисление 3 2 4 4" xfId="11484"/>
    <cellStyle name="Вычисление 3 2 4 5" xfId="11485"/>
    <cellStyle name="Вычисление 3 2 4 6" xfId="11486"/>
    <cellStyle name="Вычисление 3 2 5" xfId="11487"/>
    <cellStyle name="Вычисление 3 2 5 2" xfId="11488"/>
    <cellStyle name="Вычисление 3 2 5 3" xfId="11489"/>
    <cellStyle name="Вычисление 3 2 5 4" xfId="11490"/>
    <cellStyle name="Вычисление 3 2 6" xfId="11491"/>
    <cellStyle name="Вычисление 3 2 7" xfId="11492"/>
    <cellStyle name="Вычисление 3 2 8" xfId="11493"/>
    <cellStyle name="Вычисление 3 2 9" xfId="11494"/>
    <cellStyle name="Вычисление 3 3" xfId="2483"/>
    <cellStyle name="Вычисление 3 3 10" xfId="11495"/>
    <cellStyle name="Вычисление 3 3 11" xfId="11496"/>
    <cellStyle name="Вычисление 3 3 2" xfId="2484"/>
    <cellStyle name="Вычисление 3 3 2 2" xfId="11497"/>
    <cellStyle name="Вычисление 3 3 2 2 2" xfId="11498"/>
    <cellStyle name="Вычисление 3 3 2 2 3" xfId="11499"/>
    <cellStyle name="Вычисление 3 3 2 2 4" xfId="11500"/>
    <cellStyle name="Вычисление 3 3 2 3" xfId="11501"/>
    <cellStyle name="Вычисление 3 3 2 4" xfId="11502"/>
    <cellStyle name="Вычисление 3 3 2 5" xfId="11503"/>
    <cellStyle name="Вычисление 3 3 2 6" xfId="11504"/>
    <cellStyle name="Вычисление 3 3 3" xfId="2485"/>
    <cellStyle name="Вычисление 3 3 3 2" xfId="11505"/>
    <cellStyle name="Вычисление 3 3 3 2 2" xfId="11506"/>
    <cellStyle name="Вычисление 3 3 3 2 3" xfId="11507"/>
    <cellStyle name="Вычисление 3 3 3 2 4" xfId="11508"/>
    <cellStyle name="Вычисление 3 3 3 3" xfId="11509"/>
    <cellStyle name="Вычисление 3 3 3 4" xfId="11510"/>
    <cellStyle name="Вычисление 3 3 3 5" xfId="11511"/>
    <cellStyle name="Вычисление 3 3 3 6" xfId="11512"/>
    <cellStyle name="Вычисление 3 3 4" xfId="11513"/>
    <cellStyle name="Вычисление 3 3 4 2" xfId="11514"/>
    <cellStyle name="Вычисление 3 3 4 3" xfId="11515"/>
    <cellStyle name="Вычисление 3 3 4 4" xfId="11516"/>
    <cellStyle name="Вычисление 3 3 5" xfId="11517"/>
    <cellStyle name="Вычисление 3 3 6" xfId="11518"/>
    <cellStyle name="Вычисление 3 3 7" xfId="11519"/>
    <cellStyle name="Вычисление 3 3 8" xfId="11520"/>
    <cellStyle name="Вычисление 3 3 9" xfId="11521"/>
    <cellStyle name="Вычисление 3 4" xfId="2486"/>
    <cellStyle name="Вычисление 3 4 2" xfId="11522"/>
    <cellStyle name="Вычисление 3 4 3" xfId="11523"/>
    <cellStyle name="Вычисление 3 4 4" xfId="11524"/>
    <cellStyle name="Вычисление 3 4 5" xfId="11525"/>
    <cellStyle name="Вычисление 3 4 6" xfId="11526"/>
    <cellStyle name="Вычисление 3 4 7" xfId="11527"/>
    <cellStyle name="Вычисление 3 4 8" xfId="11528"/>
    <cellStyle name="Вычисление 3 5" xfId="2487"/>
    <cellStyle name="Вычисление 3 5 2" xfId="11529"/>
    <cellStyle name="Вычисление 3 5 3" xfId="11530"/>
    <cellStyle name="Вычисление 3 5 4" xfId="11531"/>
    <cellStyle name="Вычисление 3 5 5" xfId="11532"/>
    <cellStyle name="Вычисление 3 5 6" xfId="11533"/>
    <cellStyle name="Вычисление 3 5 7" xfId="11534"/>
    <cellStyle name="Вычисление 3 5 8" xfId="11535"/>
    <cellStyle name="Вычисление 3 6" xfId="2488"/>
    <cellStyle name="Вычисление 3 6 2" xfId="11536"/>
    <cellStyle name="Вычисление 3 6 3" xfId="11537"/>
    <cellStyle name="Вычисление 3 6 4" xfId="11538"/>
    <cellStyle name="Вычисление 3 6 5" xfId="11539"/>
    <cellStyle name="Вычисление 3 6 6" xfId="11540"/>
    <cellStyle name="Вычисление 3 6 7" xfId="11541"/>
    <cellStyle name="Вычисление 3 6 8" xfId="11542"/>
    <cellStyle name="Вычисление 3 7" xfId="11543"/>
    <cellStyle name="Вычисление 3 7 2" xfId="11544"/>
    <cellStyle name="Вычисление 3 7 3" xfId="11545"/>
    <cellStyle name="Вычисление 3 7 4" xfId="11546"/>
    <cellStyle name="Вычисление 3 8" xfId="11547"/>
    <cellStyle name="Вычисление 3 9" xfId="11548"/>
    <cellStyle name="Вычисление 4" xfId="2489"/>
    <cellStyle name="Вычисление 4 10" xfId="11549"/>
    <cellStyle name="Вычисление 4 11" xfId="11550"/>
    <cellStyle name="Вычисление 4 12" xfId="11551"/>
    <cellStyle name="Вычисление 4 13" xfId="11552"/>
    <cellStyle name="Вычисление 4 14" xfId="11553"/>
    <cellStyle name="Вычисление 4 2" xfId="2490"/>
    <cellStyle name="Вычисление 4 2 10" xfId="11554"/>
    <cellStyle name="Вычисление 4 2 11" xfId="11555"/>
    <cellStyle name="Вычисление 4 2 12" xfId="11556"/>
    <cellStyle name="Вычисление 4 2 2" xfId="2491"/>
    <cellStyle name="Вычисление 4 2 2 2" xfId="11557"/>
    <cellStyle name="Вычисление 4 2 2 2 2" xfId="11558"/>
    <cellStyle name="Вычисление 4 2 2 2 3" xfId="11559"/>
    <cellStyle name="Вычисление 4 2 2 2 4" xfId="11560"/>
    <cellStyle name="Вычисление 4 2 2 3" xfId="11561"/>
    <cellStyle name="Вычисление 4 2 2 4" xfId="11562"/>
    <cellStyle name="Вычисление 4 2 2 5" xfId="11563"/>
    <cellStyle name="Вычисление 4 2 2 6" xfId="11564"/>
    <cellStyle name="Вычисление 4 2 3" xfId="2492"/>
    <cellStyle name="Вычисление 4 2 3 2" xfId="11565"/>
    <cellStyle name="Вычисление 4 2 3 2 2" xfId="11566"/>
    <cellStyle name="Вычисление 4 2 3 2 3" xfId="11567"/>
    <cellStyle name="Вычисление 4 2 3 2 4" xfId="11568"/>
    <cellStyle name="Вычисление 4 2 3 3" xfId="11569"/>
    <cellStyle name="Вычисление 4 2 3 4" xfId="11570"/>
    <cellStyle name="Вычисление 4 2 3 5" xfId="11571"/>
    <cellStyle name="Вычисление 4 2 3 6" xfId="11572"/>
    <cellStyle name="Вычисление 4 2 4" xfId="2493"/>
    <cellStyle name="Вычисление 4 2 4 2" xfId="11573"/>
    <cellStyle name="Вычисление 4 2 4 2 2" xfId="11574"/>
    <cellStyle name="Вычисление 4 2 4 2 3" xfId="11575"/>
    <cellStyle name="Вычисление 4 2 4 2 4" xfId="11576"/>
    <cellStyle name="Вычисление 4 2 4 3" xfId="11577"/>
    <cellStyle name="Вычисление 4 2 4 4" xfId="11578"/>
    <cellStyle name="Вычисление 4 2 4 5" xfId="11579"/>
    <cellStyle name="Вычисление 4 2 4 6" xfId="11580"/>
    <cellStyle name="Вычисление 4 2 5" xfId="11581"/>
    <cellStyle name="Вычисление 4 2 5 2" xfId="11582"/>
    <cellStyle name="Вычисление 4 2 5 3" xfId="11583"/>
    <cellStyle name="Вычисление 4 2 5 4" xfId="11584"/>
    <cellStyle name="Вычисление 4 2 6" xfId="11585"/>
    <cellStyle name="Вычисление 4 2 7" xfId="11586"/>
    <cellStyle name="Вычисление 4 2 8" xfId="11587"/>
    <cellStyle name="Вычисление 4 2 9" xfId="11588"/>
    <cellStyle name="Вычисление 4 3" xfId="2494"/>
    <cellStyle name="Вычисление 4 3 10" xfId="11589"/>
    <cellStyle name="Вычисление 4 3 11" xfId="11590"/>
    <cellStyle name="Вычисление 4 3 2" xfId="2495"/>
    <cellStyle name="Вычисление 4 3 2 2" xfId="11591"/>
    <cellStyle name="Вычисление 4 3 2 2 2" xfId="11592"/>
    <cellStyle name="Вычисление 4 3 2 2 3" xfId="11593"/>
    <cellStyle name="Вычисление 4 3 2 2 4" xfId="11594"/>
    <cellStyle name="Вычисление 4 3 2 3" xfId="11595"/>
    <cellStyle name="Вычисление 4 3 2 4" xfId="11596"/>
    <cellStyle name="Вычисление 4 3 2 5" xfId="11597"/>
    <cellStyle name="Вычисление 4 3 2 6" xfId="11598"/>
    <cellStyle name="Вычисление 4 3 3" xfId="2496"/>
    <cellStyle name="Вычисление 4 3 3 2" xfId="11599"/>
    <cellStyle name="Вычисление 4 3 3 2 2" xfId="11600"/>
    <cellStyle name="Вычисление 4 3 3 2 3" xfId="11601"/>
    <cellStyle name="Вычисление 4 3 3 2 4" xfId="11602"/>
    <cellStyle name="Вычисление 4 3 3 3" xfId="11603"/>
    <cellStyle name="Вычисление 4 3 3 4" xfId="11604"/>
    <cellStyle name="Вычисление 4 3 3 5" xfId="11605"/>
    <cellStyle name="Вычисление 4 3 3 6" xfId="11606"/>
    <cellStyle name="Вычисление 4 3 4" xfId="11607"/>
    <cellStyle name="Вычисление 4 3 4 2" xfId="11608"/>
    <cellStyle name="Вычисление 4 3 4 3" xfId="11609"/>
    <cellStyle name="Вычисление 4 3 4 4" xfId="11610"/>
    <cellStyle name="Вычисление 4 3 5" xfId="11611"/>
    <cellStyle name="Вычисление 4 3 6" xfId="11612"/>
    <cellStyle name="Вычисление 4 3 7" xfId="11613"/>
    <cellStyle name="Вычисление 4 3 8" xfId="11614"/>
    <cellStyle name="Вычисление 4 3 9" xfId="11615"/>
    <cellStyle name="Вычисление 4 4" xfId="2497"/>
    <cellStyle name="Вычисление 4 4 2" xfId="11616"/>
    <cellStyle name="Вычисление 4 4 3" xfId="11617"/>
    <cellStyle name="Вычисление 4 4 4" xfId="11618"/>
    <cellStyle name="Вычисление 4 4 5" xfId="11619"/>
    <cellStyle name="Вычисление 4 4 6" xfId="11620"/>
    <cellStyle name="Вычисление 4 4 7" xfId="11621"/>
    <cellStyle name="Вычисление 4 4 8" xfId="11622"/>
    <cellStyle name="Вычисление 4 5" xfId="2498"/>
    <cellStyle name="Вычисление 4 5 2" xfId="11623"/>
    <cellStyle name="Вычисление 4 5 3" xfId="11624"/>
    <cellStyle name="Вычисление 4 5 4" xfId="11625"/>
    <cellStyle name="Вычисление 4 5 5" xfId="11626"/>
    <cellStyle name="Вычисление 4 5 6" xfId="11627"/>
    <cellStyle name="Вычисление 4 5 7" xfId="11628"/>
    <cellStyle name="Вычисление 4 5 8" xfId="11629"/>
    <cellStyle name="Вычисление 4 6" xfId="2499"/>
    <cellStyle name="Вычисление 4 6 2" xfId="11630"/>
    <cellStyle name="Вычисление 4 6 3" xfId="11631"/>
    <cellStyle name="Вычисление 4 6 4" xfId="11632"/>
    <cellStyle name="Вычисление 4 6 5" xfId="11633"/>
    <cellStyle name="Вычисление 4 6 6" xfId="11634"/>
    <cellStyle name="Вычисление 4 6 7" xfId="11635"/>
    <cellStyle name="Вычисление 4 6 8" xfId="11636"/>
    <cellStyle name="Вычисление 4 7" xfId="11637"/>
    <cellStyle name="Вычисление 4 7 2" xfId="11638"/>
    <cellStyle name="Вычисление 4 7 3" xfId="11639"/>
    <cellStyle name="Вычисление 4 7 4" xfId="11640"/>
    <cellStyle name="Вычисление 4 8" xfId="11641"/>
    <cellStyle name="Вычисление 4 9" xfId="11642"/>
    <cellStyle name="Вычисление 5" xfId="2500"/>
    <cellStyle name="Вычисление 5 10" xfId="11643"/>
    <cellStyle name="Вычисление 5 11" xfId="11644"/>
    <cellStyle name="Вычисление 5 12" xfId="11645"/>
    <cellStyle name="Вычисление 5 13" xfId="11646"/>
    <cellStyle name="Вычисление 5 14" xfId="11647"/>
    <cellStyle name="Вычисление 5 2" xfId="2501"/>
    <cellStyle name="Вычисление 5 2 10" xfId="11648"/>
    <cellStyle name="Вычисление 5 2 11" xfId="11649"/>
    <cellStyle name="Вычисление 5 2 12" xfId="11650"/>
    <cellStyle name="Вычисление 5 2 2" xfId="2502"/>
    <cellStyle name="Вычисление 5 2 2 2" xfId="11651"/>
    <cellStyle name="Вычисление 5 2 2 2 2" xfId="11652"/>
    <cellStyle name="Вычисление 5 2 2 2 3" xfId="11653"/>
    <cellStyle name="Вычисление 5 2 2 2 4" xfId="11654"/>
    <cellStyle name="Вычисление 5 2 2 3" xfId="11655"/>
    <cellStyle name="Вычисление 5 2 2 4" xfId="11656"/>
    <cellStyle name="Вычисление 5 2 2 5" xfId="11657"/>
    <cellStyle name="Вычисление 5 2 2 6" xfId="11658"/>
    <cellStyle name="Вычисление 5 2 3" xfId="2503"/>
    <cellStyle name="Вычисление 5 2 3 2" xfId="11659"/>
    <cellStyle name="Вычисление 5 2 3 2 2" xfId="11660"/>
    <cellStyle name="Вычисление 5 2 3 2 3" xfId="11661"/>
    <cellStyle name="Вычисление 5 2 3 2 4" xfId="11662"/>
    <cellStyle name="Вычисление 5 2 3 3" xfId="11663"/>
    <cellStyle name="Вычисление 5 2 3 4" xfId="11664"/>
    <cellStyle name="Вычисление 5 2 3 5" xfId="11665"/>
    <cellStyle name="Вычисление 5 2 3 6" xfId="11666"/>
    <cellStyle name="Вычисление 5 2 4" xfId="2504"/>
    <cellStyle name="Вычисление 5 2 4 2" xfId="11667"/>
    <cellStyle name="Вычисление 5 2 4 2 2" xfId="11668"/>
    <cellStyle name="Вычисление 5 2 4 2 3" xfId="11669"/>
    <cellStyle name="Вычисление 5 2 4 2 4" xfId="11670"/>
    <cellStyle name="Вычисление 5 2 4 3" xfId="11671"/>
    <cellStyle name="Вычисление 5 2 4 4" xfId="11672"/>
    <cellStyle name="Вычисление 5 2 4 5" xfId="11673"/>
    <cellStyle name="Вычисление 5 2 4 6" xfId="11674"/>
    <cellStyle name="Вычисление 5 2 5" xfId="11675"/>
    <cellStyle name="Вычисление 5 2 5 2" xfId="11676"/>
    <cellStyle name="Вычисление 5 2 5 3" xfId="11677"/>
    <cellStyle name="Вычисление 5 2 5 4" xfId="11678"/>
    <cellStyle name="Вычисление 5 2 6" xfId="11679"/>
    <cellStyle name="Вычисление 5 2 7" xfId="11680"/>
    <cellStyle name="Вычисление 5 2 8" xfId="11681"/>
    <cellStyle name="Вычисление 5 2 9" xfId="11682"/>
    <cellStyle name="Вычисление 5 3" xfId="2505"/>
    <cellStyle name="Вычисление 5 3 10" xfId="11683"/>
    <cellStyle name="Вычисление 5 3 11" xfId="11684"/>
    <cellStyle name="Вычисление 5 3 2" xfId="2506"/>
    <cellStyle name="Вычисление 5 3 2 2" xfId="11685"/>
    <cellStyle name="Вычисление 5 3 2 2 2" xfId="11686"/>
    <cellStyle name="Вычисление 5 3 2 2 3" xfId="11687"/>
    <cellStyle name="Вычисление 5 3 2 2 4" xfId="11688"/>
    <cellStyle name="Вычисление 5 3 2 3" xfId="11689"/>
    <cellStyle name="Вычисление 5 3 2 4" xfId="11690"/>
    <cellStyle name="Вычисление 5 3 2 5" xfId="11691"/>
    <cellStyle name="Вычисление 5 3 2 6" xfId="11692"/>
    <cellStyle name="Вычисление 5 3 3" xfId="2507"/>
    <cellStyle name="Вычисление 5 3 3 2" xfId="11693"/>
    <cellStyle name="Вычисление 5 3 3 2 2" xfId="11694"/>
    <cellStyle name="Вычисление 5 3 3 2 3" xfId="11695"/>
    <cellStyle name="Вычисление 5 3 3 2 4" xfId="11696"/>
    <cellStyle name="Вычисление 5 3 3 3" xfId="11697"/>
    <cellStyle name="Вычисление 5 3 3 4" xfId="11698"/>
    <cellStyle name="Вычисление 5 3 3 5" xfId="11699"/>
    <cellStyle name="Вычисление 5 3 3 6" xfId="11700"/>
    <cellStyle name="Вычисление 5 3 4" xfId="11701"/>
    <cellStyle name="Вычисление 5 3 4 2" xfId="11702"/>
    <cellStyle name="Вычисление 5 3 4 3" xfId="11703"/>
    <cellStyle name="Вычисление 5 3 4 4" xfId="11704"/>
    <cellStyle name="Вычисление 5 3 5" xfId="11705"/>
    <cellStyle name="Вычисление 5 3 6" xfId="11706"/>
    <cellStyle name="Вычисление 5 3 7" xfId="11707"/>
    <cellStyle name="Вычисление 5 3 8" xfId="11708"/>
    <cellStyle name="Вычисление 5 3 9" xfId="11709"/>
    <cellStyle name="Вычисление 5 4" xfId="2508"/>
    <cellStyle name="Вычисление 5 4 2" xfId="11710"/>
    <cellStyle name="Вычисление 5 4 3" xfId="11711"/>
    <cellStyle name="Вычисление 5 4 4" xfId="11712"/>
    <cellStyle name="Вычисление 5 4 5" xfId="11713"/>
    <cellStyle name="Вычисление 5 4 6" xfId="11714"/>
    <cellStyle name="Вычисление 5 4 7" xfId="11715"/>
    <cellStyle name="Вычисление 5 4 8" xfId="11716"/>
    <cellStyle name="Вычисление 5 5" xfId="2509"/>
    <cellStyle name="Вычисление 5 5 2" xfId="11717"/>
    <cellStyle name="Вычисление 5 5 3" xfId="11718"/>
    <cellStyle name="Вычисление 5 5 4" xfId="11719"/>
    <cellStyle name="Вычисление 5 5 5" xfId="11720"/>
    <cellStyle name="Вычисление 5 5 6" xfId="11721"/>
    <cellStyle name="Вычисление 5 5 7" xfId="11722"/>
    <cellStyle name="Вычисление 5 5 8" xfId="11723"/>
    <cellStyle name="Вычисление 5 6" xfId="2510"/>
    <cellStyle name="Вычисление 5 6 2" xfId="11724"/>
    <cellStyle name="Вычисление 5 6 3" xfId="11725"/>
    <cellStyle name="Вычисление 5 6 4" xfId="11726"/>
    <cellStyle name="Вычисление 5 6 5" xfId="11727"/>
    <cellStyle name="Вычисление 5 6 6" xfId="11728"/>
    <cellStyle name="Вычисление 5 6 7" xfId="11729"/>
    <cellStyle name="Вычисление 5 6 8" xfId="11730"/>
    <cellStyle name="Вычисление 5 7" xfId="11731"/>
    <cellStyle name="Вычисление 5 7 2" xfId="11732"/>
    <cellStyle name="Вычисление 5 7 3" xfId="11733"/>
    <cellStyle name="Вычисление 5 7 4" xfId="11734"/>
    <cellStyle name="Вычисление 5 8" xfId="11735"/>
    <cellStyle name="Вычисление 5 9" xfId="11736"/>
    <cellStyle name="Вычисление 6" xfId="2511"/>
    <cellStyle name="Вычисление 6 10" xfId="11737"/>
    <cellStyle name="Вычисление 6 11" xfId="11738"/>
    <cellStyle name="Вычисление 6 12" xfId="11739"/>
    <cellStyle name="Вычисление 6 13" xfId="11740"/>
    <cellStyle name="Вычисление 6 14" xfId="11741"/>
    <cellStyle name="Вычисление 6 2" xfId="2512"/>
    <cellStyle name="Вычисление 6 2 10" xfId="11742"/>
    <cellStyle name="Вычисление 6 2 11" xfId="11743"/>
    <cellStyle name="Вычисление 6 2 12" xfId="11744"/>
    <cellStyle name="Вычисление 6 2 2" xfId="2513"/>
    <cellStyle name="Вычисление 6 2 2 2" xfId="11745"/>
    <cellStyle name="Вычисление 6 2 2 2 2" xfId="11746"/>
    <cellStyle name="Вычисление 6 2 2 2 3" xfId="11747"/>
    <cellStyle name="Вычисление 6 2 2 2 4" xfId="11748"/>
    <cellStyle name="Вычисление 6 2 2 3" xfId="11749"/>
    <cellStyle name="Вычисление 6 2 2 4" xfId="11750"/>
    <cellStyle name="Вычисление 6 2 2 5" xfId="11751"/>
    <cellStyle name="Вычисление 6 2 2 6" xfId="11752"/>
    <cellStyle name="Вычисление 6 2 3" xfId="2514"/>
    <cellStyle name="Вычисление 6 2 3 2" xfId="11753"/>
    <cellStyle name="Вычисление 6 2 3 2 2" xfId="11754"/>
    <cellStyle name="Вычисление 6 2 3 2 3" xfId="11755"/>
    <cellStyle name="Вычисление 6 2 3 2 4" xfId="11756"/>
    <cellStyle name="Вычисление 6 2 3 3" xfId="11757"/>
    <cellStyle name="Вычисление 6 2 3 4" xfId="11758"/>
    <cellStyle name="Вычисление 6 2 3 5" xfId="11759"/>
    <cellStyle name="Вычисление 6 2 3 6" xfId="11760"/>
    <cellStyle name="Вычисление 6 2 4" xfId="2515"/>
    <cellStyle name="Вычисление 6 2 4 2" xfId="11761"/>
    <cellStyle name="Вычисление 6 2 4 2 2" xfId="11762"/>
    <cellStyle name="Вычисление 6 2 4 2 3" xfId="11763"/>
    <cellStyle name="Вычисление 6 2 4 2 4" xfId="11764"/>
    <cellStyle name="Вычисление 6 2 4 3" xfId="11765"/>
    <cellStyle name="Вычисление 6 2 4 4" xfId="11766"/>
    <cellStyle name="Вычисление 6 2 4 5" xfId="11767"/>
    <cellStyle name="Вычисление 6 2 4 6" xfId="11768"/>
    <cellStyle name="Вычисление 6 2 5" xfId="11769"/>
    <cellStyle name="Вычисление 6 2 5 2" xfId="11770"/>
    <cellStyle name="Вычисление 6 2 5 3" xfId="11771"/>
    <cellStyle name="Вычисление 6 2 5 4" xfId="11772"/>
    <cellStyle name="Вычисление 6 2 6" xfId="11773"/>
    <cellStyle name="Вычисление 6 2 7" xfId="11774"/>
    <cellStyle name="Вычисление 6 2 8" xfId="11775"/>
    <cellStyle name="Вычисление 6 2 9" xfId="11776"/>
    <cellStyle name="Вычисление 6 3" xfId="2516"/>
    <cellStyle name="Вычисление 6 3 10" xfId="11777"/>
    <cellStyle name="Вычисление 6 3 11" xfId="11778"/>
    <cellStyle name="Вычисление 6 3 2" xfId="2517"/>
    <cellStyle name="Вычисление 6 3 2 2" xfId="11779"/>
    <cellStyle name="Вычисление 6 3 2 2 2" xfId="11780"/>
    <cellStyle name="Вычисление 6 3 2 2 3" xfId="11781"/>
    <cellStyle name="Вычисление 6 3 2 2 4" xfId="11782"/>
    <cellStyle name="Вычисление 6 3 2 3" xfId="11783"/>
    <cellStyle name="Вычисление 6 3 2 4" xfId="11784"/>
    <cellStyle name="Вычисление 6 3 2 5" xfId="11785"/>
    <cellStyle name="Вычисление 6 3 2 6" xfId="11786"/>
    <cellStyle name="Вычисление 6 3 3" xfId="2518"/>
    <cellStyle name="Вычисление 6 3 3 2" xfId="11787"/>
    <cellStyle name="Вычисление 6 3 3 2 2" xfId="11788"/>
    <cellStyle name="Вычисление 6 3 3 2 3" xfId="11789"/>
    <cellStyle name="Вычисление 6 3 3 2 4" xfId="11790"/>
    <cellStyle name="Вычисление 6 3 3 3" xfId="11791"/>
    <cellStyle name="Вычисление 6 3 3 4" xfId="11792"/>
    <cellStyle name="Вычисление 6 3 3 5" xfId="11793"/>
    <cellStyle name="Вычисление 6 3 3 6" xfId="11794"/>
    <cellStyle name="Вычисление 6 3 4" xfId="11795"/>
    <cellStyle name="Вычисление 6 3 4 2" xfId="11796"/>
    <cellStyle name="Вычисление 6 3 4 3" xfId="11797"/>
    <cellStyle name="Вычисление 6 3 4 4" xfId="11798"/>
    <cellStyle name="Вычисление 6 3 5" xfId="11799"/>
    <cellStyle name="Вычисление 6 3 6" xfId="11800"/>
    <cellStyle name="Вычисление 6 3 7" xfId="11801"/>
    <cellStyle name="Вычисление 6 3 8" xfId="11802"/>
    <cellStyle name="Вычисление 6 3 9" xfId="11803"/>
    <cellStyle name="Вычисление 6 4" xfId="2519"/>
    <cellStyle name="Вычисление 6 4 2" xfId="11804"/>
    <cellStyle name="Вычисление 6 4 3" xfId="11805"/>
    <cellStyle name="Вычисление 6 4 4" xfId="11806"/>
    <cellStyle name="Вычисление 6 4 5" xfId="11807"/>
    <cellStyle name="Вычисление 6 4 6" xfId="11808"/>
    <cellStyle name="Вычисление 6 4 7" xfId="11809"/>
    <cellStyle name="Вычисление 6 4 8" xfId="11810"/>
    <cellStyle name="Вычисление 6 5" xfId="2520"/>
    <cellStyle name="Вычисление 6 5 2" xfId="11811"/>
    <cellStyle name="Вычисление 6 5 3" xfId="11812"/>
    <cellStyle name="Вычисление 6 5 4" xfId="11813"/>
    <cellStyle name="Вычисление 6 5 5" xfId="11814"/>
    <cellStyle name="Вычисление 6 5 6" xfId="11815"/>
    <cellStyle name="Вычисление 6 5 7" xfId="11816"/>
    <cellStyle name="Вычисление 6 5 8" xfId="11817"/>
    <cellStyle name="Вычисление 6 6" xfId="2521"/>
    <cellStyle name="Вычисление 6 6 2" xfId="11818"/>
    <cellStyle name="Вычисление 6 6 3" xfId="11819"/>
    <cellStyle name="Вычисление 6 6 4" xfId="11820"/>
    <cellStyle name="Вычисление 6 6 5" xfId="11821"/>
    <cellStyle name="Вычисление 6 6 6" xfId="11822"/>
    <cellStyle name="Вычисление 6 6 7" xfId="11823"/>
    <cellStyle name="Вычисление 6 6 8" xfId="11824"/>
    <cellStyle name="Вычисление 6 7" xfId="11825"/>
    <cellStyle name="Вычисление 6 7 2" xfId="11826"/>
    <cellStyle name="Вычисление 6 7 3" xfId="11827"/>
    <cellStyle name="Вычисление 6 7 4" xfId="11828"/>
    <cellStyle name="Вычисление 6 8" xfId="11829"/>
    <cellStyle name="Вычисление 6 9" xfId="11830"/>
    <cellStyle name="Гиперссылка 2" xfId="2522"/>
    <cellStyle name="Гиперссылка 2 10" xfId="2523"/>
    <cellStyle name="Гиперссылка 2 10 2" xfId="2524"/>
    <cellStyle name="Гиперссылка 2 10 2 2" xfId="2525"/>
    <cellStyle name="Гиперссылка 2 10 2 2 2" xfId="11831"/>
    <cellStyle name="Гиперссылка 2 10 2 2 3" xfId="11832"/>
    <cellStyle name="Гиперссылка 2 10 2 2 4" xfId="11833"/>
    <cellStyle name="Гиперссылка 2 10 2 2 5" xfId="11834"/>
    <cellStyle name="Гиперссылка 2 10 2 2 6" xfId="11835"/>
    <cellStyle name="Гиперссылка 2 10 2 3" xfId="2526"/>
    <cellStyle name="Гиперссылка 2 10 2 3 2" xfId="11836"/>
    <cellStyle name="Гиперссылка 2 10 2 3 3" xfId="11837"/>
    <cellStyle name="Гиперссылка 2 10 2 3 4" xfId="11838"/>
    <cellStyle name="Гиперссылка 2 10 2 3 5" xfId="11839"/>
    <cellStyle name="Гиперссылка 2 10 2 3 6" xfId="11840"/>
    <cellStyle name="Гиперссылка 2 10 2 4" xfId="11841"/>
    <cellStyle name="Гиперссылка 2 10 2 5" xfId="11842"/>
    <cellStyle name="Гиперссылка 2 10 2 6" xfId="11843"/>
    <cellStyle name="Гиперссылка 2 10 2 7" xfId="11844"/>
    <cellStyle name="Гиперссылка 2 10 2 8" xfId="11845"/>
    <cellStyle name="Гиперссылка 2 10 3" xfId="2527"/>
    <cellStyle name="Гиперссылка 2 10 3 2" xfId="11846"/>
    <cellStyle name="Гиперссылка 2 10 3 3" xfId="11847"/>
    <cellStyle name="Гиперссылка 2 10 3 4" xfId="11848"/>
    <cellStyle name="Гиперссылка 2 10 3 5" xfId="11849"/>
    <cellStyle name="Гиперссылка 2 10 3 6" xfId="11850"/>
    <cellStyle name="Гиперссылка 2 10 4" xfId="2528"/>
    <cellStyle name="Гиперссылка 2 10 4 2" xfId="11851"/>
    <cellStyle name="Гиперссылка 2 10 4 3" xfId="11852"/>
    <cellStyle name="Гиперссылка 2 10 4 4" xfId="11853"/>
    <cellStyle name="Гиперссылка 2 10 4 5" xfId="11854"/>
    <cellStyle name="Гиперссылка 2 10 5" xfId="11855"/>
    <cellStyle name="Гиперссылка 2 10 6" xfId="11856"/>
    <cellStyle name="Гиперссылка 2 10 7" xfId="11857"/>
    <cellStyle name="Гиперссылка 2 10 8" xfId="11858"/>
    <cellStyle name="Гиперссылка 2 11" xfId="2529"/>
    <cellStyle name="Гиперссылка 2 11 2" xfId="2530"/>
    <cellStyle name="Гиперссылка 2 11 2 2" xfId="2531"/>
    <cellStyle name="Гиперссылка 2 11 2 3" xfId="2532"/>
    <cellStyle name="Гиперссылка 2 11 3" xfId="2533"/>
    <cellStyle name="Гиперссылка 2 11 4" xfId="2534"/>
    <cellStyle name="Гиперссылка 2 11 4 2" xfId="11859"/>
    <cellStyle name="Гиперссылка 2 11 4 3" xfId="11860"/>
    <cellStyle name="Гиперссылка 2 11 4 4" xfId="11861"/>
    <cellStyle name="Гиперссылка 2 11 4 5" xfId="11862"/>
    <cellStyle name="Гиперссылка 2 11 5" xfId="11863"/>
    <cellStyle name="Гиперссылка 2 11 6" xfId="11864"/>
    <cellStyle name="Гиперссылка 2 11 7" xfId="11865"/>
    <cellStyle name="Гиперссылка 2 11 8" xfId="11866"/>
    <cellStyle name="Гиперссылка 2 12" xfId="2535"/>
    <cellStyle name="Гиперссылка 2 12 2" xfId="2536"/>
    <cellStyle name="Гиперссылка 2 12 2 2" xfId="2537"/>
    <cellStyle name="Гиперссылка 2 12 2 3" xfId="2538"/>
    <cellStyle name="Гиперссылка 2 12 3" xfId="2539"/>
    <cellStyle name="Гиперссылка 2 12 4" xfId="2540"/>
    <cellStyle name="Гиперссылка 2 12 4 2" xfId="11867"/>
    <cellStyle name="Гиперссылка 2 12 4 3" xfId="11868"/>
    <cellStyle name="Гиперссылка 2 12 4 4" xfId="11869"/>
    <cellStyle name="Гиперссылка 2 12 4 5" xfId="11870"/>
    <cellStyle name="Гиперссылка 2 12 5" xfId="11871"/>
    <cellStyle name="Гиперссылка 2 12 6" xfId="11872"/>
    <cellStyle name="Гиперссылка 2 12 7" xfId="11873"/>
    <cellStyle name="Гиперссылка 2 12 8" xfId="11874"/>
    <cellStyle name="Гиперссылка 2 13" xfId="2541"/>
    <cellStyle name="Гиперссылка 2 13 2" xfId="2542"/>
    <cellStyle name="Гиперссылка 2 13 2 2" xfId="11875"/>
    <cellStyle name="Гиперссылка 2 13 2 3" xfId="11876"/>
    <cellStyle name="Гиперссылка 2 13 2 4" xfId="11877"/>
    <cellStyle name="Гиперссылка 2 13 2 5" xfId="11878"/>
    <cellStyle name="Гиперссылка 2 13 2 6" xfId="11879"/>
    <cellStyle name="Гиперссылка 2 13 3" xfId="2543"/>
    <cellStyle name="Гиперссылка 2 13 3 2" xfId="11880"/>
    <cellStyle name="Гиперссылка 2 13 3 3" xfId="11881"/>
    <cellStyle name="Гиперссылка 2 13 3 4" xfId="11882"/>
    <cellStyle name="Гиперссылка 2 13 3 5" xfId="11883"/>
    <cellStyle name="Гиперссылка 2 13 3 6" xfId="11884"/>
    <cellStyle name="Гиперссылка 2 13 4" xfId="11885"/>
    <cellStyle name="Гиперссылка 2 13 5" xfId="11886"/>
    <cellStyle name="Гиперссылка 2 13 6" xfId="11887"/>
    <cellStyle name="Гиперссылка 2 13 7" xfId="11888"/>
    <cellStyle name="Гиперссылка 2 13 8" xfId="11889"/>
    <cellStyle name="Гиперссылка 2 14" xfId="2544"/>
    <cellStyle name="Гиперссылка 2 14 2" xfId="11890"/>
    <cellStyle name="Гиперссылка 2 14 3" xfId="11891"/>
    <cellStyle name="Гиперссылка 2 14 4" xfId="11892"/>
    <cellStyle name="Гиперссылка 2 14 5" xfId="11893"/>
    <cellStyle name="Гиперссылка 2 14 6" xfId="11894"/>
    <cellStyle name="Гиперссылка 2 15" xfId="2545"/>
    <cellStyle name="Гиперссылка 2 15 2" xfId="11895"/>
    <cellStyle name="Гиперссылка 2 15 3" xfId="11896"/>
    <cellStyle name="Гиперссылка 2 15 4" xfId="11897"/>
    <cellStyle name="Гиперссылка 2 15 5" xfId="11898"/>
    <cellStyle name="Гиперссылка 2 16" xfId="11899"/>
    <cellStyle name="Гиперссылка 2 17" xfId="11900"/>
    <cellStyle name="Гиперссылка 2 18" xfId="11901"/>
    <cellStyle name="Гиперссылка 2 19" xfId="11902"/>
    <cellStyle name="Гиперссылка 2 2" xfId="2546"/>
    <cellStyle name="Гиперссылка 2 2 2" xfId="2547"/>
    <cellStyle name="Гиперссылка 2 2 2 2" xfId="2548"/>
    <cellStyle name="Гиперссылка 2 2 2 3" xfId="2549"/>
    <cellStyle name="Гиперссылка 2 2 3" xfId="2550"/>
    <cellStyle name="Гиперссылка 2 2 4" xfId="2551"/>
    <cellStyle name="Гиперссылка 2 2 4 2" xfId="11903"/>
    <cellStyle name="Гиперссылка 2 2 4 3" xfId="11904"/>
    <cellStyle name="Гиперссылка 2 2 4 4" xfId="11905"/>
    <cellStyle name="Гиперссылка 2 2 4 5" xfId="11906"/>
    <cellStyle name="Гиперссылка 2 2 5" xfId="11907"/>
    <cellStyle name="Гиперссылка 2 2 6" xfId="11908"/>
    <cellStyle name="Гиперссылка 2 2 7" xfId="11909"/>
    <cellStyle name="Гиперссылка 2 2 8" xfId="11910"/>
    <cellStyle name="Гиперссылка 2 3" xfId="2552"/>
    <cellStyle name="Гиперссылка 2 3 2" xfId="2553"/>
    <cellStyle name="Гиперссылка 2 3 2 2" xfId="2554"/>
    <cellStyle name="Гиперссылка 2 3 2 3" xfId="2555"/>
    <cellStyle name="Гиперссылка 2 3 3" xfId="2556"/>
    <cellStyle name="Гиперссылка 2 3 4" xfId="2557"/>
    <cellStyle name="Гиперссылка 2 3 4 2" xfId="11911"/>
    <cellStyle name="Гиперссылка 2 3 4 3" xfId="11912"/>
    <cellStyle name="Гиперссылка 2 3 4 4" xfId="11913"/>
    <cellStyle name="Гиперссылка 2 3 4 5" xfId="11914"/>
    <cellStyle name="Гиперссылка 2 3 5" xfId="11915"/>
    <cellStyle name="Гиперссылка 2 3 6" xfId="11916"/>
    <cellStyle name="Гиперссылка 2 3 7" xfId="11917"/>
    <cellStyle name="Гиперссылка 2 3 8" xfId="11918"/>
    <cellStyle name="Гиперссылка 2 4" xfId="2558"/>
    <cellStyle name="Гиперссылка 2 4 2" xfId="2559"/>
    <cellStyle name="Гиперссылка 2 4 2 2" xfId="2560"/>
    <cellStyle name="Гиперссылка 2 4 2 3" xfId="2561"/>
    <cellStyle name="Гиперссылка 2 4 3" xfId="2562"/>
    <cellStyle name="Гиперссылка 2 4 4" xfId="2563"/>
    <cellStyle name="Гиперссылка 2 4 4 2" xfId="11919"/>
    <cellStyle name="Гиперссылка 2 4 4 3" xfId="11920"/>
    <cellStyle name="Гиперссылка 2 4 4 4" xfId="11921"/>
    <cellStyle name="Гиперссылка 2 4 4 5" xfId="11922"/>
    <cellStyle name="Гиперссылка 2 4 5" xfId="11923"/>
    <cellStyle name="Гиперссылка 2 4 6" xfId="11924"/>
    <cellStyle name="Гиперссылка 2 4 7" xfId="11925"/>
    <cellStyle name="Гиперссылка 2 4 8" xfId="11926"/>
    <cellStyle name="Гиперссылка 2 5" xfId="2564"/>
    <cellStyle name="Гиперссылка 2 5 2" xfId="2565"/>
    <cellStyle name="Гиперссылка 2 5 2 2" xfId="2566"/>
    <cellStyle name="Гиперссылка 2 5 2 3" xfId="2567"/>
    <cellStyle name="Гиперссылка 2 5 3" xfId="2568"/>
    <cellStyle name="Гиперссылка 2 5 4" xfId="2569"/>
    <cellStyle name="Гиперссылка 2 5 4 2" xfId="11927"/>
    <cellStyle name="Гиперссылка 2 5 4 3" xfId="11928"/>
    <cellStyle name="Гиперссылка 2 5 4 4" xfId="11929"/>
    <cellStyle name="Гиперссылка 2 5 4 5" xfId="11930"/>
    <cellStyle name="Гиперссылка 2 5 5" xfId="11931"/>
    <cellStyle name="Гиперссылка 2 5 6" xfId="11932"/>
    <cellStyle name="Гиперссылка 2 5 7" xfId="11933"/>
    <cellStyle name="Гиперссылка 2 5 8" xfId="11934"/>
    <cellStyle name="Гиперссылка 2 6" xfId="2570"/>
    <cellStyle name="Гиперссылка 2 6 2" xfId="2571"/>
    <cellStyle name="Гиперссылка 2 6 2 2" xfId="2572"/>
    <cellStyle name="Гиперссылка 2 6 2 2 2" xfId="11935"/>
    <cellStyle name="Гиперссылка 2 6 2 2 3" xfId="11936"/>
    <cellStyle name="Гиперссылка 2 6 2 2 4" xfId="11937"/>
    <cellStyle name="Гиперссылка 2 6 2 2 5" xfId="11938"/>
    <cellStyle name="Гиперссылка 2 6 2 2 6" xfId="11939"/>
    <cellStyle name="Гиперссылка 2 6 2 3" xfId="2573"/>
    <cellStyle name="Гиперссылка 2 6 2 3 2" xfId="11940"/>
    <cellStyle name="Гиперссылка 2 6 2 3 3" xfId="11941"/>
    <cellStyle name="Гиперссылка 2 6 2 3 4" xfId="11942"/>
    <cellStyle name="Гиперссылка 2 6 2 3 5" xfId="11943"/>
    <cellStyle name="Гиперссылка 2 6 2 3 6" xfId="11944"/>
    <cellStyle name="Гиперссылка 2 6 2 4" xfId="11945"/>
    <cellStyle name="Гиперссылка 2 6 2 5" xfId="11946"/>
    <cellStyle name="Гиперссылка 2 6 2 6" xfId="11947"/>
    <cellStyle name="Гиперссылка 2 6 2 7" xfId="11948"/>
    <cellStyle name="Гиперссылка 2 6 2 8" xfId="11949"/>
    <cellStyle name="Гиперссылка 2 6 3" xfId="2574"/>
    <cellStyle name="Гиперссылка 2 6 3 2" xfId="11950"/>
    <cellStyle name="Гиперссылка 2 6 3 3" xfId="11951"/>
    <cellStyle name="Гиперссылка 2 6 3 4" xfId="11952"/>
    <cellStyle name="Гиперссылка 2 6 3 5" xfId="11953"/>
    <cellStyle name="Гиперссылка 2 6 3 6" xfId="11954"/>
    <cellStyle name="Гиперссылка 2 6 4" xfId="2575"/>
    <cellStyle name="Гиперссылка 2 6 4 2" xfId="11955"/>
    <cellStyle name="Гиперссылка 2 6 4 3" xfId="11956"/>
    <cellStyle name="Гиперссылка 2 6 4 4" xfId="11957"/>
    <cellStyle name="Гиперссылка 2 6 4 5" xfId="11958"/>
    <cellStyle name="Гиперссылка 2 6 5" xfId="11959"/>
    <cellStyle name="Гиперссылка 2 6 6" xfId="11960"/>
    <cellStyle name="Гиперссылка 2 6 7" xfId="11961"/>
    <cellStyle name="Гиперссылка 2 6 8" xfId="11962"/>
    <cellStyle name="Гиперссылка 2 7" xfId="2576"/>
    <cellStyle name="Гиперссылка 2 7 2" xfId="2577"/>
    <cellStyle name="Гиперссылка 2 7 2 2" xfId="2578"/>
    <cellStyle name="Гиперссылка 2 7 2 2 2" xfId="11963"/>
    <cellStyle name="Гиперссылка 2 7 2 2 3" xfId="11964"/>
    <cellStyle name="Гиперссылка 2 7 2 2 4" xfId="11965"/>
    <cellStyle name="Гиперссылка 2 7 2 2 5" xfId="11966"/>
    <cellStyle name="Гиперссылка 2 7 2 2 6" xfId="11967"/>
    <cellStyle name="Гиперссылка 2 7 2 3" xfId="2579"/>
    <cellStyle name="Гиперссылка 2 7 2 3 2" xfId="11968"/>
    <cellStyle name="Гиперссылка 2 7 2 3 3" xfId="11969"/>
    <cellStyle name="Гиперссылка 2 7 2 3 4" xfId="11970"/>
    <cellStyle name="Гиперссылка 2 7 2 3 5" xfId="11971"/>
    <cellStyle name="Гиперссылка 2 7 2 3 6" xfId="11972"/>
    <cellStyle name="Гиперссылка 2 7 2 4" xfId="11973"/>
    <cellStyle name="Гиперссылка 2 7 2 5" xfId="11974"/>
    <cellStyle name="Гиперссылка 2 7 2 6" xfId="11975"/>
    <cellStyle name="Гиперссылка 2 7 2 7" xfId="11976"/>
    <cellStyle name="Гиперссылка 2 7 2 8" xfId="11977"/>
    <cellStyle name="Гиперссылка 2 7 3" xfId="2580"/>
    <cellStyle name="Гиперссылка 2 7 3 2" xfId="11978"/>
    <cellStyle name="Гиперссылка 2 7 3 3" xfId="11979"/>
    <cellStyle name="Гиперссылка 2 7 3 4" xfId="11980"/>
    <cellStyle name="Гиперссылка 2 7 3 5" xfId="11981"/>
    <cellStyle name="Гиперссылка 2 7 3 6" xfId="11982"/>
    <cellStyle name="Гиперссылка 2 7 4" xfId="2581"/>
    <cellStyle name="Гиперссылка 2 7 4 2" xfId="11983"/>
    <cellStyle name="Гиперссылка 2 7 4 3" xfId="11984"/>
    <cellStyle name="Гиперссылка 2 7 4 4" xfId="11985"/>
    <cellStyle name="Гиперссылка 2 7 4 5" xfId="11986"/>
    <cellStyle name="Гиперссылка 2 7 5" xfId="11987"/>
    <cellStyle name="Гиперссылка 2 7 6" xfId="11988"/>
    <cellStyle name="Гиперссылка 2 7 7" xfId="11989"/>
    <cellStyle name="Гиперссылка 2 7 8" xfId="11990"/>
    <cellStyle name="Гиперссылка 2 8" xfId="2582"/>
    <cellStyle name="Гиперссылка 2 8 2" xfId="2583"/>
    <cellStyle name="Гиперссылка 2 8 2 2" xfId="2584"/>
    <cellStyle name="Гиперссылка 2 8 2 2 2" xfId="11991"/>
    <cellStyle name="Гиперссылка 2 8 2 2 3" xfId="11992"/>
    <cellStyle name="Гиперссылка 2 8 2 2 4" xfId="11993"/>
    <cellStyle name="Гиперссылка 2 8 2 2 5" xfId="11994"/>
    <cellStyle name="Гиперссылка 2 8 2 2 6" xfId="11995"/>
    <cellStyle name="Гиперссылка 2 8 2 3" xfId="2585"/>
    <cellStyle name="Гиперссылка 2 8 2 3 2" xfId="11996"/>
    <cellStyle name="Гиперссылка 2 8 2 3 3" xfId="11997"/>
    <cellStyle name="Гиперссылка 2 8 2 3 4" xfId="11998"/>
    <cellStyle name="Гиперссылка 2 8 2 3 5" xfId="11999"/>
    <cellStyle name="Гиперссылка 2 8 2 3 6" xfId="12000"/>
    <cellStyle name="Гиперссылка 2 8 2 4" xfId="12001"/>
    <cellStyle name="Гиперссылка 2 8 2 5" xfId="12002"/>
    <cellStyle name="Гиперссылка 2 8 2 6" xfId="12003"/>
    <cellStyle name="Гиперссылка 2 8 2 7" xfId="12004"/>
    <cellStyle name="Гиперссылка 2 8 2 8" xfId="12005"/>
    <cellStyle name="Гиперссылка 2 8 3" xfId="2586"/>
    <cellStyle name="Гиперссылка 2 8 3 2" xfId="12006"/>
    <cellStyle name="Гиперссылка 2 8 3 3" xfId="12007"/>
    <cellStyle name="Гиперссылка 2 8 3 4" xfId="12008"/>
    <cellStyle name="Гиперссылка 2 8 3 5" xfId="12009"/>
    <cellStyle name="Гиперссылка 2 8 3 6" xfId="12010"/>
    <cellStyle name="Гиперссылка 2 8 4" xfId="2587"/>
    <cellStyle name="Гиперссылка 2 8 4 2" xfId="12011"/>
    <cellStyle name="Гиперссылка 2 8 4 3" xfId="12012"/>
    <cellStyle name="Гиперссылка 2 8 4 4" xfId="12013"/>
    <cellStyle name="Гиперссылка 2 8 4 5" xfId="12014"/>
    <cellStyle name="Гиперссылка 2 8 5" xfId="12015"/>
    <cellStyle name="Гиперссылка 2 8 6" xfId="12016"/>
    <cellStyle name="Гиперссылка 2 8 7" xfId="12017"/>
    <cellStyle name="Гиперссылка 2 8 8" xfId="12018"/>
    <cellStyle name="Гиперссылка 2 9" xfId="2588"/>
    <cellStyle name="Гиперссылка 2 9 2" xfId="2589"/>
    <cellStyle name="Гиперссылка 2 9 2 2" xfId="2590"/>
    <cellStyle name="Гиперссылка 2 9 2 2 2" xfId="12019"/>
    <cellStyle name="Гиперссылка 2 9 2 2 3" xfId="12020"/>
    <cellStyle name="Гиперссылка 2 9 2 2 4" xfId="12021"/>
    <cellStyle name="Гиперссылка 2 9 2 2 5" xfId="12022"/>
    <cellStyle name="Гиперссылка 2 9 2 2 6" xfId="12023"/>
    <cellStyle name="Гиперссылка 2 9 2 3" xfId="2591"/>
    <cellStyle name="Гиперссылка 2 9 2 3 2" xfId="12024"/>
    <cellStyle name="Гиперссылка 2 9 2 3 3" xfId="12025"/>
    <cellStyle name="Гиперссылка 2 9 2 3 4" xfId="12026"/>
    <cellStyle name="Гиперссылка 2 9 2 3 5" xfId="12027"/>
    <cellStyle name="Гиперссылка 2 9 2 3 6" xfId="12028"/>
    <cellStyle name="Гиперссылка 2 9 2 4" xfId="12029"/>
    <cellStyle name="Гиперссылка 2 9 2 5" xfId="12030"/>
    <cellStyle name="Гиперссылка 2 9 2 6" xfId="12031"/>
    <cellStyle name="Гиперссылка 2 9 2 7" xfId="12032"/>
    <cellStyle name="Гиперссылка 2 9 2 8" xfId="12033"/>
    <cellStyle name="Гиперссылка 2 9 3" xfId="2592"/>
    <cellStyle name="Гиперссылка 2 9 3 2" xfId="12034"/>
    <cellStyle name="Гиперссылка 2 9 3 3" xfId="12035"/>
    <cellStyle name="Гиперссылка 2 9 3 4" xfId="12036"/>
    <cellStyle name="Гиперссылка 2 9 3 5" xfId="12037"/>
    <cellStyle name="Гиперссылка 2 9 3 6" xfId="12038"/>
    <cellStyle name="Гиперссылка 2 9 4" xfId="2593"/>
    <cellStyle name="Гиперссылка 2 9 4 2" xfId="12039"/>
    <cellStyle name="Гиперссылка 2 9 4 3" xfId="12040"/>
    <cellStyle name="Гиперссылка 2 9 4 4" xfId="12041"/>
    <cellStyle name="Гиперссылка 2 9 4 5" xfId="12042"/>
    <cellStyle name="Гиперссылка 2 9 5" xfId="12043"/>
    <cellStyle name="Гиперссылка 2 9 6" xfId="12044"/>
    <cellStyle name="Гиперссылка 2 9 7" xfId="12045"/>
    <cellStyle name="Гиперссылка 2 9 8" xfId="12046"/>
    <cellStyle name="Гиперссылка 3" xfId="2594"/>
    <cellStyle name="Гиперссылка 3 2" xfId="2595"/>
    <cellStyle name="Гиперссылка 3 2 2" xfId="2596"/>
    <cellStyle name="Гиперссылка 3 2 2 2" xfId="12047"/>
    <cellStyle name="Гиперссылка 3 2 2 3" xfId="12048"/>
    <cellStyle name="Гиперссылка 3 2 2 4" xfId="12049"/>
    <cellStyle name="Гиперссылка 3 2 2 5" xfId="12050"/>
    <cellStyle name="Гиперссылка 3 2 2 6" xfId="12051"/>
    <cellStyle name="Гиперссылка 3 2 3" xfId="2597"/>
    <cellStyle name="Гиперссылка 3 2 3 2" xfId="12052"/>
    <cellStyle name="Гиперссылка 3 2 3 3" xfId="12053"/>
    <cellStyle name="Гиперссылка 3 2 3 4" xfId="12054"/>
    <cellStyle name="Гиперссылка 3 2 3 5" xfId="12055"/>
    <cellStyle name="Гиперссылка 3 2 3 6" xfId="12056"/>
    <cellStyle name="Гиперссылка 3 2 4" xfId="12057"/>
    <cellStyle name="Гиперссылка 3 2 5" xfId="12058"/>
    <cellStyle name="Гиперссылка 3 2 6" xfId="12059"/>
    <cellStyle name="Гиперссылка 3 2 7" xfId="12060"/>
    <cellStyle name="Гиперссылка 3 2 8" xfId="12061"/>
    <cellStyle name="Гиперссылка 3 3" xfId="2598"/>
    <cellStyle name="Гиперссылка 3 3 2" xfId="12062"/>
    <cellStyle name="Гиперссылка 3 3 3" xfId="12063"/>
    <cellStyle name="Гиперссылка 3 3 4" xfId="12064"/>
    <cellStyle name="Гиперссылка 3 3 5" xfId="12065"/>
    <cellStyle name="Гиперссылка 3 3 6" xfId="12066"/>
    <cellStyle name="Гиперссылка 3 4" xfId="2599"/>
    <cellStyle name="Гиперссылка 3 4 2" xfId="12067"/>
    <cellStyle name="Гиперссылка 3 4 3" xfId="12068"/>
    <cellStyle name="Гиперссылка 3 4 4" xfId="12069"/>
    <cellStyle name="Гиперссылка 3 4 5" xfId="12070"/>
    <cellStyle name="Гиперссылка 3 5" xfId="12071"/>
    <cellStyle name="Гиперссылка 3 6" xfId="12072"/>
    <cellStyle name="Гиперссылка 3 7" xfId="12073"/>
    <cellStyle name="Гиперссылка 3 8" xfId="12074"/>
    <cellStyle name="Денежный 2" xfId="2600"/>
    <cellStyle name="Денежный 2 2" xfId="12075"/>
    <cellStyle name="Денежный 2 3" xfId="12076"/>
    <cellStyle name="Денежный 2 4" xfId="12077"/>
    <cellStyle name="Денежный 2 5" xfId="12078"/>
    <cellStyle name="Денежный 2 6" xfId="12079"/>
    <cellStyle name="Денежный 2 7" xfId="12080"/>
    <cellStyle name="Денежный 2 8" xfId="12081"/>
    <cellStyle name="Денежный 2 9" xfId="12082"/>
    <cellStyle name="Денежный 3" xfId="2601"/>
    <cellStyle name="Денежный 3 2" xfId="12083"/>
    <cellStyle name="Денежный 3 3" xfId="12084"/>
    <cellStyle name="Денежный 3 4" xfId="12085"/>
    <cellStyle name="Денежный 3 5" xfId="12086"/>
    <cellStyle name="Денежный 3 6" xfId="12087"/>
    <cellStyle name="Денежный 3 7" xfId="12088"/>
    <cellStyle name="Денежный 3 8" xfId="12089"/>
    <cellStyle name="Денежный 3 9" xfId="12090"/>
    <cellStyle name="Заголовок 1 2" xfId="2602"/>
    <cellStyle name="Заголовок 1 2 2" xfId="2603"/>
    <cellStyle name="Заголовок 1 2 2 2" xfId="2604"/>
    <cellStyle name="Заголовок 1 2 2 2 2" xfId="2605"/>
    <cellStyle name="Заголовок 1 2 2 2 3" xfId="2606"/>
    <cellStyle name="Заголовок 1 2 2 3" xfId="2607"/>
    <cellStyle name="Заголовок 1 2 2 4" xfId="2608"/>
    <cellStyle name="Заголовок 1 2 2 4 2" xfId="12091"/>
    <cellStyle name="Заголовок 1 2 2 4 3" xfId="12092"/>
    <cellStyle name="Заголовок 1 2 2 4 4" xfId="12093"/>
    <cellStyle name="Заголовок 1 2 2 4 5" xfId="12094"/>
    <cellStyle name="Заголовок 1 2 2 5" xfId="12095"/>
    <cellStyle name="Заголовок 1 2 2 6" xfId="12096"/>
    <cellStyle name="Заголовок 1 2 2 7" xfId="12097"/>
    <cellStyle name="Заголовок 1 2 2 8" xfId="12098"/>
    <cellStyle name="Заголовок 1 2 3" xfId="2609"/>
    <cellStyle name="Заголовок 1 2 3 2" xfId="2610"/>
    <cellStyle name="Заголовок 1 2 3 2 2" xfId="12099"/>
    <cellStyle name="Заголовок 1 2 3 2 3" xfId="12100"/>
    <cellStyle name="Заголовок 1 2 3 2 4" xfId="12101"/>
    <cellStyle name="Заголовок 1 2 3 2 5" xfId="12102"/>
    <cellStyle name="Заголовок 1 2 3 2 6" xfId="12103"/>
    <cellStyle name="Заголовок 1 2 3 3" xfId="2611"/>
    <cellStyle name="Заголовок 1 2 3 3 2" xfId="12104"/>
    <cellStyle name="Заголовок 1 2 3 3 3" xfId="12105"/>
    <cellStyle name="Заголовок 1 2 3 3 4" xfId="12106"/>
    <cellStyle name="Заголовок 1 2 3 3 5" xfId="12107"/>
    <cellStyle name="Заголовок 1 2 3 3 6" xfId="12108"/>
    <cellStyle name="Заголовок 1 2 3 4" xfId="12109"/>
    <cellStyle name="Заголовок 1 2 3 5" xfId="12110"/>
    <cellStyle name="Заголовок 1 2 3 6" xfId="12111"/>
    <cellStyle name="Заголовок 1 2 3 7" xfId="12112"/>
    <cellStyle name="Заголовок 1 2 3 8" xfId="12113"/>
    <cellStyle name="Заголовок 1 2 4" xfId="2612"/>
    <cellStyle name="Заголовок 1 2 4 2" xfId="12114"/>
    <cellStyle name="Заголовок 1 2 4 3" xfId="12115"/>
    <cellStyle name="Заголовок 1 2 4 4" xfId="12116"/>
    <cellStyle name="Заголовок 1 2 4 5" xfId="12117"/>
    <cellStyle name="Заголовок 1 2 4 6" xfId="12118"/>
    <cellStyle name="Заголовок 1 2 5" xfId="2613"/>
    <cellStyle name="Заголовок 1 2 5 2" xfId="12119"/>
    <cellStyle name="Заголовок 1 2 5 3" xfId="12120"/>
    <cellStyle name="Заголовок 1 2 5 4" xfId="12121"/>
    <cellStyle name="Заголовок 1 2 5 5" xfId="12122"/>
    <cellStyle name="Заголовок 1 2 6" xfId="12123"/>
    <cellStyle name="Заголовок 1 2 7" xfId="12124"/>
    <cellStyle name="Заголовок 1 2 8" xfId="12125"/>
    <cellStyle name="Заголовок 1 2 9" xfId="12126"/>
    <cellStyle name="Заголовок 1 3" xfId="2614"/>
    <cellStyle name="Заголовок 1 3 2" xfId="2615"/>
    <cellStyle name="Заголовок 1 3 2 2" xfId="2616"/>
    <cellStyle name="Заголовок 1 3 2 2 2" xfId="12127"/>
    <cellStyle name="Заголовок 1 3 2 2 3" xfId="12128"/>
    <cellStyle name="Заголовок 1 3 2 2 4" xfId="12129"/>
    <cellStyle name="Заголовок 1 3 2 2 5" xfId="12130"/>
    <cellStyle name="Заголовок 1 3 2 2 6" xfId="12131"/>
    <cellStyle name="Заголовок 1 3 2 3" xfId="2617"/>
    <cellStyle name="Заголовок 1 3 2 3 2" xfId="12132"/>
    <cellStyle name="Заголовок 1 3 2 3 3" xfId="12133"/>
    <cellStyle name="Заголовок 1 3 2 3 4" xfId="12134"/>
    <cellStyle name="Заголовок 1 3 2 3 5" xfId="12135"/>
    <cellStyle name="Заголовок 1 3 2 3 6" xfId="12136"/>
    <cellStyle name="Заголовок 1 3 2 4" xfId="12137"/>
    <cellStyle name="Заголовок 1 3 2 5" xfId="12138"/>
    <cellStyle name="Заголовок 1 3 2 6" xfId="12139"/>
    <cellStyle name="Заголовок 1 3 2 7" xfId="12140"/>
    <cellStyle name="Заголовок 1 3 2 8" xfId="12141"/>
    <cellStyle name="Заголовок 1 3 3" xfId="2618"/>
    <cellStyle name="Заголовок 1 3 3 2" xfId="12142"/>
    <cellStyle name="Заголовок 1 3 3 3" xfId="12143"/>
    <cellStyle name="Заголовок 1 3 3 4" xfId="12144"/>
    <cellStyle name="Заголовок 1 3 3 5" xfId="12145"/>
    <cellStyle name="Заголовок 1 3 3 6" xfId="12146"/>
    <cellStyle name="Заголовок 1 3 4" xfId="2619"/>
    <cellStyle name="Заголовок 1 3 4 2" xfId="12147"/>
    <cellStyle name="Заголовок 1 3 4 3" xfId="12148"/>
    <cellStyle name="Заголовок 1 3 4 4" xfId="12149"/>
    <cellStyle name="Заголовок 1 3 4 5" xfId="12150"/>
    <cellStyle name="Заголовок 1 3 5" xfId="12151"/>
    <cellStyle name="Заголовок 1 3 6" xfId="12152"/>
    <cellStyle name="Заголовок 1 3 7" xfId="12153"/>
    <cellStyle name="Заголовок 1 3 8" xfId="12154"/>
    <cellStyle name="Заголовок 1 4" xfId="2620"/>
    <cellStyle name="Заголовок 1 4 2" xfId="2621"/>
    <cellStyle name="Заголовок 1 4 2 2" xfId="2622"/>
    <cellStyle name="Заголовок 1 4 2 2 2" xfId="12155"/>
    <cellStyle name="Заголовок 1 4 2 2 3" xfId="12156"/>
    <cellStyle name="Заголовок 1 4 2 2 4" xfId="12157"/>
    <cellStyle name="Заголовок 1 4 2 2 5" xfId="12158"/>
    <cellStyle name="Заголовок 1 4 2 2 6" xfId="12159"/>
    <cellStyle name="Заголовок 1 4 2 3" xfId="2623"/>
    <cellStyle name="Заголовок 1 4 2 3 2" xfId="12160"/>
    <cellStyle name="Заголовок 1 4 2 3 3" xfId="12161"/>
    <cellStyle name="Заголовок 1 4 2 3 4" xfId="12162"/>
    <cellStyle name="Заголовок 1 4 2 3 5" xfId="12163"/>
    <cellStyle name="Заголовок 1 4 2 3 6" xfId="12164"/>
    <cellStyle name="Заголовок 1 4 2 4" xfId="12165"/>
    <cellStyle name="Заголовок 1 4 2 5" xfId="12166"/>
    <cellStyle name="Заголовок 1 4 2 6" xfId="12167"/>
    <cellStyle name="Заголовок 1 4 2 7" xfId="12168"/>
    <cellStyle name="Заголовок 1 4 2 8" xfId="12169"/>
    <cellStyle name="Заголовок 1 4 3" xfId="2624"/>
    <cellStyle name="Заголовок 1 4 3 2" xfId="12170"/>
    <cellStyle name="Заголовок 1 4 3 3" xfId="12171"/>
    <cellStyle name="Заголовок 1 4 3 4" xfId="12172"/>
    <cellStyle name="Заголовок 1 4 3 5" xfId="12173"/>
    <cellStyle name="Заголовок 1 4 3 6" xfId="12174"/>
    <cellStyle name="Заголовок 1 4 4" xfId="2625"/>
    <cellStyle name="Заголовок 1 4 4 2" xfId="12175"/>
    <cellStyle name="Заголовок 1 4 4 3" xfId="12176"/>
    <cellStyle name="Заголовок 1 4 4 4" xfId="12177"/>
    <cellStyle name="Заголовок 1 4 4 5" xfId="12178"/>
    <cellStyle name="Заголовок 1 4 5" xfId="12179"/>
    <cellStyle name="Заголовок 1 4 6" xfId="12180"/>
    <cellStyle name="Заголовок 1 4 7" xfId="12181"/>
    <cellStyle name="Заголовок 1 4 8" xfId="12182"/>
    <cellStyle name="Заголовок 1 5" xfId="2626"/>
    <cellStyle name="Заголовок 1 5 2" xfId="2627"/>
    <cellStyle name="Заголовок 1 5 2 2" xfId="2628"/>
    <cellStyle name="Заголовок 1 5 2 2 2" xfId="12183"/>
    <cellStyle name="Заголовок 1 5 2 2 3" xfId="12184"/>
    <cellStyle name="Заголовок 1 5 2 2 4" xfId="12185"/>
    <cellStyle name="Заголовок 1 5 2 2 5" xfId="12186"/>
    <cellStyle name="Заголовок 1 5 2 2 6" xfId="12187"/>
    <cellStyle name="Заголовок 1 5 2 3" xfId="2629"/>
    <cellStyle name="Заголовок 1 5 2 3 2" xfId="12188"/>
    <cellStyle name="Заголовок 1 5 2 3 3" xfId="12189"/>
    <cellStyle name="Заголовок 1 5 2 3 4" xfId="12190"/>
    <cellStyle name="Заголовок 1 5 2 3 5" xfId="12191"/>
    <cellStyle name="Заголовок 1 5 2 3 6" xfId="12192"/>
    <cellStyle name="Заголовок 1 5 2 4" xfId="12193"/>
    <cellStyle name="Заголовок 1 5 2 5" xfId="12194"/>
    <cellStyle name="Заголовок 1 5 2 6" xfId="12195"/>
    <cellStyle name="Заголовок 1 5 2 7" xfId="12196"/>
    <cellStyle name="Заголовок 1 5 2 8" xfId="12197"/>
    <cellStyle name="Заголовок 1 5 3" xfId="2630"/>
    <cellStyle name="Заголовок 1 5 3 2" xfId="12198"/>
    <cellStyle name="Заголовок 1 5 3 3" xfId="12199"/>
    <cellStyle name="Заголовок 1 5 3 4" xfId="12200"/>
    <cellStyle name="Заголовок 1 5 3 5" xfId="12201"/>
    <cellStyle name="Заголовок 1 5 3 6" xfId="12202"/>
    <cellStyle name="Заголовок 1 5 4" xfId="2631"/>
    <cellStyle name="Заголовок 1 5 4 2" xfId="12203"/>
    <cellStyle name="Заголовок 1 5 4 3" xfId="12204"/>
    <cellStyle name="Заголовок 1 5 4 4" xfId="12205"/>
    <cellStyle name="Заголовок 1 5 4 5" xfId="12206"/>
    <cellStyle name="Заголовок 1 5 5" xfId="12207"/>
    <cellStyle name="Заголовок 1 5 6" xfId="12208"/>
    <cellStyle name="Заголовок 1 5 7" xfId="12209"/>
    <cellStyle name="Заголовок 1 5 8" xfId="12210"/>
    <cellStyle name="Заголовок 1 6" xfId="2632"/>
    <cellStyle name="Заголовок 1 6 2" xfId="2633"/>
    <cellStyle name="Заголовок 1 6 2 2" xfId="2634"/>
    <cellStyle name="Заголовок 1 6 2 2 2" xfId="12211"/>
    <cellStyle name="Заголовок 1 6 2 2 3" xfId="12212"/>
    <cellStyle name="Заголовок 1 6 2 2 4" xfId="12213"/>
    <cellStyle name="Заголовок 1 6 2 2 5" xfId="12214"/>
    <cellStyle name="Заголовок 1 6 2 2 6" xfId="12215"/>
    <cellStyle name="Заголовок 1 6 2 3" xfId="2635"/>
    <cellStyle name="Заголовок 1 6 2 3 2" xfId="12216"/>
    <cellStyle name="Заголовок 1 6 2 3 3" xfId="12217"/>
    <cellStyle name="Заголовок 1 6 2 3 4" xfId="12218"/>
    <cellStyle name="Заголовок 1 6 2 3 5" xfId="12219"/>
    <cellStyle name="Заголовок 1 6 2 3 6" xfId="12220"/>
    <cellStyle name="Заголовок 1 6 2 4" xfId="12221"/>
    <cellStyle name="Заголовок 1 6 2 5" xfId="12222"/>
    <cellStyle name="Заголовок 1 6 2 6" xfId="12223"/>
    <cellStyle name="Заголовок 1 6 2 7" xfId="12224"/>
    <cellStyle name="Заголовок 1 6 2 8" xfId="12225"/>
    <cellStyle name="Заголовок 1 6 3" xfId="2636"/>
    <cellStyle name="Заголовок 1 6 3 2" xfId="12226"/>
    <cellStyle name="Заголовок 1 6 3 3" xfId="12227"/>
    <cellStyle name="Заголовок 1 6 3 4" xfId="12228"/>
    <cellStyle name="Заголовок 1 6 3 5" xfId="12229"/>
    <cellStyle name="Заголовок 1 6 3 6" xfId="12230"/>
    <cellStyle name="Заголовок 1 6 4" xfId="2637"/>
    <cellStyle name="Заголовок 1 6 4 2" xfId="12231"/>
    <cellStyle name="Заголовок 1 6 4 3" xfId="12232"/>
    <cellStyle name="Заголовок 1 6 4 4" xfId="12233"/>
    <cellStyle name="Заголовок 1 6 4 5" xfId="12234"/>
    <cellStyle name="Заголовок 1 6 5" xfId="12235"/>
    <cellStyle name="Заголовок 1 6 6" xfId="12236"/>
    <cellStyle name="Заголовок 1 6 7" xfId="12237"/>
    <cellStyle name="Заголовок 1 6 8" xfId="12238"/>
    <cellStyle name="Заголовок 2 2" xfId="2638"/>
    <cellStyle name="Заголовок 2 2 2" xfId="2639"/>
    <cellStyle name="Заголовок 2 2 2 2" xfId="2640"/>
    <cellStyle name="Заголовок 2 2 2 2 2" xfId="2641"/>
    <cellStyle name="Заголовок 2 2 2 2 3" xfId="2642"/>
    <cellStyle name="Заголовок 2 2 2 3" xfId="2643"/>
    <cellStyle name="Заголовок 2 2 2 4" xfId="2644"/>
    <cellStyle name="Заголовок 2 2 2 4 2" xfId="12239"/>
    <cellStyle name="Заголовок 2 2 2 4 3" xfId="12240"/>
    <cellStyle name="Заголовок 2 2 2 4 4" xfId="12241"/>
    <cellStyle name="Заголовок 2 2 2 4 5" xfId="12242"/>
    <cellStyle name="Заголовок 2 2 2 5" xfId="12243"/>
    <cellStyle name="Заголовок 2 2 2 6" xfId="12244"/>
    <cellStyle name="Заголовок 2 2 2 7" xfId="12245"/>
    <cellStyle name="Заголовок 2 2 2 8" xfId="12246"/>
    <cellStyle name="Заголовок 2 2 3" xfId="2645"/>
    <cellStyle name="Заголовок 2 2 3 2" xfId="2646"/>
    <cellStyle name="Заголовок 2 2 3 2 2" xfId="12247"/>
    <cellStyle name="Заголовок 2 2 3 2 3" xfId="12248"/>
    <cellStyle name="Заголовок 2 2 3 2 4" xfId="12249"/>
    <cellStyle name="Заголовок 2 2 3 2 5" xfId="12250"/>
    <cellStyle name="Заголовок 2 2 3 2 6" xfId="12251"/>
    <cellStyle name="Заголовок 2 2 3 3" xfId="2647"/>
    <cellStyle name="Заголовок 2 2 3 3 2" xfId="12252"/>
    <cellStyle name="Заголовок 2 2 3 3 3" xfId="12253"/>
    <cellStyle name="Заголовок 2 2 3 3 4" xfId="12254"/>
    <cellStyle name="Заголовок 2 2 3 3 5" xfId="12255"/>
    <cellStyle name="Заголовок 2 2 3 3 6" xfId="12256"/>
    <cellStyle name="Заголовок 2 2 3 4" xfId="12257"/>
    <cellStyle name="Заголовок 2 2 3 5" xfId="12258"/>
    <cellStyle name="Заголовок 2 2 3 6" xfId="12259"/>
    <cellStyle name="Заголовок 2 2 3 7" xfId="12260"/>
    <cellStyle name="Заголовок 2 2 3 8" xfId="12261"/>
    <cellStyle name="Заголовок 2 2 4" xfId="2648"/>
    <cellStyle name="Заголовок 2 2 4 2" xfId="12262"/>
    <cellStyle name="Заголовок 2 2 4 3" xfId="12263"/>
    <cellStyle name="Заголовок 2 2 4 4" xfId="12264"/>
    <cellStyle name="Заголовок 2 2 4 5" xfId="12265"/>
    <cellStyle name="Заголовок 2 2 4 6" xfId="12266"/>
    <cellStyle name="Заголовок 2 2 5" xfId="2649"/>
    <cellStyle name="Заголовок 2 2 5 2" xfId="12267"/>
    <cellStyle name="Заголовок 2 2 5 3" xfId="12268"/>
    <cellStyle name="Заголовок 2 2 5 4" xfId="12269"/>
    <cellStyle name="Заголовок 2 2 5 5" xfId="12270"/>
    <cellStyle name="Заголовок 2 2 6" xfId="12271"/>
    <cellStyle name="Заголовок 2 2 7" xfId="12272"/>
    <cellStyle name="Заголовок 2 2 8" xfId="12273"/>
    <cellStyle name="Заголовок 2 2 9" xfId="12274"/>
    <cellStyle name="Заголовок 2 3" xfId="2650"/>
    <cellStyle name="Заголовок 2 3 2" xfId="2651"/>
    <cellStyle name="Заголовок 2 3 2 2" xfId="2652"/>
    <cellStyle name="Заголовок 2 3 2 2 2" xfId="12275"/>
    <cellStyle name="Заголовок 2 3 2 2 3" xfId="12276"/>
    <cellStyle name="Заголовок 2 3 2 2 4" xfId="12277"/>
    <cellStyle name="Заголовок 2 3 2 2 5" xfId="12278"/>
    <cellStyle name="Заголовок 2 3 2 2 6" xfId="12279"/>
    <cellStyle name="Заголовок 2 3 2 3" xfId="2653"/>
    <cellStyle name="Заголовок 2 3 2 3 2" xfId="12280"/>
    <cellStyle name="Заголовок 2 3 2 3 3" xfId="12281"/>
    <cellStyle name="Заголовок 2 3 2 3 4" xfId="12282"/>
    <cellStyle name="Заголовок 2 3 2 3 5" xfId="12283"/>
    <cellStyle name="Заголовок 2 3 2 3 6" xfId="12284"/>
    <cellStyle name="Заголовок 2 3 2 4" xfId="12285"/>
    <cellStyle name="Заголовок 2 3 2 5" xfId="12286"/>
    <cellStyle name="Заголовок 2 3 2 6" xfId="12287"/>
    <cellStyle name="Заголовок 2 3 2 7" xfId="12288"/>
    <cellStyle name="Заголовок 2 3 2 8" xfId="12289"/>
    <cellStyle name="Заголовок 2 3 3" xfId="2654"/>
    <cellStyle name="Заголовок 2 3 3 2" xfId="12290"/>
    <cellStyle name="Заголовок 2 3 3 3" xfId="12291"/>
    <cellStyle name="Заголовок 2 3 3 4" xfId="12292"/>
    <cellStyle name="Заголовок 2 3 3 5" xfId="12293"/>
    <cellStyle name="Заголовок 2 3 3 6" xfId="12294"/>
    <cellStyle name="Заголовок 2 3 4" xfId="2655"/>
    <cellStyle name="Заголовок 2 3 4 2" xfId="12295"/>
    <cellStyle name="Заголовок 2 3 4 3" xfId="12296"/>
    <cellStyle name="Заголовок 2 3 4 4" xfId="12297"/>
    <cellStyle name="Заголовок 2 3 4 5" xfId="12298"/>
    <cellStyle name="Заголовок 2 3 5" xfId="12299"/>
    <cellStyle name="Заголовок 2 3 6" xfId="12300"/>
    <cellStyle name="Заголовок 2 3 7" xfId="12301"/>
    <cellStyle name="Заголовок 2 3 8" xfId="12302"/>
    <cellStyle name="Заголовок 2 4" xfId="2656"/>
    <cellStyle name="Заголовок 2 4 2" xfId="2657"/>
    <cellStyle name="Заголовок 2 4 2 2" xfId="2658"/>
    <cellStyle name="Заголовок 2 4 2 2 2" xfId="12303"/>
    <cellStyle name="Заголовок 2 4 2 2 3" xfId="12304"/>
    <cellStyle name="Заголовок 2 4 2 2 4" xfId="12305"/>
    <cellStyle name="Заголовок 2 4 2 2 5" xfId="12306"/>
    <cellStyle name="Заголовок 2 4 2 2 6" xfId="12307"/>
    <cellStyle name="Заголовок 2 4 2 3" xfId="2659"/>
    <cellStyle name="Заголовок 2 4 2 3 2" xfId="12308"/>
    <cellStyle name="Заголовок 2 4 2 3 3" xfId="12309"/>
    <cellStyle name="Заголовок 2 4 2 3 4" xfId="12310"/>
    <cellStyle name="Заголовок 2 4 2 3 5" xfId="12311"/>
    <cellStyle name="Заголовок 2 4 2 3 6" xfId="12312"/>
    <cellStyle name="Заголовок 2 4 2 4" xfId="12313"/>
    <cellStyle name="Заголовок 2 4 2 5" xfId="12314"/>
    <cellStyle name="Заголовок 2 4 2 6" xfId="12315"/>
    <cellStyle name="Заголовок 2 4 2 7" xfId="12316"/>
    <cellStyle name="Заголовок 2 4 2 8" xfId="12317"/>
    <cellStyle name="Заголовок 2 4 3" xfId="2660"/>
    <cellStyle name="Заголовок 2 4 3 2" xfId="12318"/>
    <cellStyle name="Заголовок 2 4 3 3" xfId="12319"/>
    <cellStyle name="Заголовок 2 4 3 4" xfId="12320"/>
    <cellStyle name="Заголовок 2 4 3 5" xfId="12321"/>
    <cellStyle name="Заголовок 2 4 3 6" xfId="12322"/>
    <cellStyle name="Заголовок 2 4 4" xfId="2661"/>
    <cellStyle name="Заголовок 2 4 4 2" xfId="12323"/>
    <cellStyle name="Заголовок 2 4 4 3" xfId="12324"/>
    <cellStyle name="Заголовок 2 4 4 4" xfId="12325"/>
    <cellStyle name="Заголовок 2 4 4 5" xfId="12326"/>
    <cellStyle name="Заголовок 2 4 5" xfId="12327"/>
    <cellStyle name="Заголовок 2 4 6" xfId="12328"/>
    <cellStyle name="Заголовок 2 4 7" xfId="12329"/>
    <cellStyle name="Заголовок 2 4 8" xfId="12330"/>
    <cellStyle name="Заголовок 2 5" xfId="2662"/>
    <cellStyle name="Заголовок 2 5 2" xfId="2663"/>
    <cellStyle name="Заголовок 2 5 2 2" xfId="2664"/>
    <cellStyle name="Заголовок 2 5 2 2 2" xfId="12331"/>
    <cellStyle name="Заголовок 2 5 2 2 3" xfId="12332"/>
    <cellStyle name="Заголовок 2 5 2 2 4" xfId="12333"/>
    <cellStyle name="Заголовок 2 5 2 2 5" xfId="12334"/>
    <cellStyle name="Заголовок 2 5 2 2 6" xfId="12335"/>
    <cellStyle name="Заголовок 2 5 2 3" xfId="2665"/>
    <cellStyle name="Заголовок 2 5 2 3 2" xfId="12336"/>
    <cellStyle name="Заголовок 2 5 2 3 3" xfId="12337"/>
    <cellStyle name="Заголовок 2 5 2 3 4" xfId="12338"/>
    <cellStyle name="Заголовок 2 5 2 3 5" xfId="12339"/>
    <cellStyle name="Заголовок 2 5 2 3 6" xfId="12340"/>
    <cellStyle name="Заголовок 2 5 2 4" xfId="12341"/>
    <cellStyle name="Заголовок 2 5 2 5" xfId="12342"/>
    <cellStyle name="Заголовок 2 5 2 6" xfId="12343"/>
    <cellStyle name="Заголовок 2 5 2 7" xfId="12344"/>
    <cellStyle name="Заголовок 2 5 2 8" xfId="12345"/>
    <cellStyle name="Заголовок 2 5 3" xfId="2666"/>
    <cellStyle name="Заголовок 2 5 3 2" xfId="12346"/>
    <cellStyle name="Заголовок 2 5 3 3" xfId="12347"/>
    <cellStyle name="Заголовок 2 5 3 4" xfId="12348"/>
    <cellStyle name="Заголовок 2 5 3 5" xfId="12349"/>
    <cellStyle name="Заголовок 2 5 3 6" xfId="12350"/>
    <cellStyle name="Заголовок 2 5 4" xfId="2667"/>
    <cellStyle name="Заголовок 2 5 4 2" xfId="12351"/>
    <cellStyle name="Заголовок 2 5 4 3" xfId="12352"/>
    <cellStyle name="Заголовок 2 5 4 4" xfId="12353"/>
    <cellStyle name="Заголовок 2 5 4 5" xfId="12354"/>
    <cellStyle name="Заголовок 2 5 5" xfId="12355"/>
    <cellStyle name="Заголовок 2 5 6" xfId="12356"/>
    <cellStyle name="Заголовок 2 5 7" xfId="12357"/>
    <cellStyle name="Заголовок 2 5 8" xfId="12358"/>
    <cellStyle name="Заголовок 2 6" xfId="2668"/>
    <cellStyle name="Заголовок 2 6 2" xfId="2669"/>
    <cellStyle name="Заголовок 2 6 2 2" xfId="2670"/>
    <cellStyle name="Заголовок 2 6 2 2 2" xfId="12359"/>
    <cellStyle name="Заголовок 2 6 2 2 3" xfId="12360"/>
    <cellStyle name="Заголовок 2 6 2 2 4" xfId="12361"/>
    <cellStyle name="Заголовок 2 6 2 2 5" xfId="12362"/>
    <cellStyle name="Заголовок 2 6 2 2 6" xfId="12363"/>
    <cellStyle name="Заголовок 2 6 2 3" xfId="2671"/>
    <cellStyle name="Заголовок 2 6 2 3 2" xfId="12364"/>
    <cellStyle name="Заголовок 2 6 2 3 3" xfId="12365"/>
    <cellStyle name="Заголовок 2 6 2 3 4" xfId="12366"/>
    <cellStyle name="Заголовок 2 6 2 3 5" xfId="12367"/>
    <cellStyle name="Заголовок 2 6 2 3 6" xfId="12368"/>
    <cellStyle name="Заголовок 2 6 2 4" xfId="12369"/>
    <cellStyle name="Заголовок 2 6 2 5" xfId="12370"/>
    <cellStyle name="Заголовок 2 6 2 6" xfId="12371"/>
    <cellStyle name="Заголовок 2 6 2 7" xfId="12372"/>
    <cellStyle name="Заголовок 2 6 2 8" xfId="12373"/>
    <cellStyle name="Заголовок 2 6 3" xfId="2672"/>
    <cellStyle name="Заголовок 2 6 3 2" xfId="12374"/>
    <cellStyle name="Заголовок 2 6 3 3" xfId="12375"/>
    <cellStyle name="Заголовок 2 6 3 4" xfId="12376"/>
    <cellStyle name="Заголовок 2 6 3 5" xfId="12377"/>
    <cellStyle name="Заголовок 2 6 3 6" xfId="12378"/>
    <cellStyle name="Заголовок 2 6 4" xfId="2673"/>
    <cellStyle name="Заголовок 2 6 4 2" xfId="12379"/>
    <cellStyle name="Заголовок 2 6 4 3" xfId="12380"/>
    <cellStyle name="Заголовок 2 6 4 4" xfId="12381"/>
    <cellStyle name="Заголовок 2 6 4 5" xfId="12382"/>
    <cellStyle name="Заголовок 2 6 5" xfId="12383"/>
    <cellStyle name="Заголовок 2 6 6" xfId="12384"/>
    <cellStyle name="Заголовок 2 6 7" xfId="12385"/>
    <cellStyle name="Заголовок 2 6 8" xfId="12386"/>
    <cellStyle name="Заголовок 3 2" xfId="2674"/>
    <cellStyle name="Заголовок 3 2 2" xfId="2675"/>
    <cellStyle name="Заголовок 3 2 2 2" xfId="2676"/>
    <cellStyle name="Заголовок 3 2 2 2 2" xfId="2677"/>
    <cellStyle name="Заголовок 3 2 2 2 3" xfId="2678"/>
    <cellStyle name="Заголовок 3 2 2 3" xfId="2679"/>
    <cellStyle name="Заголовок 3 2 2 4" xfId="2680"/>
    <cellStyle name="Заголовок 3 2 2 4 2" xfId="12387"/>
    <cellStyle name="Заголовок 3 2 2 4 3" xfId="12388"/>
    <cellStyle name="Заголовок 3 2 2 4 4" xfId="12389"/>
    <cellStyle name="Заголовок 3 2 2 4 5" xfId="12390"/>
    <cellStyle name="Заголовок 3 2 2 5" xfId="12391"/>
    <cellStyle name="Заголовок 3 2 2 6" xfId="12392"/>
    <cellStyle name="Заголовок 3 2 2 7" xfId="12393"/>
    <cellStyle name="Заголовок 3 2 2 8" xfId="12394"/>
    <cellStyle name="Заголовок 3 2 3" xfId="2681"/>
    <cellStyle name="Заголовок 3 2 3 2" xfId="2682"/>
    <cellStyle name="Заголовок 3 2 3 2 2" xfId="12395"/>
    <cellStyle name="Заголовок 3 2 3 2 3" xfId="12396"/>
    <cellStyle name="Заголовок 3 2 3 2 4" xfId="12397"/>
    <cellStyle name="Заголовок 3 2 3 2 5" xfId="12398"/>
    <cellStyle name="Заголовок 3 2 3 2 6" xfId="12399"/>
    <cellStyle name="Заголовок 3 2 3 3" xfId="2683"/>
    <cellStyle name="Заголовок 3 2 3 3 2" xfId="12400"/>
    <cellStyle name="Заголовок 3 2 3 3 3" xfId="12401"/>
    <cellStyle name="Заголовок 3 2 3 3 4" xfId="12402"/>
    <cellStyle name="Заголовок 3 2 3 3 5" xfId="12403"/>
    <cellStyle name="Заголовок 3 2 3 3 6" xfId="12404"/>
    <cellStyle name="Заголовок 3 2 3 4" xfId="12405"/>
    <cellStyle name="Заголовок 3 2 3 5" xfId="12406"/>
    <cellStyle name="Заголовок 3 2 3 6" xfId="12407"/>
    <cellStyle name="Заголовок 3 2 3 7" xfId="12408"/>
    <cellStyle name="Заголовок 3 2 3 8" xfId="12409"/>
    <cellStyle name="Заголовок 3 2 4" xfId="2684"/>
    <cellStyle name="Заголовок 3 2 4 2" xfId="12410"/>
    <cellStyle name="Заголовок 3 2 4 3" xfId="12411"/>
    <cellStyle name="Заголовок 3 2 4 4" xfId="12412"/>
    <cellStyle name="Заголовок 3 2 4 5" xfId="12413"/>
    <cellStyle name="Заголовок 3 2 4 6" xfId="12414"/>
    <cellStyle name="Заголовок 3 2 5" xfId="2685"/>
    <cellStyle name="Заголовок 3 2 5 2" xfId="12415"/>
    <cellStyle name="Заголовок 3 2 5 3" xfId="12416"/>
    <cellStyle name="Заголовок 3 2 5 4" xfId="12417"/>
    <cellStyle name="Заголовок 3 2 5 5" xfId="12418"/>
    <cellStyle name="Заголовок 3 2 6" xfId="12419"/>
    <cellStyle name="Заголовок 3 2 7" xfId="12420"/>
    <cellStyle name="Заголовок 3 2 8" xfId="12421"/>
    <cellStyle name="Заголовок 3 2 9" xfId="12422"/>
    <cellStyle name="Заголовок 3 3" xfId="2686"/>
    <cellStyle name="Заголовок 3 3 2" xfId="2687"/>
    <cellStyle name="Заголовок 3 3 2 2" xfId="2688"/>
    <cellStyle name="Заголовок 3 3 2 2 2" xfId="12423"/>
    <cellStyle name="Заголовок 3 3 2 2 3" xfId="12424"/>
    <cellStyle name="Заголовок 3 3 2 2 4" xfId="12425"/>
    <cellStyle name="Заголовок 3 3 2 2 5" xfId="12426"/>
    <cellStyle name="Заголовок 3 3 2 2 6" xfId="12427"/>
    <cellStyle name="Заголовок 3 3 2 3" xfId="2689"/>
    <cellStyle name="Заголовок 3 3 2 3 2" xfId="12428"/>
    <cellStyle name="Заголовок 3 3 2 3 3" xfId="12429"/>
    <cellStyle name="Заголовок 3 3 2 3 4" xfId="12430"/>
    <cellStyle name="Заголовок 3 3 2 3 5" xfId="12431"/>
    <cellStyle name="Заголовок 3 3 2 3 6" xfId="12432"/>
    <cellStyle name="Заголовок 3 3 2 4" xfId="12433"/>
    <cellStyle name="Заголовок 3 3 2 5" xfId="12434"/>
    <cellStyle name="Заголовок 3 3 2 6" xfId="12435"/>
    <cellStyle name="Заголовок 3 3 2 7" xfId="12436"/>
    <cellStyle name="Заголовок 3 3 2 8" xfId="12437"/>
    <cellStyle name="Заголовок 3 3 3" xfId="2690"/>
    <cellStyle name="Заголовок 3 3 3 2" xfId="12438"/>
    <cellStyle name="Заголовок 3 3 3 3" xfId="12439"/>
    <cellStyle name="Заголовок 3 3 3 4" xfId="12440"/>
    <cellStyle name="Заголовок 3 3 3 5" xfId="12441"/>
    <cellStyle name="Заголовок 3 3 3 6" xfId="12442"/>
    <cellStyle name="Заголовок 3 3 4" xfId="2691"/>
    <cellStyle name="Заголовок 3 3 4 2" xfId="12443"/>
    <cellStyle name="Заголовок 3 3 4 3" xfId="12444"/>
    <cellStyle name="Заголовок 3 3 4 4" xfId="12445"/>
    <cellStyle name="Заголовок 3 3 4 5" xfId="12446"/>
    <cellStyle name="Заголовок 3 3 5" xfId="12447"/>
    <cellStyle name="Заголовок 3 3 6" xfId="12448"/>
    <cellStyle name="Заголовок 3 3 7" xfId="12449"/>
    <cellStyle name="Заголовок 3 3 8" xfId="12450"/>
    <cellStyle name="Заголовок 3 4" xfId="2692"/>
    <cellStyle name="Заголовок 3 4 2" xfId="2693"/>
    <cellStyle name="Заголовок 3 4 2 2" xfId="2694"/>
    <cellStyle name="Заголовок 3 4 2 2 2" xfId="12451"/>
    <cellStyle name="Заголовок 3 4 2 2 3" xfId="12452"/>
    <cellStyle name="Заголовок 3 4 2 2 4" xfId="12453"/>
    <cellStyle name="Заголовок 3 4 2 2 5" xfId="12454"/>
    <cellStyle name="Заголовок 3 4 2 2 6" xfId="12455"/>
    <cellStyle name="Заголовок 3 4 2 3" xfId="2695"/>
    <cellStyle name="Заголовок 3 4 2 3 2" xfId="12456"/>
    <cellStyle name="Заголовок 3 4 2 3 3" xfId="12457"/>
    <cellStyle name="Заголовок 3 4 2 3 4" xfId="12458"/>
    <cellStyle name="Заголовок 3 4 2 3 5" xfId="12459"/>
    <cellStyle name="Заголовок 3 4 2 3 6" xfId="12460"/>
    <cellStyle name="Заголовок 3 4 2 4" xfId="12461"/>
    <cellStyle name="Заголовок 3 4 2 5" xfId="12462"/>
    <cellStyle name="Заголовок 3 4 2 6" xfId="12463"/>
    <cellStyle name="Заголовок 3 4 2 7" xfId="12464"/>
    <cellStyle name="Заголовок 3 4 2 8" xfId="12465"/>
    <cellStyle name="Заголовок 3 4 3" xfId="2696"/>
    <cellStyle name="Заголовок 3 4 3 2" xfId="12466"/>
    <cellStyle name="Заголовок 3 4 3 3" xfId="12467"/>
    <cellStyle name="Заголовок 3 4 3 4" xfId="12468"/>
    <cellStyle name="Заголовок 3 4 3 5" xfId="12469"/>
    <cellStyle name="Заголовок 3 4 3 6" xfId="12470"/>
    <cellStyle name="Заголовок 3 4 4" xfId="2697"/>
    <cellStyle name="Заголовок 3 4 4 2" xfId="12471"/>
    <cellStyle name="Заголовок 3 4 4 3" xfId="12472"/>
    <cellStyle name="Заголовок 3 4 4 4" xfId="12473"/>
    <cellStyle name="Заголовок 3 4 4 5" xfId="12474"/>
    <cellStyle name="Заголовок 3 4 5" xfId="12475"/>
    <cellStyle name="Заголовок 3 4 6" xfId="12476"/>
    <cellStyle name="Заголовок 3 4 7" xfId="12477"/>
    <cellStyle name="Заголовок 3 4 8" xfId="12478"/>
    <cellStyle name="Заголовок 3 5" xfId="2698"/>
    <cellStyle name="Заголовок 3 5 2" xfId="2699"/>
    <cellStyle name="Заголовок 3 5 2 2" xfId="2700"/>
    <cellStyle name="Заголовок 3 5 2 2 2" xfId="12479"/>
    <cellStyle name="Заголовок 3 5 2 2 3" xfId="12480"/>
    <cellStyle name="Заголовок 3 5 2 2 4" xfId="12481"/>
    <cellStyle name="Заголовок 3 5 2 2 5" xfId="12482"/>
    <cellStyle name="Заголовок 3 5 2 2 6" xfId="12483"/>
    <cellStyle name="Заголовок 3 5 2 3" xfId="2701"/>
    <cellStyle name="Заголовок 3 5 2 3 2" xfId="12484"/>
    <cellStyle name="Заголовок 3 5 2 3 3" xfId="12485"/>
    <cellStyle name="Заголовок 3 5 2 3 4" xfId="12486"/>
    <cellStyle name="Заголовок 3 5 2 3 5" xfId="12487"/>
    <cellStyle name="Заголовок 3 5 2 3 6" xfId="12488"/>
    <cellStyle name="Заголовок 3 5 2 4" xfId="12489"/>
    <cellStyle name="Заголовок 3 5 2 5" xfId="12490"/>
    <cellStyle name="Заголовок 3 5 2 6" xfId="12491"/>
    <cellStyle name="Заголовок 3 5 2 7" xfId="12492"/>
    <cellStyle name="Заголовок 3 5 2 8" xfId="12493"/>
    <cellStyle name="Заголовок 3 5 3" xfId="2702"/>
    <cellStyle name="Заголовок 3 5 3 2" xfId="12494"/>
    <cellStyle name="Заголовок 3 5 3 3" xfId="12495"/>
    <cellStyle name="Заголовок 3 5 3 4" xfId="12496"/>
    <cellStyle name="Заголовок 3 5 3 5" xfId="12497"/>
    <cellStyle name="Заголовок 3 5 3 6" xfId="12498"/>
    <cellStyle name="Заголовок 3 5 4" xfId="2703"/>
    <cellStyle name="Заголовок 3 5 4 2" xfId="12499"/>
    <cellStyle name="Заголовок 3 5 4 3" xfId="12500"/>
    <cellStyle name="Заголовок 3 5 4 4" xfId="12501"/>
    <cellStyle name="Заголовок 3 5 4 5" xfId="12502"/>
    <cellStyle name="Заголовок 3 5 5" xfId="12503"/>
    <cellStyle name="Заголовок 3 5 6" xfId="12504"/>
    <cellStyle name="Заголовок 3 5 7" xfId="12505"/>
    <cellStyle name="Заголовок 3 5 8" xfId="12506"/>
    <cellStyle name="Заголовок 3 6" xfId="2704"/>
    <cellStyle name="Заголовок 3 6 2" xfId="2705"/>
    <cellStyle name="Заголовок 3 6 2 2" xfId="2706"/>
    <cellStyle name="Заголовок 3 6 2 2 2" xfId="12507"/>
    <cellStyle name="Заголовок 3 6 2 2 3" xfId="12508"/>
    <cellStyle name="Заголовок 3 6 2 2 4" xfId="12509"/>
    <cellStyle name="Заголовок 3 6 2 2 5" xfId="12510"/>
    <cellStyle name="Заголовок 3 6 2 2 6" xfId="12511"/>
    <cellStyle name="Заголовок 3 6 2 3" xfId="2707"/>
    <cellStyle name="Заголовок 3 6 2 3 2" xfId="12512"/>
    <cellStyle name="Заголовок 3 6 2 3 3" xfId="12513"/>
    <cellStyle name="Заголовок 3 6 2 3 4" xfId="12514"/>
    <cellStyle name="Заголовок 3 6 2 3 5" xfId="12515"/>
    <cellStyle name="Заголовок 3 6 2 3 6" xfId="12516"/>
    <cellStyle name="Заголовок 3 6 2 4" xfId="12517"/>
    <cellStyle name="Заголовок 3 6 2 5" xfId="12518"/>
    <cellStyle name="Заголовок 3 6 2 6" xfId="12519"/>
    <cellStyle name="Заголовок 3 6 2 7" xfId="12520"/>
    <cellStyle name="Заголовок 3 6 2 8" xfId="12521"/>
    <cellStyle name="Заголовок 3 6 3" xfId="2708"/>
    <cellStyle name="Заголовок 3 6 3 2" xfId="12522"/>
    <cellStyle name="Заголовок 3 6 3 3" xfId="12523"/>
    <cellStyle name="Заголовок 3 6 3 4" xfId="12524"/>
    <cellStyle name="Заголовок 3 6 3 5" xfId="12525"/>
    <cellStyle name="Заголовок 3 6 3 6" xfId="12526"/>
    <cellStyle name="Заголовок 3 6 4" xfId="2709"/>
    <cellStyle name="Заголовок 3 6 4 2" xfId="12527"/>
    <cellStyle name="Заголовок 3 6 4 3" xfId="12528"/>
    <cellStyle name="Заголовок 3 6 4 4" xfId="12529"/>
    <cellStyle name="Заголовок 3 6 4 5" xfId="12530"/>
    <cellStyle name="Заголовок 3 6 5" xfId="12531"/>
    <cellStyle name="Заголовок 3 6 6" xfId="12532"/>
    <cellStyle name="Заголовок 3 6 7" xfId="12533"/>
    <cellStyle name="Заголовок 3 6 8" xfId="12534"/>
    <cellStyle name="Заголовок 4 2" xfId="2710"/>
    <cellStyle name="Заголовок 4 2 2" xfId="2711"/>
    <cellStyle name="Заголовок 4 2 2 2" xfId="2712"/>
    <cellStyle name="Заголовок 4 2 2 2 2" xfId="2713"/>
    <cellStyle name="Заголовок 4 2 2 2 3" xfId="2714"/>
    <cellStyle name="Заголовок 4 2 2 3" xfId="2715"/>
    <cellStyle name="Заголовок 4 2 2 4" xfId="2716"/>
    <cellStyle name="Заголовок 4 2 2 4 2" xfId="12535"/>
    <cellStyle name="Заголовок 4 2 2 4 3" xfId="12536"/>
    <cellStyle name="Заголовок 4 2 2 4 4" xfId="12537"/>
    <cellStyle name="Заголовок 4 2 2 4 5" xfId="12538"/>
    <cellStyle name="Заголовок 4 2 2 5" xfId="12539"/>
    <cellStyle name="Заголовок 4 2 2 6" xfId="12540"/>
    <cellStyle name="Заголовок 4 2 2 7" xfId="12541"/>
    <cellStyle name="Заголовок 4 2 2 8" xfId="12542"/>
    <cellStyle name="Заголовок 4 2 3" xfId="2717"/>
    <cellStyle name="Заголовок 4 2 3 2" xfId="2718"/>
    <cellStyle name="Заголовок 4 2 3 2 2" xfId="12543"/>
    <cellStyle name="Заголовок 4 2 3 2 3" xfId="12544"/>
    <cellStyle name="Заголовок 4 2 3 2 4" xfId="12545"/>
    <cellStyle name="Заголовок 4 2 3 2 5" xfId="12546"/>
    <cellStyle name="Заголовок 4 2 3 2 6" xfId="12547"/>
    <cellStyle name="Заголовок 4 2 3 3" xfId="2719"/>
    <cellStyle name="Заголовок 4 2 3 3 2" xfId="12548"/>
    <cellStyle name="Заголовок 4 2 3 3 3" xfId="12549"/>
    <cellStyle name="Заголовок 4 2 3 3 4" xfId="12550"/>
    <cellStyle name="Заголовок 4 2 3 3 5" xfId="12551"/>
    <cellStyle name="Заголовок 4 2 3 3 6" xfId="12552"/>
    <cellStyle name="Заголовок 4 2 3 4" xfId="12553"/>
    <cellStyle name="Заголовок 4 2 3 5" xfId="12554"/>
    <cellStyle name="Заголовок 4 2 3 6" xfId="12555"/>
    <cellStyle name="Заголовок 4 2 3 7" xfId="12556"/>
    <cellStyle name="Заголовок 4 2 3 8" xfId="12557"/>
    <cellStyle name="Заголовок 4 2 4" xfId="2720"/>
    <cellStyle name="Заголовок 4 2 4 2" xfId="12558"/>
    <cellStyle name="Заголовок 4 2 4 3" xfId="12559"/>
    <cellStyle name="Заголовок 4 2 4 4" xfId="12560"/>
    <cellStyle name="Заголовок 4 2 4 5" xfId="12561"/>
    <cellStyle name="Заголовок 4 2 4 6" xfId="12562"/>
    <cellStyle name="Заголовок 4 2 5" xfId="2721"/>
    <cellStyle name="Заголовок 4 2 5 2" xfId="12563"/>
    <cellStyle name="Заголовок 4 2 5 3" xfId="12564"/>
    <cellStyle name="Заголовок 4 2 5 4" xfId="12565"/>
    <cellStyle name="Заголовок 4 2 5 5" xfId="12566"/>
    <cellStyle name="Заголовок 4 2 6" xfId="12567"/>
    <cellStyle name="Заголовок 4 2 7" xfId="12568"/>
    <cellStyle name="Заголовок 4 2 8" xfId="12569"/>
    <cellStyle name="Заголовок 4 2 9" xfId="12570"/>
    <cellStyle name="Заголовок 4 3" xfId="2722"/>
    <cellStyle name="Заголовок 4 3 2" xfId="2723"/>
    <cellStyle name="Заголовок 4 3 2 2" xfId="2724"/>
    <cellStyle name="Заголовок 4 3 2 2 2" xfId="12571"/>
    <cellStyle name="Заголовок 4 3 2 2 3" xfId="12572"/>
    <cellStyle name="Заголовок 4 3 2 2 4" xfId="12573"/>
    <cellStyle name="Заголовок 4 3 2 2 5" xfId="12574"/>
    <cellStyle name="Заголовок 4 3 2 2 6" xfId="12575"/>
    <cellStyle name="Заголовок 4 3 2 3" xfId="2725"/>
    <cellStyle name="Заголовок 4 3 2 3 2" xfId="12576"/>
    <cellStyle name="Заголовок 4 3 2 3 3" xfId="12577"/>
    <cellStyle name="Заголовок 4 3 2 3 4" xfId="12578"/>
    <cellStyle name="Заголовок 4 3 2 3 5" xfId="12579"/>
    <cellStyle name="Заголовок 4 3 2 3 6" xfId="12580"/>
    <cellStyle name="Заголовок 4 3 2 4" xfId="12581"/>
    <cellStyle name="Заголовок 4 3 2 5" xfId="12582"/>
    <cellStyle name="Заголовок 4 3 2 6" xfId="12583"/>
    <cellStyle name="Заголовок 4 3 2 7" xfId="12584"/>
    <cellStyle name="Заголовок 4 3 2 8" xfId="12585"/>
    <cellStyle name="Заголовок 4 3 3" xfId="2726"/>
    <cellStyle name="Заголовок 4 3 3 2" xfId="12586"/>
    <cellStyle name="Заголовок 4 3 3 3" xfId="12587"/>
    <cellStyle name="Заголовок 4 3 3 4" xfId="12588"/>
    <cellStyle name="Заголовок 4 3 3 5" xfId="12589"/>
    <cellStyle name="Заголовок 4 3 3 6" xfId="12590"/>
    <cellStyle name="Заголовок 4 3 4" xfId="2727"/>
    <cellStyle name="Заголовок 4 3 4 2" xfId="12591"/>
    <cellStyle name="Заголовок 4 3 4 3" xfId="12592"/>
    <cellStyle name="Заголовок 4 3 4 4" xfId="12593"/>
    <cellStyle name="Заголовок 4 3 4 5" xfId="12594"/>
    <cellStyle name="Заголовок 4 3 5" xfId="12595"/>
    <cellStyle name="Заголовок 4 3 6" xfId="12596"/>
    <cellStyle name="Заголовок 4 3 7" xfId="12597"/>
    <cellStyle name="Заголовок 4 3 8" xfId="12598"/>
    <cellStyle name="Заголовок 4 4" xfId="2728"/>
    <cellStyle name="Заголовок 4 4 2" xfId="2729"/>
    <cellStyle name="Заголовок 4 4 2 2" xfId="2730"/>
    <cellStyle name="Заголовок 4 4 2 2 2" xfId="12599"/>
    <cellStyle name="Заголовок 4 4 2 2 3" xfId="12600"/>
    <cellStyle name="Заголовок 4 4 2 2 4" xfId="12601"/>
    <cellStyle name="Заголовок 4 4 2 2 5" xfId="12602"/>
    <cellStyle name="Заголовок 4 4 2 2 6" xfId="12603"/>
    <cellStyle name="Заголовок 4 4 2 3" xfId="2731"/>
    <cellStyle name="Заголовок 4 4 2 3 2" xfId="12604"/>
    <cellStyle name="Заголовок 4 4 2 3 3" xfId="12605"/>
    <cellStyle name="Заголовок 4 4 2 3 4" xfId="12606"/>
    <cellStyle name="Заголовок 4 4 2 3 5" xfId="12607"/>
    <cellStyle name="Заголовок 4 4 2 3 6" xfId="12608"/>
    <cellStyle name="Заголовок 4 4 2 4" xfId="12609"/>
    <cellStyle name="Заголовок 4 4 2 5" xfId="12610"/>
    <cellStyle name="Заголовок 4 4 2 6" xfId="12611"/>
    <cellStyle name="Заголовок 4 4 2 7" xfId="12612"/>
    <cellStyle name="Заголовок 4 4 2 8" xfId="12613"/>
    <cellStyle name="Заголовок 4 4 3" xfId="2732"/>
    <cellStyle name="Заголовок 4 4 3 2" xfId="12614"/>
    <cellStyle name="Заголовок 4 4 3 3" xfId="12615"/>
    <cellStyle name="Заголовок 4 4 3 4" xfId="12616"/>
    <cellStyle name="Заголовок 4 4 3 5" xfId="12617"/>
    <cellStyle name="Заголовок 4 4 3 6" xfId="12618"/>
    <cellStyle name="Заголовок 4 4 4" xfId="2733"/>
    <cellStyle name="Заголовок 4 4 4 2" xfId="12619"/>
    <cellStyle name="Заголовок 4 4 4 3" xfId="12620"/>
    <cellStyle name="Заголовок 4 4 4 4" xfId="12621"/>
    <cellStyle name="Заголовок 4 4 4 5" xfId="12622"/>
    <cellStyle name="Заголовок 4 4 5" xfId="12623"/>
    <cellStyle name="Заголовок 4 4 6" xfId="12624"/>
    <cellStyle name="Заголовок 4 4 7" xfId="12625"/>
    <cellStyle name="Заголовок 4 4 8" xfId="12626"/>
    <cellStyle name="Заголовок 4 5" xfId="2734"/>
    <cellStyle name="Заголовок 4 5 2" xfId="2735"/>
    <cellStyle name="Заголовок 4 5 2 2" xfId="2736"/>
    <cellStyle name="Заголовок 4 5 2 2 2" xfId="12627"/>
    <cellStyle name="Заголовок 4 5 2 2 3" xfId="12628"/>
    <cellStyle name="Заголовок 4 5 2 2 4" xfId="12629"/>
    <cellStyle name="Заголовок 4 5 2 2 5" xfId="12630"/>
    <cellStyle name="Заголовок 4 5 2 2 6" xfId="12631"/>
    <cellStyle name="Заголовок 4 5 2 3" xfId="2737"/>
    <cellStyle name="Заголовок 4 5 2 3 2" xfId="12632"/>
    <cellStyle name="Заголовок 4 5 2 3 3" xfId="12633"/>
    <cellStyle name="Заголовок 4 5 2 3 4" xfId="12634"/>
    <cellStyle name="Заголовок 4 5 2 3 5" xfId="12635"/>
    <cellStyle name="Заголовок 4 5 2 3 6" xfId="12636"/>
    <cellStyle name="Заголовок 4 5 2 4" xfId="12637"/>
    <cellStyle name="Заголовок 4 5 2 5" xfId="12638"/>
    <cellStyle name="Заголовок 4 5 2 6" xfId="12639"/>
    <cellStyle name="Заголовок 4 5 2 7" xfId="12640"/>
    <cellStyle name="Заголовок 4 5 2 8" xfId="12641"/>
    <cellStyle name="Заголовок 4 5 3" xfId="2738"/>
    <cellStyle name="Заголовок 4 5 3 2" xfId="12642"/>
    <cellStyle name="Заголовок 4 5 3 3" xfId="12643"/>
    <cellStyle name="Заголовок 4 5 3 4" xfId="12644"/>
    <cellStyle name="Заголовок 4 5 3 5" xfId="12645"/>
    <cellStyle name="Заголовок 4 5 3 6" xfId="12646"/>
    <cellStyle name="Заголовок 4 5 4" xfId="2739"/>
    <cellStyle name="Заголовок 4 5 4 2" xfId="12647"/>
    <cellStyle name="Заголовок 4 5 4 3" xfId="12648"/>
    <cellStyle name="Заголовок 4 5 4 4" xfId="12649"/>
    <cellStyle name="Заголовок 4 5 4 5" xfId="12650"/>
    <cellStyle name="Заголовок 4 5 5" xfId="12651"/>
    <cellStyle name="Заголовок 4 5 6" xfId="12652"/>
    <cellStyle name="Заголовок 4 5 7" xfId="12653"/>
    <cellStyle name="Заголовок 4 5 8" xfId="12654"/>
    <cellStyle name="Заголовок 4 6" xfId="2740"/>
    <cellStyle name="Заголовок 4 6 2" xfId="2741"/>
    <cellStyle name="Заголовок 4 6 2 2" xfId="2742"/>
    <cellStyle name="Заголовок 4 6 2 2 2" xfId="12655"/>
    <cellStyle name="Заголовок 4 6 2 2 3" xfId="12656"/>
    <cellStyle name="Заголовок 4 6 2 2 4" xfId="12657"/>
    <cellStyle name="Заголовок 4 6 2 2 5" xfId="12658"/>
    <cellStyle name="Заголовок 4 6 2 2 6" xfId="12659"/>
    <cellStyle name="Заголовок 4 6 2 3" xfId="2743"/>
    <cellStyle name="Заголовок 4 6 2 3 2" xfId="12660"/>
    <cellStyle name="Заголовок 4 6 2 3 3" xfId="12661"/>
    <cellStyle name="Заголовок 4 6 2 3 4" xfId="12662"/>
    <cellStyle name="Заголовок 4 6 2 3 5" xfId="12663"/>
    <cellStyle name="Заголовок 4 6 2 3 6" xfId="12664"/>
    <cellStyle name="Заголовок 4 6 2 4" xfId="12665"/>
    <cellStyle name="Заголовок 4 6 2 5" xfId="12666"/>
    <cellStyle name="Заголовок 4 6 2 6" xfId="12667"/>
    <cellStyle name="Заголовок 4 6 2 7" xfId="12668"/>
    <cellStyle name="Заголовок 4 6 2 8" xfId="12669"/>
    <cellStyle name="Заголовок 4 6 3" xfId="2744"/>
    <cellStyle name="Заголовок 4 6 3 2" xfId="12670"/>
    <cellStyle name="Заголовок 4 6 3 3" xfId="12671"/>
    <cellStyle name="Заголовок 4 6 3 4" xfId="12672"/>
    <cellStyle name="Заголовок 4 6 3 5" xfId="12673"/>
    <cellStyle name="Заголовок 4 6 3 6" xfId="12674"/>
    <cellStyle name="Заголовок 4 6 4" xfId="2745"/>
    <cellStyle name="Заголовок 4 6 4 2" xfId="12675"/>
    <cellStyle name="Заголовок 4 6 4 3" xfId="12676"/>
    <cellStyle name="Заголовок 4 6 4 4" xfId="12677"/>
    <cellStyle name="Заголовок 4 6 4 5" xfId="12678"/>
    <cellStyle name="Заголовок 4 6 5" xfId="12679"/>
    <cellStyle name="Заголовок 4 6 6" xfId="12680"/>
    <cellStyle name="Заголовок 4 6 7" xfId="12681"/>
    <cellStyle name="Заголовок 4 6 8" xfId="12682"/>
    <cellStyle name="Итог 2" xfId="2746"/>
    <cellStyle name="Итог 2 10" xfId="12683"/>
    <cellStyle name="Итог 2 11" xfId="12684"/>
    <cellStyle name="Итог 2 12" xfId="12685"/>
    <cellStyle name="Итог 2 13" xfId="12686"/>
    <cellStyle name="Итог 2 14" xfId="12687"/>
    <cellStyle name="Итог 2 15" xfId="12688"/>
    <cellStyle name="Итог 2 2" xfId="2747"/>
    <cellStyle name="Итог 2 2 10" xfId="12689"/>
    <cellStyle name="Итог 2 2 11" xfId="12690"/>
    <cellStyle name="Итог 2 2 12" xfId="12691"/>
    <cellStyle name="Итог 2 2 13" xfId="12692"/>
    <cellStyle name="Итог 2 2 14" xfId="12693"/>
    <cellStyle name="Итог 2 2 2" xfId="2748"/>
    <cellStyle name="Итог 2 2 2 10" xfId="12694"/>
    <cellStyle name="Итог 2 2 2 11" xfId="12695"/>
    <cellStyle name="Итог 2 2 2 12" xfId="12696"/>
    <cellStyle name="Итог 2 2 2 2" xfId="2749"/>
    <cellStyle name="Итог 2 2 2 2 2" xfId="12697"/>
    <cellStyle name="Итог 2 2 2 2 3" xfId="12698"/>
    <cellStyle name="Итог 2 2 2 2 4" xfId="12699"/>
    <cellStyle name="Итог 2 2 2 2 5" xfId="12700"/>
    <cellStyle name="Итог 2 2 2 3" xfId="2750"/>
    <cellStyle name="Итог 2 2 2 3 2" xfId="12701"/>
    <cellStyle name="Итог 2 2 2 3 3" xfId="12702"/>
    <cellStyle name="Итог 2 2 2 3 4" xfId="12703"/>
    <cellStyle name="Итог 2 2 2 3 5" xfId="12704"/>
    <cellStyle name="Итог 2 2 2 4" xfId="2751"/>
    <cellStyle name="Итог 2 2 2 4 2" xfId="12705"/>
    <cellStyle name="Итог 2 2 2 4 3" xfId="12706"/>
    <cellStyle name="Итог 2 2 2 4 4" xfId="12707"/>
    <cellStyle name="Итог 2 2 2 4 5" xfId="12708"/>
    <cellStyle name="Итог 2 2 2 5" xfId="12709"/>
    <cellStyle name="Итог 2 2 2 5 2" xfId="12710"/>
    <cellStyle name="Итог 2 2 2 5 3" xfId="12711"/>
    <cellStyle name="Итог 2 2 2 5 4" xfId="12712"/>
    <cellStyle name="Итог 2 2 2 6" xfId="12713"/>
    <cellStyle name="Итог 2 2 2 7" xfId="12714"/>
    <cellStyle name="Итог 2 2 2 8" xfId="12715"/>
    <cellStyle name="Итог 2 2 2 9" xfId="12716"/>
    <cellStyle name="Итог 2 2 3" xfId="2752"/>
    <cellStyle name="Итог 2 2 3 10" xfId="12717"/>
    <cellStyle name="Итог 2 2 3 11" xfId="12718"/>
    <cellStyle name="Итог 2 2 3 2" xfId="2753"/>
    <cellStyle name="Итог 2 2 3 2 2" xfId="12719"/>
    <cellStyle name="Итог 2 2 3 2 3" xfId="12720"/>
    <cellStyle name="Итог 2 2 3 2 4" xfId="12721"/>
    <cellStyle name="Итог 2 2 3 2 5" xfId="12722"/>
    <cellStyle name="Итог 2 2 3 3" xfId="2754"/>
    <cellStyle name="Итог 2 2 3 3 2" xfId="12723"/>
    <cellStyle name="Итог 2 2 3 3 3" xfId="12724"/>
    <cellStyle name="Итог 2 2 3 3 4" xfId="12725"/>
    <cellStyle name="Итог 2 2 3 3 5" xfId="12726"/>
    <cellStyle name="Итог 2 2 3 4" xfId="12727"/>
    <cellStyle name="Итог 2 2 3 4 2" xfId="12728"/>
    <cellStyle name="Итог 2 2 3 4 3" xfId="12729"/>
    <cellStyle name="Итог 2 2 3 4 4" xfId="12730"/>
    <cellStyle name="Итог 2 2 3 5" xfId="12731"/>
    <cellStyle name="Итог 2 2 3 6" xfId="12732"/>
    <cellStyle name="Итог 2 2 3 7" xfId="12733"/>
    <cellStyle name="Итог 2 2 3 8" xfId="12734"/>
    <cellStyle name="Итог 2 2 3 9" xfId="12735"/>
    <cellStyle name="Итог 2 2 4" xfId="2755"/>
    <cellStyle name="Итог 2 2 4 2" xfId="12736"/>
    <cellStyle name="Итог 2 2 4 3" xfId="12737"/>
    <cellStyle name="Итог 2 2 4 4" xfId="12738"/>
    <cellStyle name="Итог 2 2 4 5" xfId="12739"/>
    <cellStyle name="Итог 2 2 4 6" xfId="12740"/>
    <cellStyle name="Итог 2 2 4 7" xfId="12741"/>
    <cellStyle name="Итог 2 2 4 8" xfId="12742"/>
    <cellStyle name="Итог 2 2 5" xfId="2756"/>
    <cellStyle name="Итог 2 2 5 2" xfId="12743"/>
    <cellStyle name="Итог 2 2 5 3" xfId="12744"/>
    <cellStyle name="Итог 2 2 5 4" xfId="12745"/>
    <cellStyle name="Итог 2 2 5 5" xfId="12746"/>
    <cellStyle name="Итог 2 2 5 6" xfId="12747"/>
    <cellStyle name="Итог 2 2 5 7" xfId="12748"/>
    <cellStyle name="Итог 2 2 5 8" xfId="12749"/>
    <cellStyle name="Итог 2 2 6" xfId="2757"/>
    <cellStyle name="Итог 2 2 6 2" xfId="12750"/>
    <cellStyle name="Итог 2 2 6 3" xfId="12751"/>
    <cellStyle name="Итог 2 2 6 4" xfId="12752"/>
    <cellStyle name="Итог 2 2 6 5" xfId="12753"/>
    <cellStyle name="Итог 2 2 6 6" xfId="12754"/>
    <cellStyle name="Итог 2 2 6 7" xfId="12755"/>
    <cellStyle name="Итог 2 2 6 8" xfId="12756"/>
    <cellStyle name="Итог 2 2 7" xfId="12757"/>
    <cellStyle name="Итог 2 2 7 2" xfId="12758"/>
    <cellStyle name="Итог 2 2 7 3" xfId="12759"/>
    <cellStyle name="Итог 2 2 7 4" xfId="12760"/>
    <cellStyle name="Итог 2 2 8" xfId="12761"/>
    <cellStyle name="Итог 2 2 9" xfId="12762"/>
    <cellStyle name="Итог 2 3" xfId="2758"/>
    <cellStyle name="Итог 2 3 10" xfId="12763"/>
    <cellStyle name="Итог 2 3 11" xfId="12764"/>
    <cellStyle name="Итог 2 3 12" xfId="12765"/>
    <cellStyle name="Итог 2 3 2" xfId="2759"/>
    <cellStyle name="Итог 2 3 2 2" xfId="12766"/>
    <cellStyle name="Итог 2 3 2 3" xfId="12767"/>
    <cellStyle name="Итог 2 3 2 4" xfId="12768"/>
    <cellStyle name="Итог 2 3 2 5" xfId="12769"/>
    <cellStyle name="Итог 2 3 3" xfId="2760"/>
    <cellStyle name="Итог 2 3 3 2" xfId="12770"/>
    <cellStyle name="Итог 2 3 3 3" xfId="12771"/>
    <cellStyle name="Итог 2 3 3 4" xfId="12772"/>
    <cellStyle name="Итог 2 3 3 5" xfId="12773"/>
    <cellStyle name="Итог 2 3 4" xfId="2761"/>
    <cellStyle name="Итог 2 3 4 2" xfId="12774"/>
    <cellStyle name="Итог 2 3 4 3" xfId="12775"/>
    <cellStyle name="Итог 2 3 4 4" xfId="12776"/>
    <cellStyle name="Итог 2 3 4 5" xfId="12777"/>
    <cellStyle name="Итог 2 3 5" xfId="12778"/>
    <cellStyle name="Итог 2 3 5 2" xfId="12779"/>
    <cellStyle name="Итог 2 3 5 3" xfId="12780"/>
    <cellStyle name="Итог 2 3 5 4" xfId="12781"/>
    <cellStyle name="Итог 2 3 6" xfId="12782"/>
    <cellStyle name="Итог 2 3 7" xfId="12783"/>
    <cellStyle name="Итог 2 3 8" xfId="12784"/>
    <cellStyle name="Итог 2 3 9" xfId="12785"/>
    <cellStyle name="Итог 2 4" xfId="2762"/>
    <cellStyle name="Итог 2 4 10" xfId="12786"/>
    <cellStyle name="Итог 2 4 11" xfId="12787"/>
    <cellStyle name="Итог 2 4 2" xfId="2763"/>
    <cellStyle name="Итог 2 4 2 2" xfId="12788"/>
    <cellStyle name="Итог 2 4 2 3" xfId="12789"/>
    <cellStyle name="Итог 2 4 2 4" xfId="12790"/>
    <cellStyle name="Итог 2 4 2 5" xfId="12791"/>
    <cellStyle name="Итог 2 4 3" xfId="2764"/>
    <cellStyle name="Итог 2 4 3 2" xfId="12792"/>
    <cellStyle name="Итог 2 4 3 3" xfId="12793"/>
    <cellStyle name="Итог 2 4 3 4" xfId="12794"/>
    <cellStyle name="Итог 2 4 3 5" xfId="12795"/>
    <cellStyle name="Итог 2 4 4" xfId="12796"/>
    <cellStyle name="Итог 2 4 4 2" xfId="12797"/>
    <cellStyle name="Итог 2 4 4 3" xfId="12798"/>
    <cellStyle name="Итог 2 4 4 4" xfId="12799"/>
    <cellStyle name="Итог 2 4 5" xfId="12800"/>
    <cellStyle name="Итог 2 4 6" xfId="12801"/>
    <cellStyle name="Итог 2 4 7" xfId="12802"/>
    <cellStyle name="Итог 2 4 8" xfId="12803"/>
    <cellStyle name="Итог 2 4 9" xfId="12804"/>
    <cellStyle name="Итог 2 5" xfId="2765"/>
    <cellStyle name="Итог 2 5 2" xfId="12805"/>
    <cellStyle name="Итог 2 5 3" xfId="12806"/>
    <cellStyle name="Итог 2 5 4" xfId="12807"/>
    <cellStyle name="Итог 2 5 5" xfId="12808"/>
    <cellStyle name="Итог 2 5 6" xfId="12809"/>
    <cellStyle name="Итог 2 5 7" xfId="12810"/>
    <cellStyle name="Итог 2 5 8" xfId="12811"/>
    <cellStyle name="Итог 2 6" xfId="2766"/>
    <cellStyle name="Итог 2 6 2" xfId="12812"/>
    <cellStyle name="Итог 2 6 3" xfId="12813"/>
    <cellStyle name="Итог 2 6 4" xfId="12814"/>
    <cellStyle name="Итог 2 6 5" xfId="12815"/>
    <cellStyle name="Итог 2 6 6" xfId="12816"/>
    <cellStyle name="Итог 2 6 7" xfId="12817"/>
    <cellStyle name="Итог 2 6 8" xfId="12818"/>
    <cellStyle name="Итог 2 7" xfId="2767"/>
    <cellStyle name="Итог 2 7 2" xfId="12819"/>
    <cellStyle name="Итог 2 7 3" xfId="12820"/>
    <cellStyle name="Итог 2 7 4" xfId="12821"/>
    <cellStyle name="Итог 2 7 5" xfId="12822"/>
    <cellStyle name="Итог 2 7 6" xfId="12823"/>
    <cellStyle name="Итог 2 7 7" xfId="12824"/>
    <cellStyle name="Итог 2 7 8" xfId="12825"/>
    <cellStyle name="Итог 2 8" xfId="12826"/>
    <cellStyle name="Итог 2 8 2" xfId="12827"/>
    <cellStyle name="Итог 2 8 3" xfId="12828"/>
    <cellStyle name="Итог 2 8 4" xfId="12829"/>
    <cellStyle name="Итог 2 9" xfId="12830"/>
    <cellStyle name="Итог 3" xfId="2768"/>
    <cellStyle name="Итог 3 10" xfId="12831"/>
    <cellStyle name="Итог 3 11" xfId="12832"/>
    <cellStyle name="Итог 3 12" xfId="12833"/>
    <cellStyle name="Итог 3 13" xfId="12834"/>
    <cellStyle name="Итог 3 14" xfId="12835"/>
    <cellStyle name="Итог 3 2" xfId="2769"/>
    <cellStyle name="Итог 3 2 10" xfId="12836"/>
    <cellStyle name="Итог 3 2 11" xfId="12837"/>
    <cellStyle name="Итог 3 2 12" xfId="12838"/>
    <cellStyle name="Итог 3 2 2" xfId="2770"/>
    <cellStyle name="Итог 3 2 2 2" xfId="12839"/>
    <cellStyle name="Итог 3 2 2 3" xfId="12840"/>
    <cellStyle name="Итог 3 2 2 4" xfId="12841"/>
    <cellStyle name="Итог 3 2 2 5" xfId="12842"/>
    <cellStyle name="Итог 3 2 3" xfId="2771"/>
    <cellStyle name="Итог 3 2 3 2" xfId="12843"/>
    <cellStyle name="Итог 3 2 3 3" xfId="12844"/>
    <cellStyle name="Итог 3 2 3 4" xfId="12845"/>
    <cellStyle name="Итог 3 2 3 5" xfId="12846"/>
    <cellStyle name="Итог 3 2 4" xfId="2772"/>
    <cellStyle name="Итог 3 2 4 2" xfId="12847"/>
    <cellStyle name="Итог 3 2 4 3" xfId="12848"/>
    <cellStyle name="Итог 3 2 4 4" xfId="12849"/>
    <cellStyle name="Итог 3 2 4 5" xfId="12850"/>
    <cellStyle name="Итог 3 2 5" xfId="12851"/>
    <cellStyle name="Итог 3 2 5 2" xfId="12852"/>
    <cellStyle name="Итог 3 2 5 3" xfId="12853"/>
    <cellStyle name="Итог 3 2 5 4" xfId="12854"/>
    <cellStyle name="Итог 3 2 6" xfId="12855"/>
    <cellStyle name="Итог 3 2 7" xfId="12856"/>
    <cellStyle name="Итог 3 2 8" xfId="12857"/>
    <cellStyle name="Итог 3 2 9" xfId="12858"/>
    <cellStyle name="Итог 3 3" xfId="2773"/>
    <cellStyle name="Итог 3 3 10" xfId="12859"/>
    <cellStyle name="Итог 3 3 11" xfId="12860"/>
    <cellStyle name="Итог 3 3 2" xfId="2774"/>
    <cellStyle name="Итог 3 3 2 2" xfId="12861"/>
    <cellStyle name="Итог 3 3 2 3" xfId="12862"/>
    <cellStyle name="Итог 3 3 2 4" xfId="12863"/>
    <cellStyle name="Итог 3 3 2 5" xfId="12864"/>
    <cellStyle name="Итог 3 3 3" xfId="2775"/>
    <cellStyle name="Итог 3 3 3 2" xfId="12865"/>
    <cellStyle name="Итог 3 3 3 3" xfId="12866"/>
    <cellStyle name="Итог 3 3 3 4" xfId="12867"/>
    <cellStyle name="Итог 3 3 3 5" xfId="12868"/>
    <cellStyle name="Итог 3 3 4" xfId="12869"/>
    <cellStyle name="Итог 3 3 4 2" xfId="12870"/>
    <cellStyle name="Итог 3 3 4 3" xfId="12871"/>
    <cellStyle name="Итог 3 3 4 4" xfId="12872"/>
    <cellStyle name="Итог 3 3 5" xfId="12873"/>
    <cellStyle name="Итог 3 3 6" xfId="12874"/>
    <cellStyle name="Итог 3 3 7" xfId="12875"/>
    <cellStyle name="Итог 3 3 8" xfId="12876"/>
    <cellStyle name="Итог 3 3 9" xfId="12877"/>
    <cellStyle name="Итог 3 4" xfId="2776"/>
    <cellStyle name="Итог 3 4 2" xfId="12878"/>
    <cellStyle name="Итог 3 4 3" xfId="12879"/>
    <cellStyle name="Итог 3 4 4" xfId="12880"/>
    <cellStyle name="Итог 3 4 5" xfId="12881"/>
    <cellStyle name="Итог 3 4 6" xfId="12882"/>
    <cellStyle name="Итог 3 4 7" xfId="12883"/>
    <cellStyle name="Итог 3 4 8" xfId="12884"/>
    <cellStyle name="Итог 3 5" xfId="2777"/>
    <cellStyle name="Итог 3 5 2" xfId="12885"/>
    <cellStyle name="Итог 3 5 3" xfId="12886"/>
    <cellStyle name="Итог 3 5 4" xfId="12887"/>
    <cellStyle name="Итог 3 5 5" xfId="12888"/>
    <cellStyle name="Итог 3 5 6" xfId="12889"/>
    <cellStyle name="Итог 3 5 7" xfId="12890"/>
    <cellStyle name="Итог 3 5 8" xfId="12891"/>
    <cellStyle name="Итог 3 6" xfId="2778"/>
    <cellStyle name="Итог 3 6 2" xfId="12892"/>
    <cellStyle name="Итог 3 6 3" xfId="12893"/>
    <cellStyle name="Итог 3 6 4" xfId="12894"/>
    <cellStyle name="Итог 3 6 5" xfId="12895"/>
    <cellStyle name="Итог 3 6 6" xfId="12896"/>
    <cellStyle name="Итог 3 6 7" xfId="12897"/>
    <cellStyle name="Итог 3 6 8" xfId="12898"/>
    <cellStyle name="Итог 3 7" xfId="12899"/>
    <cellStyle name="Итог 3 7 2" xfId="12900"/>
    <cellStyle name="Итог 3 7 3" xfId="12901"/>
    <cellStyle name="Итог 3 7 4" xfId="12902"/>
    <cellStyle name="Итог 3 8" xfId="12903"/>
    <cellStyle name="Итог 3 9" xfId="12904"/>
    <cellStyle name="Итог 4" xfId="2779"/>
    <cellStyle name="Итог 4 10" xfId="12905"/>
    <cellStyle name="Итог 4 11" xfId="12906"/>
    <cellStyle name="Итог 4 12" xfId="12907"/>
    <cellStyle name="Итог 4 13" xfId="12908"/>
    <cellStyle name="Итог 4 14" xfId="12909"/>
    <cellStyle name="Итог 4 2" xfId="2780"/>
    <cellStyle name="Итог 4 2 10" xfId="12910"/>
    <cellStyle name="Итог 4 2 11" xfId="12911"/>
    <cellStyle name="Итог 4 2 12" xfId="12912"/>
    <cellStyle name="Итог 4 2 2" xfId="2781"/>
    <cellStyle name="Итог 4 2 2 2" xfId="12913"/>
    <cellStyle name="Итог 4 2 2 3" xfId="12914"/>
    <cellStyle name="Итог 4 2 2 4" xfId="12915"/>
    <cellStyle name="Итог 4 2 2 5" xfId="12916"/>
    <cellStyle name="Итог 4 2 3" xfId="2782"/>
    <cellStyle name="Итог 4 2 3 2" xfId="12917"/>
    <cellStyle name="Итог 4 2 3 3" xfId="12918"/>
    <cellStyle name="Итог 4 2 3 4" xfId="12919"/>
    <cellStyle name="Итог 4 2 3 5" xfId="12920"/>
    <cellStyle name="Итог 4 2 4" xfId="2783"/>
    <cellStyle name="Итог 4 2 4 2" xfId="12921"/>
    <cellStyle name="Итог 4 2 4 3" xfId="12922"/>
    <cellStyle name="Итог 4 2 4 4" xfId="12923"/>
    <cellStyle name="Итог 4 2 4 5" xfId="12924"/>
    <cellStyle name="Итог 4 2 5" xfId="12925"/>
    <cellStyle name="Итог 4 2 5 2" xfId="12926"/>
    <cellStyle name="Итог 4 2 5 3" xfId="12927"/>
    <cellStyle name="Итог 4 2 5 4" xfId="12928"/>
    <cellStyle name="Итог 4 2 6" xfId="12929"/>
    <cellStyle name="Итог 4 2 7" xfId="12930"/>
    <cellStyle name="Итог 4 2 8" xfId="12931"/>
    <cellStyle name="Итог 4 2 9" xfId="12932"/>
    <cellStyle name="Итог 4 3" xfId="2784"/>
    <cellStyle name="Итог 4 3 10" xfId="12933"/>
    <cellStyle name="Итог 4 3 11" xfId="12934"/>
    <cellStyle name="Итог 4 3 2" xfId="2785"/>
    <cellStyle name="Итог 4 3 2 2" xfId="12935"/>
    <cellStyle name="Итог 4 3 2 3" xfId="12936"/>
    <cellStyle name="Итог 4 3 2 4" xfId="12937"/>
    <cellStyle name="Итог 4 3 2 5" xfId="12938"/>
    <cellStyle name="Итог 4 3 3" xfId="2786"/>
    <cellStyle name="Итог 4 3 3 2" xfId="12939"/>
    <cellStyle name="Итог 4 3 3 3" xfId="12940"/>
    <cellStyle name="Итог 4 3 3 4" xfId="12941"/>
    <cellStyle name="Итог 4 3 3 5" xfId="12942"/>
    <cellStyle name="Итог 4 3 4" xfId="12943"/>
    <cellStyle name="Итог 4 3 4 2" xfId="12944"/>
    <cellStyle name="Итог 4 3 4 3" xfId="12945"/>
    <cellStyle name="Итог 4 3 4 4" xfId="12946"/>
    <cellStyle name="Итог 4 3 5" xfId="12947"/>
    <cellStyle name="Итог 4 3 6" xfId="12948"/>
    <cellStyle name="Итог 4 3 7" xfId="12949"/>
    <cellStyle name="Итог 4 3 8" xfId="12950"/>
    <cellStyle name="Итог 4 3 9" xfId="12951"/>
    <cellStyle name="Итог 4 4" xfId="2787"/>
    <cellStyle name="Итог 4 4 2" xfId="12952"/>
    <cellStyle name="Итог 4 4 3" xfId="12953"/>
    <cellStyle name="Итог 4 4 4" xfId="12954"/>
    <cellStyle name="Итог 4 4 5" xfId="12955"/>
    <cellStyle name="Итог 4 4 6" xfId="12956"/>
    <cellStyle name="Итог 4 4 7" xfId="12957"/>
    <cellStyle name="Итог 4 4 8" xfId="12958"/>
    <cellStyle name="Итог 4 5" xfId="2788"/>
    <cellStyle name="Итог 4 5 2" xfId="12959"/>
    <cellStyle name="Итог 4 5 3" xfId="12960"/>
    <cellStyle name="Итог 4 5 4" xfId="12961"/>
    <cellStyle name="Итог 4 5 5" xfId="12962"/>
    <cellStyle name="Итог 4 5 6" xfId="12963"/>
    <cellStyle name="Итог 4 5 7" xfId="12964"/>
    <cellStyle name="Итог 4 5 8" xfId="12965"/>
    <cellStyle name="Итог 4 6" xfId="2789"/>
    <cellStyle name="Итог 4 6 2" xfId="12966"/>
    <cellStyle name="Итог 4 6 3" xfId="12967"/>
    <cellStyle name="Итог 4 6 4" xfId="12968"/>
    <cellStyle name="Итог 4 6 5" xfId="12969"/>
    <cellStyle name="Итог 4 6 6" xfId="12970"/>
    <cellStyle name="Итог 4 6 7" xfId="12971"/>
    <cellStyle name="Итог 4 6 8" xfId="12972"/>
    <cellStyle name="Итог 4 7" xfId="12973"/>
    <cellStyle name="Итог 4 7 2" xfId="12974"/>
    <cellStyle name="Итог 4 7 3" xfId="12975"/>
    <cellStyle name="Итог 4 7 4" xfId="12976"/>
    <cellStyle name="Итог 4 8" xfId="12977"/>
    <cellStyle name="Итог 4 9" xfId="12978"/>
    <cellStyle name="Итог 5" xfId="2790"/>
    <cellStyle name="Итог 5 10" xfId="12979"/>
    <cellStyle name="Итог 5 11" xfId="12980"/>
    <cellStyle name="Итог 5 12" xfId="12981"/>
    <cellStyle name="Итог 5 13" xfId="12982"/>
    <cellStyle name="Итог 5 14" xfId="12983"/>
    <cellStyle name="Итог 5 2" xfId="2791"/>
    <cellStyle name="Итог 5 2 10" xfId="12984"/>
    <cellStyle name="Итог 5 2 11" xfId="12985"/>
    <cellStyle name="Итог 5 2 12" xfId="12986"/>
    <cellStyle name="Итог 5 2 2" xfId="2792"/>
    <cellStyle name="Итог 5 2 2 2" xfId="12987"/>
    <cellStyle name="Итог 5 2 2 3" xfId="12988"/>
    <cellStyle name="Итог 5 2 2 4" xfId="12989"/>
    <cellStyle name="Итог 5 2 2 5" xfId="12990"/>
    <cellStyle name="Итог 5 2 3" xfId="2793"/>
    <cellStyle name="Итог 5 2 3 2" xfId="12991"/>
    <cellStyle name="Итог 5 2 3 3" xfId="12992"/>
    <cellStyle name="Итог 5 2 3 4" xfId="12993"/>
    <cellStyle name="Итог 5 2 3 5" xfId="12994"/>
    <cellStyle name="Итог 5 2 4" xfId="2794"/>
    <cellStyle name="Итог 5 2 4 2" xfId="12995"/>
    <cellStyle name="Итог 5 2 4 3" xfId="12996"/>
    <cellStyle name="Итог 5 2 4 4" xfId="12997"/>
    <cellStyle name="Итог 5 2 4 5" xfId="12998"/>
    <cellStyle name="Итог 5 2 5" xfId="12999"/>
    <cellStyle name="Итог 5 2 5 2" xfId="13000"/>
    <cellStyle name="Итог 5 2 5 3" xfId="13001"/>
    <cellStyle name="Итог 5 2 5 4" xfId="13002"/>
    <cellStyle name="Итог 5 2 6" xfId="13003"/>
    <cellStyle name="Итог 5 2 7" xfId="13004"/>
    <cellStyle name="Итог 5 2 8" xfId="13005"/>
    <cellStyle name="Итог 5 2 9" xfId="13006"/>
    <cellStyle name="Итог 5 3" xfId="2795"/>
    <cellStyle name="Итог 5 3 10" xfId="13007"/>
    <cellStyle name="Итог 5 3 11" xfId="13008"/>
    <cellStyle name="Итог 5 3 2" xfId="2796"/>
    <cellStyle name="Итог 5 3 2 2" xfId="13009"/>
    <cellStyle name="Итог 5 3 2 3" xfId="13010"/>
    <cellStyle name="Итог 5 3 2 4" xfId="13011"/>
    <cellStyle name="Итог 5 3 2 5" xfId="13012"/>
    <cellStyle name="Итог 5 3 3" xfId="2797"/>
    <cellStyle name="Итог 5 3 3 2" xfId="13013"/>
    <cellStyle name="Итог 5 3 3 3" xfId="13014"/>
    <cellStyle name="Итог 5 3 3 4" xfId="13015"/>
    <cellStyle name="Итог 5 3 3 5" xfId="13016"/>
    <cellStyle name="Итог 5 3 4" xfId="13017"/>
    <cellStyle name="Итог 5 3 4 2" xfId="13018"/>
    <cellStyle name="Итог 5 3 4 3" xfId="13019"/>
    <cellStyle name="Итог 5 3 4 4" xfId="13020"/>
    <cellStyle name="Итог 5 3 5" xfId="13021"/>
    <cellStyle name="Итог 5 3 6" xfId="13022"/>
    <cellStyle name="Итог 5 3 7" xfId="13023"/>
    <cellStyle name="Итог 5 3 8" xfId="13024"/>
    <cellStyle name="Итог 5 3 9" xfId="13025"/>
    <cellStyle name="Итог 5 4" xfId="2798"/>
    <cellStyle name="Итог 5 4 2" xfId="13026"/>
    <cellStyle name="Итог 5 4 3" xfId="13027"/>
    <cellStyle name="Итог 5 4 4" xfId="13028"/>
    <cellStyle name="Итог 5 4 5" xfId="13029"/>
    <cellStyle name="Итог 5 4 6" xfId="13030"/>
    <cellStyle name="Итог 5 4 7" xfId="13031"/>
    <cellStyle name="Итог 5 4 8" xfId="13032"/>
    <cellStyle name="Итог 5 5" xfId="2799"/>
    <cellStyle name="Итог 5 5 2" xfId="13033"/>
    <cellStyle name="Итог 5 5 3" xfId="13034"/>
    <cellStyle name="Итог 5 5 4" xfId="13035"/>
    <cellStyle name="Итог 5 5 5" xfId="13036"/>
    <cellStyle name="Итог 5 5 6" xfId="13037"/>
    <cellStyle name="Итог 5 5 7" xfId="13038"/>
    <cellStyle name="Итог 5 5 8" xfId="13039"/>
    <cellStyle name="Итог 5 6" xfId="2800"/>
    <cellStyle name="Итог 5 6 2" xfId="13040"/>
    <cellStyle name="Итог 5 6 3" xfId="13041"/>
    <cellStyle name="Итог 5 6 4" xfId="13042"/>
    <cellStyle name="Итог 5 6 5" xfId="13043"/>
    <cellStyle name="Итог 5 6 6" xfId="13044"/>
    <cellStyle name="Итог 5 6 7" xfId="13045"/>
    <cellStyle name="Итог 5 6 8" xfId="13046"/>
    <cellStyle name="Итог 5 7" xfId="13047"/>
    <cellStyle name="Итог 5 7 2" xfId="13048"/>
    <cellStyle name="Итог 5 7 3" xfId="13049"/>
    <cellStyle name="Итог 5 7 4" xfId="13050"/>
    <cellStyle name="Итог 5 8" xfId="13051"/>
    <cellStyle name="Итог 5 9" xfId="13052"/>
    <cellStyle name="Итог 6" xfId="2801"/>
    <cellStyle name="Итог 6 10" xfId="13053"/>
    <cellStyle name="Итог 6 11" xfId="13054"/>
    <cellStyle name="Итог 6 12" xfId="13055"/>
    <cellStyle name="Итог 6 13" xfId="13056"/>
    <cellStyle name="Итог 6 14" xfId="13057"/>
    <cellStyle name="Итог 6 2" xfId="2802"/>
    <cellStyle name="Итог 6 2 10" xfId="13058"/>
    <cellStyle name="Итог 6 2 11" xfId="13059"/>
    <cellStyle name="Итог 6 2 12" xfId="13060"/>
    <cellStyle name="Итог 6 2 2" xfId="2803"/>
    <cellStyle name="Итог 6 2 2 2" xfId="13061"/>
    <cellStyle name="Итог 6 2 2 3" xfId="13062"/>
    <cellStyle name="Итог 6 2 2 4" xfId="13063"/>
    <cellStyle name="Итог 6 2 2 5" xfId="13064"/>
    <cellStyle name="Итог 6 2 3" xfId="2804"/>
    <cellStyle name="Итог 6 2 3 2" xfId="13065"/>
    <cellStyle name="Итог 6 2 3 3" xfId="13066"/>
    <cellStyle name="Итог 6 2 3 4" xfId="13067"/>
    <cellStyle name="Итог 6 2 3 5" xfId="13068"/>
    <cellStyle name="Итог 6 2 4" xfId="2805"/>
    <cellStyle name="Итог 6 2 4 2" xfId="13069"/>
    <cellStyle name="Итог 6 2 4 3" xfId="13070"/>
    <cellStyle name="Итог 6 2 4 4" xfId="13071"/>
    <cellStyle name="Итог 6 2 4 5" xfId="13072"/>
    <cellStyle name="Итог 6 2 5" xfId="13073"/>
    <cellStyle name="Итог 6 2 5 2" xfId="13074"/>
    <cellStyle name="Итог 6 2 5 3" xfId="13075"/>
    <cellStyle name="Итог 6 2 5 4" xfId="13076"/>
    <cellStyle name="Итог 6 2 6" xfId="13077"/>
    <cellStyle name="Итог 6 2 7" xfId="13078"/>
    <cellStyle name="Итог 6 2 8" xfId="13079"/>
    <cellStyle name="Итог 6 2 9" xfId="13080"/>
    <cellStyle name="Итог 6 3" xfId="2806"/>
    <cellStyle name="Итог 6 3 10" xfId="13081"/>
    <cellStyle name="Итог 6 3 11" xfId="13082"/>
    <cellStyle name="Итог 6 3 2" xfId="2807"/>
    <cellStyle name="Итог 6 3 2 2" xfId="13083"/>
    <cellStyle name="Итог 6 3 2 3" xfId="13084"/>
    <cellStyle name="Итог 6 3 2 4" xfId="13085"/>
    <cellStyle name="Итог 6 3 2 5" xfId="13086"/>
    <cellStyle name="Итог 6 3 3" xfId="2808"/>
    <cellStyle name="Итог 6 3 3 2" xfId="13087"/>
    <cellStyle name="Итог 6 3 3 3" xfId="13088"/>
    <cellStyle name="Итог 6 3 3 4" xfId="13089"/>
    <cellStyle name="Итог 6 3 3 5" xfId="13090"/>
    <cellStyle name="Итог 6 3 4" xfId="13091"/>
    <cellStyle name="Итог 6 3 4 2" xfId="13092"/>
    <cellStyle name="Итог 6 3 4 3" xfId="13093"/>
    <cellStyle name="Итог 6 3 4 4" xfId="13094"/>
    <cellStyle name="Итог 6 3 5" xfId="13095"/>
    <cellStyle name="Итог 6 3 6" xfId="13096"/>
    <cellStyle name="Итог 6 3 7" xfId="13097"/>
    <cellStyle name="Итог 6 3 8" xfId="13098"/>
    <cellStyle name="Итог 6 3 9" xfId="13099"/>
    <cellStyle name="Итог 6 4" xfId="2809"/>
    <cellStyle name="Итог 6 4 2" xfId="13100"/>
    <cellStyle name="Итог 6 4 3" xfId="13101"/>
    <cellStyle name="Итог 6 4 4" xfId="13102"/>
    <cellStyle name="Итог 6 4 5" xfId="13103"/>
    <cellStyle name="Итог 6 4 6" xfId="13104"/>
    <cellStyle name="Итог 6 4 7" xfId="13105"/>
    <cellStyle name="Итог 6 4 8" xfId="13106"/>
    <cellStyle name="Итог 6 5" xfId="2810"/>
    <cellStyle name="Итог 6 5 2" xfId="13107"/>
    <cellStyle name="Итог 6 5 3" xfId="13108"/>
    <cellStyle name="Итог 6 5 4" xfId="13109"/>
    <cellStyle name="Итог 6 5 5" xfId="13110"/>
    <cellStyle name="Итог 6 5 6" xfId="13111"/>
    <cellStyle name="Итог 6 5 7" xfId="13112"/>
    <cellStyle name="Итог 6 5 8" xfId="13113"/>
    <cellStyle name="Итог 6 6" xfId="2811"/>
    <cellStyle name="Итог 6 6 2" xfId="13114"/>
    <cellStyle name="Итог 6 6 3" xfId="13115"/>
    <cellStyle name="Итог 6 6 4" xfId="13116"/>
    <cellStyle name="Итог 6 6 5" xfId="13117"/>
    <cellStyle name="Итог 6 6 6" xfId="13118"/>
    <cellStyle name="Итог 6 6 7" xfId="13119"/>
    <cellStyle name="Итог 6 6 8" xfId="13120"/>
    <cellStyle name="Итог 6 7" xfId="13121"/>
    <cellStyle name="Итог 6 7 2" xfId="13122"/>
    <cellStyle name="Итог 6 7 3" xfId="13123"/>
    <cellStyle name="Итог 6 7 4" xfId="13124"/>
    <cellStyle name="Итог 6 8" xfId="13125"/>
    <cellStyle name="Итог 6 9" xfId="13126"/>
    <cellStyle name="Контрольная ячейка 2" xfId="2812"/>
    <cellStyle name="Контрольная ячейка 2 2" xfId="2813"/>
    <cellStyle name="Контрольная ячейка 2 2 2" xfId="2814"/>
    <cellStyle name="Контрольная ячейка 2 2 2 2" xfId="2815"/>
    <cellStyle name="Контрольная ячейка 2 2 2 3" xfId="2816"/>
    <cellStyle name="Контрольная ячейка 2 2 3" xfId="2817"/>
    <cellStyle name="Контрольная ячейка 2 2 4" xfId="2818"/>
    <cellStyle name="Контрольная ячейка 2 2 4 2" xfId="13127"/>
    <cellStyle name="Контрольная ячейка 2 2 4 3" xfId="13128"/>
    <cellStyle name="Контрольная ячейка 2 2 4 4" xfId="13129"/>
    <cellStyle name="Контрольная ячейка 2 2 4 5" xfId="13130"/>
    <cellStyle name="Контрольная ячейка 2 2 5" xfId="13131"/>
    <cellStyle name="Контрольная ячейка 2 2 6" xfId="13132"/>
    <cellStyle name="Контрольная ячейка 2 2 7" xfId="13133"/>
    <cellStyle name="Контрольная ячейка 2 2 8" xfId="13134"/>
    <cellStyle name="Контрольная ячейка 2 3" xfId="2819"/>
    <cellStyle name="Контрольная ячейка 2 3 2" xfId="2820"/>
    <cellStyle name="Контрольная ячейка 2 3 3" xfId="2821"/>
    <cellStyle name="Контрольная ячейка 2 4" xfId="2822"/>
    <cellStyle name="Контрольная ячейка 2 5" xfId="2823"/>
    <cellStyle name="Контрольная ячейка 2 5 2" xfId="13135"/>
    <cellStyle name="Контрольная ячейка 2 5 3" xfId="13136"/>
    <cellStyle name="Контрольная ячейка 2 5 4" xfId="13137"/>
    <cellStyle name="Контрольная ячейка 2 5 5" xfId="13138"/>
    <cellStyle name="Контрольная ячейка 2 6" xfId="13139"/>
    <cellStyle name="Контрольная ячейка 2 7" xfId="13140"/>
    <cellStyle name="Контрольная ячейка 2 8" xfId="13141"/>
    <cellStyle name="Контрольная ячейка 2 9" xfId="13142"/>
    <cellStyle name="Контрольная ячейка 3" xfId="2824"/>
    <cellStyle name="Контрольная ячейка 3 2" xfId="2825"/>
    <cellStyle name="Контрольная ячейка 3 2 2" xfId="2826"/>
    <cellStyle name="Контрольная ячейка 3 2 3" xfId="2827"/>
    <cellStyle name="Контрольная ячейка 3 3" xfId="2828"/>
    <cellStyle name="Контрольная ячейка 3 4" xfId="2829"/>
    <cellStyle name="Контрольная ячейка 3 4 2" xfId="13143"/>
    <cellStyle name="Контрольная ячейка 3 4 3" xfId="13144"/>
    <cellStyle name="Контрольная ячейка 3 4 4" xfId="13145"/>
    <cellStyle name="Контрольная ячейка 3 4 5" xfId="13146"/>
    <cellStyle name="Контрольная ячейка 3 5" xfId="13147"/>
    <cellStyle name="Контрольная ячейка 3 6" xfId="13148"/>
    <cellStyle name="Контрольная ячейка 3 7" xfId="13149"/>
    <cellStyle name="Контрольная ячейка 3 8" xfId="13150"/>
    <cellStyle name="Контрольная ячейка 4" xfId="2830"/>
    <cellStyle name="Контрольная ячейка 4 2" xfId="2831"/>
    <cellStyle name="Контрольная ячейка 4 2 2" xfId="2832"/>
    <cellStyle name="Контрольная ячейка 4 2 3" xfId="2833"/>
    <cellStyle name="Контрольная ячейка 4 3" xfId="2834"/>
    <cellStyle name="Контрольная ячейка 4 4" xfId="2835"/>
    <cellStyle name="Контрольная ячейка 4 4 2" xfId="13151"/>
    <cellStyle name="Контрольная ячейка 4 4 3" xfId="13152"/>
    <cellStyle name="Контрольная ячейка 4 4 4" xfId="13153"/>
    <cellStyle name="Контрольная ячейка 4 4 5" xfId="13154"/>
    <cellStyle name="Контрольная ячейка 4 5" xfId="13155"/>
    <cellStyle name="Контрольная ячейка 4 6" xfId="13156"/>
    <cellStyle name="Контрольная ячейка 4 7" xfId="13157"/>
    <cellStyle name="Контрольная ячейка 4 8" xfId="13158"/>
    <cellStyle name="Контрольная ячейка 5" xfId="2836"/>
    <cellStyle name="Контрольная ячейка 5 2" xfId="2837"/>
    <cellStyle name="Контрольная ячейка 5 2 2" xfId="2838"/>
    <cellStyle name="Контрольная ячейка 5 2 3" xfId="2839"/>
    <cellStyle name="Контрольная ячейка 5 3" xfId="2840"/>
    <cellStyle name="Контрольная ячейка 5 4" xfId="2841"/>
    <cellStyle name="Контрольная ячейка 5 4 2" xfId="13159"/>
    <cellStyle name="Контрольная ячейка 5 4 3" xfId="13160"/>
    <cellStyle name="Контрольная ячейка 5 4 4" xfId="13161"/>
    <cellStyle name="Контрольная ячейка 5 4 5" xfId="13162"/>
    <cellStyle name="Контрольная ячейка 5 5" xfId="13163"/>
    <cellStyle name="Контрольная ячейка 5 6" xfId="13164"/>
    <cellStyle name="Контрольная ячейка 5 7" xfId="13165"/>
    <cellStyle name="Контрольная ячейка 5 8" xfId="13166"/>
    <cellStyle name="Контрольная ячейка 6" xfId="2842"/>
    <cellStyle name="Контрольная ячейка 6 2" xfId="2843"/>
    <cellStyle name="Контрольная ячейка 6 2 2" xfId="2844"/>
    <cellStyle name="Контрольная ячейка 6 2 3" xfId="2845"/>
    <cellStyle name="Контрольная ячейка 6 3" xfId="2846"/>
    <cellStyle name="Контрольная ячейка 6 4" xfId="2847"/>
    <cellStyle name="Контрольная ячейка 6 4 2" xfId="13167"/>
    <cellStyle name="Контрольная ячейка 6 4 3" xfId="13168"/>
    <cellStyle name="Контрольная ячейка 6 4 4" xfId="13169"/>
    <cellStyle name="Контрольная ячейка 6 4 5" xfId="13170"/>
    <cellStyle name="Контрольная ячейка 6 5" xfId="13171"/>
    <cellStyle name="Контрольная ячейка 6 6" xfId="13172"/>
    <cellStyle name="Контрольная ячейка 6 7" xfId="13173"/>
    <cellStyle name="Контрольная ячейка 6 8" xfId="13174"/>
    <cellStyle name="Название 2" xfId="2848"/>
    <cellStyle name="Название 2 2" xfId="2849"/>
    <cellStyle name="Название 2 2 2" xfId="2850"/>
    <cellStyle name="Название 2 2 3" xfId="2851"/>
    <cellStyle name="Название 2 3" xfId="2852"/>
    <cellStyle name="Название 2 4" xfId="2853"/>
    <cellStyle name="Название 2 4 2" xfId="13175"/>
    <cellStyle name="Название 2 4 3" xfId="13176"/>
    <cellStyle name="Название 2 4 4" xfId="13177"/>
    <cellStyle name="Название 2 4 5" xfId="13178"/>
    <cellStyle name="Название 2 5" xfId="13179"/>
    <cellStyle name="Название 2 6" xfId="13180"/>
    <cellStyle name="Название 2 7" xfId="13181"/>
    <cellStyle name="Название 2 8" xfId="13182"/>
    <cellStyle name="Название 3" xfId="2854"/>
    <cellStyle name="Название 3 2" xfId="2855"/>
    <cellStyle name="Название 3 2 2" xfId="2856"/>
    <cellStyle name="Название 3 2 3" xfId="2857"/>
    <cellStyle name="Название 3 3" xfId="2858"/>
    <cellStyle name="Название 3 4" xfId="2859"/>
    <cellStyle name="Название 3 4 2" xfId="13183"/>
    <cellStyle name="Название 3 4 3" xfId="13184"/>
    <cellStyle name="Название 3 4 4" xfId="13185"/>
    <cellStyle name="Название 3 4 5" xfId="13186"/>
    <cellStyle name="Название 3 5" xfId="13187"/>
    <cellStyle name="Название 3 6" xfId="13188"/>
    <cellStyle name="Название 3 7" xfId="13189"/>
    <cellStyle name="Название 3 8" xfId="13190"/>
    <cellStyle name="Название 4" xfId="2860"/>
    <cellStyle name="Название 4 2" xfId="2861"/>
    <cellStyle name="Название 4 2 2" xfId="2862"/>
    <cellStyle name="Название 4 2 3" xfId="2863"/>
    <cellStyle name="Название 4 3" xfId="2864"/>
    <cellStyle name="Название 4 4" xfId="2865"/>
    <cellStyle name="Название 4 4 2" xfId="13191"/>
    <cellStyle name="Название 4 4 3" xfId="13192"/>
    <cellStyle name="Название 4 4 4" xfId="13193"/>
    <cellStyle name="Название 4 4 5" xfId="13194"/>
    <cellStyle name="Название 4 5" xfId="13195"/>
    <cellStyle name="Название 4 6" xfId="13196"/>
    <cellStyle name="Название 4 7" xfId="13197"/>
    <cellStyle name="Название 4 8" xfId="13198"/>
    <cellStyle name="Название 5" xfId="2866"/>
    <cellStyle name="Название 5 2" xfId="2867"/>
    <cellStyle name="Название 5 2 2" xfId="2868"/>
    <cellStyle name="Название 5 2 3" xfId="2869"/>
    <cellStyle name="Название 5 3" xfId="2870"/>
    <cellStyle name="Название 5 4" xfId="2871"/>
    <cellStyle name="Название 5 4 2" xfId="13199"/>
    <cellStyle name="Название 5 4 3" xfId="13200"/>
    <cellStyle name="Название 5 4 4" xfId="13201"/>
    <cellStyle name="Название 5 4 5" xfId="13202"/>
    <cellStyle name="Название 5 5" xfId="13203"/>
    <cellStyle name="Название 5 6" xfId="13204"/>
    <cellStyle name="Название 5 7" xfId="13205"/>
    <cellStyle name="Название 5 8" xfId="13206"/>
    <cellStyle name="Название 6" xfId="2872"/>
    <cellStyle name="Название 6 2" xfId="2873"/>
    <cellStyle name="Название 6 2 2" xfId="2874"/>
    <cellStyle name="Название 6 2 3" xfId="2875"/>
    <cellStyle name="Название 6 3" xfId="2876"/>
    <cellStyle name="Название 6 4" xfId="2877"/>
    <cellStyle name="Название 6 4 2" xfId="13207"/>
    <cellStyle name="Название 6 4 3" xfId="13208"/>
    <cellStyle name="Название 6 4 4" xfId="13209"/>
    <cellStyle name="Название 6 4 5" xfId="13210"/>
    <cellStyle name="Название 6 5" xfId="13211"/>
    <cellStyle name="Название 6 6" xfId="13212"/>
    <cellStyle name="Название 6 7" xfId="13213"/>
    <cellStyle name="Название 6 8" xfId="13214"/>
    <cellStyle name="Нейтральный 2" xfId="2878"/>
    <cellStyle name="Нейтральный 2 2" xfId="2879"/>
    <cellStyle name="Нейтральный 2 2 2" xfId="2880"/>
    <cellStyle name="Нейтральный 2 2 2 2" xfId="2881"/>
    <cellStyle name="Нейтральный 2 2 2 3" xfId="2882"/>
    <cellStyle name="Нейтральный 2 2 3" xfId="2883"/>
    <cellStyle name="Нейтральный 2 2 4" xfId="2884"/>
    <cellStyle name="Нейтральный 2 2 4 2" xfId="13215"/>
    <cellStyle name="Нейтральный 2 2 4 3" xfId="13216"/>
    <cellStyle name="Нейтральный 2 2 4 4" xfId="13217"/>
    <cellStyle name="Нейтральный 2 2 4 5" xfId="13218"/>
    <cellStyle name="Нейтральный 2 2 5" xfId="13219"/>
    <cellStyle name="Нейтральный 2 2 6" xfId="13220"/>
    <cellStyle name="Нейтральный 2 2 7" xfId="13221"/>
    <cellStyle name="Нейтральный 2 2 8" xfId="13222"/>
    <cellStyle name="Нейтральный 2 3" xfId="2885"/>
    <cellStyle name="Нейтральный 2 3 2" xfId="2886"/>
    <cellStyle name="Нейтральный 2 3 2 2" xfId="13223"/>
    <cellStyle name="Нейтральный 2 3 2 3" xfId="13224"/>
    <cellStyle name="Нейтральный 2 3 2 4" xfId="13225"/>
    <cellStyle name="Нейтральный 2 3 2 5" xfId="13226"/>
    <cellStyle name="Нейтральный 2 3 2 6" xfId="13227"/>
    <cellStyle name="Нейтральный 2 3 3" xfId="2887"/>
    <cellStyle name="Нейтральный 2 3 3 2" xfId="13228"/>
    <cellStyle name="Нейтральный 2 3 3 3" xfId="13229"/>
    <cellStyle name="Нейтральный 2 3 3 4" xfId="13230"/>
    <cellStyle name="Нейтральный 2 3 3 5" xfId="13231"/>
    <cellStyle name="Нейтральный 2 3 3 6" xfId="13232"/>
    <cellStyle name="Нейтральный 2 3 4" xfId="13233"/>
    <cellStyle name="Нейтральный 2 3 5" xfId="13234"/>
    <cellStyle name="Нейтральный 2 3 6" xfId="13235"/>
    <cellStyle name="Нейтральный 2 3 7" xfId="13236"/>
    <cellStyle name="Нейтральный 2 3 8" xfId="13237"/>
    <cellStyle name="Нейтральный 2 4" xfId="2888"/>
    <cellStyle name="Нейтральный 2 4 2" xfId="13238"/>
    <cellStyle name="Нейтральный 2 4 3" xfId="13239"/>
    <cellStyle name="Нейтральный 2 4 4" xfId="13240"/>
    <cellStyle name="Нейтральный 2 4 5" xfId="13241"/>
    <cellStyle name="Нейтральный 2 4 6" xfId="13242"/>
    <cellStyle name="Нейтральный 2 5" xfId="2889"/>
    <cellStyle name="Нейтральный 2 5 2" xfId="13243"/>
    <cellStyle name="Нейтральный 2 5 3" xfId="13244"/>
    <cellStyle name="Нейтральный 2 5 4" xfId="13245"/>
    <cellStyle name="Нейтральный 2 5 5" xfId="13246"/>
    <cellStyle name="Нейтральный 2 6" xfId="13247"/>
    <cellStyle name="Нейтральный 2 7" xfId="13248"/>
    <cellStyle name="Нейтральный 2 8" xfId="13249"/>
    <cellStyle name="Нейтральный 2 9" xfId="13250"/>
    <cellStyle name="Нейтральный 3" xfId="2890"/>
    <cellStyle name="Нейтральный 3 2" xfId="2891"/>
    <cellStyle name="Нейтральный 3 2 2" xfId="2892"/>
    <cellStyle name="Нейтральный 3 2 2 2" xfId="13251"/>
    <cellStyle name="Нейтральный 3 2 2 3" xfId="13252"/>
    <cellStyle name="Нейтральный 3 2 2 4" xfId="13253"/>
    <cellStyle name="Нейтральный 3 2 2 5" xfId="13254"/>
    <cellStyle name="Нейтральный 3 2 2 6" xfId="13255"/>
    <cellStyle name="Нейтральный 3 2 3" xfId="2893"/>
    <cellStyle name="Нейтральный 3 2 3 2" xfId="13256"/>
    <cellStyle name="Нейтральный 3 2 3 3" xfId="13257"/>
    <cellStyle name="Нейтральный 3 2 3 4" xfId="13258"/>
    <cellStyle name="Нейтральный 3 2 3 5" xfId="13259"/>
    <cellStyle name="Нейтральный 3 2 3 6" xfId="13260"/>
    <cellStyle name="Нейтральный 3 2 4" xfId="13261"/>
    <cellStyle name="Нейтральный 3 2 5" xfId="13262"/>
    <cellStyle name="Нейтральный 3 2 6" xfId="13263"/>
    <cellStyle name="Нейтральный 3 2 7" xfId="13264"/>
    <cellStyle name="Нейтральный 3 2 8" xfId="13265"/>
    <cellStyle name="Нейтральный 3 3" xfId="2894"/>
    <cellStyle name="Нейтральный 3 3 2" xfId="13266"/>
    <cellStyle name="Нейтральный 3 3 3" xfId="13267"/>
    <cellStyle name="Нейтральный 3 3 4" xfId="13268"/>
    <cellStyle name="Нейтральный 3 3 5" xfId="13269"/>
    <cellStyle name="Нейтральный 3 3 6" xfId="13270"/>
    <cellStyle name="Нейтральный 3 4" xfId="2895"/>
    <cellStyle name="Нейтральный 3 4 2" xfId="13271"/>
    <cellStyle name="Нейтральный 3 4 3" xfId="13272"/>
    <cellStyle name="Нейтральный 3 4 4" xfId="13273"/>
    <cellStyle name="Нейтральный 3 4 5" xfId="13274"/>
    <cellStyle name="Нейтральный 3 5" xfId="13275"/>
    <cellStyle name="Нейтральный 3 6" xfId="13276"/>
    <cellStyle name="Нейтральный 3 7" xfId="13277"/>
    <cellStyle name="Нейтральный 3 8" xfId="13278"/>
    <cellStyle name="Нейтральный 4" xfId="2896"/>
    <cellStyle name="Нейтральный 4 2" xfId="2897"/>
    <cellStyle name="Нейтральный 4 2 2" xfId="2898"/>
    <cellStyle name="Нейтральный 4 2 2 2" xfId="13279"/>
    <cellStyle name="Нейтральный 4 2 2 3" xfId="13280"/>
    <cellStyle name="Нейтральный 4 2 2 4" xfId="13281"/>
    <cellStyle name="Нейтральный 4 2 2 5" xfId="13282"/>
    <cellStyle name="Нейтральный 4 2 2 6" xfId="13283"/>
    <cellStyle name="Нейтральный 4 2 3" xfId="2899"/>
    <cellStyle name="Нейтральный 4 2 3 2" xfId="13284"/>
    <cellStyle name="Нейтральный 4 2 3 3" xfId="13285"/>
    <cellStyle name="Нейтральный 4 2 3 4" xfId="13286"/>
    <cellStyle name="Нейтральный 4 2 3 5" xfId="13287"/>
    <cellStyle name="Нейтральный 4 2 3 6" xfId="13288"/>
    <cellStyle name="Нейтральный 4 2 4" xfId="13289"/>
    <cellStyle name="Нейтральный 4 2 5" xfId="13290"/>
    <cellStyle name="Нейтральный 4 2 6" xfId="13291"/>
    <cellStyle name="Нейтральный 4 2 7" xfId="13292"/>
    <cellStyle name="Нейтральный 4 2 8" xfId="13293"/>
    <cellStyle name="Нейтральный 4 3" xfId="2900"/>
    <cellStyle name="Нейтральный 4 3 2" xfId="13294"/>
    <cellStyle name="Нейтральный 4 3 3" xfId="13295"/>
    <cellStyle name="Нейтральный 4 3 4" xfId="13296"/>
    <cellStyle name="Нейтральный 4 3 5" xfId="13297"/>
    <cellStyle name="Нейтральный 4 3 6" xfId="13298"/>
    <cellStyle name="Нейтральный 4 4" xfId="2901"/>
    <cellStyle name="Нейтральный 4 4 2" xfId="13299"/>
    <cellStyle name="Нейтральный 4 4 3" xfId="13300"/>
    <cellStyle name="Нейтральный 4 4 4" xfId="13301"/>
    <cellStyle name="Нейтральный 4 4 5" xfId="13302"/>
    <cellStyle name="Нейтральный 4 5" xfId="13303"/>
    <cellStyle name="Нейтральный 4 6" xfId="13304"/>
    <cellStyle name="Нейтральный 4 7" xfId="13305"/>
    <cellStyle name="Нейтральный 4 8" xfId="13306"/>
    <cellStyle name="Нейтральный 5" xfId="2902"/>
    <cellStyle name="Нейтральный 5 2" xfId="2903"/>
    <cellStyle name="Нейтральный 5 2 2" xfId="2904"/>
    <cellStyle name="Нейтральный 5 2 2 2" xfId="13307"/>
    <cellStyle name="Нейтральный 5 2 2 3" xfId="13308"/>
    <cellStyle name="Нейтральный 5 2 2 4" xfId="13309"/>
    <cellStyle name="Нейтральный 5 2 2 5" xfId="13310"/>
    <cellStyle name="Нейтральный 5 2 2 6" xfId="13311"/>
    <cellStyle name="Нейтральный 5 2 3" xfId="2905"/>
    <cellStyle name="Нейтральный 5 2 3 2" xfId="13312"/>
    <cellStyle name="Нейтральный 5 2 3 3" xfId="13313"/>
    <cellStyle name="Нейтральный 5 2 3 4" xfId="13314"/>
    <cellStyle name="Нейтральный 5 2 3 5" xfId="13315"/>
    <cellStyle name="Нейтральный 5 2 3 6" xfId="13316"/>
    <cellStyle name="Нейтральный 5 2 4" xfId="13317"/>
    <cellStyle name="Нейтральный 5 2 5" xfId="13318"/>
    <cellStyle name="Нейтральный 5 2 6" xfId="13319"/>
    <cellStyle name="Нейтральный 5 2 7" xfId="13320"/>
    <cellStyle name="Нейтральный 5 2 8" xfId="13321"/>
    <cellStyle name="Нейтральный 5 3" xfId="2906"/>
    <cellStyle name="Нейтральный 5 3 2" xfId="13322"/>
    <cellStyle name="Нейтральный 5 3 3" xfId="13323"/>
    <cellStyle name="Нейтральный 5 3 4" xfId="13324"/>
    <cellStyle name="Нейтральный 5 3 5" xfId="13325"/>
    <cellStyle name="Нейтральный 5 3 6" xfId="13326"/>
    <cellStyle name="Нейтральный 5 4" xfId="2907"/>
    <cellStyle name="Нейтральный 5 4 2" xfId="13327"/>
    <cellStyle name="Нейтральный 5 4 3" xfId="13328"/>
    <cellStyle name="Нейтральный 5 4 4" xfId="13329"/>
    <cellStyle name="Нейтральный 5 4 5" xfId="13330"/>
    <cellStyle name="Нейтральный 5 5" xfId="13331"/>
    <cellStyle name="Нейтральный 5 6" xfId="13332"/>
    <cellStyle name="Нейтральный 5 7" xfId="13333"/>
    <cellStyle name="Нейтральный 5 8" xfId="13334"/>
    <cellStyle name="Нейтральный 6" xfId="2908"/>
    <cellStyle name="Нейтральный 6 2" xfId="2909"/>
    <cellStyle name="Нейтральный 6 2 2" xfId="2910"/>
    <cellStyle name="Нейтральный 6 2 2 2" xfId="13335"/>
    <cellStyle name="Нейтральный 6 2 2 3" xfId="13336"/>
    <cellStyle name="Нейтральный 6 2 2 4" xfId="13337"/>
    <cellStyle name="Нейтральный 6 2 2 5" xfId="13338"/>
    <cellStyle name="Нейтральный 6 2 2 6" xfId="13339"/>
    <cellStyle name="Нейтральный 6 2 3" xfId="2911"/>
    <cellStyle name="Нейтральный 6 2 3 2" xfId="13340"/>
    <cellStyle name="Нейтральный 6 2 3 3" xfId="13341"/>
    <cellStyle name="Нейтральный 6 2 3 4" xfId="13342"/>
    <cellStyle name="Нейтральный 6 2 3 5" xfId="13343"/>
    <cellStyle name="Нейтральный 6 2 3 6" xfId="13344"/>
    <cellStyle name="Нейтральный 6 2 4" xfId="13345"/>
    <cellStyle name="Нейтральный 6 2 5" xfId="13346"/>
    <cellStyle name="Нейтральный 6 2 6" xfId="13347"/>
    <cellStyle name="Нейтральный 6 2 7" xfId="13348"/>
    <cellStyle name="Нейтральный 6 2 8" xfId="13349"/>
    <cellStyle name="Нейтральный 6 3" xfId="2912"/>
    <cellStyle name="Нейтральный 6 3 2" xfId="13350"/>
    <cellStyle name="Нейтральный 6 3 3" xfId="13351"/>
    <cellStyle name="Нейтральный 6 3 4" xfId="13352"/>
    <cellStyle name="Нейтральный 6 3 5" xfId="13353"/>
    <cellStyle name="Нейтральный 6 3 6" xfId="13354"/>
    <cellStyle name="Нейтральный 6 4" xfId="2913"/>
    <cellStyle name="Нейтральный 6 4 2" xfId="13355"/>
    <cellStyle name="Нейтральный 6 4 3" xfId="13356"/>
    <cellStyle name="Нейтральный 6 4 4" xfId="13357"/>
    <cellStyle name="Нейтральный 6 4 5" xfId="13358"/>
    <cellStyle name="Нейтральный 6 5" xfId="13359"/>
    <cellStyle name="Нейтральный 6 6" xfId="13360"/>
    <cellStyle name="Нейтральный 6 7" xfId="13361"/>
    <cellStyle name="Нейтральный 6 8" xfId="13362"/>
    <cellStyle name="Обычный" xfId="0" builtinId="0"/>
    <cellStyle name="Обычный 10" xfId="2914"/>
    <cellStyle name="Обычный 10 10" xfId="2915"/>
    <cellStyle name="Обычный 10 10 10" xfId="13363"/>
    <cellStyle name="Обычный 10 10 11" xfId="13364"/>
    <cellStyle name="Обычный 10 10 12" xfId="13365"/>
    <cellStyle name="Обычный 10 10 2" xfId="2916"/>
    <cellStyle name="Обычный 10 10 2 10" xfId="13366"/>
    <cellStyle name="Обычный 10 10 2 11" xfId="13367"/>
    <cellStyle name="Обычный 10 10 2 12" xfId="13368"/>
    <cellStyle name="Обычный 10 10 2 2" xfId="2917"/>
    <cellStyle name="Обычный 10 10 2 2 2" xfId="13369"/>
    <cellStyle name="Обычный 10 10 2 2 3" xfId="13370"/>
    <cellStyle name="Обычный 10 10 2 2 4" xfId="13371"/>
    <cellStyle name="Обычный 10 10 2 2 5" xfId="13372"/>
    <cellStyle name="Обычный 10 10 2 2 6" xfId="13373"/>
    <cellStyle name="Обычный 10 10 2 2 7" xfId="13374"/>
    <cellStyle name="Обычный 10 10 2 2 8" xfId="13375"/>
    <cellStyle name="Обычный 10 10 2 2 9" xfId="13376"/>
    <cellStyle name="Обычный 10 10 2 3" xfId="2918"/>
    <cellStyle name="Обычный 10 10 2 3 2" xfId="13377"/>
    <cellStyle name="Обычный 10 10 2 3 3" xfId="13378"/>
    <cellStyle name="Обычный 10 10 2 3 4" xfId="13379"/>
    <cellStyle name="Обычный 10 10 2 3 5" xfId="13380"/>
    <cellStyle name="Обычный 10 10 2 3 6" xfId="13381"/>
    <cellStyle name="Обычный 10 10 2 3 7" xfId="13382"/>
    <cellStyle name="Обычный 10 10 2 3 8" xfId="13383"/>
    <cellStyle name="Обычный 10 10 2 3 9" xfId="13384"/>
    <cellStyle name="Обычный 10 10 2 4" xfId="2919"/>
    <cellStyle name="Обычный 10 10 2 4 2" xfId="13385"/>
    <cellStyle name="Обычный 10 10 2 4 3" xfId="13386"/>
    <cellStyle name="Обычный 10 10 2 4 4" xfId="13387"/>
    <cellStyle name="Обычный 10 10 2 4 5" xfId="13388"/>
    <cellStyle name="Обычный 10 10 2 4 6" xfId="13389"/>
    <cellStyle name="Обычный 10 10 2 4 7" xfId="13390"/>
    <cellStyle name="Обычный 10 10 2 4 8" xfId="13391"/>
    <cellStyle name="Обычный 10 10 2 4 9" xfId="13392"/>
    <cellStyle name="Обычный 10 10 2 5" xfId="13393"/>
    <cellStyle name="Обычный 10 10 2 6" xfId="13394"/>
    <cellStyle name="Обычный 10 10 2 7" xfId="13395"/>
    <cellStyle name="Обычный 10 10 2 8" xfId="13396"/>
    <cellStyle name="Обычный 10 10 2 9" xfId="13397"/>
    <cellStyle name="Обычный 10 10 3" xfId="2920"/>
    <cellStyle name="Обычный 10 10 3 10" xfId="13398"/>
    <cellStyle name="Обычный 10 10 3 11" xfId="13399"/>
    <cellStyle name="Обычный 10 10 3 2" xfId="2921"/>
    <cellStyle name="Обычный 10 10 3 2 2" xfId="13400"/>
    <cellStyle name="Обычный 10 10 3 2 3" xfId="13401"/>
    <cellStyle name="Обычный 10 10 3 2 4" xfId="13402"/>
    <cellStyle name="Обычный 10 10 3 2 5" xfId="13403"/>
    <cellStyle name="Обычный 10 10 3 2 6" xfId="13404"/>
    <cellStyle name="Обычный 10 10 3 2 7" xfId="13405"/>
    <cellStyle name="Обычный 10 10 3 2 8" xfId="13406"/>
    <cellStyle name="Обычный 10 10 3 2 9" xfId="13407"/>
    <cellStyle name="Обычный 10 10 3 3" xfId="2922"/>
    <cellStyle name="Обычный 10 10 3 3 2" xfId="13408"/>
    <cellStyle name="Обычный 10 10 3 3 3" xfId="13409"/>
    <cellStyle name="Обычный 10 10 3 3 4" xfId="13410"/>
    <cellStyle name="Обычный 10 10 3 3 5" xfId="13411"/>
    <cellStyle name="Обычный 10 10 3 3 6" xfId="13412"/>
    <cellStyle name="Обычный 10 10 3 3 7" xfId="13413"/>
    <cellStyle name="Обычный 10 10 3 3 8" xfId="13414"/>
    <cellStyle name="Обычный 10 10 3 3 9" xfId="13415"/>
    <cellStyle name="Обычный 10 10 3 4" xfId="13416"/>
    <cellStyle name="Обычный 10 10 3 5" xfId="13417"/>
    <cellStyle name="Обычный 10 10 3 6" xfId="13418"/>
    <cellStyle name="Обычный 10 10 3 7" xfId="13419"/>
    <cellStyle name="Обычный 10 10 3 8" xfId="13420"/>
    <cellStyle name="Обычный 10 10 3 9" xfId="13421"/>
    <cellStyle name="Обычный 10 10 4" xfId="2923"/>
    <cellStyle name="Обычный 10 10 4 2" xfId="13422"/>
    <cellStyle name="Обычный 10 10 4 3" xfId="13423"/>
    <cellStyle name="Обычный 10 10 4 4" xfId="13424"/>
    <cellStyle name="Обычный 10 10 4 5" xfId="13425"/>
    <cellStyle name="Обычный 10 10 4 6" xfId="13426"/>
    <cellStyle name="Обычный 10 10 4 7" xfId="13427"/>
    <cellStyle name="Обычный 10 10 4 8" xfId="13428"/>
    <cellStyle name="Обычный 10 10 4 9" xfId="13429"/>
    <cellStyle name="Обычный 10 10 5" xfId="13430"/>
    <cellStyle name="Обычный 10 10 6" xfId="13431"/>
    <cellStyle name="Обычный 10 10 7" xfId="13432"/>
    <cellStyle name="Обычный 10 10 8" xfId="13433"/>
    <cellStyle name="Обычный 10 10 9" xfId="13434"/>
    <cellStyle name="Обычный 10 2" xfId="2924"/>
    <cellStyle name="Обычный 10 2 2" xfId="2925"/>
    <cellStyle name="Обычный 10 2 2 2" xfId="13435"/>
    <cellStyle name="Обычный 10 2 2 3" xfId="13436"/>
    <cellStyle name="Обычный 10 2 2 4" xfId="13437"/>
    <cellStyle name="Обычный 10 2 2 5" xfId="13438"/>
    <cellStyle name="Обычный 10 2 2 6" xfId="13439"/>
    <cellStyle name="Обычный 10 2 3" xfId="2926"/>
    <cellStyle name="Обычный 10 2 3 2" xfId="13440"/>
    <cellStyle name="Обычный 10 2 3 3" xfId="13441"/>
    <cellStyle name="Обычный 10 2 3 4" xfId="13442"/>
    <cellStyle name="Обычный 10 2 3 5" xfId="13443"/>
    <cellStyle name="Обычный 10 2 3 6" xfId="13444"/>
    <cellStyle name="Обычный 10 2 4" xfId="13445"/>
    <cellStyle name="Обычный 10 2 5" xfId="13446"/>
    <cellStyle name="Обычный 10 2 6" xfId="13447"/>
    <cellStyle name="Обычный 10 2 7" xfId="13448"/>
    <cellStyle name="Обычный 10 2 8" xfId="13449"/>
    <cellStyle name="Обычный 10 3" xfId="2927"/>
    <cellStyle name="Обычный 10 3 2" xfId="13450"/>
    <cellStyle name="Обычный 10 3 3" xfId="13451"/>
    <cellStyle name="Обычный 10 3 4" xfId="13452"/>
    <cellStyle name="Обычный 10 3 5" xfId="13453"/>
    <cellStyle name="Обычный 10 3 6" xfId="13454"/>
    <cellStyle name="Обычный 10 4" xfId="2928"/>
    <cellStyle name="Обычный 10 4 2" xfId="13455"/>
    <cellStyle name="Обычный 10 4 3" xfId="13456"/>
    <cellStyle name="Обычный 10 4 4" xfId="13457"/>
    <cellStyle name="Обычный 10 4 5" xfId="13458"/>
    <cellStyle name="Обычный 10 5" xfId="13459"/>
    <cellStyle name="Обычный 10 6" xfId="13460"/>
    <cellStyle name="Обычный 10 7" xfId="13461"/>
    <cellStyle name="Обычный 10 8" xfId="13462"/>
    <cellStyle name="Обычный 11" xfId="2929"/>
    <cellStyle name="Обычный 11 2" xfId="2930"/>
    <cellStyle name="Обычный 11 2 2" xfId="2931"/>
    <cellStyle name="Обычный 11 2 2 10" xfId="13463"/>
    <cellStyle name="Обычный 11 2 2 11" xfId="13464"/>
    <cellStyle name="Обычный 11 2 2 12" xfId="13465"/>
    <cellStyle name="Обычный 11 2 2 2" xfId="2932"/>
    <cellStyle name="Обычный 11 2 2 2 10" xfId="13466"/>
    <cellStyle name="Обычный 11 2 2 2 11" xfId="13467"/>
    <cellStyle name="Обычный 11 2 2 2 12" xfId="13468"/>
    <cellStyle name="Обычный 11 2 2 2 2" xfId="2933"/>
    <cellStyle name="Обычный 11 2 2 2 2 2" xfId="13469"/>
    <cellStyle name="Обычный 11 2 2 2 2 3" xfId="13470"/>
    <cellStyle name="Обычный 11 2 2 2 2 4" xfId="13471"/>
    <cellStyle name="Обычный 11 2 2 2 2 5" xfId="13472"/>
    <cellStyle name="Обычный 11 2 2 2 2 6" xfId="13473"/>
    <cellStyle name="Обычный 11 2 2 2 2 7" xfId="13474"/>
    <cellStyle name="Обычный 11 2 2 2 2 8" xfId="13475"/>
    <cellStyle name="Обычный 11 2 2 2 2 9" xfId="13476"/>
    <cellStyle name="Обычный 11 2 2 2 3" xfId="2934"/>
    <cellStyle name="Обычный 11 2 2 2 3 2" xfId="13477"/>
    <cellStyle name="Обычный 11 2 2 2 3 3" xfId="13478"/>
    <cellStyle name="Обычный 11 2 2 2 3 4" xfId="13479"/>
    <cellStyle name="Обычный 11 2 2 2 3 5" xfId="13480"/>
    <cellStyle name="Обычный 11 2 2 2 3 6" xfId="13481"/>
    <cellStyle name="Обычный 11 2 2 2 3 7" xfId="13482"/>
    <cellStyle name="Обычный 11 2 2 2 3 8" xfId="13483"/>
    <cellStyle name="Обычный 11 2 2 2 3 9" xfId="13484"/>
    <cellStyle name="Обычный 11 2 2 2 4" xfId="2935"/>
    <cellStyle name="Обычный 11 2 2 2 4 2" xfId="13485"/>
    <cellStyle name="Обычный 11 2 2 2 4 3" xfId="13486"/>
    <cellStyle name="Обычный 11 2 2 2 4 4" xfId="13487"/>
    <cellStyle name="Обычный 11 2 2 2 4 5" xfId="13488"/>
    <cellStyle name="Обычный 11 2 2 2 4 6" xfId="13489"/>
    <cellStyle name="Обычный 11 2 2 2 4 7" xfId="13490"/>
    <cellStyle name="Обычный 11 2 2 2 4 8" xfId="13491"/>
    <cellStyle name="Обычный 11 2 2 2 4 9" xfId="13492"/>
    <cellStyle name="Обычный 11 2 2 2 5" xfId="13493"/>
    <cellStyle name="Обычный 11 2 2 2 6" xfId="13494"/>
    <cellStyle name="Обычный 11 2 2 2 7" xfId="13495"/>
    <cellStyle name="Обычный 11 2 2 2 8" xfId="13496"/>
    <cellStyle name="Обычный 11 2 2 2 9" xfId="13497"/>
    <cellStyle name="Обычный 11 2 2 3" xfId="2936"/>
    <cellStyle name="Обычный 11 2 2 3 10" xfId="13498"/>
    <cellStyle name="Обычный 11 2 2 3 11" xfId="13499"/>
    <cellStyle name="Обычный 11 2 2 3 2" xfId="2937"/>
    <cellStyle name="Обычный 11 2 2 3 2 2" xfId="13500"/>
    <cellStyle name="Обычный 11 2 2 3 2 3" xfId="13501"/>
    <cellStyle name="Обычный 11 2 2 3 2 4" xfId="13502"/>
    <cellStyle name="Обычный 11 2 2 3 2 5" xfId="13503"/>
    <cellStyle name="Обычный 11 2 2 3 2 6" xfId="13504"/>
    <cellStyle name="Обычный 11 2 2 3 2 7" xfId="13505"/>
    <cellStyle name="Обычный 11 2 2 3 2 8" xfId="13506"/>
    <cellStyle name="Обычный 11 2 2 3 2 9" xfId="13507"/>
    <cellStyle name="Обычный 11 2 2 3 3" xfId="2938"/>
    <cellStyle name="Обычный 11 2 2 3 3 2" xfId="13508"/>
    <cellStyle name="Обычный 11 2 2 3 3 3" xfId="13509"/>
    <cellStyle name="Обычный 11 2 2 3 3 4" xfId="13510"/>
    <cellStyle name="Обычный 11 2 2 3 3 5" xfId="13511"/>
    <cellStyle name="Обычный 11 2 2 3 3 6" xfId="13512"/>
    <cellStyle name="Обычный 11 2 2 3 3 7" xfId="13513"/>
    <cellStyle name="Обычный 11 2 2 3 3 8" xfId="13514"/>
    <cellStyle name="Обычный 11 2 2 3 3 9" xfId="13515"/>
    <cellStyle name="Обычный 11 2 2 3 4" xfId="13516"/>
    <cellStyle name="Обычный 11 2 2 3 5" xfId="13517"/>
    <cellStyle name="Обычный 11 2 2 3 6" xfId="13518"/>
    <cellStyle name="Обычный 11 2 2 3 7" xfId="13519"/>
    <cellStyle name="Обычный 11 2 2 3 8" xfId="13520"/>
    <cellStyle name="Обычный 11 2 2 3 9" xfId="13521"/>
    <cellStyle name="Обычный 11 2 2 4" xfId="2939"/>
    <cellStyle name="Обычный 11 2 2 4 2" xfId="13522"/>
    <cellStyle name="Обычный 11 2 2 4 3" xfId="13523"/>
    <cellStyle name="Обычный 11 2 2 4 4" xfId="13524"/>
    <cellStyle name="Обычный 11 2 2 4 5" xfId="13525"/>
    <cellStyle name="Обычный 11 2 2 4 6" xfId="13526"/>
    <cellStyle name="Обычный 11 2 2 4 7" xfId="13527"/>
    <cellStyle name="Обычный 11 2 2 4 8" xfId="13528"/>
    <cellStyle name="Обычный 11 2 2 4 9" xfId="13529"/>
    <cellStyle name="Обычный 11 2 2 5" xfId="13530"/>
    <cellStyle name="Обычный 11 2 2 6" xfId="13531"/>
    <cellStyle name="Обычный 11 2 2 7" xfId="13532"/>
    <cellStyle name="Обычный 11 2 2 8" xfId="13533"/>
    <cellStyle name="Обычный 11 2 2 9" xfId="13534"/>
    <cellStyle name="Обычный 11 2 3" xfId="2940"/>
    <cellStyle name="Обычный 11 2 3 2" xfId="2941"/>
    <cellStyle name="Обычный 11 2 3 3" xfId="2942"/>
    <cellStyle name="Обычный 11 2 4" xfId="2943"/>
    <cellStyle name="Обычный 11 2 5" xfId="2944"/>
    <cellStyle name="Обычный 11 3" xfId="2945"/>
    <cellStyle name="Обычный 11 3 2" xfId="2946"/>
    <cellStyle name="Обычный 11 3 2 2" xfId="2947"/>
    <cellStyle name="Обычный 11 3 2 2 2" xfId="13535"/>
    <cellStyle name="Обычный 11 3 2 2 3" xfId="13536"/>
    <cellStyle name="Обычный 11 3 2 2 4" xfId="13537"/>
    <cellStyle name="Обычный 11 3 2 2 5" xfId="13538"/>
    <cellStyle name="Обычный 11 3 2 2 6" xfId="13539"/>
    <cellStyle name="Обычный 11 3 2 3" xfId="2948"/>
    <cellStyle name="Обычный 11 3 2 3 2" xfId="13540"/>
    <cellStyle name="Обычный 11 3 2 3 3" xfId="13541"/>
    <cellStyle name="Обычный 11 3 2 3 4" xfId="13542"/>
    <cellStyle name="Обычный 11 3 2 3 5" xfId="13543"/>
    <cellStyle name="Обычный 11 3 2 3 6" xfId="13544"/>
    <cellStyle name="Обычный 11 3 2 4" xfId="13545"/>
    <cellStyle name="Обычный 11 3 2 5" xfId="13546"/>
    <cellStyle name="Обычный 11 3 2 6" xfId="13547"/>
    <cellStyle name="Обычный 11 3 2 7" xfId="13548"/>
    <cellStyle name="Обычный 11 3 2 8" xfId="13549"/>
    <cellStyle name="Обычный 11 3 3" xfId="2949"/>
    <cellStyle name="Обычный 11 3 3 2" xfId="13550"/>
    <cellStyle name="Обычный 11 3 3 3" xfId="13551"/>
    <cellStyle name="Обычный 11 3 3 4" xfId="13552"/>
    <cellStyle name="Обычный 11 3 3 5" xfId="13553"/>
    <cellStyle name="Обычный 11 3 3 6" xfId="13554"/>
    <cellStyle name="Обычный 11 3 4" xfId="2950"/>
    <cellStyle name="Обычный 11 3 4 2" xfId="13555"/>
    <cellStyle name="Обычный 11 3 4 3" xfId="13556"/>
    <cellStyle name="Обычный 11 3 4 4" xfId="13557"/>
    <cellStyle name="Обычный 11 3 4 5" xfId="13558"/>
    <cellStyle name="Обычный 11 3 5" xfId="13559"/>
    <cellStyle name="Обычный 11 3 6" xfId="13560"/>
    <cellStyle name="Обычный 11 3 7" xfId="13561"/>
    <cellStyle name="Обычный 11 3 8" xfId="13562"/>
    <cellStyle name="Обычный 11 4" xfId="2951"/>
    <cellStyle name="Обычный 11 4 10" xfId="13563"/>
    <cellStyle name="Обычный 11 4 11" xfId="13564"/>
    <cellStyle name="Обычный 11 4 12" xfId="13565"/>
    <cellStyle name="Обычный 11 4 2" xfId="2952"/>
    <cellStyle name="Обычный 11 4 2 10" xfId="13566"/>
    <cellStyle name="Обычный 11 4 2 11" xfId="13567"/>
    <cellStyle name="Обычный 11 4 2 12" xfId="13568"/>
    <cellStyle name="Обычный 11 4 2 2" xfId="2953"/>
    <cellStyle name="Обычный 11 4 2 2 2" xfId="13569"/>
    <cellStyle name="Обычный 11 4 2 2 3" xfId="13570"/>
    <cellStyle name="Обычный 11 4 2 2 4" xfId="13571"/>
    <cellStyle name="Обычный 11 4 2 2 5" xfId="13572"/>
    <cellStyle name="Обычный 11 4 2 2 6" xfId="13573"/>
    <cellStyle name="Обычный 11 4 2 2 7" xfId="13574"/>
    <cellStyle name="Обычный 11 4 2 2 8" xfId="13575"/>
    <cellStyle name="Обычный 11 4 2 2 9" xfId="13576"/>
    <cellStyle name="Обычный 11 4 2 3" xfId="2954"/>
    <cellStyle name="Обычный 11 4 2 3 2" xfId="13577"/>
    <cellStyle name="Обычный 11 4 2 3 3" xfId="13578"/>
    <cellStyle name="Обычный 11 4 2 3 4" xfId="13579"/>
    <cellStyle name="Обычный 11 4 2 3 5" xfId="13580"/>
    <cellStyle name="Обычный 11 4 2 3 6" xfId="13581"/>
    <cellStyle name="Обычный 11 4 2 3 7" xfId="13582"/>
    <cellStyle name="Обычный 11 4 2 3 8" xfId="13583"/>
    <cellStyle name="Обычный 11 4 2 3 9" xfId="13584"/>
    <cellStyle name="Обычный 11 4 2 4" xfId="2955"/>
    <cellStyle name="Обычный 11 4 2 4 2" xfId="13585"/>
    <cellStyle name="Обычный 11 4 2 4 3" xfId="13586"/>
    <cellStyle name="Обычный 11 4 2 4 4" xfId="13587"/>
    <cellStyle name="Обычный 11 4 2 4 5" xfId="13588"/>
    <cellStyle name="Обычный 11 4 2 4 6" xfId="13589"/>
    <cellStyle name="Обычный 11 4 2 4 7" xfId="13590"/>
    <cellStyle name="Обычный 11 4 2 4 8" xfId="13591"/>
    <cellStyle name="Обычный 11 4 2 4 9" xfId="13592"/>
    <cellStyle name="Обычный 11 4 2 5" xfId="13593"/>
    <cellStyle name="Обычный 11 4 2 6" xfId="13594"/>
    <cellStyle name="Обычный 11 4 2 7" xfId="13595"/>
    <cellStyle name="Обычный 11 4 2 8" xfId="13596"/>
    <cellStyle name="Обычный 11 4 2 9" xfId="13597"/>
    <cellStyle name="Обычный 11 4 3" xfId="2956"/>
    <cellStyle name="Обычный 11 4 3 10" xfId="13598"/>
    <cellStyle name="Обычный 11 4 3 11" xfId="13599"/>
    <cellStyle name="Обычный 11 4 3 2" xfId="2957"/>
    <cellStyle name="Обычный 11 4 3 2 2" xfId="13600"/>
    <cellStyle name="Обычный 11 4 3 2 3" xfId="13601"/>
    <cellStyle name="Обычный 11 4 3 2 4" xfId="13602"/>
    <cellStyle name="Обычный 11 4 3 2 5" xfId="13603"/>
    <cellStyle name="Обычный 11 4 3 2 6" xfId="13604"/>
    <cellStyle name="Обычный 11 4 3 2 7" xfId="13605"/>
    <cellStyle name="Обычный 11 4 3 2 8" xfId="13606"/>
    <cellStyle name="Обычный 11 4 3 2 9" xfId="13607"/>
    <cellStyle name="Обычный 11 4 3 3" xfId="2958"/>
    <cellStyle name="Обычный 11 4 3 3 2" xfId="13608"/>
    <cellStyle name="Обычный 11 4 3 3 3" xfId="13609"/>
    <cellStyle name="Обычный 11 4 3 3 4" xfId="13610"/>
    <cellStyle name="Обычный 11 4 3 3 5" xfId="13611"/>
    <cellStyle name="Обычный 11 4 3 3 6" xfId="13612"/>
    <cellStyle name="Обычный 11 4 3 3 7" xfId="13613"/>
    <cellStyle name="Обычный 11 4 3 3 8" xfId="13614"/>
    <cellStyle name="Обычный 11 4 3 3 9" xfId="13615"/>
    <cellStyle name="Обычный 11 4 3 4" xfId="13616"/>
    <cellStyle name="Обычный 11 4 3 5" xfId="13617"/>
    <cellStyle name="Обычный 11 4 3 6" xfId="13618"/>
    <cellStyle name="Обычный 11 4 3 7" xfId="13619"/>
    <cellStyle name="Обычный 11 4 3 8" xfId="13620"/>
    <cellStyle name="Обычный 11 4 3 9" xfId="13621"/>
    <cellStyle name="Обычный 11 4 4" xfId="2959"/>
    <cellStyle name="Обычный 11 4 4 2" xfId="13622"/>
    <cellStyle name="Обычный 11 4 4 3" xfId="13623"/>
    <cellStyle name="Обычный 11 4 4 4" xfId="13624"/>
    <cellStyle name="Обычный 11 4 4 5" xfId="13625"/>
    <cellStyle name="Обычный 11 4 4 6" xfId="13626"/>
    <cellStyle name="Обычный 11 4 4 7" xfId="13627"/>
    <cellStyle name="Обычный 11 4 4 8" xfId="13628"/>
    <cellStyle name="Обычный 11 4 4 9" xfId="13629"/>
    <cellStyle name="Обычный 11 4 5" xfId="13630"/>
    <cellStyle name="Обычный 11 4 6" xfId="13631"/>
    <cellStyle name="Обычный 11 4 7" xfId="13632"/>
    <cellStyle name="Обычный 11 4 8" xfId="13633"/>
    <cellStyle name="Обычный 11 4 9" xfId="13634"/>
    <cellStyle name="Обычный 11 5" xfId="2960"/>
    <cellStyle name="Обычный 11 5 2" xfId="2961"/>
    <cellStyle name="Обычный 11 5 3" xfId="2962"/>
    <cellStyle name="Обычный 11 6" xfId="2963"/>
    <cellStyle name="Обычный 11 7" xfId="2964"/>
    <cellStyle name="Обычный 12" xfId="2965"/>
    <cellStyle name="Обычный 12 10" xfId="2966"/>
    <cellStyle name="Обычный 12 10 2" xfId="13635"/>
    <cellStyle name="Обычный 12 10 3" xfId="13636"/>
    <cellStyle name="Обычный 12 10 4" xfId="13637"/>
    <cellStyle name="Обычный 12 10 5" xfId="13638"/>
    <cellStyle name="Обычный 12 11" xfId="13639"/>
    <cellStyle name="Обычный 12 12" xfId="13640"/>
    <cellStyle name="Обычный 12 13" xfId="13641"/>
    <cellStyle name="Обычный 12 14" xfId="13642"/>
    <cellStyle name="Обычный 12 2" xfId="2967"/>
    <cellStyle name="Обычный 12 2 2" xfId="2968"/>
    <cellStyle name="Обычный 12 2 2 2" xfId="2969"/>
    <cellStyle name="Обычный 12 2 2 2 2" xfId="2970"/>
    <cellStyle name="Обычный 12 2 2 2 2 2" xfId="13643"/>
    <cellStyle name="Обычный 12 2 2 2 2 3" xfId="13644"/>
    <cellStyle name="Обычный 12 2 2 2 2 4" xfId="13645"/>
    <cellStyle name="Обычный 12 2 2 2 2 5" xfId="13646"/>
    <cellStyle name="Обычный 12 2 2 2 2 6" xfId="13647"/>
    <cellStyle name="Обычный 12 2 2 2 3" xfId="2971"/>
    <cellStyle name="Обычный 12 2 2 2 3 2" xfId="13648"/>
    <cellStyle name="Обычный 12 2 2 2 3 3" xfId="13649"/>
    <cellStyle name="Обычный 12 2 2 2 3 4" xfId="13650"/>
    <cellStyle name="Обычный 12 2 2 2 3 5" xfId="13651"/>
    <cellStyle name="Обычный 12 2 2 2 3 6" xfId="13652"/>
    <cellStyle name="Обычный 12 2 2 2 4" xfId="13653"/>
    <cellStyle name="Обычный 12 2 2 2 5" xfId="13654"/>
    <cellStyle name="Обычный 12 2 2 2 6" xfId="13655"/>
    <cellStyle name="Обычный 12 2 2 2 7" xfId="13656"/>
    <cellStyle name="Обычный 12 2 2 2 8" xfId="13657"/>
    <cellStyle name="Обычный 12 2 2 3" xfId="2972"/>
    <cellStyle name="Обычный 12 2 2 3 2" xfId="13658"/>
    <cellStyle name="Обычный 12 2 2 3 3" xfId="13659"/>
    <cellStyle name="Обычный 12 2 2 3 4" xfId="13660"/>
    <cellStyle name="Обычный 12 2 2 3 5" xfId="13661"/>
    <cellStyle name="Обычный 12 2 2 3 6" xfId="13662"/>
    <cellStyle name="Обычный 12 2 2 4" xfId="2973"/>
    <cellStyle name="Обычный 12 2 2 4 2" xfId="13663"/>
    <cellStyle name="Обычный 12 2 2 4 3" xfId="13664"/>
    <cellStyle name="Обычный 12 2 2 4 4" xfId="13665"/>
    <cellStyle name="Обычный 12 2 2 4 5" xfId="13666"/>
    <cellStyle name="Обычный 12 2 2 5" xfId="13667"/>
    <cellStyle name="Обычный 12 2 2 6" xfId="13668"/>
    <cellStyle name="Обычный 12 2 2 7" xfId="13669"/>
    <cellStyle name="Обычный 12 2 2 8" xfId="13670"/>
    <cellStyle name="Обычный 12 2 3" xfId="2974"/>
    <cellStyle name="Обычный 12 2 3 2" xfId="2975"/>
    <cellStyle name="Обычный 12 2 3 2 2" xfId="13671"/>
    <cellStyle name="Обычный 12 2 3 2 3" xfId="13672"/>
    <cellStyle name="Обычный 12 2 3 2 4" xfId="13673"/>
    <cellStyle name="Обычный 12 2 3 2 5" xfId="13674"/>
    <cellStyle name="Обычный 12 2 3 2 6" xfId="13675"/>
    <cellStyle name="Обычный 12 2 3 3" xfId="2976"/>
    <cellStyle name="Обычный 12 2 3 3 2" xfId="13676"/>
    <cellStyle name="Обычный 12 2 3 3 3" xfId="13677"/>
    <cellStyle name="Обычный 12 2 3 3 4" xfId="13678"/>
    <cellStyle name="Обычный 12 2 3 3 5" xfId="13679"/>
    <cellStyle name="Обычный 12 2 3 3 6" xfId="13680"/>
    <cellStyle name="Обычный 12 2 3 4" xfId="13681"/>
    <cellStyle name="Обычный 12 2 3 5" xfId="13682"/>
    <cellStyle name="Обычный 12 2 3 6" xfId="13683"/>
    <cellStyle name="Обычный 12 2 3 7" xfId="13684"/>
    <cellStyle name="Обычный 12 2 3 8" xfId="13685"/>
    <cellStyle name="Обычный 12 2 4" xfId="2977"/>
    <cellStyle name="Обычный 12 2 4 2" xfId="13686"/>
    <cellStyle name="Обычный 12 2 4 3" xfId="13687"/>
    <cellStyle name="Обычный 12 2 4 4" xfId="13688"/>
    <cellStyle name="Обычный 12 2 4 5" xfId="13689"/>
    <cellStyle name="Обычный 12 2 4 6" xfId="13690"/>
    <cellStyle name="Обычный 12 2 5" xfId="2978"/>
    <cellStyle name="Обычный 12 2 5 2" xfId="13691"/>
    <cellStyle name="Обычный 12 2 5 3" xfId="13692"/>
    <cellStyle name="Обычный 12 2 5 4" xfId="13693"/>
    <cellStyle name="Обычный 12 2 5 5" xfId="13694"/>
    <cellStyle name="Обычный 12 2 6" xfId="13695"/>
    <cellStyle name="Обычный 12 2 7" xfId="13696"/>
    <cellStyle name="Обычный 12 2 8" xfId="13697"/>
    <cellStyle name="Обычный 12 2 9" xfId="13698"/>
    <cellStyle name="Обычный 12 3" xfId="2979"/>
    <cellStyle name="Обычный 12 3 2" xfId="2980"/>
    <cellStyle name="Обычный 12 3 2 2" xfId="2981"/>
    <cellStyle name="Обычный 12 3 2 2 2" xfId="13699"/>
    <cellStyle name="Обычный 12 3 2 2 3" xfId="13700"/>
    <cellStyle name="Обычный 12 3 2 2 4" xfId="13701"/>
    <cellStyle name="Обычный 12 3 2 2 5" xfId="13702"/>
    <cellStyle name="Обычный 12 3 2 2 6" xfId="13703"/>
    <cellStyle name="Обычный 12 3 2 3" xfId="2982"/>
    <cellStyle name="Обычный 12 3 2 3 2" xfId="13704"/>
    <cellStyle name="Обычный 12 3 2 3 3" xfId="13705"/>
    <cellStyle name="Обычный 12 3 2 3 4" xfId="13706"/>
    <cellStyle name="Обычный 12 3 2 3 5" xfId="13707"/>
    <cellStyle name="Обычный 12 3 2 3 6" xfId="13708"/>
    <cellStyle name="Обычный 12 3 2 4" xfId="13709"/>
    <cellStyle name="Обычный 12 3 2 5" xfId="13710"/>
    <cellStyle name="Обычный 12 3 2 6" xfId="13711"/>
    <cellStyle name="Обычный 12 3 2 7" xfId="13712"/>
    <cellStyle name="Обычный 12 3 2 8" xfId="13713"/>
    <cellStyle name="Обычный 12 3 3" xfId="2983"/>
    <cellStyle name="Обычный 12 3 3 2" xfId="13714"/>
    <cellStyle name="Обычный 12 3 3 3" xfId="13715"/>
    <cellStyle name="Обычный 12 3 3 4" xfId="13716"/>
    <cellStyle name="Обычный 12 3 3 5" xfId="13717"/>
    <cellStyle name="Обычный 12 3 3 6" xfId="13718"/>
    <cellStyle name="Обычный 12 3 4" xfId="2984"/>
    <cellStyle name="Обычный 12 3 4 2" xfId="13719"/>
    <cellStyle name="Обычный 12 3 4 3" xfId="13720"/>
    <cellStyle name="Обычный 12 3 4 4" xfId="13721"/>
    <cellStyle name="Обычный 12 3 4 5" xfId="13722"/>
    <cellStyle name="Обычный 12 3 5" xfId="13723"/>
    <cellStyle name="Обычный 12 3 6" xfId="13724"/>
    <cellStyle name="Обычный 12 3 7" xfId="13725"/>
    <cellStyle name="Обычный 12 3 8" xfId="13726"/>
    <cellStyle name="Обычный 12 4" xfId="2985"/>
    <cellStyle name="Обычный 12 4 10" xfId="13727"/>
    <cellStyle name="Обычный 12 4 11" xfId="13728"/>
    <cellStyle name="Обычный 12 4 12" xfId="13729"/>
    <cellStyle name="Обычный 12 4 13" xfId="13730"/>
    <cellStyle name="Обычный 12 4 2" xfId="2986"/>
    <cellStyle name="Обычный 12 4 2 2" xfId="2987"/>
    <cellStyle name="Обычный 12 4 2 2 2" xfId="2988"/>
    <cellStyle name="Обычный 12 4 2 2 2 2" xfId="13731"/>
    <cellStyle name="Обычный 12 4 2 2 2 3" xfId="13732"/>
    <cellStyle name="Обычный 12 4 2 2 2 4" xfId="13733"/>
    <cellStyle name="Обычный 12 4 2 2 2 5" xfId="13734"/>
    <cellStyle name="Обычный 12 4 2 2 2 6" xfId="13735"/>
    <cellStyle name="Обычный 12 4 2 2 3" xfId="2989"/>
    <cellStyle name="Обычный 12 4 2 2 3 2" xfId="13736"/>
    <cellStyle name="Обычный 12 4 2 2 3 3" xfId="13737"/>
    <cellStyle name="Обычный 12 4 2 2 3 4" xfId="13738"/>
    <cellStyle name="Обычный 12 4 2 2 3 5" xfId="13739"/>
    <cellStyle name="Обычный 12 4 2 2 3 6" xfId="13740"/>
    <cellStyle name="Обычный 12 4 2 2 4" xfId="13741"/>
    <cellStyle name="Обычный 12 4 2 2 5" xfId="13742"/>
    <cellStyle name="Обычный 12 4 2 2 6" xfId="13743"/>
    <cellStyle name="Обычный 12 4 2 2 7" xfId="13744"/>
    <cellStyle name="Обычный 12 4 2 2 8" xfId="13745"/>
    <cellStyle name="Обычный 12 4 2 3" xfId="2990"/>
    <cellStyle name="Обычный 12 4 2 3 2" xfId="13746"/>
    <cellStyle name="Обычный 12 4 2 3 3" xfId="13747"/>
    <cellStyle name="Обычный 12 4 2 3 4" xfId="13748"/>
    <cellStyle name="Обычный 12 4 2 3 5" xfId="13749"/>
    <cellStyle name="Обычный 12 4 2 3 6" xfId="13750"/>
    <cellStyle name="Обычный 12 4 2 4" xfId="2991"/>
    <cellStyle name="Обычный 12 4 2 4 2" xfId="13751"/>
    <cellStyle name="Обычный 12 4 2 4 3" xfId="13752"/>
    <cellStyle name="Обычный 12 4 2 4 4" xfId="13753"/>
    <cellStyle name="Обычный 12 4 2 4 5" xfId="13754"/>
    <cellStyle name="Обычный 12 4 2 5" xfId="13755"/>
    <cellStyle name="Обычный 12 4 2 6" xfId="13756"/>
    <cellStyle name="Обычный 12 4 2 7" xfId="13757"/>
    <cellStyle name="Обычный 12 4 2 8" xfId="13758"/>
    <cellStyle name="Обычный 12 4 3" xfId="2992"/>
    <cellStyle name="Обычный 12 4 3 10" xfId="13759"/>
    <cellStyle name="Обычный 12 4 3 11" xfId="13760"/>
    <cellStyle name="Обычный 12 4 3 12" xfId="13761"/>
    <cellStyle name="Обычный 12 4 3 2" xfId="2993"/>
    <cellStyle name="Обычный 12 4 3 2 2" xfId="13762"/>
    <cellStyle name="Обычный 12 4 3 2 3" xfId="13763"/>
    <cellStyle name="Обычный 12 4 3 2 4" xfId="13764"/>
    <cellStyle name="Обычный 12 4 3 2 5" xfId="13765"/>
    <cellStyle name="Обычный 12 4 3 2 6" xfId="13766"/>
    <cellStyle name="Обычный 12 4 3 2 7" xfId="13767"/>
    <cellStyle name="Обычный 12 4 3 2 8" xfId="13768"/>
    <cellStyle name="Обычный 12 4 3 2 9" xfId="13769"/>
    <cellStyle name="Обычный 12 4 3 3" xfId="2994"/>
    <cellStyle name="Обычный 12 4 3 3 2" xfId="13770"/>
    <cellStyle name="Обычный 12 4 3 3 3" xfId="13771"/>
    <cellStyle name="Обычный 12 4 3 3 4" xfId="13772"/>
    <cellStyle name="Обычный 12 4 3 3 5" xfId="13773"/>
    <cellStyle name="Обычный 12 4 3 3 6" xfId="13774"/>
    <cellStyle name="Обычный 12 4 3 3 7" xfId="13775"/>
    <cellStyle name="Обычный 12 4 3 3 8" xfId="13776"/>
    <cellStyle name="Обычный 12 4 3 3 9" xfId="13777"/>
    <cellStyle name="Обычный 12 4 3 4" xfId="2995"/>
    <cellStyle name="Обычный 12 4 3 4 2" xfId="13778"/>
    <cellStyle name="Обычный 12 4 3 4 3" xfId="13779"/>
    <cellStyle name="Обычный 12 4 3 4 4" xfId="13780"/>
    <cellStyle name="Обычный 12 4 3 4 5" xfId="13781"/>
    <cellStyle name="Обычный 12 4 3 4 6" xfId="13782"/>
    <cellStyle name="Обычный 12 4 3 4 7" xfId="13783"/>
    <cellStyle name="Обычный 12 4 3 4 8" xfId="13784"/>
    <cellStyle name="Обычный 12 4 3 4 9" xfId="13785"/>
    <cellStyle name="Обычный 12 4 3 5" xfId="13786"/>
    <cellStyle name="Обычный 12 4 3 6" xfId="13787"/>
    <cellStyle name="Обычный 12 4 3 7" xfId="13788"/>
    <cellStyle name="Обычный 12 4 3 8" xfId="13789"/>
    <cellStyle name="Обычный 12 4 3 9" xfId="13790"/>
    <cellStyle name="Обычный 12 4 4" xfId="2996"/>
    <cellStyle name="Обычный 12 4 4 10" xfId="13791"/>
    <cellStyle name="Обычный 12 4 4 11" xfId="13792"/>
    <cellStyle name="Обычный 12 4 4 2" xfId="2997"/>
    <cellStyle name="Обычный 12 4 4 2 2" xfId="13793"/>
    <cellStyle name="Обычный 12 4 4 2 3" xfId="13794"/>
    <cellStyle name="Обычный 12 4 4 2 4" xfId="13795"/>
    <cellStyle name="Обычный 12 4 4 2 5" xfId="13796"/>
    <cellStyle name="Обычный 12 4 4 2 6" xfId="13797"/>
    <cellStyle name="Обычный 12 4 4 2 7" xfId="13798"/>
    <cellStyle name="Обычный 12 4 4 2 8" xfId="13799"/>
    <cellStyle name="Обычный 12 4 4 2 9" xfId="13800"/>
    <cellStyle name="Обычный 12 4 4 3" xfId="2998"/>
    <cellStyle name="Обычный 12 4 4 3 2" xfId="13801"/>
    <cellStyle name="Обычный 12 4 4 3 3" xfId="13802"/>
    <cellStyle name="Обычный 12 4 4 3 4" xfId="13803"/>
    <cellStyle name="Обычный 12 4 4 3 5" xfId="13804"/>
    <cellStyle name="Обычный 12 4 4 3 6" xfId="13805"/>
    <cellStyle name="Обычный 12 4 4 3 7" xfId="13806"/>
    <cellStyle name="Обычный 12 4 4 3 8" xfId="13807"/>
    <cellStyle name="Обычный 12 4 4 3 9" xfId="13808"/>
    <cellStyle name="Обычный 12 4 4 4" xfId="13809"/>
    <cellStyle name="Обычный 12 4 4 5" xfId="13810"/>
    <cellStyle name="Обычный 12 4 4 6" xfId="13811"/>
    <cellStyle name="Обычный 12 4 4 7" xfId="13812"/>
    <cellStyle name="Обычный 12 4 4 8" xfId="13813"/>
    <cellStyle name="Обычный 12 4 4 9" xfId="13814"/>
    <cellStyle name="Обычный 12 4 5" xfId="2999"/>
    <cellStyle name="Обычный 12 4 5 2" xfId="13815"/>
    <cellStyle name="Обычный 12 4 5 3" xfId="13816"/>
    <cellStyle name="Обычный 12 4 5 4" xfId="13817"/>
    <cellStyle name="Обычный 12 4 5 5" xfId="13818"/>
    <cellStyle name="Обычный 12 4 5 6" xfId="13819"/>
    <cellStyle name="Обычный 12 4 5 7" xfId="13820"/>
    <cellStyle name="Обычный 12 4 5 8" xfId="13821"/>
    <cellStyle name="Обычный 12 4 5 9" xfId="13822"/>
    <cellStyle name="Обычный 12 4 6" xfId="13823"/>
    <cellStyle name="Обычный 12 4 7" xfId="13824"/>
    <cellStyle name="Обычный 12 4 8" xfId="13825"/>
    <cellStyle name="Обычный 12 4 9" xfId="13826"/>
    <cellStyle name="Обычный 12 5" xfId="3000"/>
    <cellStyle name="Обычный 12 5 2" xfId="3001"/>
    <cellStyle name="Обычный 12 5 2 2" xfId="3002"/>
    <cellStyle name="Обычный 12 5 2 2 2" xfId="13827"/>
    <cellStyle name="Обычный 12 5 2 2 3" xfId="13828"/>
    <cellStyle name="Обычный 12 5 2 2 4" xfId="13829"/>
    <cellStyle name="Обычный 12 5 2 2 5" xfId="13830"/>
    <cellStyle name="Обычный 12 5 2 2 6" xfId="13831"/>
    <cellStyle name="Обычный 12 5 2 3" xfId="3003"/>
    <cellStyle name="Обычный 12 5 2 3 2" xfId="13832"/>
    <cellStyle name="Обычный 12 5 2 3 3" xfId="13833"/>
    <cellStyle name="Обычный 12 5 2 3 4" xfId="13834"/>
    <cellStyle name="Обычный 12 5 2 3 5" xfId="13835"/>
    <cellStyle name="Обычный 12 5 2 3 6" xfId="13836"/>
    <cellStyle name="Обычный 12 5 2 4" xfId="13837"/>
    <cellStyle name="Обычный 12 5 2 5" xfId="13838"/>
    <cellStyle name="Обычный 12 5 2 6" xfId="13839"/>
    <cellStyle name="Обычный 12 5 2 7" xfId="13840"/>
    <cellStyle name="Обычный 12 5 2 8" xfId="13841"/>
    <cellStyle name="Обычный 12 5 3" xfId="3004"/>
    <cellStyle name="Обычный 12 5 3 2" xfId="13842"/>
    <cellStyle name="Обычный 12 5 3 3" xfId="13843"/>
    <cellStyle name="Обычный 12 5 3 4" xfId="13844"/>
    <cellStyle name="Обычный 12 5 3 5" xfId="13845"/>
    <cellStyle name="Обычный 12 5 3 6" xfId="13846"/>
    <cellStyle name="Обычный 12 5 4" xfId="3005"/>
    <cellStyle name="Обычный 12 5 4 2" xfId="13847"/>
    <cellStyle name="Обычный 12 5 4 3" xfId="13848"/>
    <cellStyle name="Обычный 12 5 4 4" xfId="13849"/>
    <cellStyle name="Обычный 12 5 4 5" xfId="13850"/>
    <cellStyle name="Обычный 12 5 5" xfId="13851"/>
    <cellStyle name="Обычный 12 5 6" xfId="13852"/>
    <cellStyle name="Обычный 12 5 7" xfId="13853"/>
    <cellStyle name="Обычный 12 5 8" xfId="13854"/>
    <cellStyle name="Обычный 12 6" xfId="3006"/>
    <cellStyle name="Обычный 12 6 2" xfId="3007"/>
    <cellStyle name="Обычный 12 6 2 2" xfId="3008"/>
    <cellStyle name="Обычный 12 6 2 3" xfId="3009"/>
    <cellStyle name="Обычный 12 6 3" xfId="3010"/>
    <cellStyle name="Обычный 12 6 4" xfId="3011"/>
    <cellStyle name="Обычный 12 6 4 2" xfId="13855"/>
    <cellStyle name="Обычный 12 6 4 3" xfId="13856"/>
    <cellStyle name="Обычный 12 6 4 4" xfId="13857"/>
    <cellStyle name="Обычный 12 6 4 5" xfId="13858"/>
    <cellStyle name="Обычный 12 6 5" xfId="13859"/>
    <cellStyle name="Обычный 12 6 6" xfId="13860"/>
    <cellStyle name="Обычный 12 6 7" xfId="13861"/>
    <cellStyle name="Обычный 12 6 8" xfId="13862"/>
    <cellStyle name="Обычный 12 7" xfId="3012"/>
    <cellStyle name="Обычный 12 7 10" xfId="13863"/>
    <cellStyle name="Обычный 12 7 11" xfId="13864"/>
    <cellStyle name="Обычный 12 7 12" xfId="13865"/>
    <cellStyle name="Обычный 12 7 2" xfId="3013"/>
    <cellStyle name="Обычный 12 7 2 10" xfId="13866"/>
    <cellStyle name="Обычный 12 7 2 11" xfId="13867"/>
    <cellStyle name="Обычный 12 7 2 12" xfId="13868"/>
    <cellStyle name="Обычный 12 7 2 2" xfId="3014"/>
    <cellStyle name="Обычный 12 7 2 2 2" xfId="13869"/>
    <cellStyle name="Обычный 12 7 2 2 3" xfId="13870"/>
    <cellStyle name="Обычный 12 7 2 2 4" xfId="13871"/>
    <cellStyle name="Обычный 12 7 2 2 5" xfId="13872"/>
    <cellStyle name="Обычный 12 7 2 2 6" xfId="13873"/>
    <cellStyle name="Обычный 12 7 2 2 7" xfId="13874"/>
    <cellStyle name="Обычный 12 7 2 2 8" xfId="13875"/>
    <cellStyle name="Обычный 12 7 2 2 9" xfId="13876"/>
    <cellStyle name="Обычный 12 7 2 3" xfId="3015"/>
    <cellStyle name="Обычный 12 7 2 3 2" xfId="13877"/>
    <cellStyle name="Обычный 12 7 2 3 3" xfId="13878"/>
    <cellStyle name="Обычный 12 7 2 3 4" xfId="13879"/>
    <cellStyle name="Обычный 12 7 2 3 5" xfId="13880"/>
    <cellStyle name="Обычный 12 7 2 3 6" xfId="13881"/>
    <cellStyle name="Обычный 12 7 2 3 7" xfId="13882"/>
    <cellStyle name="Обычный 12 7 2 3 8" xfId="13883"/>
    <cellStyle name="Обычный 12 7 2 3 9" xfId="13884"/>
    <cellStyle name="Обычный 12 7 2 4" xfId="3016"/>
    <cellStyle name="Обычный 12 7 2 4 2" xfId="13885"/>
    <cellStyle name="Обычный 12 7 2 4 3" xfId="13886"/>
    <cellStyle name="Обычный 12 7 2 4 4" xfId="13887"/>
    <cellStyle name="Обычный 12 7 2 4 5" xfId="13888"/>
    <cellStyle name="Обычный 12 7 2 4 6" xfId="13889"/>
    <cellStyle name="Обычный 12 7 2 4 7" xfId="13890"/>
    <cellStyle name="Обычный 12 7 2 4 8" xfId="13891"/>
    <cellStyle name="Обычный 12 7 2 4 9" xfId="13892"/>
    <cellStyle name="Обычный 12 7 2 5" xfId="13893"/>
    <cellStyle name="Обычный 12 7 2 6" xfId="13894"/>
    <cellStyle name="Обычный 12 7 2 7" xfId="13895"/>
    <cellStyle name="Обычный 12 7 2 8" xfId="13896"/>
    <cellStyle name="Обычный 12 7 2 9" xfId="13897"/>
    <cellStyle name="Обычный 12 7 3" xfId="3017"/>
    <cellStyle name="Обычный 12 7 3 10" xfId="13898"/>
    <cellStyle name="Обычный 12 7 3 11" xfId="13899"/>
    <cellStyle name="Обычный 12 7 3 2" xfId="3018"/>
    <cellStyle name="Обычный 12 7 3 2 2" xfId="13900"/>
    <cellStyle name="Обычный 12 7 3 2 3" xfId="13901"/>
    <cellStyle name="Обычный 12 7 3 2 4" xfId="13902"/>
    <cellStyle name="Обычный 12 7 3 2 5" xfId="13903"/>
    <cellStyle name="Обычный 12 7 3 2 6" xfId="13904"/>
    <cellStyle name="Обычный 12 7 3 2 7" xfId="13905"/>
    <cellStyle name="Обычный 12 7 3 2 8" xfId="13906"/>
    <cellStyle name="Обычный 12 7 3 2 9" xfId="13907"/>
    <cellStyle name="Обычный 12 7 3 3" xfId="3019"/>
    <cellStyle name="Обычный 12 7 3 3 2" xfId="13908"/>
    <cellStyle name="Обычный 12 7 3 3 3" xfId="13909"/>
    <cellStyle name="Обычный 12 7 3 3 4" xfId="13910"/>
    <cellStyle name="Обычный 12 7 3 3 5" xfId="13911"/>
    <cellStyle name="Обычный 12 7 3 3 6" xfId="13912"/>
    <cellStyle name="Обычный 12 7 3 3 7" xfId="13913"/>
    <cellStyle name="Обычный 12 7 3 3 8" xfId="13914"/>
    <cellStyle name="Обычный 12 7 3 3 9" xfId="13915"/>
    <cellStyle name="Обычный 12 7 3 4" xfId="13916"/>
    <cellStyle name="Обычный 12 7 3 5" xfId="13917"/>
    <cellStyle name="Обычный 12 7 3 6" xfId="13918"/>
    <cellStyle name="Обычный 12 7 3 7" xfId="13919"/>
    <cellStyle name="Обычный 12 7 3 8" xfId="13920"/>
    <cellStyle name="Обычный 12 7 3 9" xfId="13921"/>
    <cellStyle name="Обычный 12 7 4" xfId="3020"/>
    <cellStyle name="Обычный 12 7 4 2" xfId="13922"/>
    <cellStyle name="Обычный 12 7 4 3" xfId="13923"/>
    <cellStyle name="Обычный 12 7 4 4" xfId="13924"/>
    <cellStyle name="Обычный 12 7 4 5" xfId="13925"/>
    <cellStyle name="Обычный 12 7 4 6" xfId="13926"/>
    <cellStyle name="Обычный 12 7 4 7" xfId="13927"/>
    <cellStyle name="Обычный 12 7 4 8" xfId="13928"/>
    <cellStyle name="Обычный 12 7 4 9" xfId="13929"/>
    <cellStyle name="Обычный 12 7 5" xfId="13930"/>
    <cellStyle name="Обычный 12 7 6" xfId="13931"/>
    <cellStyle name="Обычный 12 7 7" xfId="13932"/>
    <cellStyle name="Обычный 12 7 8" xfId="13933"/>
    <cellStyle name="Обычный 12 7 9" xfId="13934"/>
    <cellStyle name="Обычный 12 8" xfId="3021"/>
    <cellStyle name="Обычный 12 8 2" xfId="3022"/>
    <cellStyle name="Обычный 12 8 2 2" xfId="13935"/>
    <cellStyle name="Обычный 12 8 2 3" xfId="13936"/>
    <cellStyle name="Обычный 12 8 2 4" xfId="13937"/>
    <cellStyle name="Обычный 12 8 2 5" xfId="13938"/>
    <cellStyle name="Обычный 12 8 2 6" xfId="13939"/>
    <cellStyle name="Обычный 12 8 3" xfId="3023"/>
    <cellStyle name="Обычный 12 8 3 2" xfId="13940"/>
    <cellStyle name="Обычный 12 8 3 3" xfId="13941"/>
    <cellStyle name="Обычный 12 8 3 4" xfId="13942"/>
    <cellStyle name="Обычный 12 8 3 5" xfId="13943"/>
    <cellStyle name="Обычный 12 8 3 6" xfId="13944"/>
    <cellStyle name="Обычный 12 8 4" xfId="13945"/>
    <cellStyle name="Обычный 12 8 5" xfId="13946"/>
    <cellStyle name="Обычный 12 8 6" xfId="13947"/>
    <cellStyle name="Обычный 12 8 7" xfId="13948"/>
    <cellStyle name="Обычный 12 8 8" xfId="13949"/>
    <cellStyle name="Обычный 12 9" xfId="3024"/>
    <cellStyle name="Обычный 12 9 2" xfId="13950"/>
    <cellStyle name="Обычный 12 9 3" xfId="13951"/>
    <cellStyle name="Обычный 12 9 4" xfId="13952"/>
    <cellStyle name="Обычный 12 9 5" xfId="13953"/>
    <cellStyle name="Обычный 12 9 6" xfId="13954"/>
    <cellStyle name="Обычный 13" xfId="3025"/>
    <cellStyle name="Обычный 13 2" xfId="3026"/>
    <cellStyle name="Обычный 13 2 2" xfId="3027"/>
    <cellStyle name="Обычный 13 2 3" xfId="3028"/>
    <cellStyle name="Обычный 13 3" xfId="3029"/>
    <cellStyle name="Обычный 13 4" xfId="3030"/>
    <cellStyle name="Обычный 13 4 2" xfId="13955"/>
    <cellStyle name="Обычный 13 4 3" xfId="13956"/>
    <cellStyle name="Обычный 13 4 4" xfId="13957"/>
    <cellStyle name="Обычный 13 4 5" xfId="13958"/>
    <cellStyle name="Обычный 13 5" xfId="13959"/>
    <cellStyle name="Обычный 13 6" xfId="13960"/>
    <cellStyle name="Обычный 13 7" xfId="13961"/>
    <cellStyle name="Обычный 13 8" xfId="13962"/>
    <cellStyle name="Обычный 14" xfId="3031"/>
    <cellStyle name="Обычный 14 10" xfId="13963"/>
    <cellStyle name="Обычный 14 11" xfId="13964"/>
    <cellStyle name="Обычный 14 12" xfId="13965"/>
    <cellStyle name="Обычный 14 13" xfId="13966"/>
    <cellStyle name="Обычный 14 2" xfId="3032"/>
    <cellStyle name="Обычный 14 2 10" xfId="13967"/>
    <cellStyle name="Обычный 14 2 11" xfId="13968"/>
    <cellStyle name="Обычный 14 2 12" xfId="13969"/>
    <cellStyle name="Обычный 14 2 2" xfId="3033"/>
    <cellStyle name="Обычный 14 2 2 10" xfId="13970"/>
    <cellStyle name="Обычный 14 2 2 11" xfId="13971"/>
    <cellStyle name="Обычный 14 2 2 12" xfId="13972"/>
    <cellStyle name="Обычный 14 2 2 2" xfId="3034"/>
    <cellStyle name="Обычный 14 2 2 2 2" xfId="13973"/>
    <cellStyle name="Обычный 14 2 2 2 3" xfId="13974"/>
    <cellStyle name="Обычный 14 2 2 2 4" xfId="13975"/>
    <cellStyle name="Обычный 14 2 2 2 5" xfId="13976"/>
    <cellStyle name="Обычный 14 2 2 2 6" xfId="13977"/>
    <cellStyle name="Обычный 14 2 2 2 7" xfId="13978"/>
    <cellStyle name="Обычный 14 2 2 2 8" xfId="13979"/>
    <cellStyle name="Обычный 14 2 2 2 9" xfId="13980"/>
    <cellStyle name="Обычный 14 2 2 3" xfId="3035"/>
    <cellStyle name="Обычный 14 2 2 3 2" xfId="13981"/>
    <cellStyle name="Обычный 14 2 2 3 3" xfId="13982"/>
    <cellStyle name="Обычный 14 2 2 3 4" xfId="13983"/>
    <cellStyle name="Обычный 14 2 2 3 5" xfId="13984"/>
    <cellStyle name="Обычный 14 2 2 3 6" xfId="13985"/>
    <cellStyle name="Обычный 14 2 2 3 7" xfId="13986"/>
    <cellStyle name="Обычный 14 2 2 3 8" xfId="13987"/>
    <cellStyle name="Обычный 14 2 2 3 9" xfId="13988"/>
    <cellStyle name="Обычный 14 2 2 4" xfId="3036"/>
    <cellStyle name="Обычный 14 2 2 4 2" xfId="13989"/>
    <cellStyle name="Обычный 14 2 2 4 3" xfId="13990"/>
    <cellStyle name="Обычный 14 2 2 4 4" xfId="13991"/>
    <cellStyle name="Обычный 14 2 2 4 5" xfId="13992"/>
    <cellStyle name="Обычный 14 2 2 4 6" xfId="13993"/>
    <cellStyle name="Обычный 14 2 2 4 7" xfId="13994"/>
    <cellStyle name="Обычный 14 2 2 4 8" xfId="13995"/>
    <cellStyle name="Обычный 14 2 2 4 9" xfId="13996"/>
    <cellStyle name="Обычный 14 2 2 5" xfId="13997"/>
    <cellStyle name="Обычный 14 2 2 6" xfId="13998"/>
    <cellStyle name="Обычный 14 2 2 7" xfId="13999"/>
    <cellStyle name="Обычный 14 2 2 8" xfId="14000"/>
    <cellStyle name="Обычный 14 2 2 9" xfId="14001"/>
    <cellStyle name="Обычный 14 2 3" xfId="3037"/>
    <cellStyle name="Обычный 14 2 3 10" xfId="14002"/>
    <cellStyle name="Обычный 14 2 3 11" xfId="14003"/>
    <cellStyle name="Обычный 14 2 3 2" xfId="3038"/>
    <cellStyle name="Обычный 14 2 3 2 2" xfId="14004"/>
    <cellStyle name="Обычный 14 2 3 2 3" xfId="14005"/>
    <cellStyle name="Обычный 14 2 3 2 4" xfId="14006"/>
    <cellStyle name="Обычный 14 2 3 2 5" xfId="14007"/>
    <cellStyle name="Обычный 14 2 3 2 6" xfId="14008"/>
    <cellStyle name="Обычный 14 2 3 2 7" xfId="14009"/>
    <cellStyle name="Обычный 14 2 3 2 8" xfId="14010"/>
    <cellStyle name="Обычный 14 2 3 2 9" xfId="14011"/>
    <cellStyle name="Обычный 14 2 3 3" xfId="3039"/>
    <cellStyle name="Обычный 14 2 3 3 2" xfId="14012"/>
    <cellStyle name="Обычный 14 2 3 3 3" xfId="14013"/>
    <cellStyle name="Обычный 14 2 3 3 4" xfId="14014"/>
    <cellStyle name="Обычный 14 2 3 3 5" xfId="14015"/>
    <cellStyle name="Обычный 14 2 3 3 6" xfId="14016"/>
    <cellStyle name="Обычный 14 2 3 3 7" xfId="14017"/>
    <cellStyle name="Обычный 14 2 3 3 8" xfId="14018"/>
    <cellStyle name="Обычный 14 2 3 3 9" xfId="14019"/>
    <cellStyle name="Обычный 14 2 3 4" xfId="14020"/>
    <cellStyle name="Обычный 14 2 3 5" xfId="14021"/>
    <cellStyle name="Обычный 14 2 3 6" xfId="14022"/>
    <cellStyle name="Обычный 14 2 3 7" xfId="14023"/>
    <cellStyle name="Обычный 14 2 3 8" xfId="14024"/>
    <cellStyle name="Обычный 14 2 3 9" xfId="14025"/>
    <cellStyle name="Обычный 14 2 4" xfId="3040"/>
    <cellStyle name="Обычный 14 2 4 2" xfId="14026"/>
    <cellStyle name="Обычный 14 2 4 3" xfId="14027"/>
    <cellStyle name="Обычный 14 2 4 4" xfId="14028"/>
    <cellStyle name="Обычный 14 2 4 5" xfId="14029"/>
    <cellStyle name="Обычный 14 2 4 6" xfId="14030"/>
    <cellStyle name="Обычный 14 2 4 7" xfId="14031"/>
    <cellStyle name="Обычный 14 2 4 8" xfId="14032"/>
    <cellStyle name="Обычный 14 2 4 9" xfId="14033"/>
    <cellStyle name="Обычный 14 2 5" xfId="14034"/>
    <cellStyle name="Обычный 14 2 6" xfId="14035"/>
    <cellStyle name="Обычный 14 2 7" xfId="14036"/>
    <cellStyle name="Обычный 14 2 8" xfId="14037"/>
    <cellStyle name="Обычный 14 2 9" xfId="14038"/>
    <cellStyle name="Обычный 14 3" xfId="3041"/>
    <cellStyle name="Обычный 14 3 2" xfId="3042"/>
    <cellStyle name="Обычный 14 3 3" xfId="3043"/>
    <cellStyle name="Обычный 14 4" xfId="3044"/>
    <cellStyle name="Обычный 14 5" xfId="3045"/>
    <cellStyle name="Обычный 14 5 2" xfId="14039"/>
    <cellStyle name="Обычный 14 5 3" xfId="14040"/>
    <cellStyle name="Обычный 14 5 4" xfId="14041"/>
    <cellStyle name="Обычный 14 5 5" xfId="14042"/>
    <cellStyle name="Обычный 14 5 6" xfId="14043"/>
    <cellStyle name="Обычный 14 5 7" xfId="14044"/>
    <cellStyle name="Обычный 14 5 8" xfId="14045"/>
    <cellStyle name="Обычный 14 5 9" xfId="14046"/>
    <cellStyle name="Обычный 14 6" xfId="14047"/>
    <cellStyle name="Обычный 14 7" xfId="14048"/>
    <cellStyle name="Обычный 14 8" xfId="14049"/>
    <cellStyle name="Обычный 14 9" xfId="14050"/>
    <cellStyle name="Обычный 15" xfId="3046"/>
    <cellStyle name="Обычный 15 10" xfId="14051"/>
    <cellStyle name="Обычный 15 11" xfId="14052"/>
    <cellStyle name="Обычный 15 12" xfId="14053"/>
    <cellStyle name="Обычный 15 2" xfId="3047"/>
    <cellStyle name="Обычный 15 2 2" xfId="14054"/>
    <cellStyle name="Обычный 15 2 3" xfId="14055"/>
    <cellStyle name="Обычный 15 2 4" xfId="14056"/>
    <cellStyle name="Обычный 15 2 5" xfId="14057"/>
    <cellStyle name="Обычный 15 2 6" xfId="14058"/>
    <cellStyle name="Обычный 15 2 7" xfId="14059"/>
    <cellStyle name="Обычный 15 2 8" xfId="14060"/>
    <cellStyle name="Обычный 15 2 9" xfId="14061"/>
    <cellStyle name="Обычный 15 3" xfId="3048"/>
    <cellStyle name="Обычный 15 3 2" xfId="14062"/>
    <cellStyle name="Обычный 15 3 3" xfId="14063"/>
    <cellStyle name="Обычный 15 3 4" xfId="14064"/>
    <cellStyle name="Обычный 15 3 5" xfId="14065"/>
    <cellStyle name="Обычный 15 3 6" xfId="14066"/>
    <cellStyle name="Обычный 15 3 7" xfId="14067"/>
    <cellStyle name="Обычный 15 3 8" xfId="14068"/>
    <cellStyle name="Обычный 15 3 9" xfId="14069"/>
    <cellStyle name="Обычный 15 4" xfId="3049"/>
    <cellStyle name="Обычный 15 4 2" xfId="14070"/>
    <cellStyle name="Обычный 15 4 3" xfId="14071"/>
    <cellStyle name="Обычный 15 4 4" xfId="14072"/>
    <cellStyle name="Обычный 15 4 5" xfId="14073"/>
    <cellStyle name="Обычный 15 4 6" xfId="14074"/>
    <cellStyle name="Обычный 15 4 7" xfId="14075"/>
    <cellStyle name="Обычный 15 4 8" xfId="14076"/>
    <cellStyle name="Обычный 15 4 9" xfId="14077"/>
    <cellStyle name="Обычный 15 5" xfId="14078"/>
    <cellStyle name="Обычный 15 6" xfId="14079"/>
    <cellStyle name="Обычный 15 7" xfId="14080"/>
    <cellStyle name="Обычный 15 8" xfId="14081"/>
    <cellStyle name="Обычный 15 9" xfId="14082"/>
    <cellStyle name="Обычный 16" xfId="3050"/>
    <cellStyle name="Обычный 16 10" xfId="14083"/>
    <cellStyle name="Обычный 16 11" xfId="14084"/>
    <cellStyle name="Обычный 16 2" xfId="3051"/>
    <cellStyle name="Обычный 16 2 2" xfId="14085"/>
    <cellStyle name="Обычный 16 2 3" xfId="14086"/>
    <cellStyle name="Обычный 16 2 4" xfId="14087"/>
    <cellStyle name="Обычный 16 2 5" xfId="14088"/>
    <cellStyle name="Обычный 16 2 6" xfId="14089"/>
    <cellStyle name="Обычный 16 2 7" xfId="14090"/>
    <cellStyle name="Обычный 16 2 8" xfId="14091"/>
    <cellStyle name="Обычный 16 2 9" xfId="14092"/>
    <cellStyle name="Обычный 16 3" xfId="3052"/>
    <cellStyle name="Обычный 16 3 2" xfId="14093"/>
    <cellStyle name="Обычный 16 3 3" xfId="14094"/>
    <cellStyle name="Обычный 16 3 4" xfId="14095"/>
    <cellStyle name="Обычный 16 3 5" xfId="14096"/>
    <cellStyle name="Обычный 16 3 6" xfId="14097"/>
    <cellStyle name="Обычный 16 3 7" xfId="14098"/>
    <cellStyle name="Обычный 16 3 8" xfId="14099"/>
    <cellStyle name="Обычный 16 3 9" xfId="14100"/>
    <cellStyle name="Обычный 16 4" xfId="14101"/>
    <cellStyle name="Обычный 16 5" xfId="14102"/>
    <cellStyle name="Обычный 16 6" xfId="14103"/>
    <cellStyle name="Обычный 16 7" xfId="14104"/>
    <cellStyle name="Обычный 16 8" xfId="14105"/>
    <cellStyle name="Обычный 16 9" xfId="14106"/>
    <cellStyle name="Обычный 17" xfId="3053"/>
    <cellStyle name="Обычный 17 2" xfId="14107"/>
    <cellStyle name="Обычный 17 3" xfId="14108"/>
    <cellStyle name="Обычный 17 4" xfId="14109"/>
    <cellStyle name="Обычный 17 5" xfId="14110"/>
    <cellStyle name="Обычный 17 6" xfId="14111"/>
    <cellStyle name="Обычный 17 7" xfId="14112"/>
    <cellStyle name="Обычный 17 8" xfId="14113"/>
    <cellStyle name="Обычный 17 9" xfId="14114"/>
    <cellStyle name="Обычный 18" xfId="3054"/>
    <cellStyle name="Обычный 18 2" xfId="14115"/>
    <cellStyle name="Обычный 18 3" xfId="14116"/>
    <cellStyle name="Обычный 18 4" xfId="14117"/>
    <cellStyle name="Обычный 18 5" xfId="14118"/>
    <cellStyle name="Обычный 18 6" xfId="14119"/>
    <cellStyle name="Обычный 18 7" xfId="14120"/>
    <cellStyle name="Обычный 18 8" xfId="14121"/>
    <cellStyle name="Обычный 18 9" xfId="14122"/>
    <cellStyle name="Обычный 19" xfId="5528"/>
    <cellStyle name="Обычный 19 2" xfId="14123"/>
    <cellStyle name="Обычный 2" xfId="2"/>
    <cellStyle name="Обычный 2 10" xfId="3055"/>
    <cellStyle name="Обычный 2 10 2" xfId="3056"/>
    <cellStyle name="Обычный 2 10 2 2" xfId="3057"/>
    <cellStyle name="Обычный 2 10 2 3" xfId="3058"/>
    <cellStyle name="Обычный 2 10 3" xfId="3059"/>
    <cellStyle name="Обычный 2 10 4" xfId="3060"/>
    <cellStyle name="Обычный 2 10 4 2" xfId="14124"/>
    <cellStyle name="Обычный 2 10 4 3" xfId="14125"/>
    <cellStyle name="Обычный 2 10 4 4" xfId="14126"/>
    <cellStyle name="Обычный 2 10 4 5" xfId="14127"/>
    <cellStyle name="Обычный 2 10 5" xfId="14128"/>
    <cellStyle name="Обычный 2 10 6" xfId="14129"/>
    <cellStyle name="Обычный 2 10 7" xfId="14130"/>
    <cellStyle name="Обычный 2 10 8" xfId="14131"/>
    <cellStyle name="Обычный 2 11" xfId="3061"/>
    <cellStyle name="Обычный 2 11 2" xfId="3062"/>
    <cellStyle name="Обычный 2 11 2 2" xfId="3063"/>
    <cellStyle name="Обычный 2 11 2 3" xfId="3064"/>
    <cellStyle name="Обычный 2 11 3" xfId="3065"/>
    <cellStyle name="Обычный 2 11 4" xfId="3066"/>
    <cellStyle name="Обычный 2 11 4 2" xfId="14132"/>
    <cellStyle name="Обычный 2 11 4 3" xfId="14133"/>
    <cellStyle name="Обычный 2 11 4 4" xfId="14134"/>
    <cellStyle name="Обычный 2 11 4 5" xfId="14135"/>
    <cellStyle name="Обычный 2 11 5" xfId="14136"/>
    <cellStyle name="Обычный 2 11 6" xfId="14137"/>
    <cellStyle name="Обычный 2 11 7" xfId="14138"/>
    <cellStyle name="Обычный 2 11 8" xfId="14139"/>
    <cellStyle name="Обычный 2 12" xfId="3067"/>
    <cellStyle name="Обычный 2 12 2" xfId="3068"/>
    <cellStyle name="Обычный 2 12 2 2" xfId="3069"/>
    <cellStyle name="Обычный 2 12 2 3" xfId="3070"/>
    <cellStyle name="Обычный 2 12 3" xfId="3071"/>
    <cellStyle name="Обычный 2 12 4" xfId="3072"/>
    <cellStyle name="Обычный 2 12 4 2" xfId="14140"/>
    <cellStyle name="Обычный 2 12 4 3" xfId="14141"/>
    <cellStyle name="Обычный 2 12 4 4" xfId="14142"/>
    <cellStyle name="Обычный 2 12 4 5" xfId="14143"/>
    <cellStyle name="Обычный 2 12 5" xfId="14144"/>
    <cellStyle name="Обычный 2 12 6" xfId="14145"/>
    <cellStyle name="Обычный 2 12 7" xfId="14146"/>
    <cellStyle name="Обычный 2 12 8" xfId="14147"/>
    <cellStyle name="Обычный 2 13" xfId="3073"/>
    <cellStyle name="Обычный 2 13 2" xfId="3074"/>
    <cellStyle name="Обычный 2 13 2 2" xfId="3075"/>
    <cellStyle name="Обычный 2 13 2 3" xfId="3076"/>
    <cellStyle name="Обычный 2 13 3" xfId="3077"/>
    <cellStyle name="Обычный 2 13 4" xfId="3078"/>
    <cellStyle name="Обычный 2 13 4 2" xfId="14148"/>
    <cellStyle name="Обычный 2 13 4 3" xfId="14149"/>
    <cellStyle name="Обычный 2 13 4 4" xfId="14150"/>
    <cellStyle name="Обычный 2 13 4 5" xfId="14151"/>
    <cellStyle name="Обычный 2 13 5" xfId="14152"/>
    <cellStyle name="Обычный 2 13 6" xfId="14153"/>
    <cellStyle name="Обычный 2 13 7" xfId="14154"/>
    <cellStyle name="Обычный 2 13 8" xfId="14155"/>
    <cellStyle name="Обычный 2 14" xfId="3079"/>
    <cellStyle name="Обычный 2 14 2" xfId="3080"/>
    <cellStyle name="Обычный 2 14 2 2" xfId="3081"/>
    <cellStyle name="Обычный 2 14 2 3" xfId="3082"/>
    <cellStyle name="Обычный 2 14 3" xfId="3083"/>
    <cellStyle name="Обычный 2 14 4" xfId="3084"/>
    <cellStyle name="Обычный 2 14 4 2" xfId="14156"/>
    <cellStyle name="Обычный 2 14 4 3" xfId="14157"/>
    <cellStyle name="Обычный 2 14 4 4" xfId="14158"/>
    <cellStyle name="Обычный 2 14 4 5" xfId="14159"/>
    <cellStyle name="Обычный 2 14 5" xfId="14160"/>
    <cellStyle name="Обычный 2 14 6" xfId="14161"/>
    <cellStyle name="Обычный 2 14 7" xfId="14162"/>
    <cellStyle name="Обычный 2 14 8" xfId="14163"/>
    <cellStyle name="Обычный 2 15" xfId="3085"/>
    <cellStyle name="Обычный 2 15 2" xfId="3086"/>
    <cellStyle name="Обычный 2 15 2 2" xfId="3087"/>
    <cellStyle name="Обычный 2 15 2 3" xfId="3088"/>
    <cellStyle name="Обычный 2 15 3" xfId="3089"/>
    <cellStyle name="Обычный 2 15 4" xfId="3090"/>
    <cellStyle name="Обычный 2 15 4 2" xfId="14164"/>
    <cellStyle name="Обычный 2 15 4 3" xfId="14165"/>
    <cellStyle name="Обычный 2 15 4 4" xfId="14166"/>
    <cellStyle name="Обычный 2 15 4 5" xfId="14167"/>
    <cellStyle name="Обычный 2 15 5" xfId="14168"/>
    <cellStyle name="Обычный 2 15 6" xfId="14169"/>
    <cellStyle name="Обычный 2 15 7" xfId="14170"/>
    <cellStyle name="Обычный 2 15 8" xfId="14171"/>
    <cellStyle name="Обычный 2 16" xfId="3091"/>
    <cellStyle name="Обычный 2 16 2" xfId="3092"/>
    <cellStyle name="Обычный 2 16 2 2" xfId="3093"/>
    <cellStyle name="Обычный 2 16 2 3" xfId="3094"/>
    <cellStyle name="Обычный 2 16 3" xfId="3095"/>
    <cellStyle name="Обычный 2 16 4" xfId="3096"/>
    <cellStyle name="Обычный 2 16 4 2" xfId="14172"/>
    <cellStyle name="Обычный 2 16 4 3" xfId="14173"/>
    <cellStyle name="Обычный 2 16 4 4" xfId="14174"/>
    <cellStyle name="Обычный 2 16 4 5" xfId="14175"/>
    <cellStyle name="Обычный 2 16 5" xfId="14176"/>
    <cellStyle name="Обычный 2 16 6" xfId="14177"/>
    <cellStyle name="Обычный 2 16 7" xfId="14178"/>
    <cellStyle name="Обычный 2 16 8" xfId="14179"/>
    <cellStyle name="Обычный 2 17" xfId="3097"/>
    <cellStyle name="Обычный 2 17 2" xfId="3098"/>
    <cellStyle name="Обычный 2 17 2 2" xfId="14180"/>
    <cellStyle name="Обычный 2 17 2 3" xfId="14181"/>
    <cellStyle name="Обычный 2 17 2 4" xfId="14182"/>
    <cellStyle name="Обычный 2 17 2 5" xfId="14183"/>
    <cellStyle name="Обычный 2 17 3" xfId="3099"/>
    <cellStyle name="Обычный 2 17 3 2" xfId="14184"/>
    <cellStyle name="Обычный 2 17 3 3" xfId="14185"/>
    <cellStyle name="Обычный 2 17 3 4" xfId="14186"/>
    <cellStyle name="Обычный 2 17 3 5" xfId="14187"/>
    <cellStyle name="Обычный 2 17 3 6" xfId="14188"/>
    <cellStyle name="Обычный 2 17 4" xfId="3100"/>
    <cellStyle name="Обычный 2 17 4 2" xfId="14189"/>
    <cellStyle name="Обычный 2 17 4 3" xfId="14190"/>
    <cellStyle name="Обычный 2 17 4 4" xfId="14191"/>
    <cellStyle name="Обычный 2 17 4 5" xfId="14192"/>
    <cellStyle name="Обычный 2 17 4 6" xfId="14193"/>
    <cellStyle name="Обычный 2 17 5" xfId="3101"/>
    <cellStyle name="Обычный 2 17 5 2" xfId="14194"/>
    <cellStyle name="Обычный 2 17 5 3" xfId="14195"/>
    <cellStyle name="Обычный 2 17 5 4" xfId="14196"/>
    <cellStyle name="Обычный 2 17 5 5" xfId="14197"/>
    <cellStyle name="Обычный 2 17 6" xfId="14198"/>
    <cellStyle name="Обычный 2 17 7" xfId="14199"/>
    <cellStyle name="Обычный 2 17 8" xfId="14200"/>
    <cellStyle name="Обычный 2 17 9" xfId="14201"/>
    <cellStyle name="Обычный 2 18" xfId="3102"/>
    <cellStyle name="Обычный 2 18 2" xfId="3103"/>
    <cellStyle name="Обычный 2 18 2 2" xfId="3104"/>
    <cellStyle name="Обычный 2 18 2 3" xfId="3105"/>
    <cellStyle name="Обычный 2 18 3" xfId="3106"/>
    <cellStyle name="Обычный 2 18 4" xfId="3107"/>
    <cellStyle name="Обычный 2 18 4 2" xfId="14202"/>
    <cellStyle name="Обычный 2 18 4 3" xfId="14203"/>
    <cellStyle name="Обычный 2 18 4 4" xfId="14204"/>
    <cellStyle name="Обычный 2 18 4 5" xfId="14205"/>
    <cellStyle name="Обычный 2 18 5" xfId="14206"/>
    <cellStyle name="Обычный 2 18 6" xfId="14207"/>
    <cellStyle name="Обычный 2 18 7" xfId="14208"/>
    <cellStyle name="Обычный 2 18 8" xfId="14209"/>
    <cellStyle name="Обычный 2 19" xfId="3108"/>
    <cellStyle name="Обычный 2 19 2" xfId="3109"/>
    <cellStyle name="Обычный 2 19 2 2" xfId="3110"/>
    <cellStyle name="Обычный 2 19 2 3" xfId="3111"/>
    <cellStyle name="Обычный 2 19 3" xfId="3112"/>
    <cellStyle name="Обычный 2 19 4" xfId="3113"/>
    <cellStyle name="Обычный 2 19 4 2" xfId="14210"/>
    <cellStyle name="Обычный 2 19 4 3" xfId="14211"/>
    <cellStyle name="Обычный 2 19 4 4" xfId="14212"/>
    <cellStyle name="Обычный 2 19 4 5" xfId="14213"/>
    <cellStyle name="Обычный 2 19 5" xfId="14214"/>
    <cellStyle name="Обычный 2 19 6" xfId="14215"/>
    <cellStyle name="Обычный 2 19 7" xfId="14216"/>
    <cellStyle name="Обычный 2 19 8" xfId="14217"/>
    <cellStyle name="Обычный 2 2" xfId="54"/>
    <cellStyle name="Обычный 2 2 10" xfId="3114"/>
    <cellStyle name="Обычный 2 2 10 10" xfId="14218"/>
    <cellStyle name="Обычный 2 2 10 11" xfId="14219"/>
    <cellStyle name="Обычный 2 2 10 12" xfId="14220"/>
    <cellStyle name="Обычный 2 2 10 2" xfId="3115"/>
    <cellStyle name="Обычный 2 2 10 2 10" xfId="14221"/>
    <cellStyle name="Обычный 2 2 10 2 11" xfId="14222"/>
    <cellStyle name="Обычный 2 2 10 2 12" xfId="14223"/>
    <cellStyle name="Обычный 2 2 10 2 2" xfId="3116"/>
    <cellStyle name="Обычный 2 2 10 2 2 2" xfId="14224"/>
    <cellStyle name="Обычный 2 2 10 2 2 3" xfId="14225"/>
    <cellStyle name="Обычный 2 2 10 2 2 4" xfId="14226"/>
    <cellStyle name="Обычный 2 2 10 2 2 5" xfId="14227"/>
    <cellStyle name="Обычный 2 2 10 2 2 6" xfId="14228"/>
    <cellStyle name="Обычный 2 2 10 2 2 7" xfId="14229"/>
    <cellStyle name="Обычный 2 2 10 2 2 8" xfId="14230"/>
    <cellStyle name="Обычный 2 2 10 2 2 9" xfId="14231"/>
    <cellStyle name="Обычный 2 2 10 2 3" xfId="3117"/>
    <cellStyle name="Обычный 2 2 10 2 3 2" xfId="14232"/>
    <cellStyle name="Обычный 2 2 10 2 3 3" xfId="14233"/>
    <cellStyle name="Обычный 2 2 10 2 3 4" xfId="14234"/>
    <cellStyle name="Обычный 2 2 10 2 3 5" xfId="14235"/>
    <cellStyle name="Обычный 2 2 10 2 3 6" xfId="14236"/>
    <cellStyle name="Обычный 2 2 10 2 3 7" xfId="14237"/>
    <cellStyle name="Обычный 2 2 10 2 3 8" xfId="14238"/>
    <cellStyle name="Обычный 2 2 10 2 3 9" xfId="14239"/>
    <cellStyle name="Обычный 2 2 10 2 4" xfId="3118"/>
    <cellStyle name="Обычный 2 2 10 2 4 2" xfId="14240"/>
    <cellStyle name="Обычный 2 2 10 2 4 3" xfId="14241"/>
    <cellStyle name="Обычный 2 2 10 2 4 4" xfId="14242"/>
    <cellStyle name="Обычный 2 2 10 2 4 5" xfId="14243"/>
    <cellStyle name="Обычный 2 2 10 2 4 6" xfId="14244"/>
    <cellStyle name="Обычный 2 2 10 2 4 7" xfId="14245"/>
    <cellStyle name="Обычный 2 2 10 2 4 8" xfId="14246"/>
    <cellStyle name="Обычный 2 2 10 2 4 9" xfId="14247"/>
    <cellStyle name="Обычный 2 2 10 2 5" xfId="14248"/>
    <cellStyle name="Обычный 2 2 10 2 6" xfId="14249"/>
    <cellStyle name="Обычный 2 2 10 2 7" xfId="14250"/>
    <cellStyle name="Обычный 2 2 10 2 8" xfId="14251"/>
    <cellStyle name="Обычный 2 2 10 2 9" xfId="14252"/>
    <cellStyle name="Обычный 2 2 10 3" xfId="3119"/>
    <cellStyle name="Обычный 2 2 10 3 10" xfId="14253"/>
    <cellStyle name="Обычный 2 2 10 3 11" xfId="14254"/>
    <cellStyle name="Обычный 2 2 10 3 2" xfId="3120"/>
    <cellStyle name="Обычный 2 2 10 3 2 2" xfId="14255"/>
    <cellStyle name="Обычный 2 2 10 3 2 3" xfId="14256"/>
    <cellStyle name="Обычный 2 2 10 3 2 4" xfId="14257"/>
    <cellStyle name="Обычный 2 2 10 3 2 5" xfId="14258"/>
    <cellStyle name="Обычный 2 2 10 3 2 6" xfId="14259"/>
    <cellStyle name="Обычный 2 2 10 3 2 7" xfId="14260"/>
    <cellStyle name="Обычный 2 2 10 3 2 8" xfId="14261"/>
    <cellStyle name="Обычный 2 2 10 3 2 9" xfId="14262"/>
    <cellStyle name="Обычный 2 2 10 3 3" xfId="3121"/>
    <cellStyle name="Обычный 2 2 10 3 3 2" xfId="14263"/>
    <cellStyle name="Обычный 2 2 10 3 3 3" xfId="14264"/>
    <cellStyle name="Обычный 2 2 10 3 3 4" xfId="14265"/>
    <cellStyle name="Обычный 2 2 10 3 3 5" xfId="14266"/>
    <cellStyle name="Обычный 2 2 10 3 3 6" xfId="14267"/>
    <cellStyle name="Обычный 2 2 10 3 3 7" xfId="14268"/>
    <cellStyle name="Обычный 2 2 10 3 3 8" xfId="14269"/>
    <cellStyle name="Обычный 2 2 10 3 3 9" xfId="14270"/>
    <cellStyle name="Обычный 2 2 10 3 4" xfId="14271"/>
    <cellStyle name="Обычный 2 2 10 3 5" xfId="14272"/>
    <cellStyle name="Обычный 2 2 10 3 6" xfId="14273"/>
    <cellStyle name="Обычный 2 2 10 3 7" xfId="14274"/>
    <cellStyle name="Обычный 2 2 10 3 8" xfId="14275"/>
    <cellStyle name="Обычный 2 2 10 3 9" xfId="14276"/>
    <cellStyle name="Обычный 2 2 10 4" xfId="3122"/>
    <cellStyle name="Обычный 2 2 10 4 2" xfId="14277"/>
    <cellStyle name="Обычный 2 2 10 4 3" xfId="14278"/>
    <cellStyle name="Обычный 2 2 10 4 4" xfId="14279"/>
    <cellStyle name="Обычный 2 2 10 4 5" xfId="14280"/>
    <cellStyle name="Обычный 2 2 10 4 6" xfId="14281"/>
    <cellStyle name="Обычный 2 2 10 4 7" xfId="14282"/>
    <cellStyle name="Обычный 2 2 10 4 8" xfId="14283"/>
    <cellStyle name="Обычный 2 2 10 4 9" xfId="14284"/>
    <cellStyle name="Обычный 2 2 10 5" xfId="14285"/>
    <cellStyle name="Обычный 2 2 10 6" xfId="14286"/>
    <cellStyle name="Обычный 2 2 10 7" xfId="14287"/>
    <cellStyle name="Обычный 2 2 10 8" xfId="14288"/>
    <cellStyle name="Обычный 2 2 10 9" xfId="14289"/>
    <cellStyle name="Обычный 2 2 11" xfId="3123"/>
    <cellStyle name="Обычный 2 2 11 10" xfId="14290"/>
    <cellStyle name="Обычный 2 2 11 11" xfId="14291"/>
    <cellStyle name="Обычный 2 2 11 12" xfId="14292"/>
    <cellStyle name="Обычный 2 2 11 2" xfId="3124"/>
    <cellStyle name="Обычный 2 2 11 2 10" xfId="14293"/>
    <cellStyle name="Обычный 2 2 11 2 11" xfId="14294"/>
    <cellStyle name="Обычный 2 2 11 2 12" xfId="14295"/>
    <cellStyle name="Обычный 2 2 11 2 2" xfId="3125"/>
    <cellStyle name="Обычный 2 2 11 2 2 2" xfId="14296"/>
    <cellStyle name="Обычный 2 2 11 2 2 3" xfId="14297"/>
    <cellStyle name="Обычный 2 2 11 2 2 4" xfId="14298"/>
    <cellStyle name="Обычный 2 2 11 2 2 5" xfId="14299"/>
    <cellStyle name="Обычный 2 2 11 2 2 6" xfId="14300"/>
    <cellStyle name="Обычный 2 2 11 2 2 7" xfId="14301"/>
    <cellStyle name="Обычный 2 2 11 2 2 8" xfId="14302"/>
    <cellStyle name="Обычный 2 2 11 2 2 9" xfId="14303"/>
    <cellStyle name="Обычный 2 2 11 2 3" xfId="3126"/>
    <cellStyle name="Обычный 2 2 11 2 3 2" xfId="14304"/>
    <cellStyle name="Обычный 2 2 11 2 3 3" xfId="14305"/>
    <cellStyle name="Обычный 2 2 11 2 3 4" xfId="14306"/>
    <cellStyle name="Обычный 2 2 11 2 3 5" xfId="14307"/>
    <cellStyle name="Обычный 2 2 11 2 3 6" xfId="14308"/>
    <cellStyle name="Обычный 2 2 11 2 3 7" xfId="14309"/>
    <cellStyle name="Обычный 2 2 11 2 3 8" xfId="14310"/>
    <cellStyle name="Обычный 2 2 11 2 3 9" xfId="14311"/>
    <cellStyle name="Обычный 2 2 11 2 4" xfId="3127"/>
    <cellStyle name="Обычный 2 2 11 2 4 2" xfId="14312"/>
    <cellStyle name="Обычный 2 2 11 2 4 3" xfId="14313"/>
    <cellStyle name="Обычный 2 2 11 2 4 4" xfId="14314"/>
    <cellStyle name="Обычный 2 2 11 2 4 5" xfId="14315"/>
    <cellStyle name="Обычный 2 2 11 2 4 6" xfId="14316"/>
    <cellStyle name="Обычный 2 2 11 2 4 7" xfId="14317"/>
    <cellStyle name="Обычный 2 2 11 2 4 8" xfId="14318"/>
    <cellStyle name="Обычный 2 2 11 2 4 9" xfId="14319"/>
    <cellStyle name="Обычный 2 2 11 2 5" xfId="14320"/>
    <cellStyle name="Обычный 2 2 11 2 6" xfId="14321"/>
    <cellStyle name="Обычный 2 2 11 2 7" xfId="14322"/>
    <cellStyle name="Обычный 2 2 11 2 8" xfId="14323"/>
    <cellStyle name="Обычный 2 2 11 2 9" xfId="14324"/>
    <cellStyle name="Обычный 2 2 11 3" xfId="3128"/>
    <cellStyle name="Обычный 2 2 11 3 10" xfId="14325"/>
    <cellStyle name="Обычный 2 2 11 3 11" xfId="14326"/>
    <cellStyle name="Обычный 2 2 11 3 2" xfId="3129"/>
    <cellStyle name="Обычный 2 2 11 3 2 2" xfId="14327"/>
    <cellStyle name="Обычный 2 2 11 3 2 3" xfId="14328"/>
    <cellStyle name="Обычный 2 2 11 3 2 4" xfId="14329"/>
    <cellStyle name="Обычный 2 2 11 3 2 5" xfId="14330"/>
    <cellStyle name="Обычный 2 2 11 3 2 6" xfId="14331"/>
    <cellStyle name="Обычный 2 2 11 3 2 7" xfId="14332"/>
    <cellStyle name="Обычный 2 2 11 3 2 8" xfId="14333"/>
    <cellStyle name="Обычный 2 2 11 3 2 9" xfId="14334"/>
    <cellStyle name="Обычный 2 2 11 3 3" xfId="3130"/>
    <cellStyle name="Обычный 2 2 11 3 3 2" xfId="14335"/>
    <cellStyle name="Обычный 2 2 11 3 3 3" xfId="14336"/>
    <cellStyle name="Обычный 2 2 11 3 3 4" xfId="14337"/>
    <cellStyle name="Обычный 2 2 11 3 3 5" xfId="14338"/>
    <cellStyle name="Обычный 2 2 11 3 3 6" xfId="14339"/>
    <cellStyle name="Обычный 2 2 11 3 3 7" xfId="14340"/>
    <cellStyle name="Обычный 2 2 11 3 3 8" xfId="14341"/>
    <cellStyle name="Обычный 2 2 11 3 3 9" xfId="14342"/>
    <cellStyle name="Обычный 2 2 11 3 4" xfId="14343"/>
    <cellStyle name="Обычный 2 2 11 3 5" xfId="14344"/>
    <cellStyle name="Обычный 2 2 11 3 6" xfId="14345"/>
    <cellStyle name="Обычный 2 2 11 3 7" xfId="14346"/>
    <cellStyle name="Обычный 2 2 11 3 8" xfId="14347"/>
    <cellStyle name="Обычный 2 2 11 3 9" xfId="14348"/>
    <cellStyle name="Обычный 2 2 11 4" xfId="3131"/>
    <cellStyle name="Обычный 2 2 11 4 2" xfId="14349"/>
    <cellStyle name="Обычный 2 2 11 4 3" xfId="14350"/>
    <cellStyle name="Обычный 2 2 11 4 4" xfId="14351"/>
    <cellStyle name="Обычный 2 2 11 4 5" xfId="14352"/>
    <cellStyle name="Обычный 2 2 11 4 6" xfId="14353"/>
    <cellStyle name="Обычный 2 2 11 4 7" xfId="14354"/>
    <cellStyle name="Обычный 2 2 11 4 8" xfId="14355"/>
    <cellStyle name="Обычный 2 2 11 4 9" xfId="14356"/>
    <cellStyle name="Обычный 2 2 11 5" xfId="14357"/>
    <cellStyle name="Обычный 2 2 11 6" xfId="14358"/>
    <cellStyle name="Обычный 2 2 11 7" xfId="14359"/>
    <cellStyle name="Обычный 2 2 11 8" xfId="14360"/>
    <cellStyle name="Обычный 2 2 11 9" xfId="14361"/>
    <cellStyle name="Обычный 2 2 12" xfId="3132"/>
    <cellStyle name="Обычный 2 2 12 2" xfId="3133"/>
    <cellStyle name="Обычный 2 2 12 2 2" xfId="14362"/>
    <cellStyle name="Обычный 2 2 12 2 3" xfId="14363"/>
    <cellStyle name="Обычный 2 2 12 2 4" xfId="14364"/>
    <cellStyle name="Обычный 2 2 12 2 5" xfId="14365"/>
    <cellStyle name="Обычный 2 2 12 3" xfId="3134"/>
    <cellStyle name="Обычный 2 2 12 4" xfId="3135"/>
    <cellStyle name="Обычный 2 2 12 5" xfId="3136"/>
    <cellStyle name="Обычный 2 2 12 5 2" xfId="14366"/>
    <cellStyle name="Обычный 2 2 12 5 3" xfId="14367"/>
    <cellStyle name="Обычный 2 2 12 5 4" xfId="14368"/>
    <cellStyle name="Обычный 2 2 12 5 5" xfId="14369"/>
    <cellStyle name="Обычный 2 2 12 6" xfId="14370"/>
    <cellStyle name="Обычный 2 2 12 7" xfId="14371"/>
    <cellStyle name="Обычный 2 2 12 8" xfId="14372"/>
    <cellStyle name="Обычный 2 2 12 9" xfId="14373"/>
    <cellStyle name="Обычный 2 2 13" xfId="3137"/>
    <cellStyle name="Обычный 2 2 13 10" xfId="14374"/>
    <cellStyle name="Обычный 2 2 13 11" xfId="14375"/>
    <cellStyle name="Обычный 2 2 13 12" xfId="14376"/>
    <cellStyle name="Обычный 2 2 13 2" xfId="3138"/>
    <cellStyle name="Обычный 2 2 13 2 10" xfId="14377"/>
    <cellStyle name="Обычный 2 2 13 2 11" xfId="14378"/>
    <cellStyle name="Обычный 2 2 13 2 12" xfId="14379"/>
    <cellStyle name="Обычный 2 2 13 2 2" xfId="3139"/>
    <cellStyle name="Обычный 2 2 13 2 2 2" xfId="14380"/>
    <cellStyle name="Обычный 2 2 13 2 2 3" xfId="14381"/>
    <cellStyle name="Обычный 2 2 13 2 2 4" xfId="14382"/>
    <cellStyle name="Обычный 2 2 13 2 2 5" xfId="14383"/>
    <cellStyle name="Обычный 2 2 13 2 2 6" xfId="14384"/>
    <cellStyle name="Обычный 2 2 13 2 2 7" xfId="14385"/>
    <cellStyle name="Обычный 2 2 13 2 2 8" xfId="14386"/>
    <cellStyle name="Обычный 2 2 13 2 2 9" xfId="14387"/>
    <cellStyle name="Обычный 2 2 13 2 3" xfId="3140"/>
    <cellStyle name="Обычный 2 2 13 2 3 2" xfId="14388"/>
    <cellStyle name="Обычный 2 2 13 2 3 3" xfId="14389"/>
    <cellStyle name="Обычный 2 2 13 2 3 4" xfId="14390"/>
    <cellStyle name="Обычный 2 2 13 2 3 5" xfId="14391"/>
    <cellStyle name="Обычный 2 2 13 2 3 6" xfId="14392"/>
    <cellStyle name="Обычный 2 2 13 2 3 7" xfId="14393"/>
    <cellStyle name="Обычный 2 2 13 2 3 8" xfId="14394"/>
    <cellStyle name="Обычный 2 2 13 2 3 9" xfId="14395"/>
    <cellStyle name="Обычный 2 2 13 2 4" xfId="3141"/>
    <cellStyle name="Обычный 2 2 13 2 4 2" xfId="14396"/>
    <cellStyle name="Обычный 2 2 13 2 4 3" xfId="14397"/>
    <cellStyle name="Обычный 2 2 13 2 4 4" xfId="14398"/>
    <cellStyle name="Обычный 2 2 13 2 4 5" xfId="14399"/>
    <cellStyle name="Обычный 2 2 13 2 4 6" xfId="14400"/>
    <cellStyle name="Обычный 2 2 13 2 4 7" xfId="14401"/>
    <cellStyle name="Обычный 2 2 13 2 4 8" xfId="14402"/>
    <cellStyle name="Обычный 2 2 13 2 4 9" xfId="14403"/>
    <cellStyle name="Обычный 2 2 13 2 5" xfId="14404"/>
    <cellStyle name="Обычный 2 2 13 2 6" xfId="14405"/>
    <cellStyle name="Обычный 2 2 13 2 7" xfId="14406"/>
    <cellStyle name="Обычный 2 2 13 2 8" xfId="14407"/>
    <cellStyle name="Обычный 2 2 13 2 9" xfId="14408"/>
    <cellStyle name="Обычный 2 2 13 3" xfId="3142"/>
    <cellStyle name="Обычный 2 2 13 3 10" xfId="14409"/>
    <cellStyle name="Обычный 2 2 13 3 11" xfId="14410"/>
    <cellStyle name="Обычный 2 2 13 3 2" xfId="3143"/>
    <cellStyle name="Обычный 2 2 13 3 2 2" xfId="14411"/>
    <cellStyle name="Обычный 2 2 13 3 2 3" xfId="14412"/>
    <cellStyle name="Обычный 2 2 13 3 2 4" xfId="14413"/>
    <cellStyle name="Обычный 2 2 13 3 2 5" xfId="14414"/>
    <cellStyle name="Обычный 2 2 13 3 2 6" xfId="14415"/>
    <cellStyle name="Обычный 2 2 13 3 2 7" xfId="14416"/>
    <cellStyle name="Обычный 2 2 13 3 2 8" xfId="14417"/>
    <cellStyle name="Обычный 2 2 13 3 2 9" xfId="14418"/>
    <cellStyle name="Обычный 2 2 13 3 3" xfId="3144"/>
    <cellStyle name="Обычный 2 2 13 3 3 2" xfId="14419"/>
    <cellStyle name="Обычный 2 2 13 3 3 3" xfId="14420"/>
    <cellStyle name="Обычный 2 2 13 3 3 4" xfId="14421"/>
    <cellStyle name="Обычный 2 2 13 3 3 5" xfId="14422"/>
    <cellStyle name="Обычный 2 2 13 3 3 6" xfId="14423"/>
    <cellStyle name="Обычный 2 2 13 3 3 7" xfId="14424"/>
    <cellStyle name="Обычный 2 2 13 3 3 8" xfId="14425"/>
    <cellStyle name="Обычный 2 2 13 3 3 9" xfId="14426"/>
    <cellStyle name="Обычный 2 2 13 3 4" xfId="14427"/>
    <cellStyle name="Обычный 2 2 13 3 5" xfId="14428"/>
    <cellStyle name="Обычный 2 2 13 3 6" xfId="14429"/>
    <cellStyle name="Обычный 2 2 13 3 7" xfId="14430"/>
    <cellStyle name="Обычный 2 2 13 3 8" xfId="14431"/>
    <cellStyle name="Обычный 2 2 13 3 9" xfId="14432"/>
    <cellStyle name="Обычный 2 2 13 4" xfId="3145"/>
    <cellStyle name="Обычный 2 2 13 4 2" xfId="14433"/>
    <cellStyle name="Обычный 2 2 13 4 3" xfId="14434"/>
    <cellStyle name="Обычный 2 2 13 4 4" xfId="14435"/>
    <cellStyle name="Обычный 2 2 13 4 5" xfId="14436"/>
    <cellStyle name="Обычный 2 2 13 4 6" xfId="14437"/>
    <cellStyle name="Обычный 2 2 13 4 7" xfId="14438"/>
    <cellStyle name="Обычный 2 2 13 4 8" xfId="14439"/>
    <cellStyle name="Обычный 2 2 13 4 9" xfId="14440"/>
    <cellStyle name="Обычный 2 2 13 5" xfId="14441"/>
    <cellStyle name="Обычный 2 2 13 6" xfId="14442"/>
    <cellStyle name="Обычный 2 2 13 7" xfId="14443"/>
    <cellStyle name="Обычный 2 2 13 8" xfId="14444"/>
    <cellStyle name="Обычный 2 2 13 9" xfId="14445"/>
    <cellStyle name="Обычный 2 2 14" xfId="3146"/>
    <cellStyle name="Обычный 2 2 14 10" xfId="14446"/>
    <cellStyle name="Обычный 2 2 14 11" xfId="14447"/>
    <cellStyle name="Обычный 2 2 14 12" xfId="14448"/>
    <cellStyle name="Обычный 2 2 14 2" xfId="3147"/>
    <cellStyle name="Обычный 2 2 14 2 10" xfId="14449"/>
    <cellStyle name="Обычный 2 2 14 2 11" xfId="14450"/>
    <cellStyle name="Обычный 2 2 14 2 12" xfId="14451"/>
    <cellStyle name="Обычный 2 2 14 2 2" xfId="3148"/>
    <cellStyle name="Обычный 2 2 14 2 2 2" xfId="14452"/>
    <cellStyle name="Обычный 2 2 14 2 2 3" xfId="14453"/>
    <cellStyle name="Обычный 2 2 14 2 2 4" xfId="14454"/>
    <cellStyle name="Обычный 2 2 14 2 2 5" xfId="14455"/>
    <cellStyle name="Обычный 2 2 14 2 2 6" xfId="14456"/>
    <cellStyle name="Обычный 2 2 14 2 2 7" xfId="14457"/>
    <cellStyle name="Обычный 2 2 14 2 2 8" xfId="14458"/>
    <cellStyle name="Обычный 2 2 14 2 2 9" xfId="14459"/>
    <cellStyle name="Обычный 2 2 14 2 3" xfId="3149"/>
    <cellStyle name="Обычный 2 2 14 2 3 2" xfId="14460"/>
    <cellStyle name="Обычный 2 2 14 2 3 3" xfId="14461"/>
    <cellStyle name="Обычный 2 2 14 2 3 4" xfId="14462"/>
    <cellStyle name="Обычный 2 2 14 2 3 5" xfId="14463"/>
    <cellStyle name="Обычный 2 2 14 2 3 6" xfId="14464"/>
    <cellStyle name="Обычный 2 2 14 2 3 7" xfId="14465"/>
    <cellStyle name="Обычный 2 2 14 2 3 8" xfId="14466"/>
    <cellStyle name="Обычный 2 2 14 2 3 9" xfId="14467"/>
    <cellStyle name="Обычный 2 2 14 2 4" xfId="3150"/>
    <cellStyle name="Обычный 2 2 14 2 4 2" xfId="14468"/>
    <cellStyle name="Обычный 2 2 14 2 4 3" xfId="14469"/>
    <cellStyle name="Обычный 2 2 14 2 4 4" xfId="14470"/>
    <cellStyle name="Обычный 2 2 14 2 4 5" xfId="14471"/>
    <cellStyle name="Обычный 2 2 14 2 4 6" xfId="14472"/>
    <cellStyle name="Обычный 2 2 14 2 4 7" xfId="14473"/>
    <cellStyle name="Обычный 2 2 14 2 4 8" xfId="14474"/>
    <cellStyle name="Обычный 2 2 14 2 4 9" xfId="14475"/>
    <cellStyle name="Обычный 2 2 14 2 5" xfId="14476"/>
    <cellStyle name="Обычный 2 2 14 2 6" xfId="14477"/>
    <cellStyle name="Обычный 2 2 14 2 7" xfId="14478"/>
    <cellStyle name="Обычный 2 2 14 2 8" xfId="14479"/>
    <cellStyle name="Обычный 2 2 14 2 9" xfId="14480"/>
    <cellStyle name="Обычный 2 2 14 3" xfId="3151"/>
    <cellStyle name="Обычный 2 2 14 3 10" xfId="14481"/>
    <cellStyle name="Обычный 2 2 14 3 11" xfId="14482"/>
    <cellStyle name="Обычный 2 2 14 3 2" xfId="3152"/>
    <cellStyle name="Обычный 2 2 14 3 2 2" xfId="14483"/>
    <cellStyle name="Обычный 2 2 14 3 2 3" xfId="14484"/>
    <cellStyle name="Обычный 2 2 14 3 2 4" xfId="14485"/>
    <cellStyle name="Обычный 2 2 14 3 2 5" xfId="14486"/>
    <cellStyle name="Обычный 2 2 14 3 2 6" xfId="14487"/>
    <cellStyle name="Обычный 2 2 14 3 2 7" xfId="14488"/>
    <cellStyle name="Обычный 2 2 14 3 2 8" xfId="14489"/>
    <cellStyle name="Обычный 2 2 14 3 2 9" xfId="14490"/>
    <cellStyle name="Обычный 2 2 14 3 3" xfId="3153"/>
    <cellStyle name="Обычный 2 2 14 3 3 2" xfId="14491"/>
    <cellStyle name="Обычный 2 2 14 3 3 3" xfId="14492"/>
    <cellStyle name="Обычный 2 2 14 3 3 4" xfId="14493"/>
    <cellStyle name="Обычный 2 2 14 3 3 5" xfId="14494"/>
    <cellStyle name="Обычный 2 2 14 3 3 6" xfId="14495"/>
    <cellStyle name="Обычный 2 2 14 3 3 7" xfId="14496"/>
    <cellStyle name="Обычный 2 2 14 3 3 8" xfId="14497"/>
    <cellStyle name="Обычный 2 2 14 3 3 9" xfId="14498"/>
    <cellStyle name="Обычный 2 2 14 3 4" xfId="14499"/>
    <cellStyle name="Обычный 2 2 14 3 5" xfId="14500"/>
    <cellStyle name="Обычный 2 2 14 3 6" xfId="14501"/>
    <cellStyle name="Обычный 2 2 14 3 7" xfId="14502"/>
    <cellStyle name="Обычный 2 2 14 3 8" xfId="14503"/>
    <cellStyle name="Обычный 2 2 14 3 9" xfId="14504"/>
    <cellStyle name="Обычный 2 2 14 4" xfId="3154"/>
    <cellStyle name="Обычный 2 2 14 4 2" xfId="14505"/>
    <cellStyle name="Обычный 2 2 14 4 3" xfId="14506"/>
    <cellStyle name="Обычный 2 2 14 4 4" xfId="14507"/>
    <cellStyle name="Обычный 2 2 14 4 5" xfId="14508"/>
    <cellStyle name="Обычный 2 2 14 4 6" xfId="14509"/>
    <cellStyle name="Обычный 2 2 14 4 7" xfId="14510"/>
    <cellStyle name="Обычный 2 2 14 4 8" xfId="14511"/>
    <cellStyle name="Обычный 2 2 14 4 9" xfId="14512"/>
    <cellStyle name="Обычный 2 2 14 5" xfId="14513"/>
    <cellStyle name="Обычный 2 2 14 6" xfId="14514"/>
    <cellStyle name="Обычный 2 2 14 7" xfId="14515"/>
    <cellStyle name="Обычный 2 2 14 8" xfId="14516"/>
    <cellStyle name="Обычный 2 2 14 9" xfId="14517"/>
    <cellStyle name="Обычный 2 2 15" xfId="3155"/>
    <cellStyle name="Обычный 2 2 15 10" xfId="14518"/>
    <cellStyle name="Обычный 2 2 15 11" xfId="14519"/>
    <cellStyle name="Обычный 2 2 15 12" xfId="14520"/>
    <cellStyle name="Обычный 2 2 15 2" xfId="3156"/>
    <cellStyle name="Обычный 2 2 15 2 10" xfId="14521"/>
    <cellStyle name="Обычный 2 2 15 2 11" xfId="14522"/>
    <cellStyle name="Обычный 2 2 15 2 12" xfId="14523"/>
    <cellStyle name="Обычный 2 2 15 2 2" xfId="3157"/>
    <cellStyle name="Обычный 2 2 15 2 2 2" xfId="14524"/>
    <cellStyle name="Обычный 2 2 15 2 2 3" xfId="14525"/>
    <cellStyle name="Обычный 2 2 15 2 2 4" xfId="14526"/>
    <cellStyle name="Обычный 2 2 15 2 2 5" xfId="14527"/>
    <cellStyle name="Обычный 2 2 15 2 2 6" xfId="14528"/>
    <cellStyle name="Обычный 2 2 15 2 2 7" xfId="14529"/>
    <cellStyle name="Обычный 2 2 15 2 2 8" xfId="14530"/>
    <cellStyle name="Обычный 2 2 15 2 2 9" xfId="14531"/>
    <cellStyle name="Обычный 2 2 15 2 3" xfId="3158"/>
    <cellStyle name="Обычный 2 2 15 2 3 2" xfId="14532"/>
    <cellStyle name="Обычный 2 2 15 2 3 3" xfId="14533"/>
    <cellStyle name="Обычный 2 2 15 2 3 4" xfId="14534"/>
    <cellStyle name="Обычный 2 2 15 2 3 5" xfId="14535"/>
    <cellStyle name="Обычный 2 2 15 2 3 6" xfId="14536"/>
    <cellStyle name="Обычный 2 2 15 2 3 7" xfId="14537"/>
    <cellStyle name="Обычный 2 2 15 2 3 8" xfId="14538"/>
    <cellStyle name="Обычный 2 2 15 2 3 9" xfId="14539"/>
    <cellStyle name="Обычный 2 2 15 2 4" xfId="3159"/>
    <cellStyle name="Обычный 2 2 15 2 4 2" xfId="14540"/>
    <cellStyle name="Обычный 2 2 15 2 4 3" xfId="14541"/>
    <cellStyle name="Обычный 2 2 15 2 4 4" xfId="14542"/>
    <cellStyle name="Обычный 2 2 15 2 4 5" xfId="14543"/>
    <cellStyle name="Обычный 2 2 15 2 4 6" xfId="14544"/>
    <cellStyle name="Обычный 2 2 15 2 4 7" xfId="14545"/>
    <cellStyle name="Обычный 2 2 15 2 4 8" xfId="14546"/>
    <cellStyle name="Обычный 2 2 15 2 4 9" xfId="14547"/>
    <cellStyle name="Обычный 2 2 15 2 5" xfId="14548"/>
    <cellStyle name="Обычный 2 2 15 2 6" xfId="14549"/>
    <cellStyle name="Обычный 2 2 15 2 7" xfId="14550"/>
    <cellStyle name="Обычный 2 2 15 2 8" xfId="14551"/>
    <cellStyle name="Обычный 2 2 15 2 9" xfId="14552"/>
    <cellStyle name="Обычный 2 2 15 3" xfId="3160"/>
    <cellStyle name="Обычный 2 2 15 3 10" xfId="14553"/>
    <cellStyle name="Обычный 2 2 15 3 11" xfId="14554"/>
    <cellStyle name="Обычный 2 2 15 3 2" xfId="3161"/>
    <cellStyle name="Обычный 2 2 15 3 2 2" xfId="14555"/>
    <cellStyle name="Обычный 2 2 15 3 2 3" xfId="14556"/>
    <cellStyle name="Обычный 2 2 15 3 2 4" xfId="14557"/>
    <cellStyle name="Обычный 2 2 15 3 2 5" xfId="14558"/>
    <cellStyle name="Обычный 2 2 15 3 2 6" xfId="14559"/>
    <cellStyle name="Обычный 2 2 15 3 2 7" xfId="14560"/>
    <cellStyle name="Обычный 2 2 15 3 2 8" xfId="14561"/>
    <cellStyle name="Обычный 2 2 15 3 2 9" xfId="14562"/>
    <cellStyle name="Обычный 2 2 15 3 3" xfId="3162"/>
    <cellStyle name="Обычный 2 2 15 3 3 2" xfId="14563"/>
    <cellStyle name="Обычный 2 2 15 3 3 3" xfId="14564"/>
    <cellStyle name="Обычный 2 2 15 3 3 4" xfId="14565"/>
    <cellStyle name="Обычный 2 2 15 3 3 5" xfId="14566"/>
    <cellStyle name="Обычный 2 2 15 3 3 6" xfId="14567"/>
    <cellStyle name="Обычный 2 2 15 3 3 7" xfId="14568"/>
    <cellStyle name="Обычный 2 2 15 3 3 8" xfId="14569"/>
    <cellStyle name="Обычный 2 2 15 3 3 9" xfId="14570"/>
    <cellStyle name="Обычный 2 2 15 3 4" xfId="14571"/>
    <cellStyle name="Обычный 2 2 15 3 5" xfId="14572"/>
    <cellStyle name="Обычный 2 2 15 3 6" xfId="14573"/>
    <cellStyle name="Обычный 2 2 15 3 7" xfId="14574"/>
    <cellStyle name="Обычный 2 2 15 3 8" xfId="14575"/>
    <cellStyle name="Обычный 2 2 15 3 9" xfId="14576"/>
    <cellStyle name="Обычный 2 2 15 4" xfId="3163"/>
    <cellStyle name="Обычный 2 2 15 4 2" xfId="14577"/>
    <cellStyle name="Обычный 2 2 15 4 3" xfId="14578"/>
    <cellStyle name="Обычный 2 2 15 4 4" xfId="14579"/>
    <cellStyle name="Обычный 2 2 15 4 5" xfId="14580"/>
    <cellStyle name="Обычный 2 2 15 4 6" xfId="14581"/>
    <cellStyle name="Обычный 2 2 15 4 7" xfId="14582"/>
    <cellStyle name="Обычный 2 2 15 4 8" xfId="14583"/>
    <cellStyle name="Обычный 2 2 15 4 9" xfId="14584"/>
    <cellStyle name="Обычный 2 2 15 5" xfId="14585"/>
    <cellStyle name="Обычный 2 2 15 6" xfId="14586"/>
    <cellStyle name="Обычный 2 2 15 7" xfId="14587"/>
    <cellStyle name="Обычный 2 2 15 8" xfId="14588"/>
    <cellStyle name="Обычный 2 2 15 9" xfId="14589"/>
    <cellStyle name="Обычный 2 2 16" xfId="3164"/>
    <cellStyle name="Обычный 2 2 16 10" xfId="14590"/>
    <cellStyle name="Обычный 2 2 16 11" xfId="14591"/>
    <cellStyle name="Обычный 2 2 16 12" xfId="14592"/>
    <cellStyle name="Обычный 2 2 16 2" xfId="3165"/>
    <cellStyle name="Обычный 2 2 16 2 10" xfId="14593"/>
    <cellStyle name="Обычный 2 2 16 2 11" xfId="14594"/>
    <cellStyle name="Обычный 2 2 16 2 12" xfId="14595"/>
    <cellStyle name="Обычный 2 2 16 2 2" xfId="3166"/>
    <cellStyle name="Обычный 2 2 16 2 2 2" xfId="14596"/>
    <cellStyle name="Обычный 2 2 16 2 2 3" xfId="14597"/>
    <cellStyle name="Обычный 2 2 16 2 2 4" xfId="14598"/>
    <cellStyle name="Обычный 2 2 16 2 2 5" xfId="14599"/>
    <cellStyle name="Обычный 2 2 16 2 2 6" xfId="14600"/>
    <cellStyle name="Обычный 2 2 16 2 2 7" xfId="14601"/>
    <cellStyle name="Обычный 2 2 16 2 2 8" xfId="14602"/>
    <cellStyle name="Обычный 2 2 16 2 2 9" xfId="14603"/>
    <cellStyle name="Обычный 2 2 16 2 3" xfId="3167"/>
    <cellStyle name="Обычный 2 2 16 2 3 2" xfId="14604"/>
    <cellStyle name="Обычный 2 2 16 2 3 3" xfId="14605"/>
    <cellStyle name="Обычный 2 2 16 2 3 4" xfId="14606"/>
    <cellStyle name="Обычный 2 2 16 2 3 5" xfId="14607"/>
    <cellStyle name="Обычный 2 2 16 2 3 6" xfId="14608"/>
    <cellStyle name="Обычный 2 2 16 2 3 7" xfId="14609"/>
    <cellStyle name="Обычный 2 2 16 2 3 8" xfId="14610"/>
    <cellStyle name="Обычный 2 2 16 2 3 9" xfId="14611"/>
    <cellStyle name="Обычный 2 2 16 2 4" xfId="3168"/>
    <cellStyle name="Обычный 2 2 16 2 4 2" xfId="14612"/>
    <cellStyle name="Обычный 2 2 16 2 4 3" xfId="14613"/>
    <cellStyle name="Обычный 2 2 16 2 4 4" xfId="14614"/>
    <cellStyle name="Обычный 2 2 16 2 4 5" xfId="14615"/>
    <cellStyle name="Обычный 2 2 16 2 4 6" xfId="14616"/>
    <cellStyle name="Обычный 2 2 16 2 4 7" xfId="14617"/>
    <cellStyle name="Обычный 2 2 16 2 4 8" xfId="14618"/>
    <cellStyle name="Обычный 2 2 16 2 4 9" xfId="14619"/>
    <cellStyle name="Обычный 2 2 16 2 5" xfId="14620"/>
    <cellStyle name="Обычный 2 2 16 2 6" xfId="14621"/>
    <cellStyle name="Обычный 2 2 16 2 7" xfId="14622"/>
    <cellStyle name="Обычный 2 2 16 2 8" xfId="14623"/>
    <cellStyle name="Обычный 2 2 16 2 9" xfId="14624"/>
    <cellStyle name="Обычный 2 2 16 3" xfId="3169"/>
    <cellStyle name="Обычный 2 2 16 3 10" xfId="14625"/>
    <cellStyle name="Обычный 2 2 16 3 11" xfId="14626"/>
    <cellStyle name="Обычный 2 2 16 3 2" xfId="3170"/>
    <cellStyle name="Обычный 2 2 16 3 2 2" xfId="14627"/>
    <cellStyle name="Обычный 2 2 16 3 2 3" xfId="14628"/>
    <cellStyle name="Обычный 2 2 16 3 2 4" xfId="14629"/>
    <cellStyle name="Обычный 2 2 16 3 2 5" xfId="14630"/>
    <cellStyle name="Обычный 2 2 16 3 2 6" xfId="14631"/>
    <cellStyle name="Обычный 2 2 16 3 2 7" xfId="14632"/>
    <cellStyle name="Обычный 2 2 16 3 2 8" xfId="14633"/>
    <cellStyle name="Обычный 2 2 16 3 2 9" xfId="14634"/>
    <cellStyle name="Обычный 2 2 16 3 3" xfId="3171"/>
    <cellStyle name="Обычный 2 2 16 3 3 2" xfId="14635"/>
    <cellStyle name="Обычный 2 2 16 3 3 3" xfId="14636"/>
    <cellStyle name="Обычный 2 2 16 3 3 4" xfId="14637"/>
    <cellStyle name="Обычный 2 2 16 3 3 5" xfId="14638"/>
    <cellStyle name="Обычный 2 2 16 3 3 6" xfId="14639"/>
    <cellStyle name="Обычный 2 2 16 3 3 7" xfId="14640"/>
    <cellStyle name="Обычный 2 2 16 3 3 8" xfId="14641"/>
    <cellStyle name="Обычный 2 2 16 3 3 9" xfId="14642"/>
    <cellStyle name="Обычный 2 2 16 3 4" xfId="14643"/>
    <cellStyle name="Обычный 2 2 16 3 5" xfId="14644"/>
    <cellStyle name="Обычный 2 2 16 3 6" xfId="14645"/>
    <cellStyle name="Обычный 2 2 16 3 7" xfId="14646"/>
    <cellStyle name="Обычный 2 2 16 3 8" xfId="14647"/>
    <cellStyle name="Обычный 2 2 16 3 9" xfId="14648"/>
    <cellStyle name="Обычный 2 2 16 4" xfId="3172"/>
    <cellStyle name="Обычный 2 2 16 4 2" xfId="14649"/>
    <cellStyle name="Обычный 2 2 16 4 3" xfId="14650"/>
    <cellStyle name="Обычный 2 2 16 4 4" xfId="14651"/>
    <cellStyle name="Обычный 2 2 16 4 5" xfId="14652"/>
    <cellStyle name="Обычный 2 2 16 4 6" xfId="14653"/>
    <cellStyle name="Обычный 2 2 16 4 7" xfId="14654"/>
    <cellStyle name="Обычный 2 2 16 4 8" xfId="14655"/>
    <cellStyle name="Обычный 2 2 16 4 9" xfId="14656"/>
    <cellStyle name="Обычный 2 2 16 5" xfId="14657"/>
    <cellStyle name="Обычный 2 2 16 6" xfId="14658"/>
    <cellStyle name="Обычный 2 2 16 7" xfId="14659"/>
    <cellStyle name="Обычный 2 2 16 8" xfId="14660"/>
    <cellStyle name="Обычный 2 2 16 9" xfId="14661"/>
    <cellStyle name="Обычный 2 2 17" xfId="3173"/>
    <cellStyle name="Обычный 2 2 17 2" xfId="3174"/>
    <cellStyle name="Обычный 2 2 17 2 2" xfId="3175"/>
    <cellStyle name="Обычный 2 2 17 2 3" xfId="3176"/>
    <cellStyle name="Обычный 2 2 17 3" xfId="3177"/>
    <cellStyle name="Обычный 2 2 17 4" xfId="3178"/>
    <cellStyle name="Обычный 2 2 18" xfId="3179"/>
    <cellStyle name="Обычный 2 2 18 2" xfId="3180"/>
    <cellStyle name="Обычный 2 2 18 2 2" xfId="3181"/>
    <cellStyle name="Обычный 2 2 18 2 3" xfId="3182"/>
    <cellStyle name="Обычный 2 2 18 3" xfId="3183"/>
    <cellStyle name="Обычный 2 2 18 4" xfId="3184"/>
    <cellStyle name="Обычный 2 2 19" xfId="3185"/>
    <cellStyle name="Обычный 2 2 19 2" xfId="3186"/>
    <cellStyle name="Обычный 2 2 19 2 2" xfId="3187"/>
    <cellStyle name="Обычный 2 2 19 2 3" xfId="3188"/>
    <cellStyle name="Обычный 2 2 19 3" xfId="3189"/>
    <cellStyle name="Обычный 2 2 19 4" xfId="3190"/>
    <cellStyle name="Обычный 2 2 2" xfId="3191"/>
    <cellStyle name="Обычный 2 2 2 10" xfId="3192"/>
    <cellStyle name="Обычный 2 2 2 10 2" xfId="3193"/>
    <cellStyle name="Обычный 2 2 2 10 2 2" xfId="3194"/>
    <cellStyle name="Обычный 2 2 2 10 2 3" xfId="3195"/>
    <cellStyle name="Обычный 2 2 2 10 3" xfId="3196"/>
    <cellStyle name="Обычный 2 2 2 10 4" xfId="3197"/>
    <cellStyle name="Обычный 2 2 2 11" xfId="3198"/>
    <cellStyle name="Обычный 2 2 2 11 10" xfId="14662"/>
    <cellStyle name="Обычный 2 2 2 11 11" xfId="14663"/>
    <cellStyle name="Обычный 2 2 2 11 12" xfId="14664"/>
    <cellStyle name="Обычный 2 2 2 11 13" xfId="14665"/>
    <cellStyle name="Обычный 2 2 2 11 2" xfId="3199"/>
    <cellStyle name="Обычный 2 2 2 11 2 2" xfId="14666"/>
    <cellStyle name="Обычный 2 2 2 11 2 3" xfId="14667"/>
    <cellStyle name="Обычный 2 2 2 11 2 4" xfId="14668"/>
    <cellStyle name="Обычный 2 2 2 11 2 5" xfId="14669"/>
    <cellStyle name="Обычный 2 2 2 11 2 6" xfId="14670"/>
    <cellStyle name="Обычный 2 2 2 11 2 7" xfId="14671"/>
    <cellStyle name="Обычный 2 2 2 11 2 8" xfId="14672"/>
    <cellStyle name="Обычный 2 2 2 11 2 9" xfId="14673"/>
    <cellStyle name="Обычный 2 2 2 11 3" xfId="3200"/>
    <cellStyle name="Обычный 2 2 2 11 3 10" xfId="14674"/>
    <cellStyle name="Обычный 2 2 2 11 3 11" xfId="14675"/>
    <cellStyle name="Обычный 2 2 2 11 3 2" xfId="3201"/>
    <cellStyle name="Обычный 2 2 2 11 3 2 2" xfId="14676"/>
    <cellStyle name="Обычный 2 2 2 11 3 2 3" xfId="14677"/>
    <cellStyle name="Обычный 2 2 2 11 3 2 4" xfId="14678"/>
    <cellStyle name="Обычный 2 2 2 11 3 2 5" xfId="14679"/>
    <cellStyle name="Обычный 2 2 2 11 3 2 6" xfId="14680"/>
    <cellStyle name="Обычный 2 2 2 11 3 2 7" xfId="14681"/>
    <cellStyle name="Обычный 2 2 2 11 3 2 8" xfId="14682"/>
    <cellStyle name="Обычный 2 2 2 11 3 2 9" xfId="14683"/>
    <cellStyle name="Обычный 2 2 2 11 3 3" xfId="3202"/>
    <cellStyle name="Обычный 2 2 2 11 3 3 2" xfId="14684"/>
    <cellStyle name="Обычный 2 2 2 11 3 3 3" xfId="14685"/>
    <cellStyle name="Обычный 2 2 2 11 3 3 4" xfId="14686"/>
    <cellStyle name="Обычный 2 2 2 11 3 3 5" xfId="14687"/>
    <cellStyle name="Обычный 2 2 2 11 3 3 6" xfId="14688"/>
    <cellStyle name="Обычный 2 2 2 11 3 3 7" xfId="14689"/>
    <cellStyle name="Обычный 2 2 2 11 3 3 8" xfId="14690"/>
    <cellStyle name="Обычный 2 2 2 11 3 3 9" xfId="14691"/>
    <cellStyle name="Обычный 2 2 2 11 3 4" xfId="14692"/>
    <cellStyle name="Обычный 2 2 2 11 3 5" xfId="14693"/>
    <cellStyle name="Обычный 2 2 2 11 3 6" xfId="14694"/>
    <cellStyle name="Обычный 2 2 2 11 3 7" xfId="14695"/>
    <cellStyle name="Обычный 2 2 2 11 3 8" xfId="14696"/>
    <cellStyle name="Обычный 2 2 2 11 3 9" xfId="14697"/>
    <cellStyle name="Обычный 2 2 2 11 4" xfId="3203"/>
    <cellStyle name="Обычный 2 2 2 11 4 10" xfId="14698"/>
    <cellStyle name="Обычный 2 2 2 11 4 11" xfId="14699"/>
    <cellStyle name="Обычный 2 2 2 11 4 2" xfId="3204"/>
    <cellStyle name="Обычный 2 2 2 11 4 2 2" xfId="14700"/>
    <cellStyle name="Обычный 2 2 2 11 4 2 3" xfId="14701"/>
    <cellStyle name="Обычный 2 2 2 11 4 2 4" xfId="14702"/>
    <cellStyle name="Обычный 2 2 2 11 4 2 5" xfId="14703"/>
    <cellStyle name="Обычный 2 2 2 11 4 2 6" xfId="14704"/>
    <cellStyle name="Обычный 2 2 2 11 4 2 7" xfId="14705"/>
    <cellStyle name="Обычный 2 2 2 11 4 2 8" xfId="14706"/>
    <cellStyle name="Обычный 2 2 2 11 4 2 9" xfId="14707"/>
    <cellStyle name="Обычный 2 2 2 11 4 3" xfId="3205"/>
    <cellStyle name="Обычный 2 2 2 11 4 3 2" xfId="14708"/>
    <cellStyle name="Обычный 2 2 2 11 4 3 3" xfId="14709"/>
    <cellStyle name="Обычный 2 2 2 11 4 3 4" xfId="14710"/>
    <cellStyle name="Обычный 2 2 2 11 4 3 5" xfId="14711"/>
    <cellStyle name="Обычный 2 2 2 11 4 3 6" xfId="14712"/>
    <cellStyle name="Обычный 2 2 2 11 4 3 7" xfId="14713"/>
    <cellStyle name="Обычный 2 2 2 11 4 3 8" xfId="14714"/>
    <cellStyle name="Обычный 2 2 2 11 4 3 9" xfId="14715"/>
    <cellStyle name="Обычный 2 2 2 11 4 4" xfId="14716"/>
    <cellStyle name="Обычный 2 2 2 11 4 5" xfId="14717"/>
    <cellStyle name="Обычный 2 2 2 11 4 6" xfId="14718"/>
    <cellStyle name="Обычный 2 2 2 11 4 7" xfId="14719"/>
    <cellStyle name="Обычный 2 2 2 11 4 8" xfId="14720"/>
    <cellStyle name="Обычный 2 2 2 11 4 9" xfId="14721"/>
    <cellStyle name="Обычный 2 2 2 11 5" xfId="3206"/>
    <cellStyle name="Обычный 2 2 2 11 5 2" xfId="14722"/>
    <cellStyle name="Обычный 2 2 2 11 5 3" xfId="14723"/>
    <cellStyle name="Обычный 2 2 2 11 5 4" xfId="14724"/>
    <cellStyle name="Обычный 2 2 2 11 5 5" xfId="14725"/>
    <cellStyle name="Обычный 2 2 2 11 5 6" xfId="14726"/>
    <cellStyle name="Обычный 2 2 2 11 5 7" xfId="14727"/>
    <cellStyle name="Обычный 2 2 2 11 5 8" xfId="14728"/>
    <cellStyle name="Обычный 2 2 2 11 5 9" xfId="14729"/>
    <cellStyle name="Обычный 2 2 2 11 6" xfId="14730"/>
    <cellStyle name="Обычный 2 2 2 11 7" xfId="14731"/>
    <cellStyle name="Обычный 2 2 2 11 8" xfId="14732"/>
    <cellStyle name="Обычный 2 2 2 11 9" xfId="14733"/>
    <cellStyle name="Обычный 2 2 2 12" xfId="3207"/>
    <cellStyle name="Обычный 2 2 2 12 10" xfId="14734"/>
    <cellStyle name="Обычный 2 2 2 12 11" xfId="14735"/>
    <cellStyle name="Обычный 2 2 2 12 12" xfId="14736"/>
    <cellStyle name="Обычный 2 2 2 12 2" xfId="3208"/>
    <cellStyle name="Обычный 2 2 2 12 2 10" xfId="14737"/>
    <cellStyle name="Обычный 2 2 2 12 2 11" xfId="14738"/>
    <cellStyle name="Обычный 2 2 2 12 2 12" xfId="14739"/>
    <cellStyle name="Обычный 2 2 2 12 2 2" xfId="3209"/>
    <cellStyle name="Обычный 2 2 2 12 2 2 2" xfId="14740"/>
    <cellStyle name="Обычный 2 2 2 12 2 2 3" xfId="14741"/>
    <cellStyle name="Обычный 2 2 2 12 2 2 4" xfId="14742"/>
    <cellStyle name="Обычный 2 2 2 12 2 2 5" xfId="14743"/>
    <cellStyle name="Обычный 2 2 2 12 2 2 6" xfId="14744"/>
    <cellStyle name="Обычный 2 2 2 12 2 2 7" xfId="14745"/>
    <cellStyle name="Обычный 2 2 2 12 2 2 8" xfId="14746"/>
    <cellStyle name="Обычный 2 2 2 12 2 2 9" xfId="14747"/>
    <cellStyle name="Обычный 2 2 2 12 2 3" xfId="3210"/>
    <cellStyle name="Обычный 2 2 2 12 2 3 2" xfId="14748"/>
    <cellStyle name="Обычный 2 2 2 12 2 3 3" xfId="14749"/>
    <cellStyle name="Обычный 2 2 2 12 2 3 4" xfId="14750"/>
    <cellStyle name="Обычный 2 2 2 12 2 3 5" xfId="14751"/>
    <cellStyle name="Обычный 2 2 2 12 2 3 6" xfId="14752"/>
    <cellStyle name="Обычный 2 2 2 12 2 3 7" xfId="14753"/>
    <cellStyle name="Обычный 2 2 2 12 2 3 8" xfId="14754"/>
    <cellStyle name="Обычный 2 2 2 12 2 3 9" xfId="14755"/>
    <cellStyle name="Обычный 2 2 2 12 2 4" xfId="3211"/>
    <cellStyle name="Обычный 2 2 2 12 2 4 2" xfId="14756"/>
    <cellStyle name="Обычный 2 2 2 12 2 4 3" xfId="14757"/>
    <cellStyle name="Обычный 2 2 2 12 2 4 4" xfId="14758"/>
    <cellStyle name="Обычный 2 2 2 12 2 4 5" xfId="14759"/>
    <cellStyle name="Обычный 2 2 2 12 2 4 6" xfId="14760"/>
    <cellStyle name="Обычный 2 2 2 12 2 4 7" xfId="14761"/>
    <cellStyle name="Обычный 2 2 2 12 2 4 8" xfId="14762"/>
    <cellStyle name="Обычный 2 2 2 12 2 4 9" xfId="14763"/>
    <cellStyle name="Обычный 2 2 2 12 2 5" xfId="14764"/>
    <cellStyle name="Обычный 2 2 2 12 2 6" xfId="14765"/>
    <cellStyle name="Обычный 2 2 2 12 2 7" xfId="14766"/>
    <cellStyle name="Обычный 2 2 2 12 2 8" xfId="14767"/>
    <cellStyle name="Обычный 2 2 2 12 2 9" xfId="14768"/>
    <cellStyle name="Обычный 2 2 2 12 3" xfId="3212"/>
    <cellStyle name="Обычный 2 2 2 12 3 10" xfId="14769"/>
    <cellStyle name="Обычный 2 2 2 12 3 11" xfId="14770"/>
    <cellStyle name="Обычный 2 2 2 12 3 2" xfId="3213"/>
    <cellStyle name="Обычный 2 2 2 12 3 2 2" xfId="14771"/>
    <cellStyle name="Обычный 2 2 2 12 3 2 3" xfId="14772"/>
    <cellStyle name="Обычный 2 2 2 12 3 2 4" xfId="14773"/>
    <cellStyle name="Обычный 2 2 2 12 3 2 5" xfId="14774"/>
    <cellStyle name="Обычный 2 2 2 12 3 2 6" xfId="14775"/>
    <cellStyle name="Обычный 2 2 2 12 3 2 7" xfId="14776"/>
    <cellStyle name="Обычный 2 2 2 12 3 2 8" xfId="14777"/>
    <cellStyle name="Обычный 2 2 2 12 3 2 9" xfId="14778"/>
    <cellStyle name="Обычный 2 2 2 12 3 3" xfId="3214"/>
    <cellStyle name="Обычный 2 2 2 12 3 3 2" xfId="14779"/>
    <cellStyle name="Обычный 2 2 2 12 3 3 3" xfId="14780"/>
    <cellStyle name="Обычный 2 2 2 12 3 3 4" xfId="14781"/>
    <cellStyle name="Обычный 2 2 2 12 3 3 5" xfId="14782"/>
    <cellStyle name="Обычный 2 2 2 12 3 3 6" xfId="14783"/>
    <cellStyle name="Обычный 2 2 2 12 3 3 7" xfId="14784"/>
    <cellStyle name="Обычный 2 2 2 12 3 3 8" xfId="14785"/>
    <cellStyle name="Обычный 2 2 2 12 3 3 9" xfId="14786"/>
    <cellStyle name="Обычный 2 2 2 12 3 4" xfId="14787"/>
    <cellStyle name="Обычный 2 2 2 12 3 5" xfId="14788"/>
    <cellStyle name="Обычный 2 2 2 12 3 6" xfId="14789"/>
    <cellStyle name="Обычный 2 2 2 12 3 7" xfId="14790"/>
    <cellStyle name="Обычный 2 2 2 12 3 8" xfId="14791"/>
    <cellStyle name="Обычный 2 2 2 12 3 9" xfId="14792"/>
    <cellStyle name="Обычный 2 2 2 12 4" xfId="3215"/>
    <cellStyle name="Обычный 2 2 2 12 4 2" xfId="14793"/>
    <cellStyle name="Обычный 2 2 2 12 4 3" xfId="14794"/>
    <cellStyle name="Обычный 2 2 2 12 4 4" xfId="14795"/>
    <cellStyle name="Обычный 2 2 2 12 4 5" xfId="14796"/>
    <cellStyle name="Обычный 2 2 2 12 4 6" xfId="14797"/>
    <cellStyle name="Обычный 2 2 2 12 4 7" xfId="14798"/>
    <cellStyle name="Обычный 2 2 2 12 4 8" xfId="14799"/>
    <cellStyle name="Обычный 2 2 2 12 4 9" xfId="14800"/>
    <cellStyle name="Обычный 2 2 2 12 5" xfId="14801"/>
    <cellStyle name="Обычный 2 2 2 12 6" xfId="14802"/>
    <cellStyle name="Обычный 2 2 2 12 7" xfId="14803"/>
    <cellStyle name="Обычный 2 2 2 12 8" xfId="14804"/>
    <cellStyle name="Обычный 2 2 2 12 9" xfId="14805"/>
    <cellStyle name="Обычный 2 2 2 13" xfId="3216"/>
    <cellStyle name="Обычный 2 2 2 13 10" xfId="14806"/>
    <cellStyle name="Обычный 2 2 2 13 11" xfId="14807"/>
    <cellStyle name="Обычный 2 2 2 13 12" xfId="14808"/>
    <cellStyle name="Обычный 2 2 2 13 2" xfId="3217"/>
    <cellStyle name="Обычный 2 2 2 13 2 10" xfId="14809"/>
    <cellStyle name="Обычный 2 2 2 13 2 11" xfId="14810"/>
    <cellStyle name="Обычный 2 2 2 13 2 12" xfId="14811"/>
    <cellStyle name="Обычный 2 2 2 13 2 2" xfId="3218"/>
    <cellStyle name="Обычный 2 2 2 13 2 2 2" xfId="14812"/>
    <cellStyle name="Обычный 2 2 2 13 2 2 3" xfId="14813"/>
    <cellStyle name="Обычный 2 2 2 13 2 2 4" xfId="14814"/>
    <cellStyle name="Обычный 2 2 2 13 2 2 5" xfId="14815"/>
    <cellStyle name="Обычный 2 2 2 13 2 2 6" xfId="14816"/>
    <cellStyle name="Обычный 2 2 2 13 2 2 7" xfId="14817"/>
    <cellStyle name="Обычный 2 2 2 13 2 2 8" xfId="14818"/>
    <cellStyle name="Обычный 2 2 2 13 2 2 9" xfId="14819"/>
    <cellStyle name="Обычный 2 2 2 13 2 3" xfId="3219"/>
    <cellStyle name="Обычный 2 2 2 13 2 3 2" xfId="14820"/>
    <cellStyle name="Обычный 2 2 2 13 2 3 3" xfId="14821"/>
    <cellStyle name="Обычный 2 2 2 13 2 3 4" xfId="14822"/>
    <cellStyle name="Обычный 2 2 2 13 2 3 5" xfId="14823"/>
    <cellStyle name="Обычный 2 2 2 13 2 3 6" xfId="14824"/>
    <cellStyle name="Обычный 2 2 2 13 2 3 7" xfId="14825"/>
    <cellStyle name="Обычный 2 2 2 13 2 3 8" xfId="14826"/>
    <cellStyle name="Обычный 2 2 2 13 2 3 9" xfId="14827"/>
    <cellStyle name="Обычный 2 2 2 13 2 4" xfId="3220"/>
    <cellStyle name="Обычный 2 2 2 13 2 4 2" xfId="14828"/>
    <cellStyle name="Обычный 2 2 2 13 2 4 3" xfId="14829"/>
    <cellStyle name="Обычный 2 2 2 13 2 4 4" xfId="14830"/>
    <cellStyle name="Обычный 2 2 2 13 2 4 5" xfId="14831"/>
    <cellStyle name="Обычный 2 2 2 13 2 4 6" xfId="14832"/>
    <cellStyle name="Обычный 2 2 2 13 2 4 7" xfId="14833"/>
    <cellStyle name="Обычный 2 2 2 13 2 4 8" xfId="14834"/>
    <cellStyle name="Обычный 2 2 2 13 2 4 9" xfId="14835"/>
    <cellStyle name="Обычный 2 2 2 13 2 5" xfId="14836"/>
    <cellStyle name="Обычный 2 2 2 13 2 6" xfId="14837"/>
    <cellStyle name="Обычный 2 2 2 13 2 7" xfId="14838"/>
    <cellStyle name="Обычный 2 2 2 13 2 8" xfId="14839"/>
    <cellStyle name="Обычный 2 2 2 13 2 9" xfId="14840"/>
    <cellStyle name="Обычный 2 2 2 13 3" xfId="3221"/>
    <cellStyle name="Обычный 2 2 2 13 3 10" xfId="14841"/>
    <cellStyle name="Обычный 2 2 2 13 3 11" xfId="14842"/>
    <cellStyle name="Обычный 2 2 2 13 3 2" xfId="3222"/>
    <cellStyle name="Обычный 2 2 2 13 3 2 2" xfId="14843"/>
    <cellStyle name="Обычный 2 2 2 13 3 2 3" xfId="14844"/>
    <cellStyle name="Обычный 2 2 2 13 3 2 4" xfId="14845"/>
    <cellStyle name="Обычный 2 2 2 13 3 2 5" xfId="14846"/>
    <cellStyle name="Обычный 2 2 2 13 3 2 6" xfId="14847"/>
    <cellStyle name="Обычный 2 2 2 13 3 2 7" xfId="14848"/>
    <cellStyle name="Обычный 2 2 2 13 3 2 8" xfId="14849"/>
    <cellStyle name="Обычный 2 2 2 13 3 2 9" xfId="14850"/>
    <cellStyle name="Обычный 2 2 2 13 3 3" xfId="3223"/>
    <cellStyle name="Обычный 2 2 2 13 3 3 2" xfId="14851"/>
    <cellStyle name="Обычный 2 2 2 13 3 3 3" xfId="14852"/>
    <cellStyle name="Обычный 2 2 2 13 3 3 4" xfId="14853"/>
    <cellStyle name="Обычный 2 2 2 13 3 3 5" xfId="14854"/>
    <cellStyle name="Обычный 2 2 2 13 3 3 6" xfId="14855"/>
    <cellStyle name="Обычный 2 2 2 13 3 3 7" xfId="14856"/>
    <cellStyle name="Обычный 2 2 2 13 3 3 8" xfId="14857"/>
    <cellStyle name="Обычный 2 2 2 13 3 3 9" xfId="14858"/>
    <cellStyle name="Обычный 2 2 2 13 3 4" xfId="14859"/>
    <cellStyle name="Обычный 2 2 2 13 3 5" xfId="14860"/>
    <cellStyle name="Обычный 2 2 2 13 3 6" xfId="14861"/>
    <cellStyle name="Обычный 2 2 2 13 3 7" xfId="14862"/>
    <cellStyle name="Обычный 2 2 2 13 3 8" xfId="14863"/>
    <cellStyle name="Обычный 2 2 2 13 3 9" xfId="14864"/>
    <cellStyle name="Обычный 2 2 2 13 4" xfId="3224"/>
    <cellStyle name="Обычный 2 2 2 13 4 2" xfId="14865"/>
    <cellStyle name="Обычный 2 2 2 13 4 3" xfId="14866"/>
    <cellStyle name="Обычный 2 2 2 13 4 4" xfId="14867"/>
    <cellStyle name="Обычный 2 2 2 13 4 5" xfId="14868"/>
    <cellStyle name="Обычный 2 2 2 13 4 6" xfId="14869"/>
    <cellStyle name="Обычный 2 2 2 13 4 7" xfId="14870"/>
    <cellStyle name="Обычный 2 2 2 13 4 8" xfId="14871"/>
    <cellStyle name="Обычный 2 2 2 13 4 9" xfId="14872"/>
    <cellStyle name="Обычный 2 2 2 13 5" xfId="14873"/>
    <cellStyle name="Обычный 2 2 2 13 6" xfId="14874"/>
    <cellStyle name="Обычный 2 2 2 13 7" xfId="14875"/>
    <cellStyle name="Обычный 2 2 2 13 8" xfId="14876"/>
    <cellStyle name="Обычный 2 2 2 13 9" xfId="14877"/>
    <cellStyle name="Обычный 2 2 2 14" xfId="3225"/>
    <cellStyle name="Обычный 2 2 2 14 10" xfId="14878"/>
    <cellStyle name="Обычный 2 2 2 14 11" xfId="14879"/>
    <cellStyle name="Обычный 2 2 2 14 12" xfId="14880"/>
    <cellStyle name="Обычный 2 2 2 14 2" xfId="3226"/>
    <cellStyle name="Обычный 2 2 2 14 2 10" xfId="14881"/>
    <cellStyle name="Обычный 2 2 2 14 2 11" xfId="14882"/>
    <cellStyle name="Обычный 2 2 2 14 2 12" xfId="14883"/>
    <cellStyle name="Обычный 2 2 2 14 2 2" xfId="3227"/>
    <cellStyle name="Обычный 2 2 2 14 2 2 2" xfId="14884"/>
    <cellStyle name="Обычный 2 2 2 14 2 2 3" xfId="14885"/>
    <cellStyle name="Обычный 2 2 2 14 2 2 4" xfId="14886"/>
    <cellStyle name="Обычный 2 2 2 14 2 2 5" xfId="14887"/>
    <cellStyle name="Обычный 2 2 2 14 2 2 6" xfId="14888"/>
    <cellStyle name="Обычный 2 2 2 14 2 2 7" xfId="14889"/>
    <cellStyle name="Обычный 2 2 2 14 2 2 8" xfId="14890"/>
    <cellStyle name="Обычный 2 2 2 14 2 2 9" xfId="14891"/>
    <cellStyle name="Обычный 2 2 2 14 2 3" xfId="3228"/>
    <cellStyle name="Обычный 2 2 2 14 2 3 2" xfId="14892"/>
    <cellStyle name="Обычный 2 2 2 14 2 3 3" xfId="14893"/>
    <cellStyle name="Обычный 2 2 2 14 2 3 4" xfId="14894"/>
    <cellStyle name="Обычный 2 2 2 14 2 3 5" xfId="14895"/>
    <cellStyle name="Обычный 2 2 2 14 2 3 6" xfId="14896"/>
    <cellStyle name="Обычный 2 2 2 14 2 3 7" xfId="14897"/>
    <cellStyle name="Обычный 2 2 2 14 2 3 8" xfId="14898"/>
    <cellStyle name="Обычный 2 2 2 14 2 3 9" xfId="14899"/>
    <cellStyle name="Обычный 2 2 2 14 2 4" xfId="3229"/>
    <cellStyle name="Обычный 2 2 2 14 2 4 2" xfId="14900"/>
    <cellStyle name="Обычный 2 2 2 14 2 4 3" xfId="14901"/>
    <cellStyle name="Обычный 2 2 2 14 2 4 4" xfId="14902"/>
    <cellStyle name="Обычный 2 2 2 14 2 4 5" xfId="14903"/>
    <cellStyle name="Обычный 2 2 2 14 2 4 6" xfId="14904"/>
    <cellStyle name="Обычный 2 2 2 14 2 4 7" xfId="14905"/>
    <cellStyle name="Обычный 2 2 2 14 2 4 8" xfId="14906"/>
    <cellStyle name="Обычный 2 2 2 14 2 4 9" xfId="14907"/>
    <cellStyle name="Обычный 2 2 2 14 2 5" xfId="14908"/>
    <cellStyle name="Обычный 2 2 2 14 2 6" xfId="14909"/>
    <cellStyle name="Обычный 2 2 2 14 2 7" xfId="14910"/>
    <cellStyle name="Обычный 2 2 2 14 2 8" xfId="14911"/>
    <cellStyle name="Обычный 2 2 2 14 2 9" xfId="14912"/>
    <cellStyle name="Обычный 2 2 2 14 3" xfId="3230"/>
    <cellStyle name="Обычный 2 2 2 14 3 10" xfId="14913"/>
    <cellStyle name="Обычный 2 2 2 14 3 11" xfId="14914"/>
    <cellStyle name="Обычный 2 2 2 14 3 2" xfId="3231"/>
    <cellStyle name="Обычный 2 2 2 14 3 2 2" xfId="14915"/>
    <cellStyle name="Обычный 2 2 2 14 3 2 3" xfId="14916"/>
    <cellStyle name="Обычный 2 2 2 14 3 2 4" xfId="14917"/>
    <cellStyle name="Обычный 2 2 2 14 3 2 5" xfId="14918"/>
    <cellStyle name="Обычный 2 2 2 14 3 2 6" xfId="14919"/>
    <cellStyle name="Обычный 2 2 2 14 3 2 7" xfId="14920"/>
    <cellStyle name="Обычный 2 2 2 14 3 2 8" xfId="14921"/>
    <cellStyle name="Обычный 2 2 2 14 3 2 9" xfId="14922"/>
    <cellStyle name="Обычный 2 2 2 14 3 3" xfId="3232"/>
    <cellStyle name="Обычный 2 2 2 14 3 3 2" xfId="14923"/>
    <cellStyle name="Обычный 2 2 2 14 3 3 3" xfId="14924"/>
    <cellStyle name="Обычный 2 2 2 14 3 3 4" xfId="14925"/>
    <cellStyle name="Обычный 2 2 2 14 3 3 5" xfId="14926"/>
    <cellStyle name="Обычный 2 2 2 14 3 3 6" xfId="14927"/>
    <cellStyle name="Обычный 2 2 2 14 3 3 7" xfId="14928"/>
    <cellStyle name="Обычный 2 2 2 14 3 3 8" xfId="14929"/>
    <cellStyle name="Обычный 2 2 2 14 3 3 9" xfId="14930"/>
    <cellStyle name="Обычный 2 2 2 14 3 4" xfId="14931"/>
    <cellStyle name="Обычный 2 2 2 14 3 5" xfId="14932"/>
    <cellStyle name="Обычный 2 2 2 14 3 6" xfId="14933"/>
    <cellStyle name="Обычный 2 2 2 14 3 7" xfId="14934"/>
    <cellStyle name="Обычный 2 2 2 14 3 8" xfId="14935"/>
    <cellStyle name="Обычный 2 2 2 14 3 9" xfId="14936"/>
    <cellStyle name="Обычный 2 2 2 14 4" xfId="3233"/>
    <cellStyle name="Обычный 2 2 2 14 4 2" xfId="14937"/>
    <cellStyle name="Обычный 2 2 2 14 4 3" xfId="14938"/>
    <cellStyle name="Обычный 2 2 2 14 4 4" xfId="14939"/>
    <cellStyle name="Обычный 2 2 2 14 4 5" xfId="14940"/>
    <cellStyle name="Обычный 2 2 2 14 4 6" xfId="14941"/>
    <cellStyle name="Обычный 2 2 2 14 4 7" xfId="14942"/>
    <cellStyle name="Обычный 2 2 2 14 4 8" xfId="14943"/>
    <cellStyle name="Обычный 2 2 2 14 4 9" xfId="14944"/>
    <cellStyle name="Обычный 2 2 2 14 5" xfId="14945"/>
    <cellStyle name="Обычный 2 2 2 14 6" xfId="14946"/>
    <cellStyle name="Обычный 2 2 2 14 7" xfId="14947"/>
    <cellStyle name="Обычный 2 2 2 14 8" xfId="14948"/>
    <cellStyle name="Обычный 2 2 2 14 9" xfId="14949"/>
    <cellStyle name="Обычный 2 2 2 15" xfId="3234"/>
    <cellStyle name="Обычный 2 2 2 15 10" xfId="14950"/>
    <cellStyle name="Обычный 2 2 2 15 11" xfId="14951"/>
    <cellStyle name="Обычный 2 2 2 15 12" xfId="14952"/>
    <cellStyle name="Обычный 2 2 2 15 2" xfId="3235"/>
    <cellStyle name="Обычный 2 2 2 15 2 10" xfId="14953"/>
    <cellStyle name="Обычный 2 2 2 15 2 11" xfId="14954"/>
    <cellStyle name="Обычный 2 2 2 15 2 12" xfId="14955"/>
    <cellStyle name="Обычный 2 2 2 15 2 2" xfId="3236"/>
    <cellStyle name="Обычный 2 2 2 15 2 2 2" xfId="14956"/>
    <cellStyle name="Обычный 2 2 2 15 2 2 3" xfId="14957"/>
    <cellStyle name="Обычный 2 2 2 15 2 2 4" xfId="14958"/>
    <cellStyle name="Обычный 2 2 2 15 2 2 5" xfId="14959"/>
    <cellStyle name="Обычный 2 2 2 15 2 2 6" xfId="14960"/>
    <cellStyle name="Обычный 2 2 2 15 2 2 7" xfId="14961"/>
    <cellStyle name="Обычный 2 2 2 15 2 2 8" xfId="14962"/>
    <cellStyle name="Обычный 2 2 2 15 2 2 9" xfId="14963"/>
    <cellStyle name="Обычный 2 2 2 15 2 3" xfId="3237"/>
    <cellStyle name="Обычный 2 2 2 15 2 3 2" xfId="14964"/>
    <cellStyle name="Обычный 2 2 2 15 2 3 3" xfId="14965"/>
    <cellStyle name="Обычный 2 2 2 15 2 3 4" xfId="14966"/>
    <cellStyle name="Обычный 2 2 2 15 2 3 5" xfId="14967"/>
    <cellStyle name="Обычный 2 2 2 15 2 3 6" xfId="14968"/>
    <cellStyle name="Обычный 2 2 2 15 2 3 7" xfId="14969"/>
    <cellStyle name="Обычный 2 2 2 15 2 3 8" xfId="14970"/>
    <cellStyle name="Обычный 2 2 2 15 2 3 9" xfId="14971"/>
    <cellStyle name="Обычный 2 2 2 15 2 4" xfId="3238"/>
    <cellStyle name="Обычный 2 2 2 15 2 4 2" xfId="14972"/>
    <cellStyle name="Обычный 2 2 2 15 2 4 3" xfId="14973"/>
    <cellStyle name="Обычный 2 2 2 15 2 4 4" xfId="14974"/>
    <cellStyle name="Обычный 2 2 2 15 2 4 5" xfId="14975"/>
    <cellStyle name="Обычный 2 2 2 15 2 4 6" xfId="14976"/>
    <cellStyle name="Обычный 2 2 2 15 2 4 7" xfId="14977"/>
    <cellStyle name="Обычный 2 2 2 15 2 4 8" xfId="14978"/>
    <cellStyle name="Обычный 2 2 2 15 2 4 9" xfId="14979"/>
    <cellStyle name="Обычный 2 2 2 15 2 5" xfId="14980"/>
    <cellStyle name="Обычный 2 2 2 15 2 6" xfId="14981"/>
    <cellStyle name="Обычный 2 2 2 15 2 7" xfId="14982"/>
    <cellStyle name="Обычный 2 2 2 15 2 8" xfId="14983"/>
    <cellStyle name="Обычный 2 2 2 15 2 9" xfId="14984"/>
    <cellStyle name="Обычный 2 2 2 15 3" xfId="3239"/>
    <cellStyle name="Обычный 2 2 2 15 3 10" xfId="14985"/>
    <cellStyle name="Обычный 2 2 2 15 3 11" xfId="14986"/>
    <cellStyle name="Обычный 2 2 2 15 3 2" xfId="3240"/>
    <cellStyle name="Обычный 2 2 2 15 3 2 2" xfId="14987"/>
    <cellStyle name="Обычный 2 2 2 15 3 2 3" xfId="14988"/>
    <cellStyle name="Обычный 2 2 2 15 3 2 4" xfId="14989"/>
    <cellStyle name="Обычный 2 2 2 15 3 2 5" xfId="14990"/>
    <cellStyle name="Обычный 2 2 2 15 3 2 6" xfId="14991"/>
    <cellStyle name="Обычный 2 2 2 15 3 2 7" xfId="14992"/>
    <cellStyle name="Обычный 2 2 2 15 3 2 8" xfId="14993"/>
    <cellStyle name="Обычный 2 2 2 15 3 2 9" xfId="14994"/>
    <cellStyle name="Обычный 2 2 2 15 3 3" xfId="3241"/>
    <cellStyle name="Обычный 2 2 2 15 3 3 2" xfId="14995"/>
    <cellStyle name="Обычный 2 2 2 15 3 3 3" xfId="14996"/>
    <cellStyle name="Обычный 2 2 2 15 3 3 4" xfId="14997"/>
    <cellStyle name="Обычный 2 2 2 15 3 3 5" xfId="14998"/>
    <cellStyle name="Обычный 2 2 2 15 3 3 6" xfId="14999"/>
    <cellStyle name="Обычный 2 2 2 15 3 3 7" xfId="15000"/>
    <cellStyle name="Обычный 2 2 2 15 3 3 8" xfId="15001"/>
    <cellStyle name="Обычный 2 2 2 15 3 3 9" xfId="15002"/>
    <cellStyle name="Обычный 2 2 2 15 3 4" xfId="15003"/>
    <cellStyle name="Обычный 2 2 2 15 3 5" xfId="15004"/>
    <cellStyle name="Обычный 2 2 2 15 3 6" xfId="15005"/>
    <cellStyle name="Обычный 2 2 2 15 3 7" xfId="15006"/>
    <cellStyle name="Обычный 2 2 2 15 3 8" xfId="15007"/>
    <cellStyle name="Обычный 2 2 2 15 3 9" xfId="15008"/>
    <cellStyle name="Обычный 2 2 2 15 4" xfId="3242"/>
    <cellStyle name="Обычный 2 2 2 15 4 2" xfId="15009"/>
    <cellStyle name="Обычный 2 2 2 15 4 3" xfId="15010"/>
    <cellStyle name="Обычный 2 2 2 15 4 4" xfId="15011"/>
    <cellStyle name="Обычный 2 2 2 15 4 5" xfId="15012"/>
    <cellStyle name="Обычный 2 2 2 15 4 6" xfId="15013"/>
    <cellStyle name="Обычный 2 2 2 15 4 7" xfId="15014"/>
    <cellStyle name="Обычный 2 2 2 15 4 8" xfId="15015"/>
    <cellStyle name="Обычный 2 2 2 15 4 9" xfId="15016"/>
    <cellStyle name="Обычный 2 2 2 15 5" xfId="15017"/>
    <cellStyle name="Обычный 2 2 2 15 6" xfId="15018"/>
    <cellStyle name="Обычный 2 2 2 15 7" xfId="15019"/>
    <cellStyle name="Обычный 2 2 2 15 8" xfId="15020"/>
    <cellStyle name="Обычный 2 2 2 15 9" xfId="15021"/>
    <cellStyle name="Обычный 2 2 2 16" xfId="3243"/>
    <cellStyle name="Обычный 2 2 2 16 10" xfId="15022"/>
    <cellStyle name="Обычный 2 2 2 16 11" xfId="15023"/>
    <cellStyle name="Обычный 2 2 2 16 2" xfId="3244"/>
    <cellStyle name="Обычный 2 2 2 16 2 2" xfId="15024"/>
    <cellStyle name="Обычный 2 2 2 16 2 3" xfId="15025"/>
    <cellStyle name="Обычный 2 2 2 16 2 4" xfId="15026"/>
    <cellStyle name="Обычный 2 2 2 16 2 5" xfId="15027"/>
    <cellStyle name="Обычный 2 2 2 16 2 6" xfId="15028"/>
    <cellStyle name="Обычный 2 2 2 16 2 7" xfId="15029"/>
    <cellStyle name="Обычный 2 2 2 16 2 8" xfId="15030"/>
    <cellStyle name="Обычный 2 2 2 16 2 9" xfId="15031"/>
    <cellStyle name="Обычный 2 2 2 16 3" xfId="3245"/>
    <cellStyle name="Обычный 2 2 2 16 3 2" xfId="15032"/>
    <cellStyle name="Обычный 2 2 2 16 3 3" xfId="15033"/>
    <cellStyle name="Обычный 2 2 2 16 3 4" xfId="15034"/>
    <cellStyle name="Обычный 2 2 2 16 3 5" xfId="15035"/>
    <cellStyle name="Обычный 2 2 2 16 3 6" xfId="15036"/>
    <cellStyle name="Обычный 2 2 2 16 3 7" xfId="15037"/>
    <cellStyle name="Обычный 2 2 2 16 3 8" xfId="15038"/>
    <cellStyle name="Обычный 2 2 2 16 3 9" xfId="15039"/>
    <cellStyle name="Обычный 2 2 2 16 4" xfId="15040"/>
    <cellStyle name="Обычный 2 2 2 16 5" xfId="15041"/>
    <cellStyle name="Обычный 2 2 2 16 6" xfId="15042"/>
    <cellStyle name="Обычный 2 2 2 16 7" xfId="15043"/>
    <cellStyle name="Обычный 2 2 2 16 8" xfId="15044"/>
    <cellStyle name="Обычный 2 2 2 16 9" xfId="15045"/>
    <cellStyle name="Обычный 2 2 2 17" xfId="3246"/>
    <cellStyle name="Обычный 2 2 2 17 2" xfId="15046"/>
    <cellStyle name="Обычный 2 2 2 17 3" xfId="15047"/>
    <cellStyle name="Обычный 2 2 2 17 4" xfId="15048"/>
    <cellStyle name="Обычный 2 2 2 17 5" xfId="15049"/>
    <cellStyle name="Обычный 2 2 2 17 6" xfId="15050"/>
    <cellStyle name="Обычный 2 2 2 17 7" xfId="15051"/>
    <cellStyle name="Обычный 2 2 2 17 8" xfId="15052"/>
    <cellStyle name="Обычный 2 2 2 17 9" xfId="15053"/>
    <cellStyle name="Обычный 2 2 2 18" xfId="3247"/>
    <cellStyle name="Обычный 2 2 2 18 2" xfId="15054"/>
    <cellStyle name="Обычный 2 2 2 18 3" xfId="15055"/>
    <cellStyle name="Обычный 2 2 2 18 4" xfId="15056"/>
    <cellStyle name="Обычный 2 2 2 18 5" xfId="15057"/>
    <cellStyle name="Обычный 2 2 2 18 6" xfId="15058"/>
    <cellStyle name="Обычный 2 2 2 18 7" xfId="15059"/>
    <cellStyle name="Обычный 2 2 2 18 8" xfId="15060"/>
    <cellStyle name="Обычный 2 2 2 18 9" xfId="15061"/>
    <cellStyle name="Обычный 2 2 2 19" xfId="3248"/>
    <cellStyle name="Обычный 2 2 2 19 2" xfId="15062"/>
    <cellStyle name="Обычный 2 2 2 19 3" xfId="15063"/>
    <cellStyle name="Обычный 2 2 2 19 4" xfId="15064"/>
    <cellStyle name="Обычный 2 2 2 19 5" xfId="15065"/>
    <cellStyle name="Обычный 2 2 2 19 6" xfId="15066"/>
    <cellStyle name="Обычный 2 2 2 19 7" xfId="15067"/>
    <cellStyle name="Обычный 2 2 2 19 8" xfId="15068"/>
    <cellStyle name="Обычный 2 2 2 19 9" xfId="15069"/>
    <cellStyle name="Обычный 2 2 2 2" xfId="3249"/>
    <cellStyle name="Обычный 2 2 2 2 10" xfId="3250"/>
    <cellStyle name="Обычный 2 2 2 2 10 10" xfId="15070"/>
    <cellStyle name="Обычный 2 2 2 2 10 11" xfId="15071"/>
    <cellStyle name="Обычный 2 2 2 2 10 2" xfId="3251"/>
    <cellStyle name="Обычный 2 2 2 2 10 2 2" xfId="15072"/>
    <cellStyle name="Обычный 2 2 2 2 10 2 3" xfId="15073"/>
    <cellStyle name="Обычный 2 2 2 2 10 2 4" xfId="15074"/>
    <cellStyle name="Обычный 2 2 2 2 10 2 5" xfId="15075"/>
    <cellStyle name="Обычный 2 2 2 2 10 2 6" xfId="15076"/>
    <cellStyle name="Обычный 2 2 2 2 10 2 7" xfId="15077"/>
    <cellStyle name="Обычный 2 2 2 2 10 2 8" xfId="15078"/>
    <cellStyle name="Обычный 2 2 2 2 10 2 9" xfId="15079"/>
    <cellStyle name="Обычный 2 2 2 2 10 3" xfId="3252"/>
    <cellStyle name="Обычный 2 2 2 2 10 3 2" xfId="15080"/>
    <cellStyle name="Обычный 2 2 2 2 10 3 3" xfId="15081"/>
    <cellStyle name="Обычный 2 2 2 2 10 3 4" xfId="15082"/>
    <cellStyle name="Обычный 2 2 2 2 10 3 5" xfId="15083"/>
    <cellStyle name="Обычный 2 2 2 2 10 3 6" xfId="15084"/>
    <cellStyle name="Обычный 2 2 2 2 10 3 7" xfId="15085"/>
    <cellStyle name="Обычный 2 2 2 2 10 3 8" xfId="15086"/>
    <cellStyle name="Обычный 2 2 2 2 10 3 9" xfId="15087"/>
    <cellStyle name="Обычный 2 2 2 2 10 4" xfId="15088"/>
    <cellStyle name="Обычный 2 2 2 2 10 5" xfId="15089"/>
    <cellStyle name="Обычный 2 2 2 2 10 6" xfId="15090"/>
    <cellStyle name="Обычный 2 2 2 2 10 7" xfId="15091"/>
    <cellStyle name="Обычный 2 2 2 2 10 8" xfId="15092"/>
    <cellStyle name="Обычный 2 2 2 2 10 9" xfId="15093"/>
    <cellStyle name="Обычный 2 2 2 2 11" xfId="3253"/>
    <cellStyle name="Обычный 2 2 2 2 11 10" xfId="15094"/>
    <cellStyle name="Обычный 2 2 2 2 11 11" xfId="15095"/>
    <cellStyle name="Обычный 2 2 2 2 11 2" xfId="3254"/>
    <cellStyle name="Обычный 2 2 2 2 11 2 2" xfId="15096"/>
    <cellStyle name="Обычный 2 2 2 2 11 2 3" xfId="15097"/>
    <cellStyle name="Обычный 2 2 2 2 11 2 4" xfId="15098"/>
    <cellStyle name="Обычный 2 2 2 2 11 2 5" xfId="15099"/>
    <cellStyle name="Обычный 2 2 2 2 11 2 6" xfId="15100"/>
    <cellStyle name="Обычный 2 2 2 2 11 2 7" xfId="15101"/>
    <cellStyle name="Обычный 2 2 2 2 11 2 8" xfId="15102"/>
    <cellStyle name="Обычный 2 2 2 2 11 2 9" xfId="15103"/>
    <cellStyle name="Обычный 2 2 2 2 11 3" xfId="3255"/>
    <cellStyle name="Обычный 2 2 2 2 11 3 2" xfId="15104"/>
    <cellStyle name="Обычный 2 2 2 2 11 3 3" xfId="15105"/>
    <cellStyle name="Обычный 2 2 2 2 11 3 4" xfId="15106"/>
    <cellStyle name="Обычный 2 2 2 2 11 3 5" xfId="15107"/>
    <cellStyle name="Обычный 2 2 2 2 11 3 6" xfId="15108"/>
    <cellStyle name="Обычный 2 2 2 2 11 3 7" xfId="15109"/>
    <cellStyle name="Обычный 2 2 2 2 11 3 8" xfId="15110"/>
    <cellStyle name="Обычный 2 2 2 2 11 3 9" xfId="15111"/>
    <cellStyle name="Обычный 2 2 2 2 11 4" xfId="15112"/>
    <cellStyle name="Обычный 2 2 2 2 11 5" xfId="15113"/>
    <cellStyle name="Обычный 2 2 2 2 11 6" xfId="15114"/>
    <cellStyle name="Обычный 2 2 2 2 11 7" xfId="15115"/>
    <cellStyle name="Обычный 2 2 2 2 11 8" xfId="15116"/>
    <cellStyle name="Обычный 2 2 2 2 11 9" xfId="15117"/>
    <cellStyle name="Обычный 2 2 2 2 12" xfId="3256"/>
    <cellStyle name="Обычный 2 2 2 2 12 2" xfId="3257"/>
    <cellStyle name="Обычный 2 2 2 2 12 2 2" xfId="15118"/>
    <cellStyle name="Обычный 2 2 2 2 12 2 3" xfId="15119"/>
    <cellStyle name="Обычный 2 2 2 2 12 2 4" xfId="15120"/>
    <cellStyle name="Обычный 2 2 2 2 12 2 5" xfId="15121"/>
    <cellStyle name="Обычный 2 2 2 2 12 2 6" xfId="15122"/>
    <cellStyle name="Обычный 2 2 2 2 12 2 7" xfId="15123"/>
    <cellStyle name="Обычный 2 2 2 2 12 2 8" xfId="15124"/>
    <cellStyle name="Обычный 2 2 2 2 12 2 9" xfId="15125"/>
    <cellStyle name="Обычный 2 2 2 2 12 3" xfId="3258"/>
    <cellStyle name="Обычный 2 2 2 2 12 3 2" xfId="15126"/>
    <cellStyle name="Обычный 2 2 2 2 12 3 3" xfId="15127"/>
    <cellStyle name="Обычный 2 2 2 2 12 3 4" xfId="15128"/>
    <cellStyle name="Обычный 2 2 2 2 12 3 5" xfId="15129"/>
    <cellStyle name="Обычный 2 2 2 2 12 3 6" xfId="15130"/>
    <cellStyle name="Обычный 2 2 2 2 12 3 7" xfId="15131"/>
    <cellStyle name="Обычный 2 2 2 2 12 3 8" xfId="15132"/>
    <cellStyle name="Обычный 2 2 2 2 12 3 9" xfId="15133"/>
    <cellStyle name="Обычный 2 2 2 2 12 4" xfId="15134"/>
    <cellStyle name="Обычный 2 2 2 2 12 5" xfId="15135"/>
    <cellStyle name="Обычный 2 2 2 2 12 6" xfId="15136"/>
    <cellStyle name="Обычный 2 2 2 2 12 7" xfId="15137"/>
    <cellStyle name="Обычный 2 2 2 2 13" xfId="3259"/>
    <cellStyle name="Обычный 2 2 2 2 13 2" xfId="15138"/>
    <cellStyle name="Обычный 2 2 2 2 13 3" xfId="15139"/>
    <cellStyle name="Обычный 2 2 2 2 13 4" xfId="15140"/>
    <cellStyle name="Обычный 2 2 2 2 13 5" xfId="15141"/>
    <cellStyle name="Обычный 2 2 2 2 14" xfId="3260"/>
    <cellStyle name="Обычный 2 2 2 2 14 2" xfId="15142"/>
    <cellStyle name="Обычный 2 2 2 2 14 3" xfId="15143"/>
    <cellStyle name="Обычный 2 2 2 2 14 4" xfId="15144"/>
    <cellStyle name="Обычный 2 2 2 2 14 5" xfId="15145"/>
    <cellStyle name="Обычный 2 2 2 2 14 6" xfId="15146"/>
    <cellStyle name="Обычный 2 2 2 2 14 7" xfId="15147"/>
    <cellStyle name="Обычный 2 2 2 2 14 8" xfId="15148"/>
    <cellStyle name="Обычный 2 2 2 2 14 9" xfId="15149"/>
    <cellStyle name="Обычный 2 2 2 2 15" xfId="15150"/>
    <cellStyle name="Обычный 2 2 2 2 15 2" xfId="15151"/>
    <cellStyle name="Обычный 2 2 2 2 15 3" xfId="15152"/>
    <cellStyle name="Обычный 2 2 2 2 15 4" xfId="15153"/>
    <cellStyle name="Обычный 2 2 2 2 15 5" xfId="15154"/>
    <cellStyle name="Обычный 2 2 2 2 16" xfId="15155"/>
    <cellStyle name="Обычный 2 2 2 2 16 2" xfId="15156"/>
    <cellStyle name="Обычный 2 2 2 2 16 2 2" xfId="15157"/>
    <cellStyle name="Обычный 2 2 2 2 16 2 2 2" xfId="15158"/>
    <cellStyle name="Обычный 2 2 2 2 16 2 2 2 2" xfId="15159"/>
    <cellStyle name="Обычный 2 2 2 2 16 2 3" xfId="15160"/>
    <cellStyle name="Обычный 2 2 2 2 16 3" xfId="15161"/>
    <cellStyle name="Обычный 2 2 2 2 16 3 2" xfId="15162"/>
    <cellStyle name="Обычный 2 2 2 2 17" xfId="15163"/>
    <cellStyle name="Обычный 2 2 2 2 17 2" xfId="15164"/>
    <cellStyle name="Обычный 2 2 2 2 17 2 2" xfId="15165"/>
    <cellStyle name="Обычный 2 2 2 2 18" xfId="15166"/>
    <cellStyle name="Обычный 2 2 2 2 19" xfId="15167"/>
    <cellStyle name="Обычный 2 2 2 2 2" xfId="3261"/>
    <cellStyle name="Обычный 2 2 2 2 2 10" xfId="15168"/>
    <cellStyle name="Обычный 2 2 2 2 2 10 2" xfId="15169"/>
    <cellStyle name="Обычный 2 2 2 2 2 10 2 2" xfId="15170"/>
    <cellStyle name="Обычный 2 2 2 2 2 11" xfId="15171"/>
    <cellStyle name="Обычный 2 2 2 2 2 2" xfId="3262"/>
    <cellStyle name="Обычный 2 2 2 2 2 3" xfId="3263"/>
    <cellStyle name="Обычный 2 2 2 2 2 4" xfId="3264"/>
    <cellStyle name="Обычный 2 2 2 2 2 5" xfId="3265"/>
    <cellStyle name="Обычный 2 2 2 2 2 5 10" xfId="15172"/>
    <cellStyle name="Обычный 2 2 2 2 2 5 11" xfId="15173"/>
    <cellStyle name="Обычный 2 2 2 2 2 5 2" xfId="3266"/>
    <cellStyle name="Обычный 2 2 2 2 2 5 3" xfId="3267"/>
    <cellStyle name="Обычный 2 2 2 2 2 5 4" xfId="15174"/>
    <cellStyle name="Обычный 2 2 2 2 2 5 5" xfId="15175"/>
    <cellStyle name="Обычный 2 2 2 2 2 5 6" xfId="15176"/>
    <cellStyle name="Обычный 2 2 2 2 2 5 7" xfId="15177"/>
    <cellStyle name="Обычный 2 2 2 2 2 5 8" xfId="15178"/>
    <cellStyle name="Обычный 2 2 2 2 2 5 9" xfId="15179"/>
    <cellStyle name="Обычный 2 2 2 2 2 6" xfId="3268"/>
    <cellStyle name="Обычный 2 2 2 2 2 6 2" xfId="15180"/>
    <cellStyle name="Обычный 2 2 2 2 2 6 3" xfId="15181"/>
    <cellStyle name="Обычный 2 2 2 2 2 6 4" xfId="15182"/>
    <cellStyle name="Обычный 2 2 2 2 2 6 5" xfId="15183"/>
    <cellStyle name="Обычный 2 2 2 2 2 6 6" xfId="15184"/>
    <cellStyle name="Обычный 2 2 2 2 2 6 7" xfId="15185"/>
    <cellStyle name="Обычный 2 2 2 2 2 6 8" xfId="15186"/>
    <cellStyle name="Обычный 2 2 2 2 2 6 9" xfId="15187"/>
    <cellStyle name="Обычный 2 2 2 2 2 7" xfId="3269"/>
    <cellStyle name="Обычный 2 2 2 2 2 8" xfId="15188"/>
    <cellStyle name="Обычный 2 2 2 2 2 9" xfId="15189"/>
    <cellStyle name="Обычный 2 2 2 2 2 9 2" xfId="15190"/>
    <cellStyle name="Обычный 2 2 2 2 2 9 2 2" xfId="15191"/>
    <cellStyle name="Обычный 2 2 2 2 2 9 2 2 2" xfId="15192"/>
    <cellStyle name="Обычный 2 2 2 2 2 9 2 2 2 2" xfId="15193"/>
    <cellStyle name="Обычный 2 2 2 2 2 9 2 3" xfId="15194"/>
    <cellStyle name="Обычный 2 2 2 2 2 9 3" xfId="15195"/>
    <cellStyle name="Обычный 2 2 2 2 2 9 3 2" xfId="15196"/>
    <cellStyle name="Обычный 2 2 2 2 20" xfId="15197"/>
    <cellStyle name="Обычный 2 2 2 2 21" xfId="15198"/>
    <cellStyle name="Обычный 2 2 2 2 22" xfId="15199"/>
    <cellStyle name="Обычный 2 2 2 2 3" xfId="3270"/>
    <cellStyle name="Обычный 2 2 2 2 3 2" xfId="3271"/>
    <cellStyle name="Обычный 2 2 2 2 3 2 2" xfId="3272"/>
    <cellStyle name="Обычный 2 2 2 2 3 2 3" xfId="3273"/>
    <cellStyle name="Обычный 2 2 2 2 3 3" xfId="3274"/>
    <cellStyle name="Обычный 2 2 2 2 3 4" xfId="3275"/>
    <cellStyle name="Обычный 2 2 2 2 4" xfId="3276"/>
    <cellStyle name="Обычный 2 2 2 2 4 2" xfId="3277"/>
    <cellStyle name="Обычный 2 2 2 2 4 3" xfId="3278"/>
    <cellStyle name="Обычный 2 2 2 2 5" xfId="3279"/>
    <cellStyle name="Обычный 2 2 2 2 6" xfId="3280"/>
    <cellStyle name="Обычный 2 2 2 2 7" xfId="3281"/>
    <cellStyle name="Обычный 2 2 2 2 8" xfId="3282"/>
    <cellStyle name="Обычный 2 2 2 2 9" xfId="3283"/>
    <cellStyle name="Обычный 2 2 2 20" xfId="3284"/>
    <cellStyle name="Обычный 2 2 2 20 2" xfId="15200"/>
    <cellStyle name="Обычный 2 2 2 20 3" xfId="15201"/>
    <cellStyle name="Обычный 2 2 2 20 4" xfId="15202"/>
    <cellStyle name="Обычный 2 2 2 20 5" xfId="15203"/>
    <cellStyle name="Обычный 2 2 2 20 6" xfId="15204"/>
    <cellStyle name="Обычный 2 2 2 20 7" xfId="15205"/>
    <cellStyle name="Обычный 2 2 2 20 8" xfId="15206"/>
    <cellStyle name="Обычный 2 2 2 20 9" xfId="15207"/>
    <cellStyle name="Обычный 2 2 2 21" xfId="3285"/>
    <cellStyle name="Обычный 2 2 2 21 2" xfId="15208"/>
    <cellStyle name="Обычный 2 2 2 21 3" xfId="15209"/>
    <cellStyle name="Обычный 2 2 2 21 4" xfId="15210"/>
    <cellStyle name="Обычный 2 2 2 21 5" xfId="15211"/>
    <cellStyle name="Обычный 2 2 2 21 6" xfId="15212"/>
    <cellStyle name="Обычный 2 2 2 21 7" xfId="15213"/>
    <cellStyle name="Обычный 2 2 2 21 8" xfId="15214"/>
    <cellStyle name="Обычный 2 2 2 21 9" xfId="15215"/>
    <cellStyle name="Обычный 2 2 2 22" xfId="3286"/>
    <cellStyle name="Обычный 2 2 2 22 2" xfId="15216"/>
    <cellStyle name="Обычный 2 2 2 22 3" xfId="15217"/>
    <cellStyle name="Обычный 2 2 2 22 4" xfId="15218"/>
    <cellStyle name="Обычный 2 2 2 22 5" xfId="15219"/>
    <cellStyle name="Обычный 2 2 2 22 6" xfId="15220"/>
    <cellStyle name="Обычный 2 2 2 22 7" xfId="15221"/>
    <cellStyle name="Обычный 2 2 2 22 8" xfId="15222"/>
    <cellStyle name="Обычный 2 2 2 22 9" xfId="15223"/>
    <cellStyle name="Обычный 2 2 2 23" xfId="3287"/>
    <cellStyle name="Обычный 2 2 2 23 2" xfId="15224"/>
    <cellStyle name="Обычный 2 2 2 23 3" xfId="15225"/>
    <cellStyle name="Обычный 2 2 2 23 4" xfId="15226"/>
    <cellStyle name="Обычный 2 2 2 23 5" xfId="15227"/>
    <cellStyle name="Обычный 2 2 2 23 6" xfId="15228"/>
    <cellStyle name="Обычный 2 2 2 23 7" xfId="15229"/>
    <cellStyle name="Обычный 2 2 2 23 8" xfId="15230"/>
    <cellStyle name="Обычный 2 2 2 23 9" xfId="15231"/>
    <cellStyle name="Обычный 2 2 2 24" xfId="3288"/>
    <cellStyle name="Обычный 2 2 2 25" xfId="3289"/>
    <cellStyle name="Обычный 2 2 2 26" xfId="3290"/>
    <cellStyle name="Обычный 2 2 2 26 2" xfId="3291"/>
    <cellStyle name="Обычный 2 2 2 26 2 2" xfId="15232"/>
    <cellStyle name="Обычный 2 2 2 26 2 3" xfId="15233"/>
    <cellStyle name="Обычный 2 2 2 26 2 4" xfId="15234"/>
    <cellStyle name="Обычный 2 2 2 26 2 5" xfId="15235"/>
    <cellStyle name="Обычный 2 2 2 26 3" xfId="3292"/>
    <cellStyle name="Обычный 2 2 2 26 3 2" xfId="15236"/>
    <cellStyle name="Обычный 2 2 2 26 3 3" xfId="15237"/>
    <cellStyle name="Обычный 2 2 2 26 3 4" xfId="15238"/>
    <cellStyle name="Обычный 2 2 2 26 3 5" xfId="15239"/>
    <cellStyle name="Обычный 2 2 2 27" xfId="3293"/>
    <cellStyle name="Обычный 2 2 2 28" xfId="3294"/>
    <cellStyle name="Обычный 2 2 2 28 2" xfId="15240"/>
    <cellStyle name="Обычный 2 2 2 28 3" xfId="15241"/>
    <cellStyle name="Обычный 2 2 2 28 4" xfId="15242"/>
    <cellStyle name="Обычный 2 2 2 28 5" xfId="15243"/>
    <cellStyle name="Обычный 2 2 2 29" xfId="15244"/>
    <cellStyle name="Обычный 2 2 2 29 2" xfId="15245"/>
    <cellStyle name="Обычный 2 2 2 29 3" xfId="15246"/>
    <cellStyle name="Обычный 2 2 2 29 4" xfId="15247"/>
    <cellStyle name="Обычный 2 2 2 29 5" xfId="15248"/>
    <cellStyle name="Обычный 2 2 2 3" xfId="3295"/>
    <cellStyle name="Обычный 2 2 2 3 2" xfId="3296"/>
    <cellStyle name="Обычный 2 2 2 3 2 2" xfId="3297"/>
    <cellStyle name="Обычный 2 2 2 3 2 3" xfId="3298"/>
    <cellStyle name="Обычный 2 2 2 3 3" xfId="3299"/>
    <cellStyle name="Обычный 2 2 2 3 4" xfId="3300"/>
    <cellStyle name="Обычный 2 2 2 30" xfId="15249"/>
    <cellStyle name="Обычный 2 2 2 30 2" xfId="15250"/>
    <cellStyle name="Обычный 2 2 2 30 2 2" xfId="15251"/>
    <cellStyle name="Обычный 2 2 2 30 2 2 2" xfId="15252"/>
    <cellStyle name="Обычный 2 2 2 30 2 2 2 2" xfId="15253"/>
    <cellStyle name="Обычный 2 2 2 30 2 3" xfId="15254"/>
    <cellStyle name="Обычный 2 2 2 30 3" xfId="15255"/>
    <cellStyle name="Обычный 2 2 2 30 3 2" xfId="15256"/>
    <cellStyle name="Обычный 2 2 2 31" xfId="15257"/>
    <cellStyle name="Обычный 2 2 2 31 2" xfId="15258"/>
    <cellStyle name="Обычный 2 2 2 31 2 2" xfId="15259"/>
    <cellStyle name="Обычный 2 2 2 32" xfId="15260"/>
    <cellStyle name="Обычный 2 2 2 33" xfId="15261"/>
    <cellStyle name="Обычный 2 2 2 34" xfId="15262"/>
    <cellStyle name="Обычный 2 2 2 35" xfId="15263"/>
    <cellStyle name="Обычный 2 2 2 4" xfId="3301"/>
    <cellStyle name="Обычный 2 2 2 4 2" xfId="3302"/>
    <cellStyle name="Обычный 2 2 2 4 2 2" xfId="3303"/>
    <cellStyle name="Обычный 2 2 2 4 2 3" xfId="3304"/>
    <cellStyle name="Обычный 2 2 2 4 3" xfId="3305"/>
    <cellStyle name="Обычный 2 2 2 4 4" xfId="3306"/>
    <cellStyle name="Обычный 2 2 2 5" xfId="3307"/>
    <cellStyle name="Обычный 2 2 2 5 2" xfId="3308"/>
    <cellStyle name="Обычный 2 2 2 5 2 2" xfId="3309"/>
    <cellStyle name="Обычный 2 2 2 5 2 3" xfId="3310"/>
    <cellStyle name="Обычный 2 2 2 5 3" xfId="3311"/>
    <cellStyle name="Обычный 2 2 2 5 4" xfId="3312"/>
    <cellStyle name="Обычный 2 2 2 6" xfId="3313"/>
    <cellStyle name="Обычный 2 2 2 6 2" xfId="3314"/>
    <cellStyle name="Обычный 2 2 2 6 2 2" xfId="3315"/>
    <cellStyle name="Обычный 2 2 2 6 2 3" xfId="3316"/>
    <cellStyle name="Обычный 2 2 2 6 3" xfId="3317"/>
    <cellStyle name="Обычный 2 2 2 6 4" xfId="3318"/>
    <cellStyle name="Обычный 2 2 2 7" xfId="3319"/>
    <cellStyle name="Обычный 2 2 2 7 2" xfId="3320"/>
    <cellStyle name="Обычный 2 2 2 7 2 2" xfId="3321"/>
    <cellStyle name="Обычный 2 2 2 7 2 3" xfId="3322"/>
    <cellStyle name="Обычный 2 2 2 7 3" xfId="3323"/>
    <cellStyle name="Обычный 2 2 2 7 4" xfId="3324"/>
    <cellStyle name="Обычный 2 2 2 8" xfId="3325"/>
    <cellStyle name="Обычный 2 2 2 8 2" xfId="3326"/>
    <cellStyle name="Обычный 2 2 2 8 2 2" xfId="3327"/>
    <cellStyle name="Обычный 2 2 2 8 2 3" xfId="3328"/>
    <cellStyle name="Обычный 2 2 2 8 3" xfId="3329"/>
    <cellStyle name="Обычный 2 2 2 8 4" xfId="3330"/>
    <cellStyle name="Обычный 2 2 2 9" xfId="3331"/>
    <cellStyle name="Обычный 2 2 2 9 2" xfId="3332"/>
    <cellStyle name="Обычный 2 2 2 9 2 2" xfId="3333"/>
    <cellStyle name="Обычный 2 2 2 9 2 3" xfId="3334"/>
    <cellStyle name="Обычный 2 2 2 9 3" xfId="3335"/>
    <cellStyle name="Обычный 2 2 2 9 4" xfId="3336"/>
    <cellStyle name="Обычный 2 2 20" xfId="3337"/>
    <cellStyle name="Обычный 2 2 20 2" xfId="3338"/>
    <cellStyle name="Обычный 2 2 20 2 2" xfId="3339"/>
    <cellStyle name="Обычный 2 2 20 2 3" xfId="3340"/>
    <cellStyle name="Обычный 2 2 20 3" xfId="3341"/>
    <cellStyle name="Обычный 2 2 20 4" xfId="3342"/>
    <cellStyle name="Обычный 2 2 21" xfId="3343"/>
    <cellStyle name="Обычный 2 2 21 2" xfId="3344"/>
    <cellStyle name="Обычный 2 2 21 2 2" xfId="3345"/>
    <cellStyle name="Обычный 2 2 21 2 3" xfId="3346"/>
    <cellStyle name="Обычный 2 2 21 3" xfId="3347"/>
    <cellStyle name="Обычный 2 2 21 4" xfId="3348"/>
    <cellStyle name="Обычный 2 2 22" xfId="3349"/>
    <cellStyle name="Обычный 2 2 22 10" xfId="15264"/>
    <cellStyle name="Обычный 2 2 22 2" xfId="3350"/>
    <cellStyle name="Обычный 2 2 22 2 2" xfId="3351"/>
    <cellStyle name="Обычный 2 2 22 2 2 2" xfId="3352"/>
    <cellStyle name="Обычный 2 2 22 2 2 3" xfId="3353"/>
    <cellStyle name="Обычный 2 2 22 2 3" xfId="3354"/>
    <cellStyle name="Обычный 2 2 22 2 4" xfId="3355"/>
    <cellStyle name="Обычный 2 2 22 2 4 2" xfId="15265"/>
    <cellStyle name="Обычный 2 2 22 2 4 3" xfId="15266"/>
    <cellStyle name="Обычный 2 2 22 2 4 4" xfId="15267"/>
    <cellStyle name="Обычный 2 2 22 2 4 5" xfId="15268"/>
    <cellStyle name="Обычный 2 2 22 2 5" xfId="15269"/>
    <cellStyle name="Обычный 2 2 22 2 6" xfId="15270"/>
    <cellStyle name="Обычный 2 2 22 2 7" xfId="15271"/>
    <cellStyle name="Обычный 2 2 22 2 8" xfId="15272"/>
    <cellStyle name="Обычный 2 2 22 3" xfId="3356"/>
    <cellStyle name="Обычный 2 2 22 3 2" xfId="3357"/>
    <cellStyle name="Обычный 2 2 22 3 2 2" xfId="3358"/>
    <cellStyle name="Обычный 2 2 22 3 2 3" xfId="3359"/>
    <cellStyle name="Обычный 2 2 22 3 3" xfId="3360"/>
    <cellStyle name="Обычный 2 2 22 3 4" xfId="3361"/>
    <cellStyle name="Обычный 2 2 22 3 4 2" xfId="15273"/>
    <cellStyle name="Обычный 2 2 22 3 4 3" xfId="15274"/>
    <cellStyle name="Обычный 2 2 22 3 4 4" xfId="15275"/>
    <cellStyle name="Обычный 2 2 22 3 4 5" xfId="15276"/>
    <cellStyle name="Обычный 2 2 22 3 5" xfId="15277"/>
    <cellStyle name="Обычный 2 2 22 3 6" xfId="15278"/>
    <cellStyle name="Обычный 2 2 22 3 7" xfId="15279"/>
    <cellStyle name="Обычный 2 2 22 3 8" xfId="15280"/>
    <cellStyle name="Обычный 2 2 22 4" xfId="3362"/>
    <cellStyle name="Обычный 2 2 22 4 2" xfId="3363"/>
    <cellStyle name="Обычный 2 2 22 4 2 2" xfId="15281"/>
    <cellStyle name="Обычный 2 2 22 4 2 3" xfId="15282"/>
    <cellStyle name="Обычный 2 2 22 4 2 4" xfId="15283"/>
    <cellStyle name="Обычный 2 2 22 4 2 5" xfId="15284"/>
    <cellStyle name="Обычный 2 2 22 4 2 6" xfId="15285"/>
    <cellStyle name="Обычный 2 2 22 4 3" xfId="3364"/>
    <cellStyle name="Обычный 2 2 22 4 3 2" xfId="15286"/>
    <cellStyle name="Обычный 2 2 22 4 3 3" xfId="15287"/>
    <cellStyle name="Обычный 2 2 22 4 3 4" xfId="15288"/>
    <cellStyle name="Обычный 2 2 22 4 3 5" xfId="15289"/>
    <cellStyle name="Обычный 2 2 22 4 3 6" xfId="15290"/>
    <cellStyle name="Обычный 2 2 22 4 4" xfId="15291"/>
    <cellStyle name="Обычный 2 2 22 4 5" xfId="15292"/>
    <cellStyle name="Обычный 2 2 22 4 6" xfId="15293"/>
    <cellStyle name="Обычный 2 2 22 4 7" xfId="15294"/>
    <cellStyle name="Обычный 2 2 22 4 8" xfId="15295"/>
    <cellStyle name="Обычный 2 2 22 5" xfId="3365"/>
    <cellStyle name="Обычный 2 2 22 5 2" xfId="15296"/>
    <cellStyle name="Обычный 2 2 22 5 3" xfId="15297"/>
    <cellStyle name="Обычный 2 2 22 5 4" xfId="15298"/>
    <cellStyle name="Обычный 2 2 22 5 5" xfId="15299"/>
    <cellStyle name="Обычный 2 2 22 5 6" xfId="15300"/>
    <cellStyle name="Обычный 2 2 22 6" xfId="3366"/>
    <cellStyle name="Обычный 2 2 22 6 2" xfId="15301"/>
    <cellStyle name="Обычный 2 2 22 6 3" xfId="15302"/>
    <cellStyle name="Обычный 2 2 22 6 4" xfId="15303"/>
    <cellStyle name="Обычный 2 2 22 6 5" xfId="15304"/>
    <cellStyle name="Обычный 2 2 22 7" xfId="15305"/>
    <cellStyle name="Обычный 2 2 22 8" xfId="15306"/>
    <cellStyle name="Обычный 2 2 22 9" xfId="15307"/>
    <cellStyle name="Обычный 2 2 23" xfId="3367"/>
    <cellStyle name="Обычный 2 2 23 2" xfId="3368"/>
    <cellStyle name="Обычный 2 2 23 2 2" xfId="3369"/>
    <cellStyle name="Обычный 2 2 23 2 2 2" xfId="15308"/>
    <cellStyle name="Обычный 2 2 23 2 2 3" xfId="15309"/>
    <cellStyle name="Обычный 2 2 23 2 2 4" xfId="15310"/>
    <cellStyle name="Обычный 2 2 23 2 2 5" xfId="15311"/>
    <cellStyle name="Обычный 2 2 23 2 2 6" xfId="15312"/>
    <cellStyle name="Обычный 2 2 23 2 3" xfId="3370"/>
    <cellStyle name="Обычный 2 2 23 2 3 2" xfId="15313"/>
    <cellStyle name="Обычный 2 2 23 2 3 3" xfId="15314"/>
    <cellStyle name="Обычный 2 2 23 2 3 4" xfId="15315"/>
    <cellStyle name="Обычный 2 2 23 2 3 5" xfId="15316"/>
    <cellStyle name="Обычный 2 2 23 2 3 6" xfId="15317"/>
    <cellStyle name="Обычный 2 2 23 2 4" xfId="15318"/>
    <cellStyle name="Обычный 2 2 23 2 5" xfId="15319"/>
    <cellStyle name="Обычный 2 2 23 2 6" xfId="15320"/>
    <cellStyle name="Обычный 2 2 23 2 7" xfId="15321"/>
    <cellStyle name="Обычный 2 2 23 2 8" xfId="15322"/>
    <cellStyle name="Обычный 2 2 23 3" xfId="3371"/>
    <cellStyle name="Обычный 2 2 23 3 2" xfId="15323"/>
    <cellStyle name="Обычный 2 2 23 3 3" xfId="15324"/>
    <cellStyle name="Обычный 2 2 23 3 4" xfId="15325"/>
    <cellStyle name="Обычный 2 2 23 3 5" xfId="15326"/>
    <cellStyle name="Обычный 2 2 23 3 6" xfId="15327"/>
    <cellStyle name="Обычный 2 2 23 4" xfId="3372"/>
    <cellStyle name="Обычный 2 2 23 4 2" xfId="15328"/>
    <cellStyle name="Обычный 2 2 23 4 3" xfId="15329"/>
    <cellStyle name="Обычный 2 2 23 4 4" xfId="15330"/>
    <cellStyle name="Обычный 2 2 23 4 5" xfId="15331"/>
    <cellStyle name="Обычный 2 2 23 5" xfId="15332"/>
    <cellStyle name="Обычный 2 2 23 6" xfId="15333"/>
    <cellStyle name="Обычный 2 2 23 7" xfId="15334"/>
    <cellStyle name="Обычный 2 2 23 8" xfId="15335"/>
    <cellStyle name="Обычный 2 2 24" xfId="3373"/>
    <cellStyle name="Обычный 2 2 24 2" xfId="3374"/>
    <cellStyle name="Обычный 2 2 24 2 2" xfId="15336"/>
    <cellStyle name="Обычный 2 2 24 2 3" xfId="15337"/>
    <cellStyle name="Обычный 2 2 24 2 4" xfId="15338"/>
    <cellStyle name="Обычный 2 2 24 2 5" xfId="15339"/>
    <cellStyle name="Обычный 2 2 24 3" xfId="3375"/>
    <cellStyle name="Обычный 2 2 24 3 2" xfId="15340"/>
    <cellStyle name="Обычный 2 2 24 3 3" xfId="15341"/>
    <cellStyle name="Обычный 2 2 24 3 4" xfId="15342"/>
    <cellStyle name="Обычный 2 2 24 3 5" xfId="15343"/>
    <cellStyle name="Обычный 2 2 24 4" xfId="15344"/>
    <cellStyle name="Обычный 2 2 24 5" xfId="15345"/>
    <cellStyle name="Обычный 2 2 24 6" xfId="15346"/>
    <cellStyle name="Обычный 2 2 24 7" xfId="15347"/>
    <cellStyle name="Обычный 2 2 25" xfId="3376"/>
    <cellStyle name="Обычный 2 2 25 2" xfId="15348"/>
    <cellStyle name="Обычный 2 2 25 3" xfId="15349"/>
    <cellStyle name="Обычный 2 2 25 4" xfId="15350"/>
    <cellStyle name="Обычный 2 2 25 5" xfId="15351"/>
    <cellStyle name="Обычный 2 2 26" xfId="3377"/>
    <cellStyle name="Обычный 2 2 26 2" xfId="15352"/>
    <cellStyle name="Обычный 2 2 26 3" xfId="15353"/>
    <cellStyle name="Обычный 2 2 26 4" xfId="15354"/>
    <cellStyle name="Обычный 2 2 26 5" xfId="15355"/>
    <cellStyle name="Обычный 2 2 27" xfId="3378"/>
    <cellStyle name="Обычный 2 2 27 2" xfId="15356"/>
    <cellStyle name="Обычный 2 2 27 3" xfId="15357"/>
    <cellStyle name="Обычный 2 2 27 4" xfId="15358"/>
    <cellStyle name="Обычный 2 2 27 5" xfId="15359"/>
    <cellStyle name="Обычный 2 2 28" xfId="3379"/>
    <cellStyle name="Обычный 2 2 29" xfId="3380"/>
    <cellStyle name="Обычный 2 2 3" xfId="3381"/>
    <cellStyle name="Обычный 2 2 3 10" xfId="15360"/>
    <cellStyle name="Обычный 2 2 3 11" xfId="15361"/>
    <cellStyle name="Обычный 2 2 3 12" xfId="15362"/>
    <cellStyle name="Обычный 2 2 3 13" xfId="15363"/>
    <cellStyle name="Обычный 2 2 3 2" xfId="3382"/>
    <cellStyle name="Обычный 2 2 3 2 10" xfId="15364"/>
    <cellStyle name="Обычный 2 2 3 2 11" xfId="15365"/>
    <cellStyle name="Обычный 2 2 3 2 12" xfId="15366"/>
    <cellStyle name="Обычный 2 2 3 2 2" xfId="3383"/>
    <cellStyle name="Обычный 2 2 3 2 2 10" xfId="15367"/>
    <cellStyle name="Обычный 2 2 3 2 2 11" xfId="15368"/>
    <cellStyle name="Обычный 2 2 3 2 2 12" xfId="15369"/>
    <cellStyle name="Обычный 2 2 3 2 2 2" xfId="3384"/>
    <cellStyle name="Обычный 2 2 3 2 2 2 2" xfId="15370"/>
    <cellStyle name="Обычный 2 2 3 2 2 2 3" xfId="15371"/>
    <cellStyle name="Обычный 2 2 3 2 2 2 4" xfId="15372"/>
    <cellStyle name="Обычный 2 2 3 2 2 2 5" xfId="15373"/>
    <cellStyle name="Обычный 2 2 3 2 2 2 6" xfId="15374"/>
    <cellStyle name="Обычный 2 2 3 2 2 2 7" xfId="15375"/>
    <cellStyle name="Обычный 2 2 3 2 2 2 8" xfId="15376"/>
    <cellStyle name="Обычный 2 2 3 2 2 2 9" xfId="15377"/>
    <cellStyle name="Обычный 2 2 3 2 2 3" xfId="3385"/>
    <cellStyle name="Обычный 2 2 3 2 2 3 2" xfId="15378"/>
    <cellStyle name="Обычный 2 2 3 2 2 3 3" xfId="15379"/>
    <cellStyle name="Обычный 2 2 3 2 2 3 4" xfId="15380"/>
    <cellStyle name="Обычный 2 2 3 2 2 3 5" xfId="15381"/>
    <cellStyle name="Обычный 2 2 3 2 2 3 6" xfId="15382"/>
    <cellStyle name="Обычный 2 2 3 2 2 3 7" xfId="15383"/>
    <cellStyle name="Обычный 2 2 3 2 2 3 8" xfId="15384"/>
    <cellStyle name="Обычный 2 2 3 2 2 3 9" xfId="15385"/>
    <cellStyle name="Обычный 2 2 3 2 2 4" xfId="3386"/>
    <cellStyle name="Обычный 2 2 3 2 2 4 2" xfId="15386"/>
    <cellStyle name="Обычный 2 2 3 2 2 4 3" xfId="15387"/>
    <cellStyle name="Обычный 2 2 3 2 2 4 4" xfId="15388"/>
    <cellStyle name="Обычный 2 2 3 2 2 4 5" xfId="15389"/>
    <cellStyle name="Обычный 2 2 3 2 2 4 6" xfId="15390"/>
    <cellStyle name="Обычный 2 2 3 2 2 4 7" xfId="15391"/>
    <cellStyle name="Обычный 2 2 3 2 2 4 8" xfId="15392"/>
    <cellStyle name="Обычный 2 2 3 2 2 4 9" xfId="15393"/>
    <cellStyle name="Обычный 2 2 3 2 2 5" xfId="15394"/>
    <cellStyle name="Обычный 2 2 3 2 2 6" xfId="15395"/>
    <cellStyle name="Обычный 2 2 3 2 2 7" xfId="15396"/>
    <cellStyle name="Обычный 2 2 3 2 2 8" xfId="15397"/>
    <cellStyle name="Обычный 2 2 3 2 2 9" xfId="15398"/>
    <cellStyle name="Обычный 2 2 3 2 3" xfId="3387"/>
    <cellStyle name="Обычный 2 2 3 2 3 10" xfId="15399"/>
    <cellStyle name="Обычный 2 2 3 2 3 11" xfId="15400"/>
    <cellStyle name="Обычный 2 2 3 2 3 2" xfId="3388"/>
    <cellStyle name="Обычный 2 2 3 2 3 2 2" xfId="15401"/>
    <cellStyle name="Обычный 2 2 3 2 3 2 3" xfId="15402"/>
    <cellStyle name="Обычный 2 2 3 2 3 2 4" xfId="15403"/>
    <cellStyle name="Обычный 2 2 3 2 3 2 5" xfId="15404"/>
    <cellStyle name="Обычный 2 2 3 2 3 2 6" xfId="15405"/>
    <cellStyle name="Обычный 2 2 3 2 3 2 7" xfId="15406"/>
    <cellStyle name="Обычный 2 2 3 2 3 2 8" xfId="15407"/>
    <cellStyle name="Обычный 2 2 3 2 3 2 9" xfId="15408"/>
    <cellStyle name="Обычный 2 2 3 2 3 3" xfId="3389"/>
    <cellStyle name="Обычный 2 2 3 2 3 3 2" xfId="15409"/>
    <cellStyle name="Обычный 2 2 3 2 3 3 3" xfId="15410"/>
    <cellStyle name="Обычный 2 2 3 2 3 3 4" xfId="15411"/>
    <cellStyle name="Обычный 2 2 3 2 3 3 5" xfId="15412"/>
    <cellStyle name="Обычный 2 2 3 2 3 3 6" xfId="15413"/>
    <cellStyle name="Обычный 2 2 3 2 3 3 7" xfId="15414"/>
    <cellStyle name="Обычный 2 2 3 2 3 3 8" xfId="15415"/>
    <cellStyle name="Обычный 2 2 3 2 3 3 9" xfId="15416"/>
    <cellStyle name="Обычный 2 2 3 2 3 4" xfId="15417"/>
    <cellStyle name="Обычный 2 2 3 2 3 5" xfId="15418"/>
    <cellStyle name="Обычный 2 2 3 2 3 6" xfId="15419"/>
    <cellStyle name="Обычный 2 2 3 2 3 7" xfId="15420"/>
    <cellStyle name="Обычный 2 2 3 2 3 8" xfId="15421"/>
    <cellStyle name="Обычный 2 2 3 2 3 9" xfId="15422"/>
    <cellStyle name="Обычный 2 2 3 2 4" xfId="3390"/>
    <cellStyle name="Обычный 2 2 3 2 4 2" xfId="15423"/>
    <cellStyle name="Обычный 2 2 3 2 4 3" xfId="15424"/>
    <cellStyle name="Обычный 2 2 3 2 4 4" xfId="15425"/>
    <cellStyle name="Обычный 2 2 3 2 4 5" xfId="15426"/>
    <cellStyle name="Обычный 2 2 3 2 4 6" xfId="15427"/>
    <cellStyle name="Обычный 2 2 3 2 4 7" xfId="15428"/>
    <cellStyle name="Обычный 2 2 3 2 4 8" xfId="15429"/>
    <cellStyle name="Обычный 2 2 3 2 4 9" xfId="15430"/>
    <cellStyle name="Обычный 2 2 3 2 5" xfId="15431"/>
    <cellStyle name="Обычный 2 2 3 2 6" xfId="15432"/>
    <cellStyle name="Обычный 2 2 3 2 7" xfId="15433"/>
    <cellStyle name="Обычный 2 2 3 2 8" xfId="15434"/>
    <cellStyle name="Обычный 2 2 3 2 9" xfId="15435"/>
    <cellStyle name="Обычный 2 2 3 3" xfId="3391"/>
    <cellStyle name="Обычный 2 2 3 3 10" xfId="15436"/>
    <cellStyle name="Обычный 2 2 3 3 11" xfId="15437"/>
    <cellStyle name="Обычный 2 2 3 3 12" xfId="15438"/>
    <cellStyle name="Обычный 2 2 3 3 2" xfId="3392"/>
    <cellStyle name="Обычный 2 2 3 3 2 2" xfId="15439"/>
    <cellStyle name="Обычный 2 2 3 3 2 3" xfId="15440"/>
    <cellStyle name="Обычный 2 2 3 3 2 4" xfId="15441"/>
    <cellStyle name="Обычный 2 2 3 3 2 5" xfId="15442"/>
    <cellStyle name="Обычный 2 2 3 3 2 6" xfId="15443"/>
    <cellStyle name="Обычный 2 2 3 3 2 7" xfId="15444"/>
    <cellStyle name="Обычный 2 2 3 3 2 8" xfId="15445"/>
    <cellStyle name="Обычный 2 2 3 3 2 9" xfId="15446"/>
    <cellStyle name="Обычный 2 2 3 3 3" xfId="3393"/>
    <cellStyle name="Обычный 2 2 3 3 3 2" xfId="15447"/>
    <cellStyle name="Обычный 2 2 3 3 3 3" xfId="15448"/>
    <cellStyle name="Обычный 2 2 3 3 3 4" xfId="15449"/>
    <cellStyle name="Обычный 2 2 3 3 3 5" xfId="15450"/>
    <cellStyle name="Обычный 2 2 3 3 3 6" xfId="15451"/>
    <cellStyle name="Обычный 2 2 3 3 3 7" xfId="15452"/>
    <cellStyle name="Обычный 2 2 3 3 3 8" xfId="15453"/>
    <cellStyle name="Обычный 2 2 3 3 3 9" xfId="15454"/>
    <cellStyle name="Обычный 2 2 3 3 4" xfId="3394"/>
    <cellStyle name="Обычный 2 2 3 3 4 2" xfId="15455"/>
    <cellStyle name="Обычный 2 2 3 3 4 3" xfId="15456"/>
    <cellStyle name="Обычный 2 2 3 3 4 4" xfId="15457"/>
    <cellStyle name="Обычный 2 2 3 3 4 5" xfId="15458"/>
    <cellStyle name="Обычный 2 2 3 3 4 6" xfId="15459"/>
    <cellStyle name="Обычный 2 2 3 3 4 7" xfId="15460"/>
    <cellStyle name="Обычный 2 2 3 3 4 8" xfId="15461"/>
    <cellStyle name="Обычный 2 2 3 3 4 9" xfId="15462"/>
    <cellStyle name="Обычный 2 2 3 3 5" xfId="15463"/>
    <cellStyle name="Обычный 2 2 3 3 6" xfId="15464"/>
    <cellStyle name="Обычный 2 2 3 3 7" xfId="15465"/>
    <cellStyle name="Обычный 2 2 3 3 8" xfId="15466"/>
    <cellStyle name="Обычный 2 2 3 3 9" xfId="15467"/>
    <cellStyle name="Обычный 2 2 3 4" xfId="3395"/>
    <cellStyle name="Обычный 2 2 3 4 10" xfId="15468"/>
    <cellStyle name="Обычный 2 2 3 4 11" xfId="15469"/>
    <cellStyle name="Обычный 2 2 3 4 2" xfId="3396"/>
    <cellStyle name="Обычный 2 2 3 4 2 2" xfId="15470"/>
    <cellStyle name="Обычный 2 2 3 4 2 3" xfId="15471"/>
    <cellStyle name="Обычный 2 2 3 4 2 4" xfId="15472"/>
    <cellStyle name="Обычный 2 2 3 4 2 5" xfId="15473"/>
    <cellStyle name="Обычный 2 2 3 4 2 6" xfId="15474"/>
    <cellStyle name="Обычный 2 2 3 4 2 7" xfId="15475"/>
    <cellStyle name="Обычный 2 2 3 4 2 8" xfId="15476"/>
    <cellStyle name="Обычный 2 2 3 4 2 9" xfId="15477"/>
    <cellStyle name="Обычный 2 2 3 4 3" xfId="3397"/>
    <cellStyle name="Обычный 2 2 3 4 3 2" xfId="15478"/>
    <cellStyle name="Обычный 2 2 3 4 3 3" xfId="15479"/>
    <cellStyle name="Обычный 2 2 3 4 3 4" xfId="15480"/>
    <cellStyle name="Обычный 2 2 3 4 3 5" xfId="15481"/>
    <cellStyle name="Обычный 2 2 3 4 3 6" xfId="15482"/>
    <cellStyle name="Обычный 2 2 3 4 3 7" xfId="15483"/>
    <cellStyle name="Обычный 2 2 3 4 3 8" xfId="15484"/>
    <cellStyle name="Обычный 2 2 3 4 3 9" xfId="15485"/>
    <cellStyle name="Обычный 2 2 3 4 4" xfId="15486"/>
    <cellStyle name="Обычный 2 2 3 4 5" xfId="15487"/>
    <cellStyle name="Обычный 2 2 3 4 6" xfId="15488"/>
    <cellStyle name="Обычный 2 2 3 4 7" xfId="15489"/>
    <cellStyle name="Обычный 2 2 3 4 8" xfId="15490"/>
    <cellStyle name="Обычный 2 2 3 4 9" xfId="15491"/>
    <cellStyle name="Обычный 2 2 3 5" xfId="3398"/>
    <cellStyle name="Обычный 2 2 3 5 2" xfId="15492"/>
    <cellStyle name="Обычный 2 2 3 5 3" xfId="15493"/>
    <cellStyle name="Обычный 2 2 3 5 4" xfId="15494"/>
    <cellStyle name="Обычный 2 2 3 5 5" xfId="15495"/>
    <cellStyle name="Обычный 2 2 3 5 6" xfId="15496"/>
    <cellStyle name="Обычный 2 2 3 5 7" xfId="15497"/>
    <cellStyle name="Обычный 2 2 3 5 8" xfId="15498"/>
    <cellStyle name="Обычный 2 2 3 5 9" xfId="15499"/>
    <cellStyle name="Обычный 2 2 3 6" xfId="15500"/>
    <cellStyle name="Обычный 2 2 3 7" xfId="15501"/>
    <cellStyle name="Обычный 2 2 3 8" xfId="15502"/>
    <cellStyle name="Обычный 2 2 3 9" xfId="15503"/>
    <cellStyle name="Обычный 2 2 30" xfId="3399"/>
    <cellStyle name="Обычный 2 2 30 2" xfId="3400"/>
    <cellStyle name="Обычный 2 2 30 3" xfId="3401"/>
    <cellStyle name="Обычный 2 2 30 4" xfId="15504"/>
    <cellStyle name="Обычный 2 2 30 5" xfId="15505"/>
    <cellStyle name="Обычный 2 2 30 6" xfId="15506"/>
    <cellStyle name="Обычный 2 2 30 7" xfId="15507"/>
    <cellStyle name="Обычный 2 2 31" xfId="3402"/>
    <cellStyle name="Обычный 2 2 31 2" xfId="15508"/>
    <cellStyle name="Обычный 2 2 31 3" xfId="15509"/>
    <cellStyle name="Обычный 2 2 31 4" xfId="15510"/>
    <cellStyle name="Обычный 2 2 31 5" xfId="15511"/>
    <cellStyle name="Обычный 2 2 32" xfId="3403"/>
    <cellStyle name="Обычный 2 2 33" xfId="15512"/>
    <cellStyle name="Обычный 2 2 34" xfId="15513"/>
    <cellStyle name="Обычный 2 2 34 2" xfId="15514"/>
    <cellStyle name="Обычный 2 2 34 2 2" xfId="15515"/>
    <cellStyle name="Обычный 2 2 34 2 2 2" xfId="15516"/>
    <cellStyle name="Обычный 2 2 34 2 2 2 2" xfId="15517"/>
    <cellStyle name="Обычный 2 2 34 2 3" xfId="15518"/>
    <cellStyle name="Обычный 2 2 34 3" xfId="15519"/>
    <cellStyle name="Обычный 2 2 34 3 2" xfId="15520"/>
    <cellStyle name="Обычный 2 2 35" xfId="15521"/>
    <cellStyle name="Обычный 2 2 35 2" xfId="15522"/>
    <cellStyle name="Обычный 2 2 35 2 2" xfId="15523"/>
    <cellStyle name="Обычный 2 2 36" xfId="15524"/>
    <cellStyle name="Обычный 2 2 4" xfId="3404"/>
    <cellStyle name="Обычный 2 2 4 10" xfId="15525"/>
    <cellStyle name="Обычный 2 2 4 11" xfId="15526"/>
    <cellStyle name="Обычный 2 2 4 12" xfId="15527"/>
    <cellStyle name="Обычный 2 2 4 2" xfId="3405"/>
    <cellStyle name="Обычный 2 2 4 2 10" xfId="15528"/>
    <cellStyle name="Обычный 2 2 4 2 11" xfId="15529"/>
    <cellStyle name="Обычный 2 2 4 2 12" xfId="15530"/>
    <cellStyle name="Обычный 2 2 4 2 2" xfId="3406"/>
    <cellStyle name="Обычный 2 2 4 2 2 2" xfId="15531"/>
    <cellStyle name="Обычный 2 2 4 2 2 3" xfId="15532"/>
    <cellStyle name="Обычный 2 2 4 2 2 4" xfId="15533"/>
    <cellStyle name="Обычный 2 2 4 2 2 5" xfId="15534"/>
    <cellStyle name="Обычный 2 2 4 2 2 6" xfId="15535"/>
    <cellStyle name="Обычный 2 2 4 2 2 7" xfId="15536"/>
    <cellStyle name="Обычный 2 2 4 2 2 8" xfId="15537"/>
    <cellStyle name="Обычный 2 2 4 2 2 9" xfId="15538"/>
    <cellStyle name="Обычный 2 2 4 2 3" xfId="3407"/>
    <cellStyle name="Обычный 2 2 4 2 3 2" xfId="15539"/>
    <cellStyle name="Обычный 2 2 4 2 3 3" xfId="15540"/>
    <cellStyle name="Обычный 2 2 4 2 3 4" xfId="15541"/>
    <cellStyle name="Обычный 2 2 4 2 3 5" xfId="15542"/>
    <cellStyle name="Обычный 2 2 4 2 3 6" xfId="15543"/>
    <cellStyle name="Обычный 2 2 4 2 3 7" xfId="15544"/>
    <cellStyle name="Обычный 2 2 4 2 3 8" xfId="15545"/>
    <cellStyle name="Обычный 2 2 4 2 3 9" xfId="15546"/>
    <cellStyle name="Обычный 2 2 4 2 4" xfId="3408"/>
    <cellStyle name="Обычный 2 2 4 2 4 2" xfId="15547"/>
    <cellStyle name="Обычный 2 2 4 2 4 3" xfId="15548"/>
    <cellStyle name="Обычный 2 2 4 2 4 4" xfId="15549"/>
    <cellStyle name="Обычный 2 2 4 2 4 5" xfId="15550"/>
    <cellStyle name="Обычный 2 2 4 2 4 6" xfId="15551"/>
    <cellStyle name="Обычный 2 2 4 2 4 7" xfId="15552"/>
    <cellStyle name="Обычный 2 2 4 2 4 8" xfId="15553"/>
    <cellStyle name="Обычный 2 2 4 2 4 9" xfId="15554"/>
    <cellStyle name="Обычный 2 2 4 2 5" xfId="15555"/>
    <cellStyle name="Обычный 2 2 4 2 6" xfId="15556"/>
    <cellStyle name="Обычный 2 2 4 2 7" xfId="15557"/>
    <cellStyle name="Обычный 2 2 4 2 8" xfId="15558"/>
    <cellStyle name="Обычный 2 2 4 2 9" xfId="15559"/>
    <cellStyle name="Обычный 2 2 4 3" xfId="3409"/>
    <cellStyle name="Обычный 2 2 4 3 10" xfId="15560"/>
    <cellStyle name="Обычный 2 2 4 3 11" xfId="15561"/>
    <cellStyle name="Обычный 2 2 4 3 2" xfId="3410"/>
    <cellStyle name="Обычный 2 2 4 3 2 2" xfId="15562"/>
    <cellStyle name="Обычный 2 2 4 3 2 3" xfId="15563"/>
    <cellStyle name="Обычный 2 2 4 3 2 4" xfId="15564"/>
    <cellStyle name="Обычный 2 2 4 3 2 5" xfId="15565"/>
    <cellStyle name="Обычный 2 2 4 3 2 6" xfId="15566"/>
    <cellStyle name="Обычный 2 2 4 3 2 7" xfId="15567"/>
    <cellStyle name="Обычный 2 2 4 3 2 8" xfId="15568"/>
    <cellStyle name="Обычный 2 2 4 3 2 9" xfId="15569"/>
    <cellStyle name="Обычный 2 2 4 3 3" xfId="3411"/>
    <cellStyle name="Обычный 2 2 4 3 3 2" xfId="15570"/>
    <cellStyle name="Обычный 2 2 4 3 3 3" xfId="15571"/>
    <cellStyle name="Обычный 2 2 4 3 3 4" xfId="15572"/>
    <cellStyle name="Обычный 2 2 4 3 3 5" xfId="15573"/>
    <cellStyle name="Обычный 2 2 4 3 3 6" xfId="15574"/>
    <cellStyle name="Обычный 2 2 4 3 3 7" xfId="15575"/>
    <cellStyle name="Обычный 2 2 4 3 3 8" xfId="15576"/>
    <cellStyle name="Обычный 2 2 4 3 3 9" xfId="15577"/>
    <cellStyle name="Обычный 2 2 4 3 4" xfId="15578"/>
    <cellStyle name="Обычный 2 2 4 3 5" xfId="15579"/>
    <cellStyle name="Обычный 2 2 4 3 6" xfId="15580"/>
    <cellStyle name="Обычный 2 2 4 3 7" xfId="15581"/>
    <cellStyle name="Обычный 2 2 4 3 8" xfId="15582"/>
    <cellStyle name="Обычный 2 2 4 3 9" xfId="15583"/>
    <cellStyle name="Обычный 2 2 4 4" xfId="3412"/>
    <cellStyle name="Обычный 2 2 4 4 2" xfId="15584"/>
    <cellStyle name="Обычный 2 2 4 4 3" xfId="15585"/>
    <cellStyle name="Обычный 2 2 4 4 4" xfId="15586"/>
    <cellStyle name="Обычный 2 2 4 4 5" xfId="15587"/>
    <cellStyle name="Обычный 2 2 4 4 6" xfId="15588"/>
    <cellStyle name="Обычный 2 2 4 4 7" xfId="15589"/>
    <cellStyle name="Обычный 2 2 4 4 8" xfId="15590"/>
    <cellStyle name="Обычный 2 2 4 4 9" xfId="15591"/>
    <cellStyle name="Обычный 2 2 4 5" xfId="15592"/>
    <cellStyle name="Обычный 2 2 4 6" xfId="15593"/>
    <cellStyle name="Обычный 2 2 4 7" xfId="15594"/>
    <cellStyle name="Обычный 2 2 4 8" xfId="15595"/>
    <cellStyle name="Обычный 2 2 4 9" xfId="15596"/>
    <cellStyle name="Обычный 2 2 5" xfId="3413"/>
    <cellStyle name="Обычный 2 2 5 10" xfId="15597"/>
    <cellStyle name="Обычный 2 2 5 11" xfId="15598"/>
    <cellStyle name="Обычный 2 2 5 12" xfId="15599"/>
    <cellStyle name="Обычный 2 2 5 2" xfId="3414"/>
    <cellStyle name="Обычный 2 2 5 2 10" xfId="15600"/>
    <cellStyle name="Обычный 2 2 5 2 11" xfId="15601"/>
    <cellStyle name="Обычный 2 2 5 2 12" xfId="15602"/>
    <cellStyle name="Обычный 2 2 5 2 2" xfId="3415"/>
    <cellStyle name="Обычный 2 2 5 2 2 2" xfId="15603"/>
    <cellStyle name="Обычный 2 2 5 2 2 3" xfId="15604"/>
    <cellStyle name="Обычный 2 2 5 2 2 4" xfId="15605"/>
    <cellStyle name="Обычный 2 2 5 2 2 5" xfId="15606"/>
    <cellStyle name="Обычный 2 2 5 2 2 6" xfId="15607"/>
    <cellStyle name="Обычный 2 2 5 2 2 7" xfId="15608"/>
    <cellStyle name="Обычный 2 2 5 2 2 8" xfId="15609"/>
    <cellStyle name="Обычный 2 2 5 2 2 9" xfId="15610"/>
    <cellStyle name="Обычный 2 2 5 2 3" xfId="3416"/>
    <cellStyle name="Обычный 2 2 5 2 3 2" xfId="15611"/>
    <cellStyle name="Обычный 2 2 5 2 3 3" xfId="15612"/>
    <cellStyle name="Обычный 2 2 5 2 3 4" xfId="15613"/>
    <cellStyle name="Обычный 2 2 5 2 3 5" xfId="15614"/>
    <cellStyle name="Обычный 2 2 5 2 3 6" xfId="15615"/>
    <cellStyle name="Обычный 2 2 5 2 3 7" xfId="15616"/>
    <cellStyle name="Обычный 2 2 5 2 3 8" xfId="15617"/>
    <cellStyle name="Обычный 2 2 5 2 3 9" xfId="15618"/>
    <cellStyle name="Обычный 2 2 5 2 4" xfId="3417"/>
    <cellStyle name="Обычный 2 2 5 2 4 2" xfId="15619"/>
    <cellStyle name="Обычный 2 2 5 2 4 3" xfId="15620"/>
    <cellStyle name="Обычный 2 2 5 2 4 4" xfId="15621"/>
    <cellStyle name="Обычный 2 2 5 2 4 5" xfId="15622"/>
    <cellStyle name="Обычный 2 2 5 2 4 6" xfId="15623"/>
    <cellStyle name="Обычный 2 2 5 2 4 7" xfId="15624"/>
    <cellStyle name="Обычный 2 2 5 2 4 8" xfId="15625"/>
    <cellStyle name="Обычный 2 2 5 2 4 9" xfId="15626"/>
    <cellStyle name="Обычный 2 2 5 2 5" xfId="15627"/>
    <cellStyle name="Обычный 2 2 5 2 6" xfId="15628"/>
    <cellStyle name="Обычный 2 2 5 2 7" xfId="15629"/>
    <cellStyle name="Обычный 2 2 5 2 8" xfId="15630"/>
    <cellStyle name="Обычный 2 2 5 2 9" xfId="15631"/>
    <cellStyle name="Обычный 2 2 5 3" xfId="3418"/>
    <cellStyle name="Обычный 2 2 5 3 10" xfId="15632"/>
    <cellStyle name="Обычный 2 2 5 3 11" xfId="15633"/>
    <cellStyle name="Обычный 2 2 5 3 2" xfId="3419"/>
    <cellStyle name="Обычный 2 2 5 3 2 2" xfId="15634"/>
    <cellStyle name="Обычный 2 2 5 3 2 3" xfId="15635"/>
    <cellStyle name="Обычный 2 2 5 3 2 4" xfId="15636"/>
    <cellStyle name="Обычный 2 2 5 3 2 5" xfId="15637"/>
    <cellStyle name="Обычный 2 2 5 3 2 6" xfId="15638"/>
    <cellStyle name="Обычный 2 2 5 3 2 7" xfId="15639"/>
    <cellStyle name="Обычный 2 2 5 3 2 8" xfId="15640"/>
    <cellStyle name="Обычный 2 2 5 3 2 9" xfId="15641"/>
    <cellStyle name="Обычный 2 2 5 3 3" xfId="3420"/>
    <cellStyle name="Обычный 2 2 5 3 3 2" xfId="15642"/>
    <cellStyle name="Обычный 2 2 5 3 3 3" xfId="15643"/>
    <cellStyle name="Обычный 2 2 5 3 3 4" xfId="15644"/>
    <cellStyle name="Обычный 2 2 5 3 3 5" xfId="15645"/>
    <cellStyle name="Обычный 2 2 5 3 3 6" xfId="15646"/>
    <cellStyle name="Обычный 2 2 5 3 3 7" xfId="15647"/>
    <cellStyle name="Обычный 2 2 5 3 3 8" xfId="15648"/>
    <cellStyle name="Обычный 2 2 5 3 3 9" xfId="15649"/>
    <cellStyle name="Обычный 2 2 5 3 4" xfId="15650"/>
    <cellStyle name="Обычный 2 2 5 3 5" xfId="15651"/>
    <cellStyle name="Обычный 2 2 5 3 6" xfId="15652"/>
    <cellStyle name="Обычный 2 2 5 3 7" xfId="15653"/>
    <cellStyle name="Обычный 2 2 5 3 8" xfId="15654"/>
    <cellStyle name="Обычный 2 2 5 3 9" xfId="15655"/>
    <cellStyle name="Обычный 2 2 5 4" xfId="3421"/>
    <cellStyle name="Обычный 2 2 5 4 2" xfId="15656"/>
    <cellStyle name="Обычный 2 2 5 4 3" xfId="15657"/>
    <cellStyle name="Обычный 2 2 5 4 4" xfId="15658"/>
    <cellStyle name="Обычный 2 2 5 4 5" xfId="15659"/>
    <cellStyle name="Обычный 2 2 5 4 6" xfId="15660"/>
    <cellStyle name="Обычный 2 2 5 4 7" xfId="15661"/>
    <cellStyle name="Обычный 2 2 5 4 8" xfId="15662"/>
    <cellStyle name="Обычный 2 2 5 4 9" xfId="15663"/>
    <cellStyle name="Обычный 2 2 5 5" xfId="15664"/>
    <cellStyle name="Обычный 2 2 5 6" xfId="15665"/>
    <cellStyle name="Обычный 2 2 5 7" xfId="15666"/>
    <cellStyle name="Обычный 2 2 5 8" xfId="15667"/>
    <cellStyle name="Обычный 2 2 5 9" xfId="15668"/>
    <cellStyle name="Обычный 2 2 6" xfId="3422"/>
    <cellStyle name="Обычный 2 2 6 10" xfId="15669"/>
    <cellStyle name="Обычный 2 2 6 11" xfId="15670"/>
    <cellStyle name="Обычный 2 2 6 12" xfId="15671"/>
    <cellStyle name="Обычный 2 2 6 2" xfId="3423"/>
    <cellStyle name="Обычный 2 2 6 2 10" xfId="15672"/>
    <cellStyle name="Обычный 2 2 6 2 11" xfId="15673"/>
    <cellStyle name="Обычный 2 2 6 2 12" xfId="15674"/>
    <cellStyle name="Обычный 2 2 6 2 2" xfId="3424"/>
    <cellStyle name="Обычный 2 2 6 2 2 2" xfId="15675"/>
    <cellStyle name="Обычный 2 2 6 2 2 3" xfId="15676"/>
    <cellStyle name="Обычный 2 2 6 2 2 4" xfId="15677"/>
    <cellStyle name="Обычный 2 2 6 2 2 5" xfId="15678"/>
    <cellStyle name="Обычный 2 2 6 2 2 6" xfId="15679"/>
    <cellStyle name="Обычный 2 2 6 2 2 7" xfId="15680"/>
    <cellStyle name="Обычный 2 2 6 2 2 8" xfId="15681"/>
    <cellStyle name="Обычный 2 2 6 2 2 9" xfId="15682"/>
    <cellStyle name="Обычный 2 2 6 2 3" xfId="3425"/>
    <cellStyle name="Обычный 2 2 6 2 3 2" xfId="15683"/>
    <cellStyle name="Обычный 2 2 6 2 3 3" xfId="15684"/>
    <cellStyle name="Обычный 2 2 6 2 3 4" xfId="15685"/>
    <cellStyle name="Обычный 2 2 6 2 3 5" xfId="15686"/>
    <cellStyle name="Обычный 2 2 6 2 3 6" xfId="15687"/>
    <cellStyle name="Обычный 2 2 6 2 3 7" xfId="15688"/>
    <cellStyle name="Обычный 2 2 6 2 3 8" xfId="15689"/>
    <cellStyle name="Обычный 2 2 6 2 3 9" xfId="15690"/>
    <cellStyle name="Обычный 2 2 6 2 4" xfId="3426"/>
    <cellStyle name="Обычный 2 2 6 2 4 2" xfId="15691"/>
    <cellStyle name="Обычный 2 2 6 2 4 3" xfId="15692"/>
    <cellStyle name="Обычный 2 2 6 2 4 4" xfId="15693"/>
    <cellStyle name="Обычный 2 2 6 2 4 5" xfId="15694"/>
    <cellStyle name="Обычный 2 2 6 2 4 6" xfId="15695"/>
    <cellStyle name="Обычный 2 2 6 2 4 7" xfId="15696"/>
    <cellStyle name="Обычный 2 2 6 2 4 8" xfId="15697"/>
    <cellStyle name="Обычный 2 2 6 2 4 9" xfId="15698"/>
    <cellStyle name="Обычный 2 2 6 2 5" xfId="15699"/>
    <cellStyle name="Обычный 2 2 6 2 6" xfId="15700"/>
    <cellStyle name="Обычный 2 2 6 2 7" xfId="15701"/>
    <cellStyle name="Обычный 2 2 6 2 8" xfId="15702"/>
    <cellStyle name="Обычный 2 2 6 2 9" xfId="15703"/>
    <cellStyle name="Обычный 2 2 6 3" xfId="3427"/>
    <cellStyle name="Обычный 2 2 6 3 10" xfId="15704"/>
    <cellStyle name="Обычный 2 2 6 3 11" xfId="15705"/>
    <cellStyle name="Обычный 2 2 6 3 2" xfId="3428"/>
    <cellStyle name="Обычный 2 2 6 3 2 2" xfId="15706"/>
    <cellStyle name="Обычный 2 2 6 3 2 3" xfId="15707"/>
    <cellStyle name="Обычный 2 2 6 3 2 4" xfId="15708"/>
    <cellStyle name="Обычный 2 2 6 3 2 5" xfId="15709"/>
    <cellStyle name="Обычный 2 2 6 3 2 6" xfId="15710"/>
    <cellStyle name="Обычный 2 2 6 3 2 7" xfId="15711"/>
    <cellStyle name="Обычный 2 2 6 3 2 8" xfId="15712"/>
    <cellStyle name="Обычный 2 2 6 3 2 9" xfId="15713"/>
    <cellStyle name="Обычный 2 2 6 3 3" xfId="3429"/>
    <cellStyle name="Обычный 2 2 6 3 3 2" xfId="15714"/>
    <cellStyle name="Обычный 2 2 6 3 3 3" xfId="15715"/>
    <cellStyle name="Обычный 2 2 6 3 3 4" xfId="15716"/>
    <cellStyle name="Обычный 2 2 6 3 3 5" xfId="15717"/>
    <cellStyle name="Обычный 2 2 6 3 3 6" xfId="15718"/>
    <cellStyle name="Обычный 2 2 6 3 3 7" xfId="15719"/>
    <cellStyle name="Обычный 2 2 6 3 3 8" xfId="15720"/>
    <cellStyle name="Обычный 2 2 6 3 3 9" xfId="15721"/>
    <cellStyle name="Обычный 2 2 6 3 4" xfId="15722"/>
    <cellStyle name="Обычный 2 2 6 3 5" xfId="15723"/>
    <cellStyle name="Обычный 2 2 6 3 6" xfId="15724"/>
    <cellStyle name="Обычный 2 2 6 3 7" xfId="15725"/>
    <cellStyle name="Обычный 2 2 6 3 8" xfId="15726"/>
    <cellStyle name="Обычный 2 2 6 3 9" xfId="15727"/>
    <cellStyle name="Обычный 2 2 6 4" xfId="3430"/>
    <cellStyle name="Обычный 2 2 6 4 2" xfId="15728"/>
    <cellStyle name="Обычный 2 2 6 4 3" xfId="15729"/>
    <cellStyle name="Обычный 2 2 6 4 4" xfId="15730"/>
    <cellStyle name="Обычный 2 2 6 4 5" xfId="15731"/>
    <cellStyle name="Обычный 2 2 6 4 6" xfId="15732"/>
    <cellStyle name="Обычный 2 2 6 4 7" xfId="15733"/>
    <cellStyle name="Обычный 2 2 6 4 8" xfId="15734"/>
    <cellStyle name="Обычный 2 2 6 4 9" xfId="15735"/>
    <cellStyle name="Обычный 2 2 6 5" xfId="15736"/>
    <cellStyle name="Обычный 2 2 6 6" xfId="15737"/>
    <cellStyle name="Обычный 2 2 6 7" xfId="15738"/>
    <cellStyle name="Обычный 2 2 6 8" xfId="15739"/>
    <cellStyle name="Обычный 2 2 6 9" xfId="15740"/>
    <cellStyle name="Обычный 2 2 7" xfId="3431"/>
    <cellStyle name="Обычный 2 2 7 10" xfId="15741"/>
    <cellStyle name="Обычный 2 2 7 11" xfId="15742"/>
    <cellStyle name="Обычный 2 2 7 12" xfId="15743"/>
    <cellStyle name="Обычный 2 2 7 2" xfId="3432"/>
    <cellStyle name="Обычный 2 2 7 2 10" xfId="15744"/>
    <cellStyle name="Обычный 2 2 7 2 11" xfId="15745"/>
    <cellStyle name="Обычный 2 2 7 2 12" xfId="15746"/>
    <cellStyle name="Обычный 2 2 7 2 2" xfId="3433"/>
    <cellStyle name="Обычный 2 2 7 2 2 2" xfId="15747"/>
    <cellStyle name="Обычный 2 2 7 2 2 3" xfId="15748"/>
    <cellStyle name="Обычный 2 2 7 2 2 4" xfId="15749"/>
    <cellStyle name="Обычный 2 2 7 2 2 5" xfId="15750"/>
    <cellStyle name="Обычный 2 2 7 2 2 6" xfId="15751"/>
    <cellStyle name="Обычный 2 2 7 2 2 7" xfId="15752"/>
    <cellStyle name="Обычный 2 2 7 2 2 8" xfId="15753"/>
    <cellStyle name="Обычный 2 2 7 2 2 9" xfId="15754"/>
    <cellStyle name="Обычный 2 2 7 2 3" xfId="3434"/>
    <cellStyle name="Обычный 2 2 7 2 3 2" xfId="15755"/>
    <cellStyle name="Обычный 2 2 7 2 3 3" xfId="15756"/>
    <cellStyle name="Обычный 2 2 7 2 3 4" xfId="15757"/>
    <cellStyle name="Обычный 2 2 7 2 3 5" xfId="15758"/>
    <cellStyle name="Обычный 2 2 7 2 3 6" xfId="15759"/>
    <cellStyle name="Обычный 2 2 7 2 3 7" xfId="15760"/>
    <cellStyle name="Обычный 2 2 7 2 3 8" xfId="15761"/>
    <cellStyle name="Обычный 2 2 7 2 3 9" xfId="15762"/>
    <cellStyle name="Обычный 2 2 7 2 4" xfId="3435"/>
    <cellStyle name="Обычный 2 2 7 2 4 2" xfId="15763"/>
    <cellStyle name="Обычный 2 2 7 2 4 3" xfId="15764"/>
    <cellStyle name="Обычный 2 2 7 2 4 4" xfId="15765"/>
    <cellStyle name="Обычный 2 2 7 2 4 5" xfId="15766"/>
    <cellStyle name="Обычный 2 2 7 2 4 6" xfId="15767"/>
    <cellStyle name="Обычный 2 2 7 2 4 7" xfId="15768"/>
    <cellStyle name="Обычный 2 2 7 2 4 8" xfId="15769"/>
    <cellStyle name="Обычный 2 2 7 2 4 9" xfId="15770"/>
    <cellStyle name="Обычный 2 2 7 2 5" xfId="15771"/>
    <cellStyle name="Обычный 2 2 7 2 6" xfId="15772"/>
    <cellStyle name="Обычный 2 2 7 2 7" xfId="15773"/>
    <cellStyle name="Обычный 2 2 7 2 8" xfId="15774"/>
    <cellStyle name="Обычный 2 2 7 2 9" xfId="15775"/>
    <cellStyle name="Обычный 2 2 7 3" xfId="3436"/>
    <cellStyle name="Обычный 2 2 7 3 10" xfId="15776"/>
    <cellStyle name="Обычный 2 2 7 3 11" xfId="15777"/>
    <cellStyle name="Обычный 2 2 7 3 2" xfId="3437"/>
    <cellStyle name="Обычный 2 2 7 3 2 2" xfId="15778"/>
    <cellStyle name="Обычный 2 2 7 3 2 3" xfId="15779"/>
    <cellStyle name="Обычный 2 2 7 3 2 4" xfId="15780"/>
    <cellStyle name="Обычный 2 2 7 3 2 5" xfId="15781"/>
    <cellStyle name="Обычный 2 2 7 3 2 6" xfId="15782"/>
    <cellStyle name="Обычный 2 2 7 3 2 7" xfId="15783"/>
    <cellStyle name="Обычный 2 2 7 3 2 8" xfId="15784"/>
    <cellStyle name="Обычный 2 2 7 3 2 9" xfId="15785"/>
    <cellStyle name="Обычный 2 2 7 3 3" xfId="3438"/>
    <cellStyle name="Обычный 2 2 7 3 3 2" xfId="15786"/>
    <cellStyle name="Обычный 2 2 7 3 3 3" xfId="15787"/>
    <cellStyle name="Обычный 2 2 7 3 3 4" xfId="15788"/>
    <cellStyle name="Обычный 2 2 7 3 3 5" xfId="15789"/>
    <cellStyle name="Обычный 2 2 7 3 3 6" xfId="15790"/>
    <cellStyle name="Обычный 2 2 7 3 3 7" xfId="15791"/>
    <cellStyle name="Обычный 2 2 7 3 3 8" xfId="15792"/>
    <cellStyle name="Обычный 2 2 7 3 3 9" xfId="15793"/>
    <cellStyle name="Обычный 2 2 7 3 4" xfId="15794"/>
    <cellStyle name="Обычный 2 2 7 3 5" xfId="15795"/>
    <cellStyle name="Обычный 2 2 7 3 6" xfId="15796"/>
    <cellStyle name="Обычный 2 2 7 3 7" xfId="15797"/>
    <cellStyle name="Обычный 2 2 7 3 8" xfId="15798"/>
    <cellStyle name="Обычный 2 2 7 3 9" xfId="15799"/>
    <cellStyle name="Обычный 2 2 7 4" xfId="3439"/>
    <cellStyle name="Обычный 2 2 7 4 2" xfId="15800"/>
    <cellStyle name="Обычный 2 2 7 4 3" xfId="15801"/>
    <cellStyle name="Обычный 2 2 7 4 4" xfId="15802"/>
    <cellStyle name="Обычный 2 2 7 4 5" xfId="15803"/>
    <cellStyle name="Обычный 2 2 7 4 6" xfId="15804"/>
    <cellStyle name="Обычный 2 2 7 4 7" xfId="15805"/>
    <cellStyle name="Обычный 2 2 7 4 8" xfId="15806"/>
    <cellStyle name="Обычный 2 2 7 4 9" xfId="15807"/>
    <cellStyle name="Обычный 2 2 7 5" xfId="15808"/>
    <cellStyle name="Обычный 2 2 7 6" xfId="15809"/>
    <cellStyle name="Обычный 2 2 7 7" xfId="15810"/>
    <cellStyle name="Обычный 2 2 7 8" xfId="15811"/>
    <cellStyle name="Обычный 2 2 7 9" xfId="15812"/>
    <cellStyle name="Обычный 2 2 8" xfId="3440"/>
    <cellStyle name="Обычный 2 2 8 10" xfId="15813"/>
    <cellStyle name="Обычный 2 2 8 11" xfId="15814"/>
    <cellStyle name="Обычный 2 2 8 12" xfId="15815"/>
    <cellStyle name="Обычный 2 2 8 2" xfId="3441"/>
    <cellStyle name="Обычный 2 2 8 2 10" xfId="15816"/>
    <cellStyle name="Обычный 2 2 8 2 11" xfId="15817"/>
    <cellStyle name="Обычный 2 2 8 2 12" xfId="15818"/>
    <cellStyle name="Обычный 2 2 8 2 2" xfId="3442"/>
    <cellStyle name="Обычный 2 2 8 2 2 2" xfId="15819"/>
    <cellStyle name="Обычный 2 2 8 2 2 3" xfId="15820"/>
    <cellStyle name="Обычный 2 2 8 2 2 4" xfId="15821"/>
    <cellStyle name="Обычный 2 2 8 2 2 5" xfId="15822"/>
    <cellStyle name="Обычный 2 2 8 2 2 6" xfId="15823"/>
    <cellStyle name="Обычный 2 2 8 2 2 7" xfId="15824"/>
    <cellStyle name="Обычный 2 2 8 2 2 8" xfId="15825"/>
    <cellStyle name="Обычный 2 2 8 2 2 9" xfId="15826"/>
    <cellStyle name="Обычный 2 2 8 2 3" xfId="3443"/>
    <cellStyle name="Обычный 2 2 8 2 3 2" xfId="15827"/>
    <cellStyle name="Обычный 2 2 8 2 3 3" xfId="15828"/>
    <cellStyle name="Обычный 2 2 8 2 3 4" xfId="15829"/>
    <cellStyle name="Обычный 2 2 8 2 3 5" xfId="15830"/>
    <cellStyle name="Обычный 2 2 8 2 3 6" xfId="15831"/>
    <cellStyle name="Обычный 2 2 8 2 3 7" xfId="15832"/>
    <cellStyle name="Обычный 2 2 8 2 3 8" xfId="15833"/>
    <cellStyle name="Обычный 2 2 8 2 3 9" xfId="15834"/>
    <cellStyle name="Обычный 2 2 8 2 4" xfId="3444"/>
    <cellStyle name="Обычный 2 2 8 2 4 2" xfId="15835"/>
    <cellStyle name="Обычный 2 2 8 2 4 3" xfId="15836"/>
    <cellStyle name="Обычный 2 2 8 2 4 4" xfId="15837"/>
    <cellStyle name="Обычный 2 2 8 2 4 5" xfId="15838"/>
    <cellStyle name="Обычный 2 2 8 2 4 6" xfId="15839"/>
    <cellStyle name="Обычный 2 2 8 2 4 7" xfId="15840"/>
    <cellStyle name="Обычный 2 2 8 2 4 8" xfId="15841"/>
    <cellStyle name="Обычный 2 2 8 2 4 9" xfId="15842"/>
    <cellStyle name="Обычный 2 2 8 2 5" xfId="15843"/>
    <cellStyle name="Обычный 2 2 8 2 6" xfId="15844"/>
    <cellStyle name="Обычный 2 2 8 2 7" xfId="15845"/>
    <cellStyle name="Обычный 2 2 8 2 8" xfId="15846"/>
    <cellStyle name="Обычный 2 2 8 2 9" xfId="15847"/>
    <cellStyle name="Обычный 2 2 8 3" xfId="3445"/>
    <cellStyle name="Обычный 2 2 8 3 10" xfId="15848"/>
    <cellStyle name="Обычный 2 2 8 3 11" xfId="15849"/>
    <cellStyle name="Обычный 2 2 8 3 2" xfId="3446"/>
    <cellStyle name="Обычный 2 2 8 3 2 2" xfId="15850"/>
    <cellStyle name="Обычный 2 2 8 3 2 3" xfId="15851"/>
    <cellStyle name="Обычный 2 2 8 3 2 4" xfId="15852"/>
    <cellStyle name="Обычный 2 2 8 3 2 5" xfId="15853"/>
    <cellStyle name="Обычный 2 2 8 3 2 6" xfId="15854"/>
    <cellStyle name="Обычный 2 2 8 3 2 7" xfId="15855"/>
    <cellStyle name="Обычный 2 2 8 3 2 8" xfId="15856"/>
    <cellStyle name="Обычный 2 2 8 3 2 9" xfId="15857"/>
    <cellStyle name="Обычный 2 2 8 3 3" xfId="3447"/>
    <cellStyle name="Обычный 2 2 8 3 3 2" xfId="15858"/>
    <cellStyle name="Обычный 2 2 8 3 3 3" xfId="15859"/>
    <cellStyle name="Обычный 2 2 8 3 3 4" xfId="15860"/>
    <cellStyle name="Обычный 2 2 8 3 3 5" xfId="15861"/>
    <cellStyle name="Обычный 2 2 8 3 3 6" xfId="15862"/>
    <cellStyle name="Обычный 2 2 8 3 3 7" xfId="15863"/>
    <cellStyle name="Обычный 2 2 8 3 3 8" xfId="15864"/>
    <cellStyle name="Обычный 2 2 8 3 3 9" xfId="15865"/>
    <cellStyle name="Обычный 2 2 8 3 4" xfId="15866"/>
    <cellStyle name="Обычный 2 2 8 3 5" xfId="15867"/>
    <cellStyle name="Обычный 2 2 8 3 6" xfId="15868"/>
    <cellStyle name="Обычный 2 2 8 3 7" xfId="15869"/>
    <cellStyle name="Обычный 2 2 8 3 8" xfId="15870"/>
    <cellStyle name="Обычный 2 2 8 3 9" xfId="15871"/>
    <cellStyle name="Обычный 2 2 8 4" xfId="3448"/>
    <cellStyle name="Обычный 2 2 8 4 2" xfId="15872"/>
    <cellStyle name="Обычный 2 2 8 4 3" xfId="15873"/>
    <cellStyle name="Обычный 2 2 8 4 4" xfId="15874"/>
    <cellStyle name="Обычный 2 2 8 4 5" xfId="15875"/>
    <cellStyle name="Обычный 2 2 8 4 6" xfId="15876"/>
    <cellStyle name="Обычный 2 2 8 4 7" xfId="15877"/>
    <cellStyle name="Обычный 2 2 8 4 8" xfId="15878"/>
    <cellStyle name="Обычный 2 2 8 4 9" xfId="15879"/>
    <cellStyle name="Обычный 2 2 8 5" xfId="15880"/>
    <cellStyle name="Обычный 2 2 8 6" xfId="15881"/>
    <cellStyle name="Обычный 2 2 8 7" xfId="15882"/>
    <cellStyle name="Обычный 2 2 8 8" xfId="15883"/>
    <cellStyle name="Обычный 2 2 8 9" xfId="15884"/>
    <cellStyle name="Обычный 2 2 9" xfId="3449"/>
    <cellStyle name="Обычный 2 2 9 10" xfId="15885"/>
    <cellStyle name="Обычный 2 2 9 11" xfId="15886"/>
    <cellStyle name="Обычный 2 2 9 12" xfId="15887"/>
    <cellStyle name="Обычный 2 2 9 2" xfId="3450"/>
    <cellStyle name="Обычный 2 2 9 2 10" xfId="15888"/>
    <cellStyle name="Обычный 2 2 9 2 11" xfId="15889"/>
    <cellStyle name="Обычный 2 2 9 2 12" xfId="15890"/>
    <cellStyle name="Обычный 2 2 9 2 2" xfId="3451"/>
    <cellStyle name="Обычный 2 2 9 2 2 2" xfId="15891"/>
    <cellStyle name="Обычный 2 2 9 2 2 3" xfId="15892"/>
    <cellStyle name="Обычный 2 2 9 2 2 4" xfId="15893"/>
    <cellStyle name="Обычный 2 2 9 2 2 5" xfId="15894"/>
    <cellStyle name="Обычный 2 2 9 2 2 6" xfId="15895"/>
    <cellStyle name="Обычный 2 2 9 2 2 7" xfId="15896"/>
    <cellStyle name="Обычный 2 2 9 2 2 8" xfId="15897"/>
    <cellStyle name="Обычный 2 2 9 2 2 9" xfId="15898"/>
    <cellStyle name="Обычный 2 2 9 2 3" xfId="3452"/>
    <cellStyle name="Обычный 2 2 9 2 3 2" xfId="15899"/>
    <cellStyle name="Обычный 2 2 9 2 3 3" xfId="15900"/>
    <cellStyle name="Обычный 2 2 9 2 3 4" xfId="15901"/>
    <cellStyle name="Обычный 2 2 9 2 3 5" xfId="15902"/>
    <cellStyle name="Обычный 2 2 9 2 3 6" xfId="15903"/>
    <cellStyle name="Обычный 2 2 9 2 3 7" xfId="15904"/>
    <cellStyle name="Обычный 2 2 9 2 3 8" xfId="15905"/>
    <cellStyle name="Обычный 2 2 9 2 3 9" xfId="15906"/>
    <cellStyle name="Обычный 2 2 9 2 4" xfId="3453"/>
    <cellStyle name="Обычный 2 2 9 2 4 2" xfId="15907"/>
    <cellStyle name="Обычный 2 2 9 2 4 3" xfId="15908"/>
    <cellStyle name="Обычный 2 2 9 2 4 4" xfId="15909"/>
    <cellStyle name="Обычный 2 2 9 2 4 5" xfId="15910"/>
    <cellStyle name="Обычный 2 2 9 2 4 6" xfId="15911"/>
    <cellStyle name="Обычный 2 2 9 2 4 7" xfId="15912"/>
    <cellStyle name="Обычный 2 2 9 2 4 8" xfId="15913"/>
    <cellStyle name="Обычный 2 2 9 2 4 9" xfId="15914"/>
    <cellStyle name="Обычный 2 2 9 2 5" xfId="15915"/>
    <cellStyle name="Обычный 2 2 9 2 6" xfId="15916"/>
    <cellStyle name="Обычный 2 2 9 2 7" xfId="15917"/>
    <cellStyle name="Обычный 2 2 9 2 8" xfId="15918"/>
    <cellStyle name="Обычный 2 2 9 2 9" xfId="15919"/>
    <cellStyle name="Обычный 2 2 9 3" xfId="3454"/>
    <cellStyle name="Обычный 2 2 9 3 10" xfId="15920"/>
    <cellStyle name="Обычный 2 2 9 3 11" xfId="15921"/>
    <cellStyle name="Обычный 2 2 9 3 2" xfId="3455"/>
    <cellStyle name="Обычный 2 2 9 3 2 2" xfId="15922"/>
    <cellStyle name="Обычный 2 2 9 3 2 3" xfId="15923"/>
    <cellStyle name="Обычный 2 2 9 3 2 4" xfId="15924"/>
    <cellStyle name="Обычный 2 2 9 3 2 5" xfId="15925"/>
    <cellStyle name="Обычный 2 2 9 3 2 6" xfId="15926"/>
    <cellStyle name="Обычный 2 2 9 3 2 7" xfId="15927"/>
    <cellStyle name="Обычный 2 2 9 3 2 8" xfId="15928"/>
    <cellStyle name="Обычный 2 2 9 3 2 9" xfId="15929"/>
    <cellStyle name="Обычный 2 2 9 3 3" xfId="3456"/>
    <cellStyle name="Обычный 2 2 9 3 3 2" xfId="15930"/>
    <cellStyle name="Обычный 2 2 9 3 3 3" xfId="15931"/>
    <cellStyle name="Обычный 2 2 9 3 3 4" xfId="15932"/>
    <cellStyle name="Обычный 2 2 9 3 3 5" xfId="15933"/>
    <cellStyle name="Обычный 2 2 9 3 3 6" xfId="15934"/>
    <cellStyle name="Обычный 2 2 9 3 3 7" xfId="15935"/>
    <cellStyle name="Обычный 2 2 9 3 3 8" xfId="15936"/>
    <cellStyle name="Обычный 2 2 9 3 3 9" xfId="15937"/>
    <cellStyle name="Обычный 2 2 9 3 4" xfId="15938"/>
    <cellStyle name="Обычный 2 2 9 3 5" xfId="15939"/>
    <cellStyle name="Обычный 2 2 9 3 6" xfId="15940"/>
    <cellStyle name="Обычный 2 2 9 3 7" xfId="15941"/>
    <cellStyle name="Обычный 2 2 9 3 8" xfId="15942"/>
    <cellStyle name="Обычный 2 2 9 3 9" xfId="15943"/>
    <cellStyle name="Обычный 2 2 9 4" xfId="3457"/>
    <cellStyle name="Обычный 2 2 9 4 2" xfId="15944"/>
    <cellStyle name="Обычный 2 2 9 4 3" xfId="15945"/>
    <cellStyle name="Обычный 2 2 9 4 4" xfId="15946"/>
    <cellStyle name="Обычный 2 2 9 4 5" xfId="15947"/>
    <cellStyle name="Обычный 2 2 9 4 6" xfId="15948"/>
    <cellStyle name="Обычный 2 2 9 4 7" xfId="15949"/>
    <cellStyle name="Обычный 2 2 9 4 8" xfId="15950"/>
    <cellStyle name="Обычный 2 2 9 4 9" xfId="15951"/>
    <cellStyle name="Обычный 2 2 9 5" xfId="15952"/>
    <cellStyle name="Обычный 2 2 9 6" xfId="15953"/>
    <cellStyle name="Обычный 2 2 9 7" xfId="15954"/>
    <cellStyle name="Обычный 2 2 9 8" xfId="15955"/>
    <cellStyle name="Обычный 2 2 9 9" xfId="15956"/>
    <cellStyle name="Обычный 2 20" xfId="3458"/>
    <cellStyle name="Обычный 2 20 2" xfId="3459"/>
    <cellStyle name="Обычный 2 20 2 2" xfId="3460"/>
    <cellStyle name="Обычный 2 20 2 3" xfId="3461"/>
    <cellStyle name="Обычный 2 20 3" xfId="3462"/>
    <cellStyle name="Обычный 2 20 4" xfId="3463"/>
    <cellStyle name="Обычный 2 20 4 2" xfId="15957"/>
    <cellStyle name="Обычный 2 20 4 3" xfId="15958"/>
    <cellStyle name="Обычный 2 20 4 4" xfId="15959"/>
    <cellStyle name="Обычный 2 20 4 5" xfId="15960"/>
    <cellStyle name="Обычный 2 20 5" xfId="15961"/>
    <cellStyle name="Обычный 2 20 6" xfId="15962"/>
    <cellStyle name="Обычный 2 20 7" xfId="15963"/>
    <cellStyle name="Обычный 2 20 8" xfId="15964"/>
    <cellStyle name="Обычный 2 21" xfId="3464"/>
    <cellStyle name="Обычный 2 21 2" xfId="3465"/>
    <cellStyle name="Обычный 2 21 2 2" xfId="3466"/>
    <cellStyle name="Обычный 2 21 2 3" xfId="3467"/>
    <cellStyle name="Обычный 2 21 3" xfId="3468"/>
    <cellStyle name="Обычный 2 21 4" xfId="3469"/>
    <cellStyle name="Обычный 2 21 4 2" xfId="15965"/>
    <cellStyle name="Обычный 2 21 4 3" xfId="15966"/>
    <cellStyle name="Обычный 2 21 4 4" xfId="15967"/>
    <cellStyle name="Обычный 2 21 4 5" xfId="15968"/>
    <cellStyle name="Обычный 2 21 5" xfId="15969"/>
    <cellStyle name="Обычный 2 21 6" xfId="15970"/>
    <cellStyle name="Обычный 2 21 7" xfId="15971"/>
    <cellStyle name="Обычный 2 21 8" xfId="15972"/>
    <cellStyle name="Обычный 2 22" xfId="3470"/>
    <cellStyle name="Обычный 2 22 2" xfId="3471"/>
    <cellStyle name="Обычный 2 22 2 2" xfId="3472"/>
    <cellStyle name="Обычный 2 22 2 3" xfId="3473"/>
    <cellStyle name="Обычный 2 22 3" xfId="3474"/>
    <cellStyle name="Обычный 2 22 4" xfId="3475"/>
    <cellStyle name="Обычный 2 22 4 2" xfId="15973"/>
    <cellStyle name="Обычный 2 22 4 3" xfId="15974"/>
    <cellStyle name="Обычный 2 22 4 4" xfId="15975"/>
    <cellStyle name="Обычный 2 22 4 5" xfId="15976"/>
    <cellStyle name="Обычный 2 22 5" xfId="15977"/>
    <cellStyle name="Обычный 2 22 6" xfId="15978"/>
    <cellStyle name="Обычный 2 22 7" xfId="15979"/>
    <cellStyle name="Обычный 2 22 8" xfId="15980"/>
    <cellStyle name="Обычный 2 23" xfId="3476"/>
    <cellStyle name="Обычный 2 23 2" xfId="3477"/>
    <cellStyle name="Обычный 2 23 2 2" xfId="3478"/>
    <cellStyle name="Обычный 2 23 2 3" xfId="3479"/>
    <cellStyle name="Обычный 2 23 3" xfId="3480"/>
    <cellStyle name="Обычный 2 23 4" xfId="3481"/>
    <cellStyle name="Обычный 2 23 4 2" xfId="15981"/>
    <cellStyle name="Обычный 2 23 4 3" xfId="15982"/>
    <cellStyle name="Обычный 2 23 4 4" xfId="15983"/>
    <cellStyle name="Обычный 2 23 4 5" xfId="15984"/>
    <cellStyle name="Обычный 2 23 5" xfId="15985"/>
    <cellStyle name="Обычный 2 23 6" xfId="15986"/>
    <cellStyle name="Обычный 2 23 7" xfId="15987"/>
    <cellStyle name="Обычный 2 23 8" xfId="15988"/>
    <cellStyle name="Обычный 2 24" xfId="3482"/>
    <cellStyle name="Обычный 2 24 2" xfId="3483"/>
    <cellStyle name="Обычный 2 24 2 2" xfId="3484"/>
    <cellStyle name="Обычный 2 24 2 3" xfId="3485"/>
    <cellStyle name="Обычный 2 24 3" xfId="3486"/>
    <cellStyle name="Обычный 2 24 4" xfId="3487"/>
    <cellStyle name="Обычный 2 24 4 2" xfId="15989"/>
    <cellStyle name="Обычный 2 24 4 3" xfId="15990"/>
    <cellStyle name="Обычный 2 24 4 4" xfId="15991"/>
    <cellStyle name="Обычный 2 24 4 5" xfId="15992"/>
    <cellStyle name="Обычный 2 24 5" xfId="15993"/>
    <cellStyle name="Обычный 2 24 6" xfId="15994"/>
    <cellStyle name="Обычный 2 24 7" xfId="15995"/>
    <cellStyle name="Обычный 2 24 8" xfId="15996"/>
    <cellStyle name="Обычный 2 25" xfId="3488"/>
    <cellStyle name="Обычный 2 25 2" xfId="3489"/>
    <cellStyle name="Обычный 2 25 2 2" xfId="3490"/>
    <cellStyle name="Обычный 2 25 2 3" xfId="3491"/>
    <cellStyle name="Обычный 2 25 3" xfId="3492"/>
    <cellStyle name="Обычный 2 25 4" xfId="3493"/>
    <cellStyle name="Обычный 2 25 4 2" xfId="15997"/>
    <cellStyle name="Обычный 2 25 4 3" xfId="15998"/>
    <cellStyle name="Обычный 2 25 4 4" xfId="15999"/>
    <cellStyle name="Обычный 2 25 4 5" xfId="16000"/>
    <cellStyle name="Обычный 2 25 5" xfId="16001"/>
    <cellStyle name="Обычный 2 25 6" xfId="16002"/>
    <cellStyle name="Обычный 2 25 7" xfId="16003"/>
    <cellStyle name="Обычный 2 25 8" xfId="16004"/>
    <cellStyle name="Обычный 2 26" xfId="3494"/>
    <cellStyle name="Обычный 2 26 2" xfId="3495"/>
    <cellStyle name="Обычный 2 26 2 2" xfId="3496"/>
    <cellStyle name="Обычный 2 26 2 3" xfId="3497"/>
    <cellStyle name="Обычный 2 26 3" xfId="3498"/>
    <cellStyle name="Обычный 2 26 4" xfId="3499"/>
    <cellStyle name="Обычный 2 26 4 2" xfId="16005"/>
    <cellStyle name="Обычный 2 26 4 3" xfId="16006"/>
    <cellStyle name="Обычный 2 26 4 4" xfId="16007"/>
    <cellStyle name="Обычный 2 26 4 5" xfId="16008"/>
    <cellStyle name="Обычный 2 26 5" xfId="16009"/>
    <cellStyle name="Обычный 2 26 6" xfId="16010"/>
    <cellStyle name="Обычный 2 26 7" xfId="16011"/>
    <cellStyle name="Обычный 2 26 8" xfId="16012"/>
    <cellStyle name="Обычный 2 27" xfId="3500"/>
    <cellStyle name="Обычный 2 27 10" xfId="16013"/>
    <cellStyle name="Обычный 2 27 2" xfId="3501"/>
    <cellStyle name="Обычный 2 27 2 2" xfId="3502"/>
    <cellStyle name="Обычный 2 27 2 2 2" xfId="3503"/>
    <cellStyle name="Обычный 2 27 2 2 3" xfId="3504"/>
    <cellStyle name="Обычный 2 27 2 3" xfId="3505"/>
    <cellStyle name="Обычный 2 27 2 4" xfId="3506"/>
    <cellStyle name="Обычный 2 27 3" xfId="3507"/>
    <cellStyle name="Обычный 2 27 3 2" xfId="3508"/>
    <cellStyle name="Обычный 2 27 3 2 2" xfId="3509"/>
    <cellStyle name="Обычный 2 27 3 2 3" xfId="3510"/>
    <cellStyle name="Обычный 2 27 3 3" xfId="3511"/>
    <cellStyle name="Обычный 2 27 3 4" xfId="3512"/>
    <cellStyle name="Обычный 2 27 4" xfId="3513"/>
    <cellStyle name="Обычный 2 27 4 2" xfId="3514"/>
    <cellStyle name="Обычный 2 27 4 3" xfId="3515"/>
    <cellStyle name="Обычный 2 27 5" xfId="3516"/>
    <cellStyle name="Обычный 2 27 6" xfId="3517"/>
    <cellStyle name="Обычный 2 27 6 2" xfId="16014"/>
    <cellStyle name="Обычный 2 27 6 3" xfId="16015"/>
    <cellStyle name="Обычный 2 27 6 4" xfId="16016"/>
    <cellStyle name="Обычный 2 27 6 5" xfId="16017"/>
    <cellStyle name="Обычный 2 27 7" xfId="16018"/>
    <cellStyle name="Обычный 2 27 8" xfId="16019"/>
    <cellStyle name="Обычный 2 27 9" xfId="16020"/>
    <cellStyle name="Обычный 2 28" xfId="3518"/>
    <cellStyle name="Обычный 2 28 2" xfId="3519"/>
    <cellStyle name="Обычный 2 28 2 2" xfId="3520"/>
    <cellStyle name="Обычный 2 28 2 3" xfId="3521"/>
    <cellStyle name="Обычный 2 28 3" xfId="3522"/>
    <cellStyle name="Обычный 2 28 4" xfId="3523"/>
    <cellStyle name="Обычный 2 28 4 2" xfId="16021"/>
    <cellStyle name="Обычный 2 28 4 3" xfId="16022"/>
    <cellStyle name="Обычный 2 28 4 4" xfId="16023"/>
    <cellStyle name="Обычный 2 28 4 5" xfId="16024"/>
    <cellStyle name="Обычный 2 28 5" xfId="16025"/>
    <cellStyle name="Обычный 2 28 6" xfId="16026"/>
    <cellStyle name="Обычный 2 28 7" xfId="16027"/>
    <cellStyle name="Обычный 2 28 8" xfId="16028"/>
    <cellStyle name="Обычный 2 29" xfId="3524"/>
    <cellStyle name="Обычный 2 29 2" xfId="3525"/>
    <cellStyle name="Обычный 2 29 2 2" xfId="16029"/>
    <cellStyle name="Обычный 2 29 2 3" xfId="16030"/>
    <cellStyle name="Обычный 2 29 2 4" xfId="16031"/>
    <cellStyle name="Обычный 2 29 2 5" xfId="16032"/>
    <cellStyle name="Обычный 2 29 3" xfId="3526"/>
    <cellStyle name="Обычный 2 29 3 2" xfId="16033"/>
    <cellStyle name="Обычный 2 29 3 3" xfId="16034"/>
    <cellStyle name="Обычный 2 29 3 4" xfId="16035"/>
    <cellStyle name="Обычный 2 29 3 5" xfId="16036"/>
    <cellStyle name="Обычный 2 29 4" xfId="16037"/>
    <cellStyle name="Обычный 2 29 5" xfId="16038"/>
    <cellStyle name="Обычный 2 29 6" xfId="16039"/>
    <cellStyle name="Обычный 2 29 7" xfId="16040"/>
    <cellStyle name="Обычный 2 3" xfId="3527"/>
    <cellStyle name="Обычный 2 3 10" xfId="3528"/>
    <cellStyle name="Обычный 2 3 10 2" xfId="16041"/>
    <cellStyle name="Обычный 2 3 10 3" xfId="16042"/>
    <cellStyle name="Обычный 2 3 10 4" xfId="16043"/>
    <cellStyle name="Обычный 2 3 10 5" xfId="16044"/>
    <cellStyle name="Обычный 2 3 11" xfId="16045"/>
    <cellStyle name="Обычный 2 3 12" xfId="16046"/>
    <cellStyle name="Обычный 2 3 13" xfId="16047"/>
    <cellStyle name="Обычный 2 3 14" xfId="16048"/>
    <cellStyle name="Обычный 2 3 2" xfId="3529"/>
    <cellStyle name="Обычный 2 3 2 2" xfId="3530"/>
    <cellStyle name="Обычный 2 3 2 2 2" xfId="3531"/>
    <cellStyle name="Обычный 2 3 2 2 3" xfId="3532"/>
    <cellStyle name="Обычный 2 3 2 3" xfId="3533"/>
    <cellStyle name="Обычный 2 3 2 4" xfId="3534"/>
    <cellStyle name="Обычный 2 3 2 4 2" xfId="16049"/>
    <cellStyle name="Обычный 2 3 2 4 3" xfId="16050"/>
    <cellStyle name="Обычный 2 3 2 4 4" xfId="16051"/>
    <cellStyle name="Обычный 2 3 2 4 5" xfId="16052"/>
    <cellStyle name="Обычный 2 3 2 5" xfId="16053"/>
    <cellStyle name="Обычный 2 3 2 6" xfId="16054"/>
    <cellStyle name="Обычный 2 3 2 7" xfId="16055"/>
    <cellStyle name="Обычный 2 3 2 8" xfId="16056"/>
    <cellStyle name="Обычный 2 3 3" xfId="3535"/>
    <cellStyle name="Обычный 2 3 3 2" xfId="3536"/>
    <cellStyle name="Обычный 2 3 3 2 2" xfId="3537"/>
    <cellStyle name="Обычный 2 3 3 2 3" xfId="3538"/>
    <cellStyle name="Обычный 2 3 3 3" xfId="3539"/>
    <cellStyle name="Обычный 2 3 3 4" xfId="3540"/>
    <cellStyle name="Обычный 2 3 3 4 2" xfId="16057"/>
    <cellStyle name="Обычный 2 3 3 4 3" xfId="16058"/>
    <cellStyle name="Обычный 2 3 3 4 4" xfId="16059"/>
    <cellStyle name="Обычный 2 3 3 4 5" xfId="16060"/>
    <cellStyle name="Обычный 2 3 3 5" xfId="16061"/>
    <cellStyle name="Обычный 2 3 3 6" xfId="16062"/>
    <cellStyle name="Обычный 2 3 3 7" xfId="16063"/>
    <cellStyle name="Обычный 2 3 3 8" xfId="16064"/>
    <cellStyle name="Обычный 2 3 4" xfId="3541"/>
    <cellStyle name="Обычный 2 3 4 2" xfId="3542"/>
    <cellStyle name="Обычный 2 3 4 2 2" xfId="3543"/>
    <cellStyle name="Обычный 2 3 4 2 3" xfId="3544"/>
    <cellStyle name="Обычный 2 3 4 3" xfId="3545"/>
    <cellStyle name="Обычный 2 3 4 4" xfId="3546"/>
    <cellStyle name="Обычный 2 3 4 4 2" xfId="16065"/>
    <cellStyle name="Обычный 2 3 4 4 3" xfId="16066"/>
    <cellStyle name="Обычный 2 3 4 4 4" xfId="16067"/>
    <cellStyle name="Обычный 2 3 4 4 5" xfId="16068"/>
    <cellStyle name="Обычный 2 3 4 5" xfId="16069"/>
    <cellStyle name="Обычный 2 3 4 6" xfId="16070"/>
    <cellStyle name="Обычный 2 3 4 7" xfId="16071"/>
    <cellStyle name="Обычный 2 3 4 8" xfId="16072"/>
    <cellStyle name="Обычный 2 3 5" xfId="3547"/>
    <cellStyle name="Обычный 2 3 5 2" xfId="3548"/>
    <cellStyle name="Обычный 2 3 5 2 2" xfId="3549"/>
    <cellStyle name="Обычный 2 3 5 2 3" xfId="3550"/>
    <cellStyle name="Обычный 2 3 5 3" xfId="3551"/>
    <cellStyle name="Обычный 2 3 5 4" xfId="3552"/>
    <cellStyle name="Обычный 2 3 5 4 2" xfId="16073"/>
    <cellStyle name="Обычный 2 3 5 4 3" xfId="16074"/>
    <cellStyle name="Обычный 2 3 5 4 4" xfId="16075"/>
    <cellStyle name="Обычный 2 3 5 4 5" xfId="16076"/>
    <cellStyle name="Обычный 2 3 5 5" xfId="16077"/>
    <cellStyle name="Обычный 2 3 5 6" xfId="16078"/>
    <cellStyle name="Обычный 2 3 5 7" xfId="16079"/>
    <cellStyle name="Обычный 2 3 5 8" xfId="16080"/>
    <cellStyle name="Обычный 2 3 6" xfId="3553"/>
    <cellStyle name="Обычный 2 3 6 2" xfId="3554"/>
    <cellStyle name="Обычный 2 3 6 2 2" xfId="3555"/>
    <cellStyle name="Обычный 2 3 6 2 3" xfId="3556"/>
    <cellStyle name="Обычный 2 3 6 3" xfId="3557"/>
    <cellStyle name="Обычный 2 3 6 4" xfId="3558"/>
    <cellStyle name="Обычный 2 3 6 4 2" xfId="16081"/>
    <cellStyle name="Обычный 2 3 6 4 3" xfId="16082"/>
    <cellStyle name="Обычный 2 3 6 4 4" xfId="16083"/>
    <cellStyle name="Обычный 2 3 6 4 5" xfId="16084"/>
    <cellStyle name="Обычный 2 3 6 5" xfId="16085"/>
    <cellStyle name="Обычный 2 3 6 6" xfId="16086"/>
    <cellStyle name="Обычный 2 3 6 7" xfId="16087"/>
    <cellStyle name="Обычный 2 3 6 8" xfId="16088"/>
    <cellStyle name="Обычный 2 3 7" xfId="3559"/>
    <cellStyle name="Обычный 2 3 7 2" xfId="3560"/>
    <cellStyle name="Обычный 2 3 7 2 2" xfId="3561"/>
    <cellStyle name="Обычный 2 3 7 2 3" xfId="3562"/>
    <cellStyle name="Обычный 2 3 7 3" xfId="3563"/>
    <cellStyle name="Обычный 2 3 7 4" xfId="3564"/>
    <cellStyle name="Обычный 2 3 7 4 2" xfId="16089"/>
    <cellStyle name="Обычный 2 3 7 4 3" xfId="16090"/>
    <cellStyle name="Обычный 2 3 7 4 4" xfId="16091"/>
    <cellStyle name="Обычный 2 3 7 4 5" xfId="16092"/>
    <cellStyle name="Обычный 2 3 7 5" xfId="16093"/>
    <cellStyle name="Обычный 2 3 7 6" xfId="16094"/>
    <cellStyle name="Обычный 2 3 7 7" xfId="16095"/>
    <cellStyle name="Обычный 2 3 7 8" xfId="16096"/>
    <cellStyle name="Обычный 2 3 8" xfId="3565"/>
    <cellStyle name="Обычный 2 3 8 2" xfId="3566"/>
    <cellStyle name="Обычный 2 3 8 3" xfId="3567"/>
    <cellStyle name="Обычный 2 3 9" xfId="3568"/>
    <cellStyle name="Обычный 2 30" xfId="3569"/>
    <cellStyle name="Обычный 2 30 2" xfId="16097"/>
    <cellStyle name="Обычный 2 30 3" xfId="16098"/>
    <cellStyle name="Обычный 2 30 4" xfId="16099"/>
    <cellStyle name="Обычный 2 30 5" xfId="16100"/>
    <cellStyle name="Обычный 2 31" xfId="3570"/>
    <cellStyle name="Обычный 2 31 2" xfId="16101"/>
    <cellStyle name="Обычный 2 31 3" xfId="16102"/>
    <cellStyle name="Обычный 2 31 4" xfId="16103"/>
    <cellStyle name="Обычный 2 31 5" xfId="16104"/>
    <cellStyle name="Обычный 2 32" xfId="3571"/>
    <cellStyle name="Обычный 2 32 2" xfId="16105"/>
    <cellStyle name="Обычный 2 32 3" xfId="16106"/>
    <cellStyle name="Обычный 2 32 4" xfId="16107"/>
    <cellStyle name="Обычный 2 32 5" xfId="16108"/>
    <cellStyle name="Обычный 2 33" xfId="3572"/>
    <cellStyle name="Обычный 2 33 2" xfId="16109"/>
    <cellStyle name="Обычный 2 33 3" xfId="16110"/>
    <cellStyle name="Обычный 2 33 4" xfId="16111"/>
    <cellStyle name="Обычный 2 33 5" xfId="16112"/>
    <cellStyle name="Обычный 2 33 6" xfId="16113"/>
    <cellStyle name="Обычный 2 33 7" xfId="16114"/>
    <cellStyle name="Обычный 2 33 8" xfId="16115"/>
    <cellStyle name="Обычный 2 33 9" xfId="16116"/>
    <cellStyle name="Обычный 2 34" xfId="3573"/>
    <cellStyle name="Обычный 2 34 2" xfId="16117"/>
    <cellStyle name="Обычный 2 34 3" xfId="16118"/>
    <cellStyle name="Обычный 2 34 4" xfId="16119"/>
    <cellStyle name="Обычный 2 34 5" xfId="16120"/>
    <cellStyle name="Обычный 2 34 6" xfId="16121"/>
    <cellStyle name="Обычный 2 34 7" xfId="16122"/>
    <cellStyle name="Обычный 2 34 8" xfId="16123"/>
    <cellStyle name="Обычный 2 34 9" xfId="16124"/>
    <cellStyle name="Обычный 2 35" xfId="3574"/>
    <cellStyle name="Обычный 2 36" xfId="3575"/>
    <cellStyle name="Обычный 2 37" xfId="3576"/>
    <cellStyle name="Обычный 2 37 2" xfId="16125"/>
    <cellStyle name="Обычный 2 37 3" xfId="16126"/>
    <cellStyle name="Обычный 2 37 4" xfId="16127"/>
    <cellStyle name="Обычный 2 37 5" xfId="16128"/>
    <cellStyle name="Обычный 2 38" xfId="3577"/>
    <cellStyle name="Обычный 2 38 2" xfId="16129"/>
    <cellStyle name="Обычный 2 38 3" xfId="16130"/>
    <cellStyle name="Обычный 2 38 4" xfId="16131"/>
    <cellStyle name="Обычный 2 38 5" xfId="16132"/>
    <cellStyle name="Обычный 2 39" xfId="16133"/>
    <cellStyle name="Обычный 2 39 2" xfId="16134"/>
    <cellStyle name="Обычный 2 39 3" xfId="16135"/>
    <cellStyle name="Обычный 2 39 4" xfId="16136"/>
    <cellStyle name="Обычный 2 39 5" xfId="16137"/>
    <cellStyle name="Обычный 2 4" xfId="3578"/>
    <cellStyle name="Обычный 2 4 10" xfId="16138"/>
    <cellStyle name="Обычный 2 4 11" xfId="16139"/>
    <cellStyle name="Обычный 2 4 12" xfId="16140"/>
    <cellStyle name="Обычный 2 4 13" xfId="16141"/>
    <cellStyle name="Обычный 2 4 2" xfId="3579"/>
    <cellStyle name="Обычный 2 4 2 10" xfId="16142"/>
    <cellStyle name="Обычный 2 4 2 11" xfId="16143"/>
    <cellStyle name="Обычный 2 4 2 12" xfId="16144"/>
    <cellStyle name="Обычный 2 4 2 13" xfId="16145"/>
    <cellStyle name="Обычный 2 4 2 2" xfId="3580"/>
    <cellStyle name="Обычный 2 4 2 2 10" xfId="16146"/>
    <cellStyle name="Обычный 2 4 2 2 11" xfId="16147"/>
    <cellStyle name="Обычный 2 4 2 2 12" xfId="16148"/>
    <cellStyle name="Обычный 2 4 2 2 2" xfId="3581"/>
    <cellStyle name="Обычный 2 4 2 2 2 10" xfId="16149"/>
    <cellStyle name="Обычный 2 4 2 2 2 11" xfId="16150"/>
    <cellStyle name="Обычный 2 4 2 2 2 12" xfId="16151"/>
    <cellStyle name="Обычный 2 4 2 2 2 2" xfId="3582"/>
    <cellStyle name="Обычный 2 4 2 2 2 2 2" xfId="16152"/>
    <cellStyle name="Обычный 2 4 2 2 2 2 3" xfId="16153"/>
    <cellStyle name="Обычный 2 4 2 2 2 2 4" xfId="16154"/>
    <cellStyle name="Обычный 2 4 2 2 2 2 5" xfId="16155"/>
    <cellStyle name="Обычный 2 4 2 2 2 2 6" xfId="16156"/>
    <cellStyle name="Обычный 2 4 2 2 2 2 7" xfId="16157"/>
    <cellStyle name="Обычный 2 4 2 2 2 2 8" xfId="16158"/>
    <cellStyle name="Обычный 2 4 2 2 2 2 9" xfId="16159"/>
    <cellStyle name="Обычный 2 4 2 2 2 3" xfId="3583"/>
    <cellStyle name="Обычный 2 4 2 2 2 3 2" xfId="16160"/>
    <cellStyle name="Обычный 2 4 2 2 2 3 3" xfId="16161"/>
    <cellStyle name="Обычный 2 4 2 2 2 3 4" xfId="16162"/>
    <cellStyle name="Обычный 2 4 2 2 2 3 5" xfId="16163"/>
    <cellStyle name="Обычный 2 4 2 2 2 3 6" xfId="16164"/>
    <cellStyle name="Обычный 2 4 2 2 2 3 7" xfId="16165"/>
    <cellStyle name="Обычный 2 4 2 2 2 3 8" xfId="16166"/>
    <cellStyle name="Обычный 2 4 2 2 2 3 9" xfId="16167"/>
    <cellStyle name="Обычный 2 4 2 2 2 4" xfId="3584"/>
    <cellStyle name="Обычный 2 4 2 2 2 4 2" xfId="16168"/>
    <cellStyle name="Обычный 2 4 2 2 2 4 3" xfId="16169"/>
    <cellStyle name="Обычный 2 4 2 2 2 4 4" xfId="16170"/>
    <cellStyle name="Обычный 2 4 2 2 2 4 5" xfId="16171"/>
    <cellStyle name="Обычный 2 4 2 2 2 4 6" xfId="16172"/>
    <cellStyle name="Обычный 2 4 2 2 2 4 7" xfId="16173"/>
    <cellStyle name="Обычный 2 4 2 2 2 4 8" xfId="16174"/>
    <cellStyle name="Обычный 2 4 2 2 2 4 9" xfId="16175"/>
    <cellStyle name="Обычный 2 4 2 2 2 5" xfId="16176"/>
    <cellStyle name="Обычный 2 4 2 2 2 6" xfId="16177"/>
    <cellStyle name="Обычный 2 4 2 2 2 7" xfId="16178"/>
    <cellStyle name="Обычный 2 4 2 2 2 8" xfId="16179"/>
    <cellStyle name="Обычный 2 4 2 2 2 9" xfId="16180"/>
    <cellStyle name="Обычный 2 4 2 2 3" xfId="3585"/>
    <cellStyle name="Обычный 2 4 2 2 3 10" xfId="16181"/>
    <cellStyle name="Обычный 2 4 2 2 3 11" xfId="16182"/>
    <cellStyle name="Обычный 2 4 2 2 3 2" xfId="3586"/>
    <cellStyle name="Обычный 2 4 2 2 3 2 2" xfId="16183"/>
    <cellStyle name="Обычный 2 4 2 2 3 2 3" xfId="16184"/>
    <cellStyle name="Обычный 2 4 2 2 3 2 4" xfId="16185"/>
    <cellStyle name="Обычный 2 4 2 2 3 2 5" xfId="16186"/>
    <cellStyle name="Обычный 2 4 2 2 3 2 6" xfId="16187"/>
    <cellStyle name="Обычный 2 4 2 2 3 2 7" xfId="16188"/>
    <cellStyle name="Обычный 2 4 2 2 3 2 8" xfId="16189"/>
    <cellStyle name="Обычный 2 4 2 2 3 2 9" xfId="16190"/>
    <cellStyle name="Обычный 2 4 2 2 3 3" xfId="3587"/>
    <cellStyle name="Обычный 2 4 2 2 3 3 2" xfId="16191"/>
    <cellStyle name="Обычный 2 4 2 2 3 3 3" xfId="16192"/>
    <cellStyle name="Обычный 2 4 2 2 3 3 4" xfId="16193"/>
    <cellStyle name="Обычный 2 4 2 2 3 3 5" xfId="16194"/>
    <cellStyle name="Обычный 2 4 2 2 3 3 6" xfId="16195"/>
    <cellStyle name="Обычный 2 4 2 2 3 3 7" xfId="16196"/>
    <cellStyle name="Обычный 2 4 2 2 3 3 8" xfId="16197"/>
    <cellStyle name="Обычный 2 4 2 2 3 3 9" xfId="16198"/>
    <cellStyle name="Обычный 2 4 2 2 3 4" xfId="16199"/>
    <cellStyle name="Обычный 2 4 2 2 3 5" xfId="16200"/>
    <cellStyle name="Обычный 2 4 2 2 3 6" xfId="16201"/>
    <cellStyle name="Обычный 2 4 2 2 3 7" xfId="16202"/>
    <cellStyle name="Обычный 2 4 2 2 3 8" xfId="16203"/>
    <cellStyle name="Обычный 2 4 2 2 3 9" xfId="16204"/>
    <cellStyle name="Обычный 2 4 2 2 4" xfId="3588"/>
    <cellStyle name="Обычный 2 4 2 2 4 2" xfId="16205"/>
    <cellStyle name="Обычный 2 4 2 2 4 3" xfId="16206"/>
    <cellStyle name="Обычный 2 4 2 2 4 4" xfId="16207"/>
    <cellStyle name="Обычный 2 4 2 2 4 5" xfId="16208"/>
    <cellStyle name="Обычный 2 4 2 2 4 6" xfId="16209"/>
    <cellStyle name="Обычный 2 4 2 2 4 7" xfId="16210"/>
    <cellStyle name="Обычный 2 4 2 2 4 8" xfId="16211"/>
    <cellStyle name="Обычный 2 4 2 2 4 9" xfId="16212"/>
    <cellStyle name="Обычный 2 4 2 2 5" xfId="16213"/>
    <cellStyle name="Обычный 2 4 2 2 6" xfId="16214"/>
    <cellStyle name="Обычный 2 4 2 2 7" xfId="16215"/>
    <cellStyle name="Обычный 2 4 2 2 8" xfId="16216"/>
    <cellStyle name="Обычный 2 4 2 2 9" xfId="16217"/>
    <cellStyle name="Обычный 2 4 2 3" xfId="3589"/>
    <cellStyle name="Обычный 2 4 2 3 10" xfId="16218"/>
    <cellStyle name="Обычный 2 4 2 3 11" xfId="16219"/>
    <cellStyle name="Обычный 2 4 2 3 12" xfId="16220"/>
    <cellStyle name="Обычный 2 4 2 3 2" xfId="3590"/>
    <cellStyle name="Обычный 2 4 2 3 2 2" xfId="16221"/>
    <cellStyle name="Обычный 2 4 2 3 2 3" xfId="16222"/>
    <cellStyle name="Обычный 2 4 2 3 2 4" xfId="16223"/>
    <cellStyle name="Обычный 2 4 2 3 2 5" xfId="16224"/>
    <cellStyle name="Обычный 2 4 2 3 2 6" xfId="16225"/>
    <cellStyle name="Обычный 2 4 2 3 2 7" xfId="16226"/>
    <cellStyle name="Обычный 2 4 2 3 2 8" xfId="16227"/>
    <cellStyle name="Обычный 2 4 2 3 2 9" xfId="16228"/>
    <cellStyle name="Обычный 2 4 2 3 3" xfId="3591"/>
    <cellStyle name="Обычный 2 4 2 3 3 2" xfId="16229"/>
    <cellStyle name="Обычный 2 4 2 3 3 3" xfId="16230"/>
    <cellStyle name="Обычный 2 4 2 3 3 4" xfId="16231"/>
    <cellStyle name="Обычный 2 4 2 3 3 5" xfId="16232"/>
    <cellStyle name="Обычный 2 4 2 3 3 6" xfId="16233"/>
    <cellStyle name="Обычный 2 4 2 3 3 7" xfId="16234"/>
    <cellStyle name="Обычный 2 4 2 3 3 8" xfId="16235"/>
    <cellStyle name="Обычный 2 4 2 3 3 9" xfId="16236"/>
    <cellStyle name="Обычный 2 4 2 3 4" xfId="3592"/>
    <cellStyle name="Обычный 2 4 2 3 4 2" xfId="16237"/>
    <cellStyle name="Обычный 2 4 2 3 4 3" xfId="16238"/>
    <cellStyle name="Обычный 2 4 2 3 4 4" xfId="16239"/>
    <cellStyle name="Обычный 2 4 2 3 4 5" xfId="16240"/>
    <cellStyle name="Обычный 2 4 2 3 4 6" xfId="16241"/>
    <cellStyle name="Обычный 2 4 2 3 4 7" xfId="16242"/>
    <cellStyle name="Обычный 2 4 2 3 4 8" xfId="16243"/>
    <cellStyle name="Обычный 2 4 2 3 4 9" xfId="16244"/>
    <cellStyle name="Обычный 2 4 2 3 5" xfId="16245"/>
    <cellStyle name="Обычный 2 4 2 3 6" xfId="16246"/>
    <cellStyle name="Обычный 2 4 2 3 7" xfId="16247"/>
    <cellStyle name="Обычный 2 4 2 3 8" xfId="16248"/>
    <cellStyle name="Обычный 2 4 2 3 9" xfId="16249"/>
    <cellStyle name="Обычный 2 4 2 4" xfId="3593"/>
    <cellStyle name="Обычный 2 4 2 4 10" xfId="16250"/>
    <cellStyle name="Обычный 2 4 2 4 11" xfId="16251"/>
    <cellStyle name="Обычный 2 4 2 4 2" xfId="3594"/>
    <cellStyle name="Обычный 2 4 2 4 2 2" xfId="16252"/>
    <cellStyle name="Обычный 2 4 2 4 2 3" xfId="16253"/>
    <cellStyle name="Обычный 2 4 2 4 2 4" xfId="16254"/>
    <cellStyle name="Обычный 2 4 2 4 2 5" xfId="16255"/>
    <cellStyle name="Обычный 2 4 2 4 2 6" xfId="16256"/>
    <cellStyle name="Обычный 2 4 2 4 2 7" xfId="16257"/>
    <cellStyle name="Обычный 2 4 2 4 2 8" xfId="16258"/>
    <cellStyle name="Обычный 2 4 2 4 2 9" xfId="16259"/>
    <cellStyle name="Обычный 2 4 2 4 3" xfId="3595"/>
    <cellStyle name="Обычный 2 4 2 4 3 2" xfId="16260"/>
    <cellStyle name="Обычный 2 4 2 4 3 3" xfId="16261"/>
    <cellStyle name="Обычный 2 4 2 4 3 4" xfId="16262"/>
    <cellStyle name="Обычный 2 4 2 4 3 5" xfId="16263"/>
    <cellStyle name="Обычный 2 4 2 4 3 6" xfId="16264"/>
    <cellStyle name="Обычный 2 4 2 4 3 7" xfId="16265"/>
    <cellStyle name="Обычный 2 4 2 4 3 8" xfId="16266"/>
    <cellStyle name="Обычный 2 4 2 4 3 9" xfId="16267"/>
    <cellStyle name="Обычный 2 4 2 4 4" xfId="16268"/>
    <cellStyle name="Обычный 2 4 2 4 5" xfId="16269"/>
    <cellStyle name="Обычный 2 4 2 4 6" xfId="16270"/>
    <cellStyle name="Обычный 2 4 2 4 7" xfId="16271"/>
    <cellStyle name="Обычный 2 4 2 4 8" xfId="16272"/>
    <cellStyle name="Обычный 2 4 2 4 9" xfId="16273"/>
    <cellStyle name="Обычный 2 4 2 5" xfId="3596"/>
    <cellStyle name="Обычный 2 4 2 5 2" xfId="16274"/>
    <cellStyle name="Обычный 2 4 2 5 3" xfId="16275"/>
    <cellStyle name="Обычный 2 4 2 5 4" xfId="16276"/>
    <cellStyle name="Обычный 2 4 2 5 5" xfId="16277"/>
    <cellStyle name="Обычный 2 4 2 5 6" xfId="16278"/>
    <cellStyle name="Обычный 2 4 2 5 7" xfId="16279"/>
    <cellStyle name="Обычный 2 4 2 5 8" xfId="16280"/>
    <cellStyle name="Обычный 2 4 2 5 9" xfId="16281"/>
    <cellStyle name="Обычный 2 4 2 6" xfId="16282"/>
    <cellStyle name="Обычный 2 4 2 7" xfId="16283"/>
    <cellStyle name="Обычный 2 4 2 8" xfId="16284"/>
    <cellStyle name="Обычный 2 4 2 9" xfId="16285"/>
    <cellStyle name="Обычный 2 4 3" xfId="3597"/>
    <cellStyle name="Обычный 2 4 3 10" xfId="16286"/>
    <cellStyle name="Обычный 2 4 3 11" xfId="16287"/>
    <cellStyle name="Обычный 2 4 3 12" xfId="16288"/>
    <cellStyle name="Обычный 2 4 3 2" xfId="3598"/>
    <cellStyle name="Обычный 2 4 3 2 10" xfId="16289"/>
    <cellStyle name="Обычный 2 4 3 2 11" xfId="16290"/>
    <cellStyle name="Обычный 2 4 3 2 12" xfId="16291"/>
    <cellStyle name="Обычный 2 4 3 2 2" xfId="3599"/>
    <cellStyle name="Обычный 2 4 3 2 2 2" xfId="16292"/>
    <cellStyle name="Обычный 2 4 3 2 2 3" xfId="16293"/>
    <cellStyle name="Обычный 2 4 3 2 2 4" xfId="16294"/>
    <cellStyle name="Обычный 2 4 3 2 2 5" xfId="16295"/>
    <cellStyle name="Обычный 2 4 3 2 2 6" xfId="16296"/>
    <cellStyle name="Обычный 2 4 3 2 2 7" xfId="16297"/>
    <cellStyle name="Обычный 2 4 3 2 2 8" xfId="16298"/>
    <cellStyle name="Обычный 2 4 3 2 2 9" xfId="16299"/>
    <cellStyle name="Обычный 2 4 3 2 3" xfId="3600"/>
    <cellStyle name="Обычный 2 4 3 2 3 2" xfId="16300"/>
    <cellStyle name="Обычный 2 4 3 2 3 3" xfId="16301"/>
    <cellStyle name="Обычный 2 4 3 2 3 4" xfId="16302"/>
    <cellStyle name="Обычный 2 4 3 2 3 5" xfId="16303"/>
    <cellStyle name="Обычный 2 4 3 2 3 6" xfId="16304"/>
    <cellStyle name="Обычный 2 4 3 2 3 7" xfId="16305"/>
    <cellStyle name="Обычный 2 4 3 2 3 8" xfId="16306"/>
    <cellStyle name="Обычный 2 4 3 2 3 9" xfId="16307"/>
    <cellStyle name="Обычный 2 4 3 2 4" xfId="3601"/>
    <cellStyle name="Обычный 2 4 3 2 4 2" xfId="16308"/>
    <cellStyle name="Обычный 2 4 3 2 4 3" xfId="16309"/>
    <cellStyle name="Обычный 2 4 3 2 4 4" xfId="16310"/>
    <cellStyle name="Обычный 2 4 3 2 4 5" xfId="16311"/>
    <cellStyle name="Обычный 2 4 3 2 4 6" xfId="16312"/>
    <cellStyle name="Обычный 2 4 3 2 4 7" xfId="16313"/>
    <cellStyle name="Обычный 2 4 3 2 4 8" xfId="16314"/>
    <cellStyle name="Обычный 2 4 3 2 4 9" xfId="16315"/>
    <cellStyle name="Обычный 2 4 3 2 5" xfId="16316"/>
    <cellStyle name="Обычный 2 4 3 2 6" xfId="16317"/>
    <cellStyle name="Обычный 2 4 3 2 7" xfId="16318"/>
    <cellStyle name="Обычный 2 4 3 2 8" xfId="16319"/>
    <cellStyle name="Обычный 2 4 3 2 9" xfId="16320"/>
    <cellStyle name="Обычный 2 4 3 3" xfId="3602"/>
    <cellStyle name="Обычный 2 4 3 3 10" xfId="16321"/>
    <cellStyle name="Обычный 2 4 3 3 11" xfId="16322"/>
    <cellStyle name="Обычный 2 4 3 3 2" xfId="3603"/>
    <cellStyle name="Обычный 2 4 3 3 2 2" xfId="16323"/>
    <cellStyle name="Обычный 2 4 3 3 2 3" xfId="16324"/>
    <cellStyle name="Обычный 2 4 3 3 2 4" xfId="16325"/>
    <cellStyle name="Обычный 2 4 3 3 2 5" xfId="16326"/>
    <cellStyle name="Обычный 2 4 3 3 2 6" xfId="16327"/>
    <cellStyle name="Обычный 2 4 3 3 2 7" xfId="16328"/>
    <cellStyle name="Обычный 2 4 3 3 2 8" xfId="16329"/>
    <cellStyle name="Обычный 2 4 3 3 2 9" xfId="16330"/>
    <cellStyle name="Обычный 2 4 3 3 3" xfId="3604"/>
    <cellStyle name="Обычный 2 4 3 3 3 2" xfId="16331"/>
    <cellStyle name="Обычный 2 4 3 3 3 3" xfId="16332"/>
    <cellStyle name="Обычный 2 4 3 3 3 4" xfId="16333"/>
    <cellStyle name="Обычный 2 4 3 3 3 5" xfId="16334"/>
    <cellStyle name="Обычный 2 4 3 3 3 6" xfId="16335"/>
    <cellStyle name="Обычный 2 4 3 3 3 7" xfId="16336"/>
    <cellStyle name="Обычный 2 4 3 3 3 8" xfId="16337"/>
    <cellStyle name="Обычный 2 4 3 3 3 9" xfId="16338"/>
    <cellStyle name="Обычный 2 4 3 3 4" xfId="16339"/>
    <cellStyle name="Обычный 2 4 3 3 5" xfId="16340"/>
    <cellStyle name="Обычный 2 4 3 3 6" xfId="16341"/>
    <cellStyle name="Обычный 2 4 3 3 7" xfId="16342"/>
    <cellStyle name="Обычный 2 4 3 3 8" xfId="16343"/>
    <cellStyle name="Обычный 2 4 3 3 9" xfId="16344"/>
    <cellStyle name="Обычный 2 4 3 4" xfId="3605"/>
    <cellStyle name="Обычный 2 4 3 4 2" xfId="16345"/>
    <cellStyle name="Обычный 2 4 3 4 3" xfId="16346"/>
    <cellStyle name="Обычный 2 4 3 4 4" xfId="16347"/>
    <cellStyle name="Обычный 2 4 3 4 5" xfId="16348"/>
    <cellStyle name="Обычный 2 4 3 4 6" xfId="16349"/>
    <cellStyle name="Обычный 2 4 3 4 7" xfId="16350"/>
    <cellStyle name="Обычный 2 4 3 4 8" xfId="16351"/>
    <cellStyle name="Обычный 2 4 3 4 9" xfId="16352"/>
    <cellStyle name="Обычный 2 4 3 5" xfId="16353"/>
    <cellStyle name="Обычный 2 4 3 6" xfId="16354"/>
    <cellStyle name="Обычный 2 4 3 7" xfId="16355"/>
    <cellStyle name="Обычный 2 4 3 8" xfId="16356"/>
    <cellStyle name="Обычный 2 4 3 9" xfId="16357"/>
    <cellStyle name="Обычный 2 4 4" xfId="3606"/>
    <cellStyle name="Обычный 2 4 4 10" xfId="16358"/>
    <cellStyle name="Обычный 2 4 4 11" xfId="16359"/>
    <cellStyle name="Обычный 2 4 4 12" xfId="16360"/>
    <cellStyle name="Обычный 2 4 4 2" xfId="3607"/>
    <cellStyle name="Обычный 2 4 4 2 10" xfId="16361"/>
    <cellStyle name="Обычный 2 4 4 2 11" xfId="16362"/>
    <cellStyle name="Обычный 2 4 4 2 12" xfId="16363"/>
    <cellStyle name="Обычный 2 4 4 2 2" xfId="3608"/>
    <cellStyle name="Обычный 2 4 4 2 2 2" xfId="16364"/>
    <cellStyle name="Обычный 2 4 4 2 2 3" xfId="16365"/>
    <cellStyle name="Обычный 2 4 4 2 2 4" xfId="16366"/>
    <cellStyle name="Обычный 2 4 4 2 2 5" xfId="16367"/>
    <cellStyle name="Обычный 2 4 4 2 2 6" xfId="16368"/>
    <cellStyle name="Обычный 2 4 4 2 2 7" xfId="16369"/>
    <cellStyle name="Обычный 2 4 4 2 2 8" xfId="16370"/>
    <cellStyle name="Обычный 2 4 4 2 2 9" xfId="16371"/>
    <cellStyle name="Обычный 2 4 4 2 3" xfId="3609"/>
    <cellStyle name="Обычный 2 4 4 2 3 2" xfId="16372"/>
    <cellStyle name="Обычный 2 4 4 2 3 3" xfId="16373"/>
    <cellStyle name="Обычный 2 4 4 2 3 4" xfId="16374"/>
    <cellStyle name="Обычный 2 4 4 2 3 5" xfId="16375"/>
    <cellStyle name="Обычный 2 4 4 2 3 6" xfId="16376"/>
    <cellStyle name="Обычный 2 4 4 2 3 7" xfId="16377"/>
    <cellStyle name="Обычный 2 4 4 2 3 8" xfId="16378"/>
    <cellStyle name="Обычный 2 4 4 2 3 9" xfId="16379"/>
    <cellStyle name="Обычный 2 4 4 2 4" xfId="3610"/>
    <cellStyle name="Обычный 2 4 4 2 4 2" xfId="16380"/>
    <cellStyle name="Обычный 2 4 4 2 4 3" xfId="16381"/>
    <cellStyle name="Обычный 2 4 4 2 4 4" xfId="16382"/>
    <cellStyle name="Обычный 2 4 4 2 4 5" xfId="16383"/>
    <cellStyle name="Обычный 2 4 4 2 4 6" xfId="16384"/>
    <cellStyle name="Обычный 2 4 4 2 4 7" xfId="16385"/>
    <cellStyle name="Обычный 2 4 4 2 4 8" xfId="16386"/>
    <cellStyle name="Обычный 2 4 4 2 4 9" xfId="16387"/>
    <cellStyle name="Обычный 2 4 4 2 5" xfId="16388"/>
    <cellStyle name="Обычный 2 4 4 2 6" xfId="16389"/>
    <cellStyle name="Обычный 2 4 4 2 7" xfId="16390"/>
    <cellStyle name="Обычный 2 4 4 2 8" xfId="16391"/>
    <cellStyle name="Обычный 2 4 4 2 9" xfId="16392"/>
    <cellStyle name="Обычный 2 4 4 3" xfId="3611"/>
    <cellStyle name="Обычный 2 4 4 3 10" xfId="16393"/>
    <cellStyle name="Обычный 2 4 4 3 11" xfId="16394"/>
    <cellStyle name="Обычный 2 4 4 3 2" xfId="3612"/>
    <cellStyle name="Обычный 2 4 4 3 2 2" xfId="16395"/>
    <cellStyle name="Обычный 2 4 4 3 2 3" xfId="16396"/>
    <cellStyle name="Обычный 2 4 4 3 2 4" xfId="16397"/>
    <cellStyle name="Обычный 2 4 4 3 2 5" xfId="16398"/>
    <cellStyle name="Обычный 2 4 4 3 2 6" xfId="16399"/>
    <cellStyle name="Обычный 2 4 4 3 2 7" xfId="16400"/>
    <cellStyle name="Обычный 2 4 4 3 2 8" xfId="16401"/>
    <cellStyle name="Обычный 2 4 4 3 2 9" xfId="16402"/>
    <cellStyle name="Обычный 2 4 4 3 3" xfId="3613"/>
    <cellStyle name="Обычный 2 4 4 3 3 2" xfId="16403"/>
    <cellStyle name="Обычный 2 4 4 3 3 3" xfId="16404"/>
    <cellStyle name="Обычный 2 4 4 3 3 4" xfId="16405"/>
    <cellStyle name="Обычный 2 4 4 3 3 5" xfId="16406"/>
    <cellStyle name="Обычный 2 4 4 3 3 6" xfId="16407"/>
    <cellStyle name="Обычный 2 4 4 3 3 7" xfId="16408"/>
    <cellStyle name="Обычный 2 4 4 3 3 8" xfId="16409"/>
    <cellStyle name="Обычный 2 4 4 3 3 9" xfId="16410"/>
    <cellStyle name="Обычный 2 4 4 3 4" xfId="16411"/>
    <cellStyle name="Обычный 2 4 4 3 5" xfId="16412"/>
    <cellStyle name="Обычный 2 4 4 3 6" xfId="16413"/>
    <cellStyle name="Обычный 2 4 4 3 7" xfId="16414"/>
    <cellStyle name="Обычный 2 4 4 3 8" xfId="16415"/>
    <cellStyle name="Обычный 2 4 4 3 9" xfId="16416"/>
    <cellStyle name="Обычный 2 4 4 4" xfId="3614"/>
    <cellStyle name="Обычный 2 4 4 4 2" xfId="16417"/>
    <cellStyle name="Обычный 2 4 4 4 3" xfId="16418"/>
    <cellStyle name="Обычный 2 4 4 4 4" xfId="16419"/>
    <cellStyle name="Обычный 2 4 4 4 5" xfId="16420"/>
    <cellStyle name="Обычный 2 4 4 4 6" xfId="16421"/>
    <cellStyle name="Обычный 2 4 4 4 7" xfId="16422"/>
    <cellStyle name="Обычный 2 4 4 4 8" xfId="16423"/>
    <cellStyle name="Обычный 2 4 4 4 9" xfId="16424"/>
    <cellStyle name="Обычный 2 4 4 5" xfId="16425"/>
    <cellStyle name="Обычный 2 4 4 6" xfId="16426"/>
    <cellStyle name="Обычный 2 4 4 7" xfId="16427"/>
    <cellStyle name="Обычный 2 4 4 8" xfId="16428"/>
    <cellStyle name="Обычный 2 4 4 9" xfId="16429"/>
    <cellStyle name="Обычный 2 4 5" xfId="3615"/>
    <cellStyle name="Обычный 2 4 5 10" xfId="16430"/>
    <cellStyle name="Обычный 2 4 5 11" xfId="16431"/>
    <cellStyle name="Обычный 2 4 5 12" xfId="16432"/>
    <cellStyle name="Обычный 2 4 5 2" xfId="3616"/>
    <cellStyle name="Обычный 2 4 5 2 10" xfId="16433"/>
    <cellStyle name="Обычный 2 4 5 2 11" xfId="16434"/>
    <cellStyle name="Обычный 2 4 5 2 12" xfId="16435"/>
    <cellStyle name="Обычный 2 4 5 2 2" xfId="3617"/>
    <cellStyle name="Обычный 2 4 5 2 2 2" xfId="16436"/>
    <cellStyle name="Обычный 2 4 5 2 2 3" xfId="16437"/>
    <cellStyle name="Обычный 2 4 5 2 2 4" xfId="16438"/>
    <cellStyle name="Обычный 2 4 5 2 2 5" xfId="16439"/>
    <cellStyle name="Обычный 2 4 5 2 2 6" xfId="16440"/>
    <cellStyle name="Обычный 2 4 5 2 2 7" xfId="16441"/>
    <cellStyle name="Обычный 2 4 5 2 2 8" xfId="16442"/>
    <cellStyle name="Обычный 2 4 5 2 2 9" xfId="16443"/>
    <cellStyle name="Обычный 2 4 5 2 3" xfId="3618"/>
    <cellStyle name="Обычный 2 4 5 2 3 2" xfId="16444"/>
    <cellStyle name="Обычный 2 4 5 2 3 3" xfId="16445"/>
    <cellStyle name="Обычный 2 4 5 2 3 4" xfId="16446"/>
    <cellStyle name="Обычный 2 4 5 2 3 5" xfId="16447"/>
    <cellStyle name="Обычный 2 4 5 2 3 6" xfId="16448"/>
    <cellStyle name="Обычный 2 4 5 2 3 7" xfId="16449"/>
    <cellStyle name="Обычный 2 4 5 2 3 8" xfId="16450"/>
    <cellStyle name="Обычный 2 4 5 2 3 9" xfId="16451"/>
    <cellStyle name="Обычный 2 4 5 2 4" xfId="3619"/>
    <cellStyle name="Обычный 2 4 5 2 4 2" xfId="16452"/>
    <cellStyle name="Обычный 2 4 5 2 4 3" xfId="16453"/>
    <cellStyle name="Обычный 2 4 5 2 4 4" xfId="16454"/>
    <cellStyle name="Обычный 2 4 5 2 4 5" xfId="16455"/>
    <cellStyle name="Обычный 2 4 5 2 4 6" xfId="16456"/>
    <cellStyle name="Обычный 2 4 5 2 4 7" xfId="16457"/>
    <cellStyle name="Обычный 2 4 5 2 4 8" xfId="16458"/>
    <cellStyle name="Обычный 2 4 5 2 4 9" xfId="16459"/>
    <cellStyle name="Обычный 2 4 5 2 5" xfId="16460"/>
    <cellStyle name="Обычный 2 4 5 2 6" xfId="16461"/>
    <cellStyle name="Обычный 2 4 5 2 7" xfId="16462"/>
    <cellStyle name="Обычный 2 4 5 2 8" xfId="16463"/>
    <cellStyle name="Обычный 2 4 5 2 9" xfId="16464"/>
    <cellStyle name="Обычный 2 4 5 3" xfId="3620"/>
    <cellStyle name="Обычный 2 4 5 3 10" xfId="16465"/>
    <cellStyle name="Обычный 2 4 5 3 11" xfId="16466"/>
    <cellStyle name="Обычный 2 4 5 3 2" xfId="3621"/>
    <cellStyle name="Обычный 2 4 5 3 2 2" xfId="16467"/>
    <cellStyle name="Обычный 2 4 5 3 2 3" xfId="16468"/>
    <cellStyle name="Обычный 2 4 5 3 2 4" xfId="16469"/>
    <cellStyle name="Обычный 2 4 5 3 2 5" xfId="16470"/>
    <cellStyle name="Обычный 2 4 5 3 2 6" xfId="16471"/>
    <cellStyle name="Обычный 2 4 5 3 2 7" xfId="16472"/>
    <cellStyle name="Обычный 2 4 5 3 2 8" xfId="16473"/>
    <cellStyle name="Обычный 2 4 5 3 2 9" xfId="16474"/>
    <cellStyle name="Обычный 2 4 5 3 3" xfId="3622"/>
    <cellStyle name="Обычный 2 4 5 3 3 2" xfId="16475"/>
    <cellStyle name="Обычный 2 4 5 3 3 3" xfId="16476"/>
    <cellStyle name="Обычный 2 4 5 3 3 4" xfId="16477"/>
    <cellStyle name="Обычный 2 4 5 3 3 5" xfId="16478"/>
    <cellStyle name="Обычный 2 4 5 3 3 6" xfId="16479"/>
    <cellStyle name="Обычный 2 4 5 3 3 7" xfId="16480"/>
    <cellStyle name="Обычный 2 4 5 3 3 8" xfId="16481"/>
    <cellStyle name="Обычный 2 4 5 3 3 9" xfId="16482"/>
    <cellStyle name="Обычный 2 4 5 3 4" xfId="16483"/>
    <cellStyle name="Обычный 2 4 5 3 5" xfId="16484"/>
    <cellStyle name="Обычный 2 4 5 3 6" xfId="16485"/>
    <cellStyle name="Обычный 2 4 5 3 7" xfId="16486"/>
    <cellStyle name="Обычный 2 4 5 3 8" xfId="16487"/>
    <cellStyle name="Обычный 2 4 5 3 9" xfId="16488"/>
    <cellStyle name="Обычный 2 4 5 4" xfId="3623"/>
    <cellStyle name="Обычный 2 4 5 4 2" xfId="16489"/>
    <cellStyle name="Обычный 2 4 5 4 3" xfId="16490"/>
    <cellStyle name="Обычный 2 4 5 4 4" xfId="16491"/>
    <cellStyle name="Обычный 2 4 5 4 5" xfId="16492"/>
    <cellStyle name="Обычный 2 4 5 4 6" xfId="16493"/>
    <cellStyle name="Обычный 2 4 5 4 7" xfId="16494"/>
    <cellStyle name="Обычный 2 4 5 4 8" xfId="16495"/>
    <cellStyle name="Обычный 2 4 5 4 9" xfId="16496"/>
    <cellStyle name="Обычный 2 4 5 5" xfId="16497"/>
    <cellStyle name="Обычный 2 4 5 6" xfId="16498"/>
    <cellStyle name="Обычный 2 4 5 7" xfId="16499"/>
    <cellStyle name="Обычный 2 4 5 8" xfId="16500"/>
    <cellStyle name="Обычный 2 4 5 9" xfId="16501"/>
    <cellStyle name="Обычный 2 4 6" xfId="3624"/>
    <cellStyle name="Обычный 2 4 6 10" xfId="16502"/>
    <cellStyle name="Обычный 2 4 6 11" xfId="16503"/>
    <cellStyle name="Обычный 2 4 6 12" xfId="16504"/>
    <cellStyle name="Обычный 2 4 6 2" xfId="3625"/>
    <cellStyle name="Обычный 2 4 6 2 10" xfId="16505"/>
    <cellStyle name="Обычный 2 4 6 2 11" xfId="16506"/>
    <cellStyle name="Обычный 2 4 6 2 12" xfId="16507"/>
    <cellStyle name="Обычный 2 4 6 2 2" xfId="3626"/>
    <cellStyle name="Обычный 2 4 6 2 2 2" xfId="16508"/>
    <cellStyle name="Обычный 2 4 6 2 2 3" xfId="16509"/>
    <cellStyle name="Обычный 2 4 6 2 2 4" xfId="16510"/>
    <cellStyle name="Обычный 2 4 6 2 2 5" xfId="16511"/>
    <cellStyle name="Обычный 2 4 6 2 2 6" xfId="16512"/>
    <cellStyle name="Обычный 2 4 6 2 2 7" xfId="16513"/>
    <cellStyle name="Обычный 2 4 6 2 2 8" xfId="16514"/>
    <cellStyle name="Обычный 2 4 6 2 2 9" xfId="16515"/>
    <cellStyle name="Обычный 2 4 6 2 3" xfId="3627"/>
    <cellStyle name="Обычный 2 4 6 2 3 2" xfId="16516"/>
    <cellStyle name="Обычный 2 4 6 2 3 3" xfId="16517"/>
    <cellStyle name="Обычный 2 4 6 2 3 4" xfId="16518"/>
    <cellStyle name="Обычный 2 4 6 2 3 5" xfId="16519"/>
    <cellStyle name="Обычный 2 4 6 2 3 6" xfId="16520"/>
    <cellStyle name="Обычный 2 4 6 2 3 7" xfId="16521"/>
    <cellStyle name="Обычный 2 4 6 2 3 8" xfId="16522"/>
    <cellStyle name="Обычный 2 4 6 2 3 9" xfId="16523"/>
    <cellStyle name="Обычный 2 4 6 2 4" xfId="3628"/>
    <cellStyle name="Обычный 2 4 6 2 4 2" xfId="16524"/>
    <cellStyle name="Обычный 2 4 6 2 4 3" xfId="16525"/>
    <cellStyle name="Обычный 2 4 6 2 4 4" xfId="16526"/>
    <cellStyle name="Обычный 2 4 6 2 4 5" xfId="16527"/>
    <cellStyle name="Обычный 2 4 6 2 4 6" xfId="16528"/>
    <cellStyle name="Обычный 2 4 6 2 4 7" xfId="16529"/>
    <cellStyle name="Обычный 2 4 6 2 4 8" xfId="16530"/>
    <cellStyle name="Обычный 2 4 6 2 4 9" xfId="16531"/>
    <cellStyle name="Обычный 2 4 6 2 5" xfId="16532"/>
    <cellStyle name="Обычный 2 4 6 2 6" xfId="16533"/>
    <cellStyle name="Обычный 2 4 6 2 7" xfId="16534"/>
    <cellStyle name="Обычный 2 4 6 2 8" xfId="16535"/>
    <cellStyle name="Обычный 2 4 6 2 9" xfId="16536"/>
    <cellStyle name="Обычный 2 4 6 3" xfId="3629"/>
    <cellStyle name="Обычный 2 4 6 3 10" xfId="16537"/>
    <cellStyle name="Обычный 2 4 6 3 11" xfId="16538"/>
    <cellStyle name="Обычный 2 4 6 3 2" xfId="3630"/>
    <cellStyle name="Обычный 2 4 6 3 2 2" xfId="16539"/>
    <cellStyle name="Обычный 2 4 6 3 2 3" xfId="16540"/>
    <cellStyle name="Обычный 2 4 6 3 2 4" xfId="16541"/>
    <cellStyle name="Обычный 2 4 6 3 2 5" xfId="16542"/>
    <cellStyle name="Обычный 2 4 6 3 2 6" xfId="16543"/>
    <cellStyle name="Обычный 2 4 6 3 2 7" xfId="16544"/>
    <cellStyle name="Обычный 2 4 6 3 2 8" xfId="16545"/>
    <cellStyle name="Обычный 2 4 6 3 2 9" xfId="16546"/>
    <cellStyle name="Обычный 2 4 6 3 3" xfId="3631"/>
    <cellStyle name="Обычный 2 4 6 3 3 2" xfId="16547"/>
    <cellStyle name="Обычный 2 4 6 3 3 3" xfId="16548"/>
    <cellStyle name="Обычный 2 4 6 3 3 4" xfId="16549"/>
    <cellStyle name="Обычный 2 4 6 3 3 5" xfId="16550"/>
    <cellStyle name="Обычный 2 4 6 3 3 6" xfId="16551"/>
    <cellStyle name="Обычный 2 4 6 3 3 7" xfId="16552"/>
    <cellStyle name="Обычный 2 4 6 3 3 8" xfId="16553"/>
    <cellStyle name="Обычный 2 4 6 3 3 9" xfId="16554"/>
    <cellStyle name="Обычный 2 4 6 3 4" xfId="16555"/>
    <cellStyle name="Обычный 2 4 6 3 5" xfId="16556"/>
    <cellStyle name="Обычный 2 4 6 3 6" xfId="16557"/>
    <cellStyle name="Обычный 2 4 6 3 7" xfId="16558"/>
    <cellStyle name="Обычный 2 4 6 3 8" xfId="16559"/>
    <cellStyle name="Обычный 2 4 6 3 9" xfId="16560"/>
    <cellStyle name="Обычный 2 4 6 4" xfId="3632"/>
    <cellStyle name="Обычный 2 4 6 4 2" xfId="16561"/>
    <cellStyle name="Обычный 2 4 6 4 3" xfId="16562"/>
    <cellStyle name="Обычный 2 4 6 4 4" xfId="16563"/>
    <cellStyle name="Обычный 2 4 6 4 5" xfId="16564"/>
    <cellStyle name="Обычный 2 4 6 4 6" xfId="16565"/>
    <cellStyle name="Обычный 2 4 6 4 7" xfId="16566"/>
    <cellStyle name="Обычный 2 4 6 4 8" xfId="16567"/>
    <cellStyle name="Обычный 2 4 6 4 9" xfId="16568"/>
    <cellStyle name="Обычный 2 4 6 5" xfId="16569"/>
    <cellStyle name="Обычный 2 4 6 6" xfId="16570"/>
    <cellStyle name="Обычный 2 4 6 7" xfId="16571"/>
    <cellStyle name="Обычный 2 4 6 8" xfId="16572"/>
    <cellStyle name="Обычный 2 4 6 9" xfId="16573"/>
    <cellStyle name="Обычный 2 4 7" xfId="3633"/>
    <cellStyle name="Обычный 2 4 7 2" xfId="3634"/>
    <cellStyle name="Обычный 2 4 7 3" xfId="3635"/>
    <cellStyle name="Обычный 2 4 8" xfId="3636"/>
    <cellStyle name="Обычный 2 4 9" xfId="3637"/>
    <cellStyle name="Обычный 2 4 9 2" xfId="16574"/>
    <cellStyle name="Обычный 2 4 9 3" xfId="16575"/>
    <cellStyle name="Обычный 2 4 9 4" xfId="16576"/>
    <cellStyle name="Обычный 2 4 9 5" xfId="16577"/>
    <cellStyle name="Обычный 2 40" xfId="16578"/>
    <cellStyle name="Обычный 2 40 2" xfId="16579"/>
    <cellStyle name="Обычный 2 40 2 2" xfId="16580"/>
    <cellStyle name="Обычный 2 40 2 2 2" xfId="16581"/>
    <cellStyle name="Обычный 2 40 2 2 2 2" xfId="16582"/>
    <cellStyle name="Обычный 2 40 2 3" xfId="16583"/>
    <cellStyle name="Обычный 2 40 3" xfId="16584"/>
    <cellStyle name="Обычный 2 40 3 2" xfId="16585"/>
    <cellStyle name="Обычный 2 41" xfId="16586"/>
    <cellStyle name="Обычный 2 41 2" xfId="16587"/>
    <cellStyle name="Обычный 2 41 2 2" xfId="16588"/>
    <cellStyle name="Обычный 2 42" xfId="16589"/>
    <cellStyle name="Обычный 2 43" xfId="16590"/>
    <cellStyle name="Обычный 2 44" xfId="16591"/>
    <cellStyle name="Обычный 2 5" xfId="3638"/>
    <cellStyle name="Обычный 2 5 2" xfId="3639"/>
    <cellStyle name="Обычный 2 5 2 2" xfId="3640"/>
    <cellStyle name="Обычный 2 5 2 2 2" xfId="16592"/>
    <cellStyle name="Обычный 2 5 2 2 3" xfId="16593"/>
    <cellStyle name="Обычный 2 5 2 2 4" xfId="16594"/>
    <cellStyle name="Обычный 2 5 2 2 5" xfId="16595"/>
    <cellStyle name="Обычный 2 5 2 2 6" xfId="16596"/>
    <cellStyle name="Обычный 2 5 2 3" xfId="3641"/>
    <cellStyle name="Обычный 2 5 2 3 2" xfId="16597"/>
    <cellStyle name="Обычный 2 5 2 3 3" xfId="16598"/>
    <cellStyle name="Обычный 2 5 2 3 4" xfId="16599"/>
    <cellStyle name="Обычный 2 5 2 3 5" xfId="16600"/>
    <cellStyle name="Обычный 2 5 2 3 6" xfId="16601"/>
    <cellStyle name="Обычный 2 5 2 4" xfId="16602"/>
    <cellStyle name="Обычный 2 5 2 5" xfId="16603"/>
    <cellStyle name="Обычный 2 5 2 6" xfId="16604"/>
    <cellStyle name="Обычный 2 5 2 7" xfId="16605"/>
    <cellStyle name="Обычный 2 5 2 8" xfId="16606"/>
    <cellStyle name="Обычный 2 5 3" xfId="3642"/>
    <cellStyle name="Обычный 2 5 3 2" xfId="16607"/>
    <cellStyle name="Обычный 2 5 3 3" xfId="16608"/>
    <cellStyle name="Обычный 2 5 3 4" xfId="16609"/>
    <cellStyle name="Обычный 2 5 3 5" xfId="16610"/>
    <cellStyle name="Обычный 2 5 3 6" xfId="16611"/>
    <cellStyle name="Обычный 2 5 4" xfId="3643"/>
    <cellStyle name="Обычный 2 5 4 2" xfId="16612"/>
    <cellStyle name="Обычный 2 5 4 3" xfId="16613"/>
    <cellStyle name="Обычный 2 5 4 4" xfId="16614"/>
    <cellStyle name="Обычный 2 5 4 5" xfId="16615"/>
    <cellStyle name="Обычный 2 5 5" xfId="16616"/>
    <cellStyle name="Обычный 2 5 6" xfId="16617"/>
    <cellStyle name="Обычный 2 5 7" xfId="16618"/>
    <cellStyle name="Обычный 2 5 8" xfId="16619"/>
    <cellStyle name="Обычный 2 6" xfId="3644"/>
    <cellStyle name="Обычный 2 6 2" xfId="3645"/>
    <cellStyle name="Обычный 2 6 2 2" xfId="3646"/>
    <cellStyle name="Обычный 2 6 2 3" xfId="3647"/>
    <cellStyle name="Обычный 2 6 3" xfId="3648"/>
    <cellStyle name="Обычный 2 6 4" xfId="3649"/>
    <cellStyle name="Обычный 2 6 4 2" xfId="16620"/>
    <cellStyle name="Обычный 2 6 4 3" xfId="16621"/>
    <cellStyle name="Обычный 2 6 4 4" xfId="16622"/>
    <cellStyle name="Обычный 2 6 4 5" xfId="16623"/>
    <cellStyle name="Обычный 2 6 5" xfId="16624"/>
    <cellStyle name="Обычный 2 6 6" xfId="16625"/>
    <cellStyle name="Обычный 2 6 7" xfId="16626"/>
    <cellStyle name="Обычный 2 6 8" xfId="16627"/>
    <cellStyle name="Обычный 2 7" xfId="3650"/>
    <cellStyle name="Обычный 2 7 2" xfId="3651"/>
    <cellStyle name="Обычный 2 7 2 2" xfId="3652"/>
    <cellStyle name="Обычный 2 7 2 3" xfId="3653"/>
    <cellStyle name="Обычный 2 7 3" xfId="3654"/>
    <cellStyle name="Обычный 2 7 4" xfId="3655"/>
    <cellStyle name="Обычный 2 7 4 2" xfId="16628"/>
    <cellStyle name="Обычный 2 7 4 3" xfId="16629"/>
    <cellStyle name="Обычный 2 7 4 4" xfId="16630"/>
    <cellStyle name="Обычный 2 7 4 5" xfId="16631"/>
    <cellStyle name="Обычный 2 7 5" xfId="16632"/>
    <cellStyle name="Обычный 2 7 6" xfId="16633"/>
    <cellStyle name="Обычный 2 7 7" xfId="16634"/>
    <cellStyle name="Обычный 2 7 8" xfId="16635"/>
    <cellStyle name="Обычный 2 8" xfId="3656"/>
    <cellStyle name="Обычный 2 8 2" xfId="3657"/>
    <cellStyle name="Обычный 2 8 2 2" xfId="3658"/>
    <cellStyle name="Обычный 2 8 2 3" xfId="3659"/>
    <cellStyle name="Обычный 2 8 3" xfId="3660"/>
    <cellStyle name="Обычный 2 8 4" xfId="3661"/>
    <cellStyle name="Обычный 2 8 4 2" xfId="16636"/>
    <cellStyle name="Обычный 2 8 4 3" xfId="16637"/>
    <cellStyle name="Обычный 2 8 4 4" xfId="16638"/>
    <cellStyle name="Обычный 2 8 4 5" xfId="16639"/>
    <cellStyle name="Обычный 2 8 5" xfId="16640"/>
    <cellStyle name="Обычный 2 8 6" xfId="16641"/>
    <cellStyle name="Обычный 2 8 7" xfId="16642"/>
    <cellStyle name="Обычный 2 8 8" xfId="16643"/>
    <cellStyle name="Обычный 2 9" xfId="3662"/>
    <cellStyle name="Обычный 2 9 2" xfId="3663"/>
    <cellStyle name="Обычный 2 9 2 2" xfId="3664"/>
    <cellStyle name="Обычный 2 9 2 3" xfId="3665"/>
    <cellStyle name="Обычный 2 9 3" xfId="3666"/>
    <cellStyle name="Обычный 2 9 4" xfId="3667"/>
    <cellStyle name="Обычный 2 9 4 2" xfId="16644"/>
    <cellStyle name="Обычный 2 9 4 3" xfId="16645"/>
    <cellStyle name="Обычный 2 9 4 4" xfId="16646"/>
    <cellStyle name="Обычный 2 9 4 5" xfId="16647"/>
    <cellStyle name="Обычный 2 9 5" xfId="16648"/>
    <cellStyle name="Обычный 2 9 6" xfId="16649"/>
    <cellStyle name="Обычный 2 9 7" xfId="16650"/>
    <cellStyle name="Обычный 2 9 8" xfId="16651"/>
    <cellStyle name="Обычный 20" xfId="23854"/>
    <cellStyle name="Обычный 20 2" xfId="16652"/>
    <cellStyle name="Обычный 21" xfId="23900"/>
    <cellStyle name="Обычный 23" xfId="16653"/>
    <cellStyle name="Обычный 3" xfId="4"/>
    <cellStyle name="Обычный 3 10" xfId="3668"/>
    <cellStyle name="Обычный 3 10 2" xfId="3669"/>
    <cellStyle name="Обычный 3 10 2 2" xfId="3670"/>
    <cellStyle name="Обычный 3 10 2 3" xfId="3671"/>
    <cellStyle name="Обычный 3 10 3" xfId="3672"/>
    <cellStyle name="Обычный 3 10 4" xfId="3673"/>
    <cellStyle name="Обычный 3 10 4 2" xfId="16654"/>
    <cellStyle name="Обычный 3 10 4 3" xfId="16655"/>
    <cellStyle name="Обычный 3 10 4 4" xfId="16656"/>
    <cellStyle name="Обычный 3 10 4 5" xfId="16657"/>
    <cellStyle name="Обычный 3 10 5" xfId="16658"/>
    <cellStyle name="Обычный 3 10 6" xfId="16659"/>
    <cellStyle name="Обычный 3 10 7" xfId="16660"/>
    <cellStyle name="Обычный 3 10 8" xfId="16661"/>
    <cellStyle name="Обычный 3 11" xfId="3674"/>
    <cellStyle name="Обычный 3 11 2" xfId="3675"/>
    <cellStyle name="Обычный 3 11 2 2" xfId="3676"/>
    <cellStyle name="Обычный 3 11 2 3" xfId="3677"/>
    <cellStyle name="Обычный 3 11 3" xfId="3678"/>
    <cellStyle name="Обычный 3 11 4" xfId="3679"/>
    <cellStyle name="Обычный 3 11 4 2" xfId="16662"/>
    <cellStyle name="Обычный 3 11 4 3" xfId="16663"/>
    <cellStyle name="Обычный 3 11 4 4" xfId="16664"/>
    <cellStyle name="Обычный 3 11 4 5" xfId="16665"/>
    <cellStyle name="Обычный 3 11 5" xfId="16666"/>
    <cellStyle name="Обычный 3 11 6" xfId="16667"/>
    <cellStyle name="Обычный 3 11 7" xfId="16668"/>
    <cellStyle name="Обычный 3 11 8" xfId="16669"/>
    <cellStyle name="Обычный 3 12" xfId="3680"/>
    <cellStyle name="Обычный 3 12 2" xfId="3681"/>
    <cellStyle name="Обычный 3 12 2 2" xfId="3682"/>
    <cellStyle name="Обычный 3 12 2 3" xfId="3683"/>
    <cellStyle name="Обычный 3 12 3" xfId="3684"/>
    <cellStyle name="Обычный 3 12 4" xfId="3685"/>
    <cellStyle name="Обычный 3 12 4 2" xfId="16670"/>
    <cellStyle name="Обычный 3 12 4 3" xfId="16671"/>
    <cellStyle name="Обычный 3 12 4 4" xfId="16672"/>
    <cellStyle name="Обычный 3 12 4 5" xfId="16673"/>
    <cellStyle name="Обычный 3 12 5" xfId="16674"/>
    <cellStyle name="Обычный 3 12 6" xfId="16675"/>
    <cellStyle name="Обычный 3 12 7" xfId="16676"/>
    <cellStyle name="Обычный 3 12 8" xfId="16677"/>
    <cellStyle name="Обычный 3 13" xfId="3686"/>
    <cellStyle name="Обычный 3 13 2" xfId="3687"/>
    <cellStyle name="Обычный 3 13 2 2" xfId="3688"/>
    <cellStyle name="Обычный 3 13 2 3" xfId="3689"/>
    <cellStyle name="Обычный 3 13 3" xfId="3690"/>
    <cellStyle name="Обычный 3 13 4" xfId="3691"/>
    <cellStyle name="Обычный 3 13 4 2" xfId="16678"/>
    <cellStyle name="Обычный 3 13 4 3" xfId="16679"/>
    <cellStyle name="Обычный 3 13 4 4" xfId="16680"/>
    <cellStyle name="Обычный 3 13 4 5" xfId="16681"/>
    <cellStyle name="Обычный 3 13 5" xfId="16682"/>
    <cellStyle name="Обычный 3 13 6" xfId="16683"/>
    <cellStyle name="Обычный 3 13 7" xfId="16684"/>
    <cellStyle name="Обычный 3 13 8" xfId="16685"/>
    <cellStyle name="Обычный 3 14" xfId="3692"/>
    <cellStyle name="Обычный 3 14 2" xfId="3693"/>
    <cellStyle name="Обычный 3 14 2 2" xfId="3694"/>
    <cellStyle name="Обычный 3 14 2 3" xfId="3695"/>
    <cellStyle name="Обычный 3 14 3" xfId="3696"/>
    <cellStyle name="Обычный 3 14 4" xfId="3697"/>
    <cellStyle name="Обычный 3 14 4 2" xfId="16686"/>
    <cellStyle name="Обычный 3 14 4 3" xfId="16687"/>
    <cellStyle name="Обычный 3 14 4 4" xfId="16688"/>
    <cellStyle name="Обычный 3 14 4 5" xfId="16689"/>
    <cellStyle name="Обычный 3 14 5" xfId="16690"/>
    <cellStyle name="Обычный 3 14 6" xfId="16691"/>
    <cellStyle name="Обычный 3 14 7" xfId="16692"/>
    <cellStyle name="Обычный 3 14 8" xfId="16693"/>
    <cellStyle name="Обычный 3 15" xfId="3698"/>
    <cellStyle name="Обычный 3 15 2" xfId="3699"/>
    <cellStyle name="Обычный 3 15 2 2" xfId="3700"/>
    <cellStyle name="Обычный 3 15 2 3" xfId="3701"/>
    <cellStyle name="Обычный 3 15 3" xfId="3702"/>
    <cellStyle name="Обычный 3 15 4" xfId="3703"/>
    <cellStyle name="Обычный 3 15 4 2" xfId="16694"/>
    <cellStyle name="Обычный 3 15 4 3" xfId="16695"/>
    <cellStyle name="Обычный 3 15 4 4" xfId="16696"/>
    <cellStyle name="Обычный 3 15 4 5" xfId="16697"/>
    <cellStyle name="Обычный 3 15 5" xfId="16698"/>
    <cellStyle name="Обычный 3 15 6" xfId="16699"/>
    <cellStyle name="Обычный 3 15 7" xfId="16700"/>
    <cellStyle name="Обычный 3 15 8" xfId="16701"/>
    <cellStyle name="Обычный 3 16" xfId="3704"/>
    <cellStyle name="Обычный 3 16 2" xfId="3705"/>
    <cellStyle name="Обычный 3 16 2 2" xfId="3706"/>
    <cellStyle name="Обычный 3 16 2 3" xfId="3707"/>
    <cellStyle name="Обычный 3 16 3" xfId="3708"/>
    <cellStyle name="Обычный 3 16 4" xfId="3709"/>
    <cellStyle name="Обычный 3 16 4 2" xfId="16702"/>
    <cellStyle name="Обычный 3 16 4 3" xfId="16703"/>
    <cellStyle name="Обычный 3 16 4 4" xfId="16704"/>
    <cellStyle name="Обычный 3 16 4 5" xfId="16705"/>
    <cellStyle name="Обычный 3 16 5" xfId="16706"/>
    <cellStyle name="Обычный 3 16 6" xfId="16707"/>
    <cellStyle name="Обычный 3 16 7" xfId="16708"/>
    <cellStyle name="Обычный 3 16 8" xfId="16709"/>
    <cellStyle name="Обычный 3 17" xfId="3710"/>
    <cellStyle name="Обычный 3 17 2" xfId="3711"/>
    <cellStyle name="Обычный 3 17 2 2" xfId="3712"/>
    <cellStyle name="Обычный 3 17 2 3" xfId="3713"/>
    <cellStyle name="Обычный 3 17 3" xfId="3714"/>
    <cellStyle name="Обычный 3 17 4" xfId="3715"/>
    <cellStyle name="Обычный 3 17 4 2" xfId="16710"/>
    <cellStyle name="Обычный 3 17 4 3" xfId="16711"/>
    <cellStyle name="Обычный 3 17 4 4" xfId="16712"/>
    <cellStyle name="Обычный 3 17 4 5" xfId="16713"/>
    <cellStyle name="Обычный 3 17 5" xfId="16714"/>
    <cellStyle name="Обычный 3 17 6" xfId="16715"/>
    <cellStyle name="Обычный 3 17 7" xfId="16716"/>
    <cellStyle name="Обычный 3 17 8" xfId="16717"/>
    <cellStyle name="Обычный 3 18" xfId="3716"/>
    <cellStyle name="Обычный 3 18 2" xfId="3717"/>
    <cellStyle name="Обычный 3 18 2 2" xfId="3718"/>
    <cellStyle name="Обычный 3 18 2 3" xfId="3719"/>
    <cellStyle name="Обычный 3 18 3" xfId="3720"/>
    <cellStyle name="Обычный 3 18 4" xfId="3721"/>
    <cellStyle name="Обычный 3 18 4 2" xfId="16718"/>
    <cellStyle name="Обычный 3 18 4 3" xfId="16719"/>
    <cellStyle name="Обычный 3 18 4 4" xfId="16720"/>
    <cellStyle name="Обычный 3 18 4 5" xfId="16721"/>
    <cellStyle name="Обычный 3 18 5" xfId="16722"/>
    <cellStyle name="Обычный 3 18 6" xfId="16723"/>
    <cellStyle name="Обычный 3 18 7" xfId="16724"/>
    <cellStyle name="Обычный 3 18 8" xfId="16725"/>
    <cellStyle name="Обычный 3 19" xfId="3722"/>
    <cellStyle name="Обычный 3 19 2" xfId="3723"/>
    <cellStyle name="Обычный 3 19 2 2" xfId="3724"/>
    <cellStyle name="Обычный 3 19 2 3" xfId="3725"/>
    <cellStyle name="Обычный 3 19 3" xfId="3726"/>
    <cellStyle name="Обычный 3 19 4" xfId="3727"/>
    <cellStyle name="Обычный 3 19 4 2" xfId="16726"/>
    <cellStyle name="Обычный 3 19 4 3" xfId="16727"/>
    <cellStyle name="Обычный 3 19 4 4" xfId="16728"/>
    <cellStyle name="Обычный 3 19 4 5" xfId="16729"/>
    <cellStyle name="Обычный 3 19 5" xfId="16730"/>
    <cellStyle name="Обычный 3 19 6" xfId="16731"/>
    <cellStyle name="Обычный 3 19 7" xfId="16732"/>
    <cellStyle name="Обычный 3 19 8" xfId="16733"/>
    <cellStyle name="Обычный 3 2" xfId="57"/>
    <cellStyle name="Обычный 3 2 10" xfId="3728"/>
    <cellStyle name="Обычный 3 2 10 2" xfId="3729"/>
    <cellStyle name="Обычный 3 2 10 3" xfId="3730"/>
    <cellStyle name="Обычный 3 2 11" xfId="3731"/>
    <cellStyle name="Обычный 3 2 12" xfId="3732"/>
    <cellStyle name="Обычный 3 2 12 2" xfId="16734"/>
    <cellStyle name="Обычный 3 2 12 3" xfId="16735"/>
    <cellStyle name="Обычный 3 2 12 4" xfId="16736"/>
    <cellStyle name="Обычный 3 2 12 5" xfId="16737"/>
    <cellStyle name="Обычный 3 2 13" xfId="16738"/>
    <cellStyle name="Обычный 3 2 14" xfId="16739"/>
    <cellStyle name="Обычный 3 2 15" xfId="16740"/>
    <cellStyle name="Обычный 3 2 16" xfId="16741"/>
    <cellStyle name="Обычный 3 2 2" xfId="3733"/>
    <cellStyle name="Обычный 3 2 2 2" xfId="3734"/>
    <cellStyle name="Обычный 3 2 2 2 2" xfId="3735"/>
    <cellStyle name="Обычный 3 2 2 2 2 2" xfId="3736"/>
    <cellStyle name="Обычный 3 2 2 2 2 3" xfId="3737"/>
    <cellStyle name="Обычный 3 2 2 2 3" xfId="3738"/>
    <cellStyle name="Обычный 3 2 2 2 4" xfId="3739"/>
    <cellStyle name="Обычный 3 2 2 2 4 2" xfId="16742"/>
    <cellStyle name="Обычный 3 2 2 2 4 3" xfId="16743"/>
    <cellStyle name="Обычный 3 2 2 2 4 4" xfId="16744"/>
    <cellStyle name="Обычный 3 2 2 2 4 5" xfId="16745"/>
    <cellStyle name="Обычный 3 2 2 2 5" xfId="16746"/>
    <cellStyle name="Обычный 3 2 2 2 6" xfId="16747"/>
    <cellStyle name="Обычный 3 2 2 2 7" xfId="16748"/>
    <cellStyle name="Обычный 3 2 2 2 8" xfId="16749"/>
    <cellStyle name="Обычный 3 2 2 3" xfId="3740"/>
    <cellStyle name="Обычный 3 2 2 3 2" xfId="3741"/>
    <cellStyle name="Обычный 3 2 2 3 2 2" xfId="3742"/>
    <cellStyle name="Обычный 3 2 2 3 2 3" xfId="3743"/>
    <cellStyle name="Обычный 3 2 2 3 3" xfId="3744"/>
    <cellStyle name="Обычный 3 2 2 3 4" xfId="3745"/>
    <cellStyle name="Обычный 3 2 2 3 4 2" xfId="16750"/>
    <cellStyle name="Обычный 3 2 2 3 4 3" xfId="16751"/>
    <cellStyle name="Обычный 3 2 2 3 4 4" xfId="16752"/>
    <cellStyle name="Обычный 3 2 2 3 4 5" xfId="16753"/>
    <cellStyle name="Обычный 3 2 2 3 5" xfId="16754"/>
    <cellStyle name="Обычный 3 2 2 3 6" xfId="16755"/>
    <cellStyle name="Обычный 3 2 2 3 7" xfId="16756"/>
    <cellStyle name="Обычный 3 2 2 3 8" xfId="16757"/>
    <cellStyle name="Обычный 3 2 2 4" xfId="3746"/>
    <cellStyle name="Обычный 3 2 2 4 2" xfId="3747"/>
    <cellStyle name="Обычный 3 2 2 4 2 2" xfId="3748"/>
    <cellStyle name="Обычный 3 2 2 4 2 3" xfId="3749"/>
    <cellStyle name="Обычный 3 2 2 4 3" xfId="3750"/>
    <cellStyle name="Обычный 3 2 2 4 4" xfId="3751"/>
    <cellStyle name="Обычный 3 2 2 4 4 2" xfId="16758"/>
    <cellStyle name="Обычный 3 2 2 4 4 3" xfId="16759"/>
    <cellStyle name="Обычный 3 2 2 4 4 4" xfId="16760"/>
    <cellStyle name="Обычный 3 2 2 4 4 5" xfId="16761"/>
    <cellStyle name="Обычный 3 2 2 4 5" xfId="16762"/>
    <cellStyle name="Обычный 3 2 2 4 6" xfId="16763"/>
    <cellStyle name="Обычный 3 2 2 4 7" xfId="16764"/>
    <cellStyle name="Обычный 3 2 2 4 8" xfId="16765"/>
    <cellStyle name="Обычный 3 2 2 5" xfId="3752"/>
    <cellStyle name="Обычный 3 2 2 5 2" xfId="3753"/>
    <cellStyle name="Обычный 3 2 2 5 2 2" xfId="3754"/>
    <cellStyle name="Обычный 3 2 2 5 2 3" xfId="3755"/>
    <cellStyle name="Обычный 3 2 2 5 3" xfId="3756"/>
    <cellStyle name="Обычный 3 2 2 5 4" xfId="3757"/>
    <cellStyle name="Обычный 3 2 2 5 4 2" xfId="16766"/>
    <cellStyle name="Обычный 3 2 2 5 4 3" xfId="16767"/>
    <cellStyle name="Обычный 3 2 2 5 4 4" xfId="16768"/>
    <cellStyle name="Обычный 3 2 2 5 4 5" xfId="16769"/>
    <cellStyle name="Обычный 3 2 2 5 5" xfId="16770"/>
    <cellStyle name="Обычный 3 2 2 5 6" xfId="16771"/>
    <cellStyle name="Обычный 3 2 2 5 7" xfId="16772"/>
    <cellStyle name="Обычный 3 2 2 5 8" xfId="16773"/>
    <cellStyle name="Обычный 3 2 2 6" xfId="3758"/>
    <cellStyle name="Обычный 3 2 2 6 2" xfId="3759"/>
    <cellStyle name="Обычный 3 2 2 6 2 2" xfId="3760"/>
    <cellStyle name="Обычный 3 2 2 6 2 3" xfId="3761"/>
    <cellStyle name="Обычный 3 2 2 6 3" xfId="3762"/>
    <cellStyle name="Обычный 3 2 2 6 4" xfId="3763"/>
    <cellStyle name="Обычный 3 2 2 6 4 2" xfId="16774"/>
    <cellStyle name="Обычный 3 2 2 6 4 3" xfId="16775"/>
    <cellStyle name="Обычный 3 2 2 6 4 4" xfId="16776"/>
    <cellStyle name="Обычный 3 2 2 6 4 5" xfId="16777"/>
    <cellStyle name="Обычный 3 2 2 6 5" xfId="16778"/>
    <cellStyle name="Обычный 3 2 2 6 6" xfId="16779"/>
    <cellStyle name="Обычный 3 2 2 6 7" xfId="16780"/>
    <cellStyle name="Обычный 3 2 2 6 8" xfId="16781"/>
    <cellStyle name="Обычный 3 2 2 7" xfId="3764"/>
    <cellStyle name="Обычный 3 2 2 7 2" xfId="3765"/>
    <cellStyle name="Обычный 3 2 2 7 3" xfId="3766"/>
    <cellStyle name="Обычный 3 2 2 8" xfId="3767"/>
    <cellStyle name="Обычный 3 2 2 9" xfId="3768"/>
    <cellStyle name="Обычный 3 2 3" xfId="3769"/>
    <cellStyle name="Обычный 3 2 3 2" xfId="3770"/>
    <cellStyle name="Обычный 3 2 3 2 2" xfId="3771"/>
    <cellStyle name="Обычный 3 2 3 2 3" xfId="3772"/>
    <cellStyle name="Обычный 3 2 3 3" xfId="3773"/>
    <cellStyle name="Обычный 3 2 3 4" xfId="3774"/>
    <cellStyle name="Обычный 3 2 3 4 2" xfId="16782"/>
    <cellStyle name="Обычный 3 2 3 4 3" xfId="16783"/>
    <cellStyle name="Обычный 3 2 3 4 4" xfId="16784"/>
    <cellStyle name="Обычный 3 2 3 4 5" xfId="16785"/>
    <cellStyle name="Обычный 3 2 3 5" xfId="16786"/>
    <cellStyle name="Обычный 3 2 3 6" xfId="16787"/>
    <cellStyle name="Обычный 3 2 3 7" xfId="16788"/>
    <cellStyle name="Обычный 3 2 3 8" xfId="16789"/>
    <cellStyle name="Обычный 3 2 4" xfId="3775"/>
    <cellStyle name="Обычный 3 2 4 2" xfId="3776"/>
    <cellStyle name="Обычный 3 2 4 2 2" xfId="3777"/>
    <cellStyle name="Обычный 3 2 4 2 3" xfId="3778"/>
    <cellStyle name="Обычный 3 2 4 3" xfId="3779"/>
    <cellStyle name="Обычный 3 2 4 4" xfId="3780"/>
    <cellStyle name="Обычный 3 2 5" xfId="3781"/>
    <cellStyle name="Обычный 3 2 5 2" xfId="3782"/>
    <cellStyle name="Обычный 3 2 5 2 2" xfId="3783"/>
    <cellStyle name="Обычный 3 2 5 2 3" xfId="3784"/>
    <cellStyle name="Обычный 3 2 5 3" xfId="3785"/>
    <cellStyle name="Обычный 3 2 5 4" xfId="3786"/>
    <cellStyle name="Обычный 3 2 6" xfId="3787"/>
    <cellStyle name="Обычный 3 2 6 2" xfId="3788"/>
    <cellStyle name="Обычный 3 2 6 2 2" xfId="3789"/>
    <cellStyle name="Обычный 3 2 6 2 3" xfId="3790"/>
    <cellStyle name="Обычный 3 2 6 3" xfId="3791"/>
    <cellStyle name="Обычный 3 2 6 4" xfId="3792"/>
    <cellStyle name="Обычный 3 2 7" xfId="3793"/>
    <cellStyle name="Обычный 3 2 7 2" xfId="3794"/>
    <cellStyle name="Обычный 3 2 7 2 2" xfId="3795"/>
    <cellStyle name="Обычный 3 2 7 2 3" xfId="3796"/>
    <cellStyle name="Обычный 3 2 7 3" xfId="3797"/>
    <cellStyle name="Обычный 3 2 7 4" xfId="3798"/>
    <cellStyle name="Обычный 3 2 8" xfId="3799"/>
    <cellStyle name="Обычный 3 2 8 2" xfId="3800"/>
    <cellStyle name="Обычный 3 2 8 2 2" xfId="3801"/>
    <cellStyle name="Обычный 3 2 8 2 3" xfId="3802"/>
    <cellStyle name="Обычный 3 2 8 3" xfId="3803"/>
    <cellStyle name="Обычный 3 2 8 4" xfId="3804"/>
    <cellStyle name="Обычный 3 2 9" xfId="3805"/>
    <cellStyle name="Обычный 3 2 9 10" xfId="16790"/>
    <cellStyle name="Обычный 3 2 9 11" xfId="16791"/>
    <cellStyle name="Обычный 3 2 9 12" xfId="16792"/>
    <cellStyle name="Обычный 3 2 9 2" xfId="3806"/>
    <cellStyle name="Обычный 3 2 9 2 10" xfId="16793"/>
    <cellStyle name="Обычный 3 2 9 2 11" xfId="16794"/>
    <cellStyle name="Обычный 3 2 9 2 12" xfId="16795"/>
    <cellStyle name="Обычный 3 2 9 2 2" xfId="3807"/>
    <cellStyle name="Обычный 3 2 9 2 2 2" xfId="16796"/>
    <cellStyle name="Обычный 3 2 9 2 2 3" xfId="16797"/>
    <cellStyle name="Обычный 3 2 9 2 2 4" xfId="16798"/>
    <cellStyle name="Обычный 3 2 9 2 2 5" xfId="16799"/>
    <cellStyle name="Обычный 3 2 9 2 2 6" xfId="16800"/>
    <cellStyle name="Обычный 3 2 9 2 2 7" xfId="16801"/>
    <cellStyle name="Обычный 3 2 9 2 2 8" xfId="16802"/>
    <cellStyle name="Обычный 3 2 9 2 2 9" xfId="16803"/>
    <cellStyle name="Обычный 3 2 9 2 3" xfId="3808"/>
    <cellStyle name="Обычный 3 2 9 2 3 2" xfId="16804"/>
    <cellStyle name="Обычный 3 2 9 2 3 3" xfId="16805"/>
    <cellStyle name="Обычный 3 2 9 2 3 4" xfId="16806"/>
    <cellStyle name="Обычный 3 2 9 2 3 5" xfId="16807"/>
    <cellStyle name="Обычный 3 2 9 2 3 6" xfId="16808"/>
    <cellStyle name="Обычный 3 2 9 2 3 7" xfId="16809"/>
    <cellStyle name="Обычный 3 2 9 2 3 8" xfId="16810"/>
    <cellStyle name="Обычный 3 2 9 2 3 9" xfId="16811"/>
    <cellStyle name="Обычный 3 2 9 2 4" xfId="3809"/>
    <cellStyle name="Обычный 3 2 9 2 4 2" xfId="16812"/>
    <cellStyle name="Обычный 3 2 9 2 4 3" xfId="16813"/>
    <cellStyle name="Обычный 3 2 9 2 4 4" xfId="16814"/>
    <cellStyle name="Обычный 3 2 9 2 4 5" xfId="16815"/>
    <cellStyle name="Обычный 3 2 9 2 4 6" xfId="16816"/>
    <cellStyle name="Обычный 3 2 9 2 4 7" xfId="16817"/>
    <cellStyle name="Обычный 3 2 9 2 4 8" xfId="16818"/>
    <cellStyle name="Обычный 3 2 9 2 4 9" xfId="16819"/>
    <cellStyle name="Обычный 3 2 9 2 5" xfId="16820"/>
    <cellStyle name="Обычный 3 2 9 2 6" xfId="16821"/>
    <cellStyle name="Обычный 3 2 9 2 7" xfId="16822"/>
    <cellStyle name="Обычный 3 2 9 2 8" xfId="16823"/>
    <cellStyle name="Обычный 3 2 9 2 9" xfId="16824"/>
    <cellStyle name="Обычный 3 2 9 3" xfId="3810"/>
    <cellStyle name="Обычный 3 2 9 3 10" xfId="16825"/>
    <cellStyle name="Обычный 3 2 9 3 11" xfId="16826"/>
    <cellStyle name="Обычный 3 2 9 3 2" xfId="3811"/>
    <cellStyle name="Обычный 3 2 9 3 2 2" xfId="16827"/>
    <cellStyle name="Обычный 3 2 9 3 2 3" xfId="16828"/>
    <cellStyle name="Обычный 3 2 9 3 2 4" xfId="16829"/>
    <cellStyle name="Обычный 3 2 9 3 2 5" xfId="16830"/>
    <cellStyle name="Обычный 3 2 9 3 2 6" xfId="16831"/>
    <cellStyle name="Обычный 3 2 9 3 2 7" xfId="16832"/>
    <cellStyle name="Обычный 3 2 9 3 2 8" xfId="16833"/>
    <cellStyle name="Обычный 3 2 9 3 2 9" xfId="16834"/>
    <cellStyle name="Обычный 3 2 9 3 3" xfId="3812"/>
    <cellStyle name="Обычный 3 2 9 3 3 2" xfId="16835"/>
    <cellStyle name="Обычный 3 2 9 3 3 3" xfId="16836"/>
    <cellStyle name="Обычный 3 2 9 3 3 4" xfId="16837"/>
    <cellStyle name="Обычный 3 2 9 3 3 5" xfId="16838"/>
    <cellStyle name="Обычный 3 2 9 3 3 6" xfId="16839"/>
    <cellStyle name="Обычный 3 2 9 3 3 7" xfId="16840"/>
    <cellStyle name="Обычный 3 2 9 3 3 8" xfId="16841"/>
    <cellStyle name="Обычный 3 2 9 3 3 9" xfId="16842"/>
    <cellStyle name="Обычный 3 2 9 3 4" xfId="16843"/>
    <cellStyle name="Обычный 3 2 9 3 5" xfId="16844"/>
    <cellStyle name="Обычный 3 2 9 3 6" xfId="16845"/>
    <cellStyle name="Обычный 3 2 9 3 7" xfId="16846"/>
    <cellStyle name="Обычный 3 2 9 3 8" xfId="16847"/>
    <cellStyle name="Обычный 3 2 9 3 9" xfId="16848"/>
    <cellStyle name="Обычный 3 2 9 4" xfId="3813"/>
    <cellStyle name="Обычный 3 2 9 4 2" xfId="16849"/>
    <cellStyle name="Обычный 3 2 9 4 3" xfId="16850"/>
    <cellStyle name="Обычный 3 2 9 4 4" xfId="16851"/>
    <cellStyle name="Обычный 3 2 9 4 5" xfId="16852"/>
    <cellStyle name="Обычный 3 2 9 4 6" xfId="16853"/>
    <cellStyle name="Обычный 3 2 9 4 7" xfId="16854"/>
    <cellStyle name="Обычный 3 2 9 4 8" xfId="16855"/>
    <cellStyle name="Обычный 3 2 9 4 9" xfId="16856"/>
    <cellStyle name="Обычный 3 2 9 5" xfId="16857"/>
    <cellStyle name="Обычный 3 2 9 6" xfId="16858"/>
    <cellStyle name="Обычный 3 2 9 7" xfId="16859"/>
    <cellStyle name="Обычный 3 2 9 8" xfId="16860"/>
    <cellStyle name="Обычный 3 2 9 9" xfId="16861"/>
    <cellStyle name="Обычный 3 2_Расчет программы" xfId="3814"/>
    <cellStyle name="Обычный 3 20" xfId="3815"/>
    <cellStyle name="Обычный 3 20 2" xfId="3816"/>
    <cellStyle name="Обычный 3 20 2 2" xfId="3817"/>
    <cellStyle name="Обычный 3 20 2 3" xfId="3818"/>
    <cellStyle name="Обычный 3 20 3" xfId="3819"/>
    <cellStyle name="Обычный 3 20 4" xfId="3820"/>
    <cellStyle name="Обычный 3 20 4 2" xfId="16862"/>
    <cellStyle name="Обычный 3 20 4 3" xfId="16863"/>
    <cellStyle name="Обычный 3 20 4 4" xfId="16864"/>
    <cellStyle name="Обычный 3 20 4 5" xfId="16865"/>
    <cellStyle name="Обычный 3 20 5" xfId="16866"/>
    <cellStyle name="Обычный 3 20 6" xfId="16867"/>
    <cellStyle name="Обычный 3 20 7" xfId="16868"/>
    <cellStyle name="Обычный 3 20 8" xfId="16869"/>
    <cellStyle name="Обычный 3 21" xfId="3821"/>
    <cellStyle name="Обычный 3 21 2" xfId="3822"/>
    <cellStyle name="Обычный 3 21 2 2" xfId="3823"/>
    <cellStyle name="Обычный 3 21 2 3" xfId="3824"/>
    <cellStyle name="Обычный 3 21 3" xfId="3825"/>
    <cellStyle name="Обычный 3 21 4" xfId="3826"/>
    <cellStyle name="Обычный 3 21 4 2" xfId="16870"/>
    <cellStyle name="Обычный 3 21 4 3" xfId="16871"/>
    <cellStyle name="Обычный 3 21 4 4" xfId="16872"/>
    <cellStyle name="Обычный 3 21 4 5" xfId="16873"/>
    <cellStyle name="Обычный 3 21 5" xfId="16874"/>
    <cellStyle name="Обычный 3 21 6" xfId="16875"/>
    <cellStyle name="Обычный 3 21 7" xfId="16876"/>
    <cellStyle name="Обычный 3 21 8" xfId="16877"/>
    <cellStyle name="Обычный 3 22" xfId="3827"/>
    <cellStyle name="Обычный 3 22 2" xfId="3828"/>
    <cellStyle name="Обычный 3 22 2 2" xfId="3829"/>
    <cellStyle name="Обычный 3 22 2 3" xfId="3830"/>
    <cellStyle name="Обычный 3 22 3" xfId="3831"/>
    <cellStyle name="Обычный 3 22 4" xfId="3832"/>
    <cellStyle name="Обычный 3 22 4 2" xfId="16878"/>
    <cellStyle name="Обычный 3 22 4 3" xfId="16879"/>
    <cellStyle name="Обычный 3 22 4 4" xfId="16880"/>
    <cellStyle name="Обычный 3 22 4 5" xfId="16881"/>
    <cellStyle name="Обычный 3 22 5" xfId="16882"/>
    <cellStyle name="Обычный 3 22 6" xfId="16883"/>
    <cellStyle name="Обычный 3 22 7" xfId="16884"/>
    <cellStyle name="Обычный 3 22 8" xfId="16885"/>
    <cellStyle name="Обычный 3 23" xfId="3833"/>
    <cellStyle name="Обычный 3 23 2" xfId="3834"/>
    <cellStyle name="Обычный 3 23 2 2" xfId="3835"/>
    <cellStyle name="Обычный 3 23 2 3" xfId="3836"/>
    <cellStyle name="Обычный 3 23 3" xfId="3837"/>
    <cellStyle name="Обычный 3 23 4" xfId="3838"/>
    <cellStyle name="Обычный 3 24" xfId="3839"/>
    <cellStyle name="Обычный 3 24 2" xfId="3840"/>
    <cellStyle name="Обычный 3 24 2 2" xfId="3841"/>
    <cellStyle name="Обычный 3 24 2 3" xfId="3842"/>
    <cellStyle name="Обычный 3 24 3" xfId="3843"/>
    <cellStyle name="Обычный 3 24 4" xfId="3844"/>
    <cellStyle name="Обычный 3 25" xfId="3845"/>
    <cellStyle name="Обычный 3 25 2" xfId="3846"/>
    <cellStyle name="Обычный 3 25 2 2" xfId="3847"/>
    <cellStyle name="Обычный 3 25 2 3" xfId="3848"/>
    <cellStyle name="Обычный 3 25 3" xfId="3849"/>
    <cellStyle name="Обычный 3 25 4" xfId="3850"/>
    <cellStyle name="Обычный 3 26" xfId="3851"/>
    <cellStyle name="Обычный 3 26 2" xfId="3852"/>
    <cellStyle name="Обычный 3 26 2 2" xfId="3853"/>
    <cellStyle name="Обычный 3 26 2 3" xfId="3854"/>
    <cellStyle name="Обычный 3 26 3" xfId="3855"/>
    <cellStyle name="Обычный 3 26 4" xfId="3856"/>
    <cellStyle name="Обычный 3 27" xfId="3857"/>
    <cellStyle name="Обычный 3 27 2" xfId="3858"/>
    <cellStyle name="Обычный 3 27 2 2" xfId="3859"/>
    <cellStyle name="Обычный 3 27 2 3" xfId="3860"/>
    <cellStyle name="Обычный 3 27 3" xfId="3861"/>
    <cellStyle name="Обычный 3 27 4" xfId="3862"/>
    <cellStyle name="Обычный 3 28" xfId="3863"/>
    <cellStyle name="Обычный 3 28 2" xfId="3864"/>
    <cellStyle name="Обычный 3 28 2 2" xfId="3865"/>
    <cellStyle name="Обычный 3 28 2 3" xfId="3866"/>
    <cellStyle name="Обычный 3 28 3" xfId="3867"/>
    <cellStyle name="Обычный 3 28 4" xfId="3868"/>
    <cellStyle name="Обычный 3 29" xfId="3869"/>
    <cellStyle name="Обычный 3 29 2" xfId="3870"/>
    <cellStyle name="Обычный 3 29 2 2" xfId="3871"/>
    <cellStyle name="Обычный 3 29 2 3" xfId="3872"/>
    <cellStyle name="Обычный 3 29 3" xfId="3873"/>
    <cellStyle name="Обычный 3 29 4" xfId="3874"/>
    <cellStyle name="Обычный 3 3" xfId="3875"/>
    <cellStyle name="Обычный 3 3 10" xfId="16886"/>
    <cellStyle name="Обычный 3 3 11" xfId="16887"/>
    <cellStyle name="Обычный 3 3 12" xfId="16888"/>
    <cellStyle name="Обычный 3 3 13" xfId="16889"/>
    <cellStyle name="Обычный 3 3 2" xfId="3876"/>
    <cellStyle name="Обычный 3 3 2 2" xfId="3877"/>
    <cellStyle name="Обычный 3 3 2 2 2" xfId="3878"/>
    <cellStyle name="Обычный 3 3 2 2 3" xfId="3879"/>
    <cellStyle name="Обычный 3 3 2 3" xfId="3880"/>
    <cellStyle name="Обычный 3 3 2 4" xfId="3881"/>
    <cellStyle name="Обычный 3 3 2 4 2" xfId="16890"/>
    <cellStyle name="Обычный 3 3 2 4 3" xfId="16891"/>
    <cellStyle name="Обычный 3 3 2 4 4" xfId="16892"/>
    <cellStyle name="Обычный 3 3 2 4 5" xfId="16893"/>
    <cellStyle name="Обычный 3 3 2 5" xfId="16894"/>
    <cellStyle name="Обычный 3 3 2 6" xfId="16895"/>
    <cellStyle name="Обычный 3 3 2 7" xfId="16896"/>
    <cellStyle name="Обычный 3 3 2 8" xfId="16897"/>
    <cellStyle name="Обычный 3 3 3" xfId="3882"/>
    <cellStyle name="Обычный 3 3 3 2" xfId="3883"/>
    <cellStyle name="Обычный 3 3 3 2 2" xfId="3884"/>
    <cellStyle name="Обычный 3 3 3 2 3" xfId="3885"/>
    <cellStyle name="Обычный 3 3 3 3" xfId="3886"/>
    <cellStyle name="Обычный 3 3 3 4" xfId="3887"/>
    <cellStyle name="Обычный 3 3 3 4 2" xfId="16898"/>
    <cellStyle name="Обычный 3 3 3 4 3" xfId="16899"/>
    <cellStyle name="Обычный 3 3 3 4 4" xfId="16900"/>
    <cellStyle name="Обычный 3 3 3 4 5" xfId="16901"/>
    <cellStyle name="Обычный 3 3 3 5" xfId="16902"/>
    <cellStyle name="Обычный 3 3 3 6" xfId="16903"/>
    <cellStyle name="Обычный 3 3 3 7" xfId="16904"/>
    <cellStyle name="Обычный 3 3 3 8" xfId="16905"/>
    <cellStyle name="Обычный 3 3 4" xfId="3888"/>
    <cellStyle name="Обычный 3 3 4 2" xfId="3889"/>
    <cellStyle name="Обычный 3 3 4 2 2" xfId="3890"/>
    <cellStyle name="Обычный 3 3 4 2 3" xfId="3891"/>
    <cellStyle name="Обычный 3 3 4 3" xfId="3892"/>
    <cellStyle name="Обычный 3 3 4 4" xfId="3893"/>
    <cellStyle name="Обычный 3 3 4 4 2" xfId="16906"/>
    <cellStyle name="Обычный 3 3 4 4 3" xfId="16907"/>
    <cellStyle name="Обычный 3 3 4 4 4" xfId="16908"/>
    <cellStyle name="Обычный 3 3 4 4 5" xfId="16909"/>
    <cellStyle name="Обычный 3 3 4 5" xfId="16910"/>
    <cellStyle name="Обычный 3 3 4 6" xfId="16911"/>
    <cellStyle name="Обычный 3 3 4 7" xfId="16912"/>
    <cellStyle name="Обычный 3 3 4 8" xfId="16913"/>
    <cellStyle name="Обычный 3 3 5" xfId="3894"/>
    <cellStyle name="Обычный 3 3 5 2" xfId="3895"/>
    <cellStyle name="Обычный 3 3 5 2 2" xfId="3896"/>
    <cellStyle name="Обычный 3 3 5 2 3" xfId="3897"/>
    <cellStyle name="Обычный 3 3 5 3" xfId="3898"/>
    <cellStyle name="Обычный 3 3 5 4" xfId="3899"/>
    <cellStyle name="Обычный 3 3 5 4 2" xfId="16914"/>
    <cellStyle name="Обычный 3 3 5 4 3" xfId="16915"/>
    <cellStyle name="Обычный 3 3 5 4 4" xfId="16916"/>
    <cellStyle name="Обычный 3 3 5 4 5" xfId="16917"/>
    <cellStyle name="Обычный 3 3 5 5" xfId="16918"/>
    <cellStyle name="Обычный 3 3 5 6" xfId="16919"/>
    <cellStyle name="Обычный 3 3 5 7" xfId="16920"/>
    <cellStyle name="Обычный 3 3 5 8" xfId="16921"/>
    <cellStyle name="Обычный 3 3 6" xfId="3900"/>
    <cellStyle name="Обычный 3 3 6 2" xfId="3901"/>
    <cellStyle name="Обычный 3 3 6 2 2" xfId="3902"/>
    <cellStyle name="Обычный 3 3 6 2 3" xfId="3903"/>
    <cellStyle name="Обычный 3 3 6 3" xfId="3904"/>
    <cellStyle name="Обычный 3 3 6 4" xfId="3905"/>
    <cellStyle name="Обычный 3 3 6 4 2" xfId="16922"/>
    <cellStyle name="Обычный 3 3 6 4 3" xfId="16923"/>
    <cellStyle name="Обычный 3 3 6 4 4" xfId="16924"/>
    <cellStyle name="Обычный 3 3 6 4 5" xfId="16925"/>
    <cellStyle name="Обычный 3 3 6 5" xfId="16926"/>
    <cellStyle name="Обычный 3 3 6 6" xfId="16927"/>
    <cellStyle name="Обычный 3 3 6 7" xfId="16928"/>
    <cellStyle name="Обычный 3 3 6 8" xfId="16929"/>
    <cellStyle name="Обычный 3 3 7" xfId="3906"/>
    <cellStyle name="Обычный 3 3 7 2" xfId="3907"/>
    <cellStyle name="Обычный 3 3 7 3" xfId="3908"/>
    <cellStyle name="Обычный 3 3 8" xfId="3909"/>
    <cellStyle name="Обычный 3 3 9" xfId="3910"/>
    <cellStyle name="Обычный 3 3 9 2" xfId="16930"/>
    <cellStyle name="Обычный 3 3 9 3" xfId="16931"/>
    <cellStyle name="Обычный 3 3 9 4" xfId="16932"/>
    <cellStyle name="Обычный 3 3 9 5" xfId="16933"/>
    <cellStyle name="Обычный 3 30" xfId="3911"/>
    <cellStyle name="Обычный 3 30 10" xfId="16934"/>
    <cellStyle name="Обычный 3 30 11" xfId="16935"/>
    <cellStyle name="Обычный 3 30 2" xfId="3912"/>
    <cellStyle name="Обычный 3 30 2 2" xfId="16936"/>
    <cellStyle name="Обычный 3 30 2 3" xfId="16937"/>
    <cellStyle name="Обычный 3 30 2 4" xfId="16938"/>
    <cellStyle name="Обычный 3 30 2 5" xfId="16939"/>
    <cellStyle name="Обычный 3 30 2 6" xfId="16940"/>
    <cellStyle name="Обычный 3 30 2 7" xfId="16941"/>
    <cellStyle name="Обычный 3 30 2 8" xfId="16942"/>
    <cellStyle name="Обычный 3 30 2 9" xfId="16943"/>
    <cellStyle name="Обычный 3 30 3" xfId="3913"/>
    <cellStyle name="Обычный 3 30 3 2" xfId="16944"/>
    <cellStyle name="Обычный 3 30 3 3" xfId="16945"/>
    <cellStyle name="Обычный 3 30 3 4" xfId="16946"/>
    <cellStyle name="Обычный 3 30 3 5" xfId="16947"/>
    <cellStyle name="Обычный 3 30 3 6" xfId="16948"/>
    <cellStyle name="Обычный 3 30 3 7" xfId="16949"/>
    <cellStyle name="Обычный 3 30 3 8" xfId="16950"/>
    <cellStyle name="Обычный 3 30 3 9" xfId="16951"/>
    <cellStyle name="Обычный 3 30 4" xfId="16952"/>
    <cellStyle name="Обычный 3 30 5" xfId="16953"/>
    <cellStyle name="Обычный 3 30 6" xfId="16954"/>
    <cellStyle name="Обычный 3 30 7" xfId="16955"/>
    <cellStyle name="Обычный 3 30 8" xfId="16956"/>
    <cellStyle name="Обычный 3 30 9" xfId="16957"/>
    <cellStyle name="Обычный 3 31" xfId="3914"/>
    <cellStyle name="Обычный 3 31 2" xfId="16958"/>
    <cellStyle name="Обычный 3 31 3" xfId="16959"/>
    <cellStyle name="Обычный 3 31 4" xfId="16960"/>
    <cellStyle name="Обычный 3 31 5" xfId="16961"/>
    <cellStyle name="Обычный 3 31 6" xfId="16962"/>
    <cellStyle name="Обычный 3 31 7" xfId="16963"/>
    <cellStyle name="Обычный 3 31 8" xfId="16964"/>
    <cellStyle name="Обычный 3 31 9" xfId="16965"/>
    <cellStyle name="Обычный 3 32" xfId="3915"/>
    <cellStyle name="Обычный 3 33" xfId="3916"/>
    <cellStyle name="Обычный 3 34" xfId="3917"/>
    <cellStyle name="Обычный 3 35" xfId="5530"/>
    <cellStyle name="Обычный 3 35 2" xfId="23903"/>
    <cellStyle name="Обычный 3 4" xfId="3918"/>
    <cellStyle name="Обычный 3 4 2" xfId="3919"/>
    <cellStyle name="Обычный 3 4 2 2" xfId="3920"/>
    <cellStyle name="Обычный 3 4 2 3" xfId="3921"/>
    <cellStyle name="Обычный 3 4 3" xfId="3922"/>
    <cellStyle name="Обычный 3 4 4" xfId="3923"/>
    <cellStyle name="Обычный 3 4 4 2" xfId="16966"/>
    <cellStyle name="Обычный 3 4 4 3" xfId="16967"/>
    <cellStyle name="Обычный 3 4 4 4" xfId="16968"/>
    <cellStyle name="Обычный 3 4 4 5" xfId="16969"/>
    <cellStyle name="Обычный 3 4 5" xfId="16970"/>
    <cellStyle name="Обычный 3 4 6" xfId="16971"/>
    <cellStyle name="Обычный 3 4 7" xfId="16972"/>
    <cellStyle name="Обычный 3 4 8" xfId="16973"/>
    <cellStyle name="Обычный 3 5" xfId="3924"/>
    <cellStyle name="Обычный 3 5 2" xfId="3925"/>
    <cellStyle name="Обычный 3 5 2 2" xfId="3926"/>
    <cellStyle name="Обычный 3 5 2 3" xfId="3927"/>
    <cellStyle name="Обычный 3 5 3" xfId="3928"/>
    <cellStyle name="Обычный 3 5 4" xfId="3929"/>
    <cellStyle name="Обычный 3 5 4 2" xfId="16974"/>
    <cellStyle name="Обычный 3 5 4 3" xfId="16975"/>
    <cellStyle name="Обычный 3 5 4 4" xfId="16976"/>
    <cellStyle name="Обычный 3 5 4 5" xfId="16977"/>
    <cellStyle name="Обычный 3 5 5" xfId="16978"/>
    <cellStyle name="Обычный 3 5 6" xfId="16979"/>
    <cellStyle name="Обычный 3 5 7" xfId="16980"/>
    <cellStyle name="Обычный 3 5 8" xfId="16981"/>
    <cellStyle name="Обычный 3 6" xfId="3930"/>
    <cellStyle name="Обычный 3 6 2" xfId="3931"/>
    <cellStyle name="Обычный 3 6 2 2" xfId="3932"/>
    <cellStyle name="Обычный 3 6 2 3" xfId="3933"/>
    <cellStyle name="Обычный 3 6 3" xfId="3934"/>
    <cellStyle name="Обычный 3 6 4" xfId="3935"/>
    <cellStyle name="Обычный 3 6 4 2" xfId="16982"/>
    <cellStyle name="Обычный 3 6 4 3" xfId="16983"/>
    <cellStyle name="Обычный 3 6 4 4" xfId="16984"/>
    <cellStyle name="Обычный 3 6 4 5" xfId="16985"/>
    <cellStyle name="Обычный 3 6 5" xfId="16986"/>
    <cellStyle name="Обычный 3 6 6" xfId="16987"/>
    <cellStyle name="Обычный 3 6 7" xfId="16988"/>
    <cellStyle name="Обычный 3 6 8" xfId="16989"/>
    <cellStyle name="Обычный 3 7" xfId="3936"/>
    <cellStyle name="Обычный 3 7 2" xfId="3937"/>
    <cellStyle name="Обычный 3 7 2 2" xfId="3938"/>
    <cellStyle name="Обычный 3 7 2 3" xfId="3939"/>
    <cellStyle name="Обычный 3 7 3" xfId="3940"/>
    <cellStyle name="Обычный 3 7 4" xfId="3941"/>
    <cellStyle name="Обычный 3 7 4 2" xfId="16990"/>
    <cellStyle name="Обычный 3 7 4 3" xfId="16991"/>
    <cellStyle name="Обычный 3 7 4 4" xfId="16992"/>
    <cellStyle name="Обычный 3 7 4 5" xfId="16993"/>
    <cellStyle name="Обычный 3 7 5" xfId="16994"/>
    <cellStyle name="Обычный 3 7 6" xfId="16995"/>
    <cellStyle name="Обычный 3 7 7" xfId="16996"/>
    <cellStyle name="Обычный 3 7 8" xfId="16997"/>
    <cellStyle name="Обычный 3 8" xfId="3942"/>
    <cellStyle name="Обычный 3 8 2" xfId="3943"/>
    <cellStyle name="Обычный 3 8 2 2" xfId="3944"/>
    <cellStyle name="Обычный 3 8 2 3" xfId="3945"/>
    <cellStyle name="Обычный 3 8 3" xfId="3946"/>
    <cellStyle name="Обычный 3 8 4" xfId="3947"/>
    <cellStyle name="Обычный 3 8 4 2" xfId="16998"/>
    <cellStyle name="Обычный 3 8 4 3" xfId="16999"/>
    <cellStyle name="Обычный 3 8 4 4" xfId="17000"/>
    <cellStyle name="Обычный 3 8 4 5" xfId="17001"/>
    <cellStyle name="Обычный 3 8 5" xfId="17002"/>
    <cellStyle name="Обычный 3 8 6" xfId="17003"/>
    <cellStyle name="Обычный 3 8 7" xfId="17004"/>
    <cellStyle name="Обычный 3 8 8" xfId="17005"/>
    <cellStyle name="Обычный 3 9" xfId="3948"/>
    <cellStyle name="Обычный 3 9 2" xfId="3949"/>
    <cellStyle name="Обычный 3 9 2 2" xfId="3950"/>
    <cellStyle name="Обычный 3 9 2 3" xfId="3951"/>
    <cellStyle name="Обычный 3 9 3" xfId="3952"/>
    <cellStyle name="Обычный 3 9 4" xfId="3953"/>
    <cellStyle name="Обычный 3 9 4 2" xfId="17006"/>
    <cellStyle name="Обычный 3 9 4 3" xfId="17007"/>
    <cellStyle name="Обычный 3 9 4 4" xfId="17008"/>
    <cellStyle name="Обычный 3 9 4 5" xfId="17009"/>
    <cellStyle name="Обычный 3 9 5" xfId="17010"/>
    <cellStyle name="Обычный 3 9 6" xfId="17011"/>
    <cellStyle name="Обычный 3 9 7" xfId="17012"/>
    <cellStyle name="Обычный 3 9 8" xfId="17013"/>
    <cellStyle name="Обычный 4" xfId="6"/>
    <cellStyle name="Обычный 4 10" xfId="3954"/>
    <cellStyle name="Обычный 4 10 2" xfId="3955"/>
    <cellStyle name="Обычный 4 10 2 10" xfId="17014"/>
    <cellStyle name="Обычный 4 10 2 11" xfId="17015"/>
    <cellStyle name="Обычный 4 10 2 12" xfId="17016"/>
    <cellStyle name="Обычный 4 10 2 2" xfId="3956"/>
    <cellStyle name="Обычный 4 10 2 2 10" xfId="17017"/>
    <cellStyle name="Обычный 4 10 2 2 11" xfId="17018"/>
    <cellStyle name="Обычный 4 10 2 2 12" xfId="17019"/>
    <cellStyle name="Обычный 4 10 2 2 2" xfId="3957"/>
    <cellStyle name="Обычный 4 10 2 2 2 2" xfId="17020"/>
    <cellStyle name="Обычный 4 10 2 2 2 3" xfId="17021"/>
    <cellStyle name="Обычный 4 10 2 2 2 4" xfId="17022"/>
    <cellStyle name="Обычный 4 10 2 2 2 5" xfId="17023"/>
    <cellStyle name="Обычный 4 10 2 2 2 6" xfId="17024"/>
    <cellStyle name="Обычный 4 10 2 2 2 7" xfId="17025"/>
    <cellStyle name="Обычный 4 10 2 2 2 8" xfId="17026"/>
    <cellStyle name="Обычный 4 10 2 2 2 9" xfId="17027"/>
    <cellStyle name="Обычный 4 10 2 2 3" xfId="3958"/>
    <cellStyle name="Обычный 4 10 2 2 3 2" xfId="17028"/>
    <cellStyle name="Обычный 4 10 2 2 3 3" xfId="17029"/>
    <cellStyle name="Обычный 4 10 2 2 3 4" xfId="17030"/>
    <cellStyle name="Обычный 4 10 2 2 3 5" xfId="17031"/>
    <cellStyle name="Обычный 4 10 2 2 3 6" xfId="17032"/>
    <cellStyle name="Обычный 4 10 2 2 3 7" xfId="17033"/>
    <cellStyle name="Обычный 4 10 2 2 3 8" xfId="17034"/>
    <cellStyle name="Обычный 4 10 2 2 3 9" xfId="17035"/>
    <cellStyle name="Обычный 4 10 2 2 4" xfId="3959"/>
    <cellStyle name="Обычный 4 10 2 2 4 2" xfId="17036"/>
    <cellStyle name="Обычный 4 10 2 2 4 3" xfId="17037"/>
    <cellStyle name="Обычный 4 10 2 2 4 4" xfId="17038"/>
    <cellStyle name="Обычный 4 10 2 2 4 5" xfId="17039"/>
    <cellStyle name="Обычный 4 10 2 2 4 6" xfId="17040"/>
    <cellStyle name="Обычный 4 10 2 2 4 7" xfId="17041"/>
    <cellStyle name="Обычный 4 10 2 2 4 8" xfId="17042"/>
    <cellStyle name="Обычный 4 10 2 2 4 9" xfId="17043"/>
    <cellStyle name="Обычный 4 10 2 2 5" xfId="17044"/>
    <cellStyle name="Обычный 4 10 2 2 6" xfId="17045"/>
    <cellStyle name="Обычный 4 10 2 2 7" xfId="17046"/>
    <cellStyle name="Обычный 4 10 2 2 8" xfId="17047"/>
    <cellStyle name="Обычный 4 10 2 2 9" xfId="17048"/>
    <cellStyle name="Обычный 4 10 2 3" xfId="3960"/>
    <cellStyle name="Обычный 4 10 2 3 10" xfId="17049"/>
    <cellStyle name="Обычный 4 10 2 3 11" xfId="17050"/>
    <cellStyle name="Обычный 4 10 2 3 2" xfId="3961"/>
    <cellStyle name="Обычный 4 10 2 3 2 2" xfId="17051"/>
    <cellStyle name="Обычный 4 10 2 3 2 3" xfId="17052"/>
    <cellStyle name="Обычный 4 10 2 3 2 4" xfId="17053"/>
    <cellStyle name="Обычный 4 10 2 3 2 5" xfId="17054"/>
    <cellStyle name="Обычный 4 10 2 3 2 6" xfId="17055"/>
    <cellStyle name="Обычный 4 10 2 3 2 7" xfId="17056"/>
    <cellStyle name="Обычный 4 10 2 3 2 8" xfId="17057"/>
    <cellStyle name="Обычный 4 10 2 3 2 9" xfId="17058"/>
    <cellStyle name="Обычный 4 10 2 3 3" xfId="3962"/>
    <cellStyle name="Обычный 4 10 2 3 3 2" xfId="17059"/>
    <cellStyle name="Обычный 4 10 2 3 3 3" xfId="17060"/>
    <cellStyle name="Обычный 4 10 2 3 3 4" xfId="17061"/>
    <cellStyle name="Обычный 4 10 2 3 3 5" xfId="17062"/>
    <cellStyle name="Обычный 4 10 2 3 3 6" xfId="17063"/>
    <cellStyle name="Обычный 4 10 2 3 3 7" xfId="17064"/>
    <cellStyle name="Обычный 4 10 2 3 3 8" xfId="17065"/>
    <cellStyle name="Обычный 4 10 2 3 3 9" xfId="17066"/>
    <cellStyle name="Обычный 4 10 2 3 4" xfId="17067"/>
    <cellStyle name="Обычный 4 10 2 3 5" xfId="17068"/>
    <cellStyle name="Обычный 4 10 2 3 6" xfId="17069"/>
    <cellStyle name="Обычный 4 10 2 3 7" xfId="17070"/>
    <cellStyle name="Обычный 4 10 2 3 8" xfId="17071"/>
    <cellStyle name="Обычный 4 10 2 3 9" xfId="17072"/>
    <cellStyle name="Обычный 4 10 2 4" xfId="3963"/>
    <cellStyle name="Обычный 4 10 2 4 2" xfId="17073"/>
    <cellStyle name="Обычный 4 10 2 4 3" xfId="17074"/>
    <cellStyle name="Обычный 4 10 2 4 4" xfId="17075"/>
    <cellStyle name="Обычный 4 10 2 4 5" xfId="17076"/>
    <cellStyle name="Обычный 4 10 2 4 6" xfId="17077"/>
    <cellStyle name="Обычный 4 10 2 4 7" xfId="17078"/>
    <cellStyle name="Обычный 4 10 2 4 8" xfId="17079"/>
    <cellStyle name="Обычный 4 10 2 4 9" xfId="17080"/>
    <cellStyle name="Обычный 4 10 2 5" xfId="17081"/>
    <cellStyle name="Обычный 4 10 2 6" xfId="17082"/>
    <cellStyle name="Обычный 4 10 2 7" xfId="17083"/>
    <cellStyle name="Обычный 4 10 2 8" xfId="17084"/>
    <cellStyle name="Обычный 4 10 2 9" xfId="17085"/>
    <cellStyle name="Обычный 4 10 3" xfId="3964"/>
    <cellStyle name="Обычный 4 10 3 2" xfId="3965"/>
    <cellStyle name="Обычный 4 10 3 3" xfId="3966"/>
    <cellStyle name="Обычный 4 10 4" xfId="3967"/>
    <cellStyle name="Обычный 4 10 5" xfId="3968"/>
    <cellStyle name="Обычный 4 10 5 2" xfId="17086"/>
    <cellStyle name="Обычный 4 10 5 3" xfId="17087"/>
    <cellStyle name="Обычный 4 10 5 4" xfId="17088"/>
    <cellStyle name="Обычный 4 10 5 5" xfId="17089"/>
    <cellStyle name="Обычный 4 10 6" xfId="17090"/>
    <cellStyle name="Обычный 4 10 7" xfId="17091"/>
    <cellStyle name="Обычный 4 10 8" xfId="17092"/>
    <cellStyle name="Обычный 4 10 9" xfId="17093"/>
    <cellStyle name="Обычный 4 11" xfId="3969"/>
    <cellStyle name="Обычный 4 11 2" xfId="3970"/>
    <cellStyle name="Обычный 4 11 2 2" xfId="3971"/>
    <cellStyle name="Обычный 4 11 2 3" xfId="3972"/>
    <cellStyle name="Обычный 4 11 3" xfId="3973"/>
    <cellStyle name="Обычный 4 11 4" xfId="3974"/>
    <cellStyle name="Обычный 4 11 4 2" xfId="17094"/>
    <cellStyle name="Обычный 4 11 4 3" xfId="17095"/>
    <cellStyle name="Обычный 4 11 4 4" xfId="17096"/>
    <cellStyle name="Обычный 4 11 4 5" xfId="17097"/>
    <cellStyle name="Обычный 4 11 5" xfId="17098"/>
    <cellStyle name="Обычный 4 11 6" xfId="17099"/>
    <cellStyle name="Обычный 4 11 7" xfId="17100"/>
    <cellStyle name="Обычный 4 11 8" xfId="17101"/>
    <cellStyle name="Обычный 4 12" xfId="3975"/>
    <cellStyle name="Обычный 4 12 2" xfId="3976"/>
    <cellStyle name="Обычный 4 12 2 2" xfId="3977"/>
    <cellStyle name="Обычный 4 12 2 3" xfId="3978"/>
    <cellStyle name="Обычный 4 12 3" xfId="3979"/>
    <cellStyle name="Обычный 4 12 4" xfId="3980"/>
    <cellStyle name="Обычный 4 12 4 2" xfId="17102"/>
    <cellStyle name="Обычный 4 12 4 3" xfId="17103"/>
    <cellStyle name="Обычный 4 12 4 4" xfId="17104"/>
    <cellStyle name="Обычный 4 12 4 5" xfId="17105"/>
    <cellStyle name="Обычный 4 12 5" xfId="17106"/>
    <cellStyle name="Обычный 4 12 6" xfId="17107"/>
    <cellStyle name="Обычный 4 12 7" xfId="17108"/>
    <cellStyle name="Обычный 4 12 8" xfId="17109"/>
    <cellStyle name="Обычный 4 13" xfId="3981"/>
    <cellStyle name="Обычный 4 13 2" xfId="3982"/>
    <cellStyle name="Обычный 4 13 2 2" xfId="3983"/>
    <cellStyle name="Обычный 4 13 2 3" xfId="3984"/>
    <cellStyle name="Обычный 4 13 3" xfId="3985"/>
    <cellStyle name="Обычный 4 13 4" xfId="3986"/>
    <cellStyle name="Обычный 4 13 4 2" xfId="17110"/>
    <cellStyle name="Обычный 4 13 4 3" xfId="17111"/>
    <cellStyle name="Обычный 4 13 4 4" xfId="17112"/>
    <cellStyle name="Обычный 4 13 4 5" xfId="17113"/>
    <cellStyle name="Обычный 4 13 5" xfId="17114"/>
    <cellStyle name="Обычный 4 13 6" xfId="17115"/>
    <cellStyle name="Обычный 4 13 7" xfId="17116"/>
    <cellStyle name="Обычный 4 13 8" xfId="17117"/>
    <cellStyle name="Обычный 4 14" xfId="3987"/>
    <cellStyle name="Обычный 4 14 10" xfId="17118"/>
    <cellStyle name="Обычный 4 14 11" xfId="17119"/>
    <cellStyle name="Обычный 4 14 12" xfId="17120"/>
    <cellStyle name="Обычный 4 14 13" xfId="17121"/>
    <cellStyle name="Обычный 4 14 14" xfId="17122"/>
    <cellStyle name="Обычный 4 14 2" xfId="3988"/>
    <cellStyle name="Обычный 4 14 2 2" xfId="3989"/>
    <cellStyle name="Обычный 4 14 2 2 2" xfId="3990"/>
    <cellStyle name="Обычный 4 14 2 2 3" xfId="3991"/>
    <cellStyle name="Обычный 4 14 2 3" xfId="3992"/>
    <cellStyle name="Обычный 4 14 2 4" xfId="3993"/>
    <cellStyle name="Обычный 4 14 2 4 2" xfId="17123"/>
    <cellStyle name="Обычный 4 14 2 4 3" xfId="17124"/>
    <cellStyle name="Обычный 4 14 2 4 4" xfId="17125"/>
    <cellStyle name="Обычный 4 14 2 4 5" xfId="17126"/>
    <cellStyle name="Обычный 4 14 2 5" xfId="17127"/>
    <cellStyle name="Обычный 4 14 2 6" xfId="17128"/>
    <cellStyle name="Обычный 4 14 2 7" xfId="17129"/>
    <cellStyle name="Обычный 4 14 2 8" xfId="17130"/>
    <cellStyle name="Обычный 4 14 3" xfId="3994"/>
    <cellStyle name="Обычный 4 14 3 2" xfId="3995"/>
    <cellStyle name="Обычный 4 14 3 2 2" xfId="3996"/>
    <cellStyle name="Обычный 4 14 3 2 3" xfId="3997"/>
    <cellStyle name="Обычный 4 14 3 3" xfId="3998"/>
    <cellStyle name="Обычный 4 14 3 4" xfId="3999"/>
    <cellStyle name="Обычный 4 14 3 4 2" xfId="17131"/>
    <cellStyle name="Обычный 4 14 3 4 3" xfId="17132"/>
    <cellStyle name="Обычный 4 14 3 4 4" xfId="17133"/>
    <cellStyle name="Обычный 4 14 3 4 5" xfId="17134"/>
    <cellStyle name="Обычный 4 14 3 5" xfId="17135"/>
    <cellStyle name="Обычный 4 14 3 6" xfId="17136"/>
    <cellStyle name="Обычный 4 14 3 7" xfId="17137"/>
    <cellStyle name="Обычный 4 14 3 8" xfId="17138"/>
    <cellStyle name="Обычный 4 14 4" xfId="4000"/>
    <cellStyle name="Обычный 4 14 4 10" xfId="17139"/>
    <cellStyle name="Обычный 4 14 4 11" xfId="17140"/>
    <cellStyle name="Обычный 4 14 4 12" xfId="17141"/>
    <cellStyle name="Обычный 4 14 4 2" xfId="4001"/>
    <cellStyle name="Обычный 4 14 4 2 2" xfId="17142"/>
    <cellStyle name="Обычный 4 14 4 2 3" xfId="17143"/>
    <cellStyle name="Обычный 4 14 4 2 4" xfId="17144"/>
    <cellStyle name="Обычный 4 14 4 2 5" xfId="17145"/>
    <cellStyle name="Обычный 4 14 4 2 6" xfId="17146"/>
    <cellStyle name="Обычный 4 14 4 2 7" xfId="17147"/>
    <cellStyle name="Обычный 4 14 4 2 8" xfId="17148"/>
    <cellStyle name="Обычный 4 14 4 2 9" xfId="17149"/>
    <cellStyle name="Обычный 4 14 4 3" xfId="4002"/>
    <cellStyle name="Обычный 4 14 4 3 2" xfId="17150"/>
    <cellStyle name="Обычный 4 14 4 3 3" xfId="17151"/>
    <cellStyle name="Обычный 4 14 4 3 4" xfId="17152"/>
    <cellStyle name="Обычный 4 14 4 3 5" xfId="17153"/>
    <cellStyle name="Обычный 4 14 4 3 6" xfId="17154"/>
    <cellStyle name="Обычный 4 14 4 3 7" xfId="17155"/>
    <cellStyle name="Обычный 4 14 4 3 8" xfId="17156"/>
    <cellStyle name="Обычный 4 14 4 3 9" xfId="17157"/>
    <cellStyle name="Обычный 4 14 4 4" xfId="4003"/>
    <cellStyle name="Обычный 4 14 4 4 2" xfId="17158"/>
    <cellStyle name="Обычный 4 14 4 4 3" xfId="17159"/>
    <cellStyle name="Обычный 4 14 4 4 4" xfId="17160"/>
    <cellStyle name="Обычный 4 14 4 4 5" xfId="17161"/>
    <cellStyle name="Обычный 4 14 4 4 6" xfId="17162"/>
    <cellStyle name="Обычный 4 14 4 4 7" xfId="17163"/>
    <cellStyle name="Обычный 4 14 4 4 8" xfId="17164"/>
    <cellStyle name="Обычный 4 14 4 4 9" xfId="17165"/>
    <cellStyle name="Обычный 4 14 4 5" xfId="17166"/>
    <cellStyle name="Обычный 4 14 4 6" xfId="17167"/>
    <cellStyle name="Обычный 4 14 4 7" xfId="17168"/>
    <cellStyle name="Обычный 4 14 4 8" xfId="17169"/>
    <cellStyle name="Обычный 4 14 4 9" xfId="17170"/>
    <cellStyle name="Обычный 4 14 5" xfId="4004"/>
    <cellStyle name="Обычный 4 14 5 10" xfId="17171"/>
    <cellStyle name="Обычный 4 14 5 11" xfId="17172"/>
    <cellStyle name="Обычный 4 14 5 2" xfId="4005"/>
    <cellStyle name="Обычный 4 14 5 2 2" xfId="17173"/>
    <cellStyle name="Обычный 4 14 5 2 3" xfId="17174"/>
    <cellStyle name="Обычный 4 14 5 2 4" xfId="17175"/>
    <cellStyle name="Обычный 4 14 5 2 5" xfId="17176"/>
    <cellStyle name="Обычный 4 14 5 2 6" xfId="17177"/>
    <cellStyle name="Обычный 4 14 5 2 7" xfId="17178"/>
    <cellStyle name="Обычный 4 14 5 2 8" xfId="17179"/>
    <cellStyle name="Обычный 4 14 5 2 9" xfId="17180"/>
    <cellStyle name="Обычный 4 14 5 3" xfId="4006"/>
    <cellStyle name="Обычный 4 14 5 3 2" xfId="17181"/>
    <cellStyle name="Обычный 4 14 5 3 3" xfId="17182"/>
    <cellStyle name="Обычный 4 14 5 3 4" xfId="17183"/>
    <cellStyle name="Обычный 4 14 5 3 5" xfId="17184"/>
    <cellStyle name="Обычный 4 14 5 3 6" xfId="17185"/>
    <cellStyle name="Обычный 4 14 5 3 7" xfId="17186"/>
    <cellStyle name="Обычный 4 14 5 3 8" xfId="17187"/>
    <cellStyle name="Обычный 4 14 5 3 9" xfId="17188"/>
    <cellStyle name="Обычный 4 14 5 4" xfId="17189"/>
    <cellStyle name="Обычный 4 14 5 5" xfId="17190"/>
    <cellStyle name="Обычный 4 14 5 6" xfId="17191"/>
    <cellStyle name="Обычный 4 14 5 7" xfId="17192"/>
    <cellStyle name="Обычный 4 14 5 8" xfId="17193"/>
    <cellStyle name="Обычный 4 14 5 9" xfId="17194"/>
    <cellStyle name="Обычный 4 14 6" xfId="4007"/>
    <cellStyle name="Обычный 4 14 6 2" xfId="17195"/>
    <cellStyle name="Обычный 4 14 6 3" xfId="17196"/>
    <cellStyle name="Обычный 4 14 6 4" xfId="17197"/>
    <cellStyle name="Обычный 4 14 6 5" xfId="17198"/>
    <cellStyle name="Обычный 4 14 6 6" xfId="17199"/>
    <cellStyle name="Обычный 4 14 6 7" xfId="17200"/>
    <cellStyle name="Обычный 4 14 6 8" xfId="17201"/>
    <cellStyle name="Обычный 4 14 6 9" xfId="17202"/>
    <cellStyle name="Обычный 4 14 7" xfId="17203"/>
    <cellStyle name="Обычный 4 14 8" xfId="17204"/>
    <cellStyle name="Обычный 4 14 9" xfId="17205"/>
    <cellStyle name="Обычный 4 15" xfId="4008"/>
    <cellStyle name="Обычный 4 15 10" xfId="17206"/>
    <cellStyle name="Обычный 4 15 11" xfId="17207"/>
    <cellStyle name="Обычный 4 15 12" xfId="17208"/>
    <cellStyle name="Обычный 4 15 2" xfId="4009"/>
    <cellStyle name="Обычный 4 15 2 10" xfId="17209"/>
    <cellStyle name="Обычный 4 15 2 11" xfId="17210"/>
    <cellStyle name="Обычный 4 15 2 12" xfId="17211"/>
    <cellStyle name="Обычный 4 15 2 2" xfId="4010"/>
    <cellStyle name="Обычный 4 15 2 2 2" xfId="17212"/>
    <cellStyle name="Обычный 4 15 2 2 3" xfId="17213"/>
    <cellStyle name="Обычный 4 15 2 2 4" xfId="17214"/>
    <cellStyle name="Обычный 4 15 2 2 5" xfId="17215"/>
    <cellStyle name="Обычный 4 15 2 2 6" xfId="17216"/>
    <cellStyle name="Обычный 4 15 2 2 7" xfId="17217"/>
    <cellStyle name="Обычный 4 15 2 2 8" xfId="17218"/>
    <cellStyle name="Обычный 4 15 2 2 9" xfId="17219"/>
    <cellStyle name="Обычный 4 15 2 3" xfId="4011"/>
    <cellStyle name="Обычный 4 15 2 3 2" xfId="17220"/>
    <cellStyle name="Обычный 4 15 2 3 3" xfId="17221"/>
    <cellStyle name="Обычный 4 15 2 3 4" xfId="17222"/>
    <cellStyle name="Обычный 4 15 2 3 5" xfId="17223"/>
    <cellStyle name="Обычный 4 15 2 3 6" xfId="17224"/>
    <cellStyle name="Обычный 4 15 2 3 7" xfId="17225"/>
    <cellStyle name="Обычный 4 15 2 3 8" xfId="17226"/>
    <cellStyle name="Обычный 4 15 2 3 9" xfId="17227"/>
    <cellStyle name="Обычный 4 15 2 4" xfId="4012"/>
    <cellStyle name="Обычный 4 15 2 4 2" xfId="17228"/>
    <cellStyle name="Обычный 4 15 2 4 3" xfId="17229"/>
    <cellStyle name="Обычный 4 15 2 4 4" xfId="17230"/>
    <cellStyle name="Обычный 4 15 2 4 5" xfId="17231"/>
    <cellStyle name="Обычный 4 15 2 4 6" xfId="17232"/>
    <cellStyle name="Обычный 4 15 2 4 7" xfId="17233"/>
    <cellStyle name="Обычный 4 15 2 4 8" xfId="17234"/>
    <cellStyle name="Обычный 4 15 2 4 9" xfId="17235"/>
    <cellStyle name="Обычный 4 15 2 5" xfId="17236"/>
    <cellStyle name="Обычный 4 15 2 6" xfId="17237"/>
    <cellStyle name="Обычный 4 15 2 7" xfId="17238"/>
    <cellStyle name="Обычный 4 15 2 8" xfId="17239"/>
    <cellStyle name="Обычный 4 15 2 9" xfId="17240"/>
    <cellStyle name="Обычный 4 15 3" xfId="4013"/>
    <cellStyle name="Обычный 4 15 3 10" xfId="17241"/>
    <cellStyle name="Обычный 4 15 3 11" xfId="17242"/>
    <cellStyle name="Обычный 4 15 3 2" xfId="4014"/>
    <cellStyle name="Обычный 4 15 3 2 2" xfId="17243"/>
    <cellStyle name="Обычный 4 15 3 2 3" xfId="17244"/>
    <cellStyle name="Обычный 4 15 3 2 4" xfId="17245"/>
    <cellStyle name="Обычный 4 15 3 2 5" xfId="17246"/>
    <cellStyle name="Обычный 4 15 3 2 6" xfId="17247"/>
    <cellStyle name="Обычный 4 15 3 2 7" xfId="17248"/>
    <cellStyle name="Обычный 4 15 3 2 8" xfId="17249"/>
    <cellStyle name="Обычный 4 15 3 2 9" xfId="17250"/>
    <cellStyle name="Обычный 4 15 3 3" xfId="4015"/>
    <cellStyle name="Обычный 4 15 3 3 2" xfId="17251"/>
    <cellStyle name="Обычный 4 15 3 3 3" xfId="17252"/>
    <cellStyle name="Обычный 4 15 3 3 4" xfId="17253"/>
    <cellStyle name="Обычный 4 15 3 3 5" xfId="17254"/>
    <cellStyle name="Обычный 4 15 3 3 6" xfId="17255"/>
    <cellStyle name="Обычный 4 15 3 3 7" xfId="17256"/>
    <cellStyle name="Обычный 4 15 3 3 8" xfId="17257"/>
    <cellStyle name="Обычный 4 15 3 3 9" xfId="17258"/>
    <cellStyle name="Обычный 4 15 3 4" xfId="17259"/>
    <cellStyle name="Обычный 4 15 3 5" xfId="17260"/>
    <cellStyle name="Обычный 4 15 3 6" xfId="17261"/>
    <cellStyle name="Обычный 4 15 3 7" xfId="17262"/>
    <cellStyle name="Обычный 4 15 3 8" xfId="17263"/>
    <cellStyle name="Обычный 4 15 3 9" xfId="17264"/>
    <cellStyle name="Обычный 4 15 4" xfId="4016"/>
    <cellStyle name="Обычный 4 15 4 2" xfId="17265"/>
    <cellStyle name="Обычный 4 15 4 3" xfId="17266"/>
    <cellStyle name="Обычный 4 15 4 4" xfId="17267"/>
    <cellStyle name="Обычный 4 15 4 5" xfId="17268"/>
    <cellStyle name="Обычный 4 15 4 6" xfId="17269"/>
    <cellStyle name="Обычный 4 15 4 7" xfId="17270"/>
    <cellStyle name="Обычный 4 15 4 8" xfId="17271"/>
    <cellStyle name="Обычный 4 15 4 9" xfId="17272"/>
    <cellStyle name="Обычный 4 15 5" xfId="17273"/>
    <cellStyle name="Обычный 4 15 6" xfId="17274"/>
    <cellStyle name="Обычный 4 15 7" xfId="17275"/>
    <cellStyle name="Обычный 4 15 8" xfId="17276"/>
    <cellStyle name="Обычный 4 15 9" xfId="17277"/>
    <cellStyle name="Обычный 4 16" xfId="4017"/>
    <cellStyle name="Обычный 4 16 2" xfId="4018"/>
    <cellStyle name="Обычный 4 16 3" xfId="4019"/>
    <cellStyle name="Обычный 4 17" xfId="4020"/>
    <cellStyle name="Обычный 4 18" xfId="4021"/>
    <cellStyle name="Обычный 4 18 2" xfId="17278"/>
    <cellStyle name="Обычный 4 18 3" xfId="17279"/>
    <cellStyle name="Обычный 4 18 4" xfId="17280"/>
    <cellStyle name="Обычный 4 18 5" xfId="17281"/>
    <cellStyle name="Обычный 4 19" xfId="17282"/>
    <cellStyle name="Обычный 4 2" xfId="4022"/>
    <cellStyle name="Обычный 4 2 10" xfId="4023"/>
    <cellStyle name="Обычный 4 2 10 2" xfId="4024"/>
    <cellStyle name="Обычный 4 2 10 2 2" xfId="4025"/>
    <cellStyle name="Обычный 4 2 10 2 2 2" xfId="17283"/>
    <cellStyle name="Обычный 4 2 10 2 2 3" xfId="17284"/>
    <cellStyle name="Обычный 4 2 10 2 2 4" xfId="17285"/>
    <cellStyle name="Обычный 4 2 10 2 2 5" xfId="17286"/>
    <cellStyle name="Обычный 4 2 10 2 2 6" xfId="17287"/>
    <cellStyle name="Обычный 4 2 10 2 3" xfId="4026"/>
    <cellStyle name="Обычный 4 2 10 2 3 2" xfId="17288"/>
    <cellStyle name="Обычный 4 2 10 2 3 3" xfId="17289"/>
    <cellStyle name="Обычный 4 2 10 2 3 4" xfId="17290"/>
    <cellStyle name="Обычный 4 2 10 2 3 5" xfId="17291"/>
    <cellStyle name="Обычный 4 2 10 2 3 6" xfId="17292"/>
    <cellStyle name="Обычный 4 2 10 2 4" xfId="17293"/>
    <cellStyle name="Обычный 4 2 10 2 5" xfId="17294"/>
    <cellStyle name="Обычный 4 2 10 2 6" xfId="17295"/>
    <cellStyle name="Обычный 4 2 10 2 7" xfId="17296"/>
    <cellStyle name="Обычный 4 2 10 2 8" xfId="17297"/>
    <cellStyle name="Обычный 4 2 10 3" xfId="4027"/>
    <cellStyle name="Обычный 4 2 10 3 2" xfId="17298"/>
    <cellStyle name="Обычный 4 2 10 3 3" xfId="17299"/>
    <cellStyle name="Обычный 4 2 10 3 4" xfId="17300"/>
    <cellStyle name="Обычный 4 2 10 3 5" xfId="17301"/>
    <cellStyle name="Обычный 4 2 10 3 6" xfId="17302"/>
    <cellStyle name="Обычный 4 2 10 4" xfId="4028"/>
    <cellStyle name="Обычный 4 2 10 4 2" xfId="17303"/>
    <cellStyle name="Обычный 4 2 10 4 3" xfId="17304"/>
    <cellStyle name="Обычный 4 2 10 4 4" xfId="17305"/>
    <cellStyle name="Обычный 4 2 10 4 5" xfId="17306"/>
    <cellStyle name="Обычный 4 2 10 5" xfId="17307"/>
    <cellStyle name="Обычный 4 2 10 6" xfId="17308"/>
    <cellStyle name="Обычный 4 2 10 7" xfId="17309"/>
    <cellStyle name="Обычный 4 2 10 8" xfId="17310"/>
    <cellStyle name="Обычный 4 2 11" xfId="4029"/>
    <cellStyle name="Обычный 4 2 11 2" xfId="4030"/>
    <cellStyle name="Обычный 4 2 11 2 2" xfId="4031"/>
    <cellStyle name="Обычный 4 2 11 2 2 2" xfId="17311"/>
    <cellStyle name="Обычный 4 2 11 2 2 3" xfId="17312"/>
    <cellStyle name="Обычный 4 2 11 2 2 4" xfId="17313"/>
    <cellStyle name="Обычный 4 2 11 2 2 5" xfId="17314"/>
    <cellStyle name="Обычный 4 2 11 2 2 6" xfId="17315"/>
    <cellStyle name="Обычный 4 2 11 2 3" xfId="4032"/>
    <cellStyle name="Обычный 4 2 11 2 3 2" xfId="17316"/>
    <cellStyle name="Обычный 4 2 11 2 3 3" xfId="17317"/>
    <cellStyle name="Обычный 4 2 11 2 3 4" xfId="17318"/>
    <cellStyle name="Обычный 4 2 11 2 3 5" xfId="17319"/>
    <cellStyle name="Обычный 4 2 11 2 3 6" xfId="17320"/>
    <cellStyle name="Обычный 4 2 11 2 4" xfId="17321"/>
    <cellStyle name="Обычный 4 2 11 2 5" xfId="17322"/>
    <cellStyle name="Обычный 4 2 11 2 6" xfId="17323"/>
    <cellStyle name="Обычный 4 2 11 2 7" xfId="17324"/>
    <cellStyle name="Обычный 4 2 11 2 8" xfId="17325"/>
    <cellStyle name="Обычный 4 2 11 3" xfId="4033"/>
    <cellStyle name="Обычный 4 2 11 3 2" xfId="17326"/>
    <cellStyle name="Обычный 4 2 11 3 3" xfId="17327"/>
    <cellStyle name="Обычный 4 2 11 3 4" xfId="17328"/>
    <cellStyle name="Обычный 4 2 11 3 5" xfId="17329"/>
    <cellStyle name="Обычный 4 2 11 3 6" xfId="17330"/>
    <cellStyle name="Обычный 4 2 11 4" xfId="4034"/>
    <cellStyle name="Обычный 4 2 11 4 2" xfId="17331"/>
    <cellStyle name="Обычный 4 2 11 4 3" xfId="17332"/>
    <cellStyle name="Обычный 4 2 11 4 4" xfId="17333"/>
    <cellStyle name="Обычный 4 2 11 4 5" xfId="17334"/>
    <cellStyle name="Обычный 4 2 11 5" xfId="17335"/>
    <cellStyle name="Обычный 4 2 11 6" xfId="17336"/>
    <cellStyle name="Обычный 4 2 11 7" xfId="17337"/>
    <cellStyle name="Обычный 4 2 11 8" xfId="17338"/>
    <cellStyle name="Обычный 4 2 12" xfId="4035"/>
    <cellStyle name="Обычный 4 2 12 2" xfId="4036"/>
    <cellStyle name="Обычный 4 2 12 3" xfId="4037"/>
    <cellStyle name="Обычный 4 2 13" xfId="4038"/>
    <cellStyle name="Обычный 4 2 14" xfId="4039"/>
    <cellStyle name="Обычный 4 2 14 2" xfId="17339"/>
    <cellStyle name="Обычный 4 2 14 3" xfId="17340"/>
    <cellStyle name="Обычный 4 2 14 4" xfId="17341"/>
    <cellStyle name="Обычный 4 2 14 5" xfId="17342"/>
    <cellStyle name="Обычный 4 2 15" xfId="17343"/>
    <cellStyle name="Обычный 4 2 16" xfId="17344"/>
    <cellStyle name="Обычный 4 2 17" xfId="17345"/>
    <cellStyle name="Обычный 4 2 18" xfId="17346"/>
    <cellStyle name="Обычный 4 2 2" xfId="4040"/>
    <cellStyle name="Обычный 4 2 2 2" xfId="4041"/>
    <cellStyle name="Обычный 4 2 2 2 2" xfId="4042"/>
    <cellStyle name="Обычный 4 2 2 2 3" xfId="4043"/>
    <cellStyle name="Обычный 4 2 2 3" xfId="4044"/>
    <cellStyle name="Обычный 4 2 2 4" xfId="4045"/>
    <cellStyle name="Обычный 4 2 3" xfId="4046"/>
    <cellStyle name="Обычный 4 2 3 2" xfId="4047"/>
    <cellStyle name="Обычный 4 2 3 2 2" xfId="4048"/>
    <cellStyle name="Обычный 4 2 3 2 3" xfId="4049"/>
    <cellStyle name="Обычный 4 2 3 3" xfId="4050"/>
    <cellStyle name="Обычный 4 2 3 4" xfId="4051"/>
    <cellStyle name="Обычный 4 2 4" xfId="4052"/>
    <cellStyle name="Обычный 4 2 4 2" xfId="4053"/>
    <cellStyle name="Обычный 4 2 4 2 2" xfId="4054"/>
    <cellStyle name="Обычный 4 2 4 2 3" xfId="4055"/>
    <cellStyle name="Обычный 4 2 4 3" xfId="4056"/>
    <cellStyle name="Обычный 4 2 4 4" xfId="4057"/>
    <cellStyle name="Обычный 4 2 5" xfId="4058"/>
    <cellStyle name="Обычный 4 2 5 2" xfId="4059"/>
    <cellStyle name="Обычный 4 2 5 2 2" xfId="4060"/>
    <cellStyle name="Обычный 4 2 5 2 3" xfId="4061"/>
    <cellStyle name="Обычный 4 2 5 3" xfId="4062"/>
    <cellStyle name="Обычный 4 2 5 4" xfId="4063"/>
    <cellStyle name="Обычный 4 2 6" xfId="4064"/>
    <cellStyle name="Обычный 4 2 6 2" xfId="4065"/>
    <cellStyle name="Обычный 4 2 6 2 2" xfId="4066"/>
    <cellStyle name="Обычный 4 2 6 2 3" xfId="4067"/>
    <cellStyle name="Обычный 4 2 6 3" xfId="4068"/>
    <cellStyle name="Обычный 4 2 6 4" xfId="4069"/>
    <cellStyle name="Обычный 4 2 7" xfId="4070"/>
    <cellStyle name="Обычный 4 2 7 10" xfId="17347"/>
    <cellStyle name="Обычный 4 2 7 11" xfId="17348"/>
    <cellStyle name="Обычный 4 2 7 12" xfId="17349"/>
    <cellStyle name="Обычный 4 2 7 2" xfId="4071"/>
    <cellStyle name="Обычный 4 2 7 2 10" xfId="17350"/>
    <cellStyle name="Обычный 4 2 7 2 11" xfId="17351"/>
    <cellStyle name="Обычный 4 2 7 2 12" xfId="17352"/>
    <cellStyle name="Обычный 4 2 7 2 2" xfId="4072"/>
    <cellStyle name="Обычный 4 2 7 2 2 2" xfId="17353"/>
    <cellStyle name="Обычный 4 2 7 2 2 3" xfId="17354"/>
    <cellStyle name="Обычный 4 2 7 2 2 4" xfId="17355"/>
    <cellStyle name="Обычный 4 2 7 2 2 5" xfId="17356"/>
    <cellStyle name="Обычный 4 2 7 2 2 6" xfId="17357"/>
    <cellStyle name="Обычный 4 2 7 2 2 7" xfId="17358"/>
    <cellStyle name="Обычный 4 2 7 2 2 8" xfId="17359"/>
    <cellStyle name="Обычный 4 2 7 2 2 9" xfId="17360"/>
    <cellStyle name="Обычный 4 2 7 2 3" xfId="4073"/>
    <cellStyle name="Обычный 4 2 7 2 3 2" xfId="17361"/>
    <cellStyle name="Обычный 4 2 7 2 3 3" xfId="17362"/>
    <cellStyle name="Обычный 4 2 7 2 3 4" xfId="17363"/>
    <cellStyle name="Обычный 4 2 7 2 3 5" xfId="17364"/>
    <cellStyle name="Обычный 4 2 7 2 3 6" xfId="17365"/>
    <cellStyle name="Обычный 4 2 7 2 3 7" xfId="17366"/>
    <cellStyle name="Обычный 4 2 7 2 3 8" xfId="17367"/>
    <cellStyle name="Обычный 4 2 7 2 3 9" xfId="17368"/>
    <cellStyle name="Обычный 4 2 7 2 4" xfId="4074"/>
    <cellStyle name="Обычный 4 2 7 2 4 2" xfId="17369"/>
    <cellStyle name="Обычный 4 2 7 2 4 3" xfId="17370"/>
    <cellStyle name="Обычный 4 2 7 2 4 4" xfId="17371"/>
    <cellStyle name="Обычный 4 2 7 2 4 5" xfId="17372"/>
    <cellStyle name="Обычный 4 2 7 2 4 6" xfId="17373"/>
    <cellStyle name="Обычный 4 2 7 2 4 7" xfId="17374"/>
    <cellStyle name="Обычный 4 2 7 2 4 8" xfId="17375"/>
    <cellStyle name="Обычный 4 2 7 2 4 9" xfId="17376"/>
    <cellStyle name="Обычный 4 2 7 2 5" xfId="17377"/>
    <cellStyle name="Обычный 4 2 7 2 6" xfId="17378"/>
    <cellStyle name="Обычный 4 2 7 2 7" xfId="17379"/>
    <cellStyle name="Обычный 4 2 7 2 8" xfId="17380"/>
    <cellStyle name="Обычный 4 2 7 2 9" xfId="17381"/>
    <cellStyle name="Обычный 4 2 7 3" xfId="4075"/>
    <cellStyle name="Обычный 4 2 7 3 10" xfId="17382"/>
    <cellStyle name="Обычный 4 2 7 3 11" xfId="17383"/>
    <cellStyle name="Обычный 4 2 7 3 2" xfId="4076"/>
    <cellStyle name="Обычный 4 2 7 3 2 2" xfId="17384"/>
    <cellStyle name="Обычный 4 2 7 3 2 3" xfId="17385"/>
    <cellStyle name="Обычный 4 2 7 3 2 4" xfId="17386"/>
    <cellStyle name="Обычный 4 2 7 3 2 5" xfId="17387"/>
    <cellStyle name="Обычный 4 2 7 3 2 6" xfId="17388"/>
    <cellStyle name="Обычный 4 2 7 3 2 7" xfId="17389"/>
    <cellStyle name="Обычный 4 2 7 3 2 8" xfId="17390"/>
    <cellStyle name="Обычный 4 2 7 3 2 9" xfId="17391"/>
    <cellStyle name="Обычный 4 2 7 3 3" xfId="4077"/>
    <cellStyle name="Обычный 4 2 7 3 3 2" xfId="17392"/>
    <cellStyle name="Обычный 4 2 7 3 3 3" xfId="17393"/>
    <cellStyle name="Обычный 4 2 7 3 3 4" xfId="17394"/>
    <cellStyle name="Обычный 4 2 7 3 3 5" xfId="17395"/>
    <cellStyle name="Обычный 4 2 7 3 3 6" xfId="17396"/>
    <cellStyle name="Обычный 4 2 7 3 3 7" xfId="17397"/>
    <cellStyle name="Обычный 4 2 7 3 3 8" xfId="17398"/>
    <cellStyle name="Обычный 4 2 7 3 3 9" xfId="17399"/>
    <cellStyle name="Обычный 4 2 7 3 4" xfId="17400"/>
    <cellStyle name="Обычный 4 2 7 3 5" xfId="17401"/>
    <cellStyle name="Обычный 4 2 7 3 6" xfId="17402"/>
    <cellStyle name="Обычный 4 2 7 3 7" xfId="17403"/>
    <cellStyle name="Обычный 4 2 7 3 8" xfId="17404"/>
    <cellStyle name="Обычный 4 2 7 3 9" xfId="17405"/>
    <cellStyle name="Обычный 4 2 7 4" xfId="4078"/>
    <cellStyle name="Обычный 4 2 7 4 2" xfId="17406"/>
    <cellStyle name="Обычный 4 2 7 4 3" xfId="17407"/>
    <cellStyle name="Обычный 4 2 7 4 4" xfId="17408"/>
    <cellStyle name="Обычный 4 2 7 4 5" xfId="17409"/>
    <cellStyle name="Обычный 4 2 7 4 6" xfId="17410"/>
    <cellStyle name="Обычный 4 2 7 4 7" xfId="17411"/>
    <cellStyle name="Обычный 4 2 7 4 8" xfId="17412"/>
    <cellStyle name="Обычный 4 2 7 4 9" xfId="17413"/>
    <cellStyle name="Обычный 4 2 7 5" xfId="17414"/>
    <cellStyle name="Обычный 4 2 7 6" xfId="17415"/>
    <cellStyle name="Обычный 4 2 7 7" xfId="17416"/>
    <cellStyle name="Обычный 4 2 7 8" xfId="17417"/>
    <cellStyle name="Обычный 4 2 7 9" xfId="17418"/>
    <cellStyle name="Обычный 4 2 8" xfId="4079"/>
    <cellStyle name="Обычный 4 2 8 2" xfId="4080"/>
    <cellStyle name="Обычный 4 2 8 2 2" xfId="4081"/>
    <cellStyle name="Обычный 4 2 8 2 2 2" xfId="17419"/>
    <cellStyle name="Обычный 4 2 8 2 2 3" xfId="17420"/>
    <cellStyle name="Обычный 4 2 8 2 2 4" xfId="17421"/>
    <cellStyle name="Обычный 4 2 8 2 2 5" xfId="17422"/>
    <cellStyle name="Обычный 4 2 8 2 2 6" xfId="17423"/>
    <cellStyle name="Обычный 4 2 8 2 3" xfId="4082"/>
    <cellStyle name="Обычный 4 2 8 2 3 2" xfId="17424"/>
    <cellStyle name="Обычный 4 2 8 2 3 3" xfId="17425"/>
    <cellStyle name="Обычный 4 2 8 2 3 4" xfId="17426"/>
    <cellStyle name="Обычный 4 2 8 2 3 5" xfId="17427"/>
    <cellStyle name="Обычный 4 2 8 2 3 6" xfId="17428"/>
    <cellStyle name="Обычный 4 2 8 2 4" xfId="17429"/>
    <cellStyle name="Обычный 4 2 8 2 5" xfId="17430"/>
    <cellStyle name="Обычный 4 2 8 2 6" xfId="17431"/>
    <cellStyle name="Обычный 4 2 8 2 7" xfId="17432"/>
    <cellStyle name="Обычный 4 2 8 2 8" xfId="17433"/>
    <cellStyle name="Обычный 4 2 8 3" xfId="4083"/>
    <cellStyle name="Обычный 4 2 8 3 2" xfId="17434"/>
    <cellStyle name="Обычный 4 2 8 3 3" xfId="17435"/>
    <cellStyle name="Обычный 4 2 8 3 4" xfId="17436"/>
    <cellStyle name="Обычный 4 2 8 3 5" xfId="17437"/>
    <cellStyle name="Обычный 4 2 8 3 6" xfId="17438"/>
    <cellStyle name="Обычный 4 2 8 4" xfId="4084"/>
    <cellStyle name="Обычный 4 2 8 4 2" xfId="17439"/>
    <cellStyle name="Обычный 4 2 8 4 3" xfId="17440"/>
    <cellStyle name="Обычный 4 2 8 4 4" xfId="17441"/>
    <cellStyle name="Обычный 4 2 8 4 5" xfId="17442"/>
    <cellStyle name="Обычный 4 2 8 5" xfId="17443"/>
    <cellStyle name="Обычный 4 2 8 6" xfId="17444"/>
    <cellStyle name="Обычный 4 2 8 7" xfId="17445"/>
    <cellStyle name="Обычный 4 2 8 8" xfId="17446"/>
    <cellStyle name="Обычный 4 2 9" xfId="4085"/>
    <cellStyle name="Обычный 4 2 9 2" xfId="4086"/>
    <cellStyle name="Обычный 4 2 9 2 2" xfId="4087"/>
    <cellStyle name="Обычный 4 2 9 2 2 2" xfId="17447"/>
    <cellStyle name="Обычный 4 2 9 2 2 3" xfId="17448"/>
    <cellStyle name="Обычный 4 2 9 2 2 4" xfId="17449"/>
    <cellStyle name="Обычный 4 2 9 2 2 5" xfId="17450"/>
    <cellStyle name="Обычный 4 2 9 2 2 6" xfId="17451"/>
    <cellStyle name="Обычный 4 2 9 2 3" xfId="4088"/>
    <cellStyle name="Обычный 4 2 9 2 3 2" xfId="17452"/>
    <cellStyle name="Обычный 4 2 9 2 3 3" xfId="17453"/>
    <cellStyle name="Обычный 4 2 9 2 3 4" xfId="17454"/>
    <cellStyle name="Обычный 4 2 9 2 3 5" xfId="17455"/>
    <cellStyle name="Обычный 4 2 9 2 3 6" xfId="17456"/>
    <cellStyle name="Обычный 4 2 9 2 4" xfId="17457"/>
    <cellStyle name="Обычный 4 2 9 2 5" xfId="17458"/>
    <cellStyle name="Обычный 4 2 9 2 6" xfId="17459"/>
    <cellStyle name="Обычный 4 2 9 2 7" xfId="17460"/>
    <cellStyle name="Обычный 4 2 9 2 8" xfId="17461"/>
    <cellStyle name="Обычный 4 2 9 3" xfId="4089"/>
    <cellStyle name="Обычный 4 2 9 3 2" xfId="17462"/>
    <cellStyle name="Обычный 4 2 9 3 3" xfId="17463"/>
    <cellStyle name="Обычный 4 2 9 3 4" xfId="17464"/>
    <cellStyle name="Обычный 4 2 9 3 5" xfId="17465"/>
    <cellStyle name="Обычный 4 2 9 3 6" xfId="17466"/>
    <cellStyle name="Обычный 4 2 9 4" xfId="4090"/>
    <cellStyle name="Обычный 4 2 9 4 2" xfId="17467"/>
    <cellStyle name="Обычный 4 2 9 4 3" xfId="17468"/>
    <cellStyle name="Обычный 4 2 9 4 4" xfId="17469"/>
    <cellStyle name="Обычный 4 2 9 4 5" xfId="17470"/>
    <cellStyle name="Обычный 4 2 9 5" xfId="17471"/>
    <cellStyle name="Обычный 4 2 9 6" xfId="17472"/>
    <cellStyle name="Обычный 4 2 9 7" xfId="17473"/>
    <cellStyle name="Обычный 4 2 9 8" xfId="17474"/>
    <cellStyle name="Обычный 4 20" xfId="17475"/>
    <cellStyle name="Обычный 4 21" xfId="17476"/>
    <cellStyle name="Обычный 4 22" xfId="17477"/>
    <cellStyle name="Обычный 4 3" xfId="4091"/>
    <cellStyle name="Обычный 4 3 10" xfId="4092"/>
    <cellStyle name="Обычный 4 3 10 2" xfId="4093"/>
    <cellStyle name="Обычный 4 3 10 2 2" xfId="4094"/>
    <cellStyle name="Обычный 4 3 10 2 3" xfId="4095"/>
    <cellStyle name="Обычный 4 3 10 3" xfId="4096"/>
    <cellStyle name="Обычный 4 3 10 4" xfId="4097"/>
    <cellStyle name="Обычный 4 3 10 4 2" xfId="17478"/>
    <cellStyle name="Обычный 4 3 10 4 3" xfId="17479"/>
    <cellStyle name="Обычный 4 3 10 4 4" xfId="17480"/>
    <cellStyle name="Обычный 4 3 10 4 5" xfId="17481"/>
    <cellStyle name="Обычный 4 3 10 5" xfId="17482"/>
    <cellStyle name="Обычный 4 3 10 6" xfId="17483"/>
    <cellStyle name="Обычный 4 3 10 7" xfId="17484"/>
    <cellStyle name="Обычный 4 3 10 8" xfId="17485"/>
    <cellStyle name="Обычный 4 3 11" xfId="4098"/>
    <cellStyle name="Обычный 4 3 11 2" xfId="4099"/>
    <cellStyle name="Обычный 4 3 11 3" xfId="4100"/>
    <cellStyle name="Обычный 4 3 12" xfId="4101"/>
    <cellStyle name="Обычный 4 3 13" xfId="4102"/>
    <cellStyle name="Обычный 4 3 13 2" xfId="17486"/>
    <cellStyle name="Обычный 4 3 13 3" xfId="17487"/>
    <cellStyle name="Обычный 4 3 13 4" xfId="17488"/>
    <cellStyle name="Обычный 4 3 13 5" xfId="17489"/>
    <cellStyle name="Обычный 4 3 14" xfId="17490"/>
    <cellStyle name="Обычный 4 3 15" xfId="17491"/>
    <cellStyle name="Обычный 4 3 16" xfId="17492"/>
    <cellStyle name="Обычный 4 3 17" xfId="17493"/>
    <cellStyle name="Обычный 4 3 2" xfId="4103"/>
    <cellStyle name="Обычный 4 3 2 2" xfId="4104"/>
    <cellStyle name="Обычный 4 3 2 2 2" xfId="4105"/>
    <cellStyle name="Обычный 4 3 2 2 3" xfId="4106"/>
    <cellStyle name="Обычный 4 3 2 3" xfId="4107"/>
    <cellStyle name="Обычный 4 3 2 4" xfId="4108"/>
    <cellStyle name="Обычный 4 3 2 4 2" xfId="17494"/>
    <cellStyle name="Обычный 4 3 2 4 3" xfId="17495"/>
    <cellStyle name="Обычный 4 3 2 4 4" xfId="17496"/>
    <cellStyle name="Обычный 4 3 2 4 5" xfId="17497"/>
    <cellStyle name="Обычный 4 3 2 5" xfId="17498"/>
    <cellStyle name="Обычный 4 3 2 6" xfId="17499"/>
    <cellStyle name="Обычный 4 3 2 7" xfId="17500"/>
    <cellStyle name="Обычный 4 3 2 8" xfId="17501"/>
    <cellStyle name="Обычный 4 3 3" xfId="4109"/>
    <cellStyle name="Обычный 4 3 3 2" xfId="4110"/>
    <cellStyle name="Обычный 4 3 3 2 2" xfId="4111"/>
    <cellStyle name="Обычный 4 3 3 2 3" xfId="4112"/>
    <cellStyle name="Обычный 4 3 3 3" xfId="4113"/>
    <cellStyle name="Обычный 4 3 3 4" xfId="4114"/>
    <cellStyle name="Обычный 4 3 3 4 2" xfId="17502"/>
    <cellStyle name="Обычный 4 3 3 4 3" xfId="17503"/>
    <cellStyle name="Обычный 4 3 3 4 4" xfId="17504"/>
    <cellStyle name="Обычный 4 3 3 4 5" xfId="17505"/>
    <cellStyle name="Обычный 4 3 3 5" xfId="17506"/>
    <cellStyle name="Обычный 4 3 3 6" xfId="17507"/>
    <cellStyle name="Обычный 4 3 3 7" xfId="17508"/>
    <cellStyle name="Обычный 4 3 3 8" xfId="17509"/>
    <cellStyle name="Обычный 4 3 4" xfId="4115"/>
    <cellStyle name="Обычный 4 3 4 2" xfId="4116"/>
    <cellStyle name="Обычный 4 3 4 2 2" xfId="4117"/>
    <cellStyle name="Обычный 4 3 4 2 3" xfId="4118"/>
    <cellStyle name="Обычный 4 3 4 3" xfId="4119"/>
    <cellStyle name="Обычный 4 3 4 4" xfId="4120"/>
    <cellStyle name="Обычный 4 3 4 4 2" xfId="17510"/>
    <cellStyle name="Обычный 4 3 4 4 3" xfId="17511"/>
    <cellStyle name="Обычный 4 3 4 4 4" xfId="17512"/>
    <cellStyle name="Обычный 4 3 4 4 5" xfId="17513"/>
    <cellStyle name="Обычный 4 3 4 5" xfId="17514"/>
    <cellStyle name="Обычный 4 3 4 6" xfId="17515"/>
    <cellStyle name="Обычный 4 3 4 7" xfId="17516"/>
    <cellStyle name="Обычный 4 3 4 8" xfId="17517"/>
    <cellStyle name="Обычный 4 3 5" xfId="4121"/>
    <cellStyle name="Обычный 4 3 5 2" xfId="4122"/>
    <cellStyle name="Обычный 4 3 5 2 2" xfId="4123"/>
    <cellStyle name="Обычный 4 3 5 2 3" xfId="4124"/>
    <cellStyle name="Обычный 4 3 5 3" xfId="4125"/>
    <cellStyle name="Обычный 4 3 5 4" xfId="4126"/>
    <cellStyle name="Обычный 4 3 5 4 2" xfId="17518"/>
    <cellStyle name="Обычный 4 3 5 4 3" xfId="17519"/>
    <cellStyle name="Обычный 4 3 5 4 4" xfId="17520"/>
    <cellStyle name="Обычный 4 3 5 4 5" xfId="17521"/>
    <cellStyle name="Обычный 4 3 5 5" xfId="17522"/>
    <cellStyle name="Обычный 4 3 5 6" xfId="17523"/>
    <cellStyle name="Обычный 4 3 5 7" xfId="17524"/>
    <cellStyle name="Обычный 4 3 5 8" xfId="17525"/>
    <cellStyle name="Обычный 4 3 6" xfId="4127"/>
    <cellStyle name="Обычный 4 3 6 2" xfId="4128"/>
    <cellStyle name="Обычный 4 3 6 2 2" xfId="4129"/>
    <cellStyle name="Обычный 4 3 6 2 3" xfId="4130"/>
    <cellStyle name="Обычный 4 3 6 3" xfId="4131"/>
    <cellStyle name="Обычный 4 3 6 4" xfId="4132"/>
    <cellStyle name="Обычный 4 3 6 4 2" xfId="17526"/>
    <cellStyle name="Обычный 4 3 6 4 3" xfId="17527"/>
    <cellStyle name="Обычный 4 3 6 4 4" xfId="17528"/>
    <cellStyle name="Обычный 4 3 6 4 5" xfId="17529"/>
    <cellStyle name="Обычный 4 3 6 5" xfId="17530"/>
    <cellStyle name="Обычный 4 3 6 6" xfId="17531"/>
    <cellStyle name="Обычный 4 3 6 7" xfId="17532"/>
    <cellStyle name="Обычный 4 3 6 8" xfId="17533"/>
    <cellStyle name="Обычный 4 3 7" xfId="4133"/>
    <cellStyle name="Обычный 4 3 7 2" xfId="4134"/>
    <cellStyle name="Обычный 4 3 7 2 2" xfId="4135"/>
    <cellStyle name="Обычный 4 3 7 2 3" xfId="4136"/>
    <cellStyle name="Обычный 4 3 7 3" xfId="4137"/>
    <cellStyle name="Обычный 4 3 7 4" xfId="4138"/>
    <cellStyle name="Обычный 4 3 7 4 2" xfId="17534"/>
    <cellStyle name="Обычный 4 3 7 4 3" xfId="17535"/>
    <cellStyle name="Обычный 4 3 7 4 4" xfId="17536"/>
    <cellStyle name="Обычный 4 3 7 4 5" xfId="17537"/>
    <cellStyle name="Обычный 4 3 7 5" xfId="17538"/>
    <cellStyle name="Обычный 4 3 7 6" xfId="17539"/>
    <cellStyle name="Обычный 4 3 7 7" xfId="17540"/>
    <cellStyle name="Обычный 4 3 7 8" xfId="17541"/>
    <cellStyle name="Обычный 4 3 8" xfId="4139"/>
    <cellStyle name="Обычный 4 3 8 2" xfId="4140"/>
    <cellStyle name="Обычный 4 3 8 2 2" xfId="4141"/>
    <cellStyle name="Обычный 4 3 8 2 3" xfId="4142"/>
    <cellStyle name="Обычный 4 3 8 3" xfId="4143"/>
    <cellStyle name="Обычный 4 3 8 4" xfId="4144"/>
    <cellStyle name="Обычный 4 3 8 4 2" xfId="17542"/>
    <cellStyle name="Обычный 4 3 8 4 3" xfId="17543"/>
    <cellStyle name="Обычный 4 3 8 4 4" xfId="17544"/>
    <cellStyle name="Обычный 4 3 8 4 5" xfId="17545"/>
    <cellStyle name="Обычный 4 3 8 5" xfId="17546"/>
    <cellStyle name="Обычный 4 3 8 6" xfId="17547"/>
    <cellStyle name="Обычный 4 3 8 7" xfId="17548"/>
    <cellStyle name="Обычный 4 3 8 8" xfId="17549"/>
    <cellStyle name="Обычный 4 3 9" xfId="4145"/>
    <cellStyle name="Обычный 4 3 9 2" xfId="4146"/>
    <cellStyle name="Обычный 4 3 9 2 2" xfId="4147"/>
    <cellStyle name="Обычный 4 3 9 2 3" xfId="4148"/>
    <cellStyle name="Обычный 4 3 9 3" xfId="4149"/>
    <cellStyle name="Обычный 4 3 9 4" xfId="4150"/>
    <cellStyle name="Обычный 4 3 9 4 2" xfId="17550"/>
    <cellStyle name="Обычный 4 3 9 4 3" xfId="17551"/>
    <cellStyle name="Обычный 4 3 9 4 4" xfId="17552"/>
    <cellStyle name="Обычный 4 3 9 4 5" xfId="17553"/>
    <cellStyle name="Обычный 4 3 9 5" xfId="17554"/>
    <cellStyle name="Обычный 4 3 9 6" xfId="17555"/>
    <cellStyle name="Обычный 4 3 9 7" xfId="17556"/>
    <cellStyle name="Обычный 4 3 9 8" xfId="17557"/>
    <cellStyle name="Обычный 4 4" xfId="4151"/>
    <cellStyle name="Обычный 4 4 2" xfId="4152"/>
    <cellStyle name="Обычный 4 4 2 2" xfId="4153"/>
    <cellStyle name="Обычный 4 4 2 3" xfId="4154"/>
    <cellStyle name="Обычный 4 4 3" xfId="4155"/>
    <cellStyle name="Обычный 4 4 4" xfId="4156"/>
    <cellStyle name="Обычный 4 4 4 2" xfId="17558"/>
    <cellStyle name="Обычный 4 4 4 3" xfId="17559"/>
    <cellStyle name="Обычный 4 4 4 4" xfId="17560"/>
    <cellStyle name="Обычный 4 4 4 5" xfId="17561"/>
    <cellStyle name="Обычный 4 4 5" xfId="17562"/>
    <cellStyle name="Обычный 4 4 6" xfId="17563"/>
    <cellStyle name="Обычный 4 4 7" xfId="17564"/>
    <cellStyle name="Обычный 4 4 8" xfId="17565"/>
    <cellStyle name="Обычный 4 5" xfId="4157"/>
    <cellStyle name="Обычный 4 5 2" xfId="4158"/>
    <cellStyle name="Обычный 4 5 2 2" xfId="4159"/>
    <cellStyle name="Обычный 4 5 2 3" xfId="4160"/>
    <cellStyle name="Обычный 4 5 3" xfId="4161"/>
    <cellStyle name="Обычный 4 5 4" xfId="4162"/>
    <cellStyle name="Обычный 4 5 4 2" xfId="17566"/>
    <cellStyle name="Обычный 4 5 4 3" xfId="17567"/>
    <cellStyle name="Обычный 4 5 4 4" xfId="17568"/>
    <cellStyle name="Обычный 4 5 4 5" xfId="17569"/>
    <cellStyle name="Обычный 4 5 5" xfId="17570"/>
    <cellStyle name="Обычный 4 5 6" xfId="17571"/>
    <cellStyle name="Обычный 4 5 7" xfId="17572"/>
    <cellStyle name="Обычный 4 5 8" xfId="17573"/>
    <cellStyle name="Обычный 4 6" xfId="4163"/>
    <cellStyle name="Обычный 4 6 2" xfId="4164"/>
    <cellStyle name="Обычный 4 6 2 2" xfId="4165"/>
    <cellStyle name="Обычный 4 6 2 3" xfId="4166"/>
    <cellStyle name="Обычный 4 6 3" xfId="4167"/>
    <cellStyle name="Обычный 4 6 4" xfId="4168"/>
    <cellStyle name="Обычный 4 6 4 2" xfId="17574"/>
    <cellStyle name="Обычный 4 6 4 3" xfId="17575"/>
    <cellStyle name="Обычный 4 6 4 4" xfId="17576"/>
    <cellStyle name="Обычный 4 6 4 5" xfId="17577"/>
    <cellStyle name="Обычный 4 6 5" xfId="17578"/>
    <cellStyle name="Обычный 4 6 6" xfId="17579"/>
    <cellStyle name="Обычный 4 6 7" xfId="17580"/>
    <cellStyle name="Обычный 4 6 8" xfId="17581"/>
    <cellStyle name="Обычный 4 7" xfId="4169"/>
    <cellStyle name="Обычный 4 7 2" xfId="4170"/>
    <cellStyle name="Обычный 4 7 2 2" xfId="4171"/>
    <cellStyle name="Обычный 4 7 2 3" xfId="4172"/>
    <cellStyle name="Обычный 4 7 3" xfId="4173"/>
    <cellStyle name="Обычный 4 7 4" xfId="4174"/>
    <cellStyle name="Обычный 4 7 4 2" xfId="17582"/>
    <cellStyle name="Обычный 4 7 4 3" xfId="17583"/>
    <cellStyle name="Обычный 4 7 4 4" xfId="17584"/>
    <cellStyle name="Обычный 4 7 4 5" xfId="17585"/>
    <cellStyle name="Обычный 4 7 5" xfId="17586"/>
    <cellStyle name="Обычный 4 7 6" xfId="17587"/>
    <cellStyle name="Обычный 4 7 7" xfId="17588"/>
    <cellStyle name="Обычный 4 7 8" xfId="17589"/>
    <cellStyle name="Обычный 4 8" xfId="4175"/>
    <cellStyle name="Обычный 4 8 2" xfId="4176"/>
    <cellStyle name="Обычный 4 8 2 2" xfId="4177"/>
    <cellStyle name="Обычный 4 8 2 3" xfId="4178"/>
    <cellStyle name="Обычный 4 8 3" xfId="4179"/>
    <cellStyle name="Обычный 4 8 4" xfId="4180"/>
    <cellStyle name="Обычный 4 8 4 2" xfId="17590"/>
    <cellStyle name="Обычный 4 8 4 3" xfId="17591"/>
    <cellStyle name="Обычный 4 8 4 4" xfId="17592"/>
    <cellStyle name="Обычный 4 8 4 5" xfId="17593"/>
    <cellStyle name="Обычный 4 8 5" xfId="17594"/>
    <cellStyle name="Обычный 4 8 6" xfId="17595"/>
    <cellStyle name="Обычный 4 8 7" xfId="17596"/>
    <cellStyle name="Обычный 4 8 8" xfId="17597"/>
    <cellStyle name="Обычный 4 9" xfId="4181"/>
    <cellStyle name="Обычный 4 9 2" xfId="4182"/>
    <cellStyle name="Обычный 4 9 2 2" xfId="4183"/>
    <cellStyle name="Обычный 4 9 2 3" xfId="4184"/>
    <cellStyle name="Обычный 4 9 3" xfId="4185"/>
    <cellStyle name="Обычный 4 9 4" xfId="4186"/>
    <cellStyle name="Обычный 4 9 4 2" xfId="17598"/>
    <cellStyle name="Обычный 4 9 4 3" xfId="17599"/>
    <cellStyle name="Обычный 4 9 4 4" xfId="17600"/>
    <cellStyle name="Обычный 4 9 4 5" xfId="17601"/>
    <cellStyle name="Обычный 4 9 5" xfId="17602"/>
    <cellStyle name="Обычный 4 9 6" xfId="17603"/>
    <cellStyle name="Обычный 4 9 7" xfId="17604"/>
    <cellStyle name="Обычный 4 9 8" xfId="17605"/>
    <cellStyle name="Обычный 5" xfId="5"/>
    <cellStyle name="Обычный 5 10" xfId="4187"/>
    <cellStyle name="Обычный 5 10 2" xfId="4188"/>
    <cellStyle name="Обычный 5 10 2 2" xfId="4189"/>
    <cellStyle name="Обычный 5 10 2 3" xfId="4190"/>
    <cellStyle name="Обычный 5 10 3" xfId="4191"/>
    <cellStyle name="Обычный 5 10 4" xfId="4192"/>
    <cellStyle name="Обычный 5 10 4 2" xfId="17606"/>
    <cellStyle name="Обычный 5 10 4 3" xfId="17607"/>
    <cellStyle name="Обычный 5 10 4 4" xfId="17608"/>
    <cellStyle name="Обычный 5 10 4 5" xfId="17609"/>
    <cellStyle name="Обычный 5 10 5" xfId="17610"/>
    <cellStyle name="Обычный 5 10 6" xfId="17611"/>
    <cellStyle name="Обычный 5 10 7" xfId="17612"/>
    <cellStyle name="Обычный 5 10 8" xfId="17613"/>
    <cellStyle name="Обычный 5 11" xfId="4193"/>
    <cellStyle name="Обычный 5 11 2" xfId="4194"/>
    <cellStyle name="Обычный 5 11 2 2" xfId="4195"/>
    <cellStyle name="Обычный 5 11 2 3" xfId="4196"/>
    <cellStyle name="Обычный 5 11 3" xfId="4197"/>
    <cellStyle name="Обычный 5 11 4" xfId="4198"/>
    <cellStyle name="Обычный 5 11 4 2" xfId="17614"/>
    <cellStyle name="Обычный 5 11 4 3" xfId="17615"/>
    <cellStyle name="Обычный 5 11 4 4" xfId="17616"/>
    <cellStyle name="Обычный 5 11 4 5" xfId="17617"/>
    <cellStyle name="Обычный 5 11 5" xfId="17618"/>
    <cellStyle name="Обычный 5 11 6" xfId="17619"/>
    <cellStyle name="Обычный 5 11 7" xfId="17620"/>
    <cellStyle name="Обычный 5 11 8" xfId="17621"/>
    <cellStyle name="Обычный 5 12" xfId="4199"/>
    <cellStyle name="Обычный 5 12 2" xfId="4200"/>
    <cellStyle name="Обычный 5 12 2 2" xfId="4201"/>
    <cellStyle name="Обычный 5 12 2 3" xfId="4202"/>
    <cellStyle name="Обычный 5 12 3" xfId="4203"/>
    <cellStyle name="Обычный 5 12 4" xfId="4204"/>
    <cellStyle name="Обычный 5 12 4 2" xfId="17622"/>
    <cellStyle name="Обычный 5 12 4 3" xfId="17623"/>
    <cellStyle name="Обычный 5 12 4 4" xfId="17624"/>
    <cellStyle name="Обычный 5 12 4 5" xfId="17625"/>
    <cellStyle name="Обычный 5 12 5" xfId="17626"/>
    <cellStyle name="Обычный 5 12 6" xfId="17627"/>
    <cellStyle name="Обычный 5 12 7" xfId="17628"/>
    <cellStyle name="Обычный 5 12 8" xfId="17629"/>
    <cellStyle name="Обычный 5 13" xfId="4205"/>
    <cellStyle name="Обычный 5 13 2" xfId="4206"/>
    <cellStyle name="Обычный 5 13 2 2" xfId="4207"/>
    <cellStyle name="Обычный 5 13 2 3" xfId="4208"/>
    <cellStyle name="Обычный 5 13 3" xfId="4209"/>
    <cellStyle name="Обычный 5 13 4" xfId="4210"/>
    <cellStyle name="Обычный 5 13 4 2" xfId="17630"/>
    <cellStyle name="Обычный 5 13 4 3" xfId="17631"/>
    <cellStyle name="Обычный 5 13 4 4" xfId="17632"/>
    <cellStyle name="Обычный 5 13 4 5" xfId="17633"/>
    <cellStyle name="Обычный 5 13 5" xfId="17634"/>
    <cellStyle name="Обычный 5 13 6" xfId="17635"/>
    <cellStyle name="Обычный 5 13 7" xfId="17636"/>
    <cellStyle name="Обычный 5 13 8" xfId="17637"/>
    <cellStyle name="Обычный 5 14" xfId="4211"/>
    <cellStyle name="Обычный 5 14 2" xfId="4212"/>
    <cellStyle name="Обычный 5 14 2 2" xfId="4213"/>
    <cellStyle name="Обычный 5 14 2 3" xfId="4214"/>
    <cellStyle name="Обычный 5 14 3" xfId="4215"/>
    <cellStyle name="Обычный 5 14 4" xfId="4216"/>
    <cellStyle name="Обычный 5 14 4 2" xfId="17638"/>
    <cellStyle name="Обычный 5 14 4 3" xfId="17639"/>
    <cellStyle name="Обычный 5 14 4 4" xfId="17640"/>
    <cellStyle name="Обычный 5 14 4 5" xfId="17641"/>
    <cellStyle name="Обычный 5 14 5" xfId="17642"/>
    <cellStyle name="Обычный 5 14 6" xfId="17643"/>
    <cellStyle name="Обычный 5 14 7" xfId="17644"/>
    <cellStyle name="Обычный 5 14 8" xfId="17645"/>
    <cellStyle name="Обычный 5 15" xfId="4217"/>
    <cellStyle name="Обычный 5 15 2" xfId="4218"/>
    <cellStyle name="Обычный 5 15 2 2" xfId="17646"/>
    <cellStyle name="Обычный 5 15 2 3" xfId="17647"/>
    <cellStyle name="Обычный 5 15 2 4" xfId="17648"/>
    <cellStyle name="Обычный 5 15 2 5" xfId="17649"/>
    <cellStyle name="Обычный 5 15 2 6" xfId="17650"/>
    <cellStyle name="Обычный 5 15 3" xfId="4219"/>
    <cellStyle name="Обычный 5 15 3 2" xfId="17651"/>
    <cellStyle name="Обычный 5 15 3 3" xfId="17652"/>
    <cellStyle name="Обычный 5 15 3 4" xfId="17653"/>
    <cellStyle name="Обычный 5 15 3 5" xfId="17654"/>
    <cellStyle name="Обычный 5 15 3 6" xfId="17655"/>
    <cellStyle name="Обычный 5 15 4" xfId="17656"/>
    <cellStyle name="Обычный 5 15 5" xfId="17657"/>
    <cellStyle name="Обычный 5 15 6" xfId="17658"/>
    <cellStyle name="Обычный 5 15 7" xfId="17659"/>
    <cellStyle name="Обычный 5 15 8" xfId="17660"/>
    <cellStyle name="Обычный 5 16" xfId="4220"/>
    <cellStyle name="Обычный 5 16 2" xfId="17661"/>
    <cellStyle name="Обычный 5 16 3" xfId="17662"/>
    <cellStyle name="Обычный 5 16 4" xfId="17663"/>
    <cellStyle name="Обычный 5 16 5" xfId="17664"/>
    <cellStyle name="Обычный 5 16 6" xfId="17665"/>
    <cellStyle name="Обычный 5 17" xfId="4221"/>
    <cellStyle name="Обычный 5 17 2" xfId="17666"/>
    <cellStyle name="Обычный 5 17 3" xfId="17667"/>
    <cellStyle name="Обычный 5 17 4" xfId="17668"/>
    <cellStyle name="Обычный 5 17 5" xfId="17669"/>
    <cellStyle name="Обычный 5 18" xfId="5532"/>
    <cellStyle name="Обычный 5 18 2" xfId="23902"/>
    <cellStyle name="Обычный 5 19" xfId="17670"/>
    <cellStyle name="Обычный 5 2" xfId="4222"/>
    <cellStyle name="Обычный 5 2 10" xfId="17671"/>
    <cellStyle name="Обычный 5 2 11" xfId="17672"/>
    <cellStyle name="Обычный 5 2 12" xfId="17673"/>
    <cellStyle name="Обычный 5 2 13" xfId="17674"/>
    <cellStyle name="Обычный 5 2 2" xfId="4223"/>
    <cellStyle name="Обычный 5 2 2 2" xfId="4224"/>
    <cellStyle name="Обычный 5 2 2 2 2" xfId="4225"/>
    <cellStyle name="Обычный 5 2 2 2 3" xfId="4226"/>
    <cellStyle name="Обычный 5 2 2 3" xfId="4227"/>
    <cellStyle name="Обычный 5 2 2 4" xfId="4228"/>
    <cellStyle name="Обычный 5 2 2 4 2" xfId="17675"/>
    <cellStyle name="Обычный 5 2 2 4 3" xfId="17676"/>
    <cellStyle name="Обычный 5 2 2 4 4" xfId="17677"/>
    <cellStyle name="Обычный 5 2 2 4 5" xfId="17678"/>
    <cellStyle name="Обычный 5 2 2 5" xfId="17679"/>
    <cellStyle name="Обычный 5 2 2 6" xfId="17680"/>
    <cellStyle name="Обычный 5 2 2 7" xfId="17681"/>
    <cellStyle name="Обычный 5 2 2 8" xfId="17682"/>
    <cellStyle name="Обычный 5 2 3" xfId="4229"/>
    <cellStyle name="Обычный 5 2 3 2" xfId="4230"/>
    <cellStyle name="Обычный 5 2 3 2 2" xfId="4231"/>
    <cellStyle name="Обычный 5 2 3 2 3" xfId="4232"/>
    <cellStyle name="Обычный 5 2 3 3" xfId="4233"/>
    <cellStyle name="Обычный 5 2 3 4" xfId="4234"/>
    <cellStyle name="Обычный 5 2 3 4 2" xfId="17683"/>
    <cellStyle name="Обычный 5 2 3 4 3" xfId="17684"/>
    <cellStyle name="Обычный 5 2 3 4 4" xfId="17685"/>
    <cellStyle name="Обычный 5 2 3 4 5" xfId="17686"/>
    <cellStyle name="Обычный 5 2 3 5" xfId="17687"/>
    <cellStyle name="Обычный 5 2 3 6" xfId="17688"/>
    <cellStyle name="Обычный 5 2 3 7" xfId="17689"/>
    <cellStyle name="Обычный 5 2 3 8" xfId="17690"/>
    <cellStyle name="Обычный 5 2 4" xfId="4235"/>
    <cellStyle name="Обычный 5 2 4 2" xfId="4236"/>
    <cellStyle name="Обычный 5 2 4 2 2" xfId="4237"/>
    <cellStyle name="Обычный 5 2 4 2 3" xfId="4238"/>
    <cellStyle name="Обычный 5 2 4 3" xfId="4239"/>
    <cellStyle name="Обычный 5 2 4 4" xfId="4240"/>
    <cellStyle name="Обычный 5 2 4 4 2" xfId="17691"/>
    <cellStyle name="Обычный 5 2 4 4 3" xfId="17692"/>
    <cellStyle name="Обычный 5 2 4 4 4" xfId="17693"/>
    <cellStyle name="Обычный 5 2 4 4 5" xfId="17694"/>
    <cellStyle name="Обычный 5 2 4 5" xfId="17695"/>
    <cellStyle name="Обычный 5 2 4 6" xfId="17696"/>
    <cellStyle name="Обычный 5 2 4 7" xfId="17697"/>
    <cellStyle name="Обычный 5 2 4 8" xfId="17698"/>
    <cellStyle name="Обычный 5 2 5" xfId="4241"/>
    <cellStyle name="Обычный 5 2 5 2" xfId="4242"/>
    <cellStyle name="Обычный 5 2 5 2 2" xfId="4243"/>
    <cellStyle name="Обычный 5 2 5 2 3" xfId="4244"/>
    <cellStyle name="Обычный 5 2 5 3" xfId="4245"/>
    <cellStyle name="Обычный 5 2 5 4" xfId="4246"/>
    <cellStyle name="Обычный 5 2 5 4 2" xfId="17699"/>
    <cellStyle name="Обычный 5 2 5 4 3" xfId="17700"/>
    <cellStyle name="Обычный 5 2 5 4 4" xfId="17701"/>
    <cellStyle name="Обычный 5 2 5 4 5" xfId="17702"/>
    <cellStyle name="Обычный 5 2 5 5" xfId="17703"/>
    <cellStyle name="Обычный 5 2 5 6" xfId="17704"/>
    <cellStyle name="Обычный 5 2 5 7" xfId="17705"/>
    <cellStyle name="Обычный 5 2 5 8" xfId="17706"/>
    <cellStyle name="Обычный 5 2 6" xfId="4247"/>
    <cellStyle name="Обычный 5 2 6 2" xfId="4248"/>
    <cellStyle name="Обычный 5 2 6 2 2" xfId="4249"/>
    <cellStyle name="Обычный 5 2 6 2 3" xfId="4250"/>
    <cellStyle name="Обычный 5 2 6 3" xfId="4251"/>
    <cellStyle name="Обычный 5 2 6 4" xfId="4252"/>
    <cellStyle name="Обычный 5 2 6 4 2" xfId="17707"/>
    <cellStyle name="Обычный 5 2 6 4 3" xfId="17708"/>
    <cellStyle name="Обычный 5 2 6 4 4" xfId="17709"/>
    <cellStyle name="Обычный 5 2 6 4 5" xfId="17710"/>
    <cellStyle name="Обычный 5 2 6 5" xfId="17711"/>
    <cellStyle name="Обычный 5 2 6 6" xfId="17712"/>
    <cellStyle name="Обычный 5 2 6 7" xfId="17713"/>
    <cellStyle name="Обычный 5 2 6 8" xfId="17714"/>
    <cellStyle name="Обычный 5 2 7" xfId="4253"/>
    <cellStyle name="Обычный 5 2 7 2" xfId="4254"/>
    <cellStyle name="Обычный 5 2 7 3" xfId="4255"/>
    <cellStyle name="Обычный 5 2 8" xfId="4256"/>
    <cellStyle name="Обычный 5 2 9" xfId="4257"/>
    <cellStyle name="Обычный 5 2 9 2" xfId="17715"/>
    <cellStyle name="Обычный 5 2 9 3" xfId="17716"/>
    <cellStyle name="Обычный 5 2 9 4" xfId="17717"/>
    <cellStyle name="Обычный 5 2 9 5" xfId="17718"/>
    <cellStyle name="Обычный 5 20" xfId="17719"/>
    <cellStyle name="Обычный 5 21" xfId="17720"/>
    <cellStyle name="Обычный 5 3" xfId="4258"/>
    <cellStyle name="Обычный 5 3 2" xfId="4259"/>
    <cellStyle name="Обычный 5 3 2 2" xfId="4260"/>
    <cellStyle name="Обычный 5 3 2 3" xfId="4261"/>
    <cellStyle name="Обычный 5 3 3" xfId="4262"/>
    <cellStyle name="Обычный 5 3 4" xfId="4263"/>
    <cellStyle name="Обычный 5 3 4 2" xfId="17721"/>
    <cellStyle name="Обычный 5 3 4 3" xfId="17722"/>
    <cellStyle name="Обычный 5 3 4 4" xfId="17723"/>
    <cellStyle name="Обычный 5 3 4 5" xfId="17724"/>
    <cellStyle name="Обычный 5 3 5" xfId="17725"/>
    <cellStyle name="Обычный 5 3 6" xfId="17726"/>
    <cellStyle name="Обычный 5 3 7" xfId="17727"/>
    <cellStyle name="Обычный 5 3 8" xfId="17728"/>
    <cellStyle name="Обычный 5 4" xfId="4264"/>
    <cellStyle name="Обычный 5 4 2" xfId="4265"/>
    <cellStyle name="Обычный 5 4 2 2" xfId="4266"/>
    <cellStyle name="Обычный 5 4 2 3" xfId="4267"/>
    <cellStyle name="Обычный 5 4 3" xfId="4268"/>
    <cellStyle name="Обычный 5 4 4" xfId="4269"/>
    <cellStyle name="Обычный 5 4 4 2" xfId="17729"/>
    <cellStyle name="Обычный 5 4 4 3" xfId="17730"/>
    <cellStyle name="Обычный 5 4 4 4" xfId="17731"/>
    <cellStyle name="Обычный 5 4 4 5" xfId="17732"/>
    <cellStyle name="Обычный 5 4 5" xfId="17733"/>
    <cellStyle name="Обычный 5 4 6" xfId="17734"/>
    <cellStyle name="Обычный 5 4 7" xfId="17735"/>
    <cellStyle name="Обычный 5 4 8" xfId="17736"/>
    <cellStyle name="Обычный 5 5" xfId="4270"/>
    <cellStyle name="Обычный 5 5 10" xfId="17737"/>
    <cellStyle name="Обычный 5 5 11" xfId="17738"/>
    <cellStyle name="Обычный 5 5 12" xfId="17739"/>
    <cellStyle name="Обычный 5 5 2" xfId="4271"/>
    <cellStyle name="Обычный 5 5 2 2" xfId="4272"/>
    <cellStyle name="Обычный 5 5 2 3" xfId="4273"/>
    <cellStyle name="Обычный 5 5 3" xfId="4274"/>
    <cellStyle name="Обычный 5 5 4" xfId="4275"/>
    <cellStyle name="Обычный 5 5 4 2" xfId="17740"/>
    <cellStyle name="Обычный 5 5 4 3" xfId="17741"/>
    <cellStyle name="Обычный 5 5 4 4" xfId="17742"/>
    <cellStyle name="Обычный 5 5 4 5" xfId="17743"/>
    <cellStyle name="Обычный 5 5 4 6" xfId="17744"/>
    <cellStyle name="Обычный 5 5 4 7" xfId="17745"/>
    <cellStyle name="Обычный 5 5 4 8" xfId="17746"/>
    <cellStyle name="Обычный 5 5 4 9" xfId="17747"/>
    <cellStyle name="Обычный 5 5 5" xfId="17748"/>
    <cellStyle name="Обычный 5 5 6" xfId="17749"/>
    <cellStyle name="Обычный 5 5 7" xfId="17750"/>
    <cellStyle name="Обычный 5 5 8" xfId="17751"/>
    <cellStyle name="Обычный 5 5 9" xfId="17752"/>
    <cellStyle name="Обычный 5 6" xfId="4276"/>
    <cellStyle name="Обычный 5 6 2" xfId="4277"/>
    <cellStyle name="Обычный 5 6 2 2" xfId="4278"/>
    <cellStyle name="Обычный 5 6 2 3" xfId="4279"/>
    <cellStyle name="Обычный 5 6 3" xfId="4280"/>
    <cellStyle name="Обычный 5 6 4" xfId="4281"/>
    <cellStyle name="Обычный 5 6 4 2" xfId="17753"/>
    <cellStyle name="Обычный 5 6 4 3" xfId="17754"/>
    <cellStyle name="Обычный 5 6 4 4" xfId="17755"/>
    <cellStyle name="Обычный 5 6 4 5" xfId="17756"/>
    <cellStyle name="Обычный 5 6 5" xfId="17757"/>
    <cellStyle name="Обычный 5 6 6" xfId="17758"/>
    <cellStyle name="Обычный 5 6 7" xfId="17759"/>
    <cellStyle name="Обычный 5 6 8" xfId="17760"/>
    <cellStyle name="Обычный 5 7" xfId="4282"/>
    <cellStyle name="Обычный 5 7 2" xfId="4283"/>
    <cellStyle name="Обычный 5 7 2 2" xfId="4284"/>
    <cellStyle name="Обычный 5 7 2 3" xfId="4285"/>
    <cellStyle name="Обычный 5 7 3" xfId="4286"/>
    <cellStyle name="Обычный 5 7 4" xfId="4287"/>
    <cellStyle name="Обычный 5 7 4 2" xfId="17761"/>
    <cellStyle name="Обычный 5 7 4 3" xfId="17762"/>
    <cellStyle name="Обычный 5 7 4 4" xfId="17763"/>
    <cellStyle name="Обычный 5 7 4 5" xfId="17764"/>
    <cellStyle name="Обычный 5 7 5" xfId="17765"/>
    <cellStyle name="Обычный 5 7 6" xfId="17766"/>
    <cellStyle name="Обычный 5 7 7" xfId="17767"/>
    <cellStyle name="Обычный 5 7 8" xfId="17768"/>
    <cellStyle name="Обычный 5 8" xfId="4288"/>
    <cellStyle name="Обычный 5 8 2" xfId="4289"/>
    <cellStyle name="Обычный 5 8 2 2" xfId="4290"/>
    <cellStyle name="Обычный 5 8 2 3" xfId="4291"/>
    <cellStyle name="Обычный 5 8 3" xfId="4292"/>
    <cellStyle name="Обычный 5 8 4" xfId="4293"/>
    <cellStyle name="Обычный 5 8 4 2" xfId="17769"/>
    <cellStyle name="Обычный 5 8 4 3" xfId="17770"/>
    <cellStyle name="Обычный 5 8 4 4" xfId="17771"/>
    <cellStyle name="Обычный 5 8 4 5" xfId="17772"/>
    <cellStyle name="Обычный 5 8 5" xfId="17773"/>
    <cellStyle name="Обычный 5 8 6" xfId="17774"/>
    <cellStyle name="Обычный 5 8 7" xfId="17775"/>
    <cellStyle name="Обычный 5 8 8" xfId="17776"/>
    <cellStyle name="Обычный 5 9" xfId="4294"/>
    <cellStyle name="Обычный 5 9 2" xfId="4295"/>
    <cellStyle name="Обычный 5 9 2 2" xfId="4296"/>
    <cellStyle name="Обычный 5 9 2 3" xfId="4297"/>
    <cellStyle name="Обычный 5 9 3" xfId="4298"/>
    <cellStyle name="Обычный 5 9 4" xfId="4299"/>
    <cellStyle name="Обычный 5 9 4 2" xfId="17777"/>
    <cellStyle name="Обычный 5 9 4 3" xfId="17778"/>
    <cellStyle name="Обычный 5 9 4 4" xfId="17779"/>
    <cellStyle name="Обычный 5 9 4 5" xfId="17780"/>
    <cellStyle name="Обычный 5 9 5" xfId="17781"/>
    <cellStyle name="Обычный 5 9 6" xfId="17782"/>
    <cellStyle name="Обычный 5 9 7" xfId="17783"/>
    <cellStyle name="Обычный 5 9 8" xfId="17784"/>
    <cellStyle name="Обычный 6" xfId="8"/>
    <cellStyle name="Обычный 6 10" xfId="4300"/>
    <cellStyle name="Обычный 6 10 2" xfId="4301"/>
    <cellStyle name="Обычный 6 10 2 2" xfId="4302"/>
    <cellStyle name="Обычный 6 10 2 3" xfId="4303"/>
    <cellStyle name="Обычный 6 10 3" xfId="4304"/>
    <cellStyle name="Обычный 6 10 4" xfId="4305"/>
    <cellStyle name="Обычный 6 10 4 2" xfId="17785"/>
    <cellStyle name="Обычный 6 10 4 3" xfId="17786"/>
    <cellStyle name="Обычный 6 10 4 4" xfId="17787"/>
    <cellStyle name="Обычный 6 10 4 5" xfId="17788"/>
    <cellStyle name="Обычный 6 10 5" xfId="17789"/>
    <cellStyle name="Обычный 6 10 6" xfId="17790"/>
    <cellStyle name="Обычный 6 10 7" xfId="17791"/>
    <cellStyle name="Обычный 6 10 8" xfId="17792"/>
    <cellStyle name="Обычный 6 11" xfId="4306"/>
    <cellStyle name="Обычный 6 11 2" xfId="4307"/>
    <cellStyle name="Обычный 6 11 2 2" xfId="4308"/>
    <cellStyle name="Обычный 6 11 2 3" xfId="4309"/>
    <cellStyle name="Обычный 6 11 3" xfId="4310"/>
    <cellStyle name="Обычный 6 11 4" xfId="4311"/>
    <cellStyle name="Обычный 6 11 4 2" xfId="17793"/>
    <cellStyle name="Обычный 6 11 4 3" xfId="17794"/>
    <cellStyle name="Обычный 6 11 4 4" xfId="17795"/>
    <cellStyle name="Обычный 6 11 4 5" xfId="17796"/>
    <cellStyle name="Обычный 6 11 5" xfId="17797"/>
    <cellStyle name="Обычный 6 11 6" xfId="17798"/>
    <cellStyle name="Обычный 6 11 7" xfId="17799"/>
    <cellStyle name="Обычный 6 11 8" xfId="17800"/>
    <cellStyle name="Обычный 6 12" xfId="4312"/>
    <cellStyle name="Обычный 6 12 2" xfId="4313"/>
    <cellStyle name="Обычный 6 12 3" xfId="4314"/>
    <cellStyle name="Обычный 6 13" xfId="4315"/>
    <cellStyle name="Обычный 6 14" xfId="4316"/>
    <cellStyle name="Обычный 6 14 2" xfId="17801"/>
    <cellStyle name="Обычный 6 14 3" xfId="17802"/>
    <cellStyle name="Обычный 6 14 4" xfId="17803"/>
    <cellStyle name="Обычный 6 14 5" xfId="17804"/>
    <cellStyle name="Обычный 6 15" xfId="17805"/>
    <cellStyle name="Обычный 6 16" xfId="17806"/>
    <cellStyle name="Обычный 6 17" xfId="17807"/>
    <cellStyle name="Обычный 6 18" xfId="17808"/>
    <cellStyle name="Обычный 6 2" xfId="4317"/>
    <cellStyle name="Обычный 6 2 10" xfId="4318"/>
    <cellStyle name="Обычный 6 2 10 2" xfId="4319"/>
    <cellStyle name="Обычный 6 2 10 2 2" xfId="4320"/>
    <cellStyle name="Обычный 6 2 10 2 3" xfId="4321"/>
    <cellStyle name="Обычный 6 2 10 3" xfId="4322"/>
    <cellStyle name="Обычный 6 2 10 4" xfId="4323"/>
    <cellStyle name="Обычный 6 2 10 4 2" xfId="17809"/>
    <cellStyle name="Обычный 6 2 10 4 3" xfId="17810"/>
    <cellStyle name="Обычный 6 2 10 4 4" xfId="17811"/>
    <cellStyle name="Обычный 6 2 10 4 5" xfId="17812"/>
    <cellStyle name="Обычный 6 2 10 5" xfId="17813"/>
    <cellStyle name="Обычный 6 2 10 6" xfId="17814"/>
    <cellStyle name="Обычный 6 2 10 7" xfId="17815"/>
    <cellStyle name="Обычный 6 2 10 8" xfId="17816"/>
    <cellStyle name="Обычный 6 2 11" xfId="4324"/>
    <cellStyle name="Обычный 6 2 11 2" xfId="4325"/>
    <cellStyle name="Обычный 6 2 11 2 2" xfId="4326"/>
    <cellStyle name="Обычный 6 2 11 2 3" xfId="4327"/>
    <cellStyle name="Обычный 6 2 11 3" xfId="4328"/>
    <cellStyle name="Обычный 6 2 11 4" xfId="4329"/>
    <cellStyle name="Обычный 6 2 11 4 2" xfId="17817"/>
    <cellStyle name="Обычный 6 2 11 4 3" xfId="17818"/>
    <cellStyle name="Обычный 6 2 11 4 4" xfId="17819"/>
    <cellStyle name="Обычный 6 2 11 4 5" xfId="17820"/>
    <cellStyle name="Обычный 6 2 11 5" xfId="17821"/>
    <cellStyle name="Обычный 6 2 11 6" xfId="17822"/>
    <cellStyle name="Обычный 6 2 11 7" xfId="17823"/>
    <cellStyle name="Обычный 6 2 11 8" xfId="17824"/>
    <cellStyle name="Обычный 6 2 12" xfId="4330"/>
    <cellStyle name="Обычный 6 2 12 2" xfId="4331"/>
    <cellStyle name="Обычный 6 2 12 2 2" xfId="4332"/>
    <cellStyle name="Обычный 6 2 12 2 3" xfId="4333"/>
    <cellStyle name="Обычный 6 2 12 3" xfId="4334"/>
    <cellStyle name="Обычный 6 2 12 4" xfId="4335"/>
    <cellStyle name="Обычный 6 2 12 4 2" xfId="17825"/>
    <cellStyle name="Обычный 6 2 12 4 3" xfId="17826"/>
    <cellStyle name="Обычный 6 2 12 4 4" xfId="17827"/>
    <cellStyle name="Обычный 6 2 12 4 5" xfId="17828"/>
    <cellStyle name="Обычный 6 2 12 5" xfId="17829"/>
    <cellStyle name="Обычный 6 2 12 6" xfId="17830"/>
    <cellStyle name="Обычный 6 2 12 7" xfId="17831"/>
    <cellStyle name="Обычный 6 2 12 8" xfId="17832"/>
    <cellStyle name="Обычный 6 2 13" xfId="4336"/>
    <cellStyle name="Обычный 6 2 13 10" xfId="17833"/>
    <cellStyle name="Обычный 6 2 13 11" xfId="17834"/>
    <cellStyle name="Обычный 6 2 13 12" xfId="17835"/>
    <cellStyle name="Обычный 6 2 13 2" xfId="4337"/>
    <cellStyle name="Обычный 6 2 13 2 2" xfId="17836"/>
    <cellStyle name="Обычный 6 2 13 2 3" xfId="17837"/>
    <cellStyle name="Обычный 6 2 13 2 4" xfId="17838"/>
    <cellStyle name="Обычный 6 2 13 2 5" xfId="17839"/>
    <cellStyle name="Обычный 6 2 13 2 6" xfId="17840"/>
    <cellStyle name="Обычный 6 2 13 2 7" xfId="17841"/>
    <cellStyle name="Обычный 6 2 13 2 8" xfId="17842"/>
    <cellStyle name="Обычный 6 2 13 2 9" xfId="17843"/>
    <cellStyle name="Обычный 6 2 13 3" xfId="4338"/>
    <cellStyle name="Обычный 6 2 13 3 2" xfId="17844"/>
    <cellStyle name="Обычный 6 2 13 3 3" xfId="17845"/>
    <cellStyle name="Обычный 6 2 13 3 4" xfId="17846"/>
    <cellStyle name="Обычный 6 2 13 3 5" xfId="17847"/>
    <cellStyle name="Обычный 6 2 13 3 6" xfId="17848"/>
    <cellStyle name="Обычный 6 2 13 3 7" xfId="17849"/>
    <cellStyle name="Обычный 6 2 13 3 8" xfId="17850"/>
    <cellStyle name="Обычный 6 2 13 3 9" xfId="17851"/>
    <cellStyle name="Обычный 6 2 13 4" xfId="4339"/>
    <cellStyle name="Обычный 6 2 13 4 2" xfId="17852"/>
    <cellStyle name="Обычный 6 2 13 4 3" xfId="17853"/>
    <cellStyle name="Обычный 6 2 13 4 4" xfId="17854"/>
    <cellStyle name="Обычный 6 2 13 4 5" xfId="17855"/>
    <cellStyle name="Обычный 6 2 13 4 6" xfId="17856"/>
    <cellStyle name="Обычный 6 2 13 4 7" xfId="17857"/>
    <cellStyle name="Обычный 6 2 13 4 8" xfId="17858"/>
    <cellStyle name="Обычный 6 2 13 4 9" xfId="17859"/>
    <cellStyle name="Обычный 6 2 13 5" xfId="17860"/>
    <cellStyle name="Обычный 6 2 13 6" xfId="17861"/>
    <cellStyle name="Обычный 6 2 13 7" xfId="17862"/>
    <cellStyle name="Обычный 6 2 13 8" xfId="17863"/>
    <cellStyle name="Обычный 6 2 13 9" xfId="17864"/>
    <cellStyle name="Обычный 6 2 14" xfId="4340"/>
    <cellStyle name="Обычный 6 2 14 10" xfId="17865"/>
    <cellStyle name="Обычный 6 2 14 11" xfId="17866"/>
    <cellStyle name="Обычный 6 2 14 2" xfId="4341"/>
    <cellStyle name="Обычный 6 2 14 2 2" xfId="17867"/>
    <cellStyle name="Обычный 6 2 14 2 3" xfId="17868"/>
    <cellStyle name="Обычный 6 2 14 2 4" xfId="17869"/>
    <cellStyle name="Обычный 6 2 14 2 5" xfId="17870"/>
    <cellStyle name="Обычный 6 2 14 2 6" xfId="17871"/>
    <cellStyle name="Обычный 6 2 14 2 7" xfId="17872"/>
    <cellStyle name="Обычный 6 2 14 2 8" xfId="17873"/>
    <cellStyle name="Обычный 6 2 14 2 9" xfId="17874"/>
    <cellStyle name="Обычный 6 2 14 3" xfId="4342"/>
    <cellStyle name="Обычный 6 2 14 3 2" xfId="17875"/>
    <cellStyle name="Обычный 6 2 14 3 3" xfId="17876"/>
    <cellStyle name="Обычный 6 2 14 3 4" xfId="17877"/>
    <cellStyle name="Обычный 6 2 14 3 5" xfId="17878"/>
    <cellStyle name="Обычный 6 2 14 3 6" xfId="17879"/>
    <cellStyle name="Обычный 6 2 14 3 7" xfId="17880"/>
    <cellStyle name="Обычный 6 2 14 3 8" xfId="17881"/>
    <cellStyle name="Обычный 6 2 14 3 9" xfId="17882"/>
    <cellStyle name="Обычный 6 2 14 4" xfId="17883"/>
    <cellStyle name="Обычный 6 2 14 5" xfId="17884"/>
    <cellStyle name="Обычный 6 2 14 6" xfId="17885"/>
    <cellStyle name="Обычный 6 2 14 7" xfId="17886"/>
    <cellStyle name="Обычный 6 2 14 8" xfId="17887"/>
    <cellStyle name="Обычный 6 2 14 9" xfId="17888"/>
    <cellStyle name="Обычный 6 2 15" xfId="4343"/>
    <cellStyle name="Обычный 6 2 15 2" xfId="17889"/>
    <cellStyle name="Обычный 6 2 15 3" xfId="17890"/>
    <cellStyle name="Обычный 6 2 15 4" xfId="17891"/>
    <cellStyle name="Обычный 6 2 15 5" xfId="17892"/>
    <cellStyle name="Обычный 6 2 15 6" xfId="17893"/>
    <cellStyle name="Обычный 6 2 15 7" xfId="17894"/>
    <cellStyle name="Обычный 6 2 15 8" xfId="17895"/>
    <cellStyle name="Обычный 6 2 15 9" xfId="17896"/>
    <cellStyle name="Обычный 6 2 16" xfId="17897"/>
    <cellStyle name="Обычный 6 2 17" xfId="17898"/>
    <cellStyle name="Обычный 6 2 18" xfId="17899"/>
    <cellStyle name="Обычный 6 2 19" xfId="17900"/>
    <cellStyle name="Обычный 6 2 2" xfId="4344"/>
    <cellStyle name="Обычный 6 2 2 2" xfId="4345"/>
    <cellStyle name="Обычный 6 2 2 2 2" xfId="4346"/>
    <cellStyle name="Обычный 6 2 2 2 3" xfId="4347"/>
    <cellStyle name="Обычный 6 2 2 3" xfId="4348"/>
    <cellStyle name="Обычный 6 2 2 4" xfId="4349"/>
    <cellStyle name="Обычный 6 2 2 4 2" xfId="17901"/>
    <cellStyle name="Обычный 6 2 2 4 3" xfId="17902"/>
    <cellStyle name="Обычный 6 2 2 4 4" xfId="17903"/>
    <cellStyle name="Обычный 6 2 2 4 5" xfId="17904"/>
    <cellStyle name="Обычный 6 2 2 5" xfId="17905"/>
    <cellStyle name="Обычный 6 2 2 6" xfId="17906"/>
    <cellStyle name="Обычный 6 2 2 7" xfId="17907"/>
    <cellStyle name="Обычный 6 2 2 8" xfId="17908"/>
    <cellStyle name="Обычный 6 2 20" xfId="17909"/>
    <cellStyle name="Обычный 6 2 21" xfId="17910"/>
    <cellStyle name="Обычный 6 2 22" xfId="17911"/>
    <cellStyle name="Обычный 6 2 23" xfId="17912"/>
    <cellStyle name="Обычный 6 2 3" xfId="4350"/>
    <cellStyle name="Обычный 6 2 3 2" xfId="4351"/>
    <cellStyle name="Обычный 6 2 3 2 2" xfId="4352"/>
    <cellStyle name="Обычный 6 2 3 2 3" xfId="4353"/>
    <cellStyle name="Обычный 6 2 3 3" xfId="4354"/>
    <cellStyle name="Обычный 6 2 3 4" xfId="4355"/>
    <cellStyle name="Обычный 6 2 3 4 2" xfId="17913"/>
    <cellStyle name="Обычный 6 2 3 4 3" xfId="17914"/>
    <cellStyle name="Обычный 6 2 3 4 4" xfId="17915"/>
    <cellStyle name="Обычный 6 2 3 4 5" xfId="17916"/>
    <cellStyle name="Обычный 6 2 3 5" xfId="17917"/>
    <cellStyle name="Обычный 6 2 3 6" xfId="17918"/>
    <cellStyle name="Обычный 6 2 3 7" xfId="17919"/>
    <cellStyle name="Обычный 6 2 3 8" xfId="17920"/>
    <cellStyle name="Обычный 6 2 4" xfId="4356"/>
    <cellStyle name="Обычный 6 2 4 10" xfId="17921"/>
    <cellStyle name="Обычный 6 2 4 11" xfId="17922"/>
    <cellStyle name="Обычный 6 2 4 12" xfId="17923"/>
    <cellStyle name="Обычный 6 2 4 2" xfId="4357"/>
    <cellStyle name="Обычный 6 2 4 2 10" xfId="17924"/>
    <cellStyle name="Обычный 6 2 4 2 11" xfId="17925"/>
    <cellStyle name="Обычный 6 2 4 2 12" xfId="17926"/>
    <cellStyle name="Обычный 6 2 4 2 2" xfId="4358"/>
    <cellStyle name="Обычный 6 2 4 2 2 2" xfId="17927"/>
    <cellStyle name="Обычный 6 2 4 2 2 3" xfId="17928"/>
    <cellStyle name="Обычный 6 2 4 2 2 4" xfId="17929"/>
    <cellStyle name="Обычный 6 2 4 2 2 5" xfId="17930"/>
    <cellStyle name="Обычный 6 2 4 2 2 6" xfId="17931"/>
    <cellStyle name="Обычный 6 2 4 2 2 7" xfId="17932"/>
    <cellStyle name="Обычный 6 2 4 2 2 8" xfId="17933"/>
    <cellStyle name="Обычный 6 2 4 2 2 9" xfId="17934"/>
    <cellStyle name="Обычный 6 2 4 2 3" xfId="4359"/>
    <cellStyle name="Обычный 6 2 4 2 3 2" xfId="17935"/>
    <cellStyle name="Обычный 6 2 4 2 3 3" xfId="17936"/>
    <cellStyle name="Обычный 6 2 4 2 3 4" xfId="17937"/>
    <cellStyle name="Обычный 6 2 4 2 3 5" xfId="17938"/>
    <cellStyle name="Обычный 6 2 4 2 3 6" xfId="17939"/>
    <cellStyle name="Обычный 6 2 4 2 3 7" xfId="17940"/>
    <cellStyle name="Обычный 6 2 4 2 3 8" xfId="17941"/>
    <cellStyle name="Обычный 6 2 4 2 3 9" xfId="17942"/>
    <cellStyle name="Обычный 6 2 4 2 4" xfId="4360"/>
    <cellStyle name="Обычный 6 2 4 2 4 2" xfId="17943"/>
    <cellStyle name="Обычный 6 2 4 2 4 3" xfId="17944"/>
    <cellStyle name="Обычный 6 2 4 2 4 4" xfId="17945"/>
    <cellStyle name="Обычный 6 2 4 2 4 5" xfId="17946"/>
    <cellStyle name="Обычный 6 2 4 2 4 6" xfId="17947"/>
    <cellStyle name="Обычный 6 2 4 2 4 7" xfId="17948"/>
    <cellStyle name="Обычный 6 2 4 2 4 8" xfId="17949"/>
    <cellStyle name="Обычный 6 2 4 2 4 9" xfId="17950"/>
    <cellStyle name="Обычный 6 2 4 2 5" xfId="17951"/>
    <cellStyle name="Обычный 6 2 4 2 6" xfId="17952"/>
    <cellStyle name="Обычный 6 2 4 2 7" xfId="17953"/>
    <cellStyle name="Обычный 6 2 4 2 8" xfId="17954"/>
    <cellStyle name="Обычный 6 2 4 2 9" xfId="17955"/>
    <cellStyle name="Обычный 6 2 4 3" xfId="4361"/>
    <cellStyle name="Обычный 6 2 4 3 10" xfId="17956"/>
    <cellStyle name="Обычный 6 2 4 3 11" xfId="17957"/>
    <cellStyle name="Обычный 6 2 4 3 2" xfId="4362"/>
    <cellStyle name="Обычный 6 2 4 3 2 2" xfId="17958"/>
    <cellStyle name="Обычный 6 2 4 3 2 3" xfId="17959"/>
    <cellStyle name="Обычный 6 2 4 3 2 4" xfId="17960"/>
    <cellStyle name="Обычный 6 2 4 3 2 5" xfId="17961"/>
    <cellStyle name="Обычный 6 2 4 3 2 6" xfId="17962"/>
    <cellStyle name="Обычный 6 2 4 3 2 7" xfId="17963"/>
    <cellStyle name="Обычный 6 2 4 3 2 8" xfId="17964"/>
    <cellStyle name="Обычный 6 2 4 3 2 9" xfId="17965"/>
    <cellStyle name="Обычный 6 2 4 3 3" xfId="4363"/>
    <cellStyle name="Обычный 6 2 4 3 3 2" xfId="17966"/>
    <cellStyle name="Обычный 6 2 4 3 3 3" xfId="17967"/>
    <cellStyle name="Обычный 6 2 4 3 3 4" xfId="17968"/>
    <cellStyle name="Обычный 6 2 4 3 3 5" xfId="17969"/>
    <cellStyle name="Обычный 6 2 4 3 3 6" xfId="17970"/>
    <cellStyle name="Обычный 6 2 4 3 3 7" xfId="17971"/>
    <cellStyle name="Обычный 6 2 4 3 3 8" xfId="17972"/>
    <cellStyle name="Обычный 6 2 4 3 3 9" xfId="17973"/>
    <cellStyle name="Обычный 6 2 4 3 4" xfId="17974"/>
    <cellStyle name="Обычный 6 2 4 3 5" xfId="17975"/>
    <cellStyle name="Обычный 6 2 4 3 6" xfId="17976"/>
    <cellStyle name="Обычный 6 2 4 3 7" xfId="17977"/>
    <cellStyle name="Обычный 6 2 4 3 8" xfId="17978"/>
    <cellStyle name="Обычный 6 2 4 3 9" xfId="17979"/>
    <cellStyle name="Обычный 6 2 4 4" xfId="4364"/>
    <cellStyle name="Обычный 6 2 4 4 2" xfId="17980"/>
    <cellStyle name="Обычный 6 2 4 4 3" xfId="17981"/>
    <cellStyle name="Обычный 6 2 4 4 4" xfId="17982"/>
    <cellStyle name="Обычный 6 2 4 4 5" xfId="17983"/>
    <cellStyle name="Обычный 6 2 4 4 6" xfId="17984"/>
    <cellStyle name="Обычный 6 2 4 4 7" xfId="17985"/>
    <cellStyle name="Обычный 6 2 4 4 8" xfId="17986"/>
    <cellStyle name="Обычный 6 2 4 4 9" xfId="17987"/>
    <cellStyle name="Обычный 6 2 4 5" xfId="17988"/>
    <cellStyle name="Обычный 6 2 4 6" xfId="17989"/>
    <cellStyle name="Обычный 6 2 4 7" xfId="17990"/>
    <cellStyle name="Обычный 6 2 4 8" xfId="17991"/>
    <cellStyle name="Обычный 6 2 4 9" xfId="17992"/>
    <cellStyle name="Обычный 6 2 5" xfId="4365"/>
    <cellStyle name="Обычный 6 2 5 2" xfId="4366"/>
    <cellStyle name="Обычный 6 2 5 2 2" xfId="4367"/>
    <cellStyle name="Обычный 6 2 5 2 3" xfId="4368"/>
    <cellStyle name="Обычный 6 2 5 3" xfId="4369"/>
    <cellStyle name="Обычный 6 2 5 4" xfId="4370"/>
    <cellStyle name="Обычный 6 2 5 4 2" xfId="17993"/>
    <cellStyle name="Обычный 6 2 5 4 3" xfId="17994"/>
    <cellStyle name="Обычный 6 2 5 4 4" xfId="17995"/>
    <cellStyle name="Обычный 6 2 5 4 5" xfId="17996"/>
    <cellStyle name="Обычный 6 2 5 5" xfId="17997"/>
    <cellStyle name="Обычный 6 2 5 6" xfId="17998"/>
    <cellStyle name="Обычный 6 2 5 7" xfId="17999"/>
    <cellStyle name="Обычный 6 2 5 8" xfId="18000"/>
    <cellStyle name="Обычный 6 2 6" xfId="4371"/>
    <cellStyle name="Обычный 6 2 6 2" xfId="4372"/>
    <cellStyle name="Обычный 6 2 6 2 2" xfId="4373"/>
    <cellStyle name="Обычный 6 2 6 2 3" xfId="4374"/>
    <cellStyle name="Обычный 6 2 6 3" xfId="4375"/>
    <cellStyle name="Обычный 6 2 6 4" xfId="4376"/>
    <cellStyle name="Обычный 6 2 6 4 2" xfId="18001"/>
    <cellStyle name="Обычный 6 2 6 4 3" xfId="18002"/>
    <cellStyle name="Обычный 6 2 6 4 4" xfId="18003"/>
    <cellStyle name="Обычный 6 2 6 4 5" xfId="18004"/>
    <cellStyle name="Обычный 6 2 6 5" xfId="18005"/>
    <cellStyle name="Обычный 6 2 6 6" xfId="18006"/>
    <cellStyle name="Обычный 6 2 6 7" xfId="18007"/>
    <cellStyle name="Обычный 6 2 6 8" xfId="18008"/>
    <cellStyle name="Обычный 6 2 7" xfId="4377"/>
    <cellStyle name="Обычный 6 2 7 2" xfId="4378"/>
    <cellStyle name="Обычный 6 2 7 2 2" xfId="4379"/>
    <cellStyle name="Обычный 6 2 7 2 3" xfId="4380"/>
    <cellStyle name="Обычный 6 2 7 3" xfId="4381"/>
    <cellStyle name="Обычный 6 2 7 4" xfId="4382"/>
    <cellStyle name="Обычный 6 2 7 4 2" xfId="18009"/>
    <cellStyle name="Обычный 6 2 7 4 3" xfId="18010"/>
    <cellStyle name="Обычный 6 2 7 4 4" xfId="18011"/>
    <cellStyle name="Обычный 6 2 7 4 5" xfId="18012"/>
    <cellStyle name="Обычный 6 2 7 5" xfId="18013"/>
    <cellStyle name="Обычный 6 2 7 6" xfId="18014"/>
    <cellStyle name="Обычный 6 2 7 7" xfId="18015"/>
    <cellStyle name="Обычный 6 2 7 8" xfId="18016"/>
    <cellStyle name="Обычный 6 2 8" xfId="4383"/>
    <cellStyle name="Обычный 6 2 8 2" xfId="4384"/>
    <cellStyle name="Обычный 6 2 8 2 2" xfId="4385"/>
    <cellStyle name="Обычный 6 2 8 2 3" xfId="4386"/>
    <cellStyle name="Обычный 6 2 8 3" xfId="4387"/>
    <cellStyle name="Обычный 6 2 8 4" xfId="4388"/>
    <cellStyle name="Обычный 6 2 8 4 2" xfId="18017"/>
    <cellStyle name="Обычный 6 2 8 4 3" xfId="18018"/>
    <cellStyle name="Обычный 6 2 8 4 4" xfId="18019"/>
    <cellStyle name="Обычный 6 2 8 4 5" xfId="18020"/>
    <cellStyle name="Обычный 6 2 8 5" xfId="18021"/>
    <cellStyle name="Обычный 6 2 8 6" xfId="18022"/>
    <cellStyle name="Обычный 6 2 8 7" xfId="18023"/>
    <cellStyle name="Обычный 6 2 8 8" xfId="18024"/>
    <cellStyle name="Обычный 6 2 9" xfId="4389"/>
    <cellStyle name="Обычный 6 2 9 2" xfId="4390"/>
    <cellStyle name="Обычный 6 2 9 2 2" xfId="4391"/>
    <cellStyle name="Обычный 6 2 9 2 3" xfId="4392"/>
    <cellStyle name="Обычный 6 2 9 3" xfId="4393"/>
    <cellStyle name="Обычный 6 2 9 4" xfId="4394"/>
    <cellStyle name="Обычный 6 2 9 4 2" xfId="18025"/>
    <cellStyle name="Обычный 6 2 9 4 3" xfId="18026"/>
    <cellStyle name="Обычный 6 2 9 4 4" xfId="18027"/>
    <cellStyle name="Обычный 6 2 9 4 5" xfId="18028"/>
    <cellStyle name="Обычный 6 2 9 5" xfId="18029"/>
    <cellStyle name="Обычный 6 2 9 6" xfId="18030"/>
    <cellStyle name="Обычный 6 2 9 7" xfId="18031"/>
    <cellStyle name="Обычный 6 2 9 8" xfId="18032"/>
    <cellStyle name="Обычный 6 2_Расчет программы" xfId="4395"/>
    <cellStyle name="Обычный 6 3" xfId="4396"/>
    <cellStyle name="Обычный 6 3 10" xfId="18033"/>
    <cellStyle name="Обычный 6 3 11" xfId="18034"/>
    <cellStyle name="Обычный 6 3 12" xfId="18035"/>
    <cellStyle name="Обычный 6 3 2" xfId="4397"/>
    <cellStyle name="Обычный 6 3 2 10" xfId="18036"/>
    <cellStyle name="Обычный 6 3 2 11" xfId="18037"/>
    <cellStyle name="Обычный 6 3 2 12" xfId="18038"/>
    <cellStyle name="Обычный 6 3 2 2" xfId="4398"/>
    <cellStyle name="Обычный 6 3 2 2 2" xfId="18039"/>
    <cellStyle name="Обычный 6 3 2 2 3" xfId="18040"/>
    <cellStyle name="Обычный 6 3 2 2 4" xfId="18041"/>
    <cellStyle name="Обычный 6 3 2 2 5" xfId="18042"/>
    <cellStyle name="Обычный 6 3 2 2 6" xfId="18043"/>
    <cellStyle name="Обычный 6 3 2 2 7" xfId="18044"/>
    <cellStyle name="Обычный 6 3 2 2 8" xfId="18045"/>
    <cellStyle name="Обычный 6 3 2 2 9" xfId="18046"/>
    <cellStyle name="Обычный 6 3 2 3" xfId="4399"/>
    <cellStyle name="Обычный 6 3 2 3 2" xfId="18047"/>
    <cellStyle name="Обычный 6 3 2 3 3" xfId="18048"/>
    <cellStyle name="Обычный 6 3 2 3 4" xfId="18049"/>
    <cellStyle name="Обычный 6 3 2 3 5" xfId="18050"/>
    <cellStyle name="Обычный 6 3 2 3 6" xfId="18051"/>
    <cellStyle name="Обычный 6 3 2 3 7" xfId="18052"/>
    <cellStyle name="Обычный 6 3 2 3 8" xfId="18053"/>
    <cellStyle name="Обычный 6 3 2 3 9" xfId="18054"/>
    <cellStyle name="Обычный 6 3 2 4" xfId="4400"/>
    <cellStyle name="Обычный 6 3 2 4 2" xfId="18055"/>
    <cellStyle name="Обычный 6 3 2 4 3" xfId="18056"/>
    <cellStyle name="Обычный 6 3 2 4 4" xfId="18057"/>
    <cellStyle name="Обычный 6 3 2 4 5" xfId="18058"/>
    <cellStyle name="Обычный 6 3 2 4 6" xfId="18059"/>
    <cellStyle name="Обычный 6 3 2 4 7" xfId="18060"/>
    <cellStyle name="Обычный 6 3 2 4 8" xfId="18061"/>
    <cellStyle name="Обычный 6 3 2 4 9" xfId="18062"/>
    <cellStyle name="Обычный 6 3 2 5" xfId="18063"/>
    <cellStyle name="Обычный 6 3 2 6" xfId="18064"/>
    <cellStyle name="Обычный 6 3 2 7" xfId="18065"/>
    <cellStyle name="Обычный 6 3 2 8" xfId="18066"/>
    <cellStyle name="Обычный 6 3 2 9" xfId="18067"/>
    <cellStyle name="Обычный 6 3 3" xfId="4401"/>
    <cellStyle name="Обычный 6 3 3 10" xfId="18068"/>
    <cellStyle name="Обычный 6 3 3 11" xfId="18069"/>
    <cellStyle name="Обычный 6 3 3 2" xfId="4402"/>
    <cellStyle name="Обычный 6 3 3 2 2" xfId="18070"/>
    <cellStyle name="Обычный 6 3 3 2 3" xfId="18071"/>
    <cellStyle name="Обычный 6 3 3 2 4" xfId="18072"/>
    <cellStyle name="Обычный 6 3 3 2 5" xfId="18073"/>
    <cellStyle name="Обычный 6 3 3 2 6" xfId="18074"/>
    <cellStyle name="Обычный 6 3 3 2 7" xfId="18075"/>
    <cellStyle name="Обычный 6 3 3 2 8" xfId="18076"/>
    <cellStyle name="Обычный 6 3 3 2 9" xfId="18077"/>
    <cellStyle name="Обычный 6 3 3 3" xfId="4403"/>
    <cellStyle name="Обычный 6 3 3 3 2" xfId="18078"/>
    <cellStyle name="Обычный 6 3 3 3 3" xfId="18079"/>
    <cellStyle name="Обычный 6 3 3 3 4" xfId="18080"/>
    <cellStyle name="Обычный 6 3 3 3 5" xfId="18081"/>
    <cellStyle name="Обычный 6 3 3 3 6" xfId="18082"/>
    <cellStyle name="Обычный 6 3 3 3 7" xfId="18083"/>
    <cellStyle name="Обычный 6 3 3 3 8" xfId="18084"/>
    <cellStyle name="Обычный 6 3 3 3 9" xfId="18085"/>
    <cellStyle name="Обычный 6 3 3 4" xfId="18086"/>
    <cellStyle name="Обычный 6 3 3 5" xfId="18087"/>
    <cellStyle name="Обычный 6 3 3 6" xfId="18088"/>
    <cellStyle name="Обычный 6 3 3 7" xfId="18089"/>
    <cellStyle name="Обычный 6 3 3 8" xfId="18090"/>
    <cellStyle name="Обычный 6 3 3 9" xfId="18091"/>
    <cellStyle name="Обычный 6 3 4" xfId="4404"/>
    <cellStyle name="Обычный 6 3 4 2" xfId="18092"/>
    <cellStyle name="Обычный 6 3 4 3" xfId="18093"/>
    <cellStyle name="Обычный 6 3 4 4" xfId="18094"/>
    <cellStyle name="Обычный 6 3 4 5" xfId="18095"/>
    <cellStyle name="Обычный 6 3 4 6" xfId="18096"/>
    <cellStyle name="Обычный 6 3 4 7" xfId="18097"/>
    <cellStyle name="Обычный 6 3 4 8" xfId="18098"/>
    <cellStyle name="Обычный 6 3 4 9" xfId="18099"/>
    <cellStyle name="Обычный 6 3 5" xfId="18100"/>
    <cellStyle name="Обычный 6 3 6" xfId="18101"/>
    <cellStyle name="Обычный 6 3 7" xfId="18102"/>
    <cellStyle name="Обычный 6 3 8" xfId="18103"/>
    <cellStyle name="Обычный 6 3 9" xfId="18104"/>
    <cellStyle name="Обычный 6 4" xfId="4405"/>
    <cellStyle name="Обычный 6 4 10" xfId="18105"/>
    <cellStyle name="Обычный 6 4 11" xfId="18106"/>
    <cellStyle name="Обычный 6 4 12" xfId="18107"/>
    <cellStyle name="Обычный 6 4 2" xfId="4406"/>
    <cellStyle name="Обычный 6 4 2 10" xfId="18108"/>
    <cellStyle name="Обычный 6 4 2 11" xfId="18109"/>
    <cellStyle name="Обычный 6 4 2 12" xfId="18110"/>
    <cellStyle name="Обычный 6 4 2 2" xfId="4407"/>
    <cellStyle name="Обычный 6 4 2 2 2" xfId="18111"/>
    <cellStyle name="Обычный 6 4 2 2 3" xfId="18112"/>
    <cellStyle name="Обычный 6 4 2 2 4" xfId="18113"/>
    <cellStyle name="Обычный 6 4 2 2 5" xfId="18114"/>
    <cellStyle name="Обычный 6 4 2 2 6" xfId="18115"/>
    <cellStyle name="Обычный 6 4 2 2 7" xfId="18116"/>
    <cellStyle name="Обычный 6 4 2 2 8" xfId="18117"/>
    <cellStyle name="Обычный 6 4 2 2 9" xfId="18118"/>
    <cellStyle name="Обычный 6 4 2 3" xfId="4408"/>
    <cellStyle name="Обычный 6 4 2 3 2" xfId="18119"/>
    <cellStyle name="Обычный 6 4 2 3 3" xfId="18120"/>
    <cellStyle name="Обычный 6 4 2 3 4" xfId="18121"/>
    <cellStyle name="Обычный 6 4 2 3 5" xfId="18122"/>
    <cellStyle name="Обычный 6 4 2 3 6" xfId="18123"/>
    <cellStyle name="Обычный 6 4 2 3 7" xfId="18124"/>
    <cellStyle name="Обычный 6 4 2 3 8" xfId="18125"/>
    <cellStyle name="Обычный 6 4 2 3 9" xfId="18126"/>
    <cellStyle name="Обычный 6 4 2 4" xfId="4409"/>
    <cellStyle name="Обычный 6 4 2 4 2" xfId="18127"/>
    <cellStyle name="Обычный 6 4 2 4 3" xfId="18128"/>
    <cellStyle name="Обычный 6 4 2 4 4" xfId="18129"/>
    <cellStyle name="Обычный 6 4 2 4 5" xfId="18130"/>
    <cellStyle name="Обычный 6 4 2 4 6" xfId="18131"/>
    <cellStyle name="Обычный 6 4 2 4 7" xfId="18132"/>
    <cellStyle name="Обычный 6 4 2 4 8" xfId="18133"/>
    <cellStyle name="Обычный 6 4 2 4 9" xfId="18134"/>
    <cellStyle name="Обычный 6 4 2 5" xfId="18135"/>
    <cellStyle name="Обычный 6 4 2 6" xfId="18136"/>
    <cellStyle name="Обычный 6 4 2 7" xfId="18137"/>
    <cellStyle name="Обычный 6 4 2 8" xfId="18138"/>
    <cellStyle name="Обычный 6 4 2 9" xfId="18139"/>
    <cellStyle name="Обычный 6 4 3" xfId="4410"/>
    <cellStyle name="Обычный 6 4 3 10" xfId="18140"/>
    <cellStyle name="Обычный 6 4 3 11" xfId="18141"/>
    <cellStyle name="Обычный 6 4 3 2" xfId="4411"/>
    <cellStyle name="Обычный 6 4 3 2 2" xfId="18142"/>
    <cellStyle name="Обычный 6 4 3 2 3" xfId="18143"/>
    <cellStyle name="Обычный 6 4 3 2 4" xfId="18144"/>
    <cellStyle name="Обычный 6 4 3 2 5" xfId="18145"/>
    <cellStyle name="Обычный 6 4 3 2 6" xfId="18146"/>
    <cellStyle name="Обычный 6 4 3 2 7" xfId="18147"/>
    <cellStyle name="Обычный 6 4 3 2 8" xfId="18148"/>
    <cellStyle name="Обычный 6 4 3 2 9" xfId="18149"/>
    <cellStyle name="Обычный 6 4 3 3" xfId="4412"/>
    <cellStyle name="Обычный 6 4 3 3 2" xfId="18150"/>
    <cellStyle name="Обычный 6 4 3 3 3" xfId="18151"/>
    <cellStyle name="Обычный 6 4 3 3 4" xfId="18152"/>
    <cellStyle name="Обычный 6 4 3 3 5" xfId="18153"/>
    <cellStyle name="Обычный 6 4 3 3 6" xfId="18154"/>
    <cellStyle name="Обычный 6 4 3 3 7" xfId="18155"/>
    <cellStyle name="Обычный 6 4 3 3 8" xfId="18156"/>
    <cellStyle name="Обычный 6 4 3 3 9" xfId="18157"/>
    <cellStyle name="Обычный 6 4 3 4" xfId="18158"/>
    <cellStyle name="Обычный 6 4 3 5" xfId="18159"/>
    <cellStyle name="Обычный 6 4 3 6" xfId="18160"/>
    <cellStyle name="Обычный 6 4 3 7" xfId="18161"/>
    <cellStyle name="Обычный 6 4 3 8" xfId="18162"/>
    <cellStyle name="Обычный 6 4 3 9" xfId="18163"/>
    <cellStyle name="Обычный 6 4 4" xfId="4413"/>
    <cellStyle name="Обычный 6 4 4 2" xfId="18164"/>
    <cellStyle name="Обычный 6 4 4 3" xfId="18165"/>
    <cellStyle name="Обычный 6 4 4 4" xfId="18166"/>
    <cellStyle name="Обычный 6 4 4 5" xfId="18167"/>
    <cellStyle name="Обычный 6 4 4 6" xfId="18168"/>
    <cellStyle name="Обычный 6 4 4 7" xfId="18169"/>
    <cellStyle name="Обычный 6 4 4 8" xfId="18170"/>
    <cellStyle name="Обычный 6 4 4 9" xfId="18171"/>
    <cellStyle name="Обычный 6 4 5" xfId="18172"/>
    <cellStyle name="Обычный 6 4 6" xfId="18173"/>
    <cellStyle name="Обычный 6 4 7" xfId="18174"/>
    <cellStyle name="Обычный 6 4 8" xfId="18175"/>
    <cellStyle name="Обычный 6 4 9" xfId="18176"/>
    <cellStyle name="Обычный 6 5" xfId="4414"/>
    <cellStyle name="Обычный 6 5 10" xfId="18177"/>
    <cellStyle name="Обычный 6 5 11" xfId="18178"/>
    <cellStyle name="Обычный 6 5 12" xfId="18179"/>
    <cellStyle name="Обычный 6 5 2" xfId="4415"/>
    <cellStyle name="Обычный 6 5 2 10" xfId="18180"/>
    <cellStyle name="Обычный 6 5 2 11" xfId="18181"/>
    <cellStyle name="Обычный 6 5 2 12" xfId="18182"/>
    <cellStyle name="Обычный 6 5 2 2" xfId="4416"/>
    <cellStyle name="Обычный 6 5 2 2 2" xfId="18183"/>
    <cellStyle name="Обычный 6 5 2 2 3" xfId="18184"/>
    <cellStyle name="Обычный 6 5 2 2 4" xfId="18185"/>
    <cellStyle name="Обычный 6 5 2 2 5" xfId="18186"/>
    <cellStyle name="Обычный 6 5 2 2 6" xfId="18187"/>
    <cellStyle name="Обычный 6 5 2 2 7" xfId="18188"/>
    <cellStyle name="Обычный 6 5 2 2 8" xfId="18189"/>
    <cellStyle name="Обычный 6 5 2 2 9" xfId="18190"/>
    <cellStyle name="Обычный 6 5 2 3" xfId="4417"/>
    <cellStyle name="Обычный 6 5 2 3 2" xfId="18191"/>
    <cellStyle name="Обычный 6 5 2 3 3" xfId="18192"/>
    <cellStyle name="Обычный 6 5 2 3 4" xfId="18193"/>
    <cellStyle name="Обычный 6 5 2 3 5" xfId="18194"/>
    <cellStyle name="Обычный 6 5 2 3 6" xfId="18195"/>
    <cellStyle name="Обычный 6 5 2 3 7" xfId="18196"/>
    <cellStyle name="Обычный 6 5 2 3 8" xfId="18197"/>
    <cellStyle name="Обычный 6 5 2 3 9" xfId="18198"/>
    <cellStyle name="Обычный 6 5 2 4" xfId="4418"/>
    <cellStyle name="Обычный 6 5 2 4 2" xfId="18199"/>
    <cellStyle name="Обычный 6 5 2 4 3" xfId="18200"/>
    <cellStyle name="Обычный 6 5 2 4 4" xfId="18201"/>
    <cellStyle name="Обычный 6 5 2 4 5" xfId="18202"/>
    <cellStyle name="Обычный 6 5 2 4 6" xfId="18203"/>
    <cellStyle name="Обычный 6 5 2 4 7" xfId="18204"/>
    <cellStyle name="Обычный 6 5 2 4 8" xfId="18205"/>
    <cellStyle name="Обычный 6 5 2 4 9" xfId="18206"/>
    <cellStyle name="Обычный 6 5 2 5" xfId="18207"/>
    <cellStyle name="Обычный 6 5 2 6" xfId="18208"/>
    <cellStyle name="Обычный 6 5 2 7" xfId="18209"/>
    <cellStyle name="Обычный 6 5 2 8" xfId="18210"/>
    <cellStyle name="Обычный 6 5 2 9" xfId="18211"/>
    <cellStyle name="Обычный 6 5 3" xfId="4419"/>
    <cellStyle name="Обычный 6 5 3 10" xfId="18212"/>
    <cellStyle name="Обычный 6 5 3 11" xfId="18213"/>
    <cellStyle name="Обычный 6 5 3 2" xfId="4420"/>
    <cellStyle name="Обычный 6 5 3 2 2" xfId="18214"/>
    <cellStyle name="Обычный 6 5 3 2 3" xfId="18215"/>
    <cellStyle name="Обычный 6 5 3 2 4" xfId="18216"/>
    <cellStyle name="Обычный 6 5 3 2 5" xfId="18217"/>
    <cellStyle name="Обычный 6 5 3 2 6" xfId="18218"/>
    <cellStyle name="Обычный 6 5 3 2 7" xfId="18219"/>
    <cellStyle name="Обычный 6 5 3 2 8" xfId="18220"/>
    <cellStyle name="Обычный 6 5 3 2 9" xfId="18221"/>
    <cellStyle name="Обычный 6 5 3 3" xfId="4421"/>
    <cellStyle name="Обычный 6 5 3 3 2" xfId="18222"/>
    <cellStyle name="Обычный 6 5 3 3 3" xfId="18223"/>
    <cellStyle name="Обычный 6 5 3 3 4" xfId="18224"/>
    <cellStyle name="Обычный 6 5 3 3 5" xfId="18225"/>
    <cellStyle name="Обычный 6 5 3 3 6" xfId="18226"/>
    <cellStyle name="Обычный 6 5 3 3 7" xfId="18227"/>
    <cellStyle name="Обычный 6 5 3 3 8" xfId="18228"/>
    <cellStyle name="Обычный 6 5 3 3 9" xfId="18229"/>
    <cellStyle name="Обычный 6 5 3 4" xfId="18230"/>
    <cellStyle name="Обычный 6 5 3 5" xfId="18231"/>
    <cellStyle name="Обычный 6 5 3 6" xfId="18232"/>
    <cellStyle name="Обычный 6 5 3 7" xfId="18233"/>
    <cellStyle name="Обычный 6 5 3 8" xfId="18234"/>
    <cellStyle name="Обычный 6 5 3 9" xfId="18235"/>
    <cellStyle name="Обычный 6 5 4" xfId="4422"/>
    <cellStyle name="Обычный 6 5 4 2" xfId="18236"/>
    <cellStyle name="Обычный 6 5 4 3" xfId="18237"/>
    <cellStyle name="Обычный 6 5 4 4" xfId="18238"/>
    <cellStyle name="Обычный 6 5 4 5" xfId="18239"/>
    <cellStyle name="Обычный 6 5 4 6" xfId="18240"/>
    <cellStyle name="Обычный 6 5 4 7" xfId="18241"/>
    <cellStyle name="Обычный 6 5 4 8" xfId="18242"/>
    <cellStyle name="Обычный 6 5 4 9" xfId="18243"/>
    <cellStyle name="Обычный 6 5 5" xfId="18244"/>
    <cellStyle name="Обычный 6 5 6" xfId="18245"/>
    <cellStyle name="Обычный 6 5 7" xfId="18246"/>
    <cellStyle name="Обычный 6 5 8" xfId="18247"/>
    <cellStyle name="Обычный 6 5 9" xfId="18248"/>
    <cellStyle name="Обычный 6 6" xfId="4423"/>
    <cellStyle name="Обычный 6 6 10" xfId="18249"/>
    <cellStyle name="Обычный 6 6 11" xfId="18250"/>
    <cellStyle name="Обычный 6 6 12" xfId="18251"/>
    <cellStyle name="Обычный 6 6 2" xfId="4424"/>
    <cellStyle name="Обычный 6 6 2 10" xfId="18252"/>
    <cellStyle name="Обычный 6 6 2 11" xfId="18253"/>
    <cellStyle name="Обычный 6 6 2 12" xfId="18254"/>
    <cellStyle name="Обычный 6 6 2 2" xfId="4425"/>
    <cellStyle name="Обычный 6 6 2 2 2" xfId="18255"/>
    <cellStyle name="Обычный 6 6 2 2 3" xfId="18256"/>
    <cellStyle name="Обычный 6 6 2 2 4" xfId="18257"/>
    <cellStyle name="Обычный 6 6 2 2 5" xfId="18258"/>
    <cellStyle name="Обычный 6 6 2 2 6" xfId="18259"/>
    <cellStyle name="Обычный 6 6 2 2 7" xfId="18260"/>
    <cellStyle name="Обычный 6 6 2 2 8" xfId="18261"/>
    <cellStyle name="Обычный 6 6 2 2 9" xfId="18262"/>
    <cellStyle name="Обычный 6 6 2 3" xfId="4426"/>
    <cellStyle name="Обычный 6 6 2 3 2" xfId="18263"/>
    <cellStyle name="Обычный 6 6 2 3 3" xfId="18264"/>
    <cellStyle name="Обычный 6 6 2 3 4" xfId="18265"/>
    <cellStyle name="Обычный 6 6 2 3 5" xfId="18266"/>
    <cellStyle name="Обычный 6 6 2 3 6" xfId="18267"/>
    <cellStyle name="Обычный 6 6 2 3 7" xfId="18268"/>
    <cellStyle name="Обычный 6 6 2 3 8" xfId="18269"/>
    <cellStyle name="Обычный 6 6 2 3 9" xfId="18270"/>
    <cellStyle name="Обычный 6 6 2 4" xfId="4427"/>
    <cellStyle name="Обычный 6 6 2 4 2" xfId="18271"/>
    <cellStyle name="Обычный 6 6 2 4 3" xfId="18272"/>
    <cellStyle name="Обычный 6 6 2 4 4" xfId="18273"/>
    <cellStyle name="Обычный 6 6 2 4 5" xfId="18274"/>
    <cellStyle name="Обычный 6 6 2 4 6" xfId="18275"/>
    <cellStyle name="Обычный 6 6 2 4 7" xfId="18276"/>
    <cellStyle name="Обычный 6 6 2 4 8" xfId="18277"/>
    <cellStyle name="Обычный 6 6 2 4 9" xfId="18278"/>
    <cellStyle name="Обычный 6 6 2 5" xfId="18279"/>
    <cellStyle name="Обычный 6 6 2 6" xfId="18280"/>
    <cellStyle name="Обычный 6 6 2 7" xfId="18281"/>
    <cellStyle name="Обычный 6 6 2 8" xfId="18282"/>
    <cellStyle name="Обычный 6 6 2 9" xfId="18283"/>
    <cellStyle name="Обычный 6 6 3" xfId="4428"/>
    <cellStyle name="Обычный 6 6 3 10" xfId="18284"/>
    <cellStyle name="Обычный 6 6 3 11" xfId="18285"/>
    <cellStyle name="Обычный 6 6 3 2" xfId="4429"/>
    <cellStyle name="Обычный 6 6 3 2 2" xfId="18286"/>
    <cellStyle name="Обычный 6 6 3 2 3" xfId="18287"/>
    <cellStyle name="Обычный 6 6 3 2 4" xfId="18288"/>
    <cellStyle name="Обычный 6 6 3 2 5" xfId="18289"/>
    <cellStyle name="Обычный 6 6 3 2 6" xfId="18290"/>
    <cellStyle name="Обычный 6 6 3 2 7" xfId="18291"/>
    <cellStyle name="Обычный 6 6 3 2 8" xfId="18292"/>
    <cellStyle name="Обычный 6 6 3 2 9" xfId="18293"/>
    <cellStyle name="Обычный 6 6 3 3" xfId="4430"/>
    <cellStyle name="Обычный 6 6 3 3 2" xfId="18294"/>
    <cellStyle name="Обычный 6 6 3 3 3" xfId="18295"/>
    <cellStyle name="Обычный 6 6 3 3 4" xfId="18296"/>
    <cellStyle name="Обычный 6 6 3 3 5" xfId="18297"/>
    <cellStyle name="Обычный 6 6 3 3 6" xfId="18298"/>
    <cellStyle name="Обычный 6 6 3 3 7" xfId="18299"/>
    <cellStyle name="Обычный 6 6 3 3 8" xfId="18300"/>
    <cellStyle name="Обычный 6 6 3 3 9" xfId="18301"/>
    <cellStyle name="Обычный 6 6 3 4" xfId="18302"/>
    <cellStyle name="Обычный 6 6 3 5" xfId="18303"/>
    <cellStyle name="Обычный 6 6 3 6" xfId="18304"/>
    <cellStyle name="Обычный 6 6 3 7" xfId="18305"/>
    <cellStyle name="Обычный 6 6 3 8" xfId="18306"/>
    <cellStyle name="Обычный 6 6 3 9" xfId="18307"/>
    <cellStyle name="Обычный 6 6 4" xfId="4431"/>
    <cellStyle name="Обычный 6 6 4 2" xfId="18308"/>
    <cellStyle name="Обычный 6 6 4 3" xfId="18309"/>
    <cellStyle name="Обычный 6 6 4 4" xfId="18310"/>
    <cellStyle name="Обычный 6 6 4 5" xfId="18311"/>
    <cellStyle name="Обычный 6 6 4 6" xfId="18312"/>
    <cellStyle name="Обычный 6 6 4 7" xfId="18313"/>
    <cellStyle name="Обычный 6 6 4 8" xfId="18314"/>
    <cellStyle name="Обычный 6 6 4 9" xfId="18315"/>
    <cellStyle name="Обычный 6 6 5" xfId="18316"/>
    <cellStyle name="Обычный 6 6 6" xfId="18317"/>
    <cellStyle name="Обычный 6 6 7" xfId="18318"/>
    <cellStyle name="Обычный 6 6 8" xfId="18319"/>
    <cellStyle name="Обычный 6 6 9" xfId="18320"/>
    <cellStyle name="Обычный 6 7" xfId="4432"/>
    <cellStyle name="Обычный 6 7 2" xfId="4433"/>
    <cellStyle name="Обычный 6 7 2 2" xfId="4434"/>
    <cellStyle name="Обычный 6 7 2 3" xfId="4435"/>
    <cellStyle name="Обычный 6 7 3" xfId="4436"/>
    <cellStyle name="Обычный 6 7 4" xfId="4437"/>
    <cellStyle name="Обычный 6 7 4 2" xfId="18321"/>
    <cellStyle name="Обычный 6 7 4 3" xfId="18322"/>
    <cellStyle name="Обычный 6 7 4 4" xfId="18323"/>
    <cellStyle name="Обычный 6 7 4 5" xfId="18324"/>
    <cellStyle name="Обычный 6 7 5" xfId="18325"/>
    <cellStyle name="Обычный 6 7 6" xfId="18326"/>
    <cellStyle name="Обычный 6 7 7" xfId="18327"/>
    <cellStyle name="Обычный 6 7 8" xfId="18328"/>
    <cellStyle name="Обычный 6 8" xfId="4438"/>
    <cellStyle name="Обычный 6 8 2" xfId="4439"/>
    <cellStyle name="Обычный 6 8 2 2" xfId="4440"/>
    <cellStyle name="Обычный 6 8 2 3" xfId="4441"/>
    <cellStyle name="Обычный 6 8 3" xfId="4442"/>
    <cellStyle name="Обычный 6 8 4" xfId="4443"/>
    <cellStyle name="Обычный 6 8 4 2" xfId="18329"/>
    <cellStyle name="Обычный 6 8 4 3" xfId="18330"/>
    <cellStyle name="Обычный 6 8 4 4" xfId="18331"/>
    <cellStyle name="Обычный 6 8 4 5" xfId="18332"/>
    <cellStyle name="Обычный 6 8 5" xfId="18333"/>
    <cellStyle name="Обычный 6 8 6" xfId="18334"/>
    <cellStyle name="Обычный 6 8 7" xfId="18335"/>
    <cellStyle name="Обычный 6 8 8" xfId="18336"/>
    <cellStyle name="Обычный 6 9" xfId="4444"/>
    <cellStyle name="Обычный 6 9 2" xfId="4445"/>
    <cellStyle name="Обычный 6 9 2 2" xfId="4446"/>
    <cellStyle name="Обычный 6 9 2 3" xfId="4447"/>
    <cellStyle name="Обычный 6 9 3" xfId="4448"/>
    <cellStyle name="Обычный 6 9 4" xfId="4449"/>
    <cellStyle name="Обычный 6 9 4 2" xfId="18337"/>
    <cellStyle name="Обычный 6 9 4 3" xfId="18338"/>
    <cellStyle name="Обычный 6 9 4 4" xfId="18339"/>
    <cellStyle name="Обычный 6 9 4 5" xfId="18340"/>
    <cellStyle name="Обычный 6 9 5" xfId="18341"/>
    <cellStyle name="Обычный 6 9 6" xfId="18342"/>
    <cellStyle name="Обычный 6 9 7" xfId="18343"/>
    <cellStyle name="Обычный 6 9 8" xfId="18344"/>
    <cellStyle name="Обычный 7" xfId="12"/>
    <cellStyle name="Обычный 7 10" xfId="4450"/>
    <cellStyle name="Обычный 7 10 2" xfId="4451"/>
    <cellStyle name="Обычный 7 10 2 2" xfId="4452"/>
    <cellStyle name="Обычный 7 10 2 2 2" xfId="18345"/>
    <cellStyle name="Обычный 7 10 2 2 3" xfId="18346"/>
    <cellStyle name="Обычный 7 10 2 2 4" xfId="18347"/>
    <cellStyle name="Обычный 7 10 2 2 5" xfId="18348"/>
    <cellStyle name="Обычный 7 10 2 2 6" xfId="18349"/>
    <cellStyle name="Обычный 7 10 2 3" xfId="4453"/>
    <cellStyle name="Обычный 7 10 2 3 2" xfId="18350"/>
    <cellStyle name="Обычный 7 10 2 3 3" xfId="18351"/>
    <cellStyle name="Обычный 7 10 2 3 4" xfId="18352"/>
    <cellStyle name="Обычный 7 10 2 3 5" xfId="18353"/>
    <cellStyle name="Обычный 7 10 2 3 6" xfId="18354"/>
    <cellStyle name="Обычный 7 10 2 4" xfId="18355"/>
    <cellStyle name="Обычный 7 10 2 5" xfId="18356"/>
    <cellStyle name="Обычный 7 10 2 6" xfId="18357"/>
    <cellStyle name="Обычный 7 10 2 7" xfId="18358"/>
    <cellStyle name="Обычный 7 10 2 8" xfId="18359"/>
    <cellStyle name="Обычный 7 10 3" xfId="4454"/>
    <cellStyle name="Обычный 7 10 3 2" xfId="18360"/>
    <cellStyle name="Обычный 7 10 3 3" xfId="18361"/>
    <cellStyle name="Обычный 7 10 3 4" xfId="18362"/>
    <cellStyle name="Обычный 7 10 3 5" xfId="18363"/>
    <cellStyle name="Обычный 7 10 3 6" xfId="18364"/>
    <cellStyle name="Обычный 7 10 4" xfId="4455"/>
    <cellStyle name="Обычный 7 10 4 2" xfId="18365"/>
    <cellStyle name="Обычный 7 10 4 3" xfId="18366"/>
    <cellStyle name="Обычный 7 10 4 4" xfId="18367"/>
    <cellStyle name="Обычный 7 10 4 5" xfId="18368"/>
    <cellStyle name="Обычный 7 10 5" xfId="18369"/>
    <cellStyle name="Обычный 7 10 6" xfId="18370"/>
    <cellStyle name="Обычный 7 10 7" xfId="18371"/>
    <cellStyle name="Обычный 7 10 8" xfId="18372"/>
    <cellStyle name="Обычный 7 11" xfId="4456"/>
    <cellStyle name="Обычный 7 11 2" xfId="4457"/>
    <cellStyle name="Обычный 7 11 3" xfId="4458"/>
    <cellStyle name="Обычный 7 12" xfId="4459"/>
    <cellStyle name="Обычный 7 13" xfId="4460"/>
    <cellStyle name="Обычный 7 2" xfId="4461"/>
    <cellStyle name="Обычный 7 2 2" xfId="4462"/>
    <cellStyle name="Обычный 7 2 2 2" xfId="4463"/>
    <cellStyle name="Обычный 7 2 2 2 2" xfId="18373"/>
    <cellStyle name="Обычный 7 2 2 2 3" xfId="18374"/>
    <cellStyle name="Обычный 7 2 2 2 4" xfId="18375"/>
    <cellStyle name="Обычный 7 2 2 2 5" xfId="18376"/>
    <cellStyle name="Обычный 7 2 2 2 6" xfId="18377"/>
    <cellStyle name="Обычный 7 2 2 3" xfId="4464"/>
    <cellStyle name="Обычный 7 2 2 3 2" xfId="18378"/>
    <cellStyle name="Обычный 7 2 2 3 3" xfId="18379"/>
    <cellStyle name="Обычный 7 2 2 3 4" xfId="18380"/>
    <cellStyle name="Обычный 7 2 2 3 5" xfId="18381"/>
    <cellStyle name="Обычный 7 2 2 3 6" xfId="18382"/>
    <cellStyle name="Обычный 7 2 2 4" xfId="18383"/>
    <cellStyle name="Обычный 7 2 2 5" xfId="18384"/>
    <cellStyle name="Обычный 7 2 2 6" xfId="18385"/>
    <cellStyle name="Обычный 7 2 2 7" xfId="18386"/>
    <cellStyle name="Обычный 7 2 2 8" xfId="18387"/>
    <cellStyle name="Обычный 7 2 3" xfId="4465"/>
    <cellStyle name="Обычный 7 2 3 2" xfId="18388"/>
    <cellStyle name="Обычный 7 2 3 3" xfId="18389"/>
    <cellStyle name="Обычный 7 2 3 4" xfId="18390"/>
    <cellStyle name="Обычный 7 2 3 5" xfId="18391"/>
    <cellStyle name="Обычный 7 2 3 6" xfId="18392"/>
    <cellStyle name="Обычный 7 2 4" xfId="4466"/>
    <cellStyle name="Обычный 7 2 4 2" xfId="18393"/>
    <cellStyle name="Обычный 7 2 4 3" xfId="18394"/>
    <cellStyle name="Обычный 7 2 4 4" xfId="18395"/>
    <cellStyle name="Обычный 7 2 4 5" xfId="18396"/>
    <cellStyle name="Обычный 7 2 5" xfId="18397"/>
    <cellStyle name="Обычный 7 2 6" xfId="18398"/>
    <cellStyle name="Обычный 7 2 7" xfId="18399"/>
    <cellStyle name="Обычный 7 2 8" xfId="18400"/>
    <cellStyle name="Обычный 7 3" xfId="4467"/>
    <cellStyle name="Обычный 7 3 2" xfId="4468"/>
    <cellStyle name="Обычный 7 3 2 2" xfId="4469"/>
    <cellStyle name="Обычный 7 3 2 2 2" xfId="18401"/>
    <cellStyle name="Обычный 7 3 2 2 3" xfId="18402"/>
    <cellStyle name="Обычный 7 3 2 2 4" xfId="18403"/>
    <cellStyle name="Обычный 7 3 2 2 5" xfId="18404"/>
    <cellStyle name="Обычный 7 3 2 2 6" xfId="18405"/>
    <cellStyle name="Обычный 7 3 2 3" xfId="4470"/>
    <cellStyle name="Обычный 7 3 2 3 2" xfId="18406"/>
    <cellStyle name="Обычный 7 3 2 3 3" xfId="18407"/>
    <cellStyle name="Обычный 7 3 2 3 4" xfId="18408"/>
    <cellStyle name="Обычный 7 3 2 3 5" xfId="18409"/>
    <cellStyle name="Обычный 7 3 2 3 6" xfId="18410"/>
    <cellStyle name="Обычный 7 3 2 4" xfId="18411"/>
    <cellStyle name="Обычный 7 3 2 5" xfId="18412"/>
    <cellStyle name="Обычный 7 3 2 6" xfId="18413"/>
    <cellStyle name="Обычный 7 3 2 7" xfId="18414"/>
    <cellStyle name="Обычный 7 3 2 8" xfId="18415"/>
    <cellStyle name="Обычный 7 3 3" xfId="4471"/>
    <cellStyle name="Обычный 7 3 3 2" xfId="18416"/>
    <cellStyle name="Обычный 7 3 3 3" xfId="18417"/>
    <cellStyle name="Обычный 7 3 3 4" xfId="18418"/>
    <cellStyle name="Обычный 7 3 3 5" xfId="18419"/>
    <cellStyle name="Обычный 7 3 3 6" xfId="18420"/>
    <cellStyle name="Обычный 7 3 4" xfId="4472"/>
    <cellStyle name="Обычный 7 3 4 2" xfId="18421"/>
    <cellStyle name="Обычный 7 3 4 3" xfId="18422"/>
    <cellStyle name="Обычный 7 3 4 4" xfId="18423"/>
    <cellStyle name="Обычный 7 3 4 5" xfId="18424"/>
    <cellStyle name="Обычный 7 3 5" xfId="18425"/>
    <cellStyle name="Обычный 7 3 6" xfId="18426"/>
    <cellStyle name="Обычный 7 3 7" xfId="18427"/>
    <cellStyle name="Обычный 7 3 8" xfId="18428"/>
    <cellStyle name="Обычный 7 4" xfId="4473"/>
    <cellStyle name="Обычный 7 4 2" xfId="4474"/>
    <cellStyle name="Обычный 7 4 2 2" xfId="4475"/>
    <cellStyle name="Обычный 7 4 2 2 2" xfId="18429"/>
    <cellStyle name="Обычный 7 4 2 2 3" xfId="18430"/>
    <cellStyle name="Обычный 7 4 2 2 4" xfId="18431"/>
    <cellStyle name="Обычный 7 4 2 2 5" xfId="18432"/>
    <cellStyle name="Обычный 7 4 2 2 6" xfId="18433"/>
    <cellStyle name="Обычный 7 4 2 3" xfId="4476"/>
    <cellStyle name="Обычный 7 4 2 3 2" xfId="18434"/>
    <cellStyle name="Обычный 7 4 2 3 3" xfId="18435"/>
    <cellStyle name="Обычный 7 4 2 3 4" xfId="18436"/>
    <cellStyle name="Обычный 7 4 2 3 5" xfId="18437"/>
    <cellStyle name="Обычный 7 4 2 3 6" xfId="18438"/>
    <cellStyle name="Обычный 7 4 2 4" xfId="18439"/>
    <cellStyle name="Обычный 7 4 2 5" xfId="18440"/>
    <cellStyle name="Обычный 7 4 2 6" xfId="18441"/>
    <cellStyle name="Обычный 7 4 2 7" xfId="18442"/>
    <cellStyle name="Обычный 7 4 2 8" xfId="18443"/>
    <cellStyle name="Обычный 7 4 3" xfId="4477"/>
    <cellStyle name="Обычный 7 4 3 2" xfId="18444"/>
    <cellStyle name="Обычный 7 4 3 3" xfId="18445"/>
    <cellStyle name="Обычный 7 4 3 4" xfId="18446"/>
    <cellStyle name="Обычный 7 4 3 5" xfId="18447"/>
    <cellStyle name="Обычный 7 4 3 6" xfId="18448"/>
    <cellStyle name="Обычный 7 4 4" xfId="4478"/>
    <cellStyle name="Обычный 7 4 4 2" xfId="18449"/>
    <cellStyle name="Обычный 7 4 4 3" xfId="18450"/>
    <cellStyle name="Обычный 7 4 4 4" xfId="18451"/>
    <cellStyle name="Обычный 7 4 4 5" xfId="18452"/>
    <cellStyle name="Обычный 7 4 5" xfId="18453"/>
    <cellStyle name="Обычный 7 4 6" xfId="18454"/>
    <cellStyle name="Обычный 7 4 7" xfId="18455"/>
    <cellStyle name="Обычный 7 4 8" xfId="18456"/>
    <cellStyle name="Обычный 7 5" xfId="4479"/>
    <cellStyle name="Обычный 7 5 2" xfId="4480"/>
    <cellStyle name="Обычный 7 5 2 2" xfId="4481"/>
    <cellStyle name="Обычный 7 5 2 2 2" xfId="18457"/>
    <cellStyle name="Обычный 7 5 2 2 3" xfId="18458"/>
    <cellStyle name="Обычный 7 5 2 2 4" xfId="18459"/>
    <cellStyle name="Обычный 7 5 2 2 5" xfId="18460"/>
    <cellStyle name="Обычный 7 5 2 2 6" xfId="18461"/>
    <cellStyle name="Обычный 7 5 2 3" xfId="4482"/>
    <cellStyle name="Обычный 7 5 2 3 2" xfId="18462"/>
    <cellStyle name="Обычный 7 5 2 3 3" xfId="18463"/>
    <cellStyle name="Обычный 7 5 2 3 4" xfId="18464"/>
    <cellStyle name="Обычный 7 5 2 3 5" xfId="18465"/>
    <cellStyle name="Обычный 7 5 2 3 6" xfId="18466"/>
    <cellStyle name="Обычный 7 5 2 4" xfId="18467"/>
    <cellStyle name="Обычный 7 5 2 5" xfId="18468"/>
    <cellStyle name="Обычный 7 5 2 6" xfId="18469"/>
    <cellStyle name="Обычный 7 5 2 7" xfId="18470"/>
    <cellStyle name="Обычный 7 5 2 8" xfId="18471"/>
    <cellStyle name="Обычный 7 5 3" xfId="4483"/>
    <cellStyle name="Обычный 7 5 3 2" xfId="18472"/>
    <cellStyle name="Обычный 7 5 3 3" xfId="18473"/>
    <cellStyle name="Обычный 7 5 3 4" xfId="18474"/>
    <cellStyle name="Обычный 7 5 3 5" xfId="18475"/>
    <cellStyle name="Обычный 7 5 3 6" xfId="18476"/>
    <cellStyle name="Обычный 7 5 4" xfId="4484"/>
    <cellStyle name="Обычный 7 5 4 2" xfId="18477"/>
    <cellStyle name="Обычный 7 5 4 3" xfId="18478"/>
    <cellStyle name="Обычный 7 5 4 4" xfId="18479"/>
    <cellStyle name="Обычный 7 5 4 5" xfId="18480"/>
    <cellStyle name="Обычный 7 5 5" xfId="18481"/>
    <cellStyle name="Обычный 7 5 6" xfId="18482"/>
    <cellStyle name="Обычный 7 5 7" xfId="18483"/>
    <cellStyle name="Обычный 7 5 8" xfId="18484"/>
    <cellStyle name="Обычный 7 6" xfId="4485"/>
    <cellStyle name="Обычный 7 6 2" xfId="4486"/>
    <cellStyle name="Обычный 7 6 2 2" xfId="4487"/>
    <cellStyle name="Обычный 7 6 2 2 2" xfId="18485"/>
    <cellStyle name="Обычный 7 6 2 2 3" xfId="18486"/>
    <cellStyle name="Обычный 7 6 2 2 4" xfId="18487"/>
    <cellStyle name="Обычный 7 6 2 2 5" xfId="18488"/>
    <cellStyle name="Обычный 7 6 2 2 6" xfId="18489"/>
    <cellStyle name="Обычный 7 6 2 3" xfId="4488"/>
    <cellStyle name="Обычный 7 6 2 3 2" xfId="18490"/>
    <cellStyle name="Обычный 7 6 2 3 3" xfId="18491"/>
    <cellStyle name="Обычный 7 6 2 3 4" xfId="18492"/>
    <cellStyle name="Обычный 7 6 2 3 5" xfId="18493"/>
    <cellStyle name="Обычный 7 6 2 3 6" xfId="18494"/>
    <cellStyle name="Обычный 7 6 2 4" xfId="18495"/>
    <cellStyle name="Обычный 7 6 2 5" xfId="18496"/>
    <cellStyle name="Обычный 7 6 2 6" xfId="18497"/>
    <cellStyle name="Обычный 7 6 2 7" xfId="18498"/>
    <cellStyle name="Обычный 7 6 2 8" xfId="18499"/>
    <cellStyle name="Обычный 7 6 3" xfId="4489"/>
    <cellStyle name="Обычный 7 6 3 2" xfId="18500"/>
    <cellStyle name="Обычный 7 6 3 3" xfId="18501"/>
    <cellStyle name="Обычный 7 6 3 4" xfId="18502"/>
    <cellStyle name="Обычный 7 6 3 5" xfId="18503"/>
    <cellStyle name="Обычный 7 6 3 6" xfId="18504"/>
    <cellStyle name="Обычный 7 6 4" xfId="4490"/>
    <cellStyle name="Обычный 7 6 4 2" xfId="18505"/>
    <cellStyle name="Обычный 7 6 4 3" xfId="18506"/>
    <cellStyle name="Обычный 7 6 4 4" xfId="18507"/>
    <cellStyle name="Обычный 7 6 4 5" xfId="18508"/>
    <cellStyle name="Обычный 7 6 5" xfId="18509"/>
    <cellStyle name="Обычный 7 6 6" xfId="18510"/>
    <cellStyle name="Обычный 7 6 7" xfId="18511"/>
    <cellStyle name="Обычный 7 6 8" xfId="18512"/>
    <cellStyle name="Обычный 7 7" xfId="4491"/>
    <cellStyle name="Обычный 7 7 2" xfId="4492"/>
    <cellStyle name="Обычный 7 7 2 2" xfId="4493"/>
    <cellStyle name="Обычный 7 7 2 2 2" xfId="18513"/>
    <cellStyle name="Обычный 7 7 2 2 3" xfId="18514"/>
    <cellStyle name="Обычный 7 7 2 2 4" xfId="18515"/>
    <cellStyle name="Обычный 7 7 2 2 5" xfId="18516"/>
    <cellStyle name="Обычный 7 7 2 2 6" xfId="18517"/>
    <cellStyle name="Обычный 7 7 2 3" xfId="4494"/>
    <cellStyle name="Обычный 7 7 2 3 2" xfId="18518"/>
    <cellStyle name="Обычный 7 7 2 3 3" xfId="18519"/>
    <cellStyle name="Обычный 7 7 2 3 4" xfId="18520"/>
    <cellStyle name="Обычный 7 7 2 3 5" xfId="18521"/>
    <cellStyle name="Обычный 7 7 2 3 6" xfId="18522"/>
    <cellStyle name="Обычный 7 7 2 4" xfId="18523"/>
    <cellStyle name="Обычный 7 7 2 5" xfId="18524"/>
    <cellStyle name="Обычный 7 7 2 6" xfId="18525"/>
    <cellStyle name="Обычный 7 7 2 7" xfId="18526"/>
    <cellStyle name="Обычный 7 7 2 8" xfId="18527"/>
    <cellStyle name="Обычный 7 7 3" xfId="4495"/>
    <cellStyle name="Обычный 7 7 3 2" xfId="18528"/>
    <cellStyle name="Обычный 7 7 3 3" xfId="18529"/>
    <cellStyle name="Обычный 7 7 3 4" xfId="18530"/>
    <cellStyle name="Обычный 7 7 3 5" xfId="18531"/>
    <cellStyle name="Обычный 7 7 3 6" xfId="18532"/>
    <cellStyle name="Обычный 7 7 4" xfId="4496"/>
    <cellStyle name="Обычный 7 7 4 2" xfId="18533"/>
    <cellStyle name="Обычный 7 7 4 3" xfId="18534"/>
    <cellStyle name="Обычный 7 7 4 4" xfId="18535"/>
    <cellStyle name="Обычный 7 7 4 5" xfId="18536"/>
    <cellStyle name="Обычный 7 7 5" xfId="18537"/>
    <cellStyle name="Обычный 7 7 6" xfId="18538"/>
    <cellStyle name="Обычный 7 7 7" xfId="18539"/>
    <cellStyle name="Обычный 7 7 8" xfId="18540"/>
    <cellStyle name="Обычный 7 8" xfId="4497"/>
    <cellStyle name="Обычный 7 8 2" xfId="4498"/>
    <cellStyle name="Обычный 7 8 2 2" xfId="4499"/>
    <cellStyle name="Обычный 7 8 2 2 2" xfId="18541"/>
    <cellStyle name="Обычный 7 8 2 2 3" xfId="18542"/>
    <cellStyle name="Обычный 7 8 2 2 4" xfId="18543"/>
    <cellStyle name="Обычный 7 8 2 2 5" xfId="18544"/>
    <cellStyle name="Обычный 7 8 2 2 6" xfId="18545"/>
    <cellStyle name="Обычный 7 8 2 3" xfId="4500"/>
    <cellStyle name="Обычный 7 8 2 3 2" xfId="18546"/>
    <cellStyle name="Обычный 7 8 2 3 3" xfId="18547"/>
    <cellStyle name="Обычный 7 8 2 3 4" xfId="18548"/>
    <cellStyle name="Обычный 7 8 2 3 5" xfId="18549"/>
    <cellStyle name="Обычный 7 8 2 3 6" xfId="18550"/>
    <cellStyle name="Обычный 7 8 2 4" xfId="18551"/>
    <cellStyle name="Обычный 7 8 2 5" xfId="18552"/>
    <cellStyle name="Обычный 7 8 2 6" xfId="18553"/>
    <cellStyle name="Обычный 7 8 2 7" xfId="18554"/>
    <cellStyle name="Обычный 7 8 2 8" xfId="18555"/>
    <cellStyle name="Обычный 7 8 3" xfId="4501"/>
    <cellStyle name="Обычный 7 8 3 2" xfId="18556"/>
    <cellStyle name="Обычный 7 8 3 3" xfId="18557"/>
    <cellStyle name="Обычный 7 8 3 4" xfId="18558"/>
    <cellStyle name="Обычный 7 8 3 5" xfId="18559"/>
    <cellStyle name="Обычный 7 8 3 6" xfId="18560"/>
    <cellStyle name="Обычный 7 8 4" xfId="4502"/>
    <cellStyle name="Обычный 7 8 4 2" xfId="18561"/>
    <cellStyle name="Обычный 7 8 4 3" xfId="18562"/>
    <cellStyle name="Обычный 7 8 4 4" xfId="18563"/>
    <cellStyle name="Обычный 7 8 4 5" xfId="18564"/>
    <cellStyle name="Обычный 7 8 5" xfId="18565"/>
    <cellStyle name="Обычный 7 8 6" xfId="18566"/>
    <cellStyle name="Обычный 7 8 7" xfId="18567"/>
    <cellStyle name="Обычный 7 8 8" xfId="18568"/>
    <cellStyle name="Обычный 7 9" xfId="4503"/>
    <cellStyle name="Обычный 7 9 2" xfId="4504"/>
    <cellStyle name="Обычный 7 9 2 2" xfId="4505"/>
    <cellStyle name="Обычный 7 9 2 2 2" xfId="18569"/>
    <cellStyle name="Обычный 7 9 2 2 3" xfId="18570"/>
    <cellStyle name="Обычный 7 9 2 2 4" xfId="18571"/>
    <cellStyle name="Обычный 7 9 2 2 5" xfId="18572"/>
    <cellStyle name="Обычный 7 9 2 2 6" xfId="18573"/>
    <cellStyle name="Обычный 7 9 2 3" xfId="4506"/>
    <cellStyle name="Обычный 7 9 2 3 2" xfId="18574"/>
    <cellStyle name="Обычный 7 9 2 3 3" xfId="18575"/>
    <cellStyle name="Обычный 7 9 2 3 4" xfId="18576"/>
    <cellStyle name="Обычный 7 9 2 3 5" xfId="18577"/>
    <cellStyle name="Обычный 7 9 2 3 6" xfId="18578"/>
    <cellStyle name="Обычный 7 9 2 4" xfId="18579"/>
    <cellStyle name="Обычный 7 9 2 5" xfId="18580"/>
    <cellStyle name="Обычный 7 9 2 6" xfId="18581"/>
    <cellStyle name="Обычный 7 9 2 7" xfId="18582"/>
    <cellStyle name="Обычный 7 9 2 8" xfId="18583"/>
    <cellStyle name="Обычный 7 9 3" xfId="4507"/>
    <cellStyle name="Обычный 7 9 3 2" xfId="18584"/>
    <cellStyle name="Обычный 7 9 3 3" xfId="18585"/>
    <cellStyle name="Обычный 7 9 3 4" xfId="18586"/>
    <cellStyle name="Обычный 7 9 3 5" xfId="18587"/>
    <cellStyle name="Обычный 7 9 3 6" xfId="18588"/>
    <cellStyle name="Обычный 7 9 4" xfId="4508"/>
    <cellStyle name="Обычный 7 9 4 2" xfId="18589"/>
    <cellStyle name="Обычный 7 9 4 3" xfId="18590"/>
    <cellStyle name="Обычный 7 9 4 4" xfId="18591"/>
    <cellStyle name="Обычный 7 9 4 5" xfId="18592"/>
    <cellStyle name="Обычный 7 9 5" xfId="18593"/>
    <cellStyle name="Обычный 7 9 6" xfId="18594"/>
    <cellStyle name="Обычный 7 9 7" xfId="18595"/>
    <cellStyle name="Обычный 7 9 8" xfId="18596"/>
    <cellStyle name="Обычный 8" xfId="53"/>
    <cellStyle name="Обычный 8 10" xfId="18597"/>
    <cellStyle name="Обычный 8 11" xfId="18598"/>
    <cellStyle name="Обычный 8 12" xfId="18599"/>
    <cellStyle name="Обычный 8 13" xfId="18600"/>
    <cellStyle name="Обычный 8 14" xfId="18601"/>
    <cellStyle name="Обычный 8 15" xfId="18602"/>
    <cellStyle name="Обычный 8 2" xfId="4509"/>
    <cellStyle name="Обычный 8 2 2" xfId="4510"/>
    <cellStyle name="Обычный 8 2 2 2" xfId="4511"/>
    <cellStyle name="Обычный 8 2 2 2 2" xfId="18603"/>
    <cellStyle name="Обычный 8 2 2 2 3" xfId="18604"/>
    <cellStyle name="Обычный 8 2 2 2 4" xfId="18605"/>
    <cellStyle name="Обычный 8 2 2 2 5" xfId="18606"/>
    <cellStyle name="Обычный 8 2 2 2 6" xfId="18607"/>
    <cellStyle name="Обычный 8 2 2 3" xfId="4512"/>
    <cellStyle name="Обычный 8 2 2 3 2" xfId="18608"/>
    <cellStyle name="Обычный 8 2 2 3 3" xfId="18609"/>
    <cellStyle name="Обычный 8 2 2 3 4" xfId="18610"/>
    <cellStyle name="Обычный 8 2 2 3 5" xfId="18611"/>
    <cellStyle name="Обычный 8 2 2 3 6" xfId="18612"/>
    <cellStyle name="Обычный 8 2 2 4" xfId="18613"/>
    <cellStyle name="Обычный 8 2 2 5" xfId="18614"/>
    <cellStyle name="Обычный 8 2 2 6" xfId="18615"/>
    <cellStyle name="Обычный 8 2 2 7" xfId="18616"/>
    <cellStyle name="Обычный 8 2 2 8" xfId="18617"/>
    <cellStyle name="Обычный 8 2 3" xfId="4513"/>
    <cellStyle name="Обычный 8 2 3 2" xfId="18618"/>
    <cellStyle name="Обычный 8 2 3 3" xfId="18619"/>
    <cellStyle name="Обычный 8 2 3 4" xfId="18620"/>
    <cellStyle name="Обычный 8 2 3 5" xfId="18621"/>
    <cellStyle name="Обычный 8 2 3 6" xfId="18622"/>
    <cellStyle name="Обычный 8 2 4" xfId="4514"/>
    <cellStyle name="Обычный 8 2 4 2" xfId="18623"/>
    <cellStyle name="Обычный 8 2 4 3" xfId="18624"/>
    <cellStyle name="Обычный 8 2 4 4" xfId="18625"/>
    <cellStyle name="Обычный 8 2 4 5" xfId="18626"/>
    <cellStyle name="Обычный 8 2 5" xfId="18627"/>
    <cellStyle name="Обычный 8 2 6" xfId="18628"/>
    <cellStyle name="Обычный 8 2 7" xfId="18629"/>
    <cellStyle name="Обычный 8 2 8" xfId="18630"/>
    <cellStyle name="Обычный 8 3" xfId="4515"/>
    <cellStyle name="Обычный 8 3 10" xfId="18631"/>
    <cellStyle name="Обычный 8 3 11" xfId="18632"/>
    <cellStyle name="Обычный 8 3 12" xfId="18633"/>
    <cellStyle name="Обычный 8 3 2" xfId="4516"/>
    <cellStyle name="Обычный 8 3 2 10" xfId="18634"/>
    <cellStyle name="Обычный 8 3 2 11" xfId="18635"/>
    <cellStyle name="Обычный 8 3 2 12" xfId="18636"/>
    <cellStyle name="Обычный 8 3 2 2" xfId="4517"/>
    <cellStyle name="Обычный 8 3 2 2 2" xfId="18637"/>
    <cellStyle name="Обычный 8 3 2 2 3" xfId="18638"/>
    <cellStyle name="Обычный 8 3 2 2 4" xfId="18639"/>
    <cellStyle name="Обычный 8 3 2 2 5" xfId="18640"/>
    <cellStyle name="Обычный 8 3 2 2 6" xfId="18641"/>
    <cellStyle name="Обычный 8 3 2 2 7" xfId="18642"/>
    <cellStyle name="Обычный 8 3 2 2 8" xfId="18643"/>
    <cellStyle name="Обычный 8 3 2 2 9" xfId="18644"/>
    <cellStyle name="Обычный 8 3 2 3" xfId="4518"/>
    <cellStyle name="Обычный 8 3 2 3 2" xfId="18645"/>
    <cellStyle name="Обычный 8 3 2 3 3" xfId="18646"/>
    <cellStyle name="Обычный 8 3 2 3 4" xfId="18647"/>
    <cellStyle name="Обычный 8 3 2 3 5" xfId="18648"/>
    <cellStyle name="Обычный 8 3 2 3 6" xfId="18649"/>
    <cellStyle name="Обычный 8 3 2 3 7" xfId="18650"/>
    <cellStyle name="Обычный 8 3 2 3 8" xfId="18651"/>
    <cellStyle name="Обычный 8 3 2 3 9" xfId="18652"/>
    <cellStyle name="Обычный 8 3 2 4" xfId="4519"/>
    <cellStyle name="Обычный 8 3 2 4 2" xfId="18653"/>
    <cellStyle name="Обычный 8 3 2 4 3" xfId="18654"/>
    <cellStyle name="Обычный 8 3 2 4 4" xfId="18655"/>
    <cellStyle name="Обычный 8 3 2 4 5" xfId="18656"/>
    <cellStyle name="Обычный 8 3 2 4 6" xfId="18657"/>
    <cellStyle name="Обычный 8 3 2 4 7" xfId="18658"/>
    <cellStyle name="Обычный 8 3 2 4 8" xfId="18659"/>
    <cellStyle name="Обычный 8 3 2 4 9" xfId="18660"/>
    <cellStyle name="Обычный 8 3 2 5" xfId="18661"/>
    <cellStyle name="Обычный 8 3 2 6" xfId="18662"/>
    <cellStyle name="Обычный 8 3 2 7" xfId="18663"/>
    <cellStyle name="Обычный 8 3 2 8" xfId="18664"/>
    <cellStyle name="Обычный 8 3 2 9" xfId="18665"/>
    <cellStyle name="Обычный 8 3 3" xfId="4520"/>
    <cellStyle name="Обычный 8 3 3 10" xfId="18666"/>
    <cellStyle name="Обычный 8 3 3 11" xfId="18667"/>
    <cellStyle name="Обычный 8 3 3 2" xfId="4521"/>
    <cellStyle name="Обычный 8 3 3 2 2" xfId="18668"/>
    <cellStyle name="Обычный 8 3 3 2 3" xfId="18669"/>
    <cellStyle name="Обычный 8 3 3 2 4" xfId="18670"/>
    <cellStyle name="Обычный 8 3 3 2 5" xfId="18671"/>
    <cellStyle name="Обычный 8 3 3 2 6" xfId="18672"/>
    <cellStyle name="Обычный 8 3 3 2 7" xfId="18673"/>
    <cellStyle name="Обычный 8 3 3 2 8" xfId="18674"/>
    <cellStyle name="Обычный 8 3 3 2 9" xfId="18675"/>
    <cellStyle name="Обычный 8 3 3 3" xfId="4522"/>
    <cellStyle name="Обычный 8 3 3 3 2" xfId="18676"/>
    <cellStyle name="Обычный 8 3 3 3 3" xfId="18677"/>
    <cellStyle name="Обычный 8 3 3 3 4" xfId="18678"/>
    <cellStyle name="Обычный 8 3 3 3 5" xfId="18679"/>
    <cellStyle name="Обычный 8 3 3 3 6" xfId="18680"/>
    <cellStyle name="Обычный 8 3 3 3 7" xfId="18681"/>
    <cellStyle name="Обычный 8 3 3 3 8" xfId="18682"/>
    <cellStyle name="Обычный 8 3 3 3 9" xfId="18683"/>
    <cellStyle name="Обычный 8 3 3 4" xfId="18684"/>
    <cellStyle name="Обычный 8 3 3 5" xfId="18685"/>
    <cellStyle name="Обычный 8 3 3 6" xfId="18686"/>
    <cellStyle name="Обычный 8 3 3 7" xfId="18687"/>
    <cellStyle name="Обычный 8 3 3 8" xfId="18688"/>
    <cellStyle name="Обычный 8 3 3 9" xfId="18689"/>
    <cellStyle name="Обычный 8 3 4" xfId="4523"/>
    <cellStyle name="Обычный 8 3 4 2" xfId="18690"/>
    <cellStyle name="Обычный 8 3 4 3" xfId="18691"/>
    <cellStyle name="Обычный 8 3 4 4" xfId="18692"/>
    <cellStyle name="Обычный 8 3 4 5" xfId="18693"/>
    <cellStyle name="Обычный 8 3 4 6" xfId="18694"/>
    <cellStyle name="Обычный 8 3 4 7" xfId="18695"/>
    <cellStyle name="Обычный 8 3 4 8" xfId="18696"/>
    <cellStyle name="Обычный 8 3 4 9" xfId="18697"/>
    <cellStyle name="Обычный 8 3 5" xfId="18698"/>
    <cellStyle name="Обычный 8 3 6" xfId="18699"/>
    <cellStyle name="Обычный 8 3 7" xfId="18700"/>
    <cellStyle name="Обычный 8 3 8" xfId="18701"/>
    <cellStyle name="Обычный 8 3 9" xfId="18702"/>
    <cellStyle name="Обычный 8 4" xfId="4524"/>
    <cellStyle name="Обычный 8 4 10" xfId="18703"/>
    <cellStyle name="Обычный 8 4 11" xfId="18704"/>
    <cellStyle name="Обычный 8 4 12" xfId="18705"/>
    <cellStyle name="Обычный 8 4 2" xfId="4525"/>
    <cellStyle name="Обычный 8 4 2 10" xfId="18706"/>
    <cellStyle name="Обычный 8 4 2 11" xfId="18707"/>
    <cellStyle name="Обычный 8 4 2 12" xfId="18708"/>
    <cellStyle name="Обычный 8 4 2 2" xfId="4526"/>
    <cellStyle name="Обычный 8 4 2 2 2" xfId="18709"/>
    <cellStyle name="Обычный 8 4 2 2 3" xfId="18710"/>
    <cellStyle name="Обычный 8 4 2 2 4" xfId="18711"/>
    <cellStyle name="Обычный 8 4 2 2 5" xfId="18712"/>
    <cellStyle name="Обычный 8 4 2 2 6" xfId="18713"/>
    <cellStyle name="Обычный 8 4 2 2 7" xfId="18714"/>
    <cellStyle name="Обычный 8 4 2 2 8" xfId="18715"/>
    <cellStyle name="Обычный 8 4 2 2 9" xfId="18716"/>
    <cellStyle name="Обычный 8 4 2 3" xfId="4527"/>
    <cellStyle name="Обычный 8 4 2 3 2" xfId="18717"/>
    <cellStyle name="Обычный 8 4 2 3 3" xfId="18718"/>
    <cellStyle name="Обычный 8 4 2 3 4" xfId="18719"/>
    <cellStyle name="Обычный 8 4 2 3 5" xfId="18720"/>
    <cellStyle name="Обычный 8 4 2 3 6" xfId="18721"/>
    <cellStyle name="Обычный 8 4 2 3 7" xfId="18722"/>
    <cellStyle name="Обычный 8 4 2 3 8" xfId="18723"/>
    <cellStyle name="Обычный 8 4 2 3 9" xfId="18724"/>
    <cellStyle name="Обычный 8 4 2 4" xfId="4528"/>
    <cellStyle name="Обычный 8 4 2 4 2" xfId="18725"/>
    <cellStyle name="Обычный 8 4 2 4 3" xfId="18726"/>
    <cellStyle name="Обычный 8 4 2 4 4" xfId="18727"/>
    <cellStyle name="Обычный 8 4 2 4 5" xfId="18728"/>
    <cellStyle name="Обычный 8 4 2 4 6" xfId="18729"/>
    <cellStyle name="Обычный 8 4 2 4 7" xfId="18730"/>
    <cellStyle name="Обычный 8 4 2 4 8" xfId="18731"/>
    <cellStyle name="Обычный 8 4 2 4 9" xfId="18732"/>
    <cellStyle name="Обычный 8 4 2 5" xfId="18733"/>
    <cellStyle name="Обычный 8 4 2 6" xfId="18734"/>
    <cellStyle name="Обычный 8 4 2 7" xfId="18735"/>
    <cellStyle name="Обычный 8 4 2 8" xfId="18736"/>
    <cellStyle name="Обычный 8 4 2 9" xfId="18737"/>
    <cellStyle name="Обычный 8 4 3" xfId="4529"/>
    <cellStyle name="Обычный 8 4 3 10" xfId="18738"/>
    <cellStyle name="Обычный 8 4 3 11" xfId="18739"/>
    <cellStyle name="Обычный 8 4 3 2" xfId="4530"/>
    <cellStyle name="Обычный 8 4 3 2 2" xfId="18740"/>
    <cellStyle name="Обычный 8 4 3 2 3" xfId="18741"/>
    <cellStyle name="Обычный 8 4 3 2 4" xfId="18742"/>
    <cellStyle name="Обычный 8 4 3 2 5" xfId="18743"/>
    <cellStyle name="Обычный 8 4 3 2 6" xfId="18744"/>
    <cellStyle name="Обычный 8 4 3 2 7" xfId="18745"/>
    <cellStyle name="Обычный 8 4 3 2 8" xfId="18746"/>
    <cellStyle name="Обычный 8 4 3 2 9" xfId="18747"/>
    <cellStyle name="Обычный 8 4 3 3" xfId="4531"/>
    <cellStyle name="Обычный 8 4 3 3 2" xfId="18748"/>
    <cellStyle name="Обычный 8 4 3 3 3" xfId="18749"/>
    <cellStyle name="Обычный 8 4 3 3 4" xfId="18750"/>
    <cellStyle name="Обычный 8 4 3 3 5" xfId="18751"/>
    <cellStyle name="Обычный 8 4 3 3 6" xfId="18752"/>
    <cellStyle name="Обычный 8 4 3 3 7" xfId="18753"/>
    <cellStyle name="Обычный 8 4 3 3 8" xfId="18754"/>
    <cellStyle name="Обычный 8 4 3 3 9" xfId="18755"/>
    <cellStyle name="Обычный 8 4 3 4" xfId="18756"/>
    <cellStyle name="Обычный 8 4 3 5" xfId="18757"/>
    <cellStyle name="Обычный 8 4 3 6" xfId="18758"/>
    <cellStyle name="Обычный 8 4 3 7" xfId="18759"/>
    <cellStyle name="Обычный 8 4 3 8" xfId="18760"/>
    <cellStyle name="Обычный 8 4 3 9" xfId="18761"/>
    <cellStyle name="Обычный 8 4 4" xfId="4532"/>
    <cellStyle name="Обычный 8 4 4 2" xfId="18762"/>
    <cellStyle name="Обычный 8 4 4 3" xfId="18763"/>
    <cellStyle name="Обычный 8 4 4 4" xfId="18764"/>
    <cellStyle name="Обычный 8 4 4 5" xfId="18765"/>
    <cellStyle name="Обычный 8 4 4 6" xfId="18766"/>
    <cellStyle name="Обычный 8 4 4 7" xfId="18767"/>
    <cellStyle name="Обычный 8 4 4 8" xfId="18768"/>
    <cellStyle name="Обычный 8 4 4 9" xfId="18769"/>
    <cellStyle name="Обычный 8 4 5" xfId="18770"/>
    <cellStyle name="Обычный 8 4 6" xfId="18771"/>
    <cellStyle name="Обычный 8 4 7" xfId="18772"/>
    <cellStyle name="Обычный 8 4 8" xfId="18773"/>
    <cellStyle name="Обычный 8 4 9" xfId="18774"/>
    <cellStyle name="Обычный 8 5" xfId="4533"/>
    <cellStyle name="Обычный 8 5 10" xfId="18775"/>
    <cellStyle name="Обычный 8 5 11" xfId="18776"/>
    <cellStyle name="Обычный 8 5 12" xfId="18777"/>
    <cellStyle name="Обычный 8 5 2" xfId="4534"/>
    <cellStyle name="Обычный 8 5 2 2" xfId="18778"/>
    <cellStyle name="Обычный 8 5 2 3" xfId="18779"/>
    <cellStyle name="Обычный 8 5 2 4" xfId="18780"/>
    <cellStyle name="Обычный 8 5 2 5" xfId="18781"/>
    <cellStyle name="Обычный 8 5 2 6" xfId="18782"/>
    <cellStyle name="Обычный 8 5 2 7" xfId="18783"/>
    <cellStyle name="Обычный 8 5 2 8" xfId="18784"/>
    <cellStyle name="Обычный 8 5 2 9" xfId="18785"/>
    <cellStyle name="Обычный 8 5 3" xfId="4535"/>
    <cellStyle name="Обычный 8 5 3 2" xfId="18786"/>
    <cellStyle name="Обычный 8 5 3 3" xfId="18787"/>
    <cellStyle name="Обычный 8 5 3 4" xfId="18788"/>
    <cellStyle name="Обычный 8 5 3 5" xfId="18789"/>
    <cellStyle name="Обычный 8 5 3 6" xfId="18790"/>
    <cellStyle name="Обычный 8 5 3 7" xfId="18791"/>
    <cellStyle name="Обычный 8 5 3 8" xfId="18792"/>
    <cellStyle name="Обычный 8 5 3 9" xfId="18793"/>
    <cellStyle name="Обычный 8 5 4" xfId="4536"/>
    <cellStyle name="Обычный 8 5 4 2" xfId="18794"/>
    <cellStyle name="Обычный 8 5 4 3" xfId="18795"/>
    <cellStyle name="Обычный 8 5 4 4" xfId="18796"/>
    <cellStyle name="Обычный 8 5 4 5" xfId="18797"/>
    <cellStyle name="Обычный 8 5 4 6" xfId="18798"/>
    <cellStyle name="Обычный 8 5 4 7" xfId="18799"/>
    <cellStyle name="Обычный 8 5 4 8" xfId="18800"/>
    <cellStyle name="Обычный 8 5 4 9" xfId="18801"/>
    <cellStyle name="Обычный 8 5 5" xfId="18802"/>
    <cellStyle name="Обычный 8 5 6" xfId="18803"/>
    <cellStyle name="Обычный 8 5 7" xfId="18804"/>
    <cellStyle name="Обычный 8 5 8" xfId="18805"/>
    <cellStyle name="Обычный 8 5 9" xfId="18806"/>
    <cellStyle name="Обычный 8 6" xfId="4537"/>
    <cellStyle name="Обычный 8 6 10" xfId="18807"/>
    <cellStyle name="Обычный 8 6 11" xfId="18808"/>
    <cellStyle name="Обычный 8 6 2" xfId="4538"/>
    <cellStyle name="Обычный 8 6 2 2" xfId="18809"/>
    <cellStyle name="Обычный 8 6 2 3" xfId="18810"/>
    <cellStyle name="Обычный 8 6 2 4" xfId="18811"/>
    <cellStyle name="Обычный 8 6 2 5" xfId="18812"/>
    <cellStyle name="Обычный 8 6 2 6" xfId="18813"/>
    <cellStyle name="Обычный 8 6 2 7" xfId="18814"/>
    <cellStyle name="Обычный 8 6 2 8" xfId="18815"/>
    <cellStyle name="Обычный 8 6 2 9" xfId="18816"/>
    <cellStyle name="Обычный 8 6 3" xfId="4539"/>
    <cellStyle name="Обычный 8 6 3 2" xfId="18817"/>
    <cellStyle name="Обычный 8 6 3 3" xfId="18818"/>
    <cellStyle name="Обычный 8 6 3 4" xfId="18819"/>
    <cellStyle name="Обычный 8 6 3 5" xfId="18820"/>
    <cellStyle name="Обычный 8 6 3 6" xfId="18821"/>
    <cellStyle name="Обычный 8 6 3 7" xfId="18822"/>
    <cellStyle name="Обычный 8 6 3 8" xfId="18823"/>
    <cellStyle name="Обычный 8 6 3 9" xfId="18824"/>
    <cellStyle name="Обычный 8 6 4" xfId="18825"/>
    <cellStyle name="Обычный 8 6 5" xfId="18826"/>
    <cellStyle name="Обычный 8 6 6" xfId="18827"/>
    <cellStyle name="Обычный 8 6 7" xfId="18828"/>
    <cellStyle name="Обычный 8 6 8" xfId="18829"/>
    <cellStyle name="Обычный 8 6 9" xfId="18830"/>
    <cellStyle name="Обычный 8 7" xfId="4540"/>
    <cellStyle name="Обычный 8 7 2" xfId="18831"/>
    <cellStyle name="Обычный 8 7 3" xfId="18832"/>
    <cellStyle name="Обычный 8 7 4" xfId="18833"/>
    <cellStyle name="Обычный 8 7 5" xfId="18834"/>
    <cellStyle name="Обычный 8 7 6" xfId="18835"/>
    <cellStyle name="Обычный 8 7 7" xfId="18836"/>
    <cellStyle name="Обычный 8 7 8" xfId="18837"/>
    <cellStyle name="Обычный 8 7 9" xfId="18838"/>
    <cellStyle name="Обычный 8 8" xfId="18839"/>
    <cellStyle name="Обычный 8 9" xfId="18840"/>
    <cellStyle name="Обычный 9" xfId="56"/>
    <cellStyle name="Обычный 9 2" xfId="4541"/>
    <cellStyle name="Обычный 9 2 2" xfId="4542"/>
    <cellStyle name="Обычный 9 2 2 2" xfId="18841"/>
    <cellStyle name="Обычный 9 2 2 3" xfId="18842"/>
    <cellStyle name="Обычный 9 2 2 4" xfId="18843"/>
    <cellStyle name="Обычный 9 2 2 5" xfId="18844"/>
    <cellStyle name="Обычный 9 2 2 6" xfId="18845"/>
    <cellStyle name="Обычный 9 2 3" xfId="4543"/>
    <cellStyle name="Обычный 9 2 3 2" xfId="18846"/>
    <cellStyle name="Обычный 9 2 3 3" xfId="18847"/>
    <cellStyle name="Обычный 9 2 3 4" xfId="18848"/>
    <cellStyle name="Обычный 9 2 3 5" xfId="18849"/>
    <cellStyle name="Обычный 9 2 3 6" xfId="18850"/>
    <cellStyle name="Обычный 9 2 4" xfId="18851"/>
    <cellStyle name="Обычный 9 2 5" xfId="18852"/>
    <cellStyle name="Обычный 9 2 6" xfId="18853"/>
    <cellStyle name="Обычный 9 2 7" xfId="18854"/>
    <cellStyle name="Обычный 9 2 8" xfId="18855"/>
    <cellStyle name="Обычный 9 3" xfId="4544"/>
    <cellStyle name="Обычный 9 3 2" xfId="18856"/>
    <cellStyle name="Обычный 9 3 3" xfId="18857"/>
    <cellStyle name="Обычный 9 3 4" xfId="18858"/>
    <cellStyle name="Обычный 9 3 5" xfId="18859"/>
    <cellStyle name="Обычный 9 3 6" xfId="18860"/>
    <cellStyle name="Обычный 9 4" xfId="4545"/>
    <cellStyle name="Обычный 9 4 2" xfId="18861"/>
    <cellStyle name="Обычный 9 4 3" xfId="18862"/>
    <cellStyle name="Обычный 9 4 4" xfId="18863"/>
    <cellStyle name="Обычный 9 4 5" xfId="18864"/>
    <cellStyle name="Обычный 9 5" xfId="18865"/>
    <cellStyle name="Обычный 9 6" xfId="18866"/>
    <cellStyle name="Обычный 9 7" xfId="18867"/>
    <cellStyle name="Обычный 9 8" xfId="18868"/>
    <cellStyle name="Обычный_Лист1" xfId="55"/>
    <cellStyle name="Плохой 2" xfId="4546"/>
    <cellStyle name="Плохой 2 10" xfId="18869"/>
    <cellStyle name="Плохой 2 11" xfId="18870"/>
    <cellStyle name="Плохой 2 12" xfId="18871"/>
    <cellStyle name="Плохой 2 13" xfId="18872"/>
    <cellStyle name="Плохой 2 2" xfId="4547"/>
    <cellStyle name="Плохой 2 2 2" xfId="4548"/>
    <cellStyle name="Плохой 2 2 2 2" xfId="4549"/>
    <cellStyle name="Плохой 2 2 2 2 2" xfId="18873"/>
    <cellStyle name="Плохой 2 2 2 2 3" xfId="18874"/>
    <cellStyle name="Плохой 2 2 2 2 4" xfId="18875"/>
    <cellStyle name="Плохой 2 2 2 2 5" xfId="18876"/>
    <cellStyle name="Плохой 2 2 2 2 6" xfId="18877"/>
    <cellStyle name="Плохой 2 2 2 3" xfId="4550"/>
    <cellStyle name="Плохой 2 2 2 3 2" xfId="18878"/>
    <cellStyle name="Плохой 2 2 2 3 3" xfId="18879"/>
    <cellStyle name="Плохой 2 2 2 3 4" xfId="18880"/>
    <cellStyle name="Плохой 2 2 2 3 5" xfId="18881"/>
    <cellStyle name="Плохой 2 2 2 3 6" xfId="18882"/>
    <cellStyle name="Плохой 2 2 2 4" xfId="18883"/>
    <cellStyle name="Плохой 2 2 2 5" xfId="18884"/>
    <cellStyle name="Плохой 2 2 2 6" xfId="18885"/>
    <cellStyle name="Плохой 2 2 2 7" xfId="18886"/>
    <cellStyle name="Плохой 2 2 2 8" xfId="18887"/>
    <cellStyle name="Плохой 2 2 3" xfId="4551"/>
    <cellStyle name="Плохой 2 2 3 2" xfId="18888"/>
    <cellStyle name="Плохой 2 2 3 3" xfId="18889"/>
    <cellStyle name="Плохой 2 2 3 4" xfId="18890"/>
    <cellStyle name="Плохой 2 2 3 5" xfId="18891"/>
    <cellStyle name="Плохой 2 2 3 6" xfId="18892"/>
    <cellStyle name="Плохой 2 2 4" xfId="4552"/>
    <cellStyle name="Плохой 2 2 4 2" xfId="18893"/>
    <cellStyle name="Плохой 2 2 4 3" xfId="18894"/>
    <cellStyle name="Плохой 2 2 4 4" xfId="18895"/>
    <cellStyle name="Плохой 2 2 4 5" xfId="18896"/>
    <cellStyle name="Плохой 2 2 5" xfId="18897"/>
    <cellStyle name="Плохой 2 2 6" xfId="18898"/>
    <cellStyle name="Плохой 2 2 7" xfId="18899"/>
    <cellStyle name="Плохой 2 2 8" xfId="18900"/>
    <cellStyle name="Плохой 2 3" xfId="4553"/>
    <cellStyle name="Плохой 2 3 2" xfId="4554"/>
    <cellStyle name="Плохой 2 3 2 2" xfId="4555"/>
    <cellStyle name="Плохой 2 3 2 2 2" xfId="18901"/>
    <cellStyle name="Плохой 2 3 2 2 3" xfId="18902"/>
    <cellStyle name="Плохой 2 3 2 2 4" xfId="18903"/>
    <cellStyle name="Плохой 2 3 2 2 5" xfId="18904"/>
    <cellStyle name="Плохой 2 3 2 2 6" xfId="18905"/>
    <cellStyle name="Плохой 2 3 2 3" xfId="4556"/>
    <cellStyle name="Плохой 2 3 2 3 2" xfId="18906"/>
    <cellStyle name="Плохой 2 3 2 3 3" xfId="18907"/>
    <cellStyle name="Плохой 2 3 2 3 4" xfId="18908"/>
    <cellStyle name="Плохой 2 3 2 3 5" xfId="18909"/>
    <cellStyle name="Плохой 2 3 2 3 6" xfId="18910"/>
    <cellStyle name="Плохой 2 3 2 4" xfId="18911"/>
    <cellStyle name="Плохой 2 3 2 5" xfId="18912"/>
    <cellStyle name="Плохой 2 3 2 6" xfId="18913"/>
    <cellStyle name="Плохой 2 3 2 7" xfId="18914"/>
    <cellStyle name="Плохой 2 3 2 8" xfId="18915"/>
    <cellStyle name="Плохой 2 3 3" xfId="4557"/>
    <cellStyle name="Плохой 2 3 3 2" xfId="18916"/>
    <cellStyle name="Плохой 2 3 3 3" xfId="18917"/>
    <cellStyle name="Плохой 2 3 3 4" xfId="18918"/>
    <cellStyle name="Плохой 2 3 3 5" xfId="18919"/>
    <cellStyle name="Плохой 2 3 3 6" xfId="18920"/>
    <cellStyle name="Плохой 2 3 4" xfId="4558"/>
    <cellStyle name="Плохой 2 3 4 2" xfId="18921"/>
    <cellStyle name="Плохой 2 3 4 3" xfId="18922"/>
    <cellStyle name="Плохой 2 3 4 4" xfId="18923"/>
    <cellStyle name="Плохой 2 3 4 5" xfId="18924"/>
    <cellStyle name="Плохой 2 3 5" xfId="18925"/>
    <cellStyle name="Плохой 2 3 6" xfId="18926"/>
    <cellStyle name="Плохой 2 3 7" xfId="18927"/>
    <cellStyle name="Плохой 2 3 8" xfId="18928"/>
    <cellStyle name="Плохой 2 4" xfId="4559"/>
    <cellStyle name="Плохой 2 4 2" xfId="4560"/>
    <cellStyle name="Плохой 2 4 2 2" xfId="4561"/>
    <cellStyle name="Плохой 2 4 2 2 2" xfId="18929"/>
    <cellStyle name="Плохой 2 4 2 2 3" xfId="18930"/>
    <cellStyle name="Плохой 2 4 2 2 4" xfId="18931"/>
    <cellStyle name="Плохой 2 4 2 2 5" xfId="18932"/>
    <cellStyle name="Плохой 2 4 2 2 6" xfId="18933"/>
    <cellStyle name="Плохой 2 4 2 3" xfId="4562"/>
    <cellStyle name="Плохой 2 4 2 3 2" xfId="18934"/>
    <cellStyle name="Плохой 2 4 2 3 3" xfId="18935"/>
    <cellStyle name="Плохой 2 4 2 3 4" xfId="18936"/>
    <cellStyle name="Плохой 2 4 2 3 5" xfId="18937"/>
    <cellStyle name="Плохой 2 4 2 3 6" xfId="18938"/>
    <cellStyle name="Плохой 2 4 2 4" xfId="18939"/>
    <cellStyle name="Плохой 2 4 2 5" xfId="18940"/>
    <cellStyle name="Плохой 2 4 2 6" xfId="18941"/>
    <cellStyle name="Плохой 2 4 2 7" xfId="18942"/>
    <cellStyle name="Плохой 2 4 2 8" xfId="18943"/>
    <cellStyle name="Плохой 2 4 3" xfId="4563"/>
    <cellStyle name="Плохой 2 4 3 2" xfId="18944"/>
    <cellStyle name="Плохой 2 4 3 3" xfId="18945"/>
    <cellStyle name="Плохой 2 4 3 4" xfId="18946"/>
    <cellStyle name="Плохой 2 4 3 5" xfId="18947"/>
    <cellStyle name="Плохой 2 4 3 6" xfId="18948"/>
    <cellStyle name="Плохой 2 4 4" xfId="4564"/>
    <cellStyle name="Плохой 2 4 4 2" xfId="18949"/>
    <cellStyle name="Плохой 2 4 4 3" xfId="18950"/>
    <cellStyle name="Плохой 2 4 4 4" xfId="18951"/>
    <cellStyle name="Плохой 2 4 4 5" xfId="18952"/>
    <cellStyle name="Плохой 2 4 5" xfId="18953"/>
    <cellStyle name="Плохой 2 4 6" xfId="18954"/>
    <cellStyle name="Плохой 2 4 7" xfId="18955"/>
    <cellStyle name="Плохой 2 4 8" xfId="18956"/>
    <cellStyle name="Плохой 2 5" xfId="4565"/>
    <cellStyle name="Плохой 2 5 2" xfId="4566"/>
    <cellStyle name="Плохой 2 5 2 2" xfId="4567"/>
    <cellStyle name="Плохой 2 5 2 2 2" xfId="18957"/>
    <cellStyle name="Плохой 2 5 2 2 3" xfId="18958"/>
    <cellStyle name="Плохой 2 5 2 2 4" xfId="18959"/>
    <cellStyle name="Плохой 2 5 2 2 5" xfId="18960"/>
    <cellStyle name="Плохой 2 5 2 2 6" xfId="18961"/>
    <cellStyle name="Плохой 2 5 2 3" xfId="4568"/>
    <cellStyle name="Плохой 2 5 2 3 2" xfId="18962"/>
    <cellStyle name="Плохой 2 5 2 3 3" xfId="18963"/>
    <cellStyle name="Плохой 2 5 2 3 4" xfId="18964"/>
    <cellStyle name="Плохой 2 5 2 3 5" xfId="18965"/>
    <cellStyle name="Плохой 2 5 2 3 6" xfId="18966"/>
    <cellStyle name="Плохой 2 5 2 4" xfId="18967"/>
    <cellStyle name="Плохой 2 5 2 5" xfId="18968"/>
    <cellStyle name="Плохой 2 5 2 6" xfId="18969"/>
    <cellStyle name="Плохой 2 5 2 7" xfId="18970"/>
    <cellStyle name="Плохой 2 5 2 8" xfId="18971"/>
    <cellStyle name="Плохой 2 5 3" xfId="4569"/>
    <cellStyle name="Плохой 2 5 3 2" xfId="18972"/>
    <cellStyle name="Плохой 2 5 3 3" xfId="18973"/>
    <cellStyle name="Плохой 2 5 3 4" xfId="18974"/>
    <cellStyle name="Плохой 2 5 3 5" xfId="18975"/>
    <cellStyle name="Плохой 2 5 3 6" xfId="18976"/>
    <cellStyle name="Плохой 2 5 4" xfId="4570"/>
    <cellStyle name="Плохой 2 5 4 2" xfId="18977"/>
    <cellStyle name="Плохой 2 5 4 3" xfId="18978"/>
    <cellStyle name="Плохой 2 5 4 4" xfId="18979"/>
    <cellStyle name="Плохой 2 5 4 5" xfId="18980"/>
    <cellStyle name="Плохой 2 5 5" xfId="18981"/>
    <cellStyle name="Плохой 2 5 6" xfId="18982"/>
    <cellStyle name="Плохой 2 5 7" xfId="18983"/>
    <cellStyle name="Плохой 2 5 8" xfId="18984"/>
    <cellStyle name="Плохой 2 6" xfId="4571"/>
    <cellStyle name="Плохой 2 6 2" xfId="4572"/>
    <cellStyle name="Плохой 2 6 2 2" xfId="4573"/>
    <cellStyle name="Плохой 2 6 2 3" xfId="4574"/>
    <cellStyle name="Плохой 2 6 3" xfId="4575"/>
    <cellStyle name="Плохой 2 6 4" xfId="4576"/>
    <cellStyle name="Плохой 2 6 4 2" xfId="18985"/>
    <cellStyle name="Плохой 2 6 4 3" xfId="18986"/>
    <cellStyle name="Плохой 2 6 4 4" xfId="18987"/>
    <cellStyle name="Плохой 2 6 4 5" xfId="18988"/>
    <cellStyle name="Плохой 2 6 5" xfId="18989"/>
    <cellStyle name="Плохой 2 6 6" xfId="18990"/>
    <cellStyle name="Плохой 2 6 7" xfId="18991"/>
    <cellStyle name="Плохой 2 6 8" xfId="18992"/>
    <cellStyle name="Плохой 2 7" xfId="4577"/>
    <cellStyle name="Плохой 2 7 2" xfId="4578"/>
    <cellStyle name="Плохой 2 7 2 2" xfId="18993"/>
    <cellStyle name="Плохой 2 7 2 3" xfId="18994"/>
    <cellStyle name="Плохой 2 7 2 4" xfId="18995"/>
    <cellStyle name="Плохой 2 7 2 5" xfId="18996"/>
    <cellStyle name="Плохой 2 7 2 6" xfId="18997"/>
    <cellStyle name="Плохой 2 7 3" xfId="4579"/>
    <cellStyle name="Плохой 2 7 3 2" xfId="18998"/>
    <cellStyle name="Плохой 2 7 3 3" xfId="18999"/>
    <cellStyle name="Плохой 2 7 3 4" xfId="19000"/>
    <cellStyle name="Плохой 2 7 3 5" xfId="19001"/>
    <cellStyle name="Плохой 2 7 3 6" xfId="19002"/>
    <cellStyle name="Плохой 2 7 4" xfId="19003"/>
    <cellStyle name="Плохой 2 7 5" xfId="19004"/>
    <cellStyle name="Плохой 2 7 6" xfId="19005"/>
    <cellStyle name="Плохой 2 7 7" xfId="19006"/>
    <cellStyle name="Плохой 2 7 8" xfId="19007"/>
    <cellStyle name="Плохой 2 8" xfId="4580"/>
    <cellStyle name="Плохой 2 8 2" xfId="19008"/>
    <cellStyle name="Плохой 2 8 3" xfId="19009"/>
    <cellStyle name="Плохой 2 8 4" xfId="19010"/>
    <cellStyle name="Плохой 2 8 5" xfId="19011"/>
    <cellStyle name="Плохой 2 8 6" xfId="19012"/>
    <cellStyle name="Плохой 2 9" xfId="4581"/>
    <cellStyle name="Плохой 2 9 2" xfId="19013"/>
    <cellStyle name="Плохой 2 9 3" xfId="19014"/>
    <cellStyle name="Плохой 2 9 4" xfId="19015"/>
    <cellStyle name="Плохой 2 9 5" xfId="19016"/>
    <cellStyle name="Плохой 3" xfId="4582"/>
    <cellStyle name="Плохой 3 2" xfId="4583"/>
    <cellStyle name="Плохой 3 2 2" xfId="4584"/>
    <cellStyle name="Плохой 3 2 2 2" xfId="19017"/>
    <cellStyle name="Плохой 3 2 2 3" xfId="19018"/>
    <cellStyle name="Плохой 3 2 2 4" xfId="19019"/>
    <cellStyle name="Плохой 3 2 2 5" xfId="19020"/>
    <cellStyle name="Плохой 3 2 2 6" xfId="19021"/>
    <cellStyle name="Плохой 3 2 3" xfId="4585"/>
    <cellStyle name="Плохой 3 2 3 2" xfId="19022"/>
    <cellStyle name="Плохой 3 2 3 3" xfId="19023"/>
    <cellStyle name="Плохой 3 2 3 4" xfId="19024"/>
    <cellStyle name="Плохой 3 2 3 5" xfId="19025"/>
    <cellStyle name="Плохой 3 2 3 6" xfId="19026"/>
    <cellStyle name="Плохой 3 2 4" xfId="19027"/>
    <cellStyle name="Плохой 3 2 5" xfId="19028"/>
    <cellStyle name="Плохой 3 2 6" xfId="19029"/>
    <cellStyle name="Плохой 3 2 7" xfId="19030"/>
    <cellStyle name="Плохой 3 2 8" xfId="19031"/>
    <cellStyle name="Плохой 3 3" xfId="4586"/>
    <cellStyle name="Плохой 3 3 2" xfId="19032"/>
    <cellStyle name="Плохой 3 3 3" xfId="19033"/>
    <cellStyle name="Плохой 3 3 4" xfId="19034"/>
    <cellStyle name="Плохой 3 3 5" xfId="19035"/>
    <cellStyle name="Плохой 3 3 6" xfId="19036"/>
    <cellStyle name="Плохой 3 4" xfId="4587"/>
    <cellStyle name="Плохой 3 4 2" xfId="19037"/>
    <cellStyle name="Плохой 3 4 3" xfId="19038"/>
    <cellStyle name="Плохой 3 4 4" xfId="19039"/>
    <cellStyle name="Плохой 3 4 5" xfId="19040"/>
    <cellStyle name="Плохой 3 5" xfId="19041"/>
    <cellStyle name="Плохой 3 6" xfId="19042"/>
    <cellStyle name="Плохой 3 7" xfId="19043"/>
    <cellStyle name="Плохой 3 8" xfId="19044"/>
    <cellStyle name="Плохой 4" xfId="4588"/>
    <cellStyle name="Плохой 4 2" xfId="4589"/>
    <cellStyle name="Плохой 4 2 2" xfId="4590"/>
    <cellStyle name="Плохой 4 2 2 2" xfId="19045"/>
    <cellStyle name="Плохой 4 2 2 3" xfId="19046"/>
    <cellStyle name="Плохой 4 2 2 4" xfId="19047"/>
    <cellStyle name="Плохой 4 2 2 5" xfId="19048"/>
    <cellStyle name="Плохой 4 2 2 6" xfId="19049"/>
    <cellStyle name="Плохой 4 2 3" xfId="4591"/>
    <cellStyle name="Плохой 4 2 3 2" xfId="19050"/>
    <cellStyle name="Плохой 4 2 3 3" xfId="19051"/>
    <cellStyle name="Плохой 4 2 3 4" xfId="19052"/>
    <cellStyle name="Плохой 4 2 3 5" xfId="19053"/>
    <cellStyle name="Плохой 4 2 3 6" xfId="19054"/>
    <cellStyle name="Плохой 4 2 4" xfId="19055"/>
    <cellStyle name="Плохой 4 2 5" xfId="19056"/>
    <cellStyle name="Плохой 4 2 6" xfId="19057"/>
    <cellStyle name="Плохой 4 2 7" xfId="19058"/>
    <cellStyle name="Плохой 4 2 8" xfId="19059"/>
    <cellStyle name="Плохой 4 3" xfId="4592"/>
    <cellStyle name="Плохой 4 3 2" xfId="19060"/>
    <cellStyle name="Плохой 4 3 3" xfId="19061"/>
    <cellStyle name="Плохой 4 3 4" xfId="19062"/>
    <cellStyle name="Плохой 4 3 5" xfId="19063"/>
    <cellStyle name="Плохой 4 3 6" xfId="19064"/>
    <cellStyle name="Плохой 4 4" xfId="4593"/>
    <cellStyle name="Плохой 4 4 2" xfId="19065"/>
    <cellStyle name="Плохой 4 4 3" xfId="19066"/>
    <cellStyle name="Плохой 4 4 4" xfId="19067"/>
    <cellStyle name="Плохой 4 4 5" xfId="19068"/>
    <cellStyle name="Плохой 4 5" xfId="19069"/>
    <cellStyle name="Плохой 4 6" xfId="19070"/>
    <cellStyle name="Плохой 4 7" xfId="19071"/>
    <cellStyle name="Плохой 4 8" xfId="19072"/>
    <cellStyle name="Плохой 5" xfId="4594"/>
    <cellStyle name="Плохой 5 2" xfId="4595"/>
    <cellStyle name="Плохой 5 2 2" xfId="4596"/>
    <cellStyle name="Плохой 5 2 2 2" xfId="19073"/>
    <cellStyle name="Плохой 5 2 2 3" xfId="19074"/>
    <cellStyle name="Плохой 5 2 2 4" xfId="19075"/>
    <cellStyle name="Плохой 5 2 2 5" xfId="19076"/>
    <cellStyle name="Плохой 5 2 2 6" xfId="19077"/>
    <cellStyle name="Плохой 5 2 3" xfId="4597"/>
    <cellStyle name="Плохой 5 2 3 2" xfId="19078"/>
    <cellStyle name="Плохой 5 2 3 3" xfId="19079"/>
    <cellStyle name="Плохой 5 2 3 4" xfId="19080"/>
    <cellStyle name="Плохой 5 2 3 5" xfId="19081"/>
    <cellStyle name="Плохой 5 2 3 6" xfId="19082"/>
    <cellStyle name="Плохой 5 2 4" xfId="19083"/>
    <cellStyle name="Плохой 5 2 5" xfId="19084"/>
    <cellStyle name="Плохой 5 2 6" xfId="19085"/>
    <cellStyle name="Плохой 5 2 7" xfId="19086"/>
    <cellStyle name="Плохой 5 2 8" xfId="19087"/>
    <cellStyle name="Плохой 5 3" xfId="4598"/>
    <cellStyle name="Плохой 5 3 2" xfId="19088"/>
    <cellStyle name="Плохой 5 3 3" xfId="19089"/>
    <cellStyle name="Плохой 5 3 4" xfId="19090"/>
    <cellStyle name="Плохой 5 3 5" xfId="19091"/>
    <cellStyle name="Плохой 5 3 6" xfId="19092"/>
    <cellStyle name="Плохой 5 4" xfId="4599"/>
    <cellStyle name="Плохой 5 4 2" xfId="19093"/>
    <cellStyle name="Плохой 5 4 3" xfId="19094"/>
    <cellStyle name="Плохой 5 4 4" xfId="19095"/>
    <cellStyle name="Плохой 5 4 5" xfId="19096"/>
    <cellStyle name="Плохой 5 5" xfId="19097"/>
    <cellStyle name="Плохой 5 6" xfId="19098"/>
    <cellStyle name="Плохой 5 7" xfId="19099"/>
    <cellStyle name="Плохой 5 8" xfId="19100"/>
    <cellStyle name="Плохой 6" xfId="4600"/>
    <cellStyle name="Плохой 6 2" xfId="4601"/>
    <cellStyle name="Плохой 6 2 2" xfId="4602"/>
    <cellStyle name="Плохой 6 2 2 2" xfId="19101"/>
    <cellStyle name="Плохой 6 2 2 3" xfId="19102"/>
    <cellStyle name="Плохой 6 2 2 4" xfId="19103"/>
    <cellStyle name="Плохой 6 2 2 5" xfId="19104"/>
    <cellStyle name="Плохой 6 2 2 6" xfId="19105"/>
    <cellStyle name="Плохой 6 2 3" xfId="4603"/>
    <cellStyle name="Плохой 6 2 3 2" xfId="19106"/>
    <cellStyle name="Плохой 6 2 3 3" xfId="19107"/>
    <cellStyle name="Плохой 6 2 3 4" xfId="19108"/>
    <cellStyle name="Плохой 6 2 3 5" xfId="19109"/>
    <cellStyle name="Плохой 6 2 3 6" xfId="19110"/>
    <cellStyle name="Плохой 6 2 4" xfId="19111"/>
    <cellStyle name="Плохой 6 2 5" xfId="19112"/>
    <cellStyle name="Плохой 6 2 6" xfId="19113"/>
    <cellStyle name="Плохой 6 2 7" xfId="19114"/>
    <cellStyle name="Плохой 6 2 8" xfId="19115"/>
    <cellStyle name="Плохой 6 3" xfId="4604"/>
    <cellStyle name="Плохой 6 3 2" xfId="19116"/>
    <cellStyle name="Плохой 6 3 3" xfId="19117"/>
    <cellStyle name="Плохой 6 3 4" xfId="19118"/>
    <cellStyle name="Плохой 6 3 5" xfId="19119"/>
    <cellStyle name="Плохой 6 3 6" xfId="19120"/>
    <cellStyle name="Плохой 6 4" xfId="4605"/>
    <cellStyle name="Плохой 6 4 2" xfId="19121"/>
    <cellStyle name="Плохой 6 4 3" xfId="19122"/>
    <cellStyle name="Плохой 6 4 4" xfId="19123"/>
    <cellStyle name="Плохой 6 4 5" xfId="19124"/>
    <cellStyle name="Плохой 6 5" xfId="19125"/>
    <cellStyle name="Плохой 6 6" xfId="19126"/>
    <cellStyle name="Плохой 6 7" xfId="19127"/>
    <cellStyle name="Плохой 6 8" xfId="19128"/>
    <cellStyle name="Пояснение 2" xfId="4606"/>
    <cellStyle name="Пояснение 2 2" xfId="4607"/>
    <cellStyle name="Пояснение 2 2 2" xfId="4608"/>
    <cellStyle name="Пояснение 2 2 2 2" xfId="4609"/>
    <cellStyle name="Пояснение 2 2 2 3" xfId="4610"/>
    <cellStyle name="Пояснение 2 2 3" xfId="4611"/>
    <cellStyle name="Пояснение 2 2 4" xfId="4612"/>
    <cellStyle name="Пояснение 2 2 4 2" xfId="19129"/>
    <cellStyle name="Пояснение 2 2 4 3" xfId="19130"/>
    <cellStyle name="Пояснение 2 2 4 4" xfId="19131"/>
    <cellStyle name="Пояснение 2 2 4 5" xfId="19132"/>
    <cellStyle name="Пояснение 2 2 5" xfId="19133"/>
    <cellStyle name="Пояснение 2 2 6" xfId="19134"/>
    <cellStyle name="Пояснение 2 2 7" xfId="19135"/>
    <cellStyle name="Пояснение 2 2 8" xfId="19136"/>
    <cellStyle name="Пояснение 2 3" xfId="4613"/>
    <cellStyle name="Пояснение 2 3 2" xfId="4614"/>
    <cellStyle name="Пояснение 2 3 2 2" xfId="19137"/>
    <cellStyle name="Пояснение 2 3 2 3" xfId="19138"/>
    <cellStyle name="Пояснение 2 3 2 4" xfId="19139"/>
    <cellStyle name="Пояснение 2 3 2 5" xfId="19140"/>
    <cellStyle name="Пояснение 2 3 2 6" xfId="19141"/>
    <cellStyle name="Пояснение 2 3 3" xfId="4615"/>
    <cellStyle name="Пояснение 2 3 3 2" xfId="19142"/>
    <cellStyle name="Пояснение 2 3 3 3" xfId="19143"/>
    <cellStyle name="Пояснение 2 3 3 4" xfId="19144"/>
    <cellStyle name="Пояснение 2 3 3 5" xfId="19145"/>
    <cellStyle name="Пояснение 2 3 3 6" xfId="19146"/>
    <cellStyle name="Пояснение 2 3 4" xfId="19147"/>
    <cellStyle name="Пояснение 2 3 5" xfId="19148"/>
    <cellStyle name="Пояснение 2 3 6" xfId="19149"/>
    <cellStyle name="Пояснение 2 3 7" xfId="19150"/>
    <cellStyle name="Пояснение 2 3 8" xfId="19151"/>
    <cellStyle name="Пояснение 2 4" xfId="4616"/>
    <cellStyle name="Пояснение 2 4 2" xfId="19152"/>
    <cellStyle name="Пояснение 2 4 3" xfId="19153"/>
    <cellStyle name="Пояснение 2 4 4" xfId="19154"/>
    <cellStyle name="Пояснение 2 4 5" xfId="19155"/>
    <cellStyle name="Пояснение 2 4 6" xfId="19156"/>
    <cellStyle name="Пояснение 2 5" xfId="4617"/>
    <cellStyle name="Пояснение 2 5 2" xfId="19157"/>
    <cellStyle name="Пояснение 2 5 3" xfId="19158"/>
    <cellStyle name="Пояснение 2 5 4" xfId="19159"/>
    <cellStyle name="Пояснение 2 5 5" xfId="19160"/>
    <cellStyle name="Пояснение 2 6" xfId="19161"/>
    <cellStyle name="Пояснение 2 7" xfId="19162"/>
    <cellStyle name="Пояснение 2 8" xfId="19163"/>
    <cellStyle name="Пояснение 2 9" xfId="19164"/>
    <cellStyle name="Пояснение 3" xfId="4618"/>
    <cellStyle name="Пояснение 3 2" xfId="4619"/>
    <cellStyle name="Пояснение 3 2 2" xfId="4620"/>
    <cellStyle name="Пояснение 3 2 2 2" xfId="19165"/>
    <cellStyle name="Пояснение 3 2 2 3" xfId="19166"/>
    <cellStyle name="Пояснение 3 2 2 4" xfId="19167"/>
    <cellStyle name="Пояснение 3 2 2 5" xfId="19168"/>
    <cellStyle name="Пояснение 3 2 2 6" xfId="19169"/>
    <cellStyle name="Пояснение 3 2 3" xfId="4621"/>
    <cellStyle name="Пояснение 3 2 3 2" xfId="19170"/>
    <cellStyle name="Пояснение 3 2 3 3" xfId="19171"/>
    <cellStyle name="Пояснение 3 2 3 4" xfId="19172"/>
    <cellStyle name="Пояснение 3 2 3 5" xfId="19173"/>
    <cellStyle name="Пояснение 3 2 3 6" xfId="19174"/>
    <cellStyle name="Пояснение 3 2 4" xfId="19175"/>
    <cellStyle name="Пояснение 3 2 5" xfId="19176"/>
    <cellStyle name="Пояснение 3 2 6" xfId="19177"/>
    <cellStyle name="Пояснение 3 2 7" xfId="19178"/>
    <cellStyle name="Пояснение 3 2 8" xfId="19179"/>
    <cellStyle name="Пояснение 3 3" xfId="4622"/>
    <cellStyle name="Пояснение 3 3 2" xfId="19180"/>
    <cellStyle name="Пояснение 3 3 3" xfId="19181"/>
    <cellStyle name="Пояснение 3 3 4" xfId="19182"/>
    <cellStyle name="Пояснение 3 3 5" xfId="19183"/>
    <cellStyle name="Пояснение 3 3 6" xfId="19184"/>
    <cellStyle name="Пояснение 3 4" xfId="4623"/>
    <cellStyle name="Пояснение 3 4 2" xfId="19185"/>
    <cellStyle name="Пояснение 3 4 3" xfId="19186"/>
    <cellStyle name="Пояснение 3 4 4" xfId="19187"/>
    <cellStyle name="Пояснение 3 4 5" xfId="19188"/>
    <cellStyle name="Пояснение 3 5" xfId="19189"/>
    <cellStyle name="Пояснение 3 6" xfId="19190"/>
    <cellStyle name="Пояснение 3 7" xfId="19191"/>
    <cellStyle name="Пояснение 3 8" xfId="19192"/>
    <cellStyle name="Пояснение 4" xfId="4624"/>
    <cellStyle name="Пояснение 4 2" xfId="4625"/>
    <cellStyle name="Пояснение 4 2 2" xfId="4626"/>
    <cellStyle name="Пояснение 4 2 2 2" xfId="19193"/>
    <cellStyle name="Пояснение 4 2 2 3" xfId="19194"/>
    <cellStyle name="Пояснение 4 2 2 4" xfId="19195"/>
    <cellStyle name="Пояснение 4 2 2 5" xfId="19196"/>
    <cellStyle name="Пояснение 4 2 2 6" xfId="19197"/>
    <cellStyle name="Пояснение 4 2 3" xfId="4627"/>
    <cellStyle name="Пояснение 4 2 3 2" xfId="19198"/>
    <cellStyle name="Пояснение 4 2 3 3" xfId="19199"/>
    <cellStyle name="Пояснение 4 2 3 4" xfId="19200"/>
    <cellStyle name="Пояснение 4 2 3 5" xfId="19201"/>
    <cellStyle name="Пояснение 4 2 3 6" xfId="19202"/>
    <cellStyle name="Пояснение 4 2 4" xfId="19203"/>
    <cellStyle name="Пояснение 4 2 5" xfId="19204"/>
    <cellStyle name="Пояснение 4 2 6" xfId="19205"/>
    <cellStyle name="Пояснение 4 2 7" xfId="19206"/>
    <cellStyle name="Пояснение 4 2 8" xfId="19207"/>
    <cellStyle name="Пояснение 4 3" xfId="4628"/>
    <cellStyle name="Пояснение 4 3 2" xfId="19208"/>
    <cellStyle name="Пояснение 4 3 3" xfId="19209"/>
    <cellStyle name="Пояснение 4 3 4" xfId="19210"/>
    <cellStyle name="Пояснение 4 3 5" xfId="19211"/>
    <cellStyle name="Пояснение 4 3 6" xfId="19212"/>
    <cellStyle name="Пояснение 4 4" xfId="4629"/>
    <cellStyle name="Пояснение 4 4 2" xfId="19213"/>
    <cellStyle name="Пояснение 4 4 3" xfId="19214"/>
    <cellStyle name="Пояснение 4 4 4" xfId="19215"/>
    <cellStyle name="Пояснение 4 4 5" xfId="19216"/>
    <cellStyle name="Пояснение 4 5" xfId="19217"/>
    <cellStyle name="Пояснение 4 6" xfId="19218"/>
    <cellStyle name="Пояснение 4 7" xfId="19219"/>
    <cellStyle name="Пояснение 4 8" xfId="19220"/>
    <cellStyle name="Пояснение 5" xfId="4630"/>
    <cellStyle name="Пояснение 5 2" xfId="4631"/>
    <cellStyle name="Пояснение 5 2 2" xfId="4632"/>
    <cellStyle name="Пояснение 5 2 2 2" xfId="19221"/>
    <cellStyle name="Пояснение 5 2 2 3" xfId="19222"/>
    <cellStyle name="Пояснение 5 2 2 4" xfId="19223"/>
    <cellStyle name="Пояснение 5 2 2 5" xfId="19224"/>
    <cellStyle name="Пояснение 5 2 2 6" xfId="19225"/>
    <cellStyle name="Пояснение 5 2 3" xfId="4633"/>
    <cellStyle name="Пояснение 5 2 3 2" xfId="19226"/>
    <cellStyle name="Пояснение 5 2 3 3" xfId="19227"/>
    <cellStyle name="Пояснение 5 2 3 4" xfId="19228"/>
    <cellStyle name="Пояснение 5 2 3 5" xfId="19229"/>
    <cellStyle name="Пояснение 5 2 3 6" xfId="19230"/>
    <cellStyle name="Пояснение 5 2 4" xfId="19231"/>
    <cellStyle name="Пояснение 5 2 5" xfId="19232"/>
    <cellStyle name="Пояснение 5 2 6" xfId="19233"/>
    <cellStyle name="Пояснение 5 2 7" xfId="19234"/>
    <cellStyle name="Пояснение 5 2 8" xfId="19235"/>
    <cellStyle name="Пояснение 5 3" xfId="4634"/>
    <cellStyle name="Пояснение 5 3 2" xfId="19236"/>
    <cellStyle name="Пояснение 5 3 3" xfId="19237"/>
    <cellStyle name="Пояснение 5 3 4" xfId="19238"/>
    <cellStyle name="Пояснение 5 3 5" xfId="19239"/>
    <cellStyle name="Пояснение 5 3 6" xfId="19240"/>
    <cellStyle name="Пояснение 5 4" xfId="4635"/>
    <cellStyle name="Пояснение 5 4 2" xfId="19241"/>
    <cellStyle name="Пояснение 5 4 3" xfId="19242"/>
    <cellStyle name="Пояснение 5 4 4" xfId="19243"/>
    <cellStyle name="Пояснение 5 4 5" xfId="19244"/>
    <cellStyle name="Пояснение 5 5" xfId="19245"/>
    <cellStyle name="Пояснение 5 6" xfId="19246"/>
    <cellStyle name="Пояснение 5 7" xfId="19247"/>
    <cellStyle name="Пояснение 5 8" xfId="19248"/>
    <cellStyle name="Пояснение 6" xfId="4636"/>
    <cellStyle name="Пояснение 6 2" xfId="4637"/>
    <cellStyle name="Пояснение 6 2 2" xfId="4638"/>
    <cellStyle name="Пояснение 6 2 2 2" xfId="19249"/>
    <cellStyle name="Пояснение 6 2 2 3" xfId="19250"/>
    <cellStyle name="Пояснение 6 2 2 4" xfId="19251"/>
    <cellStyle name="Пояснение 6 2 2 5" xfId="19252"/>
    <cellStyle name="Пояснение 6 2 2 6" xfId="19253"/>
    <cellStyle name="Пояснение 6 2 3" xfId="4639"/>
    <cellStyle name="Пояснение 6 2 3 2" xfId="19254"/>
    <cellStyle name="Пояснение 6 2 3 3" xfId="19255"/>
    <cellStyle name="Пояснение 6 2 3 4" xfId="19256"/>
    <cellStyle name="Пояснение 6 2 3 5" xfId="19257"/>
    <cellStyle name="Пояснение 6 2 3 6" xfId="19258"/>
    <cellStyle name="Пояснение 6 2 4" xfId="19259"/>
    <cellStyle name="Пояснение 6 2 5" xfId="19260"/>
    <cellStyle name="Пояснение 6 2 6" xfId="19261"/>
    <cellStyle name="Пояснение 6 2 7" xfId="19262"/>
    <cellStyle name="Пояснение 6 2 8" xfId="19263"/>
    <cellStyle name="Пояснение 6 3" xfId="4640"/>
    <cellStyle name="Пояснение 6 3 2" xfId="19264"/>
    <cellStyle name="Пояснение 6 3 3" xfId="19265"/>
    <cellStyle name="Пояснение 6 3 4" xfId="19266"/>
    <cellStyle name="Пояснение 6 3 5" xfId="19267"/>
    <cellStyle name="Пояснение 6 3 6" xfId="19268"/>
    <cellStyle name="Пояснение 6 4" xfId="4641"/>
    <cellStyle name="Пояснение 6 4 2" xfId="19269"/>
    <cellStyle name="Пояснение 6 4 3" xfId="19270"/>
    <cellStyle name="Пояснение 6 4 4" xfId="19271"/>
    <cellStyle name="Пояснение 6 4 5" xfId="19272"/>
    <cellStyle name="Пояснение 6 5" xfId="19273"/>
    <cellStyle name="Пояснение 6 6" xfId="19274"/>
    <cellStyle name="Пояснение 6 7" xfId="19275"/>
    <cellStyle name="Пояснение 6 8" xfId="19276"/>
    <cellStyle name="Примечание 2" xfId="4642"/>
    <cellStyle name="Примечание 2 10" xfId="19277"/>
    <cellStyle name="Примечание 2 11" xfId="19278"/>
    <cellStyle name="Примечание 2 12" xfId="19279"/>
    <cellStyle name="Примечание 2 13" xfId="19280"/>
    <cellStyle name="Примечание 2 14" xfId="19281"/>
    <cellStyle name="Примечание 2 15" xfId="19282"/>
    <cellStyle name="Примечание 2 16" xfId="19283"/>
    <cellStyle name="Примечание 2 2" xfId="4643"/>
    <cellStyle name="Примечание 2 2 10" xfId="19284"/>
    <cellStyle name="Примечание 2 2 11" xfId="19285"/>
    <cellStyle name="Примечание 2 2 12" xfId="19286"/>
    <cellStyle name="Примечание 2 2 13" xfId="19287"/>
    <cellStyle name="Примечание 2 2 14" xfId="19288"/>
    <cellStyle name="Примечание 2 2 2" xfId="4644"/>
    <cellStyle name="Примечание 2 2 2 10" xfId="19289"/>
    <cellStyle name="Примечание 2 2 2 11" xfId="19290"/>
    <cellStyle name="Примечание 2 2 2 12" xfId="19291"/>
    <cellStyle name="Примечание 2 2 2 2" xfId="4645"/>
    <cellStyle name="Примечание 2 2 2 2 2" xfId="19292"/>
    <cellStyle name="Примечание 2 2 2 2 3" xfId="19293"/>
    <cellStyle name="Примечание 2 2 2 2 4" xfId="19294"/>
    <cellStyle name="Примечание 2 2 2 2 5" xfId="19295"/>
    <cellStyle name="Примечание 2 2 2 3" xfId="4646"/>
    <cellStyle name="Примечание 2 2 2 3 2" xfId="19296"/>
    <cellStyle name="Примечание 2 2 2 3 3" xfId="19297"/>
    <cellStyle name="Примечание 2 2 2 3 4" xfId="19298"/>
    <cellStyle name="Примечание 2 2 2 3 5" xfId="19299"/>
    <cellStyle name="Примечание 2 2 2 4" xfId="4647"/>
    <cellStyle name="Примечание 2 2 2 4 2" xfId="19300"/>
    <cellStyle name="Примечание 2 2 2 4 3" xfId="19301"/>
    <cellStyle name="Примечание 2 2 2 4 4" xfId="19302"/>
    <cellStyle name="Примечание 2 2 2 4 5" xfId="19303"/>
    <cellStyle name="Примечание 2 2 2 5" xfId="19304"/>
    <cellStyle name="Примечание 2 2 2 5 2" xfId="19305"/>
    <cellStyle name="Примечание 2 2 2 5 3" xfId="19306"/>
    <cellStyle name="Примечание 2 2 2 5 4" xfId="19307"/>
    <cellStyle name="Примечание 2 2 2 6" xfId="19308"/>
    <cellStyle name="Примечание 2 2 2 7" xfId="19309"/>
    <cellStyle name="Примечание 2 2 2 8" xfId="19310"/>
    <cellStyle name="Примечание 2 2 2 9" xfId="19311"/>
    <cellStyle name="Примечание 2 2 3" xfId="4648"/>
    <cellStyle name="Примечание 2 2 3 10" xfId="19312"/>
    <cellStyle name="Примечание 2 2 3 11" xfId="19313"/>
    <cellStyle name="Примечание 2 2 3 2" xfId="4649"/>
    <cellStyle name="Примечание 2 2 3 2 2" xfId="19314"/>
    <cellStyle name="Примечание 2 2 3 2 3" xfId="19315"/>
    <cellStyle name="Примечание 2 2 3 2 4" xfId="19316"/>
    <cellStyle name="Примечание 2 2 3 2 5" xfId="19317"/>
    <cellStyle name="Примечание 2 2 3 3" xfId="4650"/>
    <cellStyle name="Примечание 2 2 3 3 2" xfId="19318"/>
    <cellStyle name="Примечание 2 2 3 3 3" xfId="19319"/>
    <cellStyle name="Примечание 2 2 3 3 4" xfId="19320"/>
    <cellStyle name="Примечание 2 2 3 3 5" xfId="19321"/>
    <cellStyle name="Примечание 2 2 3 4" xfId="19322"/>
    <cellStyle name="Примечание 2 2 3 4 2" xfId="19323"/>
    <cellStyle name="Примечание 2 2 3 4 3" xfId="19324"/>
    <cellStyle name="Примечание 2 2 3 4 4" xfId="19325"/>
    <cellStyle name="Примечание 2 2 3 5" xfId="19326"/>
    <cellStyle name="Примечание 2 2 3 6" xfId="19327"/>
    <cellStyle name="Примечание 2 2 3 7" xfId="19328"/>
    <cellStyle name="Примечание 2 2 3 8" xfId="19329"/>
    <cellStyle name="Примечание 2 2 3 9" xfId="19330"/>
    <cellStyle name="Примечание 2 2 4" xfId="4651"/>
    <cellStyle name="Примечание 2 2 4 2" xfId="19331"/>
    <cellStyle name="Примечание 2 2 4 3" xfId="19332"/>
    <cellStyle name="Примечание 2 2 4 4" xfId="19333"/>
    <cellStyle name="Примечание 2 2 4 5" xfId="19334"/>
    <cellStyle name="Примечание 2 2 4 6" xfId="19335"/>
    <cellStyle name="Примечание 2 2 4 7" xfId="19336"/>
    <cellStyle name="Примечание 2 2 4 8" xfId="19337"/>
    <cellStyle name="Примечание 2 2 5" xfId="4652"/>
    <cellStyle name="Примечание 2 2 5 2" xfId="19338"/>
    <cellStyle name="Примечание 2 2 5 3" xfId="19339"/>
    <cellStyle name="Примечание 2 2 5 4" xfId="19340"/>
    <cellStyle name="Примечание 2 2 5 5" xfId="19341"/>
    <cellStyle name="Примечание 2 2 5 6" xfId="19342"/>
    <cellStyle name="Примечание 2 2 5 7" xfId="19343"/>
    <cellStyle name="Примечание 2 2 5 8" xfId="19344"/>
    <cellStyle name="Примечание 2 2 6" xfId="4653"/>
    <cellStyle name="Примечание 2 2 6 2" xfId="19345"/>
    <cellStyle name="Примечание 2 2 6 3" xfId="19346"/>
    <cellStyle name="Примечание 2 2 6 4" xfId="19347"/>
    <cellStyle name="Примечание 2 2 6 5" xfId="19348"/>
    <cellStyle name="Примечание 2 2 6 6" xfId="19349"/>
    <cellStyle name="Примечание 2 2 6 7" xfId="19350"/>
    <cellStyle name="Примечание 2 2 6 8" xfId="19351"/>
    <cellStyle name="Примечание 2 2 7" xfId="19352"/>
    <cellStyle name="Примечание 2 2 7 2" xfId="19353"/>
    <cellStyle name="Примечание 2 2 7 3" xfId="19354"/>
    <cellStyle name="Примечание 2 2 7 4" xfId="19355"/>
    <cellStyle name="Примечание 2 2 8" xfId="19356"/>
    <cellStyle name="Примечание 2 2 9" xfId="19357"/>
    <cellStyle name="Примечание 2 3" xfId="4654"/>
    <cellStyle name="Примечание 2 3 10" xfId="19358"/>
    <cellStyle name="Примечание 2 3 11" xfId="19359"/>
    <cellStyle name="Примечание 2 3 12" xfId="19360"/>
    <cellStyle name="Примечание 2 3 13" xfId="19361"/>
    <cellStyle name="Примечание 2 3 14" xfId="19362"/>
    <cellStyle name="Примечание 2 3 2" xfId="4655"/>
    <cellStyle name="Примечание 2 3 2 10" xfId="19363"/>
    <cellStyle name="Примечание 2 3 2 11" xfId="19364"/>
    <cellStyle name="Примечание 2 3 2 12" xfId="19365"/>
    <cellStyle name="Примечание 2 3 2 2" xfId="4656"/>
    <cellStyle name="Примечание 2 3 2 2 2" xfId="19366"/>
    <cellStyle name="Примечание 2 3 2 2 3" xfId="19367"/>
    <cellStyle name="Примечание 2 3 2 2 4" xfId="19368"/>
    <cellStyle name="Примечание 2 3 2 2 5" xfId="19369"/>
    <cellStyle name="Примечание 2 3 2 3" xfId="4657"/>
    <cellStyle name="Примечание 2 3 2 3 2" xfId="19370"/>
    <cellStyle name="Примечание 2 3 2 3 3" xfId="19371"/>
    <cellStyle name="Примечание 2 3 2 3 4" xfId="19372"/>
    <cellStyle name="Примечание 2 3 2 3 5" xfId="19373"/>
    <cellStyle name="Примечание 2 3 2 4" xfId="4658"/>
    <cellStyle name="Примечание 2 3 2 4 2" xfId="19374"/>
    <cellStyle name="Примечание 2 3 2 4 3" xfId="19375"/>
    <cellStyle name="Примечание 2 3 2 4 4" xfId="19376"/>
    <cellStyle name="Примечание 2 3 2 4 5" xfId="19377"/>
    <cellStyle name="Примечание 2 3 2 5" xfId="19378"/>
    <cellStyle name="Примечание 2 3 2 5 2" xfId="19379"/>
    <cellStyle name="Примечание 2 3 2 5 3" xfId="19380"/>
    <cellStyle name="Примечание 2 3 2 5 4" xfId="19381"/>
    <cellStyle name="Примечание 2 3 2 6" xfId="19382"/>
    <cellStyle name="Примечание 2 3 2 7" xfId="19383"/>
    <cellStyle name="Примечание 2 3 2 8" xfId="19384"/>
    <cellStyle name="Примечание 2 3 2 9" xfId="19385"/>
    <cellStyle name="Примечание 2 3 3" xfId="4659"/>
    <cellStyle name="Примечание 2 3 3 10" xfId="19386"/>
    <cellStyle name="Примечание 2 3 3 11" xfId="19387"/>
    <cellStyle name="Примечание 2 3 3 2" xfId="4660"/>
    <cellStyle name="Примечание 2 3 3 2 2" xfId="19388"/>
    <cellStyle name="Примечание 2 3 3 2 3" xfId="19389"/>
    <cellStyle name="Примечание 2 3 3 2 4" xfId="19390"/>
    <cellStyle name="Примечание 2 3 3 2 5" xfId="19391"/>
    <cellStyle name="Примечание 2 3 3 3" xfId="4661"/>
    <cellStyle name="Примечание 2 3 3 3 2" xfId="19392"/>
    <cellStyle name="Примечание 2 3 3 3 3" xfId="19393"/>
    <cellStyle name="Примечание 2 3 3 3 4" xfId="19394"/>
    <cellStyle name="Примечание 2 3 3 3 5" xfId="19395"/>
    <cellStyle name="Примечание 2 3 3 4" xfId="19396"/>
    <cellStyle name="Примечание 2 3 3 4 2" xfId="19397"/>
    <cellStyle name="Примечание 2 3 3 4 3" xfId="19398"/>
    <cellStyle name="Примечание 2 3 3 4 4" xfId="19399"/>
    <cellStyle name="Примечание 2 3 3 5" xfId="19400"/>
    <cellStyle name="Примечание 2 3 3 6" xfId="19401"/>
    <cellStyle name="Примечание 2 3 3 7" xfId="19402"/>
    <cellStyle name="Примечание 2 3 3 8" xfId="19403"/>
    <cellStyle name="Примечание 2 3 3 9" xfId="19404"/>
    <cellStyle name="Примечание 2 3 4" xfId="4662"/>
    <cellStyle name="Примечание 2 3 4 2" xfId="19405"/>
    <cellStyle name="Примечание 2 3 4 3" xfId="19406"/>
    <cellStyle name="Примечание 2 3 4 4" xfId="19407"/>
    <cellStyle name="Примечание 2 3 4 5" xfId="19408"/>
    <cellStyle name="Примечание 2 3 4 6" xfId="19409"/>
    <cellStyle name="Примечание 2 3 4 7" xfId="19410"/>
    <cellStyle name="Примечание 2 3 4 8" xfId="19411"/>
    <cellStyle name="Примечание 2 3 5" xfId="4663"/>
    <cellStyle name="Примечание 2 3 5 2" xfId="19412"/>
    <cellStyle name="Примечание 2 3 5 3" xfId="19413"/>
    <cellStyle name="Примечание 2 3 5 4" xfId="19414"/>
    <cellStyle name="Примечание 2 3 5 5" xfId="19415"/>
    <cellStyle name="Примечание 2 3 5 6" xfId="19416"/>
    <cellStyle name="Примечание 2 3 5 7" xfId="19417"/>
    <cellStyle name="Примечание 2 3 5 8" xfId="19418"/>
    <cellStyle name="Примечание 2 3 6" xfId="4664"/>
    <cellStyle name="Примечание 2 3 6 2" xfId="19419"/>
    <cellStyle name="Примечание 2 3 6 3" xfId="19420"/>
    <cellStyle name="Примечание 2 3 6 4" xfId="19421"/>
    <cellStyle name="Примечание 2 3 6 5" xfId="19422"/>
    <cellStyle name="Примечание 2 3 6 6" xfId="19423"/>
    <cellStyle name="Примечание 2 3 6 7" xfId="19424"/>
    <cellStyle name="Примечание 2 3 6 8" xfId="19425"/>
    <cellStyle name="Примечание 2 3 7" xfId="19426"/>
    <cellStyle name="Примечание 2 3 7 2" xfId="19427"/>
    <cellStyle name="Примечание 2 3 7 3" xfId="19428"/>
    <cellStyle name="Примечание 2 3 7 4" xfId="19429"/>
    <cellStyle name="Примечание 2 3 8" xfId="19430"/>
    <cellStyle name="Примечание 2 3 9" xfId="19431"/>
    <cellStyle name="Примечание 2 4" xfId="4665"/>
    <cellStyle name="Примечание 2 4 10" xfId="19432"/>
    <cellStyle name="Примечание 2 4 11" xfId="19433"/>
    <cellStyle name="Примечание 2 4 12" xfId="19434"/>
    <cellStyle name="Примечание 2 4 2" xfId="4666"/>
    <cellStyle name="Примечание 2 4 2 2" xfId="19435"/>
    <cellStyle name="Примечание 2 4 2 3" xfId="19436"/>
    <cellStyle name="Примечание 2 4 2 4" xfId="19437"/>
    <cellStyle name="Примечание 2 4 2 5" xfId="19438"/>
    <cellStyle name="Примечание 2 4 3" xfId="4667"/>
    <cellStyle name="Примечание 2 4 3 2" xfId="19439"/>
    <cellStyle name="Примечание 2 4 3 3" xfId="19440"/>
    <cellStyle name="Примечание 2 4 3 4" xfId="19441"/>
    <cellStyle name="Примечание 2 4 3 5" xfId="19442"/>
    <cellStyle name="Примечание 2 4 4" xfId="4668"/>
    <cellStyle name="Примечание 2 4 4 2" xfId="19443"/>
    <cellStyle name="Примечание 2 4 4 3" xfId="19444"/>
    <cellStyle name="Примечание 2 4 4 4" xfId="19445"/>
    <cellStyle name="Примечание 2 4 4 5" xfId="19446"/>
    <cellStyle name="Примечание 2 4 5" xfId="19447"/>
    <cellStyle name="Примечание 2 4 5 2" xfId="19448"/>
    <cellStyle name="Примечание 2 4 5 3" xfId="19449"/>
    <cellStyle name="Примечание 2 4 5 4" xfId="19450"/>
    <cellStyle name="Примечание 2 4 6" xfId="19451"/>
    <cellStyle name="Примечание 2 4 7" xfId="19452"/>
    <cellStyle name="Примечание 2 4 8" xfId="19453"/>
    <cellStyle name="Примечание 2 4 9" xfId="19454"/>
    <cellStyle name="Примечание 2 5" xfId="4669"/>
    <cellStyle name="Примечание 2 5 10" xfId="19455"/>
    <cellStyle name="Примечание 2 5 11" xfId="19456"/>
    <cellStyle name="Примечание 2 5 2" xfId="4670"/>
    <cellStyle name="Примечание 2 5 2 2" xfId="19457"/>
    <cellStyle name="Примечание 2 5 2 3" xfId="19458"/>
    <cellStyle name="Примечание 2 5 2 4" xfId="19459"/>
    <cellStyle name="Примечание 2 5 2 5" xfId="19460"/>
    <cellStyle name="Примечание 2 5 3" xfId="4671"/>
    <cellStyle name="Примечание 2 5 3 2" xfId="19461"/>
    <cellStyle name="Примечание 2 5 3 3" xfId="19462"/>
    <cellStyle name="Примечание 2 5 3 4" xfId="19463"/>
    <cellStyle name="Примечание 2 5 3 5" xfId="19464"/>
    <cellStyle name="Примечание 2 5 4" xfId="19465"/>
    <cellStyle name="Примечание 2 5 4 2" xfId="19466"/>
    <cellStyle name="Примечание 2 5 4 3" xfId="19467"/>
    <cellStyle name="Примечание 2 5 4 4" xfId="19468"/>
    <cellStyle name="Примечание 2 5 5" xfId="19469"/>
    <cellStyle name="Примечание 2 5 6" xfId="19470"/>
    <cellStyle name="Примечание 2 5 7" xfId="19471"/>
    <cellStyle name="Примечание 2 5 8" xfId="19472"/>
    <cellStyle name="Примечание 2 5 9" xfId="19473"/>
    <cellStyle name="Примечание 2 6" xfId="4672"/>
    <cellStyle name="Примечание 2 6 2" xfId="19474"/>
    <cellStyle name="Примечание 2 6 3" xfId="19475"/>
    <cellStyle name="Примечание 2 6 4" xfId="19476"/>
    <cellStyle name="Примечание 2 6 5" xfId="19477"/>
    <cellStyle name="Примечание 2 6 6" xfId="19478"/>
    <cellStyle name="Примечание 2 6 7" xfId="19479"/>
    <cellStyle name="Примечание 2 6 8" xfId="19480"/>
    <cellStyle name="Примечание 2 7" xfId="4673"/>
    <cellStyle name="Примечание 2 7 2" xfId="19481"/>
    <cellStyle name="Примечание 2 7 3" xfId="19482"/>
    <cellStyle name="Примечание 2 7 4" xfId="19483"/>
    <cellStyle name="Примечание 2 7 5" xfId="19484"/>
    <cellStyle name="Примечание 2 7 6" xfId="19485"/>
    <cellStyle name="Примечание 2 7 7" xfId="19486"/>
    <cellStyle name="Примечание 2 7 8" xfId="19487"/>
    <cellStyle name="Примечание 2 8" xfId="4674"/>
    <cellStyle name="Примечание 2 8 2" xfId="19488"/>
    <cellStyle name="Примечание 2 8 3" xfId="19489"/>
    <cellStyle name="Примечание 2 8 4" xfId="19490"/>
    <cellStyle name="Примечание 2 8 5" xfId="19491"/>
    <cellStyle name="Примечание 2 8 6" xfId="19492"/>
    <cellStyle name="Примечание 2 8 7" xfId="19493"/>
    <cellStyle name="Примечание 2 8 8" xfId="19494"/>
    <cellStyle name="Примечание 2 9" xfId="19495"/>
    <cellStyle name="Примечание 2 9 2" xfId="19496"/>
    <cellStyle name="Примечание 2 9 3" xfId="19497"/>
    <cellStyle name="Примечание 2 9 4" xfId="19498"/>
    <cellStyle name="Примечание 3" xfId="4675"/>
    <cellStyle name="Примечание 3 10" xfId="19499"/>
    <cellStyle name="Примечание 3 11" xfId="19500"/>
    <cellStyle name="Примечание 3 12" xfId="19501"/>
    <cellStyle name="Примечание 3 13" xfId="19502"/>
    <cellStyle name="Примечание 3 14" xfId="19503"/>
    <cellStyle name="Примечание 3 2" xfId="4676"/>
    <cellStyle name="Примечание 3 2 10" xfId="19504"/>
    <cellStyle name="Примечание 3 2 11" xfId="19505"/>
    <cellStyle name="Примечание 3 2 12" xfId="19506"/>
    <cellStyle name="Примечание 3 2 2" xfId="4677"/>
    <cellStyle name="Примечание 3 2 2 2" xfId="19507"/>
    <cellStyle name="Примечание 3 2 2 3" xfId="19508"/>
    <cellStyle name="Примечание 3 2 2 4" xfId="19509"/>
    <cellStyle name="Примечание 3 2 2 5" xfId="19510"/>
    <cellStyle name="Примечание 3 2 3" xfId="4678"/>
    <cellStyle name="Примечание 3 2 3 2" xfId="19511"/>
    <cellStyle name="Примечание 3 2 3 3" xfId="19512"/>
    <cellStyle name="Примечание 3 2 3 4" xfId="19513"/>
    <cellStyle name="Примечание 3 2 3 5" xfId="19514"/>
    <cellStyle name="Примечание 3 2 4" xfId="4679"/>
    <cellStyle name="Примечание 3 2 4 2" xfId="19515"/>
    <cellStyle name="Примечание 3 2 4 3" xfId="19516"/>
    <cellStyle name="Примечание 3 2 4 4" xfId="19517"/>
    <cellStyle name="Примечание 3 2 4 5" xfId="19518"/>
    <cellStyle name="Примечание 3 2 5" xfId="19519"/>
    <cellStyle name="Примечание 3 2 5 2" xfId="19520"/>
    <cellStyle name="Примечание 3 2 5 3" xfId="19521"/>
    <cellStyle name="Примечание 3 2 5 4" xfId="19522"/>
    <cellStyle name="Примечание 3 2 6" xfId="19523"/>
    <cellStyle name="Примечание 3 2 7" xfId="19524"/>
    <cellStyle name="Примечание 3 2 8" xfId="19525"/>
    <cellStyle name="Примечание 3 2 9" xfId="19526"/>
    <cellStyle name="Примечание 3 3" xfId="4680"/>
    <cellStyle name="Примечание 3 3 10" xfId="19527"/>
    <cellStyle name="Примечание 3 3 11" xfId="19528"/>
    <cellStyle name="Примечание 3 3 2" xfId="4681"/>
    <cellStyle name="Примечание 3 3 2 2" xfId="19529"/>
    <cellStyle name="Примечание 3 3 2 3" xfId="19530"/>
    <cellStyle name="Примечание 3 3 2 4" xfId="19531"/>
    <cellStyle name="Примечание 3 3 2 5" xfId="19532"/>
    <cellStyle name="Примечание 3 3 3" xfId="4682"/>
    <cellStyle name="Примечание 3 3 3 2" xfId="19533"/>
    <cellStyle name="Примечание 3 3 3 3" xfId="19534"/>
    <cellStyle name="Примечание 3 3 3 4" xfId="19535"/>
    <cellStyle name="Примечание 3 3 3 5" xfId="19536"/>
    <cellStyle name="Примечание 3 3 4" xfId="19537"/>
    <cellStyle name="Примечание 3 3 4 2" xfId="19538"/>
    <cellStyle name="Примечание 3 3 4 3" xfId="19539"/>
    <cellStyle name="Примечание 3 3 4 4" xfId="19540"/>
    <cellStyle name="Примечание 3 3 5" xfId="19541"/>
    <cellStyle name="Примечание 3 3 6" xfId="19542"/>
    <cellStyle name="Примечание 3 3 7" xfId="19543"/>
    <cellStyle name="Примечание 3 3 8" xfId="19544"/>
    <cellStyle name="Примечание 3 3 9" xfId="19545"/>
    <cellStyle name="Примечание 3 4" xfId="4683"/>
    <cellStyle name="Примечание 3 4 2" xfId="19546"/>
    <cellStyle name="Примечание 3 4 3" xfId="19547"/>
    <cellStyle name="Примечание 3 4 4" xfId="19548"/>
    <cellStyle name="Примечание 3 4 5" xfId="19549"/>
    <cellStyle name="Примечание 3 4 6" xfId="19550"/>
    <cellStyle name="Примечание 3 4 7" xfId="19551"/>
    <cellStyle name="Примечание 3 4 8" xfId="19552"/>
    <cellStyle name="Примечание 3 5" xfId="4684"/>
    <cellStyle name="Примечание 3 5 2" xfId="19553"/>
    <cellStyle name="Примечание 3 5 3" xfId="19554"/>
    <cellStyle name="Примечание 3 5 4" xfId="19555"/>
    <cellStyle name="Примечание 3 5 5" xfId="19556"/>
    <cellStyle name="Примечание 3 5 6" xfId="19557"/>
    <cellStyle name="Примечание 3 5 7" xfId="19558"/>
    <cellStyle name="Примечание 3 5 8" xfId="19559"/>
    <cellStyle name="Примечание 3 6" xfId="4685"/>
    <cellStyle name="Примечание 3 6 2" xfId="19560"/>
    <cellStyle name="Примечание 3 6 3" xfId="19561"/>
    <cellStyle name="Примечание 3 6 4" xfId="19562"/>
    <cellStyle name="Примечание 3 6 5" xfId="19563"/>
    <cellStyle name="Примечание 3 6 6" xfId="19564"/>
    <cellStyle name="Примечание 3 6 7" xfId="19565"/>
    <cellStyle name="Примечание 3 6 8" xfId="19566"/>
    <cellStyle name="Примечание 3 7" xfId="19567"/>
    <cellStyle name="Примечание 3 7 2" xfId="19568"/>
    <cellStyle name="Примечание 3 7 3" xfId="19569"/>
    <cellStyle name="Примечание 3 7 4" xfId="19570"/>
    <cellStyle name="Примечание 3 8" xfId="19571"/>
    <cellStyle name="Примечание 3 9" xfId="19572"/>
    <cellStyle name="Примечание 4" xfId="4686"/>
    <cellStyle name="Примечание 4 10" xfId="19573"/>
    <cellStyle name="Примечание 4 11" xfId="19574"/>
    <cellStyle name="Примечание 4 12" xfId="19575"/>
    <cellStyle name="Примечание 4 13" xfId="19576"/>
    <cellStyle name="Примечание 4 14" xfId="19577"/>
    <cellStyle name="Примечание 4 2" xfId="4687"/>
    <cellStyle name="Примечание 4 2 10" xfId="19578"/>
    <cellStyle name="Примечание 4 2 11" xfId="19579"/>
    <cellStyle name="Примечание 4 2 12" xfId="19580"/>
    <cellStyle name="Примечание 4 2 2" xfId="4688"/>
    <cellStyle name="Примечание 4 2 2 2" xfId="19581"/>
    <cellStyle name="Примечание 4 2 2 3" xfId="19582"/>
    <cellStyle name="Примечание 4 2 2 4" xfId="19583"/>
    <cellStyle name="Примечание 4 2 2 5" xfId="19584"/>
    <cellStyle name="Примечание 4 2 3" xfId="4689"/>
    <cellStyle name="Примечание 4 2 3 2" xfId="19585"/>
    <cellStyle name="Примечание 4 2 3 3" xfId="19586"/>
    <cellStyle name="Примечание 4 2 3 4" xfId="19587"/>
    <cellStyle name="Примечание 4 2 3 5" xfId="19588"/>
    <cellStyle name="Примечание 4 2 4" xfId="4690"/>
    <cellStyle name="Примечание 4 2 4 2" xfId="19589"/>
    <cellStyle name="Примечание 4 2 4 3" xfId="19590"/>
    <cellStyle name="Примечание 4 2 4 4" xfId="19591"/>
    <cellStyle name="Примечание 4 2 4 5" xfId="19592"/>
    <cellStyle name="Примечание 4 2 5" xfId="19593"/>
    <cellStyle name="Примечание 4 2 5 2" xfId="19594"/>
    <cellStyle name="Примечание 4 2 5 3" xfId="19595"/>
    <cellStyle name="Примечание 4 2 5 4" xfId="19596"/>
    <cellStyle name="Примечание 4 2 6" xfId="19597"/>
    <cellStyle name="Примечание 4 2 7" xfId="19598"/>
    <cellStyle name="Примечание 4 2 8" xfId="19599"/>
    <cellStyle name="Примечание 4 2 9" xfId="19600"/>
    <cellStyle name="Примечание 4 3" xfId="4691"/>
    <cellStyle name="Примечание 4 3 10" xfId="19601"/>
    <cellStyle name="Примечание 4 3 11" xfId="19602"/>
    <cellStyle name="Примечание 4 3 2" xfId="4692"/>
    <cellStyle name="Примечание 4 3 2 2" xfId="19603"/>
    <cellStyle name="Примечание 4 3 2 3" xfId="19604"/>
    <cellStyle name="Примечание 4 3 2 4" xfId="19605"/>
    <cellStyle name="Примечание 4 3 2 5" xfId="19606"/>
    <cellStyle name="Примечание 4 3 3" xfId="4693"/>
    <cellStyle name="Примечание 4 3 3 2" xfId="19607"/>
    <cellStyle name="Примечание 4 3 3 3" xfId="19608"/>
    <cellStyle name="Примечание 4 3 3 4" xfId="19609"/>
    <cellStyle name="Примечание 4 3 3 5" xfId="19610"/>
    <cellStyle name="Примечание 4 3 4" xfId="19611"/>
    <cellStyle name="Примечание 4 3 4 2" xfId="19612"/>
    <cellStyle name="Примечание 4 3 4 3" xfId="19613"/>
    <cellStyle name="Примечание 4 3 4 4" xfId="19614"/>
    <cellStyle name="Примечание 4 3 5" xfId="19615"/>
    <cellStyle name="Примечание 4 3 6" xfId="19616"/>
    <cellStyle name="Примечание 4 3 7" xfId="19617"/>
    <cellStyle name="Примечание 4 3 8" xfId="19618"/>
    <cellStyle name="Примечание 4 3 9" xfId="19619"/>
    <cellStyle name="Примечание 4 4" xfId="4694"/>
    <cellStyle name="Примечание 4 4 2" xfId="19620"/>
    <cellStyle name="Примечание 4 4 3" xfId="19621"/>
    <cellStyle name="Примечание 4 4 4" xfId="19622"/>
    <cellStyle name="Примечание 4 4 5" xfId="19623"/>
    <cellStyle name="Примечание 4 4 6" xfId="19624"/>
    <cellStyle name="Примечание 4 4 7" xfId="19625"/>
    <cellStyle name="Примечание 4 4 8" xfId="19626"/>
    <cellStyle name="Примечание 4 5" xfId="4695"/>
    <cellStyle name="Примечание 4 5 2" xfId="19627"/>
    <cellStyle name="Примечание 4 5 3" xfId="19628"/>
    <cellStyle name="Примечание 4 5 4" xfId="19629"/>
    <cellStyle name="Примечание 4 5 5" xfId="19630"/>
    <cellStyle name="Примечание 4 5 6" xfId="19631"/>
    <cellStyle name="Примечание 4 5 7" xfId="19632"/>
    <cellStyle name="Примечание 4 5 8" xfId="19633"/>
    <cellStyle name="Примечание 4 6" xfId="4696"/>
    <cellStyle name="Примечание 4 6 2" xfId="19634"/>
    <cellStyle name="Примечание 4 6 3" xfId="19635"/>
    <cellStyle name="Примечание 4 6 4" xfId="19636"/>
    <cellStyle name="Примечание 4 6 5" xfId="19637"/>
    <cellStyle name="Примечание 4 6 6" xfId="19638"/>
    <cellStyle name="Примечание 4 6 7" xfId="19639"/>
    <cellStyle name="Примечание 4 6 8" xfId="19640"/>
    <cellStyle name="Примечание 4 7" xfId="19641"/>
    <cellStyle name="Примечание 4 7 2" xfId="19642"/>
    <cellStyle name="Примечание 4 7 3" xfId="19643"/>
    <cellStyle name="Примечание 4 7 4" xfId="19644"/>
    <cellStyle name="Примечание 4 8" xfId="19645"/>
    <cellStyle name="Примечание 4 9" xfId="19646"/>
    <cellStyle name="Примечание 5" xfId="4697"/>
    <cellStyle name="Примечание 5 10" xfId="19647"/>
    <cellStyle name="Примечание 5 11" xfId="19648"/>
    <cellStyle name="Примечание 5 12" xfId="19649"/>
    <cellStyle name="Примечание 5 13" xfId="19650"/>
    <cellStyle name="Примечание 5 14" xfId="19651"/>
    <cellStyle name="Примечание 5 2" xfId="4698"/>
    <cellStyle name="Примечание 5 2 10" xfId="19652"/>
    <cellStyle name="Примечание 5 2 11" xfId="19653"/>
    <cellStyle name="Примечание 5 2 12" xfId="19654"/>
    <cellStyle name="Примечание 5 2 2" xfId="4699"/>
    <cellStyle name="Примечание 5 2 2 2" xfId="19655"/>
    <cellStyle name="Примечание 5 2 2 3" xfId="19656"/>
    <cellStyle name="Примечание 5 2 2 4" xfId="19657"/>
    <cellStyle name="Примечание 5 2 2 5" xfId="19658"/>
    <cellStyle name="Примечание 5 2 3" xfId="4700"/>
    <cellStyle name="Примечание 5 2 3 2" xfId="19659"/>
    <cellStyle name="Примечание 5 2 3 3" xfId="19660"/>
    <cellStyle name="Примечание 5 2 3 4" xfId="19661"/>
    <cellStyle name="Примечание 5 2 3 5" xfId="19662"/>
    <cellStyle name="Примечание 5 2 4" xfId="4701"/>
    <cellStyle name="Примечание 5 2 4 2" xfId="19663"/>
    <cellStyle name="Примечание 5 2 4 3" xfId="19664"/>
    <cellStyle name="Примечание 5 2 4 4" xfId="19665"/>
    <cellStyle name="Примечание 5 2 4 5" xfId="19666"/>
    <cellStyle name="Примечание 5 2 5" xfId="19667"/>
    <cellStyle name="Примечание 5 2 5 2" xfId="19668"/>
    <cellStyle name="Примечание 5 2 5 3" xfId="19669"/>
    <cellStyle name="Примечание 5 2 5 4" xfId="19670"/>
    <cellStyle name="Примечание 5 2 6" xfId="19671"/>
    <cellStyle name="Примечание 5 2 7" xfId="19672"/>
    <cellStyle name="Примечание 5 2 8" xfId="19673"/>
    <cellStyle name="Примечание 5 2 9" xfId="19674"/>
    <cellStyle name="Примечание 5 3" xfId="4702"/>
    <cellStyle name="Примечание 5 3 10" xfId="19675"/>
    <cellStyle name="Примечание 5 3 11" xfId="19676"/>
    <cellStyle name="Примечание 5 3 2" xfId="4703"/>
    <cellStyle name="Примечание 5 3 2 2" xfId="19677"/>
    <cellStyle name="Примечание 5 3 2 3" xfId="19678"/>
    <cellStyle name="Примечание 5 3 2 4" xfId="19679"/>
    <cellStyle name="Примечание 5 3 2 5" xfId="19680"/>
    <cellStyle name="Примечание 5 3 3" xfId="4704"/>
    <cellStyle name="Примечание 5 3 3 2" xfId="19681"/>
    <cellStyle name="Примечание 5 3 3 3" xfId="19682"/>
    <cellStyle name="Примечание 5 3 3 4" xfId="19683"/>
    <cellStyle name="Примечание 5 3 3 5" xfId="19684"/>
    <cellStyle name="Примечание 5 3 4" xfId="19685"/>
    <cellStyle name="Примечание 5 3 4 2" xfId="19686"/>
    <cellStyle name="Примечание 5 3 4 3" xfId="19687"/>
    <cellStyle name="Примечание 5 3 4 4" xfId="19688"/>
    <cellStyle name="Примечание 5 3 5" xfId="19689"/>
    <cellStyle name="Примечание 5 3 6" xfId="19690"/>
    <cellStyle name="Примечание 5 3 7" xfId="19691"/>
    <cellStyle name="Примечание 5 3 8" xfId="19692"/>
    <cellStyle name="Примечание 5 3 9" xfId="19693"/>
    <cellStyle name="Примечание 5 4" xfId="4705"/>
    <cellStyle name="Примечание 5 4 2" xfId="19694"/>
    <cellStyle name="Примечание 5 4 3" xfId="19695"/>
    <cellStyle name="Примечание 5 4 4" xfId="19696"/>
    <cellStyle name="Примечание 5 4 5" xfId="19697"/>
    <cellStyle name="Примечание 5 4 6" xfId="19698"/>
    <cellStyle name="Примечание 5 4 7" xfId="19699"/>
    <cellStyle name="Примечание 5 4 8" xfId="19700"/>
    <cellStyle name="Примечание 5 5" xfId="4706"/>
    <cellStyle name="Примечание 5 5 2" xfId="19701"/>
    <cellStyle name="Примечание 5 5 3" xfId="19702"/>
    <cellStyle name="Примечание 5 5 4" xfId="19703"/>
    <cellStyle name="Примечание 5 5 5" xfId="19704"/>
    <cellStyle name="Примечание 5 5 6" xfId="19705"/>
    <cellStyle name="Примечание 5 5 7" xfId="19706"/>
    <cellStyle name="Примечание 5 5 8" xfId="19707"/>
    <cellStyle name="Примечание 5 6" xfId="4707"/>
    <cellStyle name="Примечание 5 6 2" xfId="19708"/>
    <cellStyle name="Примечание 5 6 3" xfId="19709"/>
    <cellStyle name="Примечание 5 6 4" xfId="19710"/>
    <cellStyle name="Примечание 5 6 5" xfId="19711"/>
    <cellStyle name="Примечание 5 6 6" xfId="19712"/>
    <cellStyle name="Примечание 5 6 7" xfId="19713"/>
    <cellStyle name="Примечание 5 6 8" xfId="19714"/>
    <cellStyle name="Примечание 5 7" xfId="19715"/>
    <cellStyle name="Примечание 5 7 2" xfId="19716"/>
    <cellStyle name="Примечание 5 7 3" xfId="19717"/>
    <cellStyle name="Примечание 5 7 4" xfId="19718"/>
    <cellStyle name="Примечание 5 8" xfId="19719"/>
    <cellStyle name="Примечание 5 9" xfId="19720"/>
    <cellStyle name="Примечание 6" xfId="4708"/>
    <cellStyle name="Примечание 6 10" xfId="19721"/>
    <cellStyle name="Примечание 6 11" xfId="19722"/>
    <cellStyle name="Примечание 6 12" xfId="19723"/>
    <cellStyle name="Примечание 6 13" xfId="19724"/>
    <cellStyle name="Примечание 6 14" xfId="19725"/>
    <cellStyle name="Примечание 6 2" xfId="4709"/>
    <cellStyle name="Примечание 6 2 10" xfId="19726"/>
    <cellStyle name="Примечание 6 2 11" xfId="19727"/>
    <cellStyle name="Примечание 6 2 12" xfId="19728"/>
    <cellStyle name="Примечание 6 2 2" xfId="4710"/>
    <cellStyle name="Примечание 6 2 2 2" xfId="19729"/>
    <cellStyle name="Примечание 6 2 2 3" xfId="19730"/>
    <cellStyle name="Примечание 6 2 2 4" xfId="19731"/>
    <cellStyle name="Примечание 6 2 2 5" xfId="19732"/>
    <cellStyle name="Примечание 6 2 3" xfId="4711"/>
    <cellStyle name="Примечание 6 2 3 2" xfId="19733"/>
    <cellStyle name="Примечание 6 2 3 3" xfId="19734"/>
    <cellStyle name="Примечание 6 2 3 4" xfId="19735"/>
    <cellStyle name="Примечание 6 2 3 5" xfId="19736"/>
    <cellStyle name="Примечание 6 2 4" xfId="4712"/>
    <cellStyle name="Примечание 6 2 4 2" xfId="19737"/>
    <cellStyle name="Примечание 6 2 4 3" xfId="19738"/>
    <cellStyle name="Примечание 6 2 4 4" xfId="19739"/>
    <cellStyle name="Примечание 6 2 4 5" xfId="19740"/>
    <cellStyle name="Примечание 6 2 5" xfId="19741"/>
    <cellStyle name="Примечание 6 2 5 2" xfId="19742"/>
    <cellStyle name="Примечание 6 2 5 3" xfId="19743"/>
    <cellStyle name="Примечание 6 2 5 4" xfId="19744"/>
    <cellStyle name="Примечание 6 2 6" xfId="19745"/>
    <cellStyle name="Примечание 6 2 7" xfId="19746"/>
    <cellStyle name="Примечание 6 2 8" xfId="19747"/>
    <cellStyle name="Примечание 6 2 9" xfId="19748"/>
    <cellStyle name="Примечание 6 3" xfId="4713"/>
    <cellStyle name="Примечание 6 3 10" xfId="19749"/>
    <cellStyle name="Примечание 6 3 11" xfId="19750"/>
    <cellStyle name="Примечание 6 3 2" xfId="4714"/>
    <cellStyle name="Примечание 6 3 2 2" xfId="19751"/>
    <cellStyle name="Примечание 6 3 2 3" xfId="19752"/>
    <cellStyle name="Примечание 6 3 2 4" xfId="19753"/>
    <cellStyle name="Примечание 6 3 2 5" xfId="19754"/>
    <cellStyle name="Примечание 6 3 3" xfId="4715"/>
    <cellStyle name="Примечание 6 3 3 2" xfId="19755"/>
    <cellStyle name="Примечание 6 3 3 3" xfId="19756"/>
    <cellStyle name="Примечание 6 3 3 4" xfId="19757"/>
    <cellStyle name="Примечание 6 3 3 5" xfId="19758"/>
    <cellStyle name="Примечание 6 3 4" xfId="19759"/>
    <cellStyle name="Примечание 6 3 4 2" xfId="19760"/>
    <cellStyle name="Примечание 6 3 4 3" xfId="19761"/>
    <cellStyle name="Примечание 6 3 4 4" xfId="19762"/>
    <cellStyle name="Примечание 6 3 5" xfId="19763"/>
    <cellStyle name="Примечание 6 3 6" xfId="19764"/>
    <cellStyle name="Примечание 6 3 7" xfId="19765"/>
    <cellStyle name="Примечание 6 3 8" xfId="19766"/>
    <cellStyle name="Примечание 6 3 9" xfId="19767"/>
    <cellStyle name="Примечание 6 4" xfId="4716"/>
    <cellStyle name="Примечание 6 4 2" xfId="19768"/>
    <cellStyle name="Примечание 6 4 3" xfId="19769"/>
    <cellStyle name="Примечание 6 4 4" xfId="19770"/>
    <cellStyle name="Примечание 6 4 5" xfId="19771"/>
    <cellStyle name="Примечание 6 4 6" xfId="19772"/>
    <cellStyle name="Примечание 6 4 7" xfId="19773"/>
    <cellStyle name="Примечание 6 4 8" xfId="19774"/>
    <cellStyle name="Примечание 6 5" xfId="4717"/>
    <cellStyle name="Примечание 6 5 2" xfId="19775"/>
    <cellStyle name="Примечание 6 5 3" xfId="19776"/>
    <cellStyle name="Примечание 6 5 4" xfId="19777"/>
    <cellStyle name="Примечание 6 5 5" xfId="19778"/>
    <cellStyle name="Примечание 6 5 6" xfId="19779"/>
    <cellStyle name="Примечание 6 5 7" xfId="19780"/>
    <cellStyle name="Примечание 6 5 8" xfId="19781"/>
    <cellStyle name="Примечание 6 6" xfId="4718"/>
    <cellStyle name="Примечание 6 6 2" xfId="19782"/>
    <cellStyle name="Примечание 6 6 3" xfId="19783"/>
    <cellStyle name="Примечание 6 6 4" xfId="19784"/>
    <cellStyle name="Примечание 6 6 5" xfId="19785"/>
    <cellStyle name="Примечание 6 6 6" xfId="19786"/>
    <cellStyle name="Примечание 6 6 7" xfId="19787"/>
    <cellStyle name="Примечание 6 6 8" xfId="19788"/>
    <cellStyle name="Примечание 6 7" xfId="19789"/>
    <cellStyle name="Примечание 6 7 2" xfId="19790"/>
    <cellStyle name="Примечание 6 7 3" xfId="19791"/>
    <cellStyle name="Примечание 6 7 4" xfId="19792"/>
    <cellStyle name="Примечание 6 8" xfId="19793"/>
    <cellStyle name="Примечание 6 9" xfId="19794"/>
    <cellStyle name="Процентный" xfId="10" builtinId="5"/>
    <cellStyle name="Процентный 2" xfId="4719"/>
    <cellStyle name="Процентный 2 10" xfId="4720"/>
    <cellStyle name="Процентный 2 10 10" xfId="19795"/>
    <cellStyle name="Процентный 2 10 11" xfId="19796"/>
    <cellStyle name="Процентный 2 10 12" xfId="19797"/>
    <cellStyle name="Процентный 2 10 2" xfId="4721"/>
    <cellStyle name="Процентный 2 10 2 2" xfId="19798"/>
    <cellStyle name="Процентный 2 10 2 3" xfId="19799"/>
    <cellStyle name="Процентный 2 10 2 4" xfId="19800"/>
    <cellStyle name="Процентный 2 10 2 5" xfId="19801"/>
    <cellStyle name="Процентный 2 10 2 6" xfId="19802"/>
    <cellStyle name="Процентный 2 10 2 7" xfId="19803"/>
    <cellStyle name="Процентный 2 10 2 8" xfId="19804"/>
    <cellStyle name="Процентный 2 10 2 9" xfId="19805"/>
    <cellStyle name="Процентный 2 10 3" xfId="4722"/>
    <cellStyle name="Процентный 2 10 3 2" xfId="19806"/>
    <cellStyle name="Процентный 2 10 3 3" xfId="19807"/>
    <cellStyle name="Процентный 2 10 3 4" xfId="19808"/>
    <cellStyle name="Процентный 2 10 3 5" xfId="19809"/>
    <cellStyle name="Процентный 2 10 3 6" xfId="19810"/>
    <cellStyle name="Процентный 2 10 3 7" xfId="19811"/>
    <cellStyle name="Процентный 2 10 3 8" xfId="19812"/>
    <cellStyle name="Процентный 2 10 3 9" xfId="19813"/>
    <cellStyle name="Процентный 2 10 4" xfId="4723"/>
    <cellStyle name="Процентный 2 10 4 2" xfId="19814"/>
    <cellStyle name="Процентный 2 10 4 3" xfId="19815"/>
    <cellStyle name="Процентный 2 10 4 4" xfId="19816"/>
    <cellStyle name="Процентный 2 10 4 5" xfId="19817"/>
    <cellStyle name="Процентный 2 10 4 6" xfId="19818"/>
    <cellStyle name="Процентный 2 10 4 7" xfId="19819"/>
    <cellStyle name="Процентный 2 10 4 8" xfId="19820"/>
    <cellStyle name="Процентный 2 10 4 9" xfId="19821"/>
    <cellStyle name="Процентный 2 10 5" xfId="19822"/>
    <cellStyle name="Процентный 2 10 6" xfId="19823"/>
    <cellStyle name="Процентный 2 10 7" xfId="19824"/>
    <cellStyle name="Процентный 2 10 8" xfId="19825"/>
    <cellStyle name="Процентный 2 10 9" xfId="19826"/>
    <cellStyle name="Процентный 2 11" xfId="4724"/>
    <cellStyle name="Процентный 2 11 10" xfId="19827"/>
    <cellStyle name="Процентный 2 11 11" xfId="19828"/>
    <cellStyle name="Процентный 2 11 2" xfId="4725"/>
    <cellStyle name="Процентный 2 11 2 2" xfId="19829"/>
    <cellStyle name="Процентный 2 11 2 3" xfId="19830"/>
    <cellStyle name="Процентный 2 11 2 4" xfId="19831"/>
    <cellStyle name="Процентный 2 11 2 5" xfId="19832"/>
    <cellStyle name="Процентный 2 11 2 6" xfId="19833"/>
    <cellStyle name="Процентный 2 11 2 7" xfId="19834"/>
    <cellStyle name="Процентный 2 11 2 8" xfId="19835"/>
    <cellStyle name="Процентный 2 11 2 9" xfId="19836"/>
    <cellStyle name="Процентный 2 11 3" xfId="4726"/>
    <cellStyle name="Процентный 2 11 3 2" xfId="19837"/>
    <cellStyle name="Процентный 2 11 3 3" xfId="19838"/>
    <cellStyle name="Процентный 2 11 3 4" xfId="19839"/>
    <cellStyle name="Процентный 2 11 3 5" xfId="19840"/>
    <cellStyle name="Процентный 2 11 3 6" xfId="19841"/>
    <cellStyle name="Процентный 2 11 3 7" xfId="19842"/>
    <cellStyle name="Процентный 2 11 3 8" xfId="19843"/>
    <cellStyle name="Процентный 2 11 3 9" xfId="19844"/>
    <cellStyle name="Процентный 2 11 4" xfId="19845"/>
    <cellStyle name="Процентный 2 11 5" xfId="19846"/>
    <cellStyle name="Процентный 2 11 6" xfId="19847"/>
    <cellStyle name="Процентный 2 11 7" xfId="19848"/>
    <cellStyle name="Процентный 2 11 8" xfId="19849"/>
    <cellStyle name="Процентный 2 11 9" xfId="19850"/>
    <cellStyle name="Процентный 2 12" xfId="4727"/>
    <cellStyle name="Процентный 2 12 2" xfId="19851"/>
    <cellStyle name="Процентный 2 12 3" xfId="19852"/>
    <cellStyle name="Процентный 2 12 4" xfId="19853"/>
    <cellStyle name="Процентный 2 12 5" xfId="19854"/>
    <cellStyle name="Процентный 2 12 6" xfId="19855"/>
    <cellStyle name="Процентный 2 12 7" xfId="19856"/>
    <cellStyle name="Процентный 2 12 8" xfId="19857"/>
    <cellStyle name="Процентный 2 12 9" xfId="19858"/>
    <cellStyle name="Процентный 2 13" xfId="19859"/>
    <cellStyle name="Процентный 2 14" xfId="19860"/>
    <cellStyle name="Процентный 2 15" xfId="19861"/>
    <cellStyle name="Процентный 2 16" xfId="19862"/>
    <cellStyle name="Процентный 2 17" xfId="19863"/>
    <cellStyle name="Процентный 2 18" xfId="19864"/>
    <cellStyle name="Процентный 2 19" xfId="19865"/>
    <cellStyle name="Процентный 2 2" xfId="3"/>
    <cellStyle name="Процентный 2 2 2" xfId="4728"/>
    <cellStyle name="Процентный 2 2 2 2" xfId="4729"/>
    <cellStyle name="Процентный 2 2 2 3" xfId="4730"/>
    <cellStyle name="Процентный 2 2 3" xfId="4731"/>
    <cellStyle name="Процентный 2 2 4" xfId="4732"/>
    <cellStyle name="Процентный 2 2 4 2" xfId="19866"/>
    <cellStyle name="Процентный 2 2 4 3" xfId="19867"/>
    <cellStyle name="Процентный 2 2 4 4" xfId="19868"/>
    <cellStyle name="Процентный 2 2 4 5" xfId="19869"/>
    <cellStyle name="Процентный 2 2 5" xfId="5531"/>
    <cellStyle name="Процентный 2 2 5 2" xfId="23901"/>
    <cellStyle name="Процентный 2 2 6" xfId="19870"/>
    <cellStyle name="Процентный 2 2 7" xfId="19871"/>
    <cellStyle name="Процентный 2 2 8" xfId="19872"/>
    <cellStyle name="Процентный 2 20" xfId="19873"/>
    <cellStyle name="Процентный 2 3" xfId="4733"/>
    <cellStyle name="Процентный 2 3 10" xfId="19874"/>
    <cellStyle name="Процентный 2 3 11" xfId="19875"/>
    <cellStyle name="Процентный 2 3 12" xfId="19876"/>
    <cellStyle name="Процентный 2 3 2" xfId="4734"/>
    <cellStyle name="Процентный 2 3 2 10" xfId="19877"/>
    <cellStyle name="Процентный 2 3 2 11" xfId="19878"/>
    <cellStyle name="Процентный 2 3 2 12" xfId="19879"/>
    <cellStyle name="Процентный 2 3 2 2" xfId="4735"/>
    <cellStyle name="Процентный 2 3 2 2 2" xfId="19880"/>
    <cellStyle name="Процентный 2 3 2 2 3" xfId="19881"/>
    <cellStyle name="Процентный 2 3 2 2 4" xfId="19882"/>
    <cellStyle name="Процентный 2 3 2 2 5" xfId="19883"/>
    <cellStyle name="Процентный 2 3 2 2 6" xfId="19884"/>
    <cellStyle name="Процентный 2 3 2 2 7" xfId="19885"/>
    <cellStyle name="Процентный 2 3 2 2 8" xfId="19886"/>
    <cellStyle name="Процентный 2 3 2 2 9" xfId="19887"/>
    <cellStyle name="Процентный 2 3 2 3" xfId="4736"/>
    <cellStyle name="Процентный 2 3 2 3 2" xfId="19888"/>
    <cellStyle name="Процентный 2 3 2 3 3" xfId="19889"/>
    <cellStyle name="Процентный 2 3 2 3 4" xfId="19890"/>
    <cellStyle name="Процентный 2 3 2 3 5" xfId="19891"/>
    <cellStyle name="Процентный 2 3 2 3 6" xfId="19892"/>
    <cellStyle name="Процентный 2 3 2 3 7" xfId="19893"/>
    <cellStyle name="Процентный 2 3 2 3 8" xfId="19894"/>
    <cellStyle name="Процентный 2 3 2 3 9" xfId="19895"/>
    <cellStyle name="Процентный 2 3 2 4" xfId="4737"/>
    <cellStyle name="Процентный 2 3 2 4 2" xfId="19896"/>
    <cellStyle name="Процентный 2 3 2 4 3" xfId="19897"/>
    <cellStyle name="Процентный 2 3 2 4 4" xfId="19898"/>
    <cellStyle name="Процентный 2 3 2 4 5" xfId="19899"/>
    <cellStyle name="Процентный 2 3 2 4 6" xfId="19900"/>
    <cellStyle name="Процентный 2 3 2 4 7" xfId="19901"/>
    <cellStyle name="Процентный 2 3 2 4 8" xfId="19902"/>
    <cellStyle name="Процентный 2 3 2 4 9" xfId="19903"/>
    <cellStyle name="Процентный 2 3 2 5" xfId="19904"/>
    <cellStyle name="Процентный 2 3 2 6" xfId="19905"/>
    <cellStyle name="Процентный 2 3 2 7" xfId="19906"/>
    <cellStyle name="Процентный 2 3 2 8" xfId="19907"/>
    <cellStyle name="Процентный 2 3 2 9" xfId="19908"/>
    <cellStyle name="Процентный 2 3 3" xfId="4738"/>
    <cellStyle name="Процентный 2 3 3 10" xfId="19909"/>
    <cellStyle name="Процентный 2 3 3 11" xfId="19910"/>
    <cellStyle name="Процентный 2 3 3 2" xfId="4739"/>
    <cellStyle name="Процентный 2 3 3 2 2" xfId="19911"/>
    <cellStyle name="Процентный 2 3 3 2 3" xfId="19912"/>
    <cellStyle name="Процентный 2 3 3 2 4" xfId="19913"/>
    <cellStyle name="Процентный 2 3 3 2 5" xfId="19914"/>
    <cellStyle name="Процентный 2 3 3 2 6" xfId="19915"/>
    <cellStyle name="Процентный 2 3 3 2 7" xfId="19916"/>
    <cellStyle name="Процентный 2 3 3 2 8" xfId="19917"/>
    <cellStyle name="Процентный 2 3 3 2 9" xfId="19918"/>
    <cellStyle name="Процентный 2 3 3 3" xfId="4740"/>
    <cellStyle name="Процентный 2 3 3 3 2" xfId="19919"/>
    <cellStyle name="Процентный 2 3 3 3 3" xfId="19920"/>
    <cellStyle name="Процентный 2 3 3 3 4" xfId="19921"/>
    <cellStyle name="Процентный 2 3 3 3 5" xfId="19922"/>
    <cellStyle name="Процентный 2 3 3 3 6" xfId="19923"/>
    <cellStyle name="Процентный 2 3 3 3 7" xfId="19924"/>
    <cellStyle name="Процентный 2 3 3 3 8" xfId="19925"/>
    <cellStyle name="Процентный 2 3 3 3 9" xfId="19926"/>
    <cellStyle name="Процентный 2 3 3 4" xfId="19927"/>
    <cellStyle name="Процентный 2 3 3 5" xfId="19928"/>
    <cellStyle name="Процентный 2 3 3 6" xfId="19929"/>
    <cellStyle name="Процентный 2 3 3 7" xfId="19930"/>
    <cellStyle name="Процентный 2 3 3 8" xfId="19931"/>
    <cellStyle name="Процентный 2 3 3 9" xfId="19932"/>
    <cellStyle name="Процентный 2 3 4" xfId="4741"/>
    <cellStyle name="Процентный 2 3 4 2" xfId="19933"/>
    <cellStyle name="Процентный 2 3 4 3" xfId="19934"/>
    <cellStyle name="Процентный 2 3 4 4" xfId="19935"/>
    <cellStyle name="Процентный 2 3 4 5" xfId="19936"/>
    <cellStyle name="Процентный 2 3 4 6" xfId="19937"/>
    <cellStyle name="Процентный 2 3 4 7" xfId="19938"/>
    <cellStyle name="Процентный 2 3 4 8" xfId="19939"/>
    <cellStyle name="Процентный 2 3 4 9" xfId="19940"/>
    <cellStyle name="Процентный 2 3 5" xfId="19941"/>
    <cellStyle name="Процентный 2 3 6" xfId="19942"/>
    <cellStyle name="Процентный 2 3 7" xfId="19943"/>
    <cellStyle name="Процентный 2 3 8" xfId="19944"/>
    <cellStyle name="Процентный 2 3 9" xfId="19945"/>
    <cellStyle name="Процентный 2 4" xfId="4742"/>
    <cellStyle name="Процентный 2 4 10" xfId="19946"/>
    <cellStyle name="Процентный 2 4 11" xfId="19947"/>
    <cellStyle name="Процентный 2 4 12" xfId="19948"/>
    <cellStyle name="Процентный 2 4 2" xfId="4743"/>
    <cellStyle name="Процентный 2 4 2 10" xfId="19949"/>
    <cellStyle name="Процентный 2 4 2 11" xfId="19950"/>
    <cellStyle name="Процентный 2 4 2 12" xfId="19951"/>
    <cellStyle name="Процентный 2 4 2 2" xfId="4744"/>
    <cellStyle name="Процентный 2 4 2 2 2" xfId="19952"/>
    <cellStyle name="Процентный 2 4 2 2 3" xfId="19953"/>
    <cellStyle name="Процентный 2 4 2 2 4" xfId="19954"/>
    <cellStyle name="Процентный 2 4 2 2 5" xfId="19955"/>
    <cellStyle name="Процентный 2 4 2 2 6" xfId="19956"/>
    <cellStyle name="Процентный 2 4 2 2 7" xfId="19957"/>
    <cellStyle name="Процентный 2 4 2 2 8" xfId="19958"/>
    <cellStyle name="Процентный 2 4 2 2 9" xfId="19959"/>
    <cellStyle name="Процентный 2 4 2 3" xfId="4745"/>
    <cellStyle name="Процентный 2 4 2 3 2" xfId="19960"/>
    <cellStyle name="Процентный 2 4 2 3 3" xfId="19961"/>
    <cellStyle name="Процентный 2 4 2 3 4" xfId="19962"/>
    <cellStyle name="Процентный 2 4 2 3 5" xfId="19963"/>
    <cellStyle name="Процентный 2 4 2 3 6" xfId="19964"/>
    <cellStyle name="Процентный 2 4 2 3 7" xfId="19965"/>
    <cellStyle name="Процентный 2 4 2 3 8" xfId="19966"/>
    <cellStyle name="Процентный 2 4 2 3 9" xfId="19967"/>
    <cellStyle name="Процентный 2 4 2 4" xfId="4746"/>
    <cellStyle name="Процентный 2 4 2 4 2" xfId="19968"/>
    <cellStyle name="Процентный 2 4 2 4 3" xfId="19969"/>
    <cellStyle name="Процентный 2 4 2 4 4" xfId="19970"/>
    <cellStyle name="Процентный 2 4 2 4 5" xfId="19971"/>
    <cellStyle name="Процентный 2 4 2 4 6" xfId="19972"/>
    <cellStyle name="Процентный 2 4 2 4 7" xfId="19973"/>
    <cellStyle name="Процентный 2 4 2 4 8" xfId="19974"/>
    <cellStyle name="Процентный 2 4 2 4 9" xfId="19975"/>
    <cellStyle name="Процентный 2 4 2 5" xfId="19976"/>
    <cellStyle name="Процентный 2 4 2 6" xfId="19977"/>
    <cellStyle name="Процентный 2 4 2 7" xfId="19978"/>
    <cellStyle name="Процентный 2 4 2 8" xfId="19979"/>
    <cellStyle name="Процентный 2 4 2 9" xfId="19980"/>
    <cellStyle name="Процентный 2 4 3" xfId="4747"/>
    <cellStyle name="Процентный 2 4 3 10" xfId="19981"/>
    <cellStyle name="Процентный 2 4 3 11" xfId="19982"/>
    <cellStyle name="Процентный 2 4 3 2" xfId="4748"/>
    <cellStyle name="Процентный 2 4 3 2 2" xfId="19983"/>
    <cellStyle name="Процентный 2 4 3 2 3" xfId="19984"/>
    <cellStyle name="Процентный 2 4 3 2 4" xfId="19985"/>
    <cellStyle name="Процентный 2 4 3 2 5" xfId="19986"/>
    <cellStyle name="Процентный 2 4 3 2 6" xfId="19987"/>
    <cellStyle name="Процентный 2 4 3 2 7" xfId="19988"/>
    <cellStyle name="Процентный 2 4 3 2 8" xfId="19989"/>
    <cellStyle name="Процентный 2 4 3 2 9" xfId="19990"/>
    <cellStyle name="Процентный 2 4 3 3" xfId="4749"/>
    <cellStyle name="Процентный 2 4 3 3 2" xfId="19991"/>
    <cellStyle name="Процентный 2 4 3 3 3" xfId="19992"/>
    <cellStyle name="Процентный 2 4 3 3 4" xfId="19993"/>
    <cellStyle name="Процентный 2 4 3 3 5" xfId="19994"/>
    <cellStyle name="Процентный 2 4 3 3 6" xfId="19995"/>
    <cellStyle name="Процентный 2 4 3 3 7" xfId="19996"/>
    <cellStyle name="Процентный 2 4 3 3 8" xfId="19997"/>
    <cellStyle name="Процентный 2 4 3 3 9" xfId="19998"/>
    <cellStyle name="Процентный 2 4 3 4" xfId="19999"/>
    <cellStyle name="Процентный 2 4 3 5" xfId="20000"/>
    <cellStyle name="Процентный 2 4 3 6" xfId="20001"/>
    <cellStyle name="Процентный 2 4 3 7" xfId="20002"/>
    <cellStyle name="Процентный 2 4 3 8" xfId="20003"/>
    <cellStyle name="Процентный 2 4 3 9" xfId="20004"/>
    <cellStyle name="Процентный 2 4 4" xfId="4750"/>
    <cellStyle name="Процентный 2 4 4 2" xfId="20005"/>
    <cellStyle name="Процентный 2 4 4 3" xfId="20006"/>
    <cellStyle name="Процентный 2 4 4 4" xfId="20007"/>
    <cellStyle name="Процентный 2 4 4 5" xfId="20008"/>
    <cellStyle name="Процентный 2 4 4 6" xfId="20009"/>
    <cellStyle name="Процентный 2 4 4 7" xfId="20010"/>
    <cellStyle name="Процентный 2 4 4 8" xfId="20011"/>
    <cellStyle name="Процентный 2 4 4 9" xfId="20012"/>
    <cellStyle name="Процентный 2 4 5" xfId="20013"/>
    <cellStyle name="Процентный 2 4 6" xfId="20014"/>
    <cellStyle name="Процентный 2 4 7" xfId="20015"/>
    <cellStyle name="Процентный 2 4 8" xfId="20016"/>
    <cellStyle name="Процентный 2 4 9" xfId="20017"/>
    <cellStyle name="Процентный 2 5" xfId="4751"/>
    <cellStyle name="Процентный 2 5 10" xfId="20018"/>
    <cellStyle name="Процентный 2 5 11" xfId="20019"/>
    <cellStyle name="Процентный 2 5 12" xfId="20020"/>
    <cellStyle name="Процентный 2 5 2" xfId="4752"/>
    <cellStyle name="Процентный 2 5 2 10" xfId="20021"/>
    <cellStyle name="Процентный 2 5 2 11" xfId="20022"/>
    <cellStyle name="Процентный 2 5 2 12" xfId="20023"/>
    <cellStyle name="Процентный 2 5 2 2" xfId="4753"/>
    <cellStyle name="Процентный 2 5 2 2 2" xfId="20024"/>
    <cellStyle name="Процентный 2 5 2 2 3" xfId="20025"/>
    <cellStyle name="Процентный 2 5 2 2 4" xfId="20026"/>
    <cellStyle name="Процентный 2 5 2 2 5" xfId="20027"/>
    <cellStyle name="Процентный 2 5 2 2 6" xfId="20028"/>
    <cellStyle name="Процентный 2 5 2 2 7" xfId="20029"/>
    <cellStyle name="Процентный 2 5 2 2 8" xfId="20030"/>
    <cellStyle name="Процентный 2 5 2 2 9" xfId="20031"/>
    <cellStyle name="Процентный 2 5 2 3" xfId="4754"/>
    <cellStyle name="Процентный 2 5 2 3 2" xfId="20032"/>
    <cellStyle name="Процентный 2 5 2 3 3" xfId="20033"/>
    <cellStyle name="Процентный 2 5 2 3 4" xfId="20034"/>
    <cellStyle name="Процентный 2 5 2 3 5" xfId="20035"/>
    <cellStyle name="Процентный 2 5 2 3 6" xfId="20036"/>
    <cellStyle name="Процентный 2 5 2 3 7" xfId="20037"/>
    <cellStyle name="Процентный 2 5 2 3 8" xfId="20038"/>
    <cellStyle name="Процентный 2 5 2 3 9" xfId="20039"/>
    <cellStyle name="Процентный 2 5 2 4" xfId="4755"/>
    <cellStyle name="Процентный 2 5 2 4 2" xfId="20040"/>
    <cellStyle name="Процентный 2 5 2 4 3" xfId="20041"/>
    <cellStyle name="Процентный 2 5 2 4 4" xfId="20042"/>
    <cellStyle name="Процентный 2 5 2 4 5" xfId="20043"/>
    <cellStyle name="Процентный 2 5 2 4 6" xfId="20044"/>
    <cellStyle name="Процентный 2 5 2 4 7" xfId="20045"/>
    <cellStyle name="Процентный 2 5 2 4 8" xfId="20046"/>
    <cellStyle name="Процентный 2 5 2 4 9" xfId="20047"/>
    <cellStyle name="Процентный 2 5 2 5" xfId="20048"/>
    <cellStyle name="Процентный 2 5 2 6" xfId="20049"/>
    <cellStyle name="Процентный 2 5 2 7" xfId="20050"/>
    <cellStyle name="Процентный 2 5 2 8" xfId="20051"/>
    <cellStyle name="Процентный 2 5 2 9" xfId="20052"/>
    <cellStyle name="Процентный 2 5 3" xfId="4756"/>
    <cellStyle name="Процентный 2 5 3 10" xfId="20053"/>
    <cellStyle name="Процентный 2 5 3 11" xfId="20054"/>
    <cellStyle name="Процентный 2 5 3 2" xfId="4757"/>
    <cellStyle name="Процентный 2 5 3 2 2" xfId="20055"/>
    <cellStyle name="Процентный 2 5 3 2 3" xfId="20056"/>
    <cellStyle name="Процентный 2 5 3 2 4" xfId="20057"/>
    <cellStyle name="Процентный 2 5 3 2 5" xfId="20058"/>
    <cellStyle name="Процентный 2 5 3 2 6" xfId="20059"/>
    <cellStyle name="Процентный 2 5 3 2 7" xfId="20060"/>
    <cellStyle name="Процентный 2 5 3 2 8" xfId="20061"/>
    <cellStyle name="Процентный 2 5 3 2 9" xfId="20062"/>
    <cellStyle name="Процентный 2 5 3 3" xfId="4758"/>
    <cellStyle name="Процентный 2 5 3 3 2" xfId="20063"/>
    <cellStyle name="Процентный 2 5 3 3 3" xfId="20064"/>
    <cellStyle name="Процентный 2 5 3 3 4" xfId="20065"/>
    <cellStyle name="Процентный 2 5 3 3 5" xfId="20066"/>
    <cellStyle name="Процентный 2 5 3 3 6" xfId="20067"/>
    <cellStyle name="Процентный 2 5 3 3 7" xfId="20068"/>
    <cellStyle name="Процентный 2 5 3 3 8" xfId="20069"/>
    <cellStyle name="Процентный 2 5 3 3 9" xfId="20070"/>
    <cellStyle name="Процентный 2 5 3 4" xfId="20071"/>
    <cellStyle name="Процентный 2 5 3 5" xfId="20072"/>
    <cellStyle name="Процентный 2 5 3 6" xfId="20073"/>
    <cellStyle name="Процентный 2 5 3 7" xfId="20074"/>
    <cellStyle name="Процентный 2 5 3 8" xfId="20075"/>
    <cellStyle name="Процентный 2 5 3 9" xfId="20076"/>
    <cellStyle name="Процентный 2 5 4" xfId="4759"/>
    <cellStyle name="Процентный 2 5 4 2" xfId="20077"/>
    <cellStyle name="Процентный 2 5 4 3" xfId="20078"/>
    <cellStyle name="Процентный 2 5 4 4" xfId="20079"/>
    <cellStyle name="Процентный 2 5 4 5" xfId="20080"/>
    <cellStyle name="Процентный 2 5 4 6" xfId="20081"/>
    <cellStyle name="Процентный 2 5 4 7" xfId="20082"/>
    <cellStyle name="Процентный 2 5 4 8" xfId="20083"/>
    <cellStyle name="Процентный 2 5 4 9" xfId="20084"/>
    <cellStyle name="Процентный 2 5 5" xfId="20085"/>
    <cellStyle name="Процентный 2 5 6" xfId="20086"/>
    <cellStyle name="Процентный 2 5 7" xfId="20087"/>
    <cellStyle name="Процентный 2 5 8" xfId="20088"/>
    <cellStyle name="Процентный 2 5 9" xfId="20089"/>
    <cellStyle name="Процентный 2 6" xfId="4760"/>
    <cellStyle name="Процентный 2 6 10" xfId="20090"/>
    <cellStyle name="Процентный 2 6 11" xfId="20091"/>
    <cellStyle name="Процентный 2 6 12" xfId="20092"/>
    <cellStyle name="Процентный 2 6 2" xfId="4761"/>
    <cellStyle name="Процентный 2 6 2 10" xfId="20093"/>
    <cellStyle name="Процентный 2 6 2 11" xfId="20094"/>
    <cellStyle name="Процентный 2 6 2 12" xfId="20095"/>
    <cellStyle name="Процентный 2 6 2 2" xfId="4762"/>
    <cellStyle name="Процентный 2 6 2 2 2" xfId="20096"/>
    <cellStyle name="Процентный 2 6 2 2 3" xfId="20097"/>
    <cellStyle name="Процентный 2 6 2 2 4" xfId="20098"/>
    <cellStyle name="Процентный 2 6 2 2 5" xfId="20099"/>
    <cellStyle name="Процентный 2 6 2 2 6" xfId="20100"/>
    <cellStyle name="Процентный 2 6 2 2 7" xfId="20101"/>
    <cellStyle name="Процентный 2 6 2 2 8" xfId="20102"/>
    <cellStyle name="Процентный 2 6 2 2 9" xfId="20103"/>
    <cellStyle name="Процентный 2 6 2 3" xfId="4763"/>
    <cellStyle name="Процентный 2 6 2 3 2" xfId="20104"/>
    <cellStyle name="Процентный 2 6 2 3 3" xfId="20105"/>
    <cellStyle name="Процентный 2 6 2 3 4" xfId="20106"/>
    <cellStyle name="Процентный 2 6 2 3 5" xfId="20107"/>
    <cellStyle name="Процентный 2 6 2 3 6" xfId="20108"/>
    <cellStyle name="Процентный 2 6 2 3 7" xfId="20109"/>
    <cellStyle name="Процентный 2 6 2 3 8" xfId="20110"/>
    <cellStyle name="Процентный 2 6 2 3 9" xfId="20111"/>
    <cellStyle name="Процентный 2 6 2 4" xfId="4764"/>
    <cellStyle name="Процентный 2 6 2 4 2" xfId="20112"/>
    <cellStyle name="Процентный 2 6 2 4 3" xfId="20113"/>
    <cellStyle name="Процентный 2 6 2 4 4" xfId="20114"/>
    <cellStyle name="Процентный 2 6 2 4 5" xfId="20115"/>
    <cellStyle name="Процентный 2 6 2 4 6" xfId="20116"/>
    <cellStyle name="Процентный 2 6 2 4 7" xfId="20117"/>
    <cellStyle name="Процентный 2 6 2 4 8" xfId="20118"/>
    <cellStyle name="Процентный 2 6 2 4 9" xfId="20119"/>
    <cellStyle name="Процентный 2 6 2 5" xfId="20120"/>
    <cellStyle name="Процентный 2 6 2 6" xfId="20121"/>
    <cellStyle name="Процентный 2 6 2 7" xfId="20122"/>
    <cellStyle name="Процентный 2 6 2 8" xfId="20123"/>
    <cellStyle name="Процентный 2 6 2 9" xfId="20124"/>
    <cellStyle name="Процентный 2 6 3" xfId="4765"/>
    <cellStyle name="Процентный 2 6 3 10" xfId="20125"/>
    <cellStyle name="Процентный 2 6 3 11" xfId="20126"/>
    <cellStyle name="Процентный 2 6 3 2" xfId="4766"/>
    <cellStyle name="Процентный 2 6 3 2 2" xfId="20127"/>
    <cellStyle name="Процентный 2 6 3 2 3" xfId="20128"/>
    <cellStyle name="Процентный 2 6 3 2 4" xfId="20129"/>
    <cellStyle name="Процентный 2 6 3 2 5" xfId="20130"/>
    <cellStyle name="Процентный 2 6 3 2 6" xfId="20131"/>
    <cellStyle name="Процентный 2 6 3 2 7" xfId="20132"/>
    <cellStyle name="Процентный 2 6 3 2 8" xfId="20133"/>
    <cellStyle name="Процентный 2 6 3 2 9" xfId="20134"/>
    <cellStyle name="Процентный 2 6 3 3" xfId="4767"/>
    <cellStyle name="Процентный 2 6 3 3 2" xfId="20135"/>
    <cellStyle name="Процентный 2 6 3 3 3" xfId="20136"/>
    <cellStyle name="Процентный 2 6 3 3 4" xfId="20137"/>
    <cellStyle name="Процентный 2 6 3 3 5" xfId="20138"/>
    <cellStyle name="Процентный 2 6 3 3 6" xfId="20139"/>
    <cellStyle name="Процентный 2 6 3 3 7" xfId="20140"/>
    <cellStyle name="Процентный 2 6 3 3 8" xfId="20141"/>
    <cellStyle name="Процентный 2 6 3 3 9" xfId="20142"/>
    <cellStyle name="Процентный 2 6 3 4" xfId="20143"/>
    <cellStyle name="Процентный 2 6 3 5" xfId="20144"/>
    <cellStyle name="Процентный 2 6 3 6" xfId="20145"/>
    <cellStyle name="Процентный 2 6 3 7" xfId="20146"/>
    <cellStyle name="Процентный 2 6 3 8" xfId="20147"/>
    <cellStyle name="Процентный 2 6 3 9" xfId="20148"/>
    <cellStyle name="Процентный 2 6 4" xfId="4768"/>
    <cellStyle name="Процентный 2 6 4 2" xfId="20149"/>
    <cellStyle name="Процентный 2 6 4 3" xfId="20150"/>
    <cellStyle name="Процентный 2 6 4 4" xfId="20151"/>
    <cellStyle name="Процентный 2 6 4 5" xfId="20152"/>
    <cellStyle name="Процентный 2 6 4 6" xfId="20153"/>
    <cellStyle name="Процентный 2 6 4 7" xfId="20154"/>
    <cellStyle name="Процентный 2 6 4 8" xfId="20155"/>
    <cellStyle name="Процентный 2 6 4 9" xfId="20156"/>
    <cellStyle name="Процентный 2 6 5" xfId="20157"/>
    <cellStyle name="Процентный 2 6 6" xfId="20158"/>
    <cellStyle name="Процентный 2 6 7" xfId="20159"/>
    <cellStyle name="Процентный 2 6 8" xfId="20160"/>
    <cellStyle name="Процентный 2 6 9" xfId="20161"/>
    <cellStyle name="Процентный 2 7" xfId="4769"/>
    <cellStyle name="Процентный 2 7 10" xfId="20162"/>
    <cellStyle name="Процентный 2 7 11" xfId="20163"/>
    <cellStyle name="Процентный 2 7 12" xfId="20164"/>
    <cellStyle name="Процентный 2 7 2" xfId="4770"/>
    <cellStyle name="Процентный 2 7 2 10" xfId="20165"/>
    <cellStyle name="Процентный 2 7 2 11" xfId="20166"/>
    <cellStyle name="Процентный 2 7 2 12" xfId="20167"/>
    <cellStyle name="Процентный 2 7 2 2" xfId="4771"/>
    <cellStyle name="Процентный 2 7 2 2 2" xfId="20168"/>
    <cellStyle name="Процентный 2 7 2 2 3" xfId="20169"/>
    <cellStyle name="Процентный 2 7 2 2 4" xfId="20170"/>
    <cellStyle name="Процентный 2 7 2 2 5" xfId="20171"/>
    <cellStyle name="Процентный 2 7 2 2 6" xfId="20172"/>
    <cellStyle name="Процентный 2 7 2 2 7" xfId="20173"/>
    <cellStyle name="Процентный 2 7 2 2 8" xfId="20174"/>
    <cellStyle name="Процентный 2 7 2 2 9" xfId="20175"/>
    <cellStyle name="Процентный 2 7 2 3" xfId="4772"/>
    <cellStyle name="Процентный 2 7 2 3 2" xfId="20176"/>
    <cellStyle name="Процентный 2 7 2 3 3" xfId="20177"/>
    <cellStyle name="Процентный 2 7 2 3 4" xfId="20178"/>
    <cellStyle name="Процентный 2 7 2 3 5" xfId="20179"/>
    <cellStyle name="Процентный 2 7 2 3 6" xfId="20180"/>
    <cellStyle name="Процентный 2 7 2 3 7" xfId="20181"/>
    <cellStyle name="Процентный 2 7 2 3 8" xfId="20182"/>
    <cellStyle name="Процентный 2 7 2 3 9" xfId="20183"/>
    <cellStyle name="Процентный 2 7 2 4" xfId="4773"/>
    <cellStyle name="Процентный 2 7 2 4 2" xfId="20184"/>
    <cellStyle name="Процентный 2 7 2 4 3" xfId="20185"/>
    <cellStyle name="Процентный 2 7 2 4 4" xfId="20186"/>
    <cellStyle name="Процентный 2 7 2 4 5" xfId="20187"/>
    <cellStyle name="Процентный 2 7 2 4 6" xfId="20188"/>
    <cellStyle name="Процентный 2 7 2 4 7" xfId="20189"/>
    <cellStyle name="Процентный 2 7 2 4 8" xfId="20190"/>
    <cellStyle name="Процентный 2 7 2 4 9" xfId="20191"/>
    <cellStyle name="Процентный 2 7 2 5" xfId="20192"/>
    <cellStyle name="Процентный 2 7 2 6" xfId="20193"/>
    <cellStyle name="Процентный 2 7 2 7" xfId="20194"/>
    <cellStyle name="Процентный 2 7 2 8" xfId="20195"/>
    <cellStyle name="Процентный 2 7 2 9" xfId="20196"/>
    <cellStyle name="Процентный 2 7 3" xfId="4774"/>
    <cellStyle name="Процентный 2 7 3 10" xfId="20197"/>
    <cellStyle name="Процентный 2 7 3 11" xfId="20198"/>
    <cellStyle name="Процентный 2 7 3 2" xfId="4775"/>
    <cellStyle name="Процентный 2 7 3 2 2" xfId="20199"/>
    <cellStyle name="Процентный 2 7 3 2 3" xfId="20200"/>
    <cellStyle name="Процентный 2 7 3 2 4" xfId="20201"/>
    <cellStyle name="Процентный 2 7 3 2 5" xfId="20202"/>
    <cellStyle name="Процентный 2 7 3 2 6" xfId="20203"/>
    <cellStyle name="Процентный 2 7 3 2 7" xfId="20204"/>
    <cellStyle name="Процентный 2 7 3 2 8" xfId="20205"/>
    <cellStyle name="Процентный 2 7 3 2 9" xfId="20206"/>
    <cellStyle name="Процентный 2 7 3 3" xfId="4776"/>
    <cellStyle name="Процентный 2 7 3 3 2" xfId="20207"/>
    <cellStyle name="Процентный 2 7 3 3 3" xfId="20208"/>
    <cellStyle name="Процентный 2 7 3 3 4" xfId="20209"/>
    <cellStyle name="Процентный 2 7 3 3 5" xfId="20210"/>
    <cellStyle name="Процентный 2 7 3 3 6" xfId="20211"/>
    <cellStyle name="Процентный 2 7 3 3 7" xfId="20212"/>
    <cellStyle name="Процентный 2 7 3 3 8" xfId="20213"/>
    <cellStyle name="Процентный 2 7 3 3 9" xfId="20214"/>
    <cellStyle name="Процентный 2 7 3 4" xfId="20215"/>
    <cellStyle name="Процентный 2 7 3 5" xfId="20216"/>
    <cellStyle name="Процентный 2 7 3 6" xfId="20217"/>
    <cellStyle name="Процентный 2 7 3 7" xfId="20218"/>
    <cellStyle name="Процентный 2 7 3 8" xfId="20219"/>
    <cellStyle name="Процентный 2 7 3 9" xfId="20220"/>
    <cellStyle name="Процентный 2 7 4" xfId="4777"/>
    <cellStyle name="Процентный 2 7 4 2" xfId="20221"/>
    <cellStyle name="Процентный 2 7 4 3" xfId="20222"/>
    <cellStyle name="Процентный 2 7 4 4" xfId="20223"/>
    <cellStyle name="Процентный 2 7 4 5" xfId="20224"/>
    <cellStyle name="Процентный 2 7 4 6" xfId="20225"/>
    <cellStyle name="Процентный 2 7 4 7" xfId="20226"/>
    <cellStyle name="Процентный 2 7 4 8" xfId="20227"/>
    <cellStyle name="Процентный 2 7 4 9" xfId="20228"/>
    <cellStyle name="Процентный 2 7 5" xfId="20229"/>
    <cellStyle name="Процентный 2 7 6" xfId="20230"/>
    <cellStyle name="Процентный 2 7 7" xfId="20231"/>
    <cellStyle name="Процентный 2 7 8" xfId="20232"/>
    <cellStyle name="Процентный 2 7 9" xfId="20233"/>
    <cellStyle name="Процентный 2 8" xfId="4778"/>
    <cellStyle name="Процентный 2 8 10" xfId="20234"/>
    <cellStyle name="Процентный 2 8 2" xfId="4779"/>
    <cellStyle name="Процентный 2 8 2 2" xfId="4780"/>
    <cellStyle name="Процентный 2 8 2 2 2" xfId="4781"/>
    <cellStyle name="Процентный 2 8 2 2 2 2" xfId="20235"/>
    <cellStyle name="Процентный 2 8 2 2 2 3" xfId="20236"/>
    <cellStyle name="Процентный 2 8 2 2 2 4" xfId="20237"/>
    <cellStyle name="Процентный 2 8 2 2 2 5" xfId="20238"/>
    <cellStyle name="Процентный 2 8 2 2 2 6" xfId="20239"/>
    <cellStyle name="Процентный 2 8 2 2 3" xfId="4782"/>
    <cellStyle name="Процентный 2 8 2 2 3 2" xfId="20240"/>
    <cellStyle name="Процентный 2 8 2 2 3 3" xfId="20241"/>
    <cellStyle name="Процентный 2 8 2 2 3 4" xfId="20242"/>
    <cellStyle name="Процентный 2 8 2 2 3 5" xfId="20243"/>
    <cellStyle name="Процентный 2 8 2 2 3 6" xfId="20244"/>
    <cellStyle name="Процентный 2 8 2 2 4" xfId="20245"/>
    <cellStyle name="Процентный 2 8 2 2 5" xfId="20246"/>
    <cellStyle name="Процентный 2 8 2 2 6" xfId="20247"/>
    <cellStyle name="Процентный 2 8 2 2 7" xfId="20248"/>
    <cellStyle name="Процентный 2 8 2 2 8" xfId="20249"/>
    <cellStyle name="Процентный 2 8 2 3" xfId="4783"/>
    <cellStyle name="Процентный 2 8 2 3 2" xfId="20250"/>
    <cellStyle name="Процентный 2 8 2 3 3" xfId="20251"/>
    <cellStyle name="Процентный 2 8 2 3 4" xfId="20252"/>
    <cellStyle name="Процентный 2 8 2 3 5" xfId="20253"/>
    <cellStyle name="Процентный 2 8 2 3 6" xfId="20254"/>
    <cellStyle name="Процентный 2 8 2 4" xfId="4784"/>
    <cellStyle name="Процентный 2 8 2 4 2" xfId="20255"/>
    <cellStyle name="Процентный 2 8 2 4 3" xfId="20256"/>
    <cellStyle name="Процентный 2 8 2 4 4" xfId="20257"/>
    <cellStyle name="Процентный 2 8 2 4 5" xfId="20258"/>
    <cellStyle name="Процентный 2 8 2 5" xfId="20259"/>
    <cellStyle name="Процентный 2 8 2 6" xfId="20260"/>
    <cellStyle name="Процентный 2 8 2 7" xfId="20261"/>
    <cellStyle name="Процентный 2 8 2 8" xfId="20262"/>
    <cellStyle name="Процентный 2 8 3" xfId="4785"/>
    <cellStyle name="Процентный 2 8 3 2" xfId="4786"/>
    <cellStyle name="Процентный 2 8 3 2 2" xfId="4787"/>
    <cellStyle name="Процентный 2 8 3 2 2 2" xfId="20263"/>
    <cellStyle name="Процентный 2 8 3 2 2 3" xfId="20264"/>
    <cellStyle name="Процентный 2 8 3 2 2 4" xfId="20265"/>
    <cellStyle name="Процентный 2 8 3 2 2 5" xfId="20266"/>
    <cellStyle name="Процентный 2 8 3 2 2 6" xfId="20267"/>
    <cellStyle name="Процентный 2 8 3 2 3" xfId="4788"/>
    <cellStyle name="Процентный 2 8 3 2 3 2" xfId="20268"/>
    <cellStyle name="Процентный 2 8 3 2 3 3" xfId="20269"/>
    <cellStyle name="Процентный 2 8 3 2 3 4" xfId="20270"/>
    <cellStyle name="Процентный 2 8 3 2 3 5" xfId="20271"/>
    <cellStyle name="Процентный 2 8 3 2 3 6" xfId="20272"/>
    <cellStyle name="Процентный 2 8 3 2 4" xfId="20273"/>
    <cellStyle name="Процентный 2 8 3 2 5" xfId="20274"/>
    <cellStyle name="Процентный 2 8 3 2 6" xfId="20275"/>
    <cellStyle name="Процентный 2 8 3 2 7" xfId="20276"/>
    <cellStyle name="Процентный 2 8 3 2 8" xfId="20277"/>
    <cellStyle name="Процентный 2 8 3 3" xfId="4789"/>
    <cellStyle name="Процентный 2 8 3 3 2" xfId="20278"/>
    <cellStyle name="Процентный 2 8 3 3 3" xfId="20279"/>
    <cellStyle name="Процентный 2 8 3 3 4" xfId="20280"/>
    <cellStyle name="Процентный 2 8 3 3 5" xfId="20281"/>
    <cellStyle name="Процентный 2 8 3 3 6" xfId="20282"/>
    <cellStyle name="Процентный 2 8 3 4" xfId="4790"/>
    <cellStyle name="Процентный 2 8 3 4 2" xfId="20283"/>
    <cellStyle name="Процентный 2 8 3 4 3" xfId="20284"/>
    <cellStyle name="Процентный 2 8 3 4 4" xfId="20285"/>
    <cellStyle name="Процентный 2 8 3 4 5" xfId="20286"/>
    <cellStyle name="Процентный 2 8 3 5" xfId="20287"/>
    <cellStyle name="Процентный 2 8 3 6" xfId="20288"/>
    <cellStyle name="Процентный 2 8 3 7" xfId="20289"/>
    <cellStyle name="Процентный 2 8 3 8" xfId="20290"/>
    <cellStyle name="Процентный 2 8 4" xfId="4791"/>
    <cellStyle name="Процентный 2 8 4 2" xfId="4792"/>
    <cellStyle name="Процентный 2 8 4 3" xfId="4793"/>
    <cellStyle name="Процентный 2 8 5" xfId="4794"/>
    <cellStyle name="Процентный 2 8 6" xfId="4795"/>
    <cellStyle name="Процентный 2 8 6 2" xfId="20291"/>
    <cellStyle name="Процентный 2 8 6 3" xfId="20292"/>
    <cellStyle name="Процентный 2 8 6 4" xfId="20293"/>
    <cellStyle name="Процентный 2 8 6 5" xfId="20294"/>
    <cellStyle name="Процентный 2 8 7" xfId="20295"/>
    <cellStyle name="Процентный 2 8 8" xfId="20296"/>
    <cellStyle name="Процентный 2 8 9" xfId="20297"/>
    <cellStyle name="Процентный 2 9" xfId="4796"/>
    <cellStyle name="Процентный 2 9 2" xfId="4797"/>
    <cellStyle name="Процентный 2 9 2 2" xfId="4798"/>
    <cellStyle name="Процентный 2 9 2 3" xfId="4799"/>
    <cellStyle name="Процентный 2 9 3" xfId="4800"/>
    <cellStyle name="Процентный 2 9 4" xfId="4801"/>
    <cellStyle name="Процентный 2 9 4 2" xfId="20298"/>
    <cellStyle name="Процентный 2 9 4 3" xfId="20299"/>
    <cellStyle name="Процентный 2 9 4 4" xfId="20300"/>
    <cellStyle name="Процентный 2 9 4 5" xfId="20301"/>
    <cellStyle name="Процентный 2 9 5" xfId="20302"/>
    <cellStyle name="Процентный 2 9 6" xfId="20303"/>
    <cellStyle name="Процентный 2 9 7" xfId="20304"/>
    <cellStyle name="Процентный 2 9 8" xfId="20305"/>
    <cellStyle name="Процентный 3" xfId="4802"/>
    <cellStyle name="Процентный 3 10" xfId="20306"/>
    <cellStyle name="Процентный 3 11" xfId="20307"/>
    <cellStyle name="Процентный 3 12" xfId="20308"/>
    <cellStyle name="Процентный 3 13" xfId="20309"/>
    <cellStyle name="Процентный 3 14" xfId="20310"/>
    <cellStyle name="Процентный 3 15" xfId="20311"/>
    <cellStyle name="Процентный 3 2" xfId="4803"/>
    <cellStyle name="Процентный 3 2 10" xfId="20312"/>
    <cellStyle name="Процентный 3 2 2" xfId="4804"/>
    <cellStyle name="Процентный 3 2 2 2" xfId="4805"/>
    <cellStyle name="Процентный 3 2 2 2 2" xfId="4806"/>
    <cellStyle name="Процентный 3 2 2 2 3" xfId="4807"/>
    <cellStyle name="Процентный 3 2 2 3" xfId="4808"/>
    <cellStyle name="Процентный 3 2 2 4" xfId="4809"/>
    <cellStyle name="Процентный 3 2 2 4 2" xfId="20313"/>
    <cellStyle name="Процентный 3 2 2 4 3" xfId="20314"/>
    <cellStyle name="Процентный 3 2 2 4 4" xfId="20315"/>
    <cellStyle name="Процентный 3 2 2 4 5" xfId="20316"/>
    <cellStyle name="Процентный 3 2 2 5" xfId="20317"/>
    <cellStyle name="Процентный 3 2 2 6" xfId="20318"/>
    <cellStyle name="Процентный 3 2 2 7" xfId="20319"/>
    <cellStyle name="Процентный 3 2 2 8" xfId="20320"/>
    <cellStyle name="Процентный 3 2 3" xfId="4810"/>
    <cellStyle name="Процентный 3 2 3 10" xfId="20321"/>
    <cellStyle name="Процентный 3 2 3 11" xfId="20322"/>
    <cellStyle name="Процентный 3 2 3 12" xfId="20323"/>
    <cellStyle name="Процентный 3 2 3 2" xfId="4811"/>
    <cellStyle name="Процентный 3 2 3 2 10" xfId="20324"/>
    <cellStyle name="Процентный 3 2 3 2 11" xfId="20325"/>
    <cellStyle name="Процентный 3 2 3 2 12" xfId="20326"/>
    <cellStyle name="Процентный 3 2 3 2 2" xfId="4812"/>
    <cellStyle name="Процентный 3 2 3 2 2 2" xfId="20327"/>
    <cellStyle name="Процентный 3 2 3 2 2 3" xfId="20328"/>
    <cellStyle name="Процентный 3 2 3 2 2 4" xfId="20329"/>
    <cellStyle name="Процентный 3 2 3 2 2 5" xfId="20330"/>
    <cellStyle name="Процентный 3 2 3 2 2 6" xfId="20331"/>
    <cellStyle name="Процентный 3 2 3 2 2 7" xfId="20332"/>
    <cellStyle name="Процентный 3 2 3 2 2 8" xfId="20333"/>
    <cellStyle name="Процентный 3 2 3 2 2 9" xfId="20334"/>
    <cellStyle name="Процентный 3 2 3 2 3" xfId="4813"/>
    <cellStyle name="Процентный 3 2 3 2 3 2" xfId="20335"/>
    <cellStyle name="Процентный 3 2 3 2 3 3" xfId="20336"/>
    <cellStyle name="Процентный 3 2 3 2 3 4" xfId="20337"/>
    <cellStyle name="Процентный 3 2 3 2 3 5" xfId="20338"/>
    <cellStyle name="Процентный 3 2 3 2 3 6" xfId="20339"/>
    <cellStyle name="Процентный 3 2 3 2 3 7" xfId="20340"/>
    <cellStyle name="Процентный 3 2 3 2 3 8" xfId="20341"/>
    <cellStyle name="Процентный 3 2 3 2 3 9" xfId="20342"/>
    <cellStyle name="Процентный 3 2 3 2 4" xfId="4814"/>
    <cellStyle name="Процентный 3 2 3 2 4 2" xfId="20343"/>
    <cellStyle name="Процентный 3 2 3 2 4 3" xfId="20344"/>
    <cellStyle name="Процентный 3 2 3 2 4 4" xfId="20345"/>
    <cellStyle name="Процентный 3 2 3 2 4 5" xfId="20346"/>
    <cellStyle name="Процентный 3 2 3 2 4 6" xfId="20347"/>
    <cellStyle name="Процентный 3 2 3 2 4 7" xfId="20348"/>
    <cellStyle name="Процентный 3 2 3 2 4 8" xfId="20349"/>
    <cellStyle name="Процентный 3 2 3 2 4 9" xfId="20350"/>
    <cellStyle name="Процентный 3 2 3 2 5" xfId="20351"/>
    <cellStyle name="Процентный 3 2 3 2 6" xfId="20352"/>
    <cellStyle name="Процентный 3 2 3 2 7" xfId="20353"/>
    <cellStyle name="Процентный 3 2 3 2 8" xfId="20354"/>
    <cellStyle name="Процентный 3 2 3 2 9" xfId="20355"/>
    <cellStyle name="Процентный 3 2 3 3" xfId="4815"/>
    <cellStyle name="Процентный 3 2 3 3 10" xfId="20356"/>
    <cellStyle name="Процентный 3 2 3 3 11" xfId="20357"/>
    <cellStyle name="Процентный 3 2 3 3 2" xfId="4816"/>
    <cellStyle name="Процентный 3 2 3 3 2 2" xfId="20358"/>
    <cellStyle name="Процентный 3 2 3 3 2 3" xfId="20359"/>
    <cellStyle name="Процентный 3 2 3 3 2 4" xfId="20360"/>
    <cellStyle name="Процентный 3 2 3 3 2 5" xfId="20361"/>
    <cellStyle name="Процентный 3 2 3 3 2 6" xfId="20362"/>
    <cellStyle name="Процентный 3 2 3 3 2 7" xfId="20363"/>
    <cellStyle name="Процентный 3 2 3 3 2 8" xfId="20364"/>
    <cellStyle name="Процентный 3 2 3 3 2 9" xfId="20365"/>
    <cellStyle name="Процентный 3 2 3 3 3" xfId="4817"/>
    <cellStyle name="Процентный 3 2 3 3 3 2" xfId="20366"/>
    <cellStyle name="Процентный 3 2 3 3 3 3" xfId="20367"/>
    <cellStyle name="Процентный 3 2 3 3 3 4" xfId="20368"/>
    <cellStyle name="Процентный 3 2 3 3 3 5" xfId="20369"/>
    <cellStyle name="Процентный 3 2 3 3 3 6" xfId="20370"/>
    <cellStyle name="Процентный 3 2 3 3 3 7" xfId="20371"/>
    <cellStyle name="Процентный 3 2 3 3 3 8" xfId="20372"/>
    <cellStyle name="Процентный 3 2 3 3 3 9" xfId="20373"/>
    <cellStyle name="Процентный 3 2 3 3 4" xfId="20374"/>
    <cellStyle name="Процентный 3 2 3 3 5" xfId="20375"/>
    <cellStyle name="Процентный 3 2 3 3 6" xfId="20376"/>
    <cellStyle name="Процентный 3 2 3 3 7" xfId="20377"/>
    <cellStyle name="Процентный 3 2 3 3 8" xfId="20378"/>
    <cellStyle name="Процентный 3 2 3 3 9" xfId="20379"/>
    <cellStyle name="Процентный 3 2 3 4" xfId="4818"/>
    <cellStyle name="Процентный 3 2 3 4 2" xfId="20380"/>
    <cellStyle name="Процентный 3 2 3 4 3" xfId="20381"/>
    <cellStyle name="Процентный 3 2 3 4 4" xfId="20382"/>
    <cellStyle name="Процентный 3 2 3 4 5" xfId="20383"/>
    <cellStyle name="Процентный 3 2 3 4 6" xfId="20384"/>
    <cellStyle name="Процентный 3 2 3 4 7" xfId="20385"/>
    <cellStyle name="Процентный 3 2 3 4 8" xfId="20386"/>
    <cellStyle name="Процентный 3 2 3 4 9" xfId="20387"/>
    <cellStyle name="Процентный 3 2 3 5" xfId="20388"/>
    <cellStyle name="Процентный 3 2 3 6" xfId="20389"/>
    <cellStyle name="Процентный 3 2 3 7" xfId="20390"/>
    <cellStyle name="Процентный 3 2 3 8" xfId="20391"/>
    <cellStyle name="Процентный 3 2 3 9" xfId="20392"/>
    <cellStyle name="Процентный 3 2 4" xfId="4819"/>
    <cellStyle name="Процентный 3 2 4 2" xfId="4820"/>
    <cellStyle name="Процентный 3 2 4 3" xfId="4821"/>
    <cellStyle name="Процентный 3 2 5" xfId="4822"/>
    <cellStyle name="Процентный 3 2 6" xfId="4823"/>
    <cellStyle name="Процентный 3 2 6 2" xfId="20393"/>
    <cellStyle name="Процентный 3 2 6 3" xfId="20394"/>
    <cellStyle name="Процентный 3 2 6 4" xfId="20395"/>
    <cellStyle name="Процентный 3 2 6 5" xfId="20396"/>
    <cellStyle name="Процентный 3 2 7" xfId="20397"/>
    <cellStyle name="Процентный 3 2 8" xfId="20398"/>
    <cellStyle name="Процентный 3 2 9" xfId="20399"/>
    <cellStyle name="Процентный 3 3" xfId="4824"/>
    <cellStyle name="Процентный 3 3 2" xfId="4825"/>
    <cellStyle name="Процентный 3 3 2 2" xfId="4826"/>
    <cellStyle name="Процентный 3 3 2 3" xfId="4827"/>
    <cellStyle name="Процентный 3 3 3" xfId="4828"/>
    <cellStyle name="Процентный 3 3 4" xfId="4829"/>
    <cellStyle name="Процентный 3 3 4 2" xfId="20400"/>
    <cellStyle name="Процентный 3 3 4 3" xfId="20401"/>
    <cellStyle name="Процентный 3 3 4 4" xfId="20402"/>
    <cellStyle name="Процентный 3 3 4 5" xfId="20403"/>
    <cellStyle name="Процентный 3 3 5" xfId="20404"/>
    <cellStyle name="Процентный 3 3 6" xfId="20405"/>
    <cellStyle name="Процентный 3 3 7" xfId="20406"/>
    <cellStyle name="Процентный 3 3 8" xfId="20407"/>
    <cellStyle name="Процентный 3 4" xfId="4830"/>
    <cellStyle name="Процентный 3 4 2" xfId="4831"/>
    <cellStyle name="Процентный 3 4 2 2" xfId="4832"/>
    <cellStyle name="Процентный 3 4 2 3" xfId="4833"/>
    <cellStyle name="Процентный 3 4 3" xfId="4834"/>
    <cellStyle name="Процентный 3 4 4" xfId="4835"/>
    <cellStyle name="Процентный 3 4 4 2" xfId="20408"/>
    <cellStyle name="Процентный 3 4 4 3" xfId="20409"/>
    <cellStyle name="Процентный 3 4 4 4" xfId="20410"/>
    <cellStyle name="Процентный 3 4 4 5" xfId="20411"/>
    <cellStyle name="Процентный 3 4 5" xfId="20412"/>
    <cellStyle name="Процентный 3 4 6" xfId="20413"/>
    <cellStyle name="Процентный 3 4 7" xfId="20414"/>
    <cellStyle name="Процентный 3 4 8" xfId="20415"/>
    <cellStyle name="Процентный 3 5" xfId="4836"/>
    <cellStyle name="Процентный 3 5 10" xfId="20416"/>
    <cellStyle name="Процентный 3 5 11" xfId="20417"/>
    <cellStyle name="Процентный 3 5 12" xfId="20418"/>
    <cellStyle name="Процентный 3 5 2" xfId="4837"/>
    <cellStyle name="Процентный 3 5 2 2" xfId="20419"/>
    <cellStyle name="Процентный 3 5 2 3" xfId="20420"/>
    <cellStyle name="Процентный 3 5 2 4" xfId="20421"/>
    <cellStyle name="Процентный 3 5 2 5" xfId="20422"/>
    <cellStyle name="Процентный 3 5 2 6" xfId="20423"/>
    <cellStyle name="Процентный 3 5 2 7" xfId="20424"/>
    <cellStyle name="Процентный 3 5 2 8" xfId="20425"/>
    <cellStyle name="Процентный 3 5 2 9" xfId="20426"/>
    <cellStyle name="Процентный 3 5 3" xfId="4838"/>
    <cellStyle name="Процентный 3 5 3 2" xfId="20427"/>
    <cellStyle name="Процентный 3 5 3 3" xfId="20428"/>
    <cellStyle name="Процентный 3 5 3 4" xfId="20429"/>
    <cellStyle name="Процентный 3 5 3 5" xfId="20430"/>
    <cellStyle name="Процентный 3 5 3 6" xfId="20431"/>
    <cellStyle name="Процентный 3 5 3 7" xfId="20432"/>
    <cellStyle name="Процентный 3 5 3 8" xfId="20433"/>
    <cellStyle name="Процентный 3 5 3 9" xfId="20434"/>
    <cellStyle name="Процентный 3 5 4" xfId="4839"/>
    <cellStyle name="Процентный 3 5 4 2" xfId="20435"/>
    <cellStyle name="Процентный 3 5 4 3" xfId="20436"/>
    <cellStyle name="Процентный 3 5 4 4" xfId="20437"/>
    <cellStyle name="Процентный 3 5 4 5" xfId="20438"/>
    <cellStyle name="Процентный 3 5 4 6" xfId="20439"/>
    <cellStyle name="Процентный 3 5 4 7" xfId="20440"/>
    <cellStyle name="Процентный 3 5 4 8" xfId="20441"/>
    <cellStyle name="Процентный 3 5 4 9" xfId="20442"/>
    <cellStyle name="Процентный 3 5 5" xfId="20443"/>
    <cellStyle name="Процентный 3 5 6" xfId="20444"/>
    <cellStyle name="Процентный 3 5 7" xfId="20445"/>
    <cellStyle name="Процентный 3 5 8" xfId="20446"/>
    <cellStyle name="Процентный 3 5 9" xfId="20447"/>
    <cellStyle name="Процентный 3 6" xfId="4840"/>
    <cellStyle name="Процентный 3 6 10" xfId="20448"/>
    <cellStyle name="Процентный 3 6 11" xfId="20449"/>
    <cellStyle name="Процентный 3 6 2" xfId="4841"/>
    <cellStyle name="Процентный 3 6 2 2" xfId="20450"/>
    <cellStyle name="Процентный 3 6 2 3" xfId="20451"/>
    <cellStyle name="Процентный 3 6 2 4" xfId="20452"/>
    <cellStyle name="Процентный 3 6 2 5" xfId="20453"/>
    <cellStyle name="Процентный 3 6 2 6" xfId="20454"/>
    <cellStyle name="Процентный 3 6 2 7" xfId="20455"/>
    <cellStyle name="Процентный 3 6 2 8" xfId="20456"/>
    <cellStyle name="Процентный 3 6 2 9" xfId="20457"/>
    <cellStyle name="Процентный 3 6 3" xfId="4842"/>
    <cellStyle name="Процентный 3 6 3 2" xfId="20458"/>
    <cellStyle name="Процентный 3 6 3 3" xfId="20459"/>
    <cellStyle name="Процентный 3 6 3 4" xfId="20460"/>
    <cellStyle name="Процентный 3 6 3 5" xfId="20461"/>
    <cellStyle name="Процентный 3 6 3 6" xfId="20462"/>
    <cellStyle name="Процентный 3 6 3 7" xfId="20463"/>
    <cellStyle name="Процентный 3 6 3 8" xfId="20464"/>
    <cellStyle name="Процентный 3 6 3 9" xfId="20465"/>
    <cellStyle name="Процентный 3 6 4" xfId="20466"/>
    <cellStyle name="Процентный 3 6 5" xfId="20467"/>
    <cellStyle name="Процентный 3 6 6" xfId="20468"/>
    <cellStyle name="Процентный 3 6 7" xfId="20469"/>
    <cellStyle name="Процентный 3 6 8" xfId="20470"/>
    <cellStyle name="Процентный 3 6 9" xfId="20471"/>
    <cellStyle name="Процентный 3 7" xfId="4843"/>
    <cellStyle name="Процентный 3 7 2" xfId="20472"/>
    <cellStyle name="Процентный 3 7 3" xfId="20473"/>
    <cellStyle name="Процентный 3 7 4" xfId="20474"/>
    <cellStyle name="Процентный 3 7 5" xfId="20475"/>
    <cellStyle name="Процентный 3 7 6" xfId="20476"/>
    <cellStyle name="Процентный 3 7 7" xfId="20477"/>
    <cellStyle name="Процентный 3 7 8" xfId="20478"/>
    <cellStyle name="Процентный 3 7 9" xfId="20479"/>
    <cellStyle name="Процентный 3 8" xfId="20480"/>
    <cellStyle name="Процентный 3 9" xfId="20481"/>
    <cellStyle name="Процентный 4" xfId="4844"/>
    <cellStyle name="Процентный 4 2" xfId="4845"/>
    <cellStyle name="Процентный 4 2 2" xfId="4846"/>
    <cellStyle name="Процентный 4 2 3" xfId="4847"/>
    <cellStyle name="Процентный 4 3" xfId="4848"/>
    <cellStyle name="Процентный 4 4" xfId="4849"/>
    <cellStyle name="Процентный 4 4 2" xfId="20482"/>
    <cellStyle name="Процентный 4 4 3" xfId="20483"/>
    <cellStyle name="Процентный 4 4 4" xfId="20484"/>
    <cellStyle name="Процентный 4 4 5" xfId="20485"/>
    <cellStyle name="Процентный 4 5" xfId="20486"/>
    <cellStyle name="Процентный 4 6" xfId="20487"/>
    <cellStyle name="Процентный 4 7" xfId="20488"/>
    <cellStyle name="Процентный 4 8" xfId="20489"/>
    <cellStyle name="Связанная ячейка 2" xfId="4850"/>
    <cellStyle name="Связанная ячейка 2 2" xfId="4851"/>
    <cellStyle name="Связанная ячейка 2 2 2" xfId="4852"/>
    <cellStyle name="Связанная ячейка 2 2 2 2" xfId="4853"/>
    <cellStyle name="Связанная ячейка 2 2 2 3" xfId="4854"/>
    <cellStyle name="Связанная ячейка 2 2 3" xfId="4855"/>
    <cellStyle name="Связанная ячейка 2 2 4" xfId="4856"/>
    <cellStyle name="Связанная ячейка 2 2 4 2" xfId="20490"/>
    <cellStyle name="Связанная ячейка 2 2 4 3" xfId="20491"/>
    <cellStyle name="Связанная ячейка 2 2 4 4" xfId="20492"/>
    <cellStyle name="Связанная ячейка 2 2 4 5" xfId="20493"/>
    <cellStyle name="Связанная ячейка 2 2 5" xfId="20494"/>
    <cellStyle name="Связанная ячейка 2 2 6" xfId="20495"/>
    <cellStyle name="Связанная ячейка 2 2 7" xfId="20496"/>
    <cellStyle name="Связанная ячейка 2 2 8" xfId="20497"/>
    <cellStyle name="Связанная ячейка 2 3" xfId="4857"/>
    <cellStyle name="Связанная ячейка 2 3 2" xfId="4858"/>
    <cellStyle name="Связанная ячейка 2 3 2 2" xfId="20498"/>
    <cellStyle name="Связанная ячейка 2 3 2 3" xfId="20499"/>
    <cellStyle name="Связанная ячейка 2 3 2 4" xfId="20500"/>
    <cellStyle name="Связанная ячейка 2 3 2 5" xfId="20501"/>
    <cellStyle name="Связанная ячейка 2 3 2 6" xfId="20502"/>
    <cellStyle name="Связанная ячейка 2 3 3" xfId="4859"/>
    <cellStyle name="Связанная ячейка 2 3 3 2" xfId="20503"/>
    <cellStyle name="Связанная ячейка 2 3 3 3" xfId="20504"/>
    <cellStyle name="Связанная ячейка 2 3 3 4" xfId="20505"/>
    <cellStyle name="Связанная ячейка 2 3 3 5" xfId="20506"/>
    <cellStyle name="Связанная ячейка 2 3 3 6" xfId="20507"/>
    <cellStyle name="Связанная ячейка 2 3 4" xfId="20508"/>
    <cellStyle name="Связанная ячейка 2 3 5" xfId="20509"/>
    <cellStyle name="Связанная ячейка 2 3 6" xfId="20510"/>
    <cellStyle name="Связанная ячейка 2 3 7" xfId="20511"/>
    <cellStyle name="Связанная ячейка 2 3 8" xfId="20512"/>
    <cellStyle name="Связанная ячейка 2 4" xfId="4860"/>
    <cellStyle name="Связанная ячейка 2 4 2" xfId="20513"/>
    <cellStyle name="Связанная ячейка 2 4 3" xfId="20514"/>
    <cellStyle name="Связанная ячейка 2 4 4" xfId="20515"/>
    <cellStyle name="Связанная ячейка 2 4 5" xfId="20516"/>
    <cellStyle name="Связанная ячейка 2 4 6" xfId="20517"/>
    <cellStyle name="Связанная ячейка 2 5" xfId="4861"/>
    <cellStyle name="Связанная ячейка 2 5 2" xfId="20518"/>
    <cellStyle name="Связанная ячейка 2 5 3" xfId="20519"/>
    <cellStyle name="Связанная ячейка 2 5 4" xfId="20520"/>
    <cellStyle name="Связанная ячейка 2 5 5" xfId="20521"/>
    <cellStyle name="Связанная ячейка 2 6" xfId="20522"/>
    <cellStyle name="Связанная ячейка 2 7" xfId="20523"/>
    <cellStyle name="Связанная ячейка 2 8" xfId="20524"/>
    <cellStyle name="Связанная ячейка 2 9" xfId="20525"/>
    <cellStyle name="Связанная ячейка 3" xfId="4862"/>
    <cellStyle name="Связанная ячейка 3 2" xfId="4863"/>
    <cellStyle name="Связанная ячейка 3 2 2" xfId="4864"/>
    <cellStyle name="Связанная ячейка 3 2 2 2" xfId="20526"/>
    <cellStyle name="Связанная ячейка 3 2 2 3" xfId="20527"/>
    <cellStyle name="Связанная ячейка 3 2 2 4" xfId="20528"/>
    <cellStyle name="Связанная ячейка 3 2 2 5" xfId="20529"/>
    <cellStyle name="Связанная ячейка 3 2 2 6" xfId="20530"/>
    <cellStyle name="Связанная ячейка 3 2 3" xfId="4865"/>
    <cellStyle name="Связанная ячейка 3 2 3 2" xfId="20531"/>
    <cellStyle name="Связанная ячейка 3 2 3 3" xfId="20532"/>
    <cellStyle name="Связанная ячейка 3 2 3 4" xfId="20533"/>
    <cellStyle name="Связанная ячейка 3 2 3 5" xfId="20534"/>
    <cellStyle name="Связанная ячейка 3 2 3 6" xfId="20535"/>
    <cellStyle name="Связанная ячейка 3 2 4" xfId="20536"/>
    <cellStyle name="Связанная ячейка 3 2 5" xfId="20537"/>
    <cellStyle name="Связанная ячейка 3 2 6" xfId="20538"/>
    <cellStyle name="Связанная ячейка 3 2 7" xfId="20539"/>
    <cellStyle name="Связанная ячейка 3 2 8" xfId="20540"/>
    <cellStyle name="Связанная ячейка 3 3" xfId="4866"/>
    <cellStyle name="Связанная ячейка 3 3 2" xfId="20541"/>
    <cellStyle name="Связанная ячейка 3 3 3" xfId="20542"/>
    <cellStyle name="Связанная ячейка 3 3 4" xfId="20543"/>
    <cellStyle name="Связанная ячейка 3 3 5" xfId="20544"/>
    <cellStyle name="Связанная ячейка 3 3 6" xfId="20545"/>
    <cellStyle name="Связанная ячейка 3 4" xfId="4867"/>
    <cellStyle name="Связанная ячейка 3 4 2" xfId="20546"/>
    <cellStyle name="Связанная ячейка 3 4 3" xfId="20547"/>
    <cellStyle name="Связанная ячейка 3 4 4" xfId="20548"/>
    <cellStyle name="Связанная ячейка 3 4 5" xfId="20549"/>
    <cellStyle name="Связанная ячейка 3 5" xfId="20550"/>
    <cellStyle name="Связанная ячейка 3 6" xfId="20551"/>
    <cellStyle name="Связанная ячейка 3 7" xfId="20552"/>
    <cellStyle name="Связанная ячейка 3 8" xfId="20553"/>
    <cellStyle name="Связанная ячейка 4" xfId="4868"/>
    <cellStyle name="Связанная ячейка 4 2" xfId="4869"/>
    <cellStyle name="Связанная ячейка 4 2 2" xfId="4870"/>
    <cellStyle name="Связанная ячейка 4 2 2 2" xfId="20554"/>
    <cellStyle name="Связанная ячейка 4 2 2 3" xfId="20555"/>
    <cellStyle name="Связанная ячейка 4 2 2 4" xfId="20556"/>
    <cellStyle name="Связанная ячейка 4 2 2 5" xfId="20557"/>
    <cellStyle name="Связанная ячейка 4 2 2 6" xfId="20558"/>
    <cellStyle name="Связанная ячейка 4 2 3" xfId="4871"/>
    <cellStyle name="Связанная ячейка 4 2 3 2" xfId="20559"/>
    <cellStyle name="Связанная ячейка 4 2 3 3" xfId="20560"/>
    <cellStyle name="Связанная ячейка 4 2 3 4" xfId="20561"/>
    <cellStyle name="Связанная ячейка 4 2 3 5" xfId="20562"/>
    <cellStyle name="Связанная ячейка 4 2 3 6" xfId="20563"/>
    <cellStyle name="Связанная ячейка 4 2 4" xfId="20564"/>
    <cellStyle name="Связанная ячейка 4 2 5" xfId="20565"/>
    <cellStyle name="Связанная ячейка 4 2 6" xfId="20566"/>
    <cellStyle name="Связанная ячейка 4 2 7" xfId="20567"/>
    <cellStyle name="Связанная ячейка 4 2 8" xfId="20568"/>
    <cellStyle name="Связанная ячейка 4 3" xfId="4872"/>
    <cellStyle name="Связанная ячейка 4 3 2" xfId="20569"/>
    <cellStyle name="Связанная ячейка 4 3 3" xfId="20570"/>
    <cellStyle name="Связанная ячейка 4 3 4" xfId="20571"/>
    <cellStyle name="Связанная ячейка 4 3 5" xfId="20572"/>
    <cellStyle name="Связанная ячейка 4 3 6" xfId="20573"/>
    <cellStyle name="Связанная ячейка 4 4" xfId="4873"/>
    <cellStyle name="Связанная ячейка 4 4 2" xfId="20574"/>
    <cellStyle name="Связанная ячейка 4 4 3" xfId="20575"/>
    <cellStyle name="Связанная ячейка 4 4 4" xfId="20576"/>
    <cellStyle name="Связанная ячейка 4 4 5" xfId="20577"/>
    <cellStyle name="Связанная ячейка 4 5" xfId="20578"/>
    <cellStyle name="Связанная ячейка 4 6" xfId="20579"/>
    <cellStyle name="Связанная ячейка 4 7" xfId="20580"/>
    <cellStyle name="Связанная ячейка 4 8" xfId="20581"/>
    <cellStyle name="Связанная ячейка 5" xfId="4874"/>
    <cellStyle name="Связанная ячейка 5 2" xfId="4875"/>
    <cellStyle name="Связанная ячейка 5 2 2" xfId="4876"/>
    <cellStyle name="Связанная ячейка 5 2 2 2" xfId="20582"/>
    <cellStyle name="Связанная ячейка 5 2 2 3" xfId="20583"/>
    <cellStyle name="Связанная ячейка 5 2 2 4" xfId="20584"/>
    <cellStyle name="Связанная ячейка 5 2 2 5" xfId="20585"/>
    <cellStyle name="Связанная ячейка 5 2 2 6" xfId="20586"/>
    <cellStyle name="Связанная ячейка 5 2 3" xfId="4877"/>
    <cellStyle name="Связанная ячейка 5 2 3 2" xfId="20587"/>
    <cellStyle name="Связанная ячейка 5 2 3 3" xfId="20588"/>
    <cellStyle name="Связанная ячейка 5 2 3 4" xfId="20589"/>
    <cellStyle name="Связанная ячейка 5 2 3 5" xfId="20590"/>
    <cellStyle name="Связанная ячейка 5 2 3 6" xfId="20591"/>
    <cellStyle name="Связанная ячейка 5 2 4" xfId="20592"/>
    <cellStyle name="Связанная ячейка 5 2 5" xfId="20593"/>
    <cellStyle name="Связанная ячейка 5 2 6" xfId="20594"/>
    <cellStyle name="Связанная ячейка 5 2 7" xfId="20595"/>
    <cellStyle name="Связанная ячейка 5 2 8" xfId="20596"/>
    <cellStyle name="Связанная ячейка 5 3" xfId="4878"/>
    <cellStyle name="Связанная ячейка 5 3 2" xfId="20597"/>
    <cellStyle name="Связанная ячейка 5 3 3" xfId="20598"/>
    <cellStyle name="Связанная ячейка 5 3 4" xfId="20599"/>
    <cellStyle name="Связанная ячейка 5 3 5" xfId="20600"/>
    <cellStyle name="Связанная ячейка 5 3 6" xfId="20601"/>
    <cellStyle name="Связанная ячейка 5 4" xfId="4879"/>
    <cellStyle name="Связанная ячейка 5 4 2" xfId="20602"/>
    <cellStyle name="Связанная ячейка 5 4 3" xfId="20603"/>
    <cellStyle name="Связанная ячейка 5 4 4" xfId="20604"/>
    <cellStyle name="Связанная ячейка 5 4 5" xfId="20605"/>
    <cellStyle name="Связанная ячейка 5 5" xfId="20606"/>
    <cellStyle name="Связанная ячейка 5 6" xfId="20607"/>
    <cellStyle name="Связанная ячейка 5 7" xfId="20608"/>
    <cellStyle name="Связанная ячейка 5 8" xfId="20609"/>
    <cellStyle name="Связанная ячейка 6" xfId="4880"/>
    <cellStyle name="Связанная ячейка 6 2" xfId="4881"/>
    <cellStyle name="Связанная ячейка 6 2 2" xfId="4882"/>
    <cellStyle name="Связанная ячейка 6 2 2 2" xfId="20610"/>
    <cellStyle name="Связанная ячейка 6 2 2 3" xfId="20611"/>
    <cellStyle name="Связанная ячейка 6 2 2 4" xfId="20612"/>
    <cellStyle name="Связанная ячейка 6 2 2 5" xfId="20613"/>
    <cellStyle name="Связанная ячейка 6 2 2 6" xfId="20614"/>
    <cellStyle name="Связанная ячейка 6 2 3" xfId="4883"/>
    <cellStyle name="Связанная ячейка 6 2 3 2" xfId="20615"/>
    <cellStyle name="Связанная ячейка 6 2 3 3" xfId="20616"/>
    <cellStyle name="Связанная ячейка 6 2 3 4" xfId="20617"/>
    <cellStyle name="Связанная ячейка 6 2 3 5" xfId="20618"/>
    <cellStyle name="Связанная ячейка 6 2 3 6" xfId="20619"/>
    <cellStyle name="Связанная ячейка 6 2 4" xfId="20620"/>
    <cellStyle name="Связанная ячейка 6 2 5" xfId="20621"/>
    <cellStyle name="Связанная ячейка 6 2 6" xfId="20622"/>
    <cellStyle name="Связанная ячейка 6 2 7" xfId="20623"/>
    <cellStyle name="Связанная ячейка 6 2 8" xfId="20624"/>
    <cellStyle name="Связанная ячейка 6 3" xfId="4884"/>
    <cellStyle name="Связанная ячейка 6 3 2" xfId="20625"/>
    <cellStyle name="Связанная ячейка 6 3 3" xfId="20626"/>
    <cellStyle name="Связанная ячейка 6 3 4" xfId="20627"/>
    <cellStyle name="Связанная ячейка 6 3 5" xfId="20628"/>
    <cellStyle name="Связанная ячейка 6 3 6" xfId="20629"/>
    <cellStyle name="Связанная ячейка 6 4" xfId="4885"/>
    <cellStyle name="Связанная ячейка 6 4 2" xfId="20630"/>
    <cellStyle name="Связанная ячейка 6 4 3" xfId="20631"/>
    <cellStyle name="Связанная ячейка 6 4 4" xfId="20632"/>
    <cellStyle name="Связанная ячейка 6 4 5" xfId="20633"/>
    <cellStyle name="Связанная ячейка 6 5" xfId="20634"/>
    <cellStyle name="Связанная ячейка 6 6" xfId="20635"/>
    <cellStyle name="Связанная ячейка 6 7" xfId="20636"/>
    <cellStyle name="Связанная ячейка 6 8" xfId="20637"/>
    <cellStyle name="Стиль 1" xfId="4886"/>
    <cellStyle name="Текст предупреждения 2" xfId="4887"/>
    <cellStyle name="Текст предупреждения 2 2" xfId="4888"/>
    <cellStyle name="Текст предупреждения 2 2 2" xfId="4889"/>
    <cellStyle name="Текст предупреждения 2 2 2 2" xfId="4890"/>
    <cellStyle name="Текст предупреждения 2 2 2 3" xfId="4891"/>
    <cellStyle name="Текст предупреждения 2 2 3" xfId="4892"/>
    <cellStyle name="Текст предупреждения 2 2 4" xfId="4893"/>
    <cellStyle name="Текст предупреждения 2 2 4 2" xfId="20638"/>
    <cellStyle name="Текст предупреждения 2 2 4 3" xfId="20639"/>
    <cellStyle name="Текст предупреждения 2 2 4 4" xfId="20640"/>
    <cellStyle name="Текст предупреждения 2 2 4 5" xfId="20641"/>
    <cellStyle name="Текст предупреждения 2 2 5" xfId="20642"/>
    <cellStyle name="Текст предупреждения 2 2 6" xfId="20643"/>
    <cellStyle name="Текст предупреждения 2 2 7" xfId="20644"/>
    <cellStyle name="Текст предупреждения 2 2 8" xfId="20645"/>
    <cellStyle name="Текст предупреждения 2 3" xfId="4894"/>
    <cellStyle name="Текст предупреждения 2 3 2" xfId="4895"/>
    <cellStyle name="Текст предупреждения 2 3 3" xfId="4896"/>
    <cellStyle name="Текст предупреждения 2 4" xfId="4897"/>
    <cellStyle name="Текст предупреждения 2 5" xfId="4898"/>
    <cellStyle name="Текст предупреждения 2 5 2" xfId="20646"/>
    <cellStyle name="Текст предупреждения 2 5 3" xfId="20647"/>
    <cellStyle name="Текст предупреждения 2 5 4" xfId="20648"/>
    <cellStyle name="Текст предупреждения 2 5 5" xfId="20649"/>
    <cellStyle name="Текст предупреждения 2 6" xfId="20650"/>
    <cellStyle name="Текст предупреждения 2 7" xfId="20651"/>
    <cellStyle name="Текст предупреждения 2 8" xfId="20652"/>
    <cellStyle name="Текст предупреждения 2 9" xfId="20653"/>
    <cellStyle name="Текст предупреждения 3" xfId="4899"/>
    <cellStyle name="Текст предупреждения 3 2" xfId="4900"/>
    <cellStyle name="Текст предупреждения 3 2 2" xfId="4901"/>
    <cellStyle name="Текст предупреждения 3 2 3" xfId="4902"/>
    <cellStyle name="Текст предупреждения 3 3" xfId="4903"/>
    <cellStyle name="Текст предупреждения 3 4" xfId="4904"/>
    <cellStyle name="Текст предупреждения 3 4 2" xfId="20654"/>
    <cellStyle name="Текст предупреждения 3 4 3" xfId="20655"/>
    <cellStyle name="Текст предупреждения 3 4 4" xfId="20656"/>
    <cellStyle name="Текст предупреждения 3 4 5" xfId="20657"/>
    <cellStyle name="Текст предупреждения 3 5" xfId="20658"/>
    <cellStyle name="Текст предупреждения 3 6" xfId="20659"/>
    <cellStyle name="Текст предупреждения 3 7" xfId="20660"/>
    <cellStyle name="Текст предупреждения 3 8" xfId="20661"/>
    <cellStyle name="Текст предупреждения 4" xfId="4905"/>
    <cellStyle name="Текст предупреждения 4 2" xfId="4906"/>
    <cellStyle name="Текст предупреждения 4 2 2" xfId="4907"/>
    <cellStyle name="Текст предупреждения 4 2 3" xfId="4908"/>
    <cellStyle name="Текст предупреждения 4 3" xfId="4909"/>
    <cellStyle name="Текст предупреждения 4 4" xfId="4910"/>
    <cellStyle name="Текст предупреждения 4 4 2" xfId="20662"/>
    <cellStyle name="Текст предупреждения 4 4 3" xfId="20663"/>
    <cellStyle name="Текст предупреждения 4 4 4" xfId="20664"/>
    <cellStyle name="Текст предупреждения 4 4 5" xfId="20665"/>
    <cellStyle name="Текст предупреждения 4 5" xfId="20666"/>
    <cellStyle name="Текст предупреждения 4 6" xfId="20667"/>
    <cellStyle name="Текст предупреждения 4 7" xfId="20668"/>
    <cellStyle name="Текст предупреждения 4 8" xfId="20669"/>
    <cellStyle name="Текст предупреждения 5" xfId="4911"/>
    <cellStyle name="Текст предупреждения 5 2" xfId="4912"/>
    <cellStyle name="Текст предупреждения 5 2 2" xfId="4913"/>
    <cellStyle name="Текст предупреждения 5 2 3" xfId="4914"/>
    <cellStyle name="Текст предупреждения 5 3" xfId="4915"/>
    <cellStyle name="Текст предупреждения 5 4" xfId="4916"/>
    <cellStyle name="Текст предупреждения 5 4 2" xfId="20670"/>
    <cellStyle name="Текст предупреждения 5 4 3" xfId="20671"/>
    <cellStyle name="Текст предупреждения 5 4 4" xfId="20672"/>
    <cellStyle name="Текст предупреждения 5 4 5" xfId="20673"/>
    <cellStyle name="Текст предупреждения 5 5" xfId="20674"/>
    <cellStyle name="Текст предупреждения 5 6" xfId="20675"/>
    <cellStyle name="Текст предупреждения 5 7" xfId="20676"/>
    <cellStyle name="Текст предупреждения 5 8" xfId="20677"/>
    <cellStyle name="Текст предупреждения 6" xfId="4917"/>
    <cellStyle name="Текст предупреждения 6 2" xfId="4918"/>
    <cellStyle name="Текст предупреждения 6 2 2" xfId="4919"/>
    <cellStyle name="Текст предупреждения 6 2 3" xfId="4920"/>
    <cellStyle name="Текст предупреждения 6 3" xfId="4921"/>
    <cellStyle name="Текст предупреждения 6 4" xfId="4922"/>
    <cellStyle name="Текст предупреждения 6 4 2" xfId="20678"/>
    <cellStyle name="Текст предупреждения 6 4 3" xfId="20679"/>
    <cellStyle name="Текст предупреждения 6 4 4" xfId="20680"/>
    <cellStyle name="Текст предупреждения 6 4 5" xfId="20681"/>
    <cellStyle name="Текст предупреждения 6 5" xfId="20682"/>
    <cellStyle name="Текст предупреждения 6 6" xfId="20683"/>
    <cellStyle name="Текст предупреждения 6 7" xfId="20684"/>
    <cellStyle name="Текст предупреждения 6 8" xfId="20685"/>
    <cellStyle name="Финансовый 10" xfId="4923"/>
    <cellStyle name="Финансовый 10 10" xfId="20686"/>
    <cellStyle name="Финансовый 10 11" xfId="20687"/>
    <cellStyle name="Финансовый 10 12" xfId="20688"/>
    <cellStyle name="Финансовый 10 2" xfId="4924"/>
    <cellStyle name="Финансовый 10 2 2" xfId="20689"/>
    <cellStyle name="Финансовый 10 2 3" xfId="20690"/>
    <cellStyle name="Финансовый 10 2 4" xfId="20691"/>
    <cellStyle name="Финансовый 10 2 5" xfId="20692"/>
    <cellStyle name="Финансовый 10 2 6" xfId="20693"/>
    <cellStyle name="Финансовый 10 2 7" xfId="20694"/>
    <cellStyle name="Финансовый 10 2 8" xfId="20695"/>
    <cellStyle name="Финансовый 10 2 9" xfId="20696"/>
    <cellStyle name="Финансовый 10 3" xfId="4925"/>
    <cellStyle name="Финансовый 10 3 2" xfId="20697"/>
    <cellStyle name="Финансовый 10 3 3" xfId="20698"/>
    <cellStyle name="Финансовый 10 3 4" xfId="20699"/>
    <cellStyle name="Финансовый 10 3 5" xfId="20700"/>
    <cellStyle name="Финансовый 10 3 6" xfId="20701"/>
    <cellStyle name="Финансовый 10 3 7" xfId="20702"/>
    <cellStyle name="Финансовый 10 3 8" xfId="20703"/>
    <cellStyle name="Финансовый 10 3 9" xfId="20704"/>
    <cellStyle name="Финансовый 10 4" xfId="4926"/>
    <cellStyle name="Финансовый 10 4 2" xfId="20705"/>
    <cellStyle name="Финансовый 10 4 3" xfId="20706"/>
    <cellStyle name="Финансовый 10 4 4" xfId="20707"/>
    <cellStyle name="Финансовый 10 4 5" xfId="20708"/>
    <cellStyle name="Финансовый 10 4 6" xfId="20709"/>
    <cellStyle name="Финансовый 10 4 7" xfId="20710"/>
    <cellStyle name="Финансовый 10 4 8" xfId="20711"/>
    <cellStyle name="Финансовый 10 4 9" xfId="20712"/>
    <cellStyle name="Финансовый 10 5" xfId="20713"/>
    <cellStyle name="Финансовый 10 6" xfId="20714"/>
    <cellStyle name="Финансовый 10 7" xfId="20715"/>
    <cellStyle name="Финансовый 10 8" xfId="20716"/>
    <cellStyle name="Финансовый 10 9" xfId="20717"/>
    <cellStyle name="Финансовый 11" xfId="4927"/>
    <cellStyle name="Финансовый 11 2" xfId="20718"/>
    <cellStyle name="Финансовый 11 3" xfId="20719"/>
    <cellStyle name="Финансовый 11 4" xfId="20720"/>
    <cellStyle name="Финансовый 11 5" xfId="20721"/>
    <cellStyle name="Финансовый 11 6" xfId="20722"/>
    <cellStyle name="Финансовый 11 7" xfId="20723"/>
    <cellStyle name="Финансовый 11 8" xfId="20724"/>
    <cellStyle name="Финансовый 11 9" xfId="20725"/>
    <cellStyle name="Финансовый 12" xfId="5527"/>
    <cellStyle name="Финансовый 13" xfId="23855"/>
    <cellStyle name="Финансовый 2" xfId="1"/>
    <cellStyle name="Финансовый 2 10" xfId="4928"/>
    <cellStyle name="Финансовый 2 10 10" xfId="20726"/>
    <cellStyle name="Финансовый 2 10 11" xfId="20727"/>
    <cellStyle name="Финансовый 2 10 12" xfId="20728"/>
    <cellStyle name="Финансовый 2 10 2" xfId="4929"/>
    <cellStyle name="Финансовый 2 10 2 10" xfId="20729"/>
    <cellStyle name="Финансовый 2 10 2 11" xfId="20730"/>
    <cellStyle name="Финансовый 2 10 2 12" xfId="20731"/>
    <cellStyle name="Финансовый 2 10 2 2" xfId="4930"/>
    <cellStyle name="Финансовый 2 10 2 2 2" xfId="20732"/>
    <cellStyle name="Финансовый 2 10 2 2 3" xfId="20733"/>
    <cellStyle name="Финансовый 2 10 2 2 4" xfId="20734"/>
    <cellStyle name="Финансовый 2 10 2 2 5" xfId="20735"/>
    <cellStyle name="Финансовый 2 10 2 2 6" xfId="20736"/>
    <cellStyle name="Финансовый 2 10 2 2 7" xfId="20737"/>
    <cellStyle name="Финансовый 2 10 2 2 8" xfId="20738"/>
    <cellStyle name="Финансовый 2 10 2 2 9" xfId="20739"/>
    <cellStyle name="Финансовый 2 10 2 3" xfId="4931"/>
    <cellStyle name="Финансовый 2 10 2 3 2" xfId="20740"/>
    <cellStyle name="Финансовый 2 10 2 3 3" xfId="20741"/>
    <cellStyle name="Финансовый 2 10 2 3 4" xfId="20742"/>
    <cellStyle name="Финансовый 2 10 2 3 5" xfId="20743"/>
    <cellStyle name="Финансовый 2 10 2 3 6" xfId="20744"/>
    <cellStyle name="Финансовый 2 10 2 3 7" xfId="20745"/>
    <cellStyle name="Финансовый 2 10 2 3 8" xfId="20746"/>
    <cellStyle name="Финансовый 2 10 2 3 9" xfId="20747"/>
    <cellStyle name="Финансовый 2 10 2 4" xfId="4932"/>
    <cellStyle name="Финансовый 2 10 2 4 2" xfId="20748"/>
    <cellStyle name="Финансовый 2 10 2 4 3" xfId="20749"/>
    <cellStyle name="Финансовый 2 10 2 4 4" xfId="20750"/>
    <cellStyle name="Финансовый 2 10 2 4 5" xfId="20751"/>
    <cellStyle name="Финансовый 2 10 2 4 6" xfId="20752"/>
    <cellStyle name="Финансовый 2 10 2 4 7" xfId="20753"/>
    <cellStyle name="Финансовый 2 10 2 4 8" xfId="20754"/>
    <cellStyle name="Финансовый 2 10 2 4 9" xfId="20755"/>
    <cellStyle name="Финансовый 2 10 2 5" xfId="20756"/>
    <cellStyle name="Финансовый 2 10 2 6" xfId="20757"/>
    <cellStyle name="Финансовый 2 10 2 7" xfId="20758"/>
    <cellStyle name="Финансовый 2 10 2 8" xfId="20759"/>
    <cellStyle name="Финансовый 2 10 2 9" xfId="20760"/>
    <cellStyle name="Финансовый 2 10 3" xfId="4933"/>
    <cellStyle name="Финансовый 2 10 3 10" xfId="20761"/>
    <cellStyle name="Финансовый 2 10 3 11" xfId="20762"/>
    <cellStyle name="Финансовый 2 10 3 2" xfId="4934"/>
    <cellStyle name="Финансовый 2 10 3 2 2" xfId="20763"/>
    <cellStyle name="Финансовый 2 10 3 2 3" xfId="20764"/>
    <cellStyle name="Финансовый 2 10 3 2 4" xfId="20765"/>
    <cellStyle name="Финансовый 2 10 3 2 5" xfId="20766"/>
    <cellStyle name="Финансовый 2 10 3 2 6" xfId="20767"/>
    <cellStyle name="Финансовый 2 10 3 2 7" xfId="20768"/>
    <cellStyle name="Финансовый 2 10 3 2 8" xfId="20769"/>
    <cellStyle name="Финансовый 2 10 3 2 9" xfId="20770"/>
    <cellStyle name="Финансовый 2 10 3 3" xfId="4935"/>
    <cellStyle name="Финансовый 2 10 3 3 2" xfId="20771"/>
    <cellStyle name="Финансовый 2 10 3 3 3" xfId="20772"/>
    <cellStyle name="Финансовый 2 10 3 3 4" xfId="20773"/>
    <cellStyle name="Финансовый 2 10 3 3 5" xfId="20774"/>
    <cellStyle name="Финансовый 2 10 3 3 6" xfId="20775"/>
    <cellStyle name="Финансовый 2 10 3 3 7" xfId="20776"/>
    <cellStyle name="Финансовый 2 10 3 3 8" xfId="20777"/>
    <cellStyle name="Финансовый 2 10 3 3 9" xfId="20778"/>
    <cellStyle name="Финансовый 2 10 3 4" xfId="20779"/>
    <cellStyle name="Финансовый 2 10 3 5" xfId="20780"/>
    <cellStyle name="Финансовый 2 10 3 6" xfId="20781"/>
    <cellStyle name="Финансовый 2 10 3 7" xfId="20782"/>
    <cellStyle name="Финансовый 2 10 3 8" xfId="20783"/>
    <cellStyle name="Финансовый 2 10 3 9" xfId="20784"/>
    <cellStyle name="Финансовый 2 10 4" xfId="4936"/>
    <cellStyle name="Финансовый 2 10 4 2" xfId="20785"/>
    <cellStyle name="Финансовый 2 10 4 3" xfId="20786"/>
    <cellStyle name="Финансовый 2 10 4 4" xfId="20787"/>
    <cellStyle name="Финансовый 2 10 4 5" xfId="20788"/>
    <cellStyle name="Финансовый 2 10 4 6" xfId="20789"/>
    <cellStyle name="Финансовый 2 10 4 7" xfId="20790"/>
    <cellStyle name="Финансовый 2 10 4 8" xfId="20791"/>
    <cellStyle name="Финансовый 2 10 4 9" xfId="20792"/>
    <cellStyle name="Финансовый 2 10 5" xfId="20793"/>
    <cellStyle name="Финансовый 2 10 6" xfId="20794"/>
    <cellStyle name="Финансовый 2 10 7" xfId="20795"/>
    <cellStyle name="Финансовый 2 10 8" xfId="20796"/>
    <cellStyle name="Финансовый 2 10 9" xfId="20797"/>
    <cellStyle name="Финансовый 2 11" xfId="4937"/>
    <cellStyle name="Финансовый 2 11 10" xfId="20798"/>
    <cellStyle name="Финансовый 2 11 11" xfId="20799"/>
    <cellStyle name="Финансовый 2 11 12" xfId="20800"/>
    <cellStyle name="Финансовый 2 11 2" xfId="4938"/>
    <cellStyle name="Финансовый 2 11 2 10" xfId="20801"/>
    <cellStyle name="Финансовый 2 11 2 11" xfId="20802"/>
    <cellStyle name="Финансовый 2 11 2 12" xfId="20803"/>
    <cellStyle name="Финансовый 2 11 2 2" xfId="4939"/>
    <cellStyle name="Финансовый 2 11 2 2 2" xfId="20804"/>
    <cellStyle name="Финансовый 2 11 2 2 3" xfId="20805"/>
    <cellStyle name="Финансовый 2 11 2 2 4" xfId="20806"/>
    <cellStyle name="Финансовый 2 11 2 2 5" xfId="20807"/>
    <cellStyle name="Финансовый 2 11 2 2 6" xfId="20808"/>
    <cellStyle name="Финансовый 2 11 2 2 7" xfId="20809"/>
    <cellStyle name="Финансовый 2 11 2 2 8" xfId="20810"/>
    <cellStyle name="Финансовый 2 11 2 2 9" xfId="20811"/>
    <cellStyle name="Финансовый 2 11 2 3" xfId="4940"/>
    <cellStyle name="Финансовый 2 11 2 3 2" xfId="20812"/>
    <cellStyle name="Финансовый 2 11 2 3 3" xfId="20813"/>
    <cellStyle name="Финансовый 2 11 2 3 4" xfId="20814"/>
    <cellStyle name="Финансовый 2 11 2 3 5" xfId="20815"/>
    <cellStyle name="Финансовый 2 11 2 3 6" xfId="20816"/>
    <cellStyle name="Финансовый 2 11 2 3 7" xfId="20817"/>
    <cellStyle name="Финансовый 2 11 2 3 8" xfId="20818"/>
    <cellStyle name="Финансовый 2 11 2 3 9" xfId="20819"/>
    <cellStyle name="Финансовый 2 11 2 4" xfId="4941"/>
    <cellStyle name="Финансовый 2 11 2 4 2" xfId="20820"/>
    <cellStyle name="Финансовый 2 11 2 4 3" xfId="20821"/>
    <cellStyle name="Финансовый 2 11 2 4 4" xfId="20822"/>
    <cellStyle name="Финансовый 2 11 2 4 5" xfId="20823"/>
    <cellStyle name="Финансовый 2 11 2 4 6" xfId="20824"/>
    <cellStyle name="Финансовый 2 11 2 4 7" xfId="20825"/>
    <cellStyle name="Финансовый 2 11 2 4 8" xfId="20826"/>
    <cellStyle name="Финансовый 2 11 2 4 9" xfId="20827"/>
    <cellStyle name="Финансовый 2 11 2 5" xfId="20828"/>
    <cellStyle name="Финансовый 2 11 2 6" xfId="20829"/>
    <cellStyle name="Финансовый 2 11 2 7" xfId="20830"/>
    <cellStyle name="Финансовый 2 11 2 8" xfId="20831"/>
    <cellStyle name="Финансовый 2 11 2 9" xfId="20832"/>
    <cellStyle name="Финансовый 2 11 3" xfId="4942"/>
    <cellStyle name="Финансовый 2 11 3 10" xfId="20833"/>
    <cellStyle name="Финансовый 2 11 3 11" xfId="20834"/>
    <cellStyle name="Финансовый 2 11 3 2" xfId="4943"/>
    <cellStyle name="Финансовый 2 11 3 2 2" xfId="20835"/>
    <cellStyle name="Финансовый 2 11 3 2 3" xfId="20836"/>
    <cellStyle name="Финансовый 2 11 3 2 4" xfId="20837"/>
    <cellStyle name="Финансовый 2 11 3 2 5" xfId="20838"/>
    <cellStyle name="Финансовый 2 11 3 2 6" xfId="20839"/>
    <cellStyle name="Финансовый 2 11 3 2 7" xfId="20840"/>
    <cellStyle name="Финансовый 2 11 3 2 8" xfId="20841"/>
    <cellStyle name="Финансовый 2 11 3 2 9" xfId="20842"/>
    <cellStyle name="Финансовый 2 11 3 3" xfId="4944"/>
    <cellStyle name="Финансовый 2 11 3 3 2" xfId="20843"/>
    <cellStyle name="Финансовый 2 11 3 3 3" xfId="20844"/>
    <cellStyle name="Финансовый 2 11 3 3 4" xfId="20845"/>
    <cellStyle name="Финансовый 2 11 3 3 5" xfId="20846"/>
    <cellStyle name="Финансовый 2 11 3 3 6" xfId="20847"/>
    <cellStyle name="Финансовый 2 11 3 3 7" xfId="20848"/>
    <cellStyle name="Финансовый 2 11 3 3 8" xfId="20849"/>
    <cellStyle name="Финансовый 2 11 3 3 9" xfId="20850"/>
    <cellStyle name="Финансовый 2 11 3 4" xfId="20851"/>
    <cellStyle name="Финансовый 2 11 3 5" xfId="20852"/>
    <cellStyle name="Финансовый 2 11 3 6" xfId="20853"/>
    <cellStyle name="Финансовый 2 11 3 7" xfId="20854"/>
    <cellStyle name="Финансовый 2 11 3 8" xfId="20855"/>
    <cellStyle name="Финансовый 2 11 3 9" xfId="20856"/>
    <cellStyle name="Финансовый 2 11 4" xfId="4945"/>
    <cellStyle name="Финансовый 2 11 4 2" xfId="20857"/>
    <cellStyle name="Финансовый 2 11 4 3" xfId="20858"/>
    <cellStyle name="Финансовый 2 11 4 4" xfId="20859"/>
    <cellStyle name="Финансовый 2 11 4 5" xfId="20860"/>
    <cellStyle name="Финансовый 2 11 4 6" xfId="20861"/>
    <cellStyle name="Финансовый 2 11 4 7" xfId="20862"/>
    <cellStyle name="Финансовый 2 11 4 8" xfId="20863"/>
    <cellStyle name="Финансовый 2 11 4 9" xfId="20864"/>
    <cellStyle name="Финансовый 2 11 5" xfId="20865"/>
    <cellStyle name="Финансовый 2 11 6" xfId="20866"/>
    <cellStyle name="Финансовый 2 11 7" xfId="20867"/>
    <cellStyle name="Финансовый 2 11 8" xfId="20868"/>
    <cellStyle name="Финансовый 2 11 9" xfId="20869"/>
    <cellStyle name="Финансовый 2 12" xfId="4946"/>
    <cellStyle name="Финансовый 2 12 10" xfId="20870"/>
    <cellStyle name="Финансовый 2 12 11" xfId="20871"/>
    <cellStyle name="Финансовый 2 12 12" xfId="20872"/>
    <cellStyle name="Финансовый 2 12 2" xfId="4947"/>
    <cellStyle name="Финансовый 2 12 2 10" xfId="20873"/>
    <cellStyle name="Финансовый 2 12 2 11" xfId="20874"/>
    <cellStyle name="Финансовый 2 12 2 12" xfId="20875"/>
    <cellStyle name="Финансовый 2 12 2 2" xfId="4948"/>
    <cellStyle name="Финансовый 2 12 2 2 2" xfId="20876"/>
    <cellStyle name="Финансовый 2 12 2 2 3" xfId="20877"/>
    <cellStyle name="Финансовый 2 12 2 2 4" xfId="20878"/>
    <cellStyle name="Финансовый 2 12 2 2 5" xfId="20879"/>
    <cellStyle name="Финансовый 2 12 2 2 6" xfId="20880"/>
    <cellStyle name="Финансовый 2 12 2 2 7" xfId="20881"/>
    <cellStyle name="Финансовый 2 12 2 2 8" xfId="20882"/>
    <cellStyle name="Финансовый 2 12 2 2 9" xfId="20883"/>
    <cellStyle name="Финансовый 2 12 2 3" xfId="4949"/>
    <cellStyle name="Финансовый 2 12 2 3 2" xfId="20884"/>
    <cellStyle name="Финансовый 2 12 2 3 3" xfId="20885"/>
    <cellStyle name="Финансовый 2 12 2 3 4" xfId="20886"/>
    <cellStyle name="Финансовый 2 12 2 3 5" xfId="20887"/>
    <cellStyle name="Финансовый 2 12 2 3 6" xfId="20888"/>
    <cellStyle name="Финансовый 2 12 2 3 7" xfId="20889"/>
    <cellStyle name="Финансовый 2 12 2 3 8" xfId="20890"/>
    <cellStyle name="Финансовый 2 12 2 3 9" xfId="20891"/>
    <cellStyle name="Финансовый 2 12 2 4" xfId="4950"/>
    <cellStyle name="Финансовый 2 12 2 4 2" xfId="20892"/>
    <cellStyle name="Финансовый 2 12 2 4 3" xfId="20893"/>
    <cellStyle name="Финансовый 2 12 2 4 4" xfId="20894"/>
    <cellStyle name="Финансовый 2 12 2 4 5" xfId="20895"/>
    <cellStyle name="Финансовый 2 12 2 4 6" xfId="20896"/>
    <cellStyle name="Финансовый 2 12 2 4 7" xfId="20897"/>
    <cellStyle name="Финансовый 2 12 2 4 8" xfId="20898"/>
    <cellStyle name="Финансовый 2 12 2 4 9" xfId="20899"/>
    <cellStyle name="Финансовый 2 12 2 5" xfId="20900"/>
    <cellStyle name="Финансовый 2 12 2 6" xfId="20901"/>
    <cellStyle name="Финансовый 2 12 2 7" xfId="20902"/>
    <cellStyle name="Финансовый 2 12 2 8" xfId="20903"/>
    <cellStyle name="Финансовый 2 12 2 9" xfId="20904"/>
    <cellStyle name="Финансовый 2 12 3" xfId="4951"/>
    <cellStyle name="Финансовый 2 12 3 10" xfId="20905"/>
    <cellStyle name="Финансовый 2 12 3 11" xfId="20906"/>
    <cellStyle name="Финансовый 2 12 3 2" xfId="4952"/>
    <cellStyle name="Финансовый 2 12 3 2 2" xfId="20907"/>
    <cellStyle name="Финансовый 2 12 3 2 3" xfId="20908"/>
    <cellStyle name="Финансовый 2 12 3 2 4" xfId="20909"/>
    <cellStyle name="Финансовый 2 12 3 2 5" xfId="20910"/>
    <cellStyle name="Финансовый 2 12 3 2 6" xfId="20911"/>
    <cellStyle name="Финансовый 2 12 3 2 7" xfId="20912"/>
    <cellStyle name="Финансовый 2 12 3 2 8" xfId="20913"/>
    <cellStyle name="Финансовый 2 12 3 2 9" xfId="20914"/>
    <cellStyle name="Финансовый 2 12 3 3" xfId="4953"/>
    <cellStyle name="Финансовый 2 12 3 3 2" xfId="20915"/>
    <cellStyle name="Финансовый 2 12 3 3 3" xfId="20916"/>
    <cellStyle name="Финансовый 2 12 3 3 4" xfId="20917"/>
    <cellStyle name="Финансовый 2 12 3 3 5" xfId="20918"/>
    <cellStyle name="Финансовый 2 12 3 3 6" xfId="20919"/>
    <cellStyle name="Финансовый 2 12 3 3 7" xfId="20920"/>
    <cellStyle name="Финансовый 2 12 3 3 8" xfId="20921"/>
    <cellStyle name="Финансовый 2 12 3 3 9" xfId="20922"/>
    <cellStyle name="Финансовый 2 12 3 4" xfId="20923"/>
    <cellStyle name="Финансовый 2 12 3 5" xfId="20924"/>
    <cellStyle name="Финансовый 2 12 3 6" xfId="20925"/>
    <cellStyle name="Финансовый 2 12 3 7" xfId="20926"/>
    <cellStyle name="Финансовый 2 12 3 8" xfId="20927"/>
    <cellStyle name="Финансовый 2 12 3 9" xfId="20928"/>
    <cellStyle name="Финансовый 2 12 4" xfId="4954"/>
    <cellStyle name="Финансовый 2 12 4 2" xfId="20929"/>
    <cellStyle name="Финансовый 2 12 4 3" xfId="20930"/>
    <cellStyle name="Финансовый 2 12 4 4" xfId="20931"/>
    <cellStyle name="Финансовый 2 12 4 5" xfId="20932"/>
    <cellStyle name="Финансовый 2 12 4 6" xfId="20933"/>
    <cellStyle name="Финансовый 2 12 4 7" xfId="20934"/>
    <cellStyle name="Финансовый 2 12 4 8" xfId="20935"/>
    <cellStyle name="Финансовый 2 12 4 9" xfId="20936"/>
    <cellStyle name="Финансовый 2 12 5" xfId="20937"/>
    <cellStyle name="Финансовый 2 12 6" xfId="20938"/>
    <cellStyle name="Финансовый 2 12 7" xfId="20939"/>
    <cellStyle name="Финансовый 2 12 8" xfId="20940"/>
    <cellStyle name="Финансовый 2 12 9" xfId="20941"/>
    <cellStyle name="Финансовый 2 13" xfId="4955"/>
    <cellStyle name="Финансовый 2 13 10" xfId="20942"/>
    <cellStyle name="Финансовый 2 13 11" xfId="20943"/>
    <cellStyle name="Финансовый 2 13 12" xfId="20944"/>
    <cellStyle name="Финансовый 2 13 2" xfId="4956"/>
    <cellStyle name="Финансовый 2 13 2 10" xfId="20945"/>
    <cellStyle name="Финансовый 2 13 2 11" xfId="20946"/>
    <cellStyle name="Финансовый 2 13 2 12" xfId="20947"/>
    <cellStyle name="Финансовый 2 13 2 2" xfId="4957"/>
    <cellStyle name="Финансовый 2 13 2 2 2" xfId="20948"/>
    <cellStyle name="Финансовый 2 13 2 2 3" xfId="20949"/>
    <cellStyle name="Финансовый 2 13 2 2 4" xfId="20950"/>
    <cellStyle name="Финансовый 2 13 2 2 5" xfId="20951"/>
    <cellStyle name="Финансовый 2 13 2 2 6" xfId="20952"/>
    <cellStyle name="Финансовый 2 13 2 2 7" xfId="20953"/>
    <cellStyle name="Финансовый 2 13 2 2 8" xfId="20954"/>
    <cellStyle name="Финансовый 2 13 2 2 9" xfId="20955"/>
    <cellStyle name="Финансовый 2 13 2 3" xfId="4958"/>
    <cellStyle name="Финансовый 2 13 2 3 2" xfId="20956"/>
    <cellStyle name="Финансовый 2 13 2 3 3" xfId="20957"/>
    <cellStyle name="Финансовый 2 13 2 3 4" xfId="20958"/>
    <cellStyle name="Финансовый 2 13 2 3 5" xfId="20959"/>
    <cellStyle name="Финансовый 2 13 2 3 6" xfId="20960"/>
    <cellStyle name="Финансовый 2 13 2 3 7" xfId="20961"/>
    <cellStyle name="Финансовый 2 13 2 3 8" xfId="20962"/>
    <cellStyle name="Финансовый 2 13 2 3 9" xfId="20963"/>
    <cellStyle name="Финансовый 2 13 2 4" xfId="4959"/>
    <cellStyle name="Финансовый 2 13 2 4 2" xfId="20964"/>
    <cellStyle name="Финансовый 2 13 2 4 3" xfId="20965"/>
    <cellStyle name="Финансовый 2 13 2 4 4" xfId="20966"/>
    <cellStyle name="Финансовый 2 13 2 4 5" xfId="20967"/>
    <cellStyle name="Финансовый 2 13 2 4 6" xfId="20968"/>
    <cellStyle name="Финансовый 2 13 2 4 7" xfId="20969"/>
    <cellStyle name="Финансовый 2 13 2 4 8" xfId="20970"/>
    <cellStyle name="Финансовый 2 13 2 4 9" xfId="20971"/>
    <cellStyle name="Финансовый 2 13 2 5" xfId="20972"/>
    <cellStyle name="Финансовый 2 13 2 6" xfId="20973"/>
    <cellStyle name="Финансовый 2 13 2 7" xfId="20974"/>
    <cellStyle name="Финансовый 2 13 2 8" xfId="20975"/>
    <cellStyle name="Финансовый 2 13 2 9" xfId="20976"/>
    <cellStyle name="Финансовый 2 13 3" xfId="4960"/>
    <cellStyle name="Финансовый 2 13 3 10" xfId="20977"/>
    <cellStyle name="Финансовый 2 13 3 11" xfId="20978"/>
    <cellStyle name="Финансовый 2 13 3 2" xfId="4961"/>
    <cellStyle name="Финансовый 2 13 3 2 2" xfId="20979"/>
    <cellStyle name="Финансовый 2 13 3 2 3" xfId="20980"/>
    <cellStyle name="Финансовый 2 13 3 2 4" xfId="20981"/>
    <cellStyle name="Финансовый 2 13 3 2 5" xfId="20982"/>
    <cellStyle name="Финансовый 2 13 3 2 6" xfId="20983"/>
    <cellStyle name="Финансовый 2 13 3 2 7" xfId="20984"/>
    <cellStyle name="Финансовый 2 13 3 2 8" xfId="20985"/>
    <cellStyle name="Финансовый 2 13 3 2 9" xfId="20986"/>
    <cellStyle name="Финансовый 2 13 3 3" xfId="4962"/>
    <cellStyle name="Финансовый 2 13 3 3 2" xfId="20987"/>
    <cellStyle name="Финансовый 2 13 3 3 3" xfId="20988"/>
    <cellStyle name="Финансовый 2 13 3 3 4" xfId="20989"/>
    <cellStyle name="Финансовый 2 13 3 3 5" xfId="20990"/>
    <cellStyle name="Финансовый 2 13 3 3 6" xfId="20991"/>
    <cellStyle name="Финансовый 2 13 3 3 7" xfId="20992"/>
    <cellStyle name="Финансовый 2 13 3 3 8" xfId="20993"/>
    <cellStyle name="Финансовый 2 13 3 3 9" xfId="20994"/>
    <cellStyle name="Финансовый 2 13 3 4" xfId="20995"/>
    <cellStyle name="Финансовый 2 13 3 5" xfId="20996"/>
    <cellStyle name="Финансовый 2 13 3 6" xfId="20997"/>
    <cellStyle name="Финансовый 2 13 3 7" xfId="20998"/>
    <cellStyle name="Финансовый 2 13 3 8" xfId="20999"/>
    <cellStyle name="Финансовый 2 13 3 9" xfId="21000"/>
    <cellStyle name="Финансовый 2 13 4" xfId="4963"/>
    <cellStyle name="Финансовый 2 13 4 2" xfId="21001"/>
    <cellStyle name="Финансовый 2 13 4 3" xfId="21002"/>
    <cellStyle name="Финансовый 2 13 4 4" xfId="21003"/>
    <cellStyle name="Финансовый 2 13 4 5" xfId="21004"/>
    <cellStyle name="Финансовый 2 13 4 6" xfId="21005"/>
    <cellStyle name="Финансовый 2 13 4 7" xfId="21006"/>
    <cellStyle name="Финансовый 2 13 4 8" xfId="21007"/>
    <cellStyle name="Финансовый 2 13 4 9" xfId="21008"/>
    <cellStyle name="Финансовый 2 13 5" xfId="21009"/>
    <cellStyle name="Финансовый 2 13 6" xfId="21010"/>
    <cellStyle name="Финансовый 2 13 7" xfId="21011"/>
    <cellStyle name="Финансовый 2 13 8" xfId="21012"/>
    <cellStyle name="Финансовый 2 13 9" xfId="21013"/>
    <cellStyle name="Финансовый 2 14" xfId="4964"/>
    <cellStyle name="Финансовый 2 14 10" xfId="21014"/>
    <cellStyle name="Финансовый 2 14 11" xfId="21015"/>
    <cellStyle name="Финансовый 2 14 12" xfId="21016"/>
    <cellStyle name="Финансовый 2 14 2" xfId="4965"/>
    <cellStyle name="Финансовый 2 14 2 10" xfId="21017"/>
    <cellStyle name="Финансовый 2 14 2 11" xfId="21018"/>
    <cellStyle name="Финансовый 2 14 2 12" xfId="21019"/>
    <cellStyle name="Финансовый 2 14 2 2" xfId="4966"/>
    <cellStyle name="Финансовый 2 14 2 2 2" xfId="21020"/>
    <cellStyle name="Финансовый 2 14 2 2 3" xfId="21021"/>
    <cellStyle name="Финансовый 2 14 2 2 4" xfId="21022"/>
    <cellStyle name="Финансовый 2 14 2 2 5" xfId="21023"/>
    <cellStyle name="Финансовый 2 14 2 2 6" xfId="21024"/>
    <cellStyle name="Финансовый 2 14 2 2 7" xfId="21025"/>
    <cellStyle name="Финансовый 2 14 2 2 8" xfId="21026"/>
    <cellStyle name="Финансовый 2 14 2 2 9" xfId="21027"/>
    <cellStyle name="Финансовый 2 14 2 3" xfId="4967"/>
    <cellStyle name="Финансовый 2 14 2 3 2" xfId="21028"/>
    <cellStyle name="Финансовый 2 14 2 3 3" xfId="21029"/>
    <cellStyle name="Финансовый 2 14 2 3 4" xfId="21030"/>
    <cellStyle name="Финансовый 2 14 2 3 5" xfId="21031"/>
    <cellStyle name="Финансовый 2 14 2 3 6" xfId="21032"/>
    <cellStyle name="Финансовый 2 14 2 3 7" xfId="21033"/>
    <cellStyle name="Финансовый 2 14 2 3 8" xfId="21034"/>
    <cellStyle name="Финансовый 2 14 2 3 9" xfId="21035"/>
    <cellStyle name="Финансовый 2 14 2 4" xfId="4968"/>
    <cellStyle name="Финансовый 2 14 2 4 2" xfId="21036"/>
    <cellStyle name="Финансовый 2 14 2 4 3" xfId="21037"/>
    <cellStyle name="Финансовый 2 14 2 4 4" xfId="21038"/>
    <cellStyle name="Финансовый 2 14 2 4 5" xfId="21039"/>
    <cellStyle name="Финансовый 2 14 2 4 6" xfId="21040"/>
    <cellStyle name="Финансовый 2 14 2 4 7" xfId="21041"/>
    <cellStyle name="Финансовый 2 14 2 4 8" xfId="21042"/>
    <cellStyle name="Финансовый 2 14 2 4 9" xfId="21043"/>
    <cellStyle name="Финансовый 2 14 2 5" xfId="21044"/>
    <cellStyle name="Финансовый 2 14 2 6" xfId="21045"/>
    <cellStyle name="Финансовый 2 14 2 7" xfId="21046"/>
    <cellStyle name="Финансовый 2 14 2 8" xfId="21047"/>
    <cellStyle name="Финансовый 2 14 2 9" xfId="21048"/>
    <cellStyle name="Финансовый 2 14 3" xfId="4969"/>
    <cellStyle name="Финансовый 2 14 3 10" xfId="21049"/>
    <cellStyle name="Финансовый 2 14 3 11" xfId="21050"/>
    <cellStyle name="Финансовый 2 14 3 2" xfId="4970"/>
    <cellStyle name="Финансовый 2 14 3 2 2" xfId="21051"/>
    <cellStyle name="Финансовый 2 14 3 2 3" xfId="21052"/>
    <cellStyle name="Финансовый 2 14 3 2 4" xfId="21053"/>
    <cellStyle name="Финансовый 2 14 3 2 5" xfId="21054"/>
    <cellStyle name="Финансовый 2 14 3 2 6" xfId="21055"/>
    <cellStyle name="Финансовый 2 14 3 2 7" xfId="21056"/>
    <cellStyle name="Финансовый 2 14 3 2 8" xfId="21057"/>
    <cellStyle name="Финансовый 2 14 3 2 9" xfId="21058"/>
    <cellStyle name="Финансовый 2 14 3 3" xfId="4971"/>
    <cellStyle name="Финансовый 2 14 3 3 2" xfId="21059"/>
    <cellStyle name="Финансовый 2 14 3 3 3" xfId="21060"/>
    <cellStyle name="Финансовый 2 14 3 3 4" xfId="21061"/>
    <cellStyle name="Финансовый 2 14 3 3 5" xfId="21062"/>
    <cellStyle name="Финансовый 2 14 3 3 6" xfId="21063"/>
    <cellStyle name="Финансовый 2 14 3 3 7" xfId="21064"/>
    <cellStyle name="Финансовый 2 14 3 3 8" xfId="21065"/>
    <cellStyle name="Финансовый 2 14 3 3 9" xfId="21066"/>
    <cellStyle name="Финансовый 2 14 3 4" xfId="21067"/>
    <cellStyle name="Финансовый 2 14 3 5" xfId="21068"/>
    <cellStyle name="Финансовый 2 14 3 6" xfId="21069"/>
    <cellStyle name="Финансовый 2 14 3 7" xfId="21070"/>
    <cellStyle name="Финансовый 2 14 3 8" xfId="21071"/>
    <cellStyle name="Финансовый 2 14 3 9" xfId="21072"/>
    <cellStyle name="Финансовый 2 14 4" xfId="4972"/>
    <cellStyle name="Финансовый 2 14 4 2" xfId="21073"/>
    <cellStyle name="Финансовый 2 14 4 3" xfId="21074"/>
    <cellStyle name="Финансовый 2 14 4 4" xfId="21075"/>
    <cellStyle name="Финансовый 2 14 4 5" xfId="21076"/>
    <cellStyle name="Финансовый 2 14 4 6" xfId="21077"/>
    <cellStyle name="Финансовый 2 14 4 7" xfId="21078"/>
    <cellStyle name="Финансовый 2 14 4 8" xfId="21079"/>
    <cellStyle name="Финансовый 2 14 4 9" xfId="21080"/>
    <cellStyle name="Финансовый 2 14 5" xfId="21081"/>
    <cellStyle name="Финансовый 2 14 6" xfId="21082"/>
    <cellStyle name="Финансовый 2 14 7" xfId="21083"/>
    <cellStyle name="Финансовый 2 14 8" xfId="21084"/>
    <cellStyle name="Финансовый 2 14 9" xfId="21085"/>
    <cellStyle name="Финансовый 2 15" xfId="4973"/>
    <cellStyle name="Финансовый 2 15 10" xfId="21086"/>
    <cellStyle name="Финансовый 2 15 11" xfId="21087"/>
    <cellStyle name="Финансовый 2 15 12" xfId="21088"/>
    <cellStyle name="Финансовый 2 15 2" xfId="4974"/>
    <cellStyle name="Финансовый 2 15 2 10" xfId="21089"/>
    <cellStyle name="Финансовый 2 15 2 11" xfId="21090"/>
    <cellStyle name="Финансовый 2 15 2 12" xfId="21091"/>
    <cellStyle name="Финансовый 2 15 2 2" xfId="4975"/>
    <cellStyle name="Финансовый 2 15 2 2 2" xfId="21092"/>
    <cellStyle name="Финансовый 2 15 2 2 3" xfId="21093"/>
    <cellStyle name="Финансовый 2 15 2 2 4" xfId="21094"/>
    <cellStyle name="Финансовый 2 15 2 2 5" xfId="21095"/>
    <cellStyle name="Финансовый 2 15 2 2 6" xfId="21096"/>
    <cellStyle name="Финансовый 2 15 2 2 7" xfId="21097"/>
    <cellStyle name="Финансовый 2 15 2 2 8" xfId="21098"/>
    <cellStyle name="Финансовый 2 15 2 2 9" xfId="21099"/>
    <cellStyle name="Финансовый 2 15 2 3" xfId="4976"/>
    <cellStyle name="Финансовый 2 15 2 3 2" xfId="21100"/>
    <cellStyle name="Финансовый 2 15 2 3 3" xfId="21101"/>
    <cellStyle name="Финансовый 2 15 2 3 4" xfId="21102"/>
    <cellStyle name="Финансовый 2 15 2 3 5" xfId="21103"/>
    <cellStyle name="Финансовый 2 15 2 3 6" xfId="21104"/>
    <cellStyle name="Финансовый 2 15 2 3 7" xfId="21105"/>
    <cellStyle name="Финансовый 2 15 2 3 8" xfId="21106"/>
    <cellStyle name="Финансовый 2 15 2 3 9" xfId="21107"/>
    <cellStyle name="Финансовый 2 15 2 4" xfId="4977"/>
    <cellStyle name="Финансовый 2 15 2 4 2" xfId="21108"/>
    <cellStyle name="Финансовый 2 15 2 4 3" xfId="21109"/>
    <cellStyle name="Финансовый 2 15 2 4 4" xfId="21110"/>
    <cellStyle name="Финансовый 2 15 2 4 5" xfId="21111"/>
    <cellStyle name="Финансовый 2 15 2 4 6" xfId="21112"/>
    <cellStyle name="Финансовый 2 15 2 4 7" xfId="21113"/>
    <cellStyle name="Финансовый 2 15 2 4 8" xfId="21114"/>
    <cellStyle name="Финансовый 2 15 2 4 9" xfId="21115"/>
    <cellStyle name="Финансовый 2 15 2 5" xfId="21116"/>
    <cellStyle name="Финансовый 2 15 2 6" xfId="21117"/>
    <cellStyle name="Финансовый 2 15 2 7" xfId="21118"/>
    <cellStyle name="Финансовый 2 15 2 8" xfId="21119"/>
    <cellStyle name="Финансовый 2 15 2 9" xfId="21120"/>
    <cellStyle name="Финансовый 2 15 3" xfId="4978"/>
    <cellStyle name="Финансовый 2 15 3 10" xfId="21121"/>
    <cellStyle name="Финансовый 2 15 3 11" xfId="21122"/>
    <cellStyle name="Финансовый 2 15 3 2" xfId="4979"/>
    <cellStyle name="Финансовый 2 15 3 2 2" xfId="21123"/>
    <cellStyle name="Финансовый 2 15 3 2 3" xfId="21124"/>
    <cellStyle name="Финансовый 2 15 3 2 4" xfId="21125"/>
    <cellStyle name="Финансовый 2 15 3 2 5" xfId="21126"/>
    <cellStyle name="Финансовый 2 15 3 2 6" xfId="21127"/>
    <cellStyle name="Финансовый 2 15 3 2 7" xfId="21128"/>
    <cellStyle name="Финансовый 2 15 3 2 8" xfId="21129"/>
    <cellStyle name="Финансовый 2 15 3 2 9" xfId="21130"/>
    <cellStyle name="Финансовый 2 15 3 3" xfId="4980"/>
    <cellStyle name="Финансовый 2 15 3 3 2" xfId="21131"/>
    <cellStyle name="Финансовый 2 15 3 3 3" xfId="21132"/>
    <cellStyle name="Финансовый 2 15 3 3 4" xfId="21133"/>
    <cellStyle name="Финансовый 2 15 3 3 5" xfId="21134"/>
    <cellStyle name="Финансовый 2 15 3 3 6" xfId="21135"/>
    <cellStyle name="Финансовый 2 15 3 3 7" xfId="21136"/>
    <cellStyle name="Финансовый 2 15 3 3 8" xfId="21137"/>
    <cellStyle name="Финансовый 2 15 3 3 9" xfId="21138"/>
    <cellStyle name="Финансовый 2 15 3 4" xfId="21139"/>
    <cellStyle name="Финансовый 2 15 3 5" xfId="21140"/>
    <cellStyle name="Финансовый 2 15 3 6" xfId="21141"/>
    <cellStyle name="Финансовый 2 15 3 7" xfId="21142"/>
    <cellStyle name="Финансовый 2 15 3 8" xfId="21143"/>
    <cellStyle name="Финансовый 2 15 3 9" xfId="21144"/>
    <cellStyle name="Финансовый 2 15 4" xfId="4981"/>
    <cellStyle name="Финансовый 2 15 4 2" xfId="21145"/>
    <cellStyle name="Финансовый 2 15 4 3" xfId="21146"/>
    <cellStyle name="Финансовый 2 15 4 4" xfId="21147"/>
    <cellStyle name="Финансовый 2 15 4 5" xfId="21148"/>
    <cellStyle name="Финансовый 2 15 4 6" xfId="21149"/>
    <cellStyle name="Финансовый 2 15 4 7" xfId="21150"/>
    <cellStyle name="Финансовый 2 15 4 8" xfId="21151"/>
    <cellStyle name="Финансовый 2 15 4 9" xfId="21152"/>
    <cellStyle name="Финансовый 2 15 5" xfId="21153"/>
    <cellStyle name="Финансовый 2 15 6" xfId="21154"/>
    <cellStyle name="Финансовый 2 15 7" xfId="21155"/>
    <cellStyle name="Финансовый 2 15 8" xfId="21156"/>
    <cellStyle name="Финансовый 2 15 9" xfId="21157"/>
    <cellStyle name="Финансовый 2 16" xfId="4982"/>
    <cellStyle name="Финансовый 2 16 10" xfId="21158"/>
    <cellStyle name="Финансовый 2 16 11" xfId="21159"/>
    <cellStyle name="Финансовый 2 16 12" xfId="21160"/>
    <cellStyle name="Финансовый 2 16 2" xfId="4983"/>
    <cellStyle name="Финансовый 2 16 2 10" xfId="21161"/>
    <cellStyle name="Финансовый 2 16 2 11" xfId="21162"/>
    <cellStyle name="Финансовый 2 16 2 12" xfId="21163"/>
    <cellStyle name="Финансовый 2 16 2 2" xfId="4984"/>
    <cellStyle name="Финансовый 2 16 2 2 2" xfId="21164"/>
    <cellStyle name="Финансовый 2 16 2 2 3" xfId="21165"/>
    <cellStyle name="Финансовый 2 16 2 2 4" xfId="21166"/>
    <cellStyle name="Финансовый 2 16 2 2 5" xfId="21167"/>
    <cellStyle name="Финансовый 2 16 2 2 6" xfId="21168"/>
    <cellStyle name="Финансовый 2 16 2 2 7" xfId="21169"/>
    <cellStyle name="Финансовый 2 16 2 2 8" xfId="21170"/>
    <cellStyle name="Финансовый 2 16 2 2 9" xfId="21171"/>
    <cellStyle name="Финансовый 2 16 2 3" xfId="4985"/>
    <cellStyle name="Финансовый 2 16 2 3 2" xfId="21172"/>
    <cellStyle name="Финансовый 2 16 2 3 3" xfId="21173"/>
    <cellStyle name="Финансовый 2 16 2 3 4" xfId="21174"/>
    <cellStyle name="Финансовый 2 16 2 3 5" xfId="21175"/>
    <cellStyle name="Финансовый 2 16 2 3 6" xfId="21176"/>
    <cellStyle name="Финансовый 2 16 2 3 7" xfId="21177"/>
    <cellStyle name="Финансовый 2 16 2 3 8" xfId="21178"/>
    <cellStyle name="Финансовый 2 16 2 3 9" xfId="21179"/>
    <cellStyle name="Финансовый 2 16 2 4" xfId="4986"/>
    <cellStyle name="Финансовый 2 16 2 4 2" xfId="21180"/>
    <cellStyle name="Финансовый 2 16 2 4 3" xfId="21181"/>
    <cellStyle name="Финансовый 2 16 2 4 4" xfId="21182"/>
    <cellStyle name="Финансовый 2 16 2 4 5" xfId="21183"/>
    <cellStyle name="Финансовый 2 16 2 4 6" xfId="21184"/>
    <cellStyle name="Финансовый 2 16 2 4 7" xfId="21185"/>
    <cellStyle name="Финансовый 2 16 2 4 8" xfId="21186"/>
    <cellStyle name="Финансовый 2 16 2 4 9" xfId="21187"/>
    <cellStyle name="Финансовый 2 16 2 5" xfId="21188"/>
    <cellStyle name="Финансовый 2 16 2 6" xfId="21189"/>
    <cellStyle name="Финансовый 2 16 2 7" xfId="21190"/>
    <cellStyle name="Финансовый 2 16 2 8" xfId="21191"/>
    <cellStyle name="Финансовый 2 16 2 9" xfId="21192"/>
    <cellStyle name="Финансовый 2 16 3" xfId="4987"/>
    <cellStyle name="Финансовый 2 16 3 10" xfId="21193"/>
    <cellStyle name="Финансовый 2 16 3 11" xfId="21194"/>
    <cellStyle name="Финансовый 2 16 3 2" xfId="4988"/>
    <cellStyle name="Финансовый 2 16 3 2 2" xfId="21195"/>
    <cellStyle name="Финансовый 2 16 3 2 3" xfId="21196"/>
    <cellStyle name="Финансовый 2 16 3 2 4" xfId="21197"/>
    <cellStyle name="Финансовый 2 16 3 2 5" xfId="21198"/>
    <cellStyle name="Финансовый 2 16 3 2 6" xfId="21199"/>
    <cellStyle name="Финансовый 2 16 3 2 7" xfId="21200"/>
    <cellStyle name="Финансовый 2 16 3 2 8" xfId="21201"/>
    <cellStyle name="Финансовый 2 16 3 2 9" xfId="21202"/>
    <cellStyle name="Финансовый 2 16 3 3" xfId="4989"/>
    <cellStyle name="Финансовый 2 16 3 3 2" xfId="21203"/>
    <cellStyle name="Финансовый 2 16 3 3 3" xfId="21204"/>
    <cellStyle name="Финансовый 2 16 3 3 4" xfId="21205"/>
    <cellStyle name="Финансовый 2 16 3 3 5" xfId="21206"/>
    <cellStyle name="Финансовый 2 16 3 3 6" xfId="21207"/>
    <cellStyle name="Финансовый 2 16 3 3 7" xfId="21208"/>
    <cellStyle name="Финансовый 2 16 3 3 8" xfId="21209"/>
    <cellStyle name="Финансовый 2 16 3 3 9" xfId="21210"/>
    <cellStyle name="Финансовый 2 16 3 4" xfId="21211"/>
    <cellStyle name="Финансовый 2 16 3 5" xfId="21212"/>
    <cellStyle name="Финансовый 2 16 3 6" xfId="21213"/>
    <cellStyle name="Финансовый 2 16 3 7" xfId="21214"/>
    <cellStyle name="Финансовый 2 16 3 8" xfId="21215"/>
    <cellStyle name="Финансовый 2 16 3 9" xfId="21216"/>
    <cellStyle name="Финансовый 2 16 4" xfId="4990"/>
    <cellStyle name="Финансовый 2 16 4 2" xfId="21217"/>
    <cellStyle name="Финансовый 2 16 4 3" xfId="21218"/>
    <cellStyle name="Финансовый 2 16 4 4" xfId="21219"/>
    <cellStyle name="Финансовый 2 16 4 5" xfId="21220"/>
    <cellStyle name="Финансовый 2 16 4 6" xfId="21221"/>
    <cellStyle name="Финансовый 2 16 4 7" xfId="21222"/>
    <cellStyle name="Финансовый 2 16 4 8" xfId="21223"/>
    <cellStyle name="Финансовый 2 16 4 9" xfId="21224"/>
    <cellStyle name="Финансовый 2 16 5" xfId="21225"/>
    <cellStyle name="Финансовый 2 16 6" xfId="21226"/>
    <cellStyle name="Финансовый 2 16 7" xfId="21227"/>
    <cellStyle name="Финансовый 2 16 8" xfId="21228"/>
    <cellStyle name="Финансовый 2 16 9" xfId="21229"/>
    <cellStyle name="Финансовый 2 17" xfId="4991"/>
    <cellStyle name="Финансовый 2 17 10" xfId="21230"/>
    <cellStyle name="Финансовый 2 17 11" xfId="21231"/>
    <cellStyle name="Финансовый 2 17 12" xfId="21232"/>
    <cellStyle name="Финансовый 2 17 2" xfId="4992"/>
    <cellStyle name="Финансовый 2 17 2 10" xfId="21233"/>
    <cellStyle name="Финансовый 2 17 2 11" xfId="21234"/>
    <cellStyle name="Финансовый 2 17 2 12" xfId="21235"/>
    <cellStyle name="Финансовый 2 17 2 2" xfId="4993"/>
    <cellStyle name="Финансовый 2 17 2 2 2" xfId="21236"/>
    <cellStyle name="Финансовый 2 17 2 2 3" xfId="21237"/>
    <cellStyle name="Финансовый 2 17 2 2 4" xfId="21238"/>
    <cellStyle name="Финансовый 2 17 2 2 5" xfId="21239"/>
    <cellStyle name="Финансовый 2 17 2 2 6" xfId="21240"/>
    <cellStyle name="Финансовый 2 17 2 2 7" xfId="21241"/>
    <cellStyle name="Финансовый 2 17 2 2 8" xfId="21242"/>
    <cellStyle name="Финансовый 2 17 2 2 9" xfId="21243"/>
    <cellStyle name="Финансовый 2 17 2 3" xfId="4994"/>
    <cellStyle name="Финансовый 2 17 2 3 2" xfId="21244"/>
    <cellStyle name="Финансовый 2 17 2 3 3" xfId="21245"/>
    <cellStyle name="Финансовый 2 17 2 3 4" xfId="21246"/>
    <cellStyle name="Финансовый 2 17 2 3 5" xfId="21247"/>
    <cellStyle name="Финансовый 2 17 2 3 6" xfId="21248"/>
    <cellStyle name="Финансовый 2 17 2 3 7" xfId="21249"/>
    <cellStyle name="Финансовый 2 17 2 3 8" xfId="21250"/>
    <cellStyle name="Финансовый 2 17 2 3 9" xfId="21251"/>
    <cellStyle name="Финансовый 2 17 2 4" xfId="4995"/>
    <cellStyle name="Финансовый 2 17 2 4 2" xfId="21252"/>
    <cellStyle name="Финансовый 2 17 2 4 3" xfId="21253"/>
    <cellStyle name="Финансовый 2 17 2 4 4" xfId="21254"/>
    <cellStyle name="Финансовый 2 17 2 4 5" xfId="21255"/>
    <cellStyle name="Финансовый 2 17 2 4 6" xfId="21256"/>
    <cellStyle name="Финансовый 2 17 2 4 7" xfId="21257"/>
    <cellStyle name="Финансовый 2 17 2 4 8" xfId="21258"/>
    <cellStyle name="Финансовый 2 17 2 4 9" xfId="21259"/>
    <cellStyle name="Финансовый 2 17 2 5" xfId="21260"/>
    <cellStyle name="Финансовый 2 17 2 6" xfId="21261"/>
    <cellStyle name="Финансовый 2 17 2 7" xfId="21262"/>
    <cellStyle name="Финансовый 2 17 2 8" xfId="21263"/>
    <cellStyle name="Финансовый 2 17 2 9" xfId="21264"/>
    <cellStyle name="Финансовый 2 17 3" xfId="4996"/>
    <cellStyle name="Финансовый 2 17 3 10" xfId="21265"/>
    <cellStyle name="Финансовый 2 17 3 11" xfId="21266"/>
    <cellStyle name="Финансовый 2 17 3 2" xfId="4997"/>
    <cellStyle name="Финансовый 2 17 3 2 2" xfId="21267"/>
    <cellStyle name="Финансовый 2 17 3 2 3" xfId="21268"/>
    <cellStyle name="Финансовый 2 17 3 2 4" xfId="21269"/>
    <cellStyle name="Финансовый 2 17 3 2 5" xfId="21270"/>
    <cellStyle name="Финансовый 2 17 3 2 6" xfId="21271"/>
    <cellStyle name="Финансовый 2 17 3 2 7" xfId="21272"/>
    <cellStyle name="Финансовый 2 17 3 2 8" xfId="21273"/>
    <cellStyle name="Финансовый 2 17 3 2 9" xfId="21274"/>
    <cellStyle name="Финансовый 2 17 3 3" xfId="4998"/>
    <cellStyle name="Финансовый 2 17 3 3 2" xfId="21275"/>
    <cellStyle name="Финансовый 2 17 3 3 3" xfId="21276"/>
    <cellStyle name="Финансовый 2 17 3 3 4" xfId="21277"/>
    <cellStyle name="Финансовый 2 17 3 3 5" xfId="21278"/>
    <cellStyle name="Финансовый 2 17 3 3 6" xfId="21279"/>
    <cellStyle name="Финансовый 2 17 3 3 7" xfId="21280"/>
    <cellStyle name="Финансовый 2 17 3 3 8" xfId="21281"/>
    <cellStyle name="Финансовый 2 17 3 3 9" xfId="21282"/>
    <cellStyle name="Финансовый 2 17 3 4" xfId="21283"/>
    <cellStyle name="Финансовый 2 17 3 5" xfId="21284"/>
    <cellStyle name="Финансовый 2 17 3 6" xfId="21285"/>
    <cellStyle name="Финансовый 2 17 3 7" xfId="21286"/>
    <cellStyle name="Финансовый 2 17 3 8" xfId="21287"/>
    <cellStyle name="Финансовый 2 17 3 9" xfId="21288"/>
    <cellStyle name="Финансовый 2 17 4" xfId="4999"/>
    <cellStyle name="Финансовый 2 17 4 2" xfId="21289"/>
    <cellStyle name="Финансовый 2 17 4 3" xfId="21290"/>
    <cellStyle name="Финансовый 2 17 4 4" xfId="21291"/>
    <cellStyle name="Финансовый 2 17 4 5" xfId="21292"/>
    <cellStyle name="Финансовый 2 17 4 6" xfId="21293"/>
    <cellStyle name="Финансовый 2 17 4 7" xfId="21294"/>
    <cellStyle name="Финансовый 2 17 4 8" xfId="21295"/>
    <cellStyle name="Финансовый 2 17 4 9" xfId="21296"/>
    <cellStyle name="Финансовый 2 17 5" xfId="21297"/>
    <cellStyle name="Финансовый 2 17 6" xfId="21298"/>
    <cellStyle name="Финансовый 2 17 7" xfId="21299"/>
    <cellStyle name="Финансовый 2 17 8" xfId="21300"/>
    <cellStyle name="Финансовый 2 17 9" xfId="21301"/>
    <cellStyle name="Финансовый 2 18" xfId="5000"/>
    <cellStyle name="Финансовый 2 18 10" xfId="21302"/>
    <cellStyle name="Финансовый 2 18 11" xfId="21303"/>
    <cellStyle name="Финансовый 2 18 12" xfId="21304"/>
    <cellStyle name="Финансовый 2 18 2" xfId="5001"/>
    <cellStyle name="Финансовый 2 18 2 10" xfId="21305"/>
    <cellStyle name="Финансовый 2 18 2 11" xfId="21306"/>
    <cellStyle name="Финансовый 2 18 2 12" xfId="21307"/>
    <cellStyle name="Финансовый 2 18 2 2" xfId="5002"/>
    <cellStyle name="Финансовый 2 18 2 2 2" xfId="21308"/>
    <cellStyle name="Финансовый 2 18 2 2 3" xfId="21309"/>
    <cellStyle name="Финансовый 2 18 2 2 4" xfId="21310"/>
    <cellStyle name="Финансовый 2 18 2 2 5" xfId="21311"/>
    <cellStyle name="Финансовый 2 18 2 2 6" xfId="21312"/>
    <cellStyle name="Финансовый 2 18 2 2 7" xfId="21313"/>
    <cellStyle name="Финансовый 2 18 2 2 8" xfId="21314"/>
    <cellStyle name="Финансовый 2 18 2 2 9" xfId="21315"/>
    <cellStyle name="Финансовый 2 18 2 3" xfId="5003"/>
    <cellStyle name="Финансовый 2 18 2 3 2" xfId="21316"/>
    <cellStyle name="Финансовый 2 18 2 3 3" xfId="21317"/>
    <cellStyle name="Финансовый 2 18 2 3 4" xfId="21318"/>
    <cellStyle name="Финансовый 2 18 2 3 5" xfId="21319"/>
    <cellStyle name="Финансовый 2 18 2 3 6" xfId="21320"/>
    <cellStyle name="Финансовый 2 18 2 3 7" xfId="21321"/>
    <cellStyle name="Финансовый 2 18 2 3 8" xfId="21322"/>
    <cellStyle name="Финансовый 2 18 2 3 9" xfId="21323"/>
    <cellStyle name="Финансовый 2 18 2 4" xfId="5004"/>
    <cellStyle name="Финансовый 2 18 2 4 2" xfId="21324"/>
    <cellStyle name="Финансовый 2 18 2 4 3" xfId="21325"/>
    <cellStyle name="Финансовый 2 18 2 4 4" xfId="21326"/>
    <cellStyle name="Финансовый 2 18 2 4 5" xfId="21327"/>
    <cellStyle name="Финансовый 2 18 2 4 6" xfId="21328"/>
    <cellStyle name="Финансовый 2 18 2 4 7" xfId="21329"/>
    <cellStyle name="Финансовый 2 18 2 4 8" xfId="21330"/>
    <cellStyle name="Финансовый 2 18 2 4 9" xfId="21331"/>
    <cellStyle name="Финансовый 2 18 2 5" xfId="21332"/>
    <cellStyle name="Финансовый 2 18 2 6" xfId="21333"/>
    <cellStyle name="Финансовый 2 18 2 7" xfId="21334"/>
    <cellStyle name="Финансовый 2 18 2 8" xfId="21335"/>
    <cellStyle name="Финансовый 2 18 2 9" xfId="21336"/>
    <cellStyle name="Финансовый 2 18 3" xfId="5005"/>
    <cellStyle name="Финансовый 2 18 3 10" xfId="21337"/>
    <cellStyle name="Финансовый 2 18 3 11" xfId="21338"/>
    <cellStyle name="Финансовый 2 18 3 2" xfId="5006"/>
    <cellStyle name="Финансовый 2 18 3 2 2" xfId="21339"/>
    <cellStyle name="Финансовый 2 18 3 2 3" xfId="21340"/>
    <cellStyle name="Финансовый 2 18 3 2 4" xfId="21341"/>
    <cellStyle name="Финансовый 2 18 3 2 5" xfId="21342"/>
    <cellStyle name="Финансовый 2 18 3 2 6" xfId="21343"/>
    <cellStyle name="Финансовый 2 18 3 2 7" xfId="21344"/>
    <cellStyle name="Финансовый 2 18 3 2 8" xfId="21345"/>
    <cellStyle name="Финансовый 2 18 3 2 9" xfId="21346"/>
    <cellStyle name="Финансовый 2 18 3 3" xfId="5007"/>
    <cellStyle name="Финансовый 2 18 3 3 2" xfId="21347"/>
    <cellStyle name="Финансовый 2 18 3 3 3" xfId="21348"/>
    <cellStyle name="Финансовый 2 18 3 3 4" xfId="21349"/>
    <cellStyle name="Финансовый 2 18 3 3 5" xfId="21350"/>
    <cellStyle name="Финансовый 2 18 3 3 6" xfId="21351"/>
    <cellStyle name="Финансовый 2 18 3 3 7" xfId="21352"/>
    <cellStyle name="Финансовый 2 18 3 3 8" xfId="21353"/>
    <cellStyle name="Финансовый 2 18 3 3 9" xfId="21354"/>
    <cellStyle name="Финансовый 2 18 3 4" xfId="21355"/>
    <cellStyle name="Финансовый 2 18 3 5" xfId="21356"/>
    <cellStyle name="Финансовый 2 18 3 6" xfId="21357"/>
    <cellStyle name="Финансовый 2 18 3 7" xfId="21358"/>
    <cellStyle name="Финансовый 2 18 3 8" xfId="21359"/>
    <cellStyle name="Финансовый 2 18 3 9" xfId="21360"/>
    <cellStyle name="Финансовый 2 18 4" xfId="5008"/>
    <cellStyle name="Финансовый 2 18 4 2" xfId="21361"/>
    <cellStyle name="Финансовый 2 18 4 3" xfId="21362"/>
    <cellStyle name="Финансовый 2 18 4 4" xfId="21363"/>
    <cellStyle name="Финансовый 2 18 4 5" xfId="21364"/>
    <cellStyle name="Финансовый 2 18 4 6" xfId="21365"/>
    <cellStyle name="Финансовый 2 18 4 7" xfId="21366"/>
    <cellStyle name="Финансовый 2 18 4 8" xfId="21367"/>
    <cellStyle name="Финансовый 2 18 4 9" xfId="21368"/>
    <cellStyle name="Финансовый 2 18 5" xfId="21369"/>
    <cellStyle name="Финансовый 2 18 6" xfId="21370"/>
    <cellStyle name="Финансовый 2 18 7" xfId="21371"/>
    <cellStyle name="Финансовый 2 18 8" xfId="21372"/>
    <cellStyle name="Финансовый 2 18 9" xfId="21373"/>
    <cellStyle name="Финансовый 2 19" xfId="5009"/>
    <cellStyle name="Финансовый 2 19 2" xfId="5010"/>
    <cellStyle name="Финансовый 2 19 2 2" xfId="5011"/>
    <cellStyle name="Финансовый 2 19 2 3" xfId="5012"/>
    <cellStyle name="Финансовый 2 19 3" xfId="5013"/>
    <cellStyle name="Финансовый 2 19 4" xfId="5014"/>
    <cellStyle name="Финансовый 2 19 4 2" xfId="21374"/>
    <cellStyle name="Финансовый 2 19 4 3" xfId="21375"/>
    <cellStyle name="Финансовый 2 19 4 4" xfId="21376"/>
    <cellStyle name="Финансовый 2 19 4 5" xfId="21377"/>
    <cellStyle name="Финансовый 2 19 5" xfId="21378"/>
    <cellStyle name="Финансовый 2 19 6" xfId="21379"/>
    <cellStyle name="Финансовый 2 19 7" xfId="21380"/>
    <cellStyle name="Финансовый 2 19 8" xfId="21381"/>
    <cellStyle name="Финансовый 2 2" xfId="5015"/>
    <cellStyle name="Финансовый 2 2 10" xfId="5016"/>
    <cellStyle name="Финансовый 2 2 10 2" xfId="5017"/>
    <cellStyle name="Финансовый 2 2 10 2 2" xfId="5018"/>
    <cellStyle name="Финансовый 2 2 10 2 3" xfId="5019"/>
    <cellStyle name="Финансовый 2 2 10 3" xfId="5020"/>
    <cellStyle name="Финансовый 2 2 10 4" xfId="5021"/>
    <cellStyle name="Финансовый 2 2 10 4 2" xfId="21382"/>
    <cellStyle name="Финансовый 2 2 10 4 3" xfId="21383"/>
    <cellStyle name="Финансовый 2 2 10 4 4" xfId="21384"/>
    <cellStyle name="Финансовый 2 2 10 4 5" xfId="21385"/>
    <cellStyle name="Финансовый 2 2 10 5" xfId="21386"/>
    <cellStyle name="Финансовый 2 2 10 6" xfId="21387"/>
    <cellStyle name="Финансовый 2 2 10 7" xfId="21388"/>
    <cellStyle name="Финансовый 2 2 10 8" xfId="21389"/>
    <cellStyle name="Финансовый 2 2 11" xfId="5022"/>
    <cellStyle name="Финансовый 2 2 11 10" xfId="21390"/>
    <cellStyle name="Финансовый 2 2 11 11" xfId="21391"/>
    <cellStyle name="Финансовый 2 2 11 12" xfId="21392"/>
    <cellStyle name="Финансовый 2 2 11 2" xfId="5023"/>
    <cellStyle name="Финансовый 2 2 11 2 10" xfId="21393"/>
    <cellStyle name="Финансовый 2 2 11 2 11" xfId="21394"/>
    <cellStyle name="Финансовый 2 2 11 2 12" xfId="21395"/>
    <cellStyle name="Финансовый 2 2 11 2 2" xfId="5024"/>
    <cellStyle name="Финансовый 2 2 11 2 2 2" xfId="21396"/>
    <cellStyle name="Финансовый 2 2 11 2 2 3" xfId="21397"/>
    <cellStyle name="Финансовый 2 2 11 2 2 4" xfId="21398"/>
    <cellStyle name="Финансовый 2 2 11 2 2 5" xfId="21399"/>
    <cellStyle name="Финансовый 2 2 11 2 2 6" xfId="21400"/>
    <cellStyle name="Финансовый 2 2 11 2 2 7" xfId="21401"/>
    <cellStyle name="Финансовый 2 2 11 2 2 8" xfId="21402"/>
    <cellStyle name="Финансовый 2 2 11 2 2 9" xfId="21403"/>
    <cellStyle name="Финансовый 2 2 11 2 3" xfId="5025"/>
    <cellStyle name="Финансовый 2 2 11 2 3 2" xfId="21404"/>
    <cellStyle name="Финансовый 2 2 11 2 3 3" xfId="21405"/>
    <cellStyle name="Финансовый 2 2 11 2 3 4" xfId="21406"/>
    <cellStyle name="Финансовый 2 2 11 2 3 5" xfId="21407"/>
    <cellStyle name="Финансовый 2 2 11 2 3 6" xfId="21408"/>
    <cellStyle name="Финансовый 2 2 11 2 3 7" xfId="21409"/>
    <cellStyle name="Финансовый 2 2 11 2 3 8" xfId="21410"/>
    <cellStyle name="Финансовый 2 2 11 2 3 9" xfId="21411"/>
    <cellStyle name="Финансовый 2 2 11 2 4" xfId="5026"/>
    <cellStyle name="Финансовый 2 2 11 2 4 2" xfId="21412"/>
    <cellStyle name="Финансовый 2 2 11 2 4 3" xfId="21413"/>
    <cellStyle name="Финансовый 2 2 11 2 4 4" xfId="21414"/>
    <cellStyle name="Финансовый 2 2 11 2 4 5" xfId="21415"/>
    <cellStyle name="Финансовый 2 2 11 2 4 6" xfId="21416"/>
    <cellStyle name="Финансовый 2 2 11 2 4 7" xfId="21417"/>
    <cellStyle name="Финансовый 2 2 11 2 4 8" xfId="21418"/>
    <cellStyle name="Финансовый 2 2 11 2 4 9" xfId="21419"/>
    <cellStyle name="Финансовый 2 2 11 2 5" xfId="21420"/>
    <cellStyle name="Финансовый 2 2 11 2 6" xfId="21421"/>
    <cellStyle name="Финансовый 2 2 11 2 7" xfId="21422"/>
    <cellStyle name="Финансовый 2 2 11 2 8" xfId="21423"/>
    <cellStyle name="Финансовый 2 2 11 2 9" xfId="21424"/>
    <cellStyle name="Финансовый 2 2 11 3" xfId="5027"/>
    <cellStyle name="Финансовый 2 2 11 3 10" xfId="21425"/>
    <cellStyle name="Финансовый 2 2 11 3 11" xfId="21426"/>
    <cellStyle name="Финансовый 2 2 11 3 2" xfId="5028"/>
    <cellStyle name="Финансовый 2 2 11 3 2 2" xfId="21427"/>
    <cellStyle name="Финансовый 2 2 11 3 2 3" xfId="21428"/>
    <cellStyle name="Финансовый 2 2 11 3 2 4" xfId="21429"/>
    <cellStyle name="Финансовый 2 2 11 3 2 5" xfId="21430"/>
    <cellStyle name="Финансовый 2 2 11 3 2 6" xfId="21431"/>
    <cellStyle name="Финансовый 2 2 11 3 2 7" xfId="21432"/>
    <cellStyle name="Финансовый 2 2 11 3 2 8" xfId="21433"/>
    <cellStyle name="Финансовый 2 2 11 3 2 9" xfId="21434"/>
    <cellStyle name="Финансовый 2 2 11 3 3" xfId="5029"/>
    <cellStyle name="Финансовый 2 2 11 3 3 2" xfId="21435"/>
    <cellStyle name="Финансовый 2 2 11 3 3 3" xfId="21436"/>
    <cellStyle name="Финансовый 2 2 11 3 3 4" xfId="21437"/>
    <cellStyle name="Финансовый 2 2 11 3 3 5" xfId="21438"/>
    <cellStyle name="Финансовый 2 2 11 3 3 6" xfId="21439"/>
    <cellStyle name="Финансовый 2 2 11 3 3 7" xfId="21440"/>
    <cellStyle name="Финансовый 2 2 11 3 3 8" xfId="21441"/>
    <cellStyle name="Финансовый 2 2 11 3 3 9" xfId="21442"/>
    <cellStyle name="Финансовый 2 2 11 3 4" xfId="21443"/>
    <cellStyle name="Финансовый 2 2 11 3 5" xfId="21444"/>
    <cellStyle name="Финансовый 2 2 11 3 6" xfId="21445"/>
    <cellStyle name="Финансовый 2 2 11 3 7" xfId="21446"/>
    <cellStyle name="Финансовый 2 2 11 3 8" xfId="21447"/>
    <cellStyle name="Финансовый 2 2 11 3 9" xfId="21448"/>
    <cellStyle name="Финансовый 2 2 11 4" xfId="5030"/>
    <cellStyle name="Финансовый 2 2 11 4 2" xfId="21449"/>
    <cellStyle name="Финансовый 2 2 11 4 3" xfId="21450"/>
    <cellStyle name="Финансовый 2 2 11 4 4" xfId="21451"/>
    <cellStyle name="Финансовый 2 2 11 4 5" xfId="21452"/>
    <cellStyle name="Финансовый 2 2 11 4 6" xfId="21453"/>
    <cellStyle name="Финансовый 2 2 11 4 7" xfId="21454"/>
    <cellStyle name="Финансовый 2 2 11 4 8" xfId="21455"/>
    <cellStyle name="Финансовый 2 2 11 4 9" xfId="21456"/>
    <cellStyle name="Финансовый 2 2 11 5" xfId="21457"/>
    <cellStyle name="Финансовый 2 2 11 6" xfId="21458"/>
    <cellStyle name="Финансовый 2 2 11 7" xfId="21459"/>
    <cellStyle name="Финансовый 2 2 11 8" xfId="21460"/>
    <cellStyle name="Финансовый 2 2 11 9" xfId="21461"/>
    <cellStyle name="Финансовый 2 2 12" xfId="5031"/>
    <cellStyle name="Финансовый 2 2 12 10" xfId="21462"/>
    <cellStyle name="Финансовый 2 2 12 11" xfId="21463"/>
    <cellStyle name="Финансовый 2 2 12 12" xfId="21464"/>
    <cellStyle name="Финансовый 2 2 12 2" xfId="5032"/>
    <cellStyle name="Финансовый 2 2 12 2 10" xfId="21465"/>
    <cellStyle name="Финансовый 2 2 12 2 11" xfId="21466"/>
    <cellStyle name="Финансовый 2 2 12 2 12" xfId="21467"/>
    <cellStyle name="Финансовый 2 2 12 2 2" xfId="5033"/>
    <cellStyle name="Финансовый 2 2 12 2 2 2" xfId="21468"/>
    <cellStyle name="Финансовый 2 2 12 2 2 3" xfId="21469"/>
    <cellStyle name="Финансовый 2 2 12 2 2 4" xfId="21470"/>
    <cellStyle name="Финансовый 2 2 12 2 2 5" xfId="21471"/>
    <cellStyle name="Финансовый 2 2 12 2 2 6" xfId="21472"/>
    <cellStyle name="Финансовый 2 2 12 2 2 7" xfId="21473"/>
    <cellStyle name="Финансовый 2 2 12 2 2 8" xfId="21474"/>
    <cellStyle name="Финансовый 2 2 12 2 2 9" xfId="21475"/>
    <cellStyle name="Финансовый 2 2 12 2 3" xfId="5034"/>
    <cellStyle name="Финансовый 2 2 12 2 3 2" xfId="21476"/>
    <cellStyle name="Финансовый 2 2 12 2 3 3" xfId="21477"/>
    <cellStyle name="Финансовый 2 2 12 2 3 4" xfId="21478"/>
    <cellStyle name="Финансовый 2 2 12 2 3 5" xfId="21479"/>
    <cellStyle name="Финансовый 2 2 12 2 3 6" xfId="21480"/>
    <cellStyle name="Финансовый 2 2 12 2 3 7" xfId="21481"/>
    <cellStyle name="Финансовый 2 2 12 2 3 8" xfId="21482"/>
    <cellStyle name="Финансовый 2 2 12 2 3 9" xfId="21483"/>
    <cellStyle name="Финансовый 2 2 12 2 4" xfId="5035"/>
    <cellStyle name="Финансовый 2 2 12 2 4 2" xfId="21484"/>
    <cellStyle name="Финансовый 2 2 12 2 4 3" xfId="21485"/>
    <cellStyle name="Финансовый 2 2 12 2 4 4" xfId="21486"/>
    <cellStyle name="Финансовый 2 2 12 2 4 5" xfId="21487"/>
    <cellStyle name="Финансовый 2 2 12 2 4 6" xfId="21488"/>
    <cellStyle name="Финансовый 2 2 12 2 4 7" xfId="21489"/>
    <cellStyle name="Финансовый 2 2 12 2 4 8" xfId="21490"/>
    <cellStyle name="Финансовый 2 2 12 2 4 9" xfId="21491"/>
    <cellStyle name="Финансовый 2 2 12 2 5" xfId="21492"/>
    <cellStyle name="Финансовый 2 2 12 2 6" xfId="21493"/>
    <cellStyle name="Финансовый 2 2 12 2 7" xfId="21494"/>
    <cellStyle name="Финансовый 2 2 12 2 8" xfId="21495"/>
    <cellStyle name="Финансовый 2 2 12 2 9" xfId="21496"/>
    <cellStyle name="Финансовый 2 2 12 3" xfId="5036"/>
    <cellStyle name="Финансовый 2 2 12 3 10" xfId="21497"/>
    <cellStyle name="Финансовый 2 2 12 3 11" xfId="21498"/>
    <cellStyle name="Финансовый 2 2 12 3 2" xfId="5037"/>
    <cellStyle name="Финансовый 2 2 12 3 2 2" xfId="21499"/>
    <cellStyle name="Финансовый 2 2 12 3 2 3" xfId="21500"/>
    <cellStyle name="Финансовый 2 2 12 3 2 4" xfId="21501"/>
    <cellStyle name="Финансовый 2 2 12 3 2 5" xfId="21502"/>
    <cellStyle name="Финансовый 2 2 12 3 2 6" xfId="21503"/>
    <cellStyle name="Финансовый 2 2 12 3 2 7" xfId="21504"/>
    <cellStyle name="Финансовый 2 2 12 3 2 8" xfId="21505"/>
    <cellStyle name="Финансовый 2 2 12 3 2 9" xfId="21506"/>
    <cellStyle name="Финансовый 2 2 12 3 3" xfId="5038"/>
    <cellStyle name="Финансовый 2 2 12 3 3 2" xfId="21507"/>
    <cellStyle name="Финансовый 2 2 12 3 3 3" xfId="21508"/>
    <cellStyle name="Финансовый 2 2 12 3 3 4" xfId="21509"/>
    <cellStyle name="Финансовый 2 2 12 3 3 5" xfId="21510"/>
    <cellStyle name="Финансовый 2 2 12 3 3 6" xfId="21511"/>
    <cellStyle name="Финансовый 2 2 12 3 3 7" xfId="21512"/>
    <cellStyle name="Финансовый 2 2 12 3 3 8" xfId="21513"/>
    <cellStyle name="Финансовый 2 2 12 3 3 9" xfId="21514"/>
    <cellStyle name="Финансовый 2 2 12 3 4" xfId="21515"/>
    <cellStyle name="Финансовый 2 2 12 3 5" xfId="21516"/>
    <cellStyle name="Финансовый 2 2 12 3 6" xfId="21517"/>
    <cellStyle name="Финансовый 2 2 12 3 7" xfId="21518"/>
    <cellStyle name="Финансовый 2 2 12 3 8" xfId="21519"/>
    <cellStyle name="Финансовый 2 2 12 3 9" xfId="21520"/>
    <cellStyle name="Финансовый 2 2 12 4" xfId="5039"/>
    <cellStyle name="Финансовый 2 2 12 4 2" xfId="21521"/>
    <cellStyle name="Финансовый 2 2 12 4 3" xfId="21522"/>
    <cellStyle name="Финансовый 2 2 12 4 4" xfId="21523"/>
    <cellStyle name="Финансовый 2 2 12 4 5" xfId="21524"/>
    <cellStyle name="Финансовый 2 2 12 4 6" xfId="21525"/>
    <cellStyle name="Финансовый 2 2 12 4 7" xfId="21526"/>
    <cellStyle name="Финансовый 2 2 12 4 8" xfId="21527"/>
    <cellStyle name="Финансовый 2 2 12 4 9" xfId="21528"/>
    <cellStyle name="Финансовый 2 2 12 5" xfId="21529"/>
    <cellStyle name="Финансовый 2 2 12 6" xfId="21530"/>
    <cellStyle name="Финансовый 2 2 12 7" xfId="21531"/>
    <cellStyle name="Финансовый 2 2 12 8" xfId="21532"/>
    <cellStyle name="Финансовый 2 2 12 9" xfId="21533"/>
    <cellStyle name="Финансовый 2 2 13" xfId="5040"/>
    <cellStyle name="Финансовый 2 2 13 10" xfId="21534"/>
    <cellStyle name="Финансовый 2 2 13 11" xfId="21535"/>
    <cellStyle name="Финансовый 2 2 13 12" xfId="21536"/>
    <cellStyle name="Финансовый 2 2 13 2" xfId="5041"/>
    <cellStyle name="Финансовый 2 2 13 2 10" xfId="21537"/>
    <cellStyle name="Финансовый 2 2 13 2 11" xfId="21538"/>
    <cellStyle name="Финансовый 2 2 13 2 12" xfId="21539"/>
    <cellStyle name="Финансовый 2 2 13 2 2" xfId="5042"/>
    <cellStyle name="Финансовый 2 2 13 2 2 2" xfId="21540"/>
    <cellStyle name="Финансовый 2 2 13 2 2 3" xfId="21541"/>
    <cellStyle name="Финансовый 2 2 13 2 2 4" xfId="21542"/>
    <cellStyle name="Финансовый 2 2 13 2 2 5" xfId="21543"/>
    <cellStyle name="Финансовый 2 2 13 2 2 6" xfId="21544"/>
    <cellStyle name="Финансовый 2 2 13 2 2 7" xfId="21545"/>
    <cellStyle name="Финансовый 2 2 13 2 2 8" xfId="21546"/>
    <cellStyle name="Финансовый 2 2 13 2 2 9" xfId="21547"/>
    <cellStyle name="Финансовый 2 2 13 2 3" xfId="5043"/>
    <cellStyle name="Финансовый 2 2 13 2 3 2" xfId="21548"/>
    <cellStyle name="Финансовый 2 2 13 2 3 3" xfId="21549"/>
    <cellStyle name="Финансовый 2 2 13 2 3 4" xfId="21550"/>
    <cellStyle name="Финансовый 2 2 13 2 3 5" xfId="21551"/>
    <cellStyle name="Финансовый 2 2 13 2 3 6" xfId="21552"/>
    <cellStyle name="Финансовый 2 2 13 2 3 7" xfId="21553"/>
    <cellStyle name="Финансовый 2 2 13 2 3 8" xfId="21554"/>
    <cellStyle name="Финансовый 2 2 13 2 3 9" xfId="21555"/>
    <cellStyle name="Финансовый 2 2 13 2 4" xfId="5044"/>
    <cellStyle name="Финансовый 2 2 13 2 4 2" xfId="21556"/>
    <cellStyle name="Финансовый 2 2 13 2 4 3" xfId="21557"/>
    <cellStyle name="Финансовый 2 2 13 2 4 4" xfId="21558"/>
    <cellStyle name="Финансовый 2 2 13 2 4 5" xfId="21559"/>
    <cellStyle name="Финансовый 2 2 13 2 4 6" xfId="21560"/>
    <cellStyle name="Финансовый 2 2 13 2 4 7" xfId="21561"/>
    <cellStyle name="Финансовый 2 2 13 2 4 8" xfId="21562"/>
    <cellStyle name="Финансовый 2 2 13 2 4 9" xfId="21563"/>
    <cellStyle name="Финансовый 2 2 13 2 5" xfId="21564"/>
    <cellStyle name="Финансовый 2 2 13 2 6" xfId="21565"/>
    <cellStyle name="Финансовый 2 2 13 2 7" xfId="21566"/>
    <cellStyle name="Финансовый 2 2 13 2 8" xfId="21567"/>
    <cellStyle name="Финансовый 2 2 13 2 9" xfId="21568"/>
    <cellStyle name="Финансовый 2 2 13 3" xfId="5045"/>
    <cellStyle name="Финансовый 2 2 13 3 10" xfId="21569"/>
    <cellStyle name="Финансовый 2 2 13 3 11" xfId="21570"/>
    <cellStyle name="Финансовый 2 2 13 3 2" xfId="5046"/>
    <cellStyle name="Финансовый 2 2 13 3 2 2" xfId="21571"/>
    <cellStyle name="Финансовый 2 2 13 3 2 3" xfId="21572"/>
    <cellStyle name="Финансовый 2 2 13 3 2 4" xfId="21573"/>
    <cellStyle name="Финансовый 2 2 13 3 2 5" xfId="21574"/>
    <cellStyle name="Финансовый 2 2 13 3 2 6" xfId="21575"/>
    <cellStyle name="Финансовый 2 2 13 3 2 7" xfId="21576"/>
    <cellStyle name="Финансовый 2 2 13 3 2 8" xfId="21577"/>
    <cellStyle name="Финансовый 2 2 13 3 2 9" xfId="21578"/>
    <cellStyle name="Финансовый 2 2 13 3 3" xfId="5047"/>
    <cellStyle name="Финансовый 2 2 13 3 3 2" xfId="21579"/>
    <cellStyle name="Финансовый 2 2 13 3 3 3" xfId="21580"/>
    <cellStyle name="Финансовый 2 2 13 3 3 4" xfId="21581"/>
    <cellStyle name="Финансовый 2 2 13 3 3 5" xfId="21582"/>
    <cellStyle name="Финансовый 2 2 13 3 3 6" xfId="21583"/>
    <cellStyle name="Финансовый 2 2 13 3 3 7" xfId="21584"/>
    <cellStyle name="Финансовый 2 2 13 3 3 8" xfId="21585"/>
    <cellStyle name="Финансовый 2 2 13 3 3 9" xfId="21586"/>
    <cellStyle name="Финансовый 2 2 13 3 4" xfId="21587"/>
    <cellStyle name="Финансовый 2 2 13 3 5" xfId="21588"/>
    <cellStyle name="Финансовый 2 2 13 3 6" xfId="21589"/>
    <cellStyle name="Финансовый 2 2 13 3 7" xfId="21590"/>
    <cellStyle name="Финансовый 2 2 13 3 8" xfId="21591"/>
    <cellStyle name="Финансовый 2 2 13 3 9" xfId="21592"/>
    <cellStyle name="Финансовый 2 2 13 4" xfId="5048"/>
    <cellStyle name="Финансовый 2 2 13 4 2" xfId="21593"/>
    <cellStyle name="Финансовый 2 2 13 4 3" xfId="21594"/>
    <cellStyle name="Финансовый 2 2 13 4 4" xfId="21595"/>
    <cellStyle name="Финансовый 2 2 13 4 5" xfId="21596"/>
    <cellStyle name="Финансовый 2 2 13 4 6" xfId="21597"/>
    <cellStyle name="Финансовый 2 2 13 4 7" xfId="21598"/>
    <cellStyle name="Финансовый 2 2 13 4 8" xfId="21599"/>
    <cellStyle name="Финансовый 2 2 13 4 9" xfId="21600"/>
    <cellStyle name="Финансовый 2 2 13 5" xfId="21601"/>
    <cellStyle name="Финансовый 2 2 13 6" xfId="21602"/>
    <cellStyle name="Финансовый 2 2 13 7" xfId="21603"/>
    <cellStyle name="Финансовый 2 2 13 8" xfId="21604"/>
    <cellStyle name="Финансовый 2 2 13 9" xfId="21605"/>
    <cellStyle name="Финансовый 2 2 14" xfId="5049"/>
    <cellStyle name="Финансовый 2 2 14 10" xfId="21606"/>
    <cellStyle name="Финансовый 2 2 14 11" xfId="21607"/>
    <cellStyle name="Финансовый 2 2 14 12" xfId="21608"/>
    <cellStyle name="Финансовый 2 2 14 2" xfId="5050"/>
    <cellStyle name="Финансовый 2 2 14 2 10" xfId="21609"/>
    <cellStyle name="Финансовый 2 2 14 2 11" xfId="21610"/>
    <cellStyle name="Финансовый 2 2 14 2 12" xfId="21611"/>
    <cellStyle name="Финансовый 2 2 14 2 2" xfId="5051"/>
    <cellStyle name="Финансовый 2 2 14 2 2 2" xfId="21612"/>
    <cellStyle name="Финансовый 2 2 14 2 2 3" xfId="21613"/>
    <cellStyle name="Финансовый 2 2 14 2 2 4" xfId="21614"/>
    <cellStyle name="Финансовый 2 2 14 2 2 5" xfId="21615"/>
    <cellStyle name="Финансовый 2 2 14 2 2 6" xfId="21616"/>
    <cellStyle name="Финансовый 2 2 14 2 2 7" xfId="21617"/>
    <cellStyle name="Финансовый 2 2 14 2 2 8" xfId="21618"/>
    <cellStyle name="Финансовый 2 2 14 2 2 9" xfId="21619"/>
    <cellStyle name="Финансовый 2 2 14 2 3" xfId="5052"/>
    <cellStyle name="Финансовый 2 2 14 2 3 2" xfId="21620"/>
    <cellStyle name="Финансовый 2 2 14 2 3 3" xfId="21621"/>
    <cellStyle name="Финансовый 2 2 14 2 3 4" xfId="21622"/>
    <cellStyle name="Финансовый 2 2 14 2 3 5" xfId="21623"/>
    <cellStyle name="Финансовый 2 2 14 2 3 6" xfId="21624"/>
    <cellStyle name="Финансовый 2 2 14 2 3 7" xfId="21625"/>
    <cellStyle name="Финансовый 2 2 14 2 3 8" xfId="21626"/>
    <cellStyle name="Финансовый 2 2 14 2 3 9" xfId="21627"/>
    <cellStyle name="Финансовый 2 2 14 2 4" xfId="5053"/>
    <cellStyle name="Финансовый 2 2 14 2 4 2" xfId="21628"/>
    <cellStyle name="Финансовый 2 2 14 2 4 3" xfId="21629"/>
    <cellStyle name="Финансовый 2 2 14 2 4 4" xfId="21630"/>
    <cellStyle name="Финансовый 2 2 14 2 4 5" xfId="21631"/>
    <cellStyle name="Финансовый 2 2 14 2 4 6" xfId="21632"/>
    <cellStyle name="Финансовый 2 2 14 2 4 7" xfId="21633"/>
    <cellStyle name="Финансовый 2 2 14 2 4 8" xfId="21634"/>
    <cellStyle name="Финансовый 2 2 14 2 4 9" xfId="21635"/>
    <cellStyle name="Финансовый 2 2 14 2 5" xfId="21636"/>
    <cellStyle name="Финансовый 2 2 14 2 6" xfId="21637"/>
    <cellStyle name="Финансовый 2 2 14 2 7" xfId="21638"/>
    <cellStyle name="Финансовый 2 2 14 2 8" xfId="21639"/>
    <cellStyle name="Финансовый 2 2 14 2 9" xfId="21640"/>
    <cellStyle name="Финансовый 2 2 14 3" xfId="5054"/>
    <cellStyle name="Финансовый 2 2 14 3 10" xfId="21641"/>
    <cellStyle name="Финансовый 2 2 14 3 11" xfId="21642"/>
    <cellStyle name="Финансовый 2 2 14 3 2" xfId="5055"/>
    <cellStyle name="Финансовый 2 2 14 3 2 2" xfId="21643"/>
    <cellStyle name="Финансовый 2 2 14 3 2 3" xfId="21644"/>
    <cellStyle name="Финансовый 2 2 14 3 2 4" xfId="21645"/>
    <cellStyle name="Финансовый 2 2 14 3 2 5" xfId="21646"/>
    <cellStyle name="Финансовый 2 2 14 3 2 6" xfId="21647"/>
    <cellStyle name="Финансовый 2 2 14 3 2 7" xfId="21648"/>
    <cellStyle name="Финансовый 2 2 14 3 2 8" xfId="21649"/>
    <cellStyle name="Финансовый 2 2 14 3 2 9" xfId="21650"/>
    <cellStyle name="Финансовый 2 2 14 3 3" xfId="5056"/>
    <cellStyle name="Финансовый 2 2 14 3 3 2" xfId="21651"/>
    <cellStyle name="Финансовый 2 2 14 3 3 3" xfId="21652"/>
    <cellStyle name="Финансовый 2 2 14 3 3 4" xfId="21653"/>
    <cellStyle name="Финансовый 2 2 14 3 3 5" xfId="21654"/>
    <cellStyle name="Финансовый 2 2 14 3 3 6" xfId="21655"/>
    <cellStyle name="Финансовый 2 2 14 3 3 7" xfId="21656"/>
    <cellStyle name="Финансовый 2 2 14 3 3 8" xfId="21657"/>
    <cellStyle name="Финансовый 2 2 14 3 3 9" xfId="21658"/>
    <cellStyle name="Финансовый 2 2 14 3 4" xfId="21659"/>
    <cellStyle name="Финансовый 2 2 14 3 5" xfId="21660"/>
    <cellStyle name="Финансовый 2 2 14 3 6" xfId="21661"/>
    <cellStyle name="Финансовый 2 2 14 3 7" xfId="21662"/>
    <cellStyle name="Финансовый 2 2 14 3 8" xfId="21663"/>
    <cellStyle name="Финансовый 2 2 14 3 9" xfId="21664"/>
    <cellStyle name="Финансовый 2 2 14 4" xfId="5057"/>
    <cellStyle name="Финансовый 2 2 14 4 2" xfId="21665"/>
    <cellStyle name="Финансовый 2 2 14 4 3" xfId="21666"/>
    <cellStyle name="Финансовый 2 2 14 4 4" xfId="21667"/>
    <cellStyle name="Финансовый 2 2 14 4 5" xfId="21668"/>
    <cellStyle name="Финансовый 2 2 14 4 6" xfId="21669"/>
    <cellStyle name="Финансовый 2 2 14 4 7" xfId="21670"/>
    <cellStyle name="Финансовый 2 2 14 4 8" xfId="21671"/>
    <cellStyle name="Финансовый 2 2 14 4 9" xfId="21672"/>
    <cellStyle name="Финансовый 2 2 14 5" xfId="21673"/>
    <cellStyle name="Финансовый 2 2 14 6" xfId="21674"/>
    <cellStyle name="Финансовый 2 2 14 7" xfId="21675"/>
    <cellStyle name="Финансовый 2 2 14 8" xfId="21676"/>
    <cellStyle name="Финансовый 2 2 14 9" xfId="21677"/>
    <cellStyle name="Финансовый 2 2 15" xfId="5058"/>
    <cellStyle name="Финансовый 2 2 15 2" xfId="5059"/>
    <cellStyle name="Финансовый 2 2 15 2 2" xfId="5060"/>
    <cellStyle name="Финансовый 2 2 15 2 3" xfId="5061"/>
    <cellStyle name="Финансовый 2 2 15 3" xfId="5062"/>
    <cellStyle name="Финансовый 2 2 15 4" xfId="5063"/>
    <cellStyle name="Финансовый 2 2 15 4 2" xfId="21678"/>
    <cellStyle name="Финансовый 2 2 15 4 3" xfId="21679"/>
    <cellStyle name="Финансовый 2 2 15 4 4" xfId="21680"/>
    <cellStyle name="Финансовый 2 2 15 4 5" xfId="21681"/>
    <cellStyle name="Финансовый 2 2 15 5" xfId="21682"/>
    <cellStyle name="Финансовый 2 2 15 6" xfId="21683"/>
    <cellStyle name="Финансовый 2 2 15 7" xfId="21684"/>
    <cellStyle name="Финансовый 2 2 15 8" xfId="21685"/>
    <cellStyle name="Финансовый 2 2 16" xfId="5064"/>
    <cellStyle name="Финансовый 2 2 16 2" xfId="5065"/>
    <cellStyle name="Финансовый 2 2 16 2 2" xfId="5066"/>
    <cellStyle name="Финансовый 2 2 16 2 3" xfId="5067"/>
    <cellStyle name="Финансовый 2 2 16 3" xfId="5068"/>
    <cellStyle name="Финансовый 2 2 16 4" xfId="5069"/>
    <cellStyle name="Финансовый 2 2 16 4 2" xfId="21686"/>
    <cellStyle name="Финансовый 2 2 16 4 3" xfId="21687"/>
    <cellStyle name="Финансовый 2 2 16 4 4" xfId="21688"/>
    <cellStyle name="Финансовый 2 2 16 4 5" xfId="21689"/>
    <cellStyle name="Финансовый 2 2 16 5" xfId="21690"/>
    <cellStyle name="Финансовый 2 2 16 6" xfId="21691"/>
    <cellStyle name="Финансовый 2 2 16 7" xfId="21692"/>
    <cellStyle name="Финансовый 2 2 16 8" xfId="21693"/>
    <cellStyle name="Финансовый 2 2 17" xfId="5070"/>
    <cellStyle name="Финансовый 2 2 17 2" xfId="5071"/>
    <cellStyle name="Финансовый 2 2 17 2 2" xfId="5072"/>
    <cellStyle name="Финансовый 2 2 17 2 3" xfId="5073"/>
    <cellStyle name="Финансовый 2 2 17 3" xfId="5074"/>
    <cellStyle name="Финансовый 2 2 17 4" xfId="5075"/>
    <cellStyle name="Финансовый 2 2 17 4 2" xfId="21694"/>
    <cellStyle name="Финансовый 2 2 17 4 3" xfId="21695"/>
    <cellStyle name="Финансовый 2 2 17 4 4" xfId="21696"/>
    <cellStyle name="Финансовый 2 2 17 4 5" xfId="21697"/>
    <cellStyle name="Финансовый 2 2 17 5" xfId="21698"/>
    <cellStyle name="Финансовый 2 2 17 6" xfId="21699"/>
    <cellStyle name="Финансовый 2 2 17 7" xfId="21700"/>
    <cellStyle name="Финансовый 2 2 17 8" xfId="21701"/>
    <cellStyle name="Финансовый 2 2 18" xfId="5076"/>
    <cellStyle name="Финансовый 2 2 18 2" xfId="5077"/>
    <cellStyle name="Финансовый 2 2 18 2 2" xfId="5078"/>
    <cellStyle name="Финансовый 2 2 18 2 3" xfId="5079"/>
    <cellStyle name="Финансовый 2 2 18 3" xfId="5080"/>
    <cellStyle name="Финансовый 2 2 18 4" xfId="5081"/>
    <cellStyle name="Финансовый 2 2 18 4 2" xfId="21702"/>
    <cellStyle name="Финансовый 2 2 18 4 3" xfId="21703"/>
    <cellStyle name="Финансовый 2 2 18 4 4" xfId="21704"/>
    <cellStyle name="Финансовый 2 2 18 4 5" xfId="21705"/>
    <cellStyle name="Финансовый 2 2 18 5" xfId="21706"/>
    <cellStyle name="Финансовый 2 2 18 6" xfId="21707"/>
    <cellStyle name="Финансовый 2 2 18 7" xfId="21708"/>
    <cellStyle name="Финансовый 2 2 18 8" xfId="21709"/>
    <cellStyle name="Финансовый 2 2 19" xfId="5082"/>
    <cellStyle name="Финансовый 2 2 19 2" xfId="5083"/>
    <cellStyle name="Финансовый 2 2 19 2 2" xfId="5084"/>
    <cellStyle name="Финансовый 2 2 19 2 3" xfId="5085"/>
    <cellStyle name="Финансовый 2 2 19 3" xfId="5086"/>
    <cellStyle name="Финансовый 2 2 19 4" xfId="5087"/>
    <cellStyle name="Финансовый 2 2 19 4 2" xfId="21710"/>
    <cellStyle name="Финансовый 2 2 19 4 3" xfId="21711"/>
    <cellStyle name="Финансовый 2 2 19 4 4" xfId="21712"/>
    <cellStyle name="Финансовый 2 2 19 4 5" xfId="21713"/>
    <cellStyle name="Финансовый 2 2 19 5" xfId="21714"/>
    <cellStyle name="Финансовый 2 2 19 6" xfId="21715"/>
    <cellStyle name="Финансовый 2 2 19 7" xfId="21716"/>
    <cellStyle name="Финансовый 2 2 19 8" xfId="21717"/>
    <cellStyle name="Финансовый 2 2 2" xfId="5088"/>
    <cellStyle name="Финансовый 2 2 2 10" xfId="5089"/>
    <cellStyle name="Финансовый 2 2 2 10 10" xfId="21718"/>
    <cellStyle name="Финансовый 2 2 2 10 11" xfId="21719"/>
    <cellStyle name="Финансовый 2 2 2 10 12" xfId="21720"/>
    <cellStyle name="Финансовый 2 2 2 10 2" xfId="5090"/>
    <cellStyle name="Финансовый 2 2 2 10 2 10" xfId="21721"/>
    <cellStyle name="Финансовый 2 2 2 10 2 11" xfId="21722"/>
    <cellStyle name="Финансовый 2 2 2 10 2 12" xfId="21723"/>
    <cellStyle name="Финансовый 2 2 2 10 2 2" xfId="5091"/>
    <cellStyle name="Финансовый 2 2 2 10 2 2 2" xfId="21724"/>
    <cellStyle name="Финансовый 2 2 2 10 2 2 3" xfId="21725"/>
    <cellStyle name="Финансовый 2 2 2 10 2 2 4" xfId="21726"/>
    <cellStyle name="Финансовый 2 2 2 10 2 2 5" xfId="21727"/>
    <cellStyle name="Финансовый 2 2 2 10 2 2 6" xfId="21728"/>
    <cellStyle name="Финансовый 2 2 2 10 2 2 7" xfId="21729"/>
    <cellStyle name="Финансовый 2 2 2 10 2 2 8" xfId="21730"/>
    <cellStyle name="Финансовый 2 2 2 10 2 2 9" xfId="21731"/>
    <cellStyle name="Финансовый 2 2 2 10 2 3" xfId="5092"/>
    <cellStyle name="Финансовый 2 2 2 10 2 3 2" xfId="21732"/>
    <cellStyle name="Финансовый 2 2 2 10 2 3 3" xfId="21733"/>
    <cellStyle name="Финансовый 2 2 2 10 2 3 4" xfId="21734"/>
    <cellStyle name="Финансовый 2 2 2 10 2 3 5" xfId="21735"/>
    <cellStyle name="Финансовый 2 2 2 10 2 3 6" xfId="21736"/>
    <cellStyle name="Финансовый 2 2 2 10 2 3 7" xfId="21737"/>
    <cellStyle name="Финансовый 2 2 2 10 2 3 8" xfId="21738"/>
    <cellStyle name="Финансовый 2 2 2 10 2 3 9" xfId="21739"/>
    <cellStyle name="Финансовый 2 2 2 10 2 4" xfId="5093"/>
    <cellStyle name="Финансовый 2 2 2 10 2 4 2" xfId="21740"/>
    <cellStyle name="Финансовый 2 2 2 10 2 4 3" xfId="21741"/>
    <cellStyle name="Финансовый 2 2 2 10 2 4 4" xfId="21742"/>
    <cellStyle name="Финансовый 2 2 2 10 2 4 5" xfId="21743"/>
    <cellStyle name="Финансовый 2 2 2 10 2 4 6" xfId="21744"/>
    <cellStyle name="Финансовый 2 2 2 10 2 4 7" xfId="21745"/>
    <cellStyle name="Финансовый 2 2 2 10 2 4 8" xfId="21746"/>
    <cellStyle name="Финансовый 2 2 2 10 2 4 9" xfId="21747"/>
    <cellStyle name="Финансовый 2 2 2 10 2 5" xfId="21748"/>
    <cellStyle name="Финансовый 2 2 2 10 2 6" xfId="21749"/>
    <cellStyle name="Финансовый 2 2 2 10 2 7" xfId="21750"/>
    <cellStyle name="Финансовый 2 2 2 10 2 8" xfId="21751"/>
    <cellStyle name="Финансовый 2 2 2 10 2 9" xfId="21752"/>
    <cellStyle name="Финансовый 2 2 2 10 3" xfId="5094"/>
    <cellStyle name="Финансовый 2 2 2 10 3 10" xfId="21753"/>
    <cellStyle name="Финансовый 2 2 2 10 3 11" xfId="21754"/>
    <cellStyle name="Финансовый 2 2 2 10 3 2" xfId="5095"/>
    <cellStyle name="Финансовый 2 2 2 10 3 2 2" xfId="21755"/>
    <cellStyle name="Финансовый 2 2 2 10 3 2 3" xfId="21756"/>
    <cellStyle name="Финансовый 2 2 2 10 3 2 4" xfId="21757"/>
    <cellStyle name="Финансовый 2 2 2 10 3 2 5" xfId="21758"/>
    <cellStyle name="Финансовый 2 2 2 10 3 2 6" xfId="21759"/>
    <cellStyle name="Финансовый 2 2 2 10 3 2 7" xfId="21760"/>
    <cellStyle name="Финансовый 2 2 2 10 3 2 8" xfId="21761"/>
    <cellStyle name="Финансовый 2 2 2 10 3 2 9" xfId="21762"/>
    <cellStyle name="Финансовый 2 2 2 10 3 3" xfId="5096"/>
    <cellStyle name="Финансовый 2 2 2 10 3 3 2" xfId="21763"/>
    <cellStyle name="Финансовый 2 2 2 10 3 3 3" xfId="21764"/>
    <cellStyle name="Финансовый 2 2 2 10 3 3 4" xfId="21765"/>
    <cellStyle name="Финансовый 2 2 2 10 3 3 5" xfId="21766"/>
    <cellStyle name="Финансовый 2 2 2 10 3 3 6" xfId="21767"/>
    <cellStyle name="Финансовый 2 2 2 10 3 3 7" xfId="21768"/>
    <cellStyle name="Финансовый 2 2 2 10 3 3 8" xfId="21769"/>
    <cellStyle name="Финансовый 2 2 2 10 3 3 9" xfId="21770"/>
    <cellStyle name="Финансовый 2 2 2 10 3 4" xfId="21771"/>
    <cellStyle name="Финансовый 2 2 2 10 3 5" xfId="21772"/>
    <cellStyle name="Финансовый 2 2 2 10 3 6" xfId="21773"/>
    <cellStyle name="Финансовый 2 2 2 10 3 7" xfId="21774"/>
    <cellStyle name="Финансовый 2 2 2 10 3 8" xfId="21775"/>
    <cellStyle name="Финансовый 2 2 2 10 3 9" xfId="21776"/>
    <cellStyle name="Финансовый 2 2 2 10 4" xfId="5097"/>
    <cellStyle name="Финансовый 2 2 2 10 4 2" xfId="21777"/>
    <cellStyle name="Финансовый 2 2 2 10 4 3" xfId="21778"/>
    <cellStyle name="Финансовый 2 2 2 10 4 4" xfId="21779"/>
    <cellStyle name="Финансовый 2 2 2 10 4 5" xfId="21780"/>
    <cellStyle name="Финансовый 2 2 2 10 4 6" xfId="21781"/>
    <cellStyle name="Финансовый 2 2 2 10 4 7" xfId="21782"/>
    <cellStyle name="Финансовый 2 2 2 10 4 8" xfId="21783"/>
    <cellStyle name="Финансовый 2 2 2 10 4 9" xfId="21784"/>
    <cellStyle name="Финансовый 2 2 2 10 5" xfId="21785"/>
    <cellStyle name="Финансовый 2 2 2 10 6" xfId="21786"/>
    <cellStyle name="Финансовый 2 2 2 10 7" xfId="21787"/>
    <cellStyle name="Финансовый 2 2 2 10 8" xfId="21788"/>
    <cellStyle name="Финансовый 2 2 2 10 9" xfId="21789"/>
    <cellStyle name="Финансовый 2 2 2 11" xfId="5098"/>
    <cellStyle name="Финансовый 2 2 2 11 10" xfId="21790"/>
    <cellStyle name="Финансовый 2 2 2 11 11" xfId="21791"/>
    <cellStyle name="Финансовый 2 2 2 11 12" xfId="21792"/>
    <cellStyle name="Финансовый 2 2 2 11 2" xfId="5099"/>
    <cellStyle name="Финансовый 2 2 2 11 2 2" xfId="21793"/>
    <cellStyle name="Финансовый 2 2 2 11 2 3" xfId="21794"/>
    <cellStyle name="Финансовый 2 2 2 11 2 4" xfId="21795"/>
    <cellStyle name="Финансовый 2 2 2 11 2 5" xfId="21796"/>
    <cellStyle name="Финансовый 2 2 2 11 2 6" xfId="21797"/>
    <cellStyle name="Финансовый 2 2 2 11 2 7" xfId="21798"/>
    <cellStyle name="Финансовый 2 2 2 11 2 8" xfId="21799"/>
    <cellStyle name="Финансовый 2 2 2 11 2 9" xfId="21800"/>
    <cellStyle name="Финансовый 2 2 2 11 3" xfId="5100"/>
    <cellStyle name="Финансовый 2 2 2 11 3 2" xfId="21801"/>
    <cellStyle name="Финансовый 2 2 2 11 3 3" xfId="21802"/>
    <cellStyle name="Финансовый 2 2 2 11 3 4" xfId="21803"/>
    <cellStyle name="Финансовый 2 2 2 11 3 5" xfId="21804"/>
    <cellStyle name="Финансовый 2 2 2 11 3 6" xfId="21805"/>
    <cellStyle name="Финансовый 2 2 2 11 3 7" xfId="21806"/>
    <cellStyle name="Финансовый 2 2 2 11 3 8" xfId="21807"/>
    <cellStyle name="Финансовый 2 2 2 11 3 9" xfId="21808"/>
    <cellStyle name="Финансовый 2 2 2 11 4" xfId="5101"/>
    <cellStyle name="Финансовый 2 2 2 11 4 2" xfId="21809"/>
    <cellStyle name="Финансовый 2 2 2 11 4 3" xfId="21810"/>
    <cellStyle name="Финансовый 2 2 2 11 4 4" xfId="21811"/>
    <cellStyle name="Финансовый 2 2 2 11 4 5" xfId="21812"/>
    <cellStyle name="Финансовый 2 2 2 11 4 6" xfId="21813"/>
    <cellStyle name="Финансовый 2 2 2 11 4 7" xfId="21814"/>
    <cellStyle name="Финансовый 2 2 2 11 4 8" xfId="21815"/>
    <cellStyle name="Финансовый 2 2 2 11 4 9" xfId="21816"/>
    <cellStyle name="Финансовый 2 2 2 11 5" xfId="21817"/>
    <cellStyle name="Финансовый 2 2 2 11 6" xfId="21818"/>
    <cellStyle name="Финансовый 2 2 2 11 7" xfId="21819"/>
    <cellStyle name="Финансовый 2 2 2 11 8" xfId="21820"/>
    <cellStyle name="Финансовый 2 2 2 11 9" xfId="21821"/>
    <cellStyle name="Финансовый 2 2 2 12" xfId="5102"/>
    <cellStyle name="Финансовый 2 2 2 12 10" xfId="21822"/>
    <cellStyle name="Финансовый 2 2 2 12 11" xfId="21823"/>
    <cellStyle name="Финансовый 2 2 2 12 2" xfId="5103"/>
    <cellStyle name="Финансовый 2 2 2 12 2 2" xfId="21824"/>
    <cellStyle name="Финансовый 2 2 2 12 2 3" xfId="21825"/>
    <cellStyle name="Финансовый 2 2 2 12 2 4" xfId="21826"/>
    <cellStyle name="Финансовый 2 2 2 12 2 5" xfId="21827"/>
    <cellStyle name="Финансовый 2 2 2 12 2 6" xfId="21828"/>
    <cellStyle name="Финансовый 2 2 2 12 2 7" xfId="21829"/>
    <cellStyle name="Финансовый 2 2 2 12 2 8" xfId="21830"/>
    <cellStyle name="Финансовый 2 2 2 12 2 9" xfId="21831"/>
    <cellStyle name="Финансовый 2 2 2 12 3" xfId="5104"/>
    <cellStyle name="Финансовый 2 2 2 12 3 2" xfId="21832"/>
    <cellStyle name="Финансовый 2 2 2 12 3 3" xfId="21833"/>
    <cellStyle name="Финансовый 2 2 2 12 3 4" xfId="21834"/>
    <cellStyle name="Финансовый 2 2 2 12 3 5" xfId="21835"/>
    <cellStyle name="Финансовый 2 2 2 12 3 6" xfId="21836"/>
    <cellStyle name="Финансовый 2 2 2 12 3 7" xfId="21837"/>
    <cellStyle name="Финансовый 2 2 2 12 3 8" xfId="21838"/>
    <cellStyle name="Финансовый 2 2 2 12 3 9" xfId="21839"/>
    <cellStyle name="Финансовый 2 2 2 12 4" xfId="21840"/>
    <cellStyle name="Финансовый 2 2 2 12 5" xfId="21841"/>
    <cellStyle name="Финансовый 2 2 2 12 6" xfId="21842"/>
    <cellStyle name="Финансовый 2 2 2 12 7" xfId="21843"/>
    <cellStyle name="Финансовый 2 2 2 12 8" xfId="21844"/>
    <cellStyle name="Финансовый 2 2 2 12 9" xfId="21845"/>
    <cellStyle name="Финансовый 2 2 2 13" xfId="5105"/>
    <cellStyle name="Финансовый 2 2 2 13 2" xfId="21846"/>
    <cellStyle name="Финансовый 2 2 2 13 3" xfId="21847"/>
    <cellStyle name="Финансовый 2 2 2 13 4" xfId="21848"/>
    <cellStyle name="Финансовый 2 2 2 13 5" xfId="21849"/>
    <cellStyle name="Финансовый 2 2 2 13 6" xfId="21850"/>
    <cellStyle name="Финансовый 2 2 2 13 7" xfId="21851"/>
    <cellStyle name="Финансовый 2 2 2 13 8" xfId="21852"/>
    <cellStyle name="Финансовый 2 2 2 13 9" xfId="21853"/>
    <cellStyle name="Финансовый 2 2 2 14" xfId="21854"/>
    <cellStyle name="Финансовый 2 2 2 15" xfId="21855"/>
    <cellStyle name="Финансовый 2 2 2 16" xfId="21856"/>
    <cellStyle name="Финансовый 2 2 2 17" xfId="21857"/>
    <cellStyle name="Финансовый 2 2 2 18" xfId="21858"/>
    <cellStyle name="Финансовый 2 2 2 19" xfId="21859"/>
    <cellStyle name="Финансовый 2 2 2 2" xfId="5106"/>
    <cellStyle name="Финансовый 2 2 2 2 2" xfId="5107"/>
    <cellStyle name="Финансовый 2 2 2 2 2 10" xfId="21860"/>
    <cellStyle name="Финансовый 2 2 2 2 2 11" xfId="21861"/>
    <cellStyle name="Финансовый 2 2 2 2 2 12" xfId="21862"/>
    <cellStyle name="Финансовый 2 2 2 2 2 2" xfId="5108"/>
    <cellStyle name="Финансовый 2 2 2 2 2 2 10" xfId="21863"/>
    <cellStyle name="Финансовый 2 2 2 2 2 2 11" xfId="21864"/>
    <cellStyle name="Финансовый 2 2 2 2 2 2 12" xfId="21865"/>
    <cellStyle name="Финансовый 2 2 2 2 2 2 2" xfId="5109"/>
    <cellStyle name="Финансовый 2 2 2 2 2 2 2 2" xfId="21866"/>
    <cellStyle name="Финансовый 2 2 2 2 2 2 2 3" xfId="21867"/>
    <cellStyle name="Финансовый 2 2 2 2 2 2 2 4" xfId="21868"/>
    <cellStyle name="Финансовый 2 2 2 2 2 2 2 5" xfId="21869"/>
    <cellStyle name="Финансовый 2 2 2 2 2 2 2 6" xfId="21870"/>
    <cellStyle name="Финансовый 2 2 2 2 2 2 2 7" xfId="21871"/>
    <cellStyle name="Финансовый 2 2 2 2 2 2 2 8" xfId="21872"/>
    <cellStyle name="Финансовый 2 2 2 2 2 2 2 9" xfId="21873"/>
    <cellStyle name="Финансовый 2 2 2 2 2 2 3" xfId="5110"/>
    <cellStyle name="Финансовый 2 2 2 2 2 2 3 2" xfId="21874"/>
    <cellStyle name="Финансовый 2 2 2 2 2 2 3 3" xfId="21875"/>
    <cellStyle name="Финансовый 2 2 2 2 2 2 3 4" xfId="21876"/>
    <cellStyle name="Финансовый 2 2 2 2 2 2 3 5" xfId="21877"/>
    <cellStyle name="Финансовый 2 2 2 2 2 2 3 6" xfId="21878"/>
    <cellStyle name="Финансовый 2 2 2 2 2 2 3 7" xfId="21879"/>
    <cellStyle name="Финансовый 2 2 2 2 2 2 3 8" xfId="21880"/>
    <cellStyle name="Финансовый 2 2 2 2 2 2 3 9" xfId="21881"/>
    <cellStyle name="Финансовый 2 2 2 2 2 2 4" xfId="5111"/>
    <cellStyle name="Финансовый 2 2 2 2 2 2 4 2" xfId="21882"/>
    <cellStyle name="Финансовый 2 2 2 2 2 2 4 3" xfId="21883"/>
    <cellStyle name="Финансовый 2 2 2 2 2 2 4 4" xfId="21884"/>
    <cellStyle name="Финансовый 2 2 2 2 2 2 4 5" xfId="21885"/>
    <cellStyle name="Финансовый 2 2 2 2 2 2 4 6" xfId="21886"/>
    <cellStyle name="Финансовый 2 2 2 2 2 2 4 7" xfId="21887"/>
    <cellStyle name="Финансовый 2 2 2 2 2 2 4 8" xfId="21888"/>
    <cellStyle name="Финансовый 2 2 2 2 2 2 4 9" xfId="21889"/>
    <cellStyle name="Финансовый 2 2 2 2 2 2 5" xfId="21890"/>
    <cellStyle name="Финансовый 2 2 2 2 2 2 6" xfId="21891"/>
    <cellStyle name="Финансовый 2 2 2 2 2 2 7" xfId="21892"/>
    <cellStyle name="Финансовый 2 2 2 2 2 2 8" xfId="21893"/>
    <cellStyle name="Финансовый 2 2 2 2 2 2 9" xfId="21894"/>
    <cellStyle name="Финансовый 2 2 2 2 2 3" xfId="5112"/>
    <cellStyle name="Финансовый 2 2 2 2 2 3 10" xfId="21895"/>
    <cellStyle name="Финансовый 2 2 2 2 2 3 11" xfId="21896"/>
    <cellStyle name="Финансовый 2 2 2 2 2 3 2" xfId="5113"/>
    <cellStyle name="Финансовый 2 2 2 2 2 3 2 2" xfId="21897"/>
    <cellStyle name="Финансовый 2 2 2 2 2 3 2 3" xfId="21898"/>
    <cellStyle name="Финансовый 2 2 2 2 2 3 2 4" xfId="21899"/>
    <cellStyle name="Финансовый 2 2 2 2 2 3 2 5" xfId="21900"/>
    <cellStyle name="Финансовый 2 2 2 2 2 3 2 6" xfId="21901"/>
    <cellStyle name="Финансовый 2 2 2 2 2 3 2 7" xfId="21902"/>
    <cellStyle name="Финансовый 2 2 2 2 2 3 2 8" xfId="21903"/>
    <cellStyle name="Финансовый 2 2 2 2 2 3 2 9" xfId="21904"/>
    <cellStyle name="Финансовый 2 2 2 2 2 3 3" xfId="5114"/>
    <cellStyle name="Финансовый 2 2 2 2 2 3 3 2" xfId="21905"/>
    <cellStyle name="Финансовый 2 2 2 2 2 3 3 3" xfId="21906"/>
    <cellStyle name="Финансовый 2 2 2 2 2 3 3 4" xfId="21907"/>
    <cellStyle name="Финансовый 2 2 2 2 2 3 3 5" xfId="21908"/>
    <cellStyle name="Финансовый 2 2 2 2 2 3 3 6" xfId="21909"/>
    <cellStyle name="Финансовый 2 2 2 2 2 3 3 7" xfId="21910"/>
    <cellStyle name="Финансовый 2 2 2 2 2 3 3 8" xfId="21911"/>
    <cellStyle name="Финансовый 2 2 2 2 2 3 3 9" xfId="21912"/>
    <cellStyle name="Финансовый 2 2 2 2 2 3 4" xfId="21913"/>
    <cellStyle name="Финансовый 2 2 2 2 2 3 5" xfId="21914"/>
    <cellStyle name="Финансовый 2 2 2 2 2 3 6" xfId="21915"/>
    <cellStyle name="Финансовый 2 2 2 2 2 3 7" xfId="21916"/>
    <cellStyle name="Финансовый 2 2 2 2 2 3 8" xfId="21917"/>
    <cellStyle name="Финансовый 2 2 2 2 2 3 9" xfId="21918"/>
    <cellStyle name="Финансовый 2 2 2 2 2 4" xfId="5115"/>
    <cellStyle name="Финансовый 2 2 2 2 2 4 2" xfId="21919"/>
    <cellStyle name="Финансовый 2 2 2 2 2 4 3" xfId="21920"/>
    <cellStyle name="Финансовый 2 2 2 2 2 4 4" xfId="21921"/>
    <cellStyle name="Финансовый 2 2 2 2 2 4 5" xfId="21922"/>
    <cellStyle name="Финансовый 2 2 2 2 2 4 6" xfId="21923"/>
    <cellStyle name="Финансовый 2 2 2 2 2 4 7" xfId="21924"/>
    <cellStyle name="Финансовый 2 2 2 2 2 4 8" xfId="21925"/>
    <cellStyle name="Финансовый 2 2 2 2 2 4 9" xfId="21926"/>
    <cellStyle name="Финансовый 2 2 2 2 2 5" xfId="21927"/>
    <cellStyle name="Финансовый 2 2 2 2 2 6" xfId="21928"/>
    <cellStyle name="Финансовый 2 2 2 2 2 7" xfId="21929"/>
    <cellStyle name="Финансовый 2 2 2 2 2 8" xfId="21930"/>
    <cellStyle name="Финансовый 2 2 2 2 2 9" xfId="21931"/>
    <cellStyle name="Финансовый 2 2 2 2 3" xfId="5116"/>
    <cellStyle name="Финансовый 2 2 2 2 3 2" xfId="5117"/>
    <cellStyle name="Финансовый 2 2 2 2 3 3" xfId="5118"/>
    <cellStyle name="Финансовый 2 2 2 2 4" xfId="5119"/>
    <cellStyle name="Финансовый 2 2 2 2 5" xfId="5120"/>
    <cellStyle name="Финансовый 2 2 2 2 5 2" xfId="21932"/>
    <cellStyle name="Финансовый 2 2 2 2 5 3" xfId="21933"/>
    <cellStyle name="Финансовый 2 2 2 2 5 4" xfId="21934"/>
    <cellStyle name="Финансовый 2 2 2 2 5 5" xfId="21935"/>
    <cellStyle name="Финансовый 2 2 2 2 6" xfId="21936"/>
    <cellStyle name="Финансовый 2 2 2 2 7" xfId="21937"/>
    <cellStyle name="Финансовый 2 2 2 2 8" xfId="21938"/>
    <cellStyle name="Финансовый 2 2 2 2 9" xfId="21939"/>
    <cellStyle name="Финансовый 2 2 2 20" xfId="21940"/>
    <cellStyle name="Финансовый 2 2 2 21" xfId="21941"/>
    <cellStyle name="Финансовый 2 2 2 3" xfId="5121"/>
    <cellStyle name="Финансовый 2 2 2 3 10" xfId="21942"/>
    <cellStyle name="Финансовый 2 2 2 3 11" xfId="21943"/>
    <cellStyle name="Финансовый 2 2 2 3 12" xfId="21944"/>
    <cellStyle name="Финансовый 2 2 2 3 2" xfId="5122"/>
    <cellStyle name="Финансовый 2 2 2 3 2 10" xfId="21945"/>
    <cellStyle name="Финансовый 2 2 2 3 2 11" xfId="21946"/>
    <cellStyle name="Финансовый 2 2 2 3 2 12" xfId="21947"/>
    <cellStyle name="Финансовый 2 2 2 3 2 2" xfId="5123"/>
    <cellStyle name="Финансовый 2 2 2 3 2 2 2" xfId="21948"/>
    <cellStyle name="Финансовый 2 2 2 3 2 2 3" xfId="21949"/>
    <cellStyle name="Финансовый 2 2 2 3 2 2 4" xfId="21950"/>
    <cellStyle name="Финансовый 2 2 2 3 2 2 5" xfId="21951"/>
    <cellStyle name="Финансовый 2 2 2 3 2 2 6" xfId="21952"/>
    <cellStyle name="Финансовый 2 2 2 3 2 2 7" xfId="21953"/>
    <cellStyle name="Финансовый 2 2 2 3 2 2 8" xfId="21954"/>
    <cellStyle name="Финансовый 2 2 2 3 2 2 9" xfId="21955"/>
    <cellStyle name="Финансовый 2 2 2 3 2 3" xfId="5124"/>
    <cellStyle name="Финансовый 2 2 2 3 2 3 2" xfId="21956"/>
    <cellStyle name="Финансовый 2 2 2 3 2 3 3" xfId="21957"/>
    <cellStyle name="Финансовый 2 2 2 3 2 3 4" xfId="21958"/>
    <cellStyle name="Финансовый 2 2 2 3 2 3 5" xfId="21959"/>
    <cellStyle name="Финансовый 2 2 2 3 2 3 6" xfId="21960"/>
    <cellStyle name="Финансовый 2 2 2 3 2 3 7" xfId="21961"/>
    <cellStyle name="Финансовый 2 2 2 3 2 3 8" xfId="21962"/>
    <cellStyle name="Финансовый 2 2 2 3 2 3 9" xfId="21963"/>
    <cellStyle name="Финансовый 2 2 2 3 2 4" xfId="5125"/>
    <cellStyle name="Финансовый 2 2 2 3 2 4 2" xfId="21964"/>
    <cellStyle name="Финансовый 2 2 2 3 2 4 3" xfId="21965"/>
    <cellStyle name="Финансовый 2 2 2 3 2 4 4" xfId="21966"/>
    <cellStyle name="Финансовый 2 2 2 3 2 4 5" xfId="21967"/>
    <cellStyle name="Финансовый 2 2 2 3 2 4 6" xfId="21968"/>
    <cellStyle name="Финансовый 2 2 2 3 2 4 7" xfId="21969"/>
    <cellStyle name="Финансовый 2 2 2 3 2 4 8" xfId="21970"/>
    <cellStyle name="Финансовый 2 2 2 3 2 4 9" xfId="21971"/>
    <cellStyle name="Финансовый 2 2 2 3 2 5" xfId="21972"/>
    <cellStyle name="Финансовый 2 2 2 3 2 6" xfId="21973"/>
    <cellStyle name="Финансовый 2 2 2 3 2 7" xfId="21974"/>
    <cellStyle name="Финансовый 2 2 2 3 2 8" xfId="21975"/>
    <cellStyle name="Финансовый 2 2 2 3 2 9" xfId="21976"/>
    <cellStyle name="Финансовый 2 2 2 3 3" xfId="5126"/>
    <cellStyle name="Финансовый 2 2 2 3 3 10" xfId="21977"/>
    <cellStyle name="Финансовый 2 2 2 3 3 11" xfId="21978"/>
    <cellStyle name="Финансовый 2 2 2 3 3 2" xfId="5127"/>
    <cellStyle name="Финансовый 2 2 2 3 3 2 2" xfId="21979"/>
    <cellStyle name="Финансовый 2 2 2 3 3 2 3" xfId="21980"/>
    <cellStyle name="Финансовый 2 2 2 3 3 2 4" xfId="21981"/>
    <cellStyle name="Финансовый 2 2 2 3 3 2 5" xfId="21982"/>
    <cellStyle name="Финансовый 2 2 2 3 3 2 6" xfId="21983"/>
    <cellStyle name="Финансовый 2 2 2 3 3 2 7" xfId="21984"/>
    <cellStyle name="Финансовый 2 2 2 3 3 2 8" xfId="21985"/>
    <cellStyle name="Финансовый 2 2 2 3 3 2 9" xfId="21986"/>
    <cellStyle name="Финансовый 2 2 2 3 3 3" xfId="5128"/>
    <cellStyle name="Финансовый 2 2 2 3 3 3 2" xfId="21987"/>
    <cellStyle name="Финансовый 2 2 2 3 3 3 3" xfId="21988"/>
    <cellStyle name="Финансовый 2 2 2 3 3 3 4" xfId="21989"/>
    <cellStyle name="Финансовый 2 2 2 3 3 3 5" xfId="21990"/>
    <cellStyle name="Финансовый 2 2 2 3 3 3 6" xfId="21991"/>
    <cellStyle name="Финансовый 2 2 2 3 3 3 7" xfId="21992"/>
    <cellStyle name="Финансовый 2 2 2 3 3 3 8" xfId="21993"/>
    <cellStyle name="Финансовый 2 2 2 3 3 3 9" xfId="21994"/>
    <cellStyle name="Финансовый 2 2 2 3 3 4" xfId="21995"/>
    <cellStyle name="Финансовый 2 2 2 3 3 5" xfId="21996"/>
    <cellStyle name="Финансовый 2 2 2 3 3 6" xfId="21997"/>
    <cellStyle name="Финансовый 2 2 2 3 3 7" xfId="21998"/>
    <cellStyle name="Финансовый 2 2 2 3 3 8" xfId="21999"/>
    <cellStyle name="Финансовый 2 2 2 3 3 9" xfId="22000"/>
    <cellStyle name="Финансовый 2 2 2 3 4" xfId="5129"/>
    <cellStyle name="Финансовый 2 2 2 3 4 2" xfId="22001"/>
    <cellStyle name="Финансовый 2 2 2 3 4 3" xfId="22002"/>
    <cellStyle name="Финансовый 2 2 2 3 4 4" xfId="22003"/>
    <cellStyle name="Финансовый 2 2 2 3 4 5" xfId="22004"/>
    <cellStyle name="Финансовый 2 2 2 3 4 6" xfId="22005"/>
    <cellStyle name="Финансовый 2 2 2 3 4 7" xfId="22006"/>
    <cellStyle name="Финансовый 2 2 2 3 4 8" xfId="22007"/>
    <cellStyle name="Финансовый 2 2 2 3 4 9" xfId="22008"/>
    <cellStyle name="Финансовый 2 2 2 3 5" xfId="22009"/>
    <cellStyle name="Финансовый 2 2 2 3 6" xfId="22010"/>
    <cellStyle name="Финансовый 2 2 2 3 7" xfId="22011"/>
    <cellStyle name="Финансовый 2 2 2 3 8" xfId="22012"/>
    <cellStyle name="Финансовый 2 2 2 3 9" xfId="22013"/>
    <cellStyle name="Финансовый 2 2 2 4" xfId="5130"/>
    <cellStyle name="Финансовый 2 2 2 4 10" xfId="22014"/>
    <cellStyle name="Финансовый 2 2 2 4 11" xfId="22015"/>
    <cellStyle name="Финансовый 2 2 2 4 12" xfId="22016"/>
    <cellStyle name="Финансовый 2 2 2 4 2" xfId="5131"/>
    <cellStyle name="Финансовый 2 2 2 4 2 10" xfId="22017"/>
    <cellStyle name="Финансовый 2 2 2 4 2 11" xfId="22018"/>
    <cellStyle name="Финансовый 2 2 2 4 2 12" xfId="22019"/>
    <cellStyle name="Финансовый 2 2 2 4 2 2" xfId="5132"/>
    <cellStyle name="Финансовый 2 2 2 4 2 2 2" xfId="22020"/>
    <cellStyle name="Финансовый 2 2 2 4 2 2 3" xfId="22021"/>
    <cellStyle name="Финансовый 2 2 2 4 2 2 4" xfId="22022"/>
    <cellStyle name="Финансовый 2 2 2 4 2 2 5" xfId="22023"/>
    <cellStyle name="Финансовый 2 2 2 4 2 2 6" xfId="22024"/>
    <cellStyle name="Финансовый 2 2 2 4 2 2 7" xfId="22025"/>
    <cellStyle name="Финансовый 2 2 2 4 2 2 8" xfId="22026"/>
    <cellStyle name="Финансовый 2 2 2 4 2 2 9" xfId="22027"/>
    <cellStyle name="Финансовый 2 2 2 4 2 3" xfId="5133"/>
    <cellStyle name="Финансовый 2 2 2 4 2 3 2" xfId="22028"/>
    <cellStyle name="Финансовый 2 2 2 4 2 3 3" xfId="22029"/>
    <cellStyle name="Финансовый 2 2 2 4 2 3 4" xfId="22030"/>
    <cellStyle name="Финансовый 2 2 2 4 2 3 5" xfId="22031"/>
    <cellStyle name="Финансовый 2 2 2 4 2 3 6" xfId="22032"/>
    <cellStyle name="Финансовый 2 2 2 4 2 3 7" xfId="22033"/>
    <cellStyle name="Финансовый 2 2 2 4 2 3 8" xfId="22034"/>
    <cellStyle name="Финансовый 2 2 2 4 2 3 9" xfId="22035"/>
    <cellStyle name="Финансовый 2 2 2 4 2 4" xfId="5134"/>
    <cellStyle name="Финансовый 2 2 2 4 2 4 2" xfId="22036"/>
    <cellStyle name="Финансовый 2 2 2 4 2 4 3" xfId="22037"/>
    <cellStyle name="Финансовый 2 2 2 4 2 4 4" xfId="22038"/>
    <cellStyle name="Финансовый 2 2 2 4 2 4 5" xfId="22039"/>
    <cellStyle name="Финансовый 2 2 2 4 2 4 6" xfId="22040"/>
    <cellStyle name="Финансовый 2 2 2 4 2 4 7" xfId="22041"/>
    <cellStyle name="Финансовый 2 2 2 4 2 4 8" xfId="22042"/>
    <cellStyle name="Финансовый 2 2 2 4 2 4 9" xfId="22043"/>
    <cellStyle name="Финансовый 2 2 2 4 2 5" xfId="22044"/>
    <cellStyle name="Финансовый 2 2 2 4 2 6" xfId="22045"/>
    <cellStyle name="Финансовый 2 2 2 4 2 7" xfId="22046"/>
    <cellStyle name="Финансовый 2 2 2 4 2 8" xfId="22047"/>
    <cellStyle name="Финансовый 2 2 2 4 2 9" xfId="22048"/>
    <cellStyle name="Финансовый 2 2 2 4 3" xfId="5135"/>
    <cellStyle name="Финансовый 2 2 2 4 3 10" xfId="22049"/>
    <cellStyle name="Финансовый 2 2 2 4 3 11" xfId="22050"/>
    <cellStyle name="Финансовый 2 2 2 4 3 2" xfId="5136"/>
    <cellStyle name="Финансовый 2 2 2 4 3 2 2" xfId="22051"/>
    <cellStyle name="Финансовый 2 2 2 4 3 2 3" xfId="22052"/>
    <cellStyle name="Финансовый 2 2 2 4 3 2 4" xfId="22053"/>
    <cellStyle name="Финансовый 2 2 2 4 3 2 5" xfId="22054"/>
    <cellStyle name="Финансовый 2 2 2 4 3 2 6" xfId="22055"/>
    <cellStyle name="Финансовый 2 2 2 4 3 2 7" xfId="22056"/>
    <cellStyle name="Финансовый 2 2 2 4 3 2 8" xfId="22057"/>
    <cellStyle name="Финансовый 2 2 2 4 3 2 9" xfId="22058"/>
    <cellStyle name="Финансовый 2 2 2 4 3 3" xfId="5137"/>
    <cellStyle name="Финансовый 2 2 2 4 3 3 2" xfId="22059"/>
    <cellStyle name="Финансовый 2 2 2 4 3 3 3" xfId="22060"/>
    <cellStyle name="Финансовый 2 2 2 4 3 3 4" xfId="22061"/>
    <cellStyle name="Финансовый 2 2 2 4 3 3 5" xfId="22062"/>
    <cellStyle name="Финансовый 2 2 2 4 3 3 6" xfId="22063"/>
    <cellStyle name="Финансовый 2 2 2 4 3 3 7" xfId="22064"/>
    <cellStyle name="Финансовый 2 2 2 4 3 3 8" xfId="22065"/>
    <cellStyle name="Финансовый 2 2 2 4 3 3 9" xfId="22066"/>
    <cellStyle name="Финансовый 2 2 2 4 3 4" xfId="22067"/>
    <cellStyle name="Финансовый 2 2 2 4 3 5" xfId="22068"/>
    <cellStyle name="Финансовый 2 2 2 4 3 6" xfId="22069"/>
    <cellStyle name="Финансовый 2 2 2 4 3 7" xfId="22070"/>
    <cellStyle name="Финансовый 2 2 2 4 3 8" xfId="22071"/>
    <cellStyle name="Финансовый 2 2 2 4 3 9" xfId="22072"/>
    <cellStyle name="Финансовый 2 2 2 4 4" xfId="5138"/>
    <cellStyle name="Финансовый 2 2 2 4 4 2" xfId="22073"/>
    <cellStyle name="Финансовый 2 2 2 4 4 3" xfId="22074"/>
    <cellStyle name="Финансовый 2 2 2 4 4 4" xfId="22075"/>
    <cellStyle name="Финансовый 2 2 2 4 4 5" xfId="22076"/>
    <cellStyle name="Финансовый 2 2 2 4 4 6" xfId="22077"/>
    <cellStyle name="Финансовый 2 2 2 4 4 7" xfId="22078"/>
    <cellStyle name="Финансовый 2 2 2 4 4 8" xfId="22079"/>
    <cellStyle name="Финансовый 2 2 2 4 4 9" xfId="22080"/>
    <cellStyle name="Финансовый 2 2 2 4 5" xfId="22081"/>
    <cellStyle name="Финансовый 2 2 2 4 6" xfId="22082"/>
    <cellStyle name="Финансовый 2 2 2 4 7" xfId="22083"/>
    <cellStyle name="Финансовый 2 2 2 4 8" xfId="22084"/>
    <cellStyle name="Финансовый 2 2 2 4 9" xfId="22085"/>
    <cellStyle name="Финансовый 2 2 2 5" xfId="5139"/>
    <cellStyle name="Финансовый 2 2 2 5 10" xfId="22086"/>
    <cellStyle name="Финансовый 2 2 2 5 11" xfId="22087"/>
    <cellStyle name="Финансовый 2 2 2 5 12" xfId="22088"/>
    <cellStyle name="Финансовый 2 2 2 5 2" xfId="5140"/>
    <cellStyle name="Финансовый 2 2 2 5 2 10" xfId="22089"/>
    <cellStyle name="Финансовый 2 2 2 5 2 11" xfId="22090"/>
    <cellStyle name="Финансовый 2 2 2 5 2 12" xfId="22091"/>
    <cellStyle name="Финансовый 2 2 2 5 2 2" xfId="5141"/>
    <cellStyle name="Финансовый 2 2 2 5 2 2 2" xfId="22092"/>
    <cellStyle name="Финансовый 2 2 2 5 2 2 3" xfId="22093"/>
    <cellStyle name="Финансовый 2 2 2 5 2 2 4" xfId="22094"/>
    <cellStyle name="Финансовый 2 2 2 5 2 2 5" xfId="22095"/>
    <cellStyle name="Финансовый 2 2 2 5 2 2 6" xfId="22096"/>
    <cellStyle name="Финансовый 2 2 2 5 2 2 7" xfId="22097"/>
    <cellStyle name="Финансовый 2 2 2 5 2 2 8" xfId="22098"/>
    <cellStyle name="Финансовый 2 2 2 5 2 2 9" xfId="22099"/>
    <cellStyle name="Финансовый 2 2 2 5 2 3" xfId="5142"/>
    <cellStyle name="Финансовый 2 2 2 5 2 3 2" xfId="22100"/>
    <cellStyle name="Финансовый 2 2 2 5 2 3 3" xfId="22101"/>
    <cellStyle name="Финансовый 2 2 2 5 2 3 4" xfId="22102"/>
    <cellStyle name="Финансовый 2 2 2 5 2 3 5" xfId="22103"/>
    <cellStyle name="Финансовый 2 2 2 5 2 3 6" xfId="22104"/>
    <cellStyle name="Финансовый 2 2 2 5 2 3 7" xfId="22105"/>
    <cellStyle name="Финансовый 2 2 2 5 2 3 8" xfId="22106"/>
    <cellStyle name="Финансовый 2 2 2 5 2 3 9" xfId="22107"/>
    <cellStyle name="Финансовый 2 2 2 5 2 4" xfId="5143"/>
    <cellStyle name="Финансовый 2 2 2 5 2 4 2" xfId="22108"/>
    <cellStyle name="Финансовый 2 2 2 5 2 4 3" xfId="22109"/>
    <cellStyle name="Финансовый 2 2 2 5 2 4 4" xfId="22110"/>
    <cellStyle name="Финансовый 2 2 2 5 2 4 5" xfId="22111"/>
    <cellStyle name="Финансовый 2 2 2 5 2 4 6" xfId="22112"/>
    <cellStyle name="Финансовый 2 2 2 5 2 4 7" xfId="22113"/>
    <cellStyle name="Финансовый 2 2 2 5 2 4 8" xfId="22114"/>
    <cellStyle name="Финансовый 2 2 2 5 2 4 9" xfId="22115"/>
    <cellStyle name="Финансовый 2 2 2 5 2 5" xfId="22116"/>
    <cellStyle name="Финансовый 2 2 2 5 2 6" xfId="22117"/>
    <cellStyle name="Финансовый 2 2 2 5 2 7" xfId="22118"/>
    <cellStyle name="Финансовый 2 2 2 5 2 8" xfId="22119"/>
    <cellStyle name="Финансовый 2 2 2 5 2 9" xfId="22120"/>
    <cellStyle name="Финансовый 2 2 2 5 3" xfId="5144"/>
    <cellStyle name="Финансовый 2 2 2 5 3 10" xfId="22121"/>
    <cellStyle name="Финансовый 2 2 2 5 3 11" xfId="22122"/>
    <cellStyle name="Финансовый 2 2 2 5 3 2" xfId="5145"/>
    <cellStyle name="Финансовый 2 2 2 5 3 2 2" xfId="22123"/>
    <cellStyle name="Финансовый 2 2 2 5 3 2 3" xfId="22124"/>
    <cellStyle name="Финансовый 2 2 2 5 3 2 4" xfId="22125"/>
    <cellStyle name="Финансовый 2 2 2 5 3 2 5" xfId="22126"/>
    <cellStyle name="Финансовый 2 2 2 5 3 2 6" xfId="22127"/>
    <cellStyle name="Финансовый 2 2 2 5 3 2 7" xfId="22128"/>
    <cellStyle name="Финансовый 2 2 2 5 3 2 8" xfId="22129"/>
    <cellStyle name="Финансовый 2 2 2 5 3 2 9" xfId="22130"/>
    <cellStyle name="Финансовый 2 2 2 5 3 3" xfId="5146"/>
    <cellStyle name="Финансовый 2 2 2 5 3 3 2" xfId="22131"/>
    <cellStyle name="Финансовый 2 2 2 5 3 3 3" xfId="22132"/>
    <cellStyle name="Финансовый 2 2 2 5 3 3 4" xfId="22133"/>
    <cellStyle name="Финансовый 2 2 2 5 3 3 5" xfId="22134"/>
    <cellStyle name="Финансовый 2 2 2 5 3 3 6" xfId="22135"/>
    <cellStyle name="Финансовый 2 2 2 5 3 3 7" xfId="22136"/>
    <cellStyle name="Финансовый 2 2 2 5 3 3 8" xfId="22137"/>
    <cellStyle name="Финансовый 2 2 2 5 3 3 9" xfId="22138"/>
    <cellStyle name="Финансовый 2 2 2 5 3 4" xfId="22139"/>
    <cellStyle name="Финансовый 2 2 2 5 3 5" xfId="22140"/>
    <cellStyle name="Финансовый 2 2 2 5 3 6" xfId="22141"/>
    <cellStyle name="Финансовый 2 2 2 5 3 7" xfId="22142"/>
    <cellStyle name="Финансовый 2 2 2 5 3 8" xfId="22143"/>
    <cellStyle name="Финансовый 2 2 2 5 3 9" xfId="22144"/>
    <cellStyle name="Финансовый 2 2 2 5 4" xfId="5147"/>
    <cellStyle name="Финансовый 2 2 2 5 4 2" xfId="22145"/>
    <cellStyle name="Финансовый 2 2 2 5 4 3" xfId="22146"/>
    <cellStyle name="Финансовый 2 2 2 5 4 4" xfId="22147"/>
    <cellStyle name="Финансовый 2 2 2 5 4 5" xfId="22148"/>
    <cellStyle name="Финансовый 2 2 2 5 4 6" xfId="22149"/>
    <cellStyle name="Финансовый 2 2 2 5 4 7" xfId="22150"/>
    <cellStyle name="Финансовый 2 2 2 5 4 8" xfId="22151"/>
    <cellStyle name="Финансовый 2 2 2 5 4 9" xfId="22152"/>
    <cellStyle name="Финансовый 2 2 2 5 5" xfId="22153"/>
    <cellStyle name="Финансовый 2 2 2 5 6" xfId="22154"/>
    <cellStyle name="Финансовый 2 2 2 5 7" xfId="22155"/>
    <cellStyle name="Финансовый 2 2 2 5 8" xfId="22156"/>
    <cellStyle name="Финансовый 2 2 2 5 9" xfId="22157"/>
    <cellStyle name="Финансовый 2 2 2 6" xfId="5148"/>
    <cellStyle name="Финансовый 2 2 2 6 10" xfId="22158"/>
    <cellStyle name="Финансовый 2 2 2 6 11" xfId="22159"/>
    <cellStyle name="Финансовый 2 2 2 6 12" xfId="22160"/>
    <cellStyle name="Финансовый 2 2 2 6 2" xfId="5149"/>
    <cellStyle name="Финансовый 2 2 2 6 2 10" xfId="22161"/>
    <cellStyle name="Финансовый 2 2 2 6 2 11" xfId="22162"/>
    <cellStyle name="Финансовый 2 2 2 6 2 12" xfId="22163"/>
    <cellStyle name="Финансовый 2 2 2 6 2 2" xfId="5150"/>
    <cellStyle name="Финансовый 2 2 2 6 2 2 2" xfId="22164"/>
    <cellStyle name="Финансовый 2 2 2 6 2 2 3" xfId="22165"/>
    <cellStyle name="Финансовый 2 2 2 6 2 2 4" xfId="22166"/>
    <cellStyle name="Финансовый 2 2 2 6 2 2 5" xfId="22167"/>
    <cellStyle name="Финансовый 2 2 2 6 2 2 6" xfId="22168"/>
    <cellStyle name="Финансовый 2 2 2 6 2 2 7" xfId="22169"/>
    <cellStyle name="Финансовый 2 2 2 6 2 2 8" xfId="22170"/>
    <cellStyle name="Финансовый 2 2 2 6 2 2 9" xfId="22171"/>
    <cellStyle name="Финансовый 2 2 2 6 2 3" xfId="5151"/>
    <cellStyle name="Финансовый 2 2 2 6 2 3 2" xfId="22172"/>
    <cellStyle name="Финансовый 2 2 2 6 2 3 3" xfId="22173"/>
    <cellStyle name="Финансовый 2 2 2 6 2 3 4" xfId="22174"/>
    <cellStyle name="Финансовый 2 2 2 6 2 3 5" xfId="22175"/>
    <cellStyle name="Финансовый 2 2 2 6 2 3 6" xfId="22176"/>
    <cellStyle name="Финансовый 2 2 2 6 2 3 7" xfId="22177"/>
    <cellStyle name="Финансовый 2 2 2 6 2 3 8" xfId="22178"/>
    <cellStyle name="Финансовый 2 2 2 6 2 3 9" xfId="22179"/>
    <cellStyle name="Финансовый 2 2 2 6 2 4" xfId="5152"/>
    <cellStyle name="Финансовый 2 2 2 6 2 4 2" xfId="22180"/>
    <cellStyle name="Финансовый 2 2 2 6 2 4 3" xfId="22181"/>
    <cellStyle name="Финансовый 2 2 2 6 2 4 4" xfId="22182"/>
    <cellStyle name="Финансовый 2 2 2 6 2 4 5" xfId="22183"/>
    <cellStyle name="Финансовый 2 2 2 6 2 4 6" xfId="22184"/>
    <cellStyle name="Финансовый 2 2 2 6 2 4 7" xfId="22185"/>
    <cellStyle name="Финансовый 2 2 2 6 2 4 8" xfId="22186"/>
    <cellStyle name="Финансовый 2 2 2 6 2 4 9" xfId="22187"/>
    <cellStyle name="Финансовый 2 2 2 6 2 5" xfId="22188"/>
    <cellStyle name="Финансовый 2 2 2 6 2 6" xfId="22189"/>
    <cellStyle name="Финансовый 2 2 2 6 2 7" xfId="22190"/>
    <cellStyle name="Финансовый 2 2 2 6 2 8" xfId="22191"/>
    <cellStyle name="Финансовый 2 2 2 6 2 9" xfId="22192"/>
    <cellStyle name="Финансовый 2 2 2 6 3" xfId="5153"/>
    <cellStyle name="Финансовый 2 2 2 6 3 10" xfId="22193"/>
    <cellStyle name="Финансовый 2 2 2 6 3 11" xfId="22194"/>
    <cellStyle name="Финансовый 2 2 2 6 3 2" xfId="5154"/>
    <cellStyle name="Финансовый 2 2 2 6 3 2 2" xfId="22195"/>
    <cellStyle name="Финансовый 2 2 2 6 3 2 3" xfId="22196"/>
    <cellStyle name="Финансовый 2 2 2 6 3 2 4" xfId="22197"/>
    <cellStyle name="Финансовый 2 2 2 6 3 2 5" xfId="22198"/>
    <cellStyle name="Финансовый 2 2 2 6 3 2 6" xfId="22199"/>
    <cellStyle name="Финансовый 2 2 2 6 3 2 7" xfId="22200"/>
    <cellStyle name="Финансовый 2 2 2 6 3 2 8" xfId="22201"/>
    <cellStyle name="Финансовый 2 2 2 6 3 2 9" xfId="22202"/>
    <cellStyle name="Финансовый 2 2 2 6 3 3" xfId="5155"/>
    <cellStyle name="Финансовый 2 2 2 6 3 3 2" xfId="22203"/>
    <cellStyle name="Финансовый 2 2 2 6 3 3 3" xfId="22204"/>
    <cellStyle name="Финансовый 2 2 2 6 3 3 4" xfId="22205"/>
    <cellStyle name="Финансовый 2 2 2 6 3 3 5" xfId="22206"/>
    <cellStyle name="Финансовый 2 2 2 6 3 3 6" xfId="22207"/>
    <cellStyle name="Финансовый 2 2 2 6 3 3 7" xfId="22208"/>
    <cellStyle name="Финансовый 2 2 2 6 3 3 8" xfId="22209"/>
    <cellStyle name="Финансовый 2 2 2 6 3 3 9" xfId="22210"/>
    <cellStyle name="Финансовый 2 2 2 6 3 4" xfId="22211"/>
    <cellStyle name="Финансовый 2 2 2 6 3 5" xfId="22212"/>
    <cellStyle name="Финансовый 2 2 2 6 3 6" xfId="22213"/>
    <cellStyle name="Финансовый 2 2 2 6 3 7" xfId="22214"/>
    <cellStyle name="Финансовый 2 2 2 6 3 8" xfId="22215"/>
    <cellStyle name="Финансовый 2 2 2 6 3 9" xfId="22216"/>
    <cellStyle name="Финансовый 2 2 2 6 4" xfId="5156"/>
    <cellStyle name="Финансовый 2 2 2 6 4 2" xfId="22217"/>
    <cellStyle name="Финансовый 2 2 2 6 4 3" xfId="22218"/>
    <cellStyle name="Финансовый 2 2 2 6 4 4" xfId="22219"/>
    <cellStyle name="Финансовый 2 2 2 6 4 5" xfId="22220"/>
    <cellStyle name="Финансовый 2 2 2 6 4 6" xfId="22221"/>
    <cellStyle name="Финансовый 2 2 2 6 4 7" xfId="22222"/>
    <cellStyle name="Финансовый 2 2 2 6 4 8" xfId="22223"/>
    <cellStyle name="Финансовый 2 2 2 6 4 9" xfId="22224"/>
    <cellStyle name="Финансовый 2 2 2 6 5" xfId="22225"/>
    <cellStyle name="Финансовый 2 2 2 6 6" xfId="22226"/>
    <cellStyle name="Финансовый 2 2 2 6 7" xfId="22227"/>
    <cellStyle name="Финансовый 2 2 2 6 8" xfId="22228"/>
    <cellStyle name="Финансовый 2 2 2 6 9" xfId="22229"/>
    <cellStyle name="Финансовый 2 2 2 7" xfId="5157"/>
    <cellStyle name="Финансовый 2 2 2 7 10" xfId="22230"/>
    <cellStyle name="Финансовый 2 2 2 7 11" xfId="22231"/>
    <cellStyle name="Финансовый 2 2 2 7 12" xfId="22232"/>
    <cellStyle name="Финансовый 2 2 2 7 2" xfId="5158"/>
    <cellStyle name="Финансовый 2 2 2 7 2 10" xfId="22233"/>
    <cellStyle name="Финансовый 2 2 2 7 2 11" xfId="22234"/>
    <cellStyle name="Финансовый 2 2 2 7 2 12" xfId="22235"/>
    <cellStyle name="Финансовый 2 2 2 7 2 2" xfId="5159"/>
    <cellStyle name="Финансовый 2 2 2 7 2 2 2" xfId="22236"/>
    <cellStyle name="Финансовый 2 2 2 7 2 2 3" xfId="22237"/>
    <cellStyle name="Финансовый 2 2 2 7 2 2 4" xfId="22238"/>
    <cellStyle name="Финансовый 2 2 2 7 2 2 5" xfId="22239"/>
    <cellStyle name="Финансовый 2 2 2 7 2 2 6" xfId="22240"/>
    <cellStyle name="Финансовый 2 2 2 7 2 2 7" xfId="22241"/>
    <cellStyle name="Финансовый 2 2 2 7 2 2 8" xfId="22242"/>
    <cellStyle name="Финансовый 2 2 2 7 2 2 9" xfId="22243"/>
    <cellStyle name="Финансовый 2 2 2 7 2 3" xfId="5160"/>
    <cellStyle name="Финансовый 2 2 2 7 2 3 2" xfId="22244"/>
    <cellStyle name="Финансовый 2 2 2 7 2 3 3" xfId="22245"/>
    <cellStyle name="Финансовый 2 2 2 7 2 3 4" xfId="22246"/>
    <cellStyle name="Финансовый 2 2 2 7 2 3 5" xfId="22247"/>
    <cellStyle name="Финансовый 2 2 2 7 2 3 6" xfId="22248"/>
    <cellStyle name="Финансовый 2 2 2 7 2 3 7" xfId="22249"/>
    <cellStyle name="Финансовый 2 2 2 7 2 3 8" xfId="22250"/>
    <cellStyle name="Финансовый 2 2 2 7 2 3 9" xfId="22251"/>
    <cellStyle name="Финансовый 2 2 2 7 2 4" xfId="5161"/>
    <cellStyle name="Финансовый 2 2 2 7 2 4 2" xfId="22252"/>
    <cellStyle name="Финансовый 2 2 2 7 2 4 3" xfId="22253"/>
    <cellStyle name="Финансовый 2 2 2 7 2 4 4" xfId="22254"/>
    <cellStyle name="Финансовый 2 2 2 7 2 4 5" xfId="22255"/>
    <cellStyle name="Финансовый 2 2 2 7 2 4 6" xfId="22256"/>
    <cellStyle name="Финансовый 2 2 2 7 2 4 7" xfId="22257"/>
    <cellStyle name="Финансовый 2 2 2 7 2 4 8" xfId="22258"/>
    <cellStyle name="Финансовый 2 2 2 7 2 4 9" xfId="22259"/>
    <cellStyle name="Финансовый 2 2 2 7 2 5" xfId="22260"/>
    <cellStyle name="Финансовый 2 2 2 7 2 6" xfId="22261"/>
    <cellStyle name="Финансовый 2 2 2 7 2 7" xfId="22262"/>
    <cellStyle name="Финансовый 2 2 2 7 2 8" xfId="22263"/>
    <cellStyle name="Финансовый 2 2 2 7 2 9" xfId="22264"/>
    <cellStyle name="Финансовый 2 2 2 7 3" xfId="5162"/>
    <cellStyle name="Финансовый 2 2 2 7 3 10" xfId="22265"/>
    <cellStyle name="Финансовый 2 2 2 7 3 11" xfId="22266"/>
    <cellStyle name="Финансовый 2 2 2 7 3 2" xfId="5163"/>
    <cellStyle name="Финансовый 2 2 2 7 3 2 2" xfId="22267"/>
    <cellStyle name="Финансовый 2 2 2 7 3 2 3" xfId="22268"/>
    <cellStyle name="Финансовый 2 2 2 7 3 2 4" xfId="22269"/>
    <cellStyle name="Финансовый 2 2 2 7 3 2 5" xfId="22270"/>
    <cellStyle name="Финансовый 2 2 2 7 3 2 6" xfId="22271"/>
    <cellStyle name="Финансовый 2 2 2 7 3 2 7" xfId="22272"/>
    <cellStyle name="Финансовый 2 2 2 7 3 2 8" xfId="22273"/>
    <cellStyle name="Финансовый 2 2 2 7 3 2 9" xfId="22274"/>
    <cellStyle name="Финансовый 2 2 2 7 3 3" xfId="5164"/>
    <cellStyle name="Финансовый 2 2 2 7 3 3 2" xfId="22275"/>
    <cellStyle name="Финансовый 2 2 2 7 3 3 3" xfId="22276"/>
    <cellStyle name="Финансовый 2 2 2 7 3 3 4" xfId="22277"/>
    <cellStyle name="Финансовый 2 2 2 7 3 3 5" xfId="22278"/>
    <cellStyle name="Финансовый 2 2 2 7 3 3 6" xfId="22279"/>
    <cellStyle name="Финансовый 2 2 2 7 3 3 7" xfId="22280"/>
    <cellStyle name="Финансовый 2 2 2 7 3 3 8" xfId="22281"/>
    <cellStyle name="Финансовый 2 2 2 7 3 3 9" xfId="22282"/>
    <cellStyle name="Финансовый 2 2 2 7 3 4" xfId="22283"/>
    <cellStyle name="Финансовый 2 2 2 7 3 5" xfId="22284"/>
    <cellStyle name="Финансовый 2 2 2 7 3 6" xfId="22285"/>
    <cellStyle name="Финансовый 2 2 2 7 3 7" xfId="22286"/>
    <cellStyle name="Финансовый 2 2 2 7 3 8" xfId="22287"/>
    <cellStyle name="Финансовый 2 2 2 7 3 9" xfId="22288"/>
    <cellStyle name="Финансовый 2 2 2 7 4" xfId="5165"/>
    <cellStyle name="Финансовый 2 2 2 7 4 2" xfId="22289"/>
    <cellStyle name="Финансовый 2 2 2 7 4 3" xfId="22290"/>
    <cellStyle name="Финансовый 2 2 2 7 4 4" xfId="22291"/>
    <cellStyle name="Финансовый 2 2 2 7 4 5" xfId="22292"/>
    <cellStyle name="Финансовый 2 2 2 7 4 6" xfId="22293"/>
    <cellStyle name="Финансовый 2 2 2 7 4 7" xfId="22294"/>
    <cellStyle name="Финансовый 2 2 2 7 4 8" xfId="22295"/>
    <cellStyle name="Финансовый 2 2 2 7 4 9" xfId="22296"/>
    <cellStyle name="Финансовый 2 2 2 7 5" xfId="22297"/>
    <cellStyle name="Финансовый 2 2 2 7 6" xfId="22298"/>
    <cellStyle name="Финансовый 2 2 2 7 7" xfId="22299"/>
    <cellStyle name="Финансовый 2 2 2 7 8" xfId="22300"/>
    <cellStyle name="Финансовый 2 2 2 7 9" xfId="22301"/>
    <cellStyle name="Финансовый 2 2 2 8" xfId="5166"/>
    <cellStyle name="Финансовый 2 2 2 8 10" xfId="22302"/>
    <cellStyle name="Финансовый 2 2 2 8 11" xfId="22303"/>
    <cellStyle name="Финансовый 2 2 2 8 12" xfId="22304"/>
    <cellStyle name="Финансовый 2 2 2 8 2" xfId="5167"/>
    <cellStyle name="Финансовый 2 2 2 8 2 10" xfId="22305"/>
    <cellStyle name="Финансовый 2 2 2 8 2 11" xfId="22306"/>
    <cellStyle name="Финансовый 2 2 2 8 2 12" xfId="22307"/>
    <cellStyle name="Финансовый 2 2 2 8 2 2" xfId="5168"/>
    <cellStyle name="Финансовый 2 2 2 8 2 2 2" xfId="22308"/>
    <cellStyle name="Финансовый 2 2 2 8 2 2 3" xfId="22309"/>
    <cellStyle name="Финансовый 2 2 2 8 2 2 4" xfId="22310"/>
    <cellStyle name="Финансовый 2 2 2 8 2 2 5" xfId="22311"/>
    <cellStyle name="Финансовый 2 2 2 8 2 2 6" xfId="22312"/>
    <cellStyle name="Финансовый 2 2 2 8 2 2 7" xfId="22313"/>
    <cellStyle name="Финансовый 2 2 2 8 2 2 8" xfId="22314"/>
    <cellStyle name="Финансовый 2 2 2 8 2 2 9" xfId="22315"/>
    <cellStyle name="Финансовый 2 2 2 8 2 3" xfId="5169"/>
    <cellStyle name="Финансовый 2 2 2 8 2 3 2" xfId="22316"/>
    <cellStyle name="Финансовый 2 2 2 8 2 3 3" xfId="22317"/>
    <cellStyle name="Финансовый 2 2 2 8 2 3 4" xfId="22318"/>
    <cellStyle name="Финансовый 2 2 2 8 2 3 5" xfId="22319"/>
    <cellStyle name="Финансовый 2 2 2 8 2 3 6" xfId="22320"/>
    <cellStyle name="Финансовый 2 2 2 8 2 3 7" xfId="22321"/>
    <cellStyle name="Финансовый 2 2 2 8 2 3 8" xfId="22322"/>
    <cellStyle name="Финансовый 2 2 2 8 2 3 9" xfId="22323"/>
    <cellStyle name="Финансовый 2 2 2 8 2 4" xfId="5170"/>
    <cellStyle name="Финансовый 2 2 2 8 2 4 2" xfId="22324"/>
    <cellStyle name="Финансовый 2 2 2 8 2 4 3" xfId="22325"/>
    <cellStyle name="Финансовый 2 2 2 8 2 4 4" xfId="22326"/>
    <cellStyle name="Финансовый 2 2 2 8 2 4 5" xfId="22327"/>
    <cellStyle name="Финансовый 2 2 2 8 2 4 6" xfId="22328"/>
    <cellStyle name="Финансовый 2 2 2 8 2 4 7" xfId="22329"/>
    <cellStyle name="Финансовый 2 2 2 8 2 4 8" xfId="22330"/>
    <cellStyle name="Финансовый 2 2 2 8 2 4 9" xfId="22331"/>
    <cellStyle name="Финансовый 2 2 2 8 2 5" xfId="22332"/>
    <cellStyle name="Финансовый 2 2 2 8 2 6" xfId="22333"/>
    <cellStyle name="Финансовый 2 2 2 8 2 7" xfId="22334"/>
    <cellStyle name="Финансовый 2 2 2 8 2 8" xfId="22335"/>
    <cellStyle name="Финансовый 2 2 2 8 2 9" xfId="22336"/>
    <cellStyle name="Финансовый 2 2 2 8 3" xfId="5171"/>
    <cellStyle name="Финансовый 2 2 2 8 3 10" xfId="22337"/>
    <cellStyle name="Финансовый 2 2 2 8 3 11" xfId="22338"/>
    <cellStyle name="Финансовый 2 2 2 8 3 2" xfId="5172"/>
    <cellStyle name="Финансовый 2 2 2 8 3 2 2" xfId="22339"/>
    <cellStyle name="Финансовый 2 2 2 8 3 2 3" xfId="22340"/>
    <cellStyle name="Финансовый 2 2 2 8 3 2 4" xfId="22341"/>
    <cellStyle name="Финансовый 2 2 2 8 3 2 5" xfId="22342"/>
    <cellStyle name="Финансовый 2 2 2 8 3 2 6" xfId="22343"/>
    <cellStyle name="Финансовый 2 2 2 8 3 2 7" xfId="22344"/>
    <cellStyle name="Финансовый 2 2 2 8 3 2 8" xfId="22345"/>
    <cellStyle name="Финансовый 2 2 2 8 3 2 9" xfId="22346"/>
    <cellStyle name="Финансовый 2 2 2 8 3 3" xfId="5173"/>
    <cellStyle name="Финансовый 2 2 2 8 3 3 2" xfId="22347"/>
    <cellStyle name="Финансовый 2 2 2 8 3 3 3" xfId="22348"/>
    <cellStyle name="Финансовый 2 2 2 8 3 3 4" xfId="22349"/>
    <cellStyle name="Финансовый 2 2 2 8 3 3 5" xfId="22350"/>
    <cellStyle name="Финансовый 2 2 2 8 3 3 6" xfId="22351"/>
    <cellStyle name="Финансовый 2 2 2 8 3 3 7" xfId="22352"/>
    <cellStyle name="Финансовый 2 2 2 8 3 3 8" xfId="22353"/>
    <cellStyle name="Финансовый 2 2 2 8 3 3 9" xfId="22354"/>
    <cellStyle name="Финансовый 2 2 2 8 3 4" xfId="22355"/>
    <cellStyle name="Финансовый 2 2 2 8 3 5" xfId="22356"/>
    <cellStyle name="Финансовый 2 2 2 8 3 6" xfId="22357"/>
    <cellStyle name="Финансовый 2 2 2 8 3 7" xfId="22358"/>
    <cellStyle name="Финансовый 2 2 2 8 3 8" xfId="22359"/>
    <cellStyle name="Финансовый 2 2 2 8 3 9" xfId="22360"/>
    <cellStyle name="Финансовый 2 2 2 8 4" xfId="5174"/>
    <cellStyle name="Финансовый 2 2 2 8 4 2" xfId="22361"/>
    <cellStyle name="Финансовый 2 2 2 8 4 3" xfId="22362"/>
    <cellStyle name="Финансовый 2 2 2 8 4 4" xfId="22363"/>
    <cellStyle name="Финансовый 2 2 2 8 4 5" xfId="22364"/>
    <cellStyle name="Финансовый 2 2 2 8 4 6" xfId="22365"/>
    <cellStyle name="Финансовый 2 2 2 8 4 7" xfId="22366"/>
    <cellStyle name="Финансовый 2 2 2 8 4 8" xfId="22367"/>
    <cellStyle name="Финансовый 2 2 2 8 4 9" xfId="22368"/>
    <cellStyle name="Финансовый 2 2 2 8 5" xfId="22369"/>
    <cellStyle name="Финансовый 2 2 2 8 6" xfId="22370"/>
    <cellStyle name="Финансовый 2 2 2 8 7" xfId="22371"/>
    <cellStyle name="Финансовый 2 2 2 8 8" xfId="22372"/>
    <cellStyle name="Финансовый 2 2 2 8 9" xfId="22373"/>
    <cellStyle name="Финансовый 2 2 2 9" xfId="5175"/>
    <cellStyle name="Финансовый 2 2 2 9 10" xfId="22374"/>
    <cellStyle name="Финансовый 2 2 2 9 11" xfId="22375"/>
    <cellStyle name="Финансовый 2 2 2 9 12" xfId="22376"/>
    <cellStyle name="Финансовый 2 2 2 9 2" xfId="5176"/>
    <cellStyle name="Финансовый 2 2 2 9 2 10" xfId="22377"/>
    <cellStyle name="Финансовый 2 2 2 9 2 11" xfId="22378"/>
    <cellStyle name="Финансовый 2 2 2 9 2 12" xfId="22379"/>
    <cellStyle name="Финансовый 2 2 2 9 2 2" xfId="5177"/>
    <cellStyle name="Финансовый 2 2 2 9 2 2 2" xfId="22380"/>
    <cellStyle name="Финансовый 2 2 2 9 2 2 3" xfId="22381"/>
    <cellStyle name="Финансовый 2 2 2 9 2 2 4" xfId="22382"/>
    <cellStyle name="Финансовый 2 2 2 9 2 2 5" xfId="22383"/>
    <cellStyle name="Финансовый 2 2 2 9 2 2 6" xfId="22384"/>
    <cellStyle name="Финансовый 2 2 2 9 2 2 7" xfId="22385"/>
    <cellStyle name="Финансовый 2 2 2 9 2 2 8" xfId="22386"/>
    <cellStyle name="Финансовый 2 2 2 9 2 2 9" xfId="22387"/>
    <cellStyle name="Финансовый 2 2 2 9 2 3" xfId="5178"/>
    <cellStyle name="Финансовый 2 2 2 9 2 3 2" xfId="22388"/>
    <cellStyle name="Финансовый 2 2 2 9 2 3 3" xfId="22389"/>
    <cellStyle name="Финансовый 2 2 2 9 2 3 4" xfId="22390"/>
    <cellStyle name="Финансовый 2 2 2 9 2 3 5" xfId="22391"/>
    <cellStyle name="Финансовый 2 2 2 9 2 3 6" xfId="22392"/>
    <cellStyle name="Финансовый 2 2 2 9 2 3 7" xfId="22393"/>
    <cellStyle name="Финансовый 2 2 2 9 2 3 8" xfId="22394"/>
    <cellStyle name="Финансовый 2 2 2 9 2 3 9" xfId="22395"/>
    <cellStyle name="Финансовый 2 2 2 9 2 4" xfId="5179"/>
    <cellStyle name="Финансовый 2 2 2 9 2 4 2" xfId="22396"/>
    <cellStyle name="Финансовый 2 2 2 9 2 4 3" xfId="22397"/>
    <cellStyle name="Финансовый 2 2 2 9 2 4 4" xfId="22398"/>
    <cellStyle name="Финансовый 2 2 2 9 2 4 5" xfId="22399"/>
    <cellStyle name="Финансовый 2 2 2 9 2 4 6" xfId="22400"/>
    <cellStyle name="Финансовый 2 2 2 9 2 4 7" xfId="22401"/>
    <cellStyle name="Финансовый 2 2 2 9 2 4 8" xfId="22402"/>
    <cellStyle name="Финансовый 2 2 2 9 2 4 9" xfId="22403"/>
    <cellStyle name="Финансовый 2 2 2 9 2 5" xfId="22404"/>
    <cellStyle name="Финансовый 2 2 2 9 2 6" xfId="22405"/>
    <cellStyle name="Финансовый 2 2 2 9 2 7" xfId="22406"/>
    <cellStyle name="Финансовый 2 2 2 9 2 8" xfId="22407"/>
    <cellStyle name="Финансовый 2 2 2 9 2 9" xfId="22408"/>
    <cellStyle name="Финансовый 2 2 2 9 3" xfId="5180"/>
    <cellStyle name="Финансовый 2 2 2 9 3 10" xfId="22409"/>
    <cellStyle name="Финансовый 2 2 2 9 3 11" xfId="22410"/>
    <cellStyle name="Финансовый 2 2 2 9 3 2" xfId="5181"/>
    <cellStyle name="Финансовый 2 2 2 9 3 2 2" xfId="22411"/>
    <cellStyle name="Финансовый 2 2 2 9 3 2 3" xfId="22412"/>
    <cellStyle name="Финансовый 2 2 2 9 3 2 4" xfId="22413"/>
    <cellStyle name="Финансовый 2 2 2 9 3 2 5" xfId="22414"/>
    <cellStyle name="Финансовый 2 2 2 9 3 2 6" xfId="22415"/>
    <cellStyle name="Финансовый 2 2 2 9 3 2 7" xfId="22416"/>
    <cellStyle name="Финансовый 2 2 2 9 3 2 8" xfId="22417"/>
    <cellStyle name="Финансовый 2 2 2 9 3 2 9" xfId="22418"/>
    <cellStyle name="Финансовый 2 2 2 9 3 3" xfId="5182"/>
    <cellStyle name="Финансовый 2 2 2 9 3 3 2" xfId="22419"/>
    <cellStyle name="Финансовый 2 2 2 9 3 3 3" xfId="22420"/>
    <cellStyle name="Финансовый 2 2 2 9 3 3 4" xfId="22421"/>
    <cellStyle name="Финансовый 2 2 2 9 3 3 5" xfId="22422"/>
    <cellStyle name="Финансовый 2 2 2 9 3 3 6" xfId="22423"/>
    <cellStyle name="Финансовый 2 2 2 9 3 3 7" xfId="22424"/>
    <cellStyle name="Финансовый 2 2 2 9 3 3 8" xfId="22425"/>
    <cellStyle name="Финансовый 2 2 2 9 3 3 9" xfId="22426"/>
    <cellStyle name="Финансовый 2 2 2 9 3 4" xfId="22427"/>
    <cellStyle name="Финансовый 2 2 2 9 3 5" xfId="22428"/>
    <cellStyle name="Финансовый 2 2 2 9 3 6" xfId="22429"/>
    <cellStyle name="Финансовый 2 2 2 9 3 7" xfId="22430"/>
    <cellStyle name="Финансовый 2 2 2 9 3 8" xfId="22431"/>
    <cellStyle name="Финансовый 2 2 2 9 3 9" xfId="22432"/>
    <cellStyle name="Финансовый 2 2 2 9 4" xfId="5183"/>
    <cellStyle name="Финансовый 2 2 2 9 4 2" xfId="22433"/>
    <cellStyle name="Финансовый 2 2 2 9 4 3" xfId="22434"/>
    <cellStyle name="Финансовый 2 2 2 9 4 4" xfId="22435"/>
    <cellStyle name="Финансовый 2 2 2 9 4 5" xfId="22436"/>
    <cellStyle name="Финансовый 2 2 2 9 4 6" xfId="22437"/>
    <cellStyle name="Финансовый 2 2 2 9 4 7" xfId="22438"/>
    <cellStyle name="Финансовый 2 2 2 9 4 8" xfId="22439"/>
    <cellStyle name="Финансовый 2 2 2 9 4 9" xfId="22440"/>
    <cellStyle name="Финансовый 2 2 2 9 5" xfId="22441"/>
    <cellStyle name="Финансовый 2 2 2 9 6" xfId="22442"/>
    <cellStyle name="Финансовый 2 2 2 9 7" xfId="22443"/>
    <cellStyle name="Финансовый 2 2 2 9 8" xfId="22444"/>
    <cellStyle name="Финансовый 2 2 2 9 9" xfId="22445"/>
    <cellStyle name="Финансовый 2 2 20" xfId="5184"/>
    <cellStyle name="Финансовый 2 2 20 10" xfId="22446"/>
    <cellStyle name="Финансовый 2 2 20 11" xfId="22447"/>
    <cellStyle name="Финансовый 2 2 20 12" xfId="22448"/>
    <cellStyle name="Финансовый 2 2 20 2" xfId="5185"/>
    <cellStyle name="Финансовый 2 2 20 2 10" xfId="22449"/>
    <cellStyle name="Финансовый 2 2 20 2 11" xfId="22450"/>
    <cellStyle name="Финансовый 2 2 20 2 12" xfId="22451"/>
    <cellStyle name="Финансовый 2 2 20 2 2" xfId="5186"/>
    <cellStyle name="Финансовый 2 2 20 2 2 2" xfId="22452"/>
    <cellStyle name="Финансовый 2 2 20 2 2 3" xfId="22453"/>
    <cellStyle name="Финансовый 2 2 20 2 2 4" xfId="22454"/>
    <cellStyle name="Финансовый 2 2 20 2 2 5" xfId="22455"/>
    <cellStyle name="Финансовый 2 2 20 2 2 6" xfId="22456"/>
    <cellStyle name="Финансовый 2 2 20 2 2 7" xfId="22457"/>
    <cellStyle name="Финансовый 2 2 20 2 2 8" xfId="22458"/>
    <cellStyle name="Финансовый 2 2 20 2 2 9" xfId="22459"/>
    <cellStyle name="Финансовый 2 2 20 2 3" xfId="5187"/>
    <cellStyle name="Финансовый 2 2 20 2 3 2" xfId="22460"/>
    <cellStyle name="Финансовый 2 2 20 2 3 3" xfId="22461"/>
    <cellStyle name="Финансовый 2 2 20 2 3 4" xfId="22462"/>
    <cellStyle name="Финансовый 2 2 20 2 3 5" xfId="22463"/>
    <cellStyle name="Финансовый 2 2 20 2 3 6" xfId="22464"/>
    <cellStyle name="Финансовый 2 2 20 2 3 7" xfId="22465"/>
    <cellStyle name="Финансовый 2 2 20 2 3 8" xfId="22466"/>
    <cellStyle name="Финансовый 2 2 20 2 3 9" xfId="22467"/>
    <cellStyle name="Финансовый 2 2 20 2 4" xfId="5188"/>
    <cellStyle name="Финансовый 2 2 20 2 4 2" xfId="22468"/>
    <cellStyle name="Финансовый 2 2 20 2 4 3" xfId="22469"/>
    <cellStyle name="Финансовый 2 2 20 2 4 4" xfId="22470"/>
    <cellStyle name="Финансовый 2 2 20 2 4 5" xfId="22471"/>
    <cellStyle name="Финансовый 2 2 20 2 4 6" xfId="22472"/>
    <cellStyle name="Финансовый 2 2 20 2 4 7" xfId="22473"/>
    <cellStyle name="Финансовый 2 2 20 2 4 8" xfId="22474"/>
    <cellStyle name="Финансовый 2 2 20 2 4 9" xfId="22475"/>
    <cellStyle name="Финансовый 2 2 20 2 5" xfId="22476"/>
    <cellStyle name="Финансовый 2 2 20 2 6" xfId="22477"/>
    <cellStyle name="Финансовый 2 2 20 2 7" xfId="22478"/>
    <cellStyle name="Финансовый 2 2 20 2 8" xfId="22479"/>
    <cellStyle name="Финансовый 2 2 20 2 9" xfId="22480"/>
    <cellStyle name="Финансовый 2 2 20 3" xfId="5189"/>
    <cellStyle name="Финансовый 2 2 20 3 10" xfId="22481"/>
    <cellStyle name="Финансовый 2 2 20 3 11" xfId="22482"/>
    <cellStyle name="Финансовый 2 2 20 3 2" xfId="5190"/>
    <cellStyle name="Финансовый 2 2 20 3 2 2" xfId="22483"/>
    <cellStyle name="Финансовый 2 2 20 3 2 3" xfId="22484"/>
    <cellStyle name="Финансовый 2 2 20 3 2 4" xfId="22485"/>
    <cellStyle name="Финансовый 2 2 20 3 2 5" xfId="22486"/>
    <cellStyle name="Финансовый 2 2 20 3 2 6" xfId="22487"/>
    <cellStyle name="Финансовый 2 2 20 3 2 7" xfId="22488"/>
    <cellStyle name="Финансовый 2 2 20 3 2 8" xfId="22489"/>
    <cellStyle name="Финансовый 2 2 20 3 2 9" xfId="22490"/>
    <cellStyle name="Финансовый 2 2 20 3 3" xfId="5191"/>
    <cellStyle name="Финансовый 2 2 20 3 3 2" xfId="22491"/>
    <cellStyle name="Финансовый 2 2 20 3 3 3" xfId="22492"/>
    <cellStyle name="Финансовый 2 2 20 3 3 4" xfId="22493"/>
    <cellStyle name="Финансовый 2 2 20 3 3 5" xfId="22494"/>
    <cellStyle name="Финансовый 2 2 20 3 3 6" xfId="22495"/>
    <cellStyle name="Финансовый 2 2 20 3 3 7" xfId="22496"/>
    <cellStyle name="Финансовый 2 2 20 3 3 8" xfId="22497"/>
    <cellStyle name="Финансовый 2 2 20 3 3 9" xfId="22498"/>
    <cellStyle name="Финансовый 2 2 20 3 4" xfId="22499"/>
    <cellStyle name="Финансовый 2 2 20 3 5" xfId="22500"/>
    <cellStyle name="Финансовый 2 2 20 3 6" xfId="22501"/>
    <cellStyle name="Финансовый 2 2 20 3 7" xfId="22502"/>
    <cellStyle name="Финансовый 2 2 20 3 8" xfId="22503"/>
    <cellStyle name="Финансовый 2 2 20 3 9" xfId="22504"/>
    <cellStyle name="Финансовый 2 2 20 4" xfId="5192"/>
    <cellStyle name="Финансовый 2 2 20 4 2" xfId="22505"/>
    <cellStyle name="Финансовый 2 2 20 4 3" xfId="22506"/>
    <cellStyle name="Финансовый 2 2 20 4 4" xfId="22507"/>
    <cellStyle name="Финансовый 2 2 20 4 5" xfId="22508"/>
    <cellStyle name="Финансовый 2 2 20 4 6" xfId="22509"/>
    <cellStyle name="Финансовый 2 2 20 4 7" xfId="22510"/>
    <cellStyle name="Финансовый 2 2 20 4 8" xfId="22511"/>
    <cellStyle name="Финансовый 2 2 20 4 9" xfId="22512"/>
    <cellStyle name="Финансовый 2 2 20 5" xfId="22513"/>
    <cellStyle name="Финансовый 2 2 20 6" xfId="22514"/>
    <cellStyle name="Финансовый 2 2 20 7" xfId="22515"/>
    <cellStyle name="Финансовый 2 2 20 8" xfId="22516"/>
    <cellStyle name="Финансовый 2 2 20 9" xfId="22517"/>
    <cellStyle name="Финансовый 2 2 21" xfId="5193"/>
    <cellStyle name="Финансовый 2 2 21 10" xfId="22518"/>
    <cellStyle name="Финансовый 2 2 21 11" xfId="22519"/>
    <cellStyle name="Финансовый 2 2 21 12" xfId="22520"/>
    <cellStyle name="Финансовый 2 2 21 2" xfId="5194"/>
    <cellStyle name="Финансовый 2 2 21 2 10" xfId="22521"/>
    <cellStyle name="Финансовый 2 2 21 2 11" xfId="22522"/>
    <cellStyle name="Финансовый 2 2 21 2 12" xfId="22523"/>
    <cellStyle name="Финансовый 2 2 21 2 2" xfId="5195"/>
    <cellStyle name="Финансовый 2 2 21 2 2 2" xfId="22524"/>
    <cellStyle name="Финансовый 2 2 21 2 2 3" xfId="22525"/>
    <cellStyle name="Финансовый 2 2 21 2 2 4" xfId="22526"/>
    <cellStyle name="Финансовый 2 2 21 2 2 5" xfId="22527"/>
    <cellStyle name="Финансовый 2 2 21 2 2 6" xfId="22528"/>
    <cellStyle name="Финансовый 2 2 21 2 2 7" xfId="22529"/>
    <cellStyle name="Финансовый 2 2 21 2 2 8" xfId="22530"/>
    <cellStyle name="Финансовый 2 2 21 2 2 9" xfId="22531"/>
    <cellStyle name="Финансовый 2 2 21 2 3" xfId="5196"/>
    <cellStyle name="Финансовый 2 2 21 2 3 2" xfId="22532"/>
    <cellStyle name="Финансовый 2 2 21 2 3 3" xfId="22533"/>
    <cellStyle name="Финансовый 2 2 21 2 3 4" xfId="22534"/>
    <cellStyle name="Финансовый 2 2 21 2 3 5" xfId="22535"/>
    <cellStyle name="Финансовый 2 2 21 2 3 6" xfId="22536"/>
    <cellStyle name="Финансовый 2 2 21 2 3 7" xfId="22537"/>
    <cellStyle name="Финансовый 2 2 21 2 3 8" xfId="22538"/>
    <cellStyle name="Финансовый 2 2 21 2 3 9" xfId="22539"/>
    <cellStyle name="Финансовый 2 2 21 2 4" xfId="5197"/>
    <cellStyle name="Финансовый 2 2 21 2 4 2" xfId="22540"/>
    <cellStyle name="Финансовый 2 2 21 2 4 3" xfId="22541"/>
    <cellStyle name="Финансовый 2 2 21 2 4 4" xfId="22542"/>
    <cellStyle name="Финансовый 2 2 21 2 4 5" xfId="22543"/>
    <cellStyle name="Финансовый 2 2 21 2 4 6" xfId="22544"/>
    <cellStyle name="Финансовый 2 2 21 2 4 7" xfId="22545"/>
    <cellStyle name="Финансовый 2 2 21 2 4 8" xfId="22546"/>
    <cellStyle name="Финансовый 2 2 21 2 4 9" xfId="22547"/>
    <cellStyle name="Финансовый 2 2 21 2 5" xfId="22548"/>
    <cellStyle name="Финансовый 2 2 21 2 6" xfId="22549"/>
    <cellStyle name="Финансовый 2 2 21 2 7" xfId="22550"/>
    <cellStyle name="Финансовый 2 2 21 2 8" xfId="22551"/>
    <cellStyle name="Финансовый 2 2 21 2 9" xfId="22552"/>
    <cellStyle name="Финансовый 2 2 21 3" xfId="5198"/>
    <cellStyle name="Финансовый 2 2 21 3 10" xfId="22553"/>
    <cellStyle name="Финансовый 2 2 21 3 11" xfId="22554"/>
    <cellStyle name="Финансовый 2 2 21 3 2" xfId="5199"/>
    <cellStyle name="Финансовый 2 2 21 3 2 2" xfId="22555"/>
    <cellStyle name="Финансовый 2 2 21 3 2 3" xfId="22556"/>
    <cellStyle name="Финансовый 2 2 21 3 2 4" xfId="22557"/>
    <cellStyle name="Финансовый 2 2 21 3 2 5" xfId="22558"/>
    <cellStyle name="Финансовый 2 2 21 3 2 6" xfId="22559"/>
    <cellStyle name="Финансовый 2 2 21 3 2 7" xfId="22560"/>
    <cellStyle name="Финансовый 2 2 21 3 2 8" xfId="22561"/>
    <cellStyle name="Финансовый 2 2 21 3 2 9" xfId="22562"/>
    <cellStyle name="Финансовый 2 2 21 3 3" xfId="5200"/>
    <cellStyle name="Финансовый 2 2 21 3 3 2" xfId="22563"/>
    <cellStyle name="Финансовый 2 2 21 3 3 3" xfId="22564"/>
    <cellStyle name="Финансовый 2 2 21 3 3 4" xfId="22565"/>
    <cellStyle name="Финансовый 2 2 21 3 3 5" xfId="22566"/>
    <cellStyle name="Финансовый 2 2 21 3 3 6" xfId="22567"/>
    <cellStyle name="Финансовый 2 2 21 3 3 7" xfId="22568"/>
    <cellStyle name="Финансовый 2 2 21 3 3 8" xfId="22569"/>
    <cellStyle name="Финансовый 2 2 21 3 3 9" xfId="22570"/>
    <cellStyle name="Финансовый 2 2 21 3 4" xfId="22571"/>
    <cellStyle name="Финансовый 2 2 21 3 5" xfId="22572"/>
    <cellStyle name="Финансовый 2 2 21 3 6" xfId="22573"/>
    <cellStyle name="Финансовый 2 2 21 3 7" xfId="22574"/>
    <cellStyle name="Финансовый 2 2 21 3 8" xfId="22575"/>
    <cellStyle name="Финансовый 2 2 21 3 9" xfId="22576"/>
    <cellStyle name="Финансовый 2 2 21 4" xfId="5201"/>
    <cellStyle name="Финансовый 2 2 21 4 2" xfId="22577"/>
    <cellStyle name="Финансовый 2 2 21 4 3" xfId="22578"/>
    <cellStyle name="Финансовый 2 2 21 4 4" xfId="22579"/>
    <cellStyle name="Финансовый 2 2 21 4 5" xfId="22580"/>
    <cellStyle name="Финансовый 2 2 21 4 6" xfId="22581"/>
    <cellStyle name="Финансовый 2 2 21 4 7" xfId="22582"/>
    <cellStyle name="Финансовый 2 2 21 4 8" xfId="22583"/>
    <cellStyle name="Финансовый 2 2 21 4 9" xfId="22584"/>
    <cellStyle name="Финансовый 2 2 21 5" xfId="22585"/>
    <cellStyle name="Финансовый 2 2 21 6" xfId="22586"/>
    <cellStyle name="Финансовый 2 2 21 7" xfId="22587"/>
    <cellStyle name="Финансовый 2 2 21 8" xfId="22588"/>
    <cellStyle name="Финансовый 2 2 21 9" xfId="22589"/>
    <cellStyle name="Финансовый 2 2 22" xfId="5202"/>
    <cellStyle name="Финансовый 2 2 22 2" xfId="5203"/>
    <cellStyle name="Финансовый 2 2 22 3" xfId="5204"/>
    <cellStyle name="Финансовый 2 2 23" xfId="5205"/>
    <cellStyle name="Финансовый 2 2 24" xfId="5206"/>
    <cellStyle name="Финансовый 2 2 24 2" xfId="22590"/>
    <cellStyle name="Финансовый 2 2 24 3" xfId="22591"/>
    <cellStyle name="Финансовый 2 2 24 4" xfId="22592"/>
    <cellStyle name="Финансовый 2 2 24 5" xfId="22593"/>
    <cellStyle name="Финансовый 2 2 25" xfId="22594"/>
    <cellStyle name="Финансовый 2 2 26" xfId="22595"/>
    <cellStyle name="Финансовый 2 2 27" xfId="22596"/>
    <cellStyle name="Финансовый 2 2 28" xfId="22597"/>
    <cellStyle name="Финансовый 2 2 3" xfId="5207"/>
    <cellStyle name="Финансовый 2 2 3 2" xfId="5208"/>
    <cellStyle name="Финансовый 2 2 3 2 2" xfId="5209"/>
    <cellStyle name="Финансовый 2 2 3 2 3" xfId="5210"/>
    <cellStyle name="Финансовый 2 2 3 3" xfId="5211"/>
    <cellStyle name="Финансовый 2 2 3 4" xfId="5212"/>
    <cellStyle name="Финансовый 2 2 3 4 2" xfId="22598"/>
    <cellStyle name="Финансовый 2 2 3 4 3" xfId="22599"/>
    <cellStyle name="Финансовый 2 2 3 4 4" xfId="22600"/>
    <cellStyle name="Финансовый 2 2 3 4 5" xfId="22601"/>
    <cellStyle name="Финансовый 2 2 3 5" xfId="22602"/>
    <cellStyle name="Финансовый 2 2 3 6" xfId="22603"/>
    <cellStyle name="Финансовый 2 2 3 7" xfId="22604"/>
    <cellStyle name="Финансовый 2 2 3 8" xfId="22605"/>
    <cellStyle name="Финансовый 2 2 4" xfId="5213"/>
    <cellStyle name="Финансовый 2 2 4 2" xfId="5214"/>
    <cellStyle name="Финансовый 2 2 4 2 2" xfId="5215"/>
    <cellStyle name="Финансовый 2 2 4 2 3" xfId="5216"/>
    <cellStyle name="Финансовый 2 2 4 3" xfId="5217"/>
    <cellStyle name="Финансовый 2 2 4 4" xfId="5218"/>
    <cellStyle name="Финансовый 2 2 4 4 2" xfId="22606"/>
    <cellStyle name="Финансовый 2 2 4 4 3" xfId="22607"/>
    <cellStyle name="Финансовый 2 2 4 4 4" xfId="22608"/>
    <cellStyle name="Финансовый 2 2 4 4 5" xfId="22609"/>
    <cellStyle name="Финансовый 2 2 4 5" xfId="22610"/>
    <cellStyle name="Финансовый 2 2 4 6" xfId="22611"/>
    <cellStyle name="Финансовый 2 2 4 7" xfId="22612"/>
    <cellStyle name="Финансовый 2 2 4 8" xfId="22613"/>
    <cellStyle name="Финансовый 2 2 5" xfId="5219"/>
    <cellStyle name="Финансовый 2 2 5 2" xfId="5220"/>
    <cellStyle name="Финансовый 2 2 5 2 2" xfId="5221"/>
    <cellStyle name="Финансовый 2 2 5 2 3" xfId="5222"/>
    <cellStyle name="Финансовый 2 2 5 3" xfId="5223"/>
    <cellStyle name="Финансовый 2 2 5 4" xfId="5224"/>
    <cellStyle name="Финансовый 2 2 5 4 2" xfId="22614"/>
    <cellStyle name="Финансовый 2 2 5 4 3" xfId="22615"/>
    <cellStyle name="Финансовый 2 2 5 4 4" xfId="22616"/>
    <cellStyle name="Финансовый 2 2 5 4 5" xfId="22617"/>
    <cellStyle name="Финансовый 2 2 5 5" xfId="22618"/>
    <cellStyle name="Финансовый 2 2 5 6" xfId="22619"/>
    <cellStyle name="Финансовый 2 2 5 7" xfId="22620"/>
    <cellStyle name="Финансовый 2 2 5 8" xfId="22621"/>
    <cellStyle name="Финансовый 2 2 6" xfId="5225"/>
    <cellStyle name="Финансовый 2 2 6 2" xfId="5226"/>
    <cellStyle name="Финансовый 2 2 6 2 2" xfId="5227"/>
    <cellStyle name="Финансовый 2 2 6 2 3" xfId="5228"/>
    <cellStyle name="Финансовый 2 2 6 3" xfId="5229"/>
    <cellStyle name="Финансовый 2 2 6 4" xfId="5230"/>
    <cellStyle name="Финансовый 2 2 6 4 2" xfId="22622"/>
    <cellStyle name="Финансовый 2 2 6 4 3" xfId="22623"/>
    <cellStyle name="Финансовый 2 2 6 4 4" xfId="22624"/>
    <cellStyle name="Финансовый 2 2 6 4 5" xfId="22625"/>
    <cellStyle name="Финансовый 2 2 6 5" xfId="22626"/>
    <cellStyle name="Финансовый 2 2 6 6" xfId="22627"/>
    <cellStyle name="Финансовый 2 2 6 7" xfId="22628"/>
    <cellStyle name="Финансовый 2 2 6 8" xfId="22629"/>
    <cellStyle name="Финансовый 2 2 7" xfId="5231"/>
    <cellStyle name="Финансовый 2 2 7 2" xfId="5232"/>
    <cellStyle name="Финансовый 2 2 7 2 2" xfId="5233"/>
    <cellStyle name="Финансовый 2 2 7 2 3" xfId="5234"/>
    <cellStyle name="Финансовый 2 2 7 3" xfId="5235"/>
    <cellStyle name="Финансовый 2 2 7 4" xfId="5236"/>
    <cellStyle name="Финансовый 2 2 7 4 2" xfId="22630"/>
    <cellStyle name="Финансовый 2 2 7 4 3" xfId="22631"/>
    <cellStyle name="Финансовый 2 2 7 4 4" xfId="22632"/>
    <cellStyle name="Финансовый 2 2 7 4 5" xfId="22633"/>
    <cellStyle name="Финансовый 2 2 7 5" xfId="22634"/>
    <cellStyle name="Финансовый 2 2 7 6" xfId="22635"/>
    <cellStyle name="Финансовый 2 2 7 7" xfId="22636"/>
    <cellStyle name="Финансовый 2 2 7 8" xfId="22637"/>
    <cellStyle name="Финансовый 2 2 8" xfId="5237"/>
    <cellStyle name="Финансовый 2 2 8 2" xfId="5238"/>
    <cellStyle name="Финансовый 2 2 8 2 2" xfId="5239"/>
    <cellStyle name="Финансовый 2 2 8 2 3" xfId="5240"/>
    <cellStyle name="Финансовый 2 2 8 3" xfId="5241"/>
    <cellStyle name="Финансовый 2 2 8 4" xfId="5242"/>
    <cellStyle name="Финансовый 2 2 8 4 2" xfId="22638"/>
    <cellStyle name="Финансовый 2 2 8 4 3" xfId="22639"/>
    <cellStyle name="Финансовый 2 2 8 4 4" xfId="22640"/>
    <cellStyle name="Финансовый 2 2 8 4 5" xfId="22641"/>
    <cellStyle name="Финансовый 2 2 8 5" xfId="22642"/>
    <cellStyle name="Финансовый 2 2 8 6" xfId="22643"/>
    <cellStyle name="Финансовый 2 2 8 7" xfId="22644"/>
    <cellStyle name="Финансовый 2 2 8 8" xfId="22645"/>
    <cellStyle name="Финансовый 2 2 9" xfId="5243"/>
    <cellStyle name="Финансовый 2 2 9 2" xfId="5244"/>
    <cellStyle name="Финансовый 2 2 9 2 2" xfId="5245"/>
    <cellStyle name="Финансовый 2 2 9 2 3" xfId="5246"/>
    <cellStyle name="Финансовый 2 2 9 3" xfId="5247"/>
    <cellStyle name="Финансовый 2 2 9 4" xfId="5248"/>
    <cellStyle name="Финансовый 2 2 9 4 2" xfId="22646"/>
    <cellStyle name="Финансовый 2 2 9 4 3" xfId="22647"/>
    <cellStyle name="Финансовый 2 2 9 4 4" xfId="22648"/>
    <cellStyle name="Финансовый 2 2 9 4 5" xfId="22649"/>
    <cellStyle name="Финансовый 2 2 9 5" xfId="22650"/>
    <cellStyle name="Финансовый 2 2 9 6" xfId="22651"/>
    <cellStyle name="Финансовый 2 2 9 7" xfId="22652"/>
    <cellStyle name="Финансовый 2 2 9 8" xfId="22653"/>
    <cellStyle name="Финансовый 2 20" xfId="5249"/>
    <cellStyle name="Финансовый 2 20 2" xfId="5250"/>
    <cellStyle name="Финансовый 2 20 2 2" xfId="5251"/>
    <cellStyle name="Финансовый 2 20 2 3" xfId="5252"/>
    <cellStyle name="Финансовый 2 20 3" xfId="5253"/>
    <cellStyle name="Финансовый 2 20 4" xfId="5254"/>
    <cellStyle name="Финансовый 2 20 4 2" xfId="22654"/>
    <cellStyle name="Финансовый 2 20 4 3" xfId="22655"/>
    <cellStyle name="Финансовый 2 20 4 4" xfId="22656"/>
    <cellStyle name="Финансовый 2 20 4 5" xfId="22657"/>
    <cellStyle name="Финансовый 2 20 5" xfId="22658"/>
    <cellStyle name="Финансовый 2 20 6" xfId="22659"/>
    <cellStyle name="Финансовый 2 20 7" xfId="22660"/>
    <cellStyle name="Финансовый 2 20 8" xfId="22661"/>
    <cellStyle name="Финансовый 2 21" xfId="5255"/>
    <cellStyle name="Финансовый 2 21 2" xfId="5256"/>
    <cellStyle name="Финансовый 2 21 2 2" xfId="5257"/>
    <cellStyle name="Финансовый 2 21 2 3" xfId="5258"/>
    <cellStyle name="Финансовый 2 21 3" xfId="5259"/>
    <cellStyle name="Финансовый 2 21 4" xfId="5260"/>
    <cellStyle name="Финансовый 2 21 4 2" xfId="22662"/>
    <cellStyle name="Финансовый 2 21 4 3" xfId="22663"/>
    <cellStyle name="Финансовый 2 21 4 4" xfId="22664"/>
    <cellStyle name="Финансовый 2 21 4 5" xfId="22665"/>
    <cellStyle name="Финансовый 2 21 5" xfId="22666"/>
    <cellStyle name="Финансовый 2 21 6" xfId="22667"/>
    <cellStyle name="Финансовый 2 21 7" xfId="22668"/>
    <cellStyle name="Финансовый 2 21 8" xfId="22669"/>
    <cellStyle name="Финансовый 2 22" xfId="5261"/>
    <cellStyle name="Финансовый 2 22 2" xfId="5262"/>
    <cellStyle name="Финансовый 2 22 2 2" xfId="5263"/>
    <cellStyle name="Финансовый 2 22 2 3" xfId="5264"/>
    <cellStyle name="Финансовый 2 22 3" xfId="5265"/>
    <cellStyle name="Финансовый 2 22 4" xfId="5266"/>
    <cellStyle name="Финансовый 2 22 4 2" xfId="22670"/>
    <cellStyle name="Финансовый 2 22 4 3" xfId="22671"/>
    <cellStyle name="Финансовый 2 22 4 4" xfId="22672"/>
    <cellStyle name="Финансовый 2 22 4 5" xfId="22673"/>
    <cellStyle name="Финансовый 2 22 5" xfId="22674"/>
    <cellStyle name="Финансовый 2 22 6" xfId="22675"/>
    <cellStyle name="Финансовый 2 22 7" xfId="22676"/>
    <cellStyle name="Финансовый 2 22 8" xfId="22677"/>
    <cellStyle name="Финансовый 2 23" xfId="5267"/>
    <cellStyle name="Финансовый 2 23 2" xfId="5268"/>
    <cellStyle name="Финансовый 2 23 2 2" xfId="5269"/>
    <cellStyle name="Финансовый 2 23 2 3" xfId="5270"/>
    <cellStyle name="Финансовый 2 23 3" xfId="5271"/>
    <cellStyle name="Финансовый 2 23 4" xfId="5272"/>
    <cellStyle name="Финансовый 2 23 4 2" xfId="22678"/>
    <cellStyle name="Финансовый 2 23 4 3" xfId="22679"/>
    <cellStyle name="Финансовый 2 23 4 4" xfId="22680"/>
    <cellStyle name="Финансовый 2 23 4 5" xfId="22681"/>
    <cellStyle name="Финансовый 2 23 5" xfId="22682"/>
    <cellStyle name="Финансовый 2 23 6" xfId="22683"/>
    <cellStyle name="Финансовый 2 23 7" xfId="22684"/>
    <cellStyle name="Финансовый 2 23 8" xfId="22685"/>
    <cellStyle name="Финансовый 2 24" xfId="5273"/>
    <cellStyle name="Финансовый 2 24 10" xfId="22686"/>
    <cellStyle name="Финансовый 2 24 11" xfId="22687"/>
    <cellStyle name="Финансовый 2 24 12" xfId="22688"/>
    <cellStyle name="Финансовый 2 24 2" xfId="5274"/>
    <cellStyle name="Финансовый 2 24 2 10" xfId="22689"/>
    <cellStyle name="Финансовый 2 24 2 11" xfId="22690"/>
    <cellStyle name="Финансовый 2 24 2 12" xfId="22691"/>
    <cellStyle name="Финансовый 2 24 2 2" xfId="5275"/>
    <cellStyle name="Финансовый 2 24 2 2 2" xfId="22692"/>
    <cellStyle name="Финансовый 2 24 2 2 3" xfId="22693"/>
    <cellStyle name="Финансовый 2 24 2 2 4" xfId="22694"/>
    <cellStyle name="Финансовый 2 24 2 2 5" xfId="22695"/>
    <cellStyle name="Финансовый 2 24 2 2 6" xfId="22696"/>
    <cellStyle name="Финансовый 2 24 2 2 7" xfId="22697"/>
    <cellStyle name="Финансовый 2 24 2 2 8" xfId="22698"/>
    <cellStyle name="Финансовый 2 24 2 2 9" xfId="22699"/>
    <cellStyle name="Финансовый 2 24 2 3" xfId="5276"/>
    <cellStyle name="Финансовый 2 24 2 3 2" xfId="22700"/>
    <cellStyle name="Финансовый 2 24 2 3 3" xfId="22701"/>
    <cellStyle name="Финансовый 2 24 2 3 4" xfId="22702"/>
    <cellStyle name="Финансовый 2 24 2 3 5" xfId="22703"/>
    <cellStyle name="Финансовый 2 24 2 3 6" xfId="22704"/>
    <cellStyle name="Финансовый 2 24 2 3 7" xfId="22705"/>
    <cellStyle name="Финансовый 2 24 2 3 8" xfId="22706"/>
    <cellStyle name="Финансовый 2 24 2 3 9" xfId="22707"/>
    <cellStyle name="Финансовый 2 24 2 4" xfId="5277"/>
    <cellStyle name="Финансовый 2 24 2 4 2" xfId="22708"/>
    <cellStyle name="Финансовый 2 24 2 4 3" xfId="22709"/>
    <cellStyle name="Финансовый 2 24 2 4 4" xfId="22710"/>
    <cellStyle name="Финансовый 2 24 2 4 5" xfId="22711"/>
    <cellStyle name="Финансовый 2 24 2 4 6" xfId="22712"/>
    <cellStyle name="Финансовый 2 24 2 4 7" xfId="22713"/>
    <cellStyle name="Финансовый 2 24 2 4 8" xfId="22714"/>
    <cellStyle name="Финансовый 2 24 2 4 9" xfId="22715"/>
    <cellStyle name="Финансовый 2 24 2 5" xfId="22716"/>
    <cellStyle name="Финансовый 2 24 2 6" xfId="22717"/>
    <cellStyle name="Финансовый 2 24 2 7" xfId="22718"/>
    <cellStyle name="Финансовый 2 24 2 8" xfId="22719"/>
    <cellStyle name="Финансовый 2 24 2 9" xfId="22720"/>
    <cellStyle name="Финансовый 2 24 3" xfId="5278"/>
    <cellStyle name="Финансовый 2 24 3 10" xfId="22721"/>
    <cellStyle name="Финансовый 2 24 3 11" xfId="22722"/>
    <cellStyle name="Финансовый 2 24 3 2" xfId="5279"/>
    <cellStyle name="Финансовый 2 24 3 2 2" xfId="22723"/>
    <cellStyle name="Финансовый 2 24 3 2 3" xfId="22724"/>
    <cellStyle name="Финансовый 2 24 3 2 4" xfId="22725"/>
    <cellStyle name="Финансовый 2 24 3 2 5" xfId="22726"/>
    <cellStyle name="Финансовый 2 24 3 2 6" xfId="22727"/>
    <cellStyle name="Финансовый 2 24 3 2 7" xfId="22728"/>
    <cellStyle name="Финансовый 2 24 3 2 8" xfId="22729"/>
    <cellStyle name="Финансовый 2 24 3 2 9" xfId="22730"/>
    <cellStyle name="Финансовый 2 24 3 3" xfId="5280"/>
    <cellStyle name="Финансовый 2 24 3 3 2" xfId="22731"/>
    <cellStyle name="Финансовый 2 24 3 3 3" xfId="22732"/>
    <cellStyle name="Финансовый 2 24 3 3 4" xfId="22733"/>
    <cellStyle name="Финансовый 2 24 3 3 5" xfId="22734"/>
    <cellStyle name="Финансовый 2 24 3 3 6" xfId="22735"/>
    <cellStyle name="Финансовый 2 24 3 3 7" xfId="22736"/>
    <cellStyle name="Финансовый 2 24 3 3 8" xfId="22737"/>
    <cellStyle name="Финансовый 2 24 3 3 9" xfId="22738"/>
    <cellStyle name="Финансовый 2 24 3 4" xfId="22739"/>
    <cellStyle name="Финансовый 2 24 3 5" xfId="22740"/>
    <cellStyle name="Финансовый 2 24 3 6" xfId="22741"/>
    <cellStyle name="Финансовый 2 24 3 7" xfId="22742"/>
    <cellStyle name="Финансовый 2 24 3 8" xfId="22743"/>
    <cellStyle name="Финансовый 2 24 3 9" xfId="22744"/>
    <cellStyle name="Финансовый 2 24 4" xfId="5281"/>
    <cellStyle name="Финансовый 2 24 4 2" xfId="22745"/>
    <cellStyle name="Финансовый 2 24 4 3" xfId="22746"/>
    <cellStyle name="Финансовый 2 24 4 4" xfId="22747"/>
    <cellStyle name="Финансовый 2 24 4 5" xfId="22748"/>
    <cellStyle name="Финансовый 2 24 4 6" xfId="22749"/>
    <cellStyle name="Финансовый 2 24 4 7" xfId="22750"/>
    <cellStyle name="Финансовый 2 24 4 8" xfId="22751"/>
    <cellStyle name="Финансовый 2 24 4 9" xfId="22752"/>
    <cellStyle name="Финансовый 2 24 5" xfId="22753"/>
    <cellStyle name="Финансовый 2 24 6" xfId="22754"/>
    <cellStyle name="Финансовый 2 24 7" xfId="22755"/>
    <cellStyle name="Финансовый 2 24 8" xfId="22756"/>
    <cellStyle name="Финансовый 2 24 9" xfId="22757"/>
    <cellStyle name="Финансовый 2 25" xfId="5282"/>
    <cellStyle name="Финансовый 2 25 10" xfId="22758"/>
    <cellStyle name="Финансовый 2 25 11" xfId="22759"/>
    <cellStyle name="Финансовый 2 25 12" xfId="22760"/>
    <cellStyle name="Финансовый 2 25 2" xfId="5283"/>
    <cellStyle name="Финансовый 2 25 2 10" xfId="22761"/>
    <cellStyle name="Финансовый 2 25 2 11" xfId="22762"/>
    <cellStyle name="Финансовый 2 25 2 12" xfId="22763"/>
    <cellStyle name="Финансовый 2 25 2 2" xfId="5284"/>
    <cellStyle name="Финансовый 2 25 2 2 2" xfId="22764"/>
    <cellStyle name="Финансовый 2 25 2 2 3" xfId="22765"/>
    <cellStyle name="Финансовый 2 25 2 2 4" xfId="22766"/>
    <cellStyle name="Финансовый 2 25 2 2 5" xfId="22767"/>
    <cellStyle name="Финансовый 2 25 2 2 6" xfId="22768"/>
    <cellStyle name="Финансовый 2 25 2 2 7" xfId="22769"/>
    <cellStyle name="Финансовый 2 25 2 2 8" xfId="22770"/>
    <cellStyle name="Финансовый 2 25 2 2 9" xfId="22771"/>
    <cellStyle name="Финансовый 2 25 2 3" xfId="5285"/>
    <cellStyle name="Финансовый 2 25 2 3 2" xfId="22772"/>
    <cellStyle name="Финансовый 2 25 2 3 3" xfId="22773"/>
    <cellStyle name="Финансовый 2 25 2 3 4" xfId="22774"/>
    <cellStyle name="Финансовый 2 25 2 3 5" xfId="22775"/>
    <cellStyle name="Финансовый 2 25 2 3 6" xfId="22776"/>
    <cellStyle name="Финансовый 2 25 2 3 7" xfId="22777"/>
    <cellStyle name="Финансовый 2 25 2 3 8" xfId="22778"/>
    <cellStyle name="Финансовый 2 25 2 3 9" xfId="22779"/>
    <cellStyle name="Финансовый 2 25 2 4" xfId="5286"/>
    <cellStyle name="Финансовый 2 25 2 4 2" xfId="22780"/>
    <cellStyle name="Финансовый 2 25 2 4 3" xfId="22781"/>
    <cellStyle name="Финансовый 2 25 2 4 4" xfId="22782"/>
    <cellStyle name="Финансовый 2 25 2 4 5" xfId="22783"/>
    <cellStyle name="Финансовый 2 25 2 4 6" xfId="22784"/>
    <cellStyle name="Финансовый 2 25 2 4 7" xfId="22785"/>
    <cellStyle name="Финансовый 2 25 2 4 8" xfId="22786"/>
    <cellStyle name="Финансовый 2 25 2 4 9" xfId="22787"/>
    <cellStyle name="Финансовый 2 25 2 5" xfId="22788"/>
    <cellStyle name="Финансовый 2 25 2 6" xfId="22789"/>
    <cellStyle name="Финансовый 2 25 2 7" xfId="22790"/>
    <cellStyle name="Финансовый 2 25 2 8" xfId="22791"/>
    <cellStyle name="Финансовый 2 25 2 9" xfId="22792"/>
    <cellStyle name="Финансовый 2 25 3" xfId="5287"/>
    <cellStyle name="Финансовый 2 25 3 10" xfId="22793"/>
    <cellStyle name="Финансовый 2 25 3 11" xfId="22794"/>
    <cellStyle name="Финансовый 2 25 3 2" xfId="5288"/>
    <cellStyle name="Финансовый 2 25 3 2 2" xfId="22795"/>
    <cellStyle name="Финансовый 2 25 3 2 3" xfId="22796"/>
    <cellStyle name="Финансовый 2 25 3 2 4" xfId="22797"/>
    <cellStyle name="Финансовый 2 25 3 2 5" xfId="22798"/>
    <cellStyle name="Финансовый 2 25 3 2 6" xfId="22799"/>
    <cellStyle name="Финансовый 2 25 3 2 7" xfId="22800"/>
    <cellStyle name="Финансовый 2 25 3 2 8" xfId="22801"/>
    <cellStyle name="Финансовый 2 25 3 2 9" xfId="22802"/>
    <cellStyle name="Финансовый 2 25 3 3" xfId="5289"/>
    <cellStyle name="Финансовый 2 25 3 3 2" xfId="22803"/>
    <cellStyle name="Финансовый 2 25 3 3 3" xfId="22804"/>
    <cellStyle name="Финансовый 2 25 3 3 4" xfId="22805"/>
    <cellStyle name="Финансовый 2 25 3 3 5" xfId="22806"/>
    <cellStyle name="Финансовый 2 25 3 3 6" xfId="22807"/>
    <cellStyle name="Финансовый 2 25 3 3 7" xfId="22808"/>
    <cellStyle name="Финансовый 2 25 3 3 8" xfId="22809"/>
    <cellStyle name="Финансовый 2 25 3 3 9" xfId="22810"/>
    <cellStyle name="Финансовый 2 25 3 4" xfId="22811"/>
    <cellStyle name="Финансовый 2 25 3 5" xfId="22812"/>
    <cellStyle name="Финансовый 2 25 3 6" xfId="22813"/>
    <cellStyle name="Финансовый 2 25 3 7" xfId="22814"/>
    <cellStyle name="Финансовый 2 25 3 8" xfId="22815"/>
    <cellStyle name="Финансовый 2 25 3 9" xfId="22816"/>
    <cellStyle name="Финансовый 2 25 4" xfId="5290"/>
    <cellStyle name="Финансовый 2 25 4 2" xfId="22817"/>
    <cellStyle name="Финансовый 2 25 4 3" xfId="22818"/>
    <cellStyle name="Финансовый 2 25 4 4" xfId="22819"/>
    <cellStyle name="Финансовый 2 25 4 5" xfId="22820"/>
    <cellStyle name="Финансовый 2 25 4 6" xfId="22821"/>
    <cellStyle name="Финансовый 2 25 4 7" xfId="22822"/>
    <cellStyle name="Финансовый 2 25 4 8" xfId="22823"/>
    <cellStyle name="Финансовый 2 25 4 9" xfId="22824"/>
    <cellStyle name="Финансовый 2 25 5" xfId="22825"/>
    <cellStyle name="Финансовый 2 25 6" xfId="22826"/>
    <cellStyle name="Финансовый 2 25 7" xfId="22827"/>
    <cellStyle name="Финансовый 2 25 8" xfId="22828"/>
    <cellStyle name="Финансовый 2 25 9" xfId="22829"/>
    <cellStyle name="Финансовый 2 26" xfId="5291"/>
    <cellStyle name="Финансовый 2 26 2" xfId="5292"/>
    <cellStyle name="Финансовый 2 26 3" xfId="5293"/>
    <cellStyle name="Финансовый 2 27" xfId="5294"/>
    <cellStyle name="Финансовый 2 28" xfId="5295"/>
    <cellStyle name="Финансовый 2 28 2" xfId="22830"/>
    <cellStyle name="Финансовый 2 28 3" xfId="22831"/>
    <cellStyle name="Финансовый 2 28 4" xfId="22832"/>
    <cellStyle name="Финансовый 2 28 5" xfId="22833"/>
    <cellStyle name="Финансовый 2 29" xfId="5296"/>
    <cellStyle name="Финансовый 2 29 2" xfId="22834"/>
    <cellStyle name="Финансовый 2 29 3" xfId="22835"/>
    <cellStyle name="Финансовый 2 29 4" xfId="22836"/>
    <cellStyle name="Финансовый 2 29 5" xfId="22837"/>
    <cellStyle name="Финансовый 2 3" xfId="5297"/>
    <cellStyle name="Финансовый 2 3 2" xfId="5298"/>
    <cellStyle name="Финансовый 2 3 2 2" xfId="5299"/>
    <cellStyle name="Финансовый 2 3 2 3" xfId="5300"/>
    <cellStyle name="Финансовый 2 3 3" xfId="5301"/>
    <cellStyle name="Финансовый 2 3 4" xfId="5302"/>
    <cellStyle name="Финансовый 2 3 4 2" xfId="22838"/>
    <cellStyle name="Финансовый 2 3 4 3" xfId="22839"/>
    <cellStyle name="Финансовый 2 3 4 4" xfId="22840"/>
    <cellStyle name="Финансовый 2 3 4 5" xfId="22841"/>
    <cellStyle name="Финансовый 2 3 5" xfId="22842"/>
    <cellStyle name="Финансовый 2 3 6" xfId="22843"/>
    <cellStyle name="Финансовый 2 3 7" xfId="22844"/>
    <cellStyle name="Финансовый 2 3 8" xfId="22845"/>
    <cellStyle name="Финансовый 2 30" xfId="5529"/>
    <cellStyle name="Финансовый 2 31" xfId="22846"/>
    <cellStyle name="Финансовый 2 32" xfId="22847"/>
    <cellStyle name="Финансовый 2 33" xfId="22848"/>
    <cellStyle name="Финансовый 2 34" xfId="22849"/>
    <cellStyle name="Финансовый 2 4" xfId="5303"/>
    <cellStyle name="Финансовый 2 4 2" xfId="5304"/>
    <cellStyle name="Финансовый 2 4 2 2" xfId="5305"/>
    <cellStyle name="Финансовый 2 4 2 3" xfId="5306"/>
    <cellStyle name="Финансовый 2 4 3" xfId="5307"/>
    <cellStyle name="Финансовый 2 4 4" xfId="5308"/>
    <cellStyle name="Финансовый 2 4 4 2" xfId="22850"/>
    <cellStyle name="Финансовый 2 4 4 3" xfId="22851"/>
    <cellStyle name="Финансовый 2 4 4 4" xfId="22852"/>
    <cellStyle name="Финансовый 2 4 4 5" xfId="22853"/>
    <cellStyle name="Финансовый 2 4 5" xfId="22854"/>
    <cellStyle name="Финансовый 2 4 6" xfId="22855"/>
    <cellStyle name="Финансовый 2 4 7" xfId="22856"/>
    <cellStyle name="Финансовый 2 4 8" xfId="22857"/>
    <cellStyle name="Финансовый 2 5" xfId="5309"/>
    <cellStyle name="Финансовый 2 5 2" xfId="5310"/>
    <cellStyle name="Финансовый 2 5 2 2" xfId="5311"/>
    <cellStyle name="Финансовый 2 5 2 3" xfId="5312"/>
    <cellStyle name="Финансовый 2 5 3" xfId="5313"/>
    <cellStyle name="Финансовый 2 5 4" xfId="5314"/>
    <cellStyle name="Финансовый 2 5 4 2" xfId="22858"/>
    <cellStyle name="Финансовый 2 5 4 3" xfId="22859"/>
    <cellStyle name="Финансовый 2 5 4 4" xfId="22860"/>
    <cellStyle name="Финансовый 2 5 4 5" xfId="22861"/>
    <cellStyle name="Финансовый 2 5 5" xfId="22862"/>
    <cellStyle name="Финансовый 2 5 6" xfId="22863"/>
    <cellStyle name="Финансовый 2 5 7" xfId="22864"/>
    <cellStyle name="Финансовый 2 5 8" xfId="22865"/>
    <cellStyle name="Финансовый 2 6" xfId="5315"/>
    <cellStyle name="Финансовый 2 6 2" xfId="5316"/>
    <cellStyle name="Финансовый 2 6 2 2" xfId="5317"/>
    <cellStyle name="Финансовый 2 6 2 3" xfId="5318"/>
    <cellStyle name="Финансовый 2 6 3" xfId="5319"/>
    <cellStyle name="Финансовый 2 6 4" xfId="5320"/>
    <cellStyle name="Финансовый 2 6 4 2" xfId="22866"/>
    <cellStyle name="Финансовый 2 6 4 3" xfId="22867"/>
    <cellStyle name="Финансовый 2 6 4 4" xfId="22868"/>
    <cellStyle name="Финансовый 2 6 4 5" xfId="22869"/>
    <cellStyle name="Финансовый 2 6 5" xfId="22870"/>
    <cellStyle name="Финансовый 2 6 6" xfId="22871"/>
    <cellStyle name="Финансовый 2 6 7" xfId="22872"/>
    <cellStyle name="Финансовый 2 6 8" xfId="22873"/>
    <cellStyle name="Финансовый 2 7" xfId="5321"/>
    <cellStyle name="Финансовый 2 7 10" xfId="22874"/>
    <cellStyle name="Финансовый 2 7 11" xfId="22875"/>
    <cellStyle name="Финансовый 2 7 12" xfId="22876"/>
    <cellStyle name="Финансовый 2 7 2" xfId="5322"/>
    <cellStyle name="Финансовый 2 7 2 10" xfId="22877"/>
    <cellStyle name="Финансовый 2 7 2 11" xfId="22878"/>
    <cellStyle name="Финансовый 2 7 2 12" xfId="22879"/>
    <cellStyle name="Финансовый 2 7 2 2" xfId="5323"/>
    <cellStyle name="Финансовый 2 7 2 2 2" xfId="22880"/>
    <cellStyle name="Финансовый 2 7 2 2 3" xfId="22881"/>
    <cellStyle name="Финансовый 2 7 2 2 4" xfId="22882"/>
    <cellStyle name="Финансовый 2 7 2 2 5" xfId="22883"/>
    <cellStyle name="Финансовый 2 7 2 2 6" xfId="22884"/>
    <cellStyle name="Финансовый 2 7 2 2 7" xfId="22885"/>
    <cellStyle name="Финансовый 2 7 2 2 8" xfId="22886"/>
    <cellStyle name="Финансовый 2 7 2 2 9" xfId="22887"/>
    <cellStyle name="Финансовый 2 7 2 3" xfId="5324"/>
    <cellStyle name="Финансовый 2 7 2 3 2" xfId="22888"/>
    <cellStyle name="Финансовый 2 7 2 3 3" xfId="22889"/>
    <cellStyle name="Финансовый 2 7 2 3 4" xfId="22890"/>
    <cellStyle name="Финансовый 2 7 2 3 5" xfId="22891"/>
    <cellStyle name="Финансовый 2 7 2 3 6" xfId="22892"/>
    <cellStyle name="Финансовый 2 7 2 3 7" xfId="22893"/>
    <cellStyle name="Финансовый 2 7 2 3 8" xfId="22894"/>
    <cellStyle name="Финансовый 2 7 2 3 9" xfId="22895"/>
    <cellStyle name="Финансовый 2 7 2 4" xfId="5325"/>
    <cellStyle name="Финансовый 2 7 2 4 2" xfId="22896"/>
    <cellStyle name="Финансовый 2 7 2 4 3" xfId="22897"/>
    <cellStyle name="Финансовый 2 7 2 4 4" xfId="22898"/>
    <cellStyle name="Финансовый 2 7 2 4 5" xfId="22899"/>
    <cellStyle name="Финансовый 2 7 2 4 6" xfId="22900"/>
    <cellStyle name="Финансовый 2 7 2 4 7" xfId="22901"/>
    <cellStyle name="Финансовый 2 7 2 4 8" xfId="22902"/>
    <cellStyle name="Финансовый 2 7 2 4 9" xfId="22903"/>
    <cellStyle name="Финансовый 2 7 2 5" xfId="22904"/>
    <cellStyle name="Финансовый 2 7 2 6" xfId="22905"/>
    <cellStyle name="Финансовый 2 7 2 7" xfId="22906"/>
    <cellStyle name="Финансовый 2 7 2 8" xfId="22907"/>
    <cellStyle name="Финансовый 2 7 2 9" xfId="22908"/>
    <cellStyle name="Финансовый 2 7 3" xfId="5326"/>
    <cellStyle name="Финансовый 2 7 3 10" xfId="22909"/>
    <cellStyle name="Финансовый 2 7 3 11" xfId="22910"/>
    <cellStyle name="Финансовый 2 7 3 2" xfId="5327"/>
    <cellStyle name="Финансовый 2 7 3 2 2" xfId="22911"/>
    <cellStyle name="Финансовый 2 7 3 2 3" xfId="22912"/>
    <cellStyle name="Финансовый 2 7 3 2 4" xfId="22913"/>
    <cellStyle name="Финансовый 2 7 3 2 5" xfId="22914"/>
    <cellStyle name="Финансовый 2 7 3 2 6" xfId="22915"/>
    <cellStyle name="Финансовый 2 7 3 2 7" xfId="22916"/>
    <cellStyle name="Финансовый 2 7 3 2 8" xfId="22917"/>
    <cellStyle name="Финансовый 2 7 3 2 9" xfId="22918"/>
    <cellStyle name="Финансовый 2 7 3 3" xfId="5328"/>
    <cellStyle name="Финансовый 2 7 3 3 2" xfId="22919"/>
    <cellStyle name="Финансовый 2 7 3 3 3" xfId="22920"/>
    <cellStyle name="Финансовый 2 7 3 3 4" xfId="22921"/>
    <cellStyle name="Финансовый 2 7 3 3 5" xfId="22922"/>
    <cellStyle name="Финансовый 2 7 3 3 6" xfId="22923"/>
    <cellStyle name="Финансовый 2 7 3 3 7" xfId="22924"/>
    <cellStyle name="Финансовый 2 7 3 3 8" xfId="22925"/>
    <cellStyle name="Финансовый 2 7 3 3 9" xfId="22926"/>
    <cellStyle name="Финансовый 2 7 3 4" xfId="22927"/>
    <cellStyle name="Финансовый 2 7 3 5" xfId="22928"/>
    <cellStyle name="Финансовый 2 7 3 6" xfId="22929"/>
    <cellStyle name="Финансовый 2 7 3 7" xfId="22930"/>
    <cellStyle name="Финансовый 2 7 3 8" xfId="22931"/>
    <cellStyle name="Финансовый 2 7 3 9" xfId="22932"/>
    <cellStyle name="Финансовый 2 7 4" xfId="5329"/>
    <cellStyle name="Финансовый 2 7 4 2" xfId="22933"/>
    <cellStyle name="Финансовый 2 7 4 3" xfId="22934"/>
    <cellStyle name="Финансовый 2 7 4 4" xfId="22935"/>
    <cellStyle name="Финансовый 2 7 4 5" xfId="22936"/>
    <cellStyle name="Финансовый 2 7 4 6" xfId="22937"/>
    <cellStyle name="Финансовый 2 7 4 7" xfId="22938"/>
    <cellStyle name="Финансовый 2 7 4 8" xfId="22939"/>
    <cellStyle name="Финансовый 2 7 4 9" xfId="22940"/>
    <cellStyle name="Финансовый 2 7 5" xfId="22941"/>
    <cellStyle name="Финансовый 2 7 6" xfId="22942"/>
    <cellStyle name="Финансовый 2 7 7" xfId="22943"/>
    <cellStyle name="Финансовый 2 7 8" xfId="22944"/>
    <cellStyle name="Финансовый 2 7 9" xfId="22945"/>
    <cellStyle name="Финансовый 2 8" xfId="5330"/>
    <cellStyle name="Финансовый 2 8 10" xfId="22946"/>
    <cellStyle name="Финансовый 2 8 11" xfId="22947"/>
    <cellStyle name="Финансовый 2 8 12" xfId="22948"/>
    <cellStyle name="Финансовый 2 8 2" xfId="5331"/>
    <cellStyle name="Финансовый 2 8 2 10" xfId="22949"/>
    <cellStyle name="Финансовый 2 8 2 11" xfId="22950"/>
    <cellStyle name="Финансовый 2 8 2 12" xfId="22951"/>
    <cellStyle name="Финансовый 2 8 2 2" xfId="5332"/>
    <cellStyle name="Финансовый 2 8 2 2 2" xfId="22952"/>
    <cellStyle name="Финансовый 2 8 2 2 3" xfId="22953"/>
    <cellStyle name="Финансовый 2 8 2 2 4" xfId="22954"/>
    <cellStyle name="Финансовый 2 8 2 2 5" xfId="22955"/>
    <cellStyle name="Финансовый 2 8 2 2 6" xfId="22956"/>
    <cellStyle name="Финансовый 2 8 2 2 7" xfId="22957"/>
    <cellStyle name="Финансовый 2 8 2 2 8" xfId="22958"/>
    <cellStyle name="Финансовый 2 8 2 2 9" xfId="22959"/>
    <cellStyle name="Финансовый 2 8 2 3" xfId="5333"/>
    <cellStyle name="Финансовый 2 8 2 3 2" xfId="22960"/>
    <cellStyle name="Финансовый 2 8 2 3 3" xfId="22961"/>
    <cellStyle name="Финансовый 2 8 2 3 4" xfId="22962"/>
    <cellStyle name="Финансовый 2 8 2 3 5" xfId="22963"/>
    <cellStyle name="Финансовый 2 8 2 3 6" xfId="22964"/>
    <cellStyle name="Финансовый 2 8 2 3 7" xfId="22965"/>
    <cellStyle name="Финансовый 2 8 2 3 8" xfId="22966"/>
    <cellStyle name="Финансовый 2 8 2 3 9" xfId="22967"/>
    <cellStyle name="Финансовый 2 8 2 4" xfId="5334"/>
    <cellStyle name="Финансовый 2 8 2 4 2" xfId="22968"/>
    <cellStyle name="Финансовый 2 8 2 4 3" xfId="22969"/>
    <cellStyle name="Финансовый 2 8 2 4 4" xfId="22970"/>
    <cellStyle name="Финансовый 2 8 2 4 5" xfId="22971"/>
    <cellStyle name="Финансовый 2 8 2 4 6" xfId="22972"/>
    <cellStyle name="Финансовый 2 8 2 4 7" xfId="22973"/>
    <cellStyle name="Финансовый 2 8 2 4 8" xfId="22974"/>
    <cellStyle name="Финансовый 2 8 2 4 9" xfId="22975"/>
    <cellStyle name="Финансовый 2 8 2 5" xfId="22976"/>
    <cellStyle name="Финансовый 2 8 2 6" xfId="22977"/>
    <cellStyle name="Финансовый 2 8 2 7" xfId="22978"/>
    <cellStyle name="Финансовый 2 8 2 8" xfId="22979"/>
    <cellStyle name="Финансовый 2 8 2 9" xfId="22980"/>
    <cellStyle name="Финансовый 2 8 3" xfId="5335"/>
    <cellStyle name="Финансовый 2 8 3 10" xfId="22981"/>
    <cellStyle name="Финансовый 2 8 3 11" xfId="22982"/>
    <cellStyle name="Финансовый 2 8 3 2" xfId="5336"/>
    <cellStyle name="Финансовый 2 8 3 2 2" xfId="22983"/>
    <cellStyle name="Финансовый 2 8 3 2 3" xfId="22984"/>
    <cellStyle name="Финансовый 2 8 3 2 4" xfId="22985"/>
    <cellStyle name="Финансовый 2 8 3 2 5" xfId="22986"/>
    <cellStyle name="Финансовый 2 8 3 2 6" xfId="22987"/>
    <cellStyle name="Финансовый 2 8 3 2 7" xfId="22988"/>
    <cellStyle name="Финансовый 2 8 3 2 8" xfId="22989"/>
    <cellStyle name="Финансовый 2 8 3 2 9" xfId="22990"/>
    <cellStyle name="Финансовый 2 8 3 3" xfId="5337"/>
    <cellStyle name="Финансовый 2 8 3 3 2" xfId="22991"/>
    <cellStyle name="Финансовый 2 8 3 3 3" xfId="22992"/>
    <cellStyle name="Финансовый 2 8 3 3 4" xfId="22993"/>
    <cellStyle name="Финансовый 2 8 3 3 5" xfId="22994"/>
    <cellStyle name="Финансовый 2 8 3 3 6" xfId="22995"/>
    <cellStyle name="Финансовый 2 8 3 3 7" xfId="22996"/>
    <cellStyle name="Финансовый 2 8 3 3 8" xfId="22997"/>
    <cellStyle name="Финансовый 2 8 3 3 9" xfId="22998"/>
    <cellStyle name="Финансовый 2 8 3 4" xfId="22999"/>
    <cellStyle name="Финансовый 2 8 3 5" xfId="23000"/>
    <cellStyle name="Финансовый 2 8 3 6" xfId="23001"/>
    <cellStyle name="Финансовый 2 8 3 7" xfId="23002"/>
    <cellStyle name="Финансовый 2 8 3 8" xfId="23003"/>
    <cellStyle name="Финансовый 2 8 3 9" xfId="23004"/>
    <cellStyle name="Финансовый 2 8 4" xfId="5338"/>
    <cellStyle name="Финансовый 2 8 4 2" xfId="23005"/>
    <cellStyle name="Финансовый 2 8 4 3" xfId="23006"/>
    <cellStyle name="Финансовый 2 8 4 4" xfId="23007"/>
    <cellStyle name="Финансовый 2 8 4 5" xfId="23008"/>
    <cellStyle name="Финансовый 2 8 4 6" xfId="23009"/>
    <cellStyle name="Финансовый 2 8 4 7" xfId="23010"/>
    <cellStyle name="Финансовый 2 8 4 8" xfId="23011"/>
    <cellStyle name="Финансовый 2 8 4 9" xfId="23012"/>
    <cellStyle name="Финансовый 2 8 5" xfId="23013"/>
    <cellStyle name="Финансовый 2 8 6" xfId="23014"/>
    <cellStyle name="Финансовый 2 8 7" xfId="23015"/>
    <cellStyle name="Финансовый 2 8 8" xfId="23016"/>
    <cellStyle name="Финансовый 2 8 9" xfId="23017"/>
    <cellStyle name="Финансовый 2 9" xfId="5339"/>
    <cellStyle name="Финансовый 2 9 10" xfId="23018"/>
    <cellStyle name="Финансовый 2 9 11" xfId="23019"/>
    <cellStyle name="Финансовый 2 9 12" xfId="23020"/>
    <cellStyle name="Финансовый 2 9 2" xfId="5340"/>
    <cellStyle name="Финансовый 2 9 2 10" xfId="23021"/>
    <cellStyle name="Финансовый 2 9 2 11" xfId="23022"/>
    <cellStyle name="Финансовый 2 9 2 12" xfId="23023"/>
    <cellStyle name="Финансовый 2 9 2 2" xfId="5341"/>
    <cellStyle name="Финансовый 2 9 2 2 2" xfId="23024"/>
    <cellStyle name="Финансовый 2 9 2 2 3" xfId="23025"/>
    <cellStyle name="Финансовый 2 9 2 2 4" xfId="23026"/>
    <cellStyle name="Финансовый 2 9 2 2 5" xfId="23027"/>
    <cellStyle name="Финансовый 2 9 2 2 6" xfId="23028"/>
    <cellStyle name="Финансовый 2 9 2 2 7" xfId="23029"/>
    <cellStyle name="Финансовый 2 9 2 2 8" xfId="23030"/>
    <cellStyle name="Финансовый 2 9 2 2 9" xfId="23031"/>
    <cellStyle name="Финансовый 2 9 2 3" xfId="5342"/>
    <cellStyle name="Финансовый 2 9 2 3 2" xfId="23032"/>
    <cellStyle name="Финансовый 2 9 2 3 3" xfId="23033"/>
    <cellStyle name="Финансовый 2 9 2 3 4" xfId="23034"/>
    <cellStyle name="Финансовый 2 9 2 3 5" xfId="23035"/>
    <cellStyle name="Финансовый 2 9 2 3 6" xfId="23036"/>
    <cellStyle name="Финансовый 2 9 2 3 7" xfId="23037"/>
    <cellStyle name="Финансовый 2 9 2 3 8" xfId="23038"/>
    <cellStyle name="Финансовый 2 9 2 3 9" xfId="23039"/>
    <cellStyle name="Финансовый 2 9 2 4" xfId="5343"/>
    <cellStyle name="Финансовый 2 9 2 4 2" xfId="23040"/>
    <cellStyle name="Финансовый 2 9 2 4 3" xfId="23041"/>
    <cellStyle name="Финансовый 2 9 2 4 4" xfId="23042"/>
    <cellStyle name="Финансовый 2 9 2 4 5" xfId="23043"/>
    <cellStyle name="Финансовый 2 9 2 4 6" xfId="23044"/>
    <cellStyle name="Финансовый 2 9 2 4 7" xfId="23045"/>
    <cellStyle name="Финансовый 2 9 2 4 8" xfId="23046"/>
    <cellStyle name="Финансовый 2 9 2 4 9" xfId="23047"/>
    <cellStyle name="Финансовый 2 9 2 5" xfId="23048"/>
    <cellStyle name="Финансовый 2 9 2 6" xfId="23049"/>
    <cellStyle name="Финансовый 2 9 2 7" xfId="23050"/>
    <cellStyle name="Финансовый 2 9 2 8" xfId="23051"/>
    <cellStyle name="Финансовый 2 9 2 9" xfId="23052"/>
    <cellStyle name="Финансовый 2 9 3" xfId="5344"/>
    <cellStyle name="Финансовый 2 9 3 10" xfId="23053"/>
    <cellStyle name="Финансовый 2 9 3 11" xfId="23054"/>
    <cellStyle name="Финансовый 2 9 3 2" xfId="5345"/>
    <cellStyle name="Финансовый 2 9 3 2 2" xfId="23055"/>
    <cellStyle name="Финансовый 2 9 3 2 3" xfId="23056"/>
    <cellStyle name="Финансовый 2 9 3 2 4" xfId="23057"/>
    <cellStyle name="Финансовый 2 9 3 2 5" xfId="23058"/>
    <cellStyle name="Финансовый 2 9 3 2 6" xfId="23059"/>
    <cellStyle name="Финансовый 2 9 3 2 7" xfId="23060"/>
    <cellStyle name="Финансовый 2 9 3 2 8" xfId="23061"/>
    <cellStyle name="Финансовый 2 9 3 2 9" xfId="23062"/>
    <cellStyle name="Финансовый 2 9 3 3" xfId="5346"/>
    <cellStyle name="Финансовый 2 9 3 3 2" xfId="23063"/>
    <cellStyle name="Финансовый 2 9 3 3 3" xfId="23064"/>
    <cellStyle name="Финансовый 2 9 3 3 4" xfId="23065"/>
    <cellStyle name="Финансовый 2 9 3 3 5" xfId="23066"/>
    <cellStyle name="Финансовый 2 9 3 3 6" xfId="23067"/>
    <cellStyle name="Финансовый 2 9 3 3 7" xfId="23068"/>
    <cellStyle name="Финансовый 2 9 3 3 8" xfId="23069"/>
    <cellStyle name="Финансовый 2 9 3 3 9" xfId="23070"/>
    <cellStyle name="Финансовый 2 9 3 4" xfId="23071"/>
    <cellStyle name="Финансовый 2 9 3 5" xfId="23072"/>
    <cellStyle name="Финансовый 2 9 3 6" xfId="23073"/>
    <cellStyle name="Финансовый 2 9 3 7" xfId="23074"/>
    <cellStyle name="Финансовый 2 9 3 8" xfId="23075"/>
    <cellStyle name="Финансовый 2 9 3 9" xfId="23076"/>
    <cellStyle name="Финансовый 2 9 4" xfId="5347"/>
    <cellStyle name="Финансовый 2 9 4 2" xfId="23077"/>
    <cellStyle name="Финансовый 2 9 4 3" xfId="23078"/>
    <cellStyle name="Финансовый 2 9 4 4" xfId="23079"/>
    <cellStyle name="Финансовый 2 9 4 5" xfId="23080"/>
    <cellStyle name="Финансовый 2 9 4 6" xfId="23081"/>
    <cellStyle name="Финансовый 2 9 4 7" xfId="23082"/>
    <cellStyle name="Финансовый 2 9 4 8" xfId="23083"/>
    <cellStyle name="Финансовый 2 9 4 9" xfId="23084"/>
    <cellStyle name="Финансовый 2 9 5" xfId="23085"/>
    <cellStyle name="Финансовый 2 9 6" xfId="23086"/>
    <cellStyle name="Финансовый 2 9 7" xfId="23087"/>
    <cellStyle name="Финансовый 2 9 8" xfId="23088"/>
    <cellStyle name="Финансовый 2 9 9" xfId="23089"/>
    <cellStyle name="Финансовый 3" xfId="7"/>
    <cellStyle name="Финансовый 3 10" xfId="5348"/>
    <cellStyle name="Финансовый 3 10 2" xfId="5349"/>
    <cellStyle name="Финансовый 3 10 2 2" xfId="5350"/>
    <cellStyle name="Финансовый 3 10 2 3" xfId="5351"/>
    <cellStyle name="Финансовый 3 10 3" xfId="5352"/>
    <cellStyle name="Финансовый 3 10 4" xfId="5353"/>
    <cellStyle name="Финансовый 3 10 4 2" xfId="23090"/>
    <cellStyle name="Финансовый 3 10 4 3" xfId="23091"/>
    <cellStyle name="Финансовый 3 10 4 4" xfId="23092"/>
    <cellStyle name="Финансовый 3 10 4 5" xfId="23093"/>
    <cellStyle name="Финансовый 3 10 5" xfId="23094"/>
    <cellStyle name="Финансовый 3 10 6" xfId="23095"/>
    <cellStyle name="Финансовый 3 10 7" xfId="23096"/>
    <cellStyle name="Финансовый 3 10 8" xfId="23097"/>
    <cellStyle name="Финансовый 3 11" xfId="5354"/>
    <cellStyle name="Финансовый 3 11 10" xfId="23098"/>
    <cellStyle name="Финансовый 3 11 11" xfId="23099"/>
    <cellStyle name="Финансовый 3 11 12" xfId="23100"/>
    <cellStyle name="Финансовый 3 11 2" xfId="5355"/>
    <cellStyle name="Финансовый 3 11 2 2" xfId="23101"/>
    <cellStyle name="Финансовый 3 11 2 3" xfId="23102"/>
    <cellStyle name="Финансовый 3 11 2 4" xfId="23103"/>
    <cellStyle name="Финансовый 3 11 2 5" xfId="23104"/>
    <cellStyle name="Финансовый 3 11 2 6" xfId="23105"/>
    <cellStyle name="Финансовый 3 11 2 7" xfId="23106"/>
    <cellStyle name="Финансовый 3 11 2 8" xfId="23107"/>
    <cellStyle name="Финансовый 3 11 2 9" xfId="23108"/>
    <cellStyle name="Финансовый 3 11 3" xfId="5356"/>
    <cellStyle name="Финансовый 3 11 3 2" xfId="23109"/>
    <cellStyle name="Финансовый 3 11 3 3" xfId="23110"/>
    <cellStyle name="Финансовый 3 11 3 4" xfId="23111"/>
    <cellStyle name="Финансовый 3 11 3 5" xfId="23112"/>
    <cellStyle name="Финансовый 3 11 3 6" xfId="23113"/>
    <cellStyle name="Финансовый 3 11 3 7" xfId="23114"/>
    <cellStyle name="Финансовый 3 11 3 8" xfId="23115"/>
    <cellStyle name="Финансовый 3 11 3 9" xfId="23116"/>
    <cellStyle name="Финансовый 3 11 4" xfId="5357"/>
    <cellStyle name="Финансовый 3 11 4 2" xfId="23117"/>
    <cellStyle name="Финансовый 3 11 4 3" xfId="23118"/>
    <cellStyle name="Финансовый 3 11 4 4" xfId="23119"/>
    <cellStyle name="Финансовый 3 11 4 5" xfId="23120"/>
    <cellStyle name="Финансовый 3 11 4 6" xfId="23121"/>
    <cellStyle name="Финансовый 3 11 4 7" xfId="23122"/>
    <cellStyle name="Финансовый 3 11 4 8" xfId="23123"/>
    <cellStyle name="Финансовый 3 11 4 9" xfId="23124"/>
    <cellStyle name="Финансовый 3 11 5" xfId="23125"/>
    <cellStyle name="Финансовый 3 11 6" xfId="23126"/>
    <cellStyle name="Финансовый 3 11 7" xfId="23127"/>
    <cellStyle name="Финансовый 3 11 8" xfId="23128"/>
    <cellStyle name="Финансовый 3 11 9" xfId="23129"/>
    <cellStyle name="Финансовый 3 12" xfId="5358"/>
    <cellStyle name="Финансовый 3 12 10" xfId="23130"/>
    <cellStyle name="Финансовый 3 12 11" xfId="23131"/>
    <cellStyle name="Финансовый 3 12 2" xfId="5359"/>
    <cellStyle name="Финансовый 3 12 2 2" xfId="23132"/>
    <cellStyle name="Финансовый 3 12 2 3" xfId="23133"/>
    <cellStyle name="Финансовый 3 12 2 4" xfId="23134"/>
    <cellStyle name="Финансовый 3 12 2 5" xfId="23135"/>
    <cellStyle name="Финансовый 3 12 2 6" xfId="23136"/>
    <cellStyle name="Финансовый 3 12 2 7" xfId="23137"/>
    <cellStyle name="Финансовый 3 12 2 8" xfId="23138"/>
    <cellStyle name="Финансовый 3 12 2 9" xfId="23139"/>
    <cellStyle name="Финансовый 3 12 3" xfId="5360"/>
    <cellStyle name="Финансовый 3 12 3 2" xfId="23140"/>
    <cellStyle name="Финансовый 3 12 3 3" xfId="23141"/>
    <cellStyle name="Финансовый 3 12 3 4" xfId="23142"/>
    <cellStyle name="Финансовый 3 12 3 5" xfId="23143"/>
    <cellStyle name="Финансовый 3 12 3 6" xfId="23144"/>
    <cellStyle name="Финансовый 3 12 3 7" xfId="23145"/>
    <cellStyle name="Финансовый 3 12 3 8" xfId="23146"/>
    <cellStyle name="Финансовый 3 12 3 9" xfId="23147"/>
    <cellStyle name="Финансовый 3 12 4" xfId="23148"/>
    <cellStyle name="Финансовый 3 12 5" xfId="23149"/>
    <cellStyle name="Финансовый 3 12 6" xfId="23150"/>
    <cellStyle name="Финансовый 3 12 7" xfId="23151"/>
    <cellStyle name="Финансовый 3 12 8" xfId="23152"/>
    <cellStyle name="Финансовый 3 12 9" xfId="23153"/>
    <cellStyle name="Финансовый 3 13" xfId="5361"/>
    <cellStyle name="Финансовый 3 13 2" xfId="23154"/>
    <cellStyle name="Финансовый 3 13 3" xfId="23155"/>
    <cellStyle name="Финансовый 3 13 4" xfId="23156"/>
    <cellStyle name="Финансовый 3 13 5" xfId="23157"/>
    <cellStyle name="Финансовый 3 13 6" xfId="23158"/>
    <cellStyle name="Финансовый 3 13 7" xfId="23159"/>
    <cellStyle name="Финансовый 3 13 8" xfId="23160"/>
    <cellStyle name="Финансовый 3 13 9" xfId="23161"/>
    <cellStyle name="Финансовый 3 14" xfId="23162"/>
    <cellStyle name="Финансовый 3 15" xfId="23163"/>
    <cellStyle name="Финансовый 3 16" xfId="23164"/>
    <cellStyle name="Финансовый 3 17" xfId="23165"/>
    <cellStyle name="Финансовый 3 18" xfId="23166"/>
    <cellStyle name="Финансовый 3 19" xfId="23167"/>
    <cellStyle name="Финансовый 3 2" xfId="5362"/>
    <cellStyle name="Финансовый 3 2 2" xfId="5363"/>
    <cellStyle name="Финансовый 3 2 2 2" xfId="5364"/>
    <cellStyle name="Финансовый 3 2 2 3" xfId="5365"/>
    <cellStyle name="Финансовый 3 2 3" xfId="5366"/>
    <cellStyle name="Финансовый 3 2 4" xfId="5367"/>
    <cellStyle name="Финансовый 3 2 4 2" xfId="23168"/>
    <cellStyle name="Финансовый 3 2 4 3" xfId="23169"/>
    <cellStyle name="Финансовый 3 2 4 4" xfId="23170"/>
    <cellStyle name="Финансовый 3 2 4 5" xfId="23171"/>
    <cellStyle name="Финансовый 3 2 5" xfId="23172"/>
    <cellStyle name="Финансовый 3 2 6" xfId="23173"/>
    <cellStyle name="Финансовый 3 2 7" xfId="23174"/>
    <cellStyle name="Финансовый 3 2 8" xfId="23175"/>
    <cellStyle name="Финансовый 3 20" xfId="23176"/>
    <cellStyle name="Финансовый 3 21" xfId="23177"/>
    <cellStyle name="Финансовый 3 3" xfId="5368"/>
    <cellStyle name="Финансовый 3 3 2" xfId="5369"/>
    <cellStyle name="Финансовый 3 3 2 2" xfId="5370"/>
    <cellStyle name="Финансовый 3 3 2 3" xfId="5371"/>
    <cellStyle name="Финансовый 3 3 3" xfId="5372"/>
    <cellStyle name="Финансовый 3 3 4" xfId="5373"/>
    <cellStyle name="Финансовый 3 3 4 2" xfId="23178"/>
    <cellStyle name="Финансовый 3 3 4 3" xfId="23179"/>
    <cellStyle name="Финансовый 3 3 4 4" xfId="23180"/>
    <cellStyle name="Финансовый 3 3 4 5" xfId="23181"/>
    <cellStyle name="Финансовый 3 3 5" xfId="23182"/>
    <cellStyle name="Финансовый 3 3 6" xfId="23183"/>
    <cellStyle name="Финансовый 3 3 7" xfId="23184"/>
    <cellStyle name="Финансовый 3 3 8" xfId="23185"/>
    <cellStyle name="Финансовый 3 4" xfId="5374"/>
    <cellStyle name="Финансовый 3 4 2" xfId="5375"/>
    <cellStyle name="Финансовый 3 4 2 2" xfId="5376"/>
    <cellStyle name="Финансовый 3 4 2 3" xfId="5377"/>
    <cellStyle name="Финансовый 3 4 3" xfId="5378"/>
    <cellStyle name="Финансовый 3 4 4" xfId="5379"/>
    <cellStyle name="Финансовый 3 4 4 2" xfId="23186"/>
    <cellStyle name="Финансовый 3 4 4 3" xfId="23187"/>
    <cellStyle name="Финансовый 3 4 4 4" xfId="23188"/>
    <cellStyle name="Финансовый 3 4 4 5" xfId="23189"/>
    <cellStyle name="Финансовый 3 4 5" xfId="23190"/>
    <cellStyle name="Финансовый 3 4 6" xfId="23191"/>
    <cellStyle name="Финансовый 3 4 7" xfId="23192"/>
    <cellStyle name="Финансовый 3 4 8" xfId="23193"/>
    <cellStyle name="Финансовый 3 5" xfId="5380"/>
    <cellStyle name="Финансовый 3 5 2" xfId="5381"/>
    <cellStyle name="Финансовый 3 5 2 2" xfId="5382"/>
    <cellStyle name="Финансовый 3 5 2 3" xfId="5383"/>
    <cellStyle name="Финансовый 3 5 3" xfId="5384"/>
    <cellStyle name="Финансовый 3 5 4" xfId="5385"/>
    <cellStyle name="Финансовый 3 5 4 2" xfId="23194"/>
    <cellStyle name="Финансовый 3 5 4 3" xfId="23195"/>
    <cellStyle name="Финансовый 3 5 4 4" xfId="23196"/>
    <cellStyle name="Финансовый 3 5 4 5" xfId="23197"/>
    <cellStyle name="Финансовый 3 5 5" xfId="23198"/>
    <cellStyle name="Финансовый 3 5 6" xfId="23199"/>
    <cellStyle name="Финансовый 3 5 7" xfId="23200"/>
    <cellStyle name="Финансовый 3 5 8" xfId="23201"/>
    <cellStyle name="Финансовый 3 6" xfId="5386"/>
    <cellStyle name="Финансовый 3 6 2" xfId="5387"/>
    <cellStyle name="Финансовый 3 6 2 2" xfId="5388"/>
    <cellStyle name="Финансовый 3 6 2 3" xfId="5389"/>
    <cellStyle name="Финансовый 3 6 3" xfId="5390"/>
    <cellStyle name="Финансовый 3 6 4" xfId="5391"/>
    <cellStyle name="Финансовый 3 6 4 2" xfId="23202"/>
    <cellStyle name="Финансовый 3 6 4 3" xfId="23203"/>
    <cellStyle name="Финансовый 3 6 4 4" xfId="23204"/>
    <cellStyle name="Финансовый 3 6 4 5" xfId="23205"/>
    <cellStyle name="Финансовый 3 6 5" xfId="23206"/>
    <cellStyle name="Финансовый 3 6 6" xfId="23207"/>
    <cellStyle name="Финансовый 3 6 7" xfId="23208"/>
    <cellStyle name="Финансовый 3 6 8" xfId="23209"/>
    <cellStyle name="Финансовый 3 7" xfId="5392"/>
    <cellStyle name="Финансовый 3 7 2" xfId="5393"/>
    <cellStyle name="Финансовый 3 7 2 2" xfId="5394"/>
    <cellStyle name="Финансовый 3 7 2 3" xfId="5395"/>
    <cellStyle name="Финансовый 3 7 3" xfId="5396"/>
    <cellStyle name="Финансовый 3 7 4" xfId="5397"/>
    <cellStyle name="Финансовый 3 7 4 2" xfId="23210"/>
    <cellStyle name="Финансовый 3 7 4 3" xfId="23211"/>
    <cellStyle name="Финансовый 3 7 4 4" xfId="23212"/>
    <cellStyle name="Финансовый 3 7 4 5" xfId="23213"/>
    <cellStyle name="Финансовый 3 7 5" xfId="23214"/>
    <cellStyle name="Финансовый 3 7 6" xfId="23215"/>
    <cellStyle name="Финансовый 3 7 7" xfId="23216"/>
    <cellStyle name="Финансовый 3 7 8" xfId="23217"/>
    <cellStyle name="Финансовый 3 8" xfId="5398"/>
    <cellStyle name="Финансовый 3 8 2" xfId="5399"/>
    <cellStyle name="Финансовый 3 8 2 2" xfId="5400"/>
    <cellStyle name="Финансовый 3 8 2 3" xfId="5401"/>
    <cellStyle name="Финансовый 3 8 3" xfId="5402"/>
    <cellStyle name="Финансовый 3 8 4" xfId="5403"/>
    <cellStyle name="Финансовый 3 8 4 2" xfId="23218"/>
    <cellStyle name="Финансовый 3 8 4 3" xfId="23219"/>
    <cellStyle name="Финансовый 3 8 4 4" xfId="23220"/>
    <cellStyle name="Финансовый 3 8 4 5" xfId="23221"/>
    <cellStyle name="Финансовый 3 8 5" xfId="23222"/>
    <cellStyle name="Финансовый 3 8 6" xfId="23223"/>
    <cellStyle name="Финансовый 3 8 7" xfId="23224"/>
    <cellStyle name="Финансовый 3 8 8" xfId="23225"/>
    <cellStyle name="Финансовый 3 9" xfId="5404"/>
    <cellStyle name="Финансовый 3 9 2" xfId="5405"/>
    <cellStyle name="Финансовый 3 9 2 2" xfId="5406"/>
    <cellStyle name="Финансовый 3 9 2 3" xfId="5407"/>
    <cellStyle name="Финансовый 3 9 3" xfId="5408"/>
    <cellStyle name="Финансовый 3 9 4" xfId="5409"/>
    <cellStyle name="Финансовый 3 9 4 2" xfId="23226"/>
    <cellStyle name="Финансовый 3 9 4 3" xfId="23227"/>
    <cellStyle name="Финансовый 3 9 4 4" xfId="23228"/>
    <cellStyle name="Финансовый 3 9 4 5" xfId="23229"/>
    <cellStyle name="Финансовый 3 9 5" xfId="23230"/>
    <cellStyle name="Финансовый 3 9 6" xfId="23231"/>
    <cellStyle name="Финансовый 3 9 7" xfId="23232"/>
    <cellStyle name="Финансовый 3 9 8" xfId="23233"/>
    <cellStyle name="Финансовый 4" xfId="9"/>
    <cellStyle name="Финансовый 4 2" xfId="5410"/>
    <cellStyle name="Финансовый 4 2 2" xfId="5411"/>
    <cellStyle name="Финансовый 4 2 2 2" xfId="5412"/>
    <cellStyle name="Финансовый 4 2 2 3" xfId="5413"/>
    <cellStyle name="Финансовый 4 2 3" xfId="5414"/>
    <cellStyle name="Финансовый 4 2 4" xfId="5415"/>
    <cellStyle name="Финансовый 4 3" xfId="5416"/>
    <cellStyle name="Финансовый 4 4" xfId="5417"/>
    <cellStyle name="Финансовый 4 5" xfId="5418"/>
    <cellStyle name="Финансовый 4 6" xfId="5419"/>
    <cellStyle name="Финансовый 5" xfId="5420"/>
    <cellStyle name="Финансовый 5 10" xfId="23234"/>
    <cellStyle name="Финансовый 5 11" xfId="23235"/>
    <cellStyle name="Финансовый 5 12" xfId="23236"/>
    <cellStyle name="Финансовый 5 2" xfId="5421"/>
    <cellStyle name="Финансовый 5 2 10" xfId="23237"/>
    <cellStyle name="Финансовый 5 2 11" xfId="23238"/>
    <cellStyle name="Финансовый 5 2 12" xfId="23239"/>
    <cellStyle name="Финансовый 5 2 2" xfId="5422"/>
    <cellStyle name="Финансовый 5 2 2 2" xfId="23240"/>
    <cellStyle name="Финансовый 5 2 2 3" xfId="23241"/>
    <cellStyle name="Финансовый 5 2 2 4" xfId="23242"/>
    <cellStyle name="Финансовый 5 2 2 5" xfId="23243"/>
    <cellStyle name="Финансовый 5 2 2 6" xfId="23244"/>
    <cellStyle name="Финансовый 5 2 2 7" xfId="23245"/>
    <cellStyle name="Финансовый 5 2 2 8" xfId="23246"/>
    <cellStyle name="Финансовый 5 2 2 9" xfId="23247"/>
    <cellStyle name="Финансовый 5 2 3" xfId="5423"/>
    <cellStyle name="Финансовый 5 2 3 2" xfId="23248"/>
    <cellStyle name="Финансовый 5 2 3 3" xfId="23249"/>
    <cellStyle name="Финансовый 5 2 3 4" xfId="23250"/>
    <cellStyle name="Финансовый 5 2 3 5" xfId="23251"/>
    <cellStyle name="Финансовый 5 2 3 6" xfId="23252"/>
    <cellStyle name="Финансовый 5 2 3 7" xfId="23253"/>
    <cellStyle name="Финансовый 5 2 3 8" xfId="23254"/>
    <cellStyle name="Финансовый 5 2 3 9" xfId="23255"/>
    <cellStyle name="Финансовый 5 2 4" xfId="5424"/>
    <cellStyle name="Финансовый 5 2 4 2" xfId="23256"/>
    <cellStyle name="Финансовый 5 2 4 3" xfId="23257"/>
    <cellStyle name="Финансовый 5 2 4 4" xfId="23258"/>
    <cellStyle name="Финансовый 5 2 4 5" xfId="23259"/>
    <cellStyle name="Финансовый 5 2 4 6" xfId="23260"/>
    <cellStyle name="Финансовый 5 2 4 7" xfId="23261"/>
    <cellStyle name="Финансовый 5 2 4 8" xfId="23262"/>
    <cellStyle name="Финансовый 5 2 4 9" xfId="23263"/>
    <cellStyle name="Финансовый 5 2 5" xfId="23264"/>
    <cellStyle name="Финансовый 5 2 6" xfId="23265"/>
    <cellStyle name="Финансовый 5 2 7" xfId="23266"/>
    <cellStyle name="Финансовый 5 2 8" xfId="23267"/>
    <cellStyle name="Финансовый 5 2 9" xfId="23268"/>
    <cellStyle name="Финансовый 5 3" xfId="5425"/>
    <cellStyle name="Финансовый 5 3 10" xfId="23269"/>
    <cellStyle name="Финансовый 5 3 11" xfId="23270"/>
    <cellStyle name="Финансовый 5 3 2" xfId="5426"/>
    <cellStyle name="Финансовый 5 3 2 2" xfId="23271"/>
    <cellStyle name="Финансовый 5 3 2 3" xfId="23272"/>
    <cellStyle name="Финансовый 5 3 2 4" xfId="23273"/>
    <cellStyle name="Финансовый 5 3 2 5" xfId="23274"/>
    <cellStyle name="Финансовый 5 3 2 6" xfId="23275"/>
    <cellStyle name="Финансовый 5 3 2 7" xfId="23276"/>
    <cellStyle name="Финансовый 5 3 2 8" xfId="23277"/>
    <cellStyle name="Финансовый 5 3 2 9" xfId="23278"/>
    <cellStyle name="Финансовый 5 3 3" xfId="5427"/>
    <cellStyle name="Финансовый 5 3 3 2" xfId="23279"/>
    <cellStyle name="Финансовый 5 3 3 3" xfId="23280"/>
    <cellStyle name="Финансовый 5 3 3 4" xfId="23281"/>
    <cellStyle name="Финансовый 5 3 3 5" xfId="23282"/>
    <cellStyle name="Финансовый 5 3 3 6" xfId="23283"/>
    <cellStyle name="Финансовый 5 3 3 7" xfId="23284"/>
    <cellStyle name="Финансовый 5 3 3 8" xfId="23285"/>
    <cellStyle name="Финансовый 5 3 3 9" xfId="23286"/>
    <cellStyle name="Финансовый 5 3 4" xfId="23287"/>
    <cellStyle name="Финансовый 5 3 5" xfId="23288"/>
    <cellStyle name="Финансовый 5 3 6" xfId="23289"/>
    <cellStyle name="Финансовый 5 3 7" xfId="23290"/>
    <cellStyle name="Финансовый 5 3 8" xfId="23291"/>
    <cellStyle name="Финансовый 5 3 9" xfId="23292"/>
    <cellStyle name="Финансовый 5 4" xfId="5428"/>
    <cellStyle name="Финансовый 5 4 2" xfId="23293"/>
    <cellStyle name="Финансовый 5 4 3" xfId="23294"/>
    <cellStyle name="Финансовый 5 4 4" xfId="23295"/>
    <cellStyle name="Финансовый 5 4 5" xfId="23296"/>
    <cellStyle name="Финансовый 5 4 6" xfId="23297"/>
    <cellStyle name="Финансовый 5 4 7" xfId="23298"/>
    <cellStyle name="Финансовый 5 4 8" xfId="23299"/>
    <cellStyle name="Финансовый 5 4 9" xfId="23300"/>
    <cellStyle name="Финансовый 5 5" xfId="23301"/>
    <cellStyle name="Финансовый 5 6" xfId="23302"/>
    <cellStyle name="Финансовый 5 7" xfId="23303"/>
    <cellStyle name="Финансовый 5 8" xfId="23304"/>
    <cellStyle name="Финансовый 5 9" xfId="23305"/>
    <cellStyle name="Финансовый 6" xfId="5429"/>
    <cellStyle name="Финансовый 6 10" xfId="23306"/>
    <cellStyle name="Финансовый 6 11" xfId="23307"/>
    <cellStyle name="Финансовый 6 12" xfId="23308"/>
    <cellStyle name="Финансовый 6 2" xfId="5430"/>
    <cellStyle name="Финансовый 6 2 10" xfId="23309"/>
    <cellStyle name="Финансовый 6 2 11" xfId="23310"/>
    <cellStyle name="Финансовый 6 2 12" xfId="23311"/>
    <cellStyle name="Финансовый 6 2 2" xfId="5431"/>
    <cellStyle name="Финансовый 6 2 2 2" xfId="23312"/>
    <cellStyle name="Финансовый 6 2 2 3" xfId="23313"/>
    <cellStyle name="Финансовый 6 2 2 4" xfId="23314"/>
    <cellStyle name="Финансовый 6 2 2 5" xfId="23315"/>
    <cellStyle name="Финансовый 6 2 2 6" xfId="23316"/>
    <cellStyle name="Финансовый 6 2 2 7" xfId="23317"/>
    <cellStyle name="Финансовый 6 2 2 8" xfId="23318"/>
    <cellStyle name="Финансовый 6 2 2 9" xfId="23319"/>
    <cellStyle name="Финансовый 6 2 3" xfId="5432"/>
    <cellStyle name="Финансовый 6 2 3 2" xfId="23320"/>
    <cellStyle name="Финансовый 6 2 3 3" xfId="23321"/>
    <cellStyle name="Финансовый 6 2 3 4" xfId="23322"/>
    <cellStyle name="Финансовый 6 2 3 5" xfId="23323"/>
    <cellStyle name="Финансовый 6 2 3 6" xfId="23324"/>
    <cellStyle name="Финансовый 6 2 3 7" xfId="23325"/>
    <cellStyle name="Финансовый 6 2 3 8" xfId="23326"/>
    <cellStyle name="Финансовый 6 2 3 9" xfId="23327"/>
    <cellStyle name="Финансовый 6 2 4" xfId="5433"/>
    <cellStyle name="Финансовый 6 2 4 2" xfId="23328"/>
    <cellStyle name="Финансовый 6 2 4 3" xfId="23329"/>
    <cellStyle name="Финансовый 6 2 4 4" xfId="23330"/>
    <cellStyle name="Финансовый 6 2 4 5" xfId="23331"/>
    <cellStyle name="Финансовый 6 2 4 6" xfId="23332"/>
    <cellStyle name="Финансовый 6 2 4 7" xfId="23333"/>
    <cellStyle name="Финансовый 6 2 4 8" xfId="23334"/>
    <cellStyle name="Финансовый 6 2 4 9" xfId="23335"/>
    <cellStyle name="Финансовый 6 2 5" xfId="23336"/>
    <cellStyle name="Финансовый 6 2 6" xfId="23337"/>
    <cellStyle name="Финансовый 6 2 7" xfId="23338"/>
    <cellStyle name="Финансовый 6 2 8" xfId="23339"/>
    <cellStyle name="Финансовый 6 2 9" xfId="23340"/>
    <cellStyle name="Финансовый 6 3" xfId="5434"/>
    <cellStyle name="Финансовый 6 3 10" xfId="23341"/>
    <cellStyle name="Финансовый 6 3 11" xfId="23342"/>
    <cellStyle name="Финансовый 6 3 2" xfId="5435"/>
    <cellStyle name="Финансовый 6 3 2 2" xfId="23343"/>
    <cellStyle name="Финансовый 6 3 2 3" xfId="23344"/>
    <cellStyle name="Финансовый 6 3 2 4" xfId="23345"/>
    <cellStyle name="Финансовый 6 3 2 5" xfId="23346"/>
    <cellStyle name="Финансовый 6 3 2 6" xfId="23347"/>
    <cellStyle name="Финансовый 6 3 2 7" xfId="23348"/>
    <cellStyle name="Финансовый 6 3 2 8" xfId="23349"/>
    <cellStyle name="Финансовый 6 3 2 9" xfId="23350"/>
    <cellStyle name="Финансовый 6 3 3" xfId="5436"/>
    <cellStyle name="Финансовый 6 3 3 2" xfId="23351"/>
    <cellStyle name="Финансовый 6 3 3 3" xfId="23352"/>
    <cellStyle name="Финансовый 6 3 3 4" xfId="23353"/>
    <cellStyle name="Финансовый 6 3 3 5" xfId="23354"/>
    <cellStyle name="Финансовый 6 3 3 6" xfId="23355"/>
    <cellStyle name="Финансовый 6 3 3 7" xfId="23356"/>
    <cellStyle name="Финансовый 6 3 3 8" xfId="23357"/>
    <cellStyle name="Финансовый 6 3 3 9" xfId="23358"/>
    <cellStyle name="Финансовый 6 3 4" xfId="23359"/>
    <cellStyle name="Финансовый 6 3 5" xfId="23360"/>
    <cellStyle name="Финансовый 6 3 6" xfId="23361"/>
    <cellStyle name="Финансовый 6 3 7" xfId="23362"/>
    <cellStyle name="Финансовый 6 3 8" xfId="23363"/>
    <cellStyle name="Финансовый 6 3 9" xfId="23364"/>
    <cellStyle name="Финансовый 6 4" xfId="5437"/>
    <cellStyle name="Финансовый 6 4 2" xfId="23365"/>
    <cellStyle name="Финансовый 6 4 3" xfId="23366"/>
    <cellStyle name="Финансовый 6 4 4" xfId="23367"/>
    <cellStyle name="Финансовый 6 4 5" xfId="23368"/>
    <cellStyle name="Финансовый 6 4 6" xfId="23369"/>
    <cellStyle name="Финансовый 6 4 7" xfId="23370"/>
    <cellStyle name="Финансовый 6 4 8" xfId="23371"/>
    <cellStyle name="Финансовый 6 4 9" xfId="23372"/>
    <cellStyle name="Финансовый 6 5" xfId="23373"/>
    <cellStyle name="Финансовый 6 6" xfId="23374"/>
    <cellStyle name="Финансовый 6 7" xfId="23375"/>
    <cellStyle name="Финансовый 6 8" xfId="23376"/>
    <cellStyle name="Финансовый 6 9" xfId="23377"/>
    <cellStyle name="Финансовый 7" xfId="5438"/>
    <cellStyle name="Финансовый 7 10" xfId="23378"/>
    <cellStyle name="Финансовый 7 11" xfId="23379"/>
    <cellStyle name="Финансовый 7 12" xfId="23380"/>
    <cellStyle name="Финансовый 7 2" xfId="5439"/>
    <cellStyle name="Финансовый 7 2 10" xfId="23381"/>
    <cellStyle name="Финансовый 7 2 11" xfId="23382"/>
    <cellStyle name="Финансовый 7 2 12" xfId="23383"/>
    <cellStyle name="Финансовый 7 2 2" xfId="5440"/>
    <cellStyle name="Финансовый 7 2 2 2" xfId="23384"/>
    <cellStyle name="Финансовый 7 2 2 3" xfId="23385"/>
    <cellStyle name="Финансовый 7 2 2 4" xfId="23386"/>
    <cellStyle name="Финансовый 7 2 2 5" xfId="23387"/>
    <cellStyle name="Финансовый 7 2 2 6" xfId="23388"/>
    <cellStyle name="Финансовый 7 2 2 7" xfId="23389"/>
    <cellStyle name="Финансовый 7 2 2 8" xfId="23390"/>
    <cellStyle name="Финансовый 7 2 2 9" xfId="23391"/>
    <cellStyle name="Финансовый 7 2 3" xfId="5441"/>
    <cellStyle name="Финансовый 7 2 3 2" xfId="23392"/>
    <cellStyle name="Финансовый 7 2 3 3" xfId="23393"/>
    <cellStyle name="Финансовый 7 2 3 4" xfId="23394"/>
    <cellStyle name="Финансовый 7 2 3 5" xfId="23395"/>
    <cellStyle name="Финансовый 7 2 3 6" xfId="23396"/>
    <cellStyle name="Финансовый 7 2 3 7" xfId="23397"/>
    <cellStyle name="Финансовый 7 2 3 8" xfId="23398"/>
    <cellStyle name="Финансовый 7 2 3 9" xfId="23399"/>
    <cellStyle name="Финансовый 7 2 4" xfId="5442"/>
    <cellStyle name="Финансовый 7 2 4 2" xfId="23400"/>
    <cellStyle name="Финансовый 7 2 4 3" xfId="23401"/>
    <cellStyle name="Финансовый 7 2 4 4" xfId="23402"/>
    <cellStyle name="Финансовый 7 2 4 5" xfId="23403"/>
    <cellStyle name="Финансовый 7 2 4 6" xfId="23404"/>
    <cellStyle name="Финансовый 7 2 4 7" xfId="23405"/>
    <cellStyle name="Финансовый 7 2 4 8" xfId="23406"/>
    <cellStyle name="Финансовый 7 2 4 9" xfId="23407"/>
    <cellStyle name="Финансовый 7 2 5" xfId="23408"/>
    <cellStyle name="Финансовый 7 2 6" xfId="23409"/>
    <cellStyle name="Финансовый 7 2 7" xfId="23410"/>
    <cellStyle name="Финансовый 7 2 8" xfId="23411"/>
    <cellStyle name="Финансовый 7 2 9" xfId="23412"/>
    <cellStyle name="Финансовый 7 3" xfId="5443"/>
    <cellStyle name="Финансовый 7 3 10" xfId="23413"/>
    <cellStyle name="Финансовый 7 3 11" xfId="23414"/>
    <cellStyle name="Финансовый 7 3 2" xfId="5444"/>
    <cellStyle name="Финансовый 7 3 2 2" xfId="23415"/>
    <cellStyle name="Финансовый 7 3 2 3" xfId="23416"/>
    <cellStyle name="Финансовый 7 3 2 4" xfId="23417"/>
    <cellStyle name="Финансовый 7 3 2 5" xfId="23418"/>
    <cellStyle name="Финансовый 7 3 2 6" xfId="23419"/>
    <cellStyle name="Финансовый 7 3 2 7" xfId="23420"/>
    <cellStyle name="Финансовый 7 3 2 8" xfId="23421"/>
    <cellStyle name="Финансовый 7 3 2 9" xfId="23422"/>
    <cellStyle name="Финансовый 7 3 3" xfId="5445"/>
    <cellStyle name="Финансовый 7 3 3 2" xfId="23423"/>
    <cellStyle name="Финансовый 7 3 3 3" xfId="23424"/>
    <cellStyle name="Финансовый 7 3 3 4" xfId="23425"/>
    <cellStyle name="Финансовый 7 3 3 5" xfId="23426"/>
    <cellStyle name="Финансовый 7 3 3 6" xfId="23427"/>
    <cellStyle name="Финансовый 7 3 3 7" xfId="23428"/>
    <cellStyle name="Финансовый 7 3 3 8" xfId="23429"/>
    <cellStyle name="Финансовый 7 3 3 9" xfId="23430"/>
    <cellStyle name="Финансовый 7 3 4" xfId="23431"/>
    <cellStyle name="Финансовый 7 3 5" xfId="23432"/>
    <cellStyle name="Финансовый 7 3 6" xfId="23433"/>
    <cellStyle name="Финансовый 7 3 7" xfId="23434"/>
    <cellStyle name="Финансовый 7 3 8" xfId="23435"/>
    <cellStyle name="Финансовый 7 3 9" xfId="23436"/>
    <cellStyle name="Финансовый 7 4" xfId="5446"/>
    <cellStyle name="Финансовый 7 4 2" xfId="23437"/>
    <cellStyle name="Финансовый 7 4 3" xfId="23438"/>
    <cellStyle name="Финансовый 7 4 4" xfId="23439"/>
    <cellStyle name="Финансовый 7 4 5" xfId="23440"/>
    <cellStyle name="Финансовый 7 4 6" xfId="23441"/>
    <cellStyle name="Финансовый 7 4 7" xfId="23442"/>
    <cellStyle name="Финансовый 7 4 8" xfId="23443"/>
    <cellStyle name="Финансовый 7 4 9" xfId="23444"/>
    <cellStyle name="Финансовый 7 5" xfId="23445"/>
    <cellStyle name="Финансовый 7 6" xfId="23446"/>
    <cellStyle name="Финансовый 7 7" xfId="23447"/>
    <cellStyle name="Финансовый 7 8" xfId="23448"/>
    <cellStyle name="Финансовый 7 9" xfId="23449"/>
    <cellStyle name="Финансовый 8" xfId="5447"/>
    <cellStyle name="Финансовый 8 10" xfId="23450"/>
    <cellStyle name="Финансовый 8 11" xfId="23451"/>
    <cellStyle name="Финансовый 8 12" xfId="23452"/>
    <cellStyle name="Финансовый 8 2" xfId="5448"/>
    <cellStyle name="Финансовый 8 2 10" xfId="23453"/>
    <cellStyle name="Финансовый 8 2 11" xfId="23454"/>
    <cellStyle name="Финансовый 8 2 12" xfId="23455"/>
    <cellStyle name="Финансовый 8 2 2" xfId="5449"/>
    <cellStyle name="Финансовый 8 2 2 2" xfId="23456"/>
    <cellStyle name="Финансовый 8 2 2 3" xfId="23457"/>
    <cellStyle name="Финансовый 8 2 2 4" xfId="23458"/>
    <cellStyle name="Финансовый 8 2 2 5" xfId="23459"/>
    <cellStyle name="Финансовый 8 2 2 6" xfId="23460"/>
    <cellStyle name="Финансовый 8 2 2 7" xfId="23461"/>
    <cellStyle name="Финансовый 8 2 2 8" xfId="23462"/>
    <cellStyle name="Финансовый 8 2 2 9" xfId="23463"/>
    <cellStyle name="Финансовый 8 2 3" xfId="5450"/>
    <cellStyle name="Финансовый 8 2 3 2" xfId="23464"/>
    <cellStyle name="Финансовый 8 2 3 3" xfId="23465"/>
    <cellStyle name="Финансовый 8 2 3 4" xfId="23466"/>
    <cellStyle name="Финансовый 8 2 3 5" xfId="23467"/>
    <cellStyle name="Финансовый 8 2 3 6" xfId="23468"/>
    <cellStyle name="Финансовый 8 2 3 7" xfId="23469"/>
    <cellStyle name="Финансовый 8 2 3 8" xfId="23470"/>
    <cellStyle name="Финансовый 8 2 3 9" xfId="23471"/>
    <cellStyle name="Финансовый 8 2 4" xfId="5451"/>
    <cellStyle name="Финансовый 8 2 4 2" xfId="23472"/>
    <cellStyle name="Финансовый 8 2 4 3" xfId="23473"/>
    <cellStyle name="Финансовый 8 2 4 4" xfId="23474"/>
    <cellStyle name="Финансовый 8 2 4 5" xfId="23475"/>
    <cellStyle name="Финансовый 8 2 4 6" xfId="23476"/>
    <cellStyle name="Финансовый 8 2 4 7" xfId="23477"/>
    <cellStyle name="Финансовый 8 2 4 8" xfId="23478"/>
    <cellStyle name="Финансовый 8 2 4 9" xfId="23479"/>
    <cellStyle name="Финансовый 8 2 5" xfId="23480"/>
    <cellStyle name="Финансовый 8 2 6" xfId="23481"/>
    <cellStyle name="Финансовый 8 2 7" xfId="23482"/>
    <cellStyle name="Финансовый 8 2 8" xfId="23483"/>
    <cellStyle name="Финансовый 8 2 9" xfId="23484"/>
    <cellStyle name="Финансовый 8 3" xfId="5452"/>
    <cellStyle name="Финансовый 8 3 10" xfId="23485"/>
    <cellStyle name="Финансовый 8 3 11" xfId="23486"/>
    <cellStyle name="Финансовый 8 3 2" xfId="5453"/>
    <cellStyle name="Финансовый 8 3 2 2" xfId="23487"/>
    <cellStyle name="Финансовый 8 3 2 3" xfId="23488"/>
    <cellStyle name="Финансовый 8 3 2 4" xfId="23489"/>
    <cellStyle name="Финансовый 8 3 2 5" xfId="23490"/>
    <cellStyle name="Финансовый 8 3 2 6" xfId="23491"/>
    <cellStyle name="Финансовый 8 3 2 7" xfId="23492"/>
    <cellStyle name="Финансовый 8 3 2 8" xfId="23493"/>
    <cellStyle name="Финансовый 8 3 2 9" xfId="23494"/>
    <cellStyle name="Финансовый 8 3 3" xfId="5454"/>
    <cellStyle name="Финансовый 8 3 3 2" xfId="23495"/>
    <cellStyle name="Финансовый 8 3 3 3" xfId="23496"/>
    <cellStyle name="Финансовый 8 3 3 4" xfId="23497"/>
    <cellStyle name="Финансовый 8 3 3 5" xfId="23498"/>
    <cellStyle name="Финансовый 8 3 3 6" xfId="23499"/>
    <cellStyle name="Финансовый 8 3 3 7" xfId="23500"/>
    <cellStyle name="Финансовый 8 3 3 8" xfId="23501"/>
    <cellStyle name="Финансовый 8 3 3 9" xfId="23502"/>
    <cellStyle name="Финансовый 8 3 4" xfId="23503"/>
    <cellStyle name="Финансовый 8 3 5" xfId="23504"/>
    <cellStyle name="Финансовый 8 3 6" xfId="23505"/>
    <cellStyle name="Финансовый 8 3 7" xfId="23506"/>
    <cellStyle name="Финансовый 8 3 8" xfId="23507"/>
    <cellStyle name="Финансовый 8 3 9" xfId="23508"/>
    <cellStyle name="Финансовый 8 4" xfId="5455"/>
    <cellStyle name="Финансовый 8 4 2" xfId="23509"/>
    <cellStyle name="Финансовый 8 4 3" xfId="23510"/>
    <cellStyle name="Финансовый 8 4 4" xfId="23511"/>
    <cellStyle name="Финансовый 8 4 5" xfId="23512"/>
    <cellStyle name="Финансовый 8 4 6" xfId="23513"/>
    <cellStyle name="Финансовый 8 4 7" xfId="23514"/>
    <cellStyle name="Финансовый 8 4 8" xfId="23515"/>
    <cellStyle name="Финансовый 8 4 9" xfId="23516"/>
    <cellStyle name="Финансовый 8 5" xfId="23517"/>
    <cellStyle name="Финансовый 8 6" xfId="23518"/>
    <cellStyle name="Финансовый 8 7" xfId="23519"/>
    <cellStyle name="Финансовый 8 8" xfId="23520"/>
    <cellStyle name="Финансовый 8 9" xfId="23521"/>
    <cellStyle name="Финансовый 9" xfId="5456"/>
    <cellStyle name="Финансовый 9 10" xfId="23522"/>
    <cellStyle name="Финансовый 9 11" xfId="23523"/>
    <cellStyle name="Финансовый 9 12" xfId="23524"/>
    <cellStyle name="Финансовый 9 2" xfId="5457"/>
    <cellStyle name="Финансовый 9 2 10" xfId="23525"/>
    <cellStyle name="Финансовый 9 2 11" xfId="23526"/>
    <cellStyle name="Финансовый 9 2 12" xfId="23527"/>
    <cellStyle name="Финансовый 9 2 2" xfId="5458"/>
    <cellStyle name="Финансовый 9 2 2 2" xfId="23528"/>
    <cellStyle name="Финансовый 9 2 2 3" xfId="23529"/>
    <cellStyle name="Финансовый 9 2 2 4" xfId="23530"/>
    <cellStyle name="Финансовый 9 2 2 5" xfId="23531"/>
    <cellStyle name="Финансовый 9 2 2 6" xfId="23532"/>
    <cellStyle name="Финансовый 9 2 2 7" xfId="23533"/>
    <cellStyle name="Финансовый 9 2 2 8" xfId="23534"/>
    <cellStyle name="Финансовый 9 2 2 9" xfId="23535"/>
    <cellStyle name="Финансовый 9 2 3" xfId="5459"/>
    <cellStyle name="Финансовый 9 2 3 2" xfId="23536"/>
    <cellStyle name="Финансовый 9 2 3 3" xfId="23537"/>
    <cellStyle name="Финансовый 9 2 3 4" xfId="23538"/>
    <cellStyle name="Финансовый 9 2 3 5" xfId="23539"/>
    <cellStyle name="Финансовый 9 2 3 6" xfId="23540"/>
    <cellStyle name="Финансовый 9 2 3 7" xfId="23541"/>
    <cellStyle name="Финансовый 9 2 3 8" xfId="23542"/>
    <cellStyle name="Финансовый 9 2 3 9" xfId="23543"/>
    <cellStyle name="Финансовый 9 2 4" xfId="5460"/>
    <cellStyle name="Финансовый 9 2 4 2" xfId="23544"/>
    <cellStyle name="Финансовый 9 2 4 3" xfId="23545"/>
    <cellStyle name="Финансовый 9 2 4 4" xfId="23546"/>
    <cellStyle name="Финансовый 9 2 4 5" xfId="23547"/>
    <cellStyle name="Финансовый 9 2 4 6" xfId="23548"/>
    <cellStyle name="Финансовый 9 2 4 7" xfId="23549"/>
    <cellStyle name="Финансовый 9 2 4 8" xfId="23550"/>
    <cellStyle name="Финансовый 9 2 4 9" xfId="23551"/>
    <cellStyle name="Финансовый 9 2 5" xfId="23552"/>
    <cellStyle name="Финансовый 9 2 6" xfId="23553"/>
    <cellStyle name="Финансовый 9 2 7" xfId="23554"/>
    <cellStyle name="Финансовый 9 2 8" xfId="23555"/>
    <cellStyle name="Финансовый 9 2 9" xfId="23556"/>
    <cellStyle name="Финансовый 9 3" xfId="5461"/>
    <cellStyle name="Финансовый 9 3 10" xfId="23557"/>
    <cellStyle name="Финансовый 9 3 11" xfId="23558"/>
    <cellStyle name="Финансовый 9 3 2" xfId="5462"/>
    <cellStyle name="Финансовый 9 3 2 2" xfId="23559"/>
    <cellStyle name="Финансовый 9 3 2 3" xfId="23560"/>
    <cellStyle name="Финансовый 9 3 2 4" xfId="23561"/>
    <cellStyle name="Финансовый 9 3 2 5" xfId="23562"/>
    <cellStyle name="Финансовый 9 3 2 6" xfId="23563"/>
    <cellStyle name="Финансовый 9 3 2 7" xfId="23564"/>
    <cellStyle name="Финансовый 9 3 2 8" xfId="23565"/>
    <cellStyle name="Финансовый 9 3 2 9" xfId="23566"/>
    <cellStyle name="Финансовый 9 3 3" xfId="5463"/>
    <cellStyle name="Финансовый 9 3 3 2" xfId="23567"/>
    <cellStyle name="Финансовый 9 3 3 3" xfId="23568"/>
    <cellStyle name="Финансовый 9 3 3 4" xfId="23569"/>
    <cellStyle name="Финансовый 9 3 3 5" xfId="23570"/>
    <cellStyle name="Финансовый 9 3 3 6" xfId="23571"/>
    <cellStyle name="Финансовый 9 3 3 7" xfId="23572"/>
    <cellStyle name="Финансовый 9 3 3 8" xfId="23573"/>
    <cellStyle name="Финансовый 9 3 3 9" xfId="23574"/>
    <cellStyle name="Финансовый 9 3 4" xfId="23575"/>
    <cellStyle name="Финансовый 9 3 5" xfId="23576"/>
    <cellStyle name="Финансовый 9 3 6" xfId="23577"/>
    <cellStyle name="Финансовый 9 3 7" xfId="23578"/>
    <cellStyle name="Финансовый 9 3 8" xfId="23579"/>
    <cellStyle name="Финансовый 9 3 9" xfId="23580"/>
    <cellStyle name="Финансовый 9 4" xfId="5464"/>
    <cellStyle name="Финансовый 9 4 2" xfId="23581"/>
    <cellStyle name="Финансовый 9 4 3" xfId="23582"/>
    <cellStyle name="Финансовый 9 4 4" xfId="23583"/>
    <cellStyle name="Финансовый 9 4 5" xfId="23584"/>
    <cellStyle name="Финансовый 9 4 6" xfId="23585"/>
    <cellStyle name="Финансовый 9 4 7" xfId="23586"/>
    <cellStyle name="Финансовый 9 4 8" xfId="23587"/>
    <cellStyle name="Финансовый 9 4 9" xfId="23588"/>
    <cellStyle name="Финансовый 9 5" xfId="23589"/>
    <cellStyle name="Финансовый 9 6" xfId="23590"/>
    <cellStyle name="Финансовый 9 7" xfId="23591"/>
    <cellStyle name="Финансовый 9 8" xfId="23592"/>
    <cellStyle name="Финансовый 9 9" xfId="23593"/>
    <cellStyle name="Хороший 2" xfId="5465"/>
    <cellStyle name="Хороший 2 10" xfId="5466"/>
    <cellStyle name="Хороший 2 10 2" xfId="23594"/>
    <cellStyle name="Хороший 2 10 3" xfId="23595"/>
    <cellStyle name="Хороший 2 10 4" xfId="23596"/>
    <cellStyle name="Хороший 2 10 5" xfId="23597"/>
    <cellStyle name="Хороший 2 11" xfId="23598"/>
    <cellStyle name="Хороший 2 12" xfId="23599"/>
    <cellStyle name="Хороший 2 13" xfId="23600"/>
    <cellStyle name="Хороший 2 14" xfId="23601"/>
    <cellStyle name="Хороший 2 2" xfId="5467"/>
    <cellStyle name="Хороший 2 2 2" xfId="5468"/>
    <cellStyle name="Хороший 2 2 2 2" xfId="5469"/>
    <cellStyle name="Хороший 2 2 2 2 2" xfId="23602"/>
    <cellStyle name="Хороший 2 2 2 2 3" xfId="23603"/>
    <cellStyle name="Хороший 2 2 2 2 4" xfId="23604"/>
    <cellStyle name="Хороший 2 2 2 2 5" xfId="23605"/>
    <cellStyle name="Хороший 2 2 2 2 6" xfId="23606"/>
    <cellStyle name="Хороший 2 2 2 3" xfId="5470"/>
    <cellStyle name="Хороший 2 2 2 3 2" xfId="23607"/>
    <cellStyle name="Хороший 2 2 2 3 3" xfId="23608"/>
    <cellStyle name="Хороший 2 2 2 3 4" xfId="23609"/>
    <cellStyle name="Хороший 2 2 2 3 5" xfId="23610"/>
    <cellStyle name="Хороший 2 2 2 3 6" xfId="23611"/>
    <cellStyle name="Хороший 2 2 2 4" xfId="23612"/>
    <cellStyle name="Хороший 2 2 2 5" xfId="23613"/>
    <cellStyle name="Хороший 2 2 2 6" xfId="23614"/>
    <cellStyle name="Хороший 2 2 2 7" xfId="23615"/>
    <cellStyle name="Хороший 2 2 2 8" xfId="23616"/>
    <cellStyle name="Хороший 2 2 3" xfId="5471"/>
    <cellStyle name="Хороший 2 2 3 2" xfId="23617"/>
    <cellStyle name="Хороший 2 2 3 3" xfId="23618"/>
    <cellStyle name="Хороший 2 2 3 4" xfId="23619"/>
    <cellStyle name="Хороший 2 2 3 5" xfId="23620"/>
    <cellStyle name="Хороший 2 2 3 6" xfId="23621"/>
    <cellStyle name="Хороший 2 2 4" xfId="5472"/>
    <cellStyle name="Хороший 2 2 4 2" xfId="23622"/>
    <cellStyle name="Хороший 2 2 4 3" xfId="23623"/>
    <cellStyle name="Хороший 2 2 4 4" xfId="23624"/>
    <cellStyle name="Хороший 2 2 4 5" xfId="23625"/>
    <cellStyle name="Хороший 2 2 5" xfId="23626"/>
    <cellStyle name="Хороший 2 2 6" xfId="23627"/>
    <cellStyle name="Хороший 2 2 7" xfId="23628"/>
    <cellStyle name="Хороший 2 2 8" xfId="23629"/>
    <cellStyle name="Хороший 2 3" xfId="5473"/>
    <cellStyle name="Хороший 2 3 2" xfId="5474"/>
    <cellStyle name="Хороший 2 3 2 2" xfId="5475"/>
    <cellStyle name="Хороший 2 3 2 2 2" xfId="23630"/>
    <cellStyle name="Хороший 2 3 2 2 3" xfId="23631"/>
    <cellStyle name="Хороший 2 3 2 2 4" xfId="23632"/>
    <cellStyle name="Хороший 2 3 2 2 5" xfId="23633"/>
    <cellStyle name="Хороший 2 3 2 2 6" xfId="23634"/>
    <cellStyle name="Хороший 2 3 2 3" xfId="5476"/>
    <cellStyle name="Хороший 2 3 2 3 2" xfId="23635"/>
    <cellStyle name="Хороший 2 3 2 3 3" xfId="23636"/>
    <cellStyle name="Хороший 2 3 2 3 4" xfId="23637"/>
    <cellStyle name="Хороший 2 3 2 3 5" xfId="23638"/>
    <cellStyle name="Хороший 2 3 2 3 6" xfId="23639"/>
    <cellStyle name="Хороший 2 3 2 4" xfId="23640"/>
    <cellStyle name="Хороший 2 3 2 5" xfId="23641"/>
    <cellStyle name="Хороший 2 3 2 6" xfId="23642"/>
    <cellStyle name="Хороший 2 3 2 7" xfId="23643"/>
    <cellStyle name="Хороший 2 3 2 8" xfId="23644"/>
    <cellStyle name="Хороший 2 3 3" xfId="5477"/>
    <cellStyle name="Хороший 2 3 3 2" xfId="23645"/>
    <cellStyle name="Хороший 2 3 3 3" xfId="23646"/>
    <cellStyle name="Хороший 2 3 3 4" xfId="23647"/>
    <cellStyle name="Хороший 2 3 3 5" xfId="23648"/>
    <cellStyle name="Хороший 2 3 3 6" xfId="23649"/>
    <cellStyle name="Хороший 2 3 4" xfId="5478"/>
    <cellStyle name="Хороший 2 3 4 2" xfId="23650"/>
    <cellStyle name="Хороший 2 3 4 3" xfId="23651"/>
    <cellStyle name="Хороший 2 3 4 4" xfId="23652"/>
    <cellStyle name="Хороший 2 3 4 5" xfId="23653"/>
    <cellStyle name="Хороший 2 3 5" xfId="23654"/>
    <cellStyle name="Хороший 2 3 6" xfId="23655"/>
    <cellStyle name="Хороший 2 3 7" xfId="23656"/>
    <cellStyle name="Хороший 2 3 8" xfId="23657"/>
    <cellStyle name="Хороший 2 4" xfId="5479"/>
    <cellStyle name="Хороший 2 4 2" xfId="5480"/>
    <cellStyle name="Хороший 2 4 2 2" xfId="5481"/>
    <cellStyle name="Хороший 2 4 2 2 2" xfId="23658"/>
    <cellStyle name="Хороший 2 4 2 2 3" xfId="23659"/>
    <cellStyle name="Хороший 2 4 2 2 4" xfId="23660"/>
    <cellStyle name="Хороший 2 4 2 2 5" xfId="23661"/>
    <cellStyle name="Хороший 2 4 2 2 6" xfId="23662"/>
    <cellStyle name="Хороший 2 4 2 3" xfId="5482"/>
    <cellStyle name="Хороший 2 4 2 3 2" xfId="23663"/>
    <cellStyle name="Хороший 2 4 2 3 3" xfId="23664"/>
    <cellStyle name="Хороший 2 4 2 3 4" xfId="23665"/>
    <cellStyle name="Хороший 2 4 2 3 5" xfId="23666"/>
    <cellStyle name="Хороший 2 4 2 3 6" xfId="23667"/>
    <cellStyle name="Хороший 2 4 2 4" xfId="23668"/>
    <cellStyle name="Хороший 2 4 2 5" xfId="23669"/>
    <cellStyle name="Хороший 2 4 2 6" xfId="23670"/>
    <cellStyle name="Хороший 2 4 2 7" xfId="23671"/>
    <cellStyle name="Хороший 2 4 2 8" xfId="23672"/>
    <cellStyle name="Хороший 2 4 3" xfId="5483"/>
    <cellStyle name="Хороший 2 4 3 2" xfId="23673"/>
    <cellStyle name="Хороший 2 4 3 3" xfId="23674"/>
    <cellStyle name="Хороший 2 4 3 4" xfId="23675"/>
    <cellStyle name="Хороший 2 4 3 5" xfId="23676"/>
    <cellStyle name="Хороший 2 4 3 6" xfId="23677"/>
    <cellStyle name="Хороший 2 4 4" xfId="5484"/>
    <cellStyle name="Хороший 2 4 4 2" xfId="23678"/>
    <cellStyle name="Хороший 2 4 4 3" xfId="23679"/>
    <cellStyle name="Хороший 2 4 4 4" xfId="23680"/>
    <cellStyle name="Хороший 2 4 4 5" xfId="23681"/>
    <cellStyle name="Хороший 2 4 5" xfId="23682"/>
    <cellStyle name="Хороший 2 4 6" xfId="23683"/>
    <cellStyle name="Хороший 2 4 7" xfId="23684"/>
    <cellStyle name="Хороший 2 4 8" xfId="23685"/>
    <cellStyle name="Хороший 2 5" xfId="5485"/>
    <cellStyle name="Хороший 2 5 2" xfId="5486"/>
    <cellStyle name="Хороший 2 5 2 2" xfId="5487"/>
    <cellStyle name="Хороший 2 5 2 2 2" xfId="23686"/>
    <cellStyle name="Хороший 2 5 2 2 3" xfId="23687"/>
    <cellStyle name="Хороший 2 5 2 2 4" xfId="23688"/>
    <cellStyle name="Хороший 2 5 2 2 5" xfId="23689"/>
    <cellStyle name="Хороший 2 5 2 2 6" xfId="23690"/>
    <cellStyle name="Хороший 2 5 2 3" xfId="5488"/>
    <cellStyle name="Хороший 2 5 2 3 2" xfId="23691"/>
    <cellStyle name="Хороший 2 5 2 3 3" xfId="23692"/>
    <cellStyle name="Хороший 2 5 2 3 4" xfId="23693"/>
    <cellStyle name="Хороший 2 5 2 3 5" xfId="23694"/>
    <cellStyle name="Хороший 2 5 2 3 6" xfId="23695"/>
    <cellStyle name="Хороший 2 5 2 4" xfId="23696"/>
    <cellStyle name="Хороший 2 5 2 5" xfId="23697"/>
    <cellStyle name="Хороший 2 5 2 6" xfId="23698"/>
    <cellStyle name="Хороший 2 5 2 7" xfId="23699"/>
    <cellStyle name="Хороший 2 5 2 8" xfId="23700"/>
    <cellStyle name="Хороший 2 5 3" xfId="5489"/>
    <cellStyle name="Хороший 2 5 3 2" xfId="23701"/>
    <cellStyle name="Хороший 2 5 3 3" xfId="23702"/>
    <cellStyle name="Хороший 2 5 3 4" xfId="23703"/>
    <cellStyle name="Хороший 2 5 3 5" xfId="23704"/>
    <cellStyle name="Хороший 2 5 3 6" xfId="23705"/>
    <cellStyle name="Хороший 2 5 4" xfId="5490"/>
    <cellStyle name="Хороший 2 5 4 2" xfId="23706"/>
    <cellStyle name="Хороший 2 5 4 3" xfId="23707"/>
    <cellStyle name="Хороший 2 5 4 4" xfId="23708"/>
    <cellStyle name="Хороший 2 5 4 5" xfId="23709"/>
    <cellStyle name="Хороший 2 5 5" xfId="23710"/>
    <cellStyle name="Хороший 2 5 6" xfId="23711"/>
    <cellStyle name="Хороший 2 5 7" xfId="23712"/>
    <cellStyle name="Хороший 2 5 8" xfId="23713"/>
    <cellStyle name="Хороший 2 6" xfId="5491"/>
    <cellStyle name="Хороший 2 6 2" xfId="5492"/>
    <cellStyle name="Хороший 2 6 2 2" xfId="5493"/>
    <cellStyle name="Хороший 2 6 2 2 2" xfId="23714"/>
    <cellStyle name="Хороший 2 6 2 2 3" xfId="23715"/>
    <cellStyle name="Хороший 2 6 2 2 4" xfId="23716"/>
    <cellStyle name="Хороший 2 6 2 2 5" xfId="23717"/>
    <cellStyle name="Хороший 2 6 2 2 6" xfId="23718"/>
    <cellStyle name="Хороший 2 6 2 3" xfId="5494"/>
    <cellStyle name="Хороший 2 6 2 3 2" xfId="23719"/>
    <cellStyle name="Хороший 2 6 2 3 3" xfId="23720"/>
    <cellStyle name="Хороший 2 6 2 3 4" xfId="23721"/>
    <cellStyle name="Хороший 2 6 2 3 5" xfId="23722"/>
    <cellStyle name="Хороший 2 6 2 3 6" xfId="23723"/>
    <cellStyle name="Хороший 2 6 2 4" xfId="23724"/>
    <cellStyle name="Хороший 2 6 2 5" xfId="23725"/>
    <cellStyle name="Хороший 2 6 2 6" xfId="23726"/>
    <cellStyle name="Хороший 2 6 2 7" xfId="23727"/>
    <cellStyle name="Хороший 2 6 2 8" xfId="23728"/>
    <cellStyle name="Хороший 2 6 3" xfId="5495"/>
    <cellStyle name="Хороший 2 6 3 2" xfId="23729"/>
    <cellStyle name="Хороший 2 6 3 3" xfId="23730"/>
    <cellStyle name="Хороший 2 6 3 4" xfId="23731"/>
    <cellStyle name="Хороший 2 6 3 5" xfId="23732"/>
    <cellStyle name="Хороший 2 6 3 6" xfId="23733"/>
    <cellStyle name="Хороший 2 6 4" xfId="5496"/>
    <cellStyle name="Хороший 2 6 4 2" xfId="23734"/>
    <cellStyle name="Хороший 2 6 4 3" xfId="23735"/>
    <cellStyle name="Хороший 2 6 4 4" xfId="23736"/>
    <cellStyle name="Хороший 2 6 4 5" xfId="23737"/>
    <cellStyle name="Хороший 2 6 5" xfId="23738"/>
    <cellStyle name="Хороший 2 6 6" xfId="23739"/>
    <cellStyle name="Хороший 2 6 7" xfId="23740"/>
    <cellStyle name="Хороший 2 6 8" xfId="23741"/>
    <cellStyle name="Хороший 2 7" xfId="5497"/>
    <cellStyle name="Хороший 2 7 2" xfId="5498"/>
    <cellStyle name="Хороший 2 7 2 2" xfId="5499"/>
    <cellStyle name="Хороший 2 7 2 3" xfId="5500"/>
    <cellStyle name="Хороший 2 7 3" xfId="5501"/>
    <cellStyle name="Хороший 2 7 4" xfId="5502"/>
    <cellStyle name="Хороший 2 7 4 2" xfId="23742"/>
    <cellStyle name="Хороший 2 7 4 3" xfId="23743"/>
    <cellStyle name="Хороший 2 7 4 4" xfId="23744"/>
    <cellStyle name="Хороший 2 7 4 5" xfId="23745"/>
    <cellStyle name="Хороший 2 7 5" xfId="23746"/>
    <cellStyle name="Хороший 2 7 6" xfId="23747"/>
    <cellStyle name="Хороший 2 7 7" xfId="23748"/>
    <cellStyle name="Хороший 2 7 8" xfId="23749"/>
    <cellStyle name="Хороший 2 8" xfId="5503"/>
    <cellStyle name="Хороший 2 8 2" xfId="5504"/>
    <cellStyle name="Хороший 2 8 2 2" xfId="23750"/>
    <cellStyle name="Хороший 2 8 2 3" xfId="23751"/>
    <cellStyle name="Хороший 2 8 2 4" xfId="23752"/>
    <cellStyle name="Хороший 2 8 2 5" xfId="23753"/>
    <cellStyle name="Хороший 2 8 2 6" xfId="23754"/>
    <cellStyle name="Хороший 2 8 3" xfId="5505"/>
    <cellStyle name="Хороший 2 8 3 2" xfId="23755"/>
    <cellStyle name="Хороший 2 8 3 3" xfId="23756"/>
    <cellStyle name="Хороший 2 8 3 4" xfId="23757"/>
    <cellStyle name="Хороший 2 8 3 5" xfId="23758"/>
    <cellStyle name="Хороший 2 8 3 6" xfId="23759"/>
    <cellStyle name="Хороший 2 8 4" xfId="23760"/>
    <cellStyle name="Хороший 2 8 5" xfId="23761"/>
    <cellStyle name="Хороший 2 8 6" xfId="23762"/>
    <cellStyle name="Хороший 2 8 7" xfId="23763"/>
    <cellStyle name="Хороший 2 8 8" xfId="23764"/>
    <cellStyle name="Хороший 2 9" xfId="5506"/>
    <cellStyle name="Хороший 2 9 2" xfId="23765"/>
    <cellStyle name="Хороший 2 9 3" xfId="23766"/>
    <cellStyle name="Хороший 2 9 4" xfId="23767"/>
    <cellStyle name="Хороший 2 9 5" xfId="23768"/>
    <cellStyle name="Хороший 2 9 6" xfId="23769"/>
    <cellStyle name="Хороший 3" xfId="5507"/>
    <cellStyle name="Хороший 3 2" xfId="5508"/>
    <cellStyle name="Хороший 3 2 2" xfId="5509"/>
    <cellStyle name="Хороший 3 2 2 2" xfId="23770"/>
    <cellStyle name="Хороший 3 2 2 3" xfId="23771"/>
    <cellStyle name="Хороший 3 2 2 4" xfId="23772"/>
    <cellStyle name="Хороший 3 2 2 5" xfId="23773"/>
    <cellStyle name="Хороший 3 2 2 6" xfId="23774"/>
    <cellStyle name="Хороший 3 2 3" xfId="5510"/>
    <cellStyle name="Хороший 3 2 3 2" xfId="23775"/>
    <cellStyle name="Хороший 3 2 3 3" xfId="23776"/>
    <cellStyle name="Хороший 3 2 3 4" xfId="23777"/>
    <cellStyle name="Хороший 3 2 3 5" xfId="23778"/>
    <cellStyle name="Хороший 3 2 3 6" xfId="23779"/>
    <cellStyle name="Хороший 3 2 4" xfId="23780"/>
    <cellStyle name="Хороший 3 2 5" xfId="23781"/>
    <cellStyle name="Хороший 3 2 6" xfId="23782"/>
    <cellStyle name="Хороший 3 2 7" xfId="23783"/>
    <cellStyle name="Хороший 3 2 8" xfId="23784"/>
    <cellStyle name="Хороший 3 3" xfId="5511"/>
    <cellStyle name="Хороший 3 3 2" xfId="23785"/>
    <cellStyle name="Хороший 3 3 3" xfId="23786"/>
    <cellStyle name="Хороший 3 3 4" xfId="23787"/>
    <cellStyle name="Хороший 3 3 5" xfId="23788"/>
    <cellStyle name="Хороший 3 3 6" xfId="23789"/>
    <cellStyle name="Хороший 3 4" xfId="5512"/>
    <cellStyle name="Хороший 3 4 2" xfId="23790"/>
    <cellStyle name="Хороший 3 4 3" xfId="23791"/>
    <cellStyle name="Хороший 3 4 4" xfId="23792"/>
    <cellStyle name="Хороший 3 4 5" xfId="23793"/>
    <cellStyle name="Хороший 3 5" xfId="23794"/>
    <cellStyle name="Хороший 3 6" xfId="23795"/>
    <cellStyle name="Хороший 3 7" xfId="23796"/>
    <cellStyle name="Хороший 3 8" xfId="23797"/>
    <cellStyle name="Хороший 4" xfId="5513"/>
    <cellStyle name="Хороший 4 2" xfId="5514"/>
    <cellStyle name="Хороший 4 2 2" xfId="5515"/>
    <cellStyle name="Хороший 4 2 2 2" xfId="23798"/>
    <cellStyle name="Хороший 4 2 2 3" xfId="23799"/>
    <cellStyle name="Хороший 4 2 2 4" xfId="23800"/>
    <cellStyle name="Хороший 4 2 2 5" xfId="23801"/>
    <cellStyle name="Хороший 4 2 2 6" xfId="23802"/>
    <cellStyle name="Хороший 4 2 3" xfId="5516"/>
    <cellStyle name="Хороший 4 2 3 2" xfId="23803"/>
    <cellStyle name="Хороший 4 2 3 3" xfId="23804"/>
    <cellStyle name="Хороший 4 2 3 4" xfId="23805"/>
    <cellStyle name="Хороший 4 2 3 5" xfId="23806"/>
    <cellStyle name="Хороший 4 2 3 6" xfId="23807"/>
    <cellStyle name="Хороший 4 2 4" xfId="23808"/>
    <cellStyle name="Хороший 4 2 5" xfId="23809"/>
    <cellStyle name="Хороший 4 2 6" xfId="23810"/>
    <cellStyle name="Хороший 4 2 7" xfId="23811"/>
    <cellStyle name="Хороший 4 2 8" xfId="23812"/>
    <cellStyle name="Хороший 4 3" xfId="5517"/>
    <cellStyle name="Хороший 4 3 2" xfId="23813"/>
    <cellStyle name="Хороший 4 3 3" xfId="23814"/>
    <cellStyle name="Хороший 4 3 4" xfId="23815"/>
    <cellStyle name="Хороший 4 3 5" xfId="23816"/>
    <cellStyle name="Хороший 4 3 6" xfId="23817"/>
    <cellStyle name="Хороший 4 4" xfId="5518"/>
    <cellStyle name="Хороший 4 4 2" xfId="23818"/>
    <cellStyle name="Хороший 4 4 3" xfId="23819"/>
    <cellStyle name="Хороший 4 4 4" xfId="23820"/>
    <cellStyle name="Хороший 4 4 5" xfId="23821"/>
    <cellStyle name="Хороший 4 5" xfId="23822"/>
    <cellStyle name="Хороший 4 6" xfId="23823"/>
    <cellStyle name="Хороший 4 7" xfId="23824"/>
    <cellStyle name="Хороший 4 8" xfId="23825"/>
    <cellStyle name="Хороший 5" xfId="5519"/>
    <cellStyle name="Хороший 5 2" xfId="5520"/>
    <cellStyle name="Хороший 5 2 2" xfId="5521"/>
    <cellStyle name="Хороший 5 2 2 2" xfId="23826"/>
    <cellStyle name="Хороший 5 2 2 3" xfId="23827"/>
    <cellStyle name="Хороший 5 2 2 4" xfId="23828"/>
    <cellStyle name="Хороший 5 2 2 5" xfId="23829"/>
    <cellStyle name="Хороший 5 2 2 6" xfId="23830"/>
    <cellStyle name="Хороший 5 2 3" xfId="5522"/>
    <cellStyle name="Хороший 5 2 3 2" xfId="23831"/>
    <cellStyle name="Хороший 5 2 3 3" xfId="23832"/>
    <cellStyle name="Хороший 5 2 3 4" xfId="23833"/>
    <cellStyle name="Хороший 5 2 3 5" xfId="23834"/>
    <cellStyle name="Хороший 5 2 3 6" xfId="23835"/>
    <cellStyle name="Хороший 5 2 4" xfId="23836"/>
    <cellStyle name="Хороший 5 2 5" xfId="23837"/>
    <cellStyle name="Хороший 5 2 6" xfId="23838"/>
    <cellStyle name="Хороший 5 2 7" xfId="23839"/>
    <cellStyle name="Хороший 5 2 8" xfId="23840"/>
    <cellStyle name="Хороший 5 3" xfId="5523"/>
    <cellStyle name="Хороший 5 3 2" xfId="23841"/>
    <cellStyle name="Хороший 5 3 3" xfId="23842"/>
    <cellStyle name="Хороший 5 3 4" xfId="23843"/>
    <cellStyle name="Хороший 5 3 5" xfId="23844"/>
    <cellStyle name="Хороший 5 3 6" xfId="23845"/>
    <cellStyle name="Хороший 5 4" xfId="5524"/>
    <cellStyle name="Хороший 5 4 2" xfId="23846"/>
    <cellStyle name="Хороший 5 4 3" xfId="23847"/>
    <cellStyle name="Хороший 5 4 4" xfId="23848"/>
    <cellStyle name="Хороший 5 4 5" xfId="23849"/>
    <cellStyle name="Хороший 5 5" xfId="23850"/>
    <cellStyle name="Хороший 5 6" xfId="23851"/>
    <cellStyle name="Хороший 5 7" xfId="23852"/>
    <cellStyle name="Хороший 5 8" xfId="23853"/>
  </cellStyles>
  <dxfs count="1">
    <dxf>
      <fill>
        <patternFill patternType="solid">
          <fgColor rgb="FFFFFF00"/>
          <bgColor rgb="FF000000"/>
        </patternFill>
      </fill>
    </dxf>
  </dxfs>
  <tableStyles count="0" defaultTableStyle="TableStyleMedium2" defaultPivotStyle="PivotStyleLight16"/>
  <colors>
    <mruColors>
      <color rgb="FFFF0066"/>
      <color rgb="FFFFCCFF"/>
      <color rgb="FFCC00FF"/>
      <color rgb="FFF99425"/>
      <color rgb="FFB3A3F5"/>
      <color rgb="FFCC66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3</xdr:col>
      <xdr:colOff>177800</xdr:colOff>
      <xdr:row>7</xdr:row>
      <xdr:rowOff>362744</xdr:rowOff>
    </xdr:from>
    <xdr:to>
      <xdr:col>3</xdr:col>
      <xdr:colOff>406400</xdr:colOff>
      <xdr:row>7</xdr:row>
      <xdr:rowOff>572294</xdr:rowOff>
    </xdr:to>
    <xdr:cxnSp macro="">
      <xdr:nvCxnSpPr>
        <xdr:cNvPr id="2" name="Прямая со стрелкой 1"/>
        <xdr:cNvCxnSpPr/>
      </xdr:nvCxnSpPr>
      <xdr:spPr>
        <a:xfrm flipV="1">
          <a:off x="2749550" y="2667794"/>
          <a:ext cx="228600" cy="2095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180975</xdr:colOff>
      <xdr:row>8</xdr:row>
      <xdr:rowOff>193145</xdr:rowOff>
    </xdr:from>
    <xdr:to>
      <xdr:col>3</xdr:col>
      <xdr:colOff>456142</xdr:colOff>
      <xdr:row>8</xdr:row>
      <xdr:rowOff>388726</xdr:rowOff>
    </xdr:to>
    <xdr:cxnSp macro="">
      <xdr:nvCxnSpPr>
        <xdr:cNvPr id="3" name="Прямая со стрелкой 2"/>
        <xdr:cNvCxnSpPr/>
      </xdr:nvCxnSpPr>
      <xdr:spPr>
        <a:xfrm flipV="1">
          <a:off x="2752725" y="3450695"/>
          <a:ext cx="275167" cy="19558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188912</xdr:colOff>
      <xdr:row>11</xdr:row>
      <xdr:rowOff>568325</xdr:rowOff>
    </xdr:from>
    <xdr:to>
      <xdr:col>3</xdr:col>
      <xdr:colOff>417512</xdr:colOff>
      <xdr:row>11</xdr:row>
      <xdr:rowOff>815975</xdr:rowOff>
    </xdr:to>
    <xdr:cxnSp macro="">
      <xdr:nvCxnSpPr>
        <xdr:cNvPr id="4" name="Прямая со стрелкой 3"/>
        <xdr:cNvCxnSpPr/>
      </xdr:nvCxnSpPr>
      <xdr:spPr>
        <a:xfrm flipV="1">
          <a:off x="2760662" y="5702300"/>
          <a:ext cx="228600" cy="2476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188913</xdr:colOff>
      <xdr:row>12</xdr:row>
      <xdr:rowOff>584200</xdr:rowOff>
    </xdr:from>
    <xdr:to>
      <xdr:col>3</xdr:col>
      <xdr:colOff>417513</xdr:colOff>
      <xdr:row>12</xdr:row>
      <xdr:rowOff>831850</xdr:rowOff>
    </xdr:to>
    <xdr:cxnSp macro="">
      <xdr:nvCxnSpPr>
        <xdr:cNvPr id="5" name="Прямая со стрелкой 4"/>
        <xdr:cNvCxnSpPr/>
      </xdr:nvCxnSpPr>
      <xdr:spPr>
        <a:xfrm flipV="1">
          <a:off x="2760663" y="7204075"/>
          <a:ext cx="228600" cy="2476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190500</xdr:colOff>
      <xdr:row>17</xdr:row>
      <xdr:rowOff>323850</xdr:rowOff>
    </xdr:from>
    <xdr:to>
      <xdr:col>3</xdr:col>
      <xdr:colOff>419100</xdr:colOff>
      <xdr:row>17</xdr:row>
      <xdr:rowOff>571500</xdr:rowOff>
    </xdr:to>
    <xdr:cxnSp macro="">
      <xdr:nvCxnSpPr>
        <xdr:cNvPr id="6" name="Прямая со стрелкой 5"/>
        <xdr:cNvCxnSpPr/>
      </xdr:nvCxnSpPr>
      <xdr:spPr>
        <a:xfrm flipV="1">
          <a:off x="2762250" y="9763125"/>
          <a:ext cx="228600" cy="2476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236537</xdr:colOff>
      <xdr:row>22</xdr:row>
      <xdr:rowOff>371475</xdr:rowOff>
    </xdr:from>
    <xdr:to>
      <xdr:col>3</xdr:col>
      <xdr:colOff>465137</xdr:colOff>
      <xdr:row>22</xdr:row>
      <xdr:rowOff>476250</xdr:rowOff>
    </xdr:to>
    <xdr:cxnSp macro="">
      <xdr:nvCxnSpPr>
        <xdr:cNvPr id="7" name="Прямая со стрелкой 6"/>
        <xdr:cNvCxnSpPr/>
      </xdr:nvCxnSpPr>
      <xdr:spPr>
        <a:xfrm flipV="1">
          <a:off x="2808287" y="14963775"/>
          <a:ext cx="228600" cy="1047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209550</xdr:colOff>
      <xdr:row>24</xdr:row>
      <xdr:rowOff>219075</xdr:rowOff>
    </xdr:from>
    <xdr:to>
      <xdr:col>3</xdr:col>
      <xdr:colOff>457200</xdr:colOff>
      <xdr:row>24</xdr:row>
      <xdr:rowOff>400050</xdr:rowOff>
    </xdr:to>
    <xdr:cxnSp macro="">
      <xdr:nvCxnSpPr>
        <xdr:cNvPr id="8" name="Прямая со стрелкой 7"/>
        <xdr:cNvCxnSpPr/>
      </xdr:nvCxnSpPr>
      <xdr:spPr>
        <a:xfrm flipV="1">
          <a:off x="2781300" y="16135350"/>
          <a:ext cx="247650" cy="180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179916</xdr:colOff>
      <xdr:row>15</xdr:row>
      <xdr:rowOff>465667</xdr:rowOff>
    </xdr:from>
    <xdr:to>
      <xdr:col>3</xdr:col>
      <xdr:colOff>433917</xdr:colOff>
      <xdr:row>15</xdr:row>
      <xdr:rowOff>690034</xdr:rowOff>
    </xdr:to>
    <xdr:cxnSp macro="">
      <xdr:nvCxnSpPr>
        <xdr:cNvPr id="9" name="Прямая со стрелкой 8"/>
        <xdr:cNvCxnSpPr/>
      </xdr:nvCxnSpPr>
      <xdr:spPr>
        <a:xfrm flipV="1">
          <a:off x="2751666" y="8561917"/>
          <a:ext cx="254001" cy="22436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236537</xdr:colOff>
      <xdr:row>23</xdr:row>
      <xdr:rowOff>371475</xdr:rowOff>
    </xdr:from>
    <xdr:to>
      <xdr:col>3</xdr:col>
      <xdr:colOff>465137</xdr:colOff>
      <xdr:row>23</xdr:row>
      <xdr:rowOff>476250</xdr:rowOff>
    </xdr:to>
    <xdr:cxnSp macro="">
      <xdr:nvCxnSpPr>
        <xdr:cNvPr id="10" name="Прямая со стрелкой 9"/>
        <xdr:cNvCxnSpPr/>
      </xdr:nvCxnSpPr>
      <xdr:spPr>
        <a:xfrm flipV="1">
          <a:off x="2808287" y="15716250"/>
          <a:ext cx="228600" cy="1047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188912</xdr:colOff>
      <xdr:row>10</xdr:row>
      <xdr:rowOff>568325</xdr:rowOff>
    </xdr:from>
    <xdr:to>
      <xdr:col>3</xdr:col>
      <xdr:colOff>417512</xdr:colOff>
      <xdr:row>10</xdr:row>
      <xdr:rowOff>815975</xdr:rowOff>
    </xdr:to>
    <xdr:cxnSp macro="">
      <xdr:nvCxnSpPr>
        <xdr:cNvPr id="13" name="Прямая со стрелкой 12"/>
        <xdr:cNvCxnSpPr/>
      </xdr:nvCxnSpPr>
      <xdr:spPr>
        <a:xfrm flipV="1">
          <a:off x="2760662" y="4445000"/>
          <a:ext cx="228600" cy="2476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188913</xdr:colOff>
      <xdr:row>13</xdr:row>
      <xdr:rowOff>584200</xdr:rowOff>
    </xdr:from>
    <xdr:to>
      <xdr:col>3</xdr:col>
      <xdr:colOff>417513</xdr:colOff>
      <xdr:row>13</xdr:row>
      <xdr:rowOff>831850</xdr:rowOff>
    </xdr:to>
    <xdr:cxnSp macro="">
      <xdr:nvCxnSpPr>
        <xdr:cNvPr id="14" name="Прямая со стрелкой 13"/>
        <xdr:cNvCxnSpPr/>
      </xdr:nvCxnSpPr>
      <xdr:spPr>
        <a:xfrm flipV="1">
          <a:off x="2771246" y="7219950"/>
          <a:ext cx="228600" cy="2476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179916</xdr:colOff>
      <xdr:row>14</xdr:row>
      <xdr:rowOff>465667</xdr:rowOff>
    </xdr:from>
    <xdr:to>
      <xdr:col>3</xdr:col>
      <xdr:colOff>433917</xdr:colOff>
      <xdr:row>14</xdr:row>
      <xdr:rowOff>690034</xdr:rowOff>
    </xdr:to>
    <xdr:cxnSp macro="">
      <xdr:nvCxnSpPr>
        <xdr:cNvPr id="15" name="Прямая со стрелкой 14"/>
        <xdr:cNvCxnSpPr/>
      </xdr:nvCxnSpPr>
      <xdr:spPr>
        <a:xfrm flipV="1">
          <a:off x="2762249" y="10953750"/>
          <a:ext cx="254001" cy="22436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ubyshkina\AppData\Local\Microsoft\Windows\Temporary%20Internet%20Files\Content.Outlook\H9ARWQ4O\9-2\&#1055;&#1051;&#1040;&#1053;%2018-2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1073;&#1086;&#1075;&#1076;&#1072;&#1085;&#1086;&#1074;\&#1043;&#1054;&#1057;&#1055;&#1056;&#1054;&#1043;&#1056;&#1040;&#1052;&#1052;&#1040;\8-2017\8-5%20&#1086;&#1089;&#1077;&#1085;&#1085;&#1103;&#1103;%20&#1082;&#1086;&#1088;&#1088;&#1077;&#1082;&#1090;\&#1055;&#1051;&#1040;&#1053;%2016-17-18-19-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semenovaes\AppData\Local\Microsoft\Windows\Temporary%20Internet%20Files\Content.Outlook\UM0GR49T\&#1054;&#1058;_&#1052;&#1048;&#1053;&#1057;&#1058;&#1056;&#1054;&#1071;_&#1048;&#1058;&#1054;&#1043;_&#1054;&#1090;&#1095;&#1077;&#1090;_&#1087;&#1086;_&#1043;&#1055;_&#1060;&#1080;&#1079;&#1080;&#1095;&#1077;&#1089;&#1082;&#1072;&#1103;_&#1082;&#1091;&#1083;&#1100;&#1090;&#1091;&#1088;&#1072;_&#1080;_&#1089;&#1087;&#1086;&#1088;&#1090;_&#1079;&#1072;_9_&#1084;&#1077;&#1089;&#1103;&#1094;&#1077;&#1074;_2023_&#1075;&#1086;&#1076;&#1072;_.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ub/User/IOGV11/Public/&#1043;&#1054;&#1057;&#1059;&#1044;&#1040;&#1056;&#1057;&#1058;&#1042;&#1045;&#1053;&#1053;&#1040;&#1071;%20&#1055;&#1056;&#1054;&#1043;&#1056;&#1040;&#1052;&#1052;&#1040;/36)%20962-&#1055;&#1055;%20&#1086;&#1090;%2012.12.2023_&#1055;&#1077;&#1085;&#1089;&#1102;&#1082;&#1080;_&#1040;&#1053;&#1054;%20&#1047;&#1055;/!_&#1055;&#1083;&#1072;&#1085;%20&#1088;&#1077;&#1072;&#1083;&#1080;&#1079;&#1072;&#1094;&#1080;&#1080;%20&#1043;&#1055;_7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bogdanov\&#1056;&#1072;&#1073;&#1086;&#1095;&#1080;&#1081;%20&#1089;&#1090;&#1086;&#1083;\&#1043;&#1054;&#1057;&#1055;&#1056;&#1054;&#1043;&#1056;&#1040;&#1052;&#1052;&#1040;\6-2015\6-3%20&#1048;&#1079;&#1084;&#1077;&#1085;&#1077;&#1085;&#1080;&#1103;%20&#1074;%20&#1055;&#1051;&#1040;&#1053;%20&#1087;&#1086;%20&#1075;&#1086;&#1089;&#1079;&#1072;&#1076;&#1072;&#1085;&#1080;&#1102;\&#1055;&#1051;&#1040;&#1053;%20&#1087;&#1088;14%206-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1073;&#1086;&#1075;&#1076;&#1072;&#1085;&#1086;&#1074;\&#1043;&#1054;&#1057;&#1055;&#1056;&#1054;&#1043;&#1056;&#1040;&#1052;&#1052;&#1040;\6-2015\6-6%20&#1056;&#1086;&#1089;&#1083;&#1103;&#1082;&#1086;&#1074;&#1086;\&#1055;&#1051;&#1040;&#1053;%20&#1087;&#1088;14%2015-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opasova\AppData\Local\Microsoft\Windows\INetCache\Content.Outlook\JKESLFBU\9-2\&#1055;&#1051;&#1040;&#1053;%2018-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1073;&#1086;&#1075;&#1076;&#1072;&#1085;&#1086;&#1074;\&#1043;&#1054;&#1057;&#1055;&#1056;&#1054;&#1043;&#1056;&#1040;&#1052;&#1052;&#1040;\6-2015\6-3%20&#1048;&#1079;&#1084;&#1077;&#1085;&#1077;&#1085;&#1080;&#1103;%20&#1074;%20&#1055;&#1051;&#1040;&#1053;%20&#1087;&#1086;%20&#1075;&#1086;&#1089;&#1079;&#1072;&#1076;&#1072;&#1085;&#1080;&#1102;\&#1055;&#1051;&#1040;&#1053;%20&#1087;&#1088;14%206-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1073;&#1086;&#1075;&#1076;&#1072;&#1085;&#1086;&#1074;\&#1043;&#1054;&#1057;&#1055;&#1056;&#1054;&#1043;&#1056;&#1040;&#1052;&#1052;&#1040;\9-2018\9-5\&#1055;&#1083;&#1072;&#1085;%2018-2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prozherina\Desktop\&#1056;&#1077;&#1075;&#1080;&#1085;&#1072;%20&#1089;&#1087;&#1086;&#1088;&#1090;&#1082;&#1086;&#1084;&#1080;&#1090;&#1077;&#1090;\&#1092;&#1080;&#1085;&#1072;&#1085;&#1089;&#1086;&#1074;&#1099;&#1077;%20&#1086;&#1090;&#1095;&#1077;&#1090;&#1099;%20&#1087;&#1086;%20&#1075;&#1086;&#1089;&#1087;&#1088;&#1086;&#1075;&#1088;&#1072;&#1084;&#1084;&#1072;&#1084;\2020\&#1075;&#1086;&#1089;&#1087;&#1088;&#1086;&#1075;&#1088;&#1072;&#1084;&#1084;&#1072;%20&#1080;&#1102;&#1085;&#1100;\&#1055;&#1083;&#1072;&#1085;%20&#1056;&#1077;&#1072;&#1083;&#1080;&#1079;&#1072;&#1094;&#1080;&#1080;%20&#1043;&#1055;%202019-20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pashintseva\AppData\Local\Microsoft\Windows\INetCache\Content.Outlook\NY54PSDD\&#1054;&#1090;&#1095;&#1077;&#1090;%20&#1087;&#1086;%20&#1043;&#1055;_&#1052;&#1048;&#1053;&#1057;&#1058;&#1056;&#1054;&#104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bogdanov\AppData\Local\Microsoft\Windows\INetCache\Content.Outlook\HE5YG0E1\&#1048;&#1089;&#1087;&#1086;&#1083;&#1085;&#1077;&#1085;&#1080;&#1077;%20&#1085;&#1072;%2001%2007%202020%20&#1087;&#1086;%20&#1054;&#1050;&#1057;%20&#1084;&#1091;&#1085;&#1080;&#10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ОМ"/>
      <sheetName val="План"/>
      <sheetName val="16-18"/>
      <sheetName val="4. ОКС"/>
      <sheetName val="5. Фин уч"/>
      <sheetName val="c учетом УС"/>
      <sheetName val="8 План16-19 (2)"/>
      <sheetName val=" 3.ОМ 16-19"/>
      <sheetName val="Изменения 2017 Минфин"/>
      <sheetName val="Справка ОКС"/>
      <sheetName val="8 План18-20-1"/>
      <sheetName val="8 План18-20-2"/>
      <sheetName val="10а. Спр пок "/>
      <sheetName val="10б. Справка"/>
      <sheetName val="Сводная"/>
      <sheetName val="10в Справка ОКС"/>
      <sheetName val="8 План16-20"/>
      <sheetName val="10в. Спр ОКС"/>
      <sheetName val="4. ОКС 16-19-3"/>
      <sheetName val="Пр8 16-19 (2)"/>
    </sheetNames>
    <sheetDataSet>
      <sheetData sheetId="0"/>
      <sheetData sheetId="1">
        <row r="128">
          <cell r="G128">
            <v>0</v>
          </cell>
          <cell r="H128">
            <v>0</v>
          </cell>
          <cell r="I128">
            <v>0</v>
          </cell>
        </row>
        <row r="129">
          <cell r="G129">
            <v>0</v>
          </cell>
          <cell r="H129">
            <v>0</v>
          </cell>
          <cell r="I129">
            <v>0</v>
          </cell>
        </row>
        <row r="130">
          <cell r="G130">
            <v>0</v>
          </cell>
          <cell r="H130">
            <v>0</v>
          </cell>
          <cell r="I130">
            <v>0</v>
          </cell>
        </row>
        <row r="131">
          <cell r="G131">
            <v>0</v>
          </cell>
          <cell r="H131">
            <v>0</v>
          </cell>
          <cell r="I131">
            <v>0</v>
          </cell>
        </row>
        <row r="132">
          <cell r="G132">
            <v>0</v>
          </cell>
          <cell r="H132">
            <v>0</v>
          </cell>
          <cell r="I132">
            <v>0</v>
          </cell>
        </row>
        <row r="136">
          <cell r="G136">
            <v>0</v>
          </cell>
          <cell r="H136">
            <v>0</v>
          </cell>
          <cell r="I136">
            <v>0</v>
          </cell>
        </row>
        <row r="137">
          <cell r="G137">
            <v>0</v>
          </cell>
          <cell r="H137">
            <v>0</v>
          </cell>
          <cell r="I137">
            <v>0</v>
          </cell>
        </row>
        <row r="138">
          <cell r="G138">
            <v>0</v>
          </cell>
          <cell r="H138">
            <v>0</v>
          </cell>
          <cell r="I138">
            <v>0</v>
          </cell>
        </row>
        <row r="139">
          <cell r="G139">
            <v>0</v>
          </cell>
          <cell r="H139">
            <v>0</v>
          </cell>
          <cell r="I139">
            <v>0</v>
          </cell>
        </row>
        <row r="140">
          <cell r="G140">
            <v>0</v>
          </cell>
          <cell r="H140">
            <v>0</v>
          </cell>
          <cell r="I140">
            <v>0</v>
          </cell>
        </row>
        <row r="176">
          <cell r="G176">
            <v>0</v>
          </cell>
          <cell r="H176">
            <v>0</v>
          </cell>
          <cell r="I176">
            <v>0</v>
          </cell>
        </row>
        <row r="177">
          <cell r="G177">
            <v>0</v>
          </cell>
          <cell r="H177">
            <v>0</v>
          </cell>
          <cell r="I177">
            <v>0</v>
          </cell>
        </row>
        <row r="178">
          <cell r="G178">
            <v>0</v>
          </cell>
          <cell r="H178">
            <v>0</v>
          </cell>
          <cell r="I178">
            <v>0</v>
          </cell>
        </row>
        <row r="179">
          <cell r="G179">
            <v>0</v>
          </cell>
          <cell r="H179">
            <v>0</v>
          </cell>
          <cell r="I179">
            <v>0</v>
          </cell>
        </row>
        <row r="180">
          <cell r="G180">
            <v>0</v>
          </cell>
          <cell r="H180">
            <v>0</v>
          </cell>
          <cell r="I180">
            <v>0</v>
          </cell>
        </row>
        <row r="232">
          <cell r="G232">
            <v>0</v>
          </cell>
          <cell r="H232">
            <v>0</v>
          </cell>
          <cell r="I232">
            <v>0</v>
          </cell>
        </row>
        <row r="233">
          <cell r="G233">
            <v>0</v>
          </cell>
          <cell r="H233">
            <v>0</v>
          </cell>
          <cell r="I233">
            <v>0</v>
          </cell>
        </row>
        <row r="234">
          <cell r="G234">
            <v>0</v>
          </cell>
          <cell r="H234">
            <v>0</v>
          </cell>
          <cell r="I234">
            <v>0</v>
          </cell>
        </row>
        <row r="240">
          <cell r="G240">
            <v>0</v>
          </cell>
          <cell r="H240">
            <v>0</v>
          </cell>
          <cell r="I240">
            <v>0</v>
          </cell>
        </row>
        <row r="241">
          <cell r="G241">
            <v>0</v>
          </cell>
          <cell r="H241">
            <v>0</v>
          </cell>
          <cell r="I241">
            <v>0</v>
          </cell>
        </row>
        <row r="242">
          <cell r="G242">
            <v>0</v>
          </cell>
          <cell r="H242">
            <v>0</v>
          </cell>
          <cell r="I242">
            <v>0</v>
          </cell>
        </row>
        <row r="248">
          <cell r="G248">
            <v>0</v>
          </cell>
          <cell r="H248">
            <v>0</v>
          </cell>
          <cell r="I248">
            <v>0</v>
          </cell>
        </row>
        <row r="249">
          <cell r="G249">
            <v>0</v>
          </cell>
          <cell r="H249">
            <v>0</v>
          </cell>
          <cell r="I249">
            <v>0</v>
          </cell>
        </row>
        <row r="250">
          <cell r="G250">
            <v>0</v>
          </cell>
          <cell r="H250">
            <v>0</v>
          </cell>
          <cell r="I250">
            <v>0</v>
          </cell>
        </row>
        <row r="256">
          <cell r="G256">
            <v>0</v>
          </cell>
          <cell r="H256">
            <v>0</v>
          </cell>
          <cell r="I256">
            <v>0</v>
          </cell>
        </row>
        <row r="257">
          <cell r="G257">
            <v>0</v>
          </cell>
          <cell r="H257">
            <v>0</v>
          </cell>
          <cell r="I257">
            <v>0</v>
          </cell>
        </row>
        <row r="258">
          <cell r="G258">
            <v>0</v>
          </cell>
          <cell r="H258">
            <v>0</v>
          </cell>
          <cell r="I258">
            <v>0</v>
          </cell>
        </row>
        <row r="264">
          <cell r="G264">
            <v>0</v>
          </cell>
          <cell r="H264">
            <v>0</v>
          </cell>
          <cell r="I264">
            <v>0</v>
          </cell>
        </row>
        <row r="265">
          <cell r="G265">
            <v>0</v>
          </cell>
          <cell r="H265">
            <v>0</v>
          </cell>
          <cell r="I265">
            <v>0</v>
          </cell>
        </row>
        <row r="266">
          <cell r="G266">
            <v>0</v>
          </cell>
          <cell r="H266">
            <v>0</v>
          </cell>
          <cell r="I266">
            <v>0</v>
          </cell>
        </row>
        <row r="272">
          <cell r="G272">
            <v>0</v>
          </cell>
          <cell r="H272">
            <v>0</v>
          </cell>
          <cell r="I272">
            <v>0</v>
          </cell>
        </row>
        <row r="273">
          <cell r="G273">
            <v>0</v>
          </cell>
          <cell r="H273">
            <v>0</v>
          </cell>
          <cell r="I273">
            <v>0</v>
          </cell>
        </row>
        <row r="274">
          <cell r="G274">
            <v>0</v>
          </cell>
          <cell r="H274">
            <v>0</v>
          </cell>
          <cell r="I274">
            <v>0</v>
          </cell>
        </row>
        <row r="280">
          <cell r="G280">
            <v>0</v>
          </cell>
          <cell r="H280">
            <v>0</v>
          </cell>
          <cell r="I280">
            <v>0</v>
          </cell>
        </row>
        <row r="281">
          <cell r="G281">
            <v>0</v>
          </cell>
          <cell r="H281">
            <v>0</v>
          </cell>
          <cell r="I281">
            <v>0</v>
          </cell>
        </row>
        <row r="282">
          <cell r="G282">
            <v>0</v>
          </cell>
          <cell r="H282">
            <v>0</v>
          </cell>
          <cell r="I282">
            <v>0</v>
          </cell>
        </row>
        <row r="288">
          <cell r="G288">
            <v>0</v>
          </cell>
          <cell r="H288">
            <v>0</v>
          </cell>
          <cell r="I288">
            <v>0</v>
          </cell>
        </row>
        <row r="289">
          <cell r="G289">
            <v>0</v>
          </cell>
          <cell r="H289">
            <v>0</v>
          </cell>
          <cell r="I289">
            <v>0</v>
          </cell>
        </row>
        <row r="290">
          <cell r="G290">
            <v>0</v>
          </cell>
          <cell r="H290">
            <v>0</v>
          </cell>
          <cell r="I290">
            <v>0</v>
          </cell>
        </row>
        <row r="296">
          <cell r="G296">
            <v>0</v>
          </cell>
          <cell r="H296">
            <v>0</v>
          </cell>
          <cell r="I296">
            <v>0</v>
          </cell>
        </row>
        <row r="297">
          <cell r="G297">
            <v>0</v>
          </cell>
          <cell r="H297">
            <v>0</v>
          </cell>
          <cell r="I297">
            <v>0</v>
          </cell>
        </row>
        <row r="298">
          <cell r="G298">
            <v>0</v>
          </cell>
          <cell r="H298">
            <v>0</v>
          </cell>
          <cell r="I298">
            <v>0</v>
          </cell>
        </row>
        <row r="304">
          <cell r="G304">
            <v>0</v>
          </cell>
          <cell r="H304">
            <v>0</v>
          </cell>
          <cell r="I304">
            <v>0</v>
          </cell>
        </row>
        <row r="305">
          <cell r="G305">
            <v>0</v>
          </cell>
          <cell r="H305">
            <v>0</v>
          </cell>
          <cell r="I305">
            <v>0</v>
          </cell>
        </row>
        <row r="306">
          <cell r="G306">
            <v>0</v>
          </cell>
          <cell r="H306">
            <v>0</v>
          </cell>
          <cell r="I306">
            <v>0</v>
          </cell>
        </row>
        <row r="312">
          <cell r="G312">
            <v>0</v>
          </cell>
          <cell r="H312">
            <v>0</v>
          </cell>
          <cell r="I312">
            <v>0</v>
          </cell>
        </row>
        <row r="313">
          <cell r="G313">
            <v>0</v>
          </cell>
          <cell r="H313">
            <v>0</v>
          </cell>
          <cell r="I313">
            <v>0</v>
          </cell>
        </row>
        <row r="314">
          <cell r="G314">
            <v>0</v>
          </cell>
          <cell r="H314">
            <v>0</v>
          </cell>
          <cell r="I314">
            <v>0</v>
          </cell>
        </row>
        <row r="320">
          <cell r="G320">
            <v>0</v>
          </cell>
          <cell r="H320">
            <v>0</v>
          </cell>
          <cell r="I320">
            <v>0</v>
          </cell>
        </row>
        <row r="321">
          <cell r="G321">
            <v>0</v>
          </cell>
          <cell r="H321">
            <v>0</v>
          </cell>
          <cell r="I321">
            <v>0</v>
          </cell>
        </row>
        <row r="322">
          <cell r="G322">
            <v>0</v>
          </cell>
          <cell r="H322">
            <v>0</v>
          </cell>
          <cell r="I322">
            <v>0</v>
          </cell>
        </row>
        <row r="328">
          <cell r="G328">
            <v>0</v>
          </cell>
          <cell r="H328">
            <v>0</v>
          </cell>
          <cell r="I328">
            <v>0</v>
          </cell>
        </row>
        <row r="329">
          <cell r="G329">
            <v>0</v>
          </cell>
          <cell r="H329">
            <v>0</v>
          </cell>
          <cell r="I329">
            <v>0</v>
          </cell>
        </row>
        <row r="330">
          <cell r="G330">
            <v>0</v>
          </cell>
          <cell r="H330">
            <v>0</v>
          </cell>
          <cell r="I330">
            <v>0</v>
          </cell>
        </row>
        <row r="336">
          <cell r="G336">
            <v>0</v>
          </cell>
          <cell r="H336">
            <v>0</v>
          </cell>
          <cell r="I336">
            <v>0</v>
          </cell>
        </row>
        <row r="337">
          <cell r="G337">
            <v>0</v>
          </cell>
          <cell r="H337">
            <v>0</v>
          </cell>
          <cell r="I337">
            <v>0</v>
          </cell>
        </row>
        <row r="338">
          <cell r="G338">
            <v>0</v>
          </cell>
          <cell r="H338">
            <v>0</v>
          </cell>
          <cell r="I338">
            <v>0</v>
          </cell>
        </row>
        <row r="344">
          <cell r="G344">
            <v>0</v>
          </cell>
          <cell r="H344">
            <v>0</v>
          </cell>
          <cell r="I344">
            <v>0</v>
          </cell>
        </row>
        <row r="345">
          <cell r="G345">
            <v>0</v>
          </cell>
          <cell r="H345">
            <v>0</v>
          </cell>
          <cell r="I345">
            <v>0</v>
          </cell>
        </row>
        <row r="346">
          <cell r="G346">
            <v>0</v>
          </cell>
          <cell r="H346">
            <v>0</v>
          </cell>
          <cell r="I346">
            <v>0</v>
          </cell>
        </row>
        <row r="352">
          <cell r="G352">
            <v>0</v>
          </cell>
          <cell r="H352">
            <v>0</v>
          </cell>
          <cell r="I352">
            <v>0</v>
          </cell>
        </row>
        <row r="353">
          <cell r="G353">
            <v>0</v>
          </cell>
          <cell r="H353">
            <v>0</v>
          </cell>
          <cell r="I353">
            <v>0</v>
          </cell>
        </row>
        <row r="354">
          <cell r="G354">
            <v>0</v>
          </cell>
          <cell r="H354">
            <v>0</v>
          </cell>
          <cell r="I354">
            <v>0</v>
          </cell>
        </row>
        <row r="360">
          <cell r="G360">
            <v>0</v>
          </cell>
          <cell r="H360">
            <v>0</v>
          </cell>
          <cell r="I360">
            <v>0</v>
          </cell>
        </row>
        <row r="361">
          <cell r="G361">
            <v>0</v>
          </cell>
          <cell r="H361">
            <v>0</v>
          </cell>
          <cell r="I361">
            <v>0</v>
          </cell>
        </row>
        <row r="362">
          <cell r="G362">
            <v>0</v>
          </cell>
          <cell r="H362">
            <v>0</v>
          </cell>
          <cell r="I362">
            <v>0</v>
          </cell>
        </row>
        <row r="368">
          <cell r="G368">
            <v>0</v>
          </cell>
          <cell r="H368">
            <v>0</v>
          </cell>
          <cell r="I368">
            <v>0</v>
          </cell>
        </row>
        <row r="369">
          <cell r="G369">
            <v>0</v>
          </cell>
          <cell r="H369">
            <v>0</v>
          </cell>
          <cell r="I369">
            <v>0</v>
          </cell>
        </row>
        <row r="370">
          <cell r="G370">
            <v>0</v>
          </cell>
          <cell r="H370">
            <v>0</v>
          </cell>
          <cell r="I370">
            <v>0</v>
          </cell>
        </row>
        <row r="376">
          <cell r="G376">
            <v>0</v>
          </cell>
          <cell r="H376">
            <v>0</v>
          </cell>
          <cell r="I376">
            <v>0</v>
          </cell>
        </row>
        <row r="377">
          <cell r="G377">
            <v>0</v>
          </cell>
          <cell r="H377">
            <v>0</v>
          </cell>
          <cell r="I377">
            <v>0</v>
          </cell>
        </row>
        <row r="378">
          <cell r="G378">
            <v>0</v>
          </cell>
          <cell r="H378">
            <v>0</v>
          </cell>
          <cell r="I378">
            <v>0</v>
          </cell>
        </row>
        <row r="384">
          <cell r="G384">
            <v>0</v>
          </cell>
          <cell r="H384">
            <v>0</v>
          </cell>
          <cell r="I384">
            <v>0</v>
          </cell>
        </row>
        <row r="385">
          <cell r="G385">
            <v>0</v>
          </cell>
          <cell r="H385">
            <v>0</v>
          </cell>
          <cell r="I385">
            <v>0</v>
          </cell>
        </row>
        <row r="386">
          <cell r="G386">
            <v>0</v>
          </cell>
          <cell r="H386">
            <v>0</v>
          </cell>
          <cell r="I386">
            <v>0</v>
          </cell>
        </row>
        <row r="392">
          <cell r="G392">
            <v>0</v>
          </cell>
          <cell r="H392">
            <v>0</v>
          </cell>
          <cell r="I392">
            <v>0</v>
          </cell>
        </row>
        <row r="393">
          <cell r="G393">
            <v>0</v>
          </cell>
          <cell r="H393">
            <v>0</v>
          </cell>
          <cell r="I393">
            <v>0</v>
          </cell>
        </row>
        <row r="394">
          <cell r="G394">
            <v>0</v>
          </cell>
          <cell r="H394">
            <v>0</v>
          </cell>
          <cell r="I394">
            <v>0</v>
          </cell>
        </row>
        <row r="400">
          <cell r="G400">
            <v>0</v>
          </cell>
          <cell r="H400">
            <v>0</v>
          </cell>
          <cell r="I400">
            <v>0</v>
          </cell>
        </row>
        <row r="401">
          <cell r="G401">
            <v>0</v>
          </cell>
          <cell r="H401">
            <v>0</v>
          </cell>
          <cell r="I401">
            <v>0</v>
          </cell>
        </row>
        <row r="402">
          <cell r="G402">
            <v>0</v>
          </cell>
          <cell r="H402">
            <v>0</v>
          </cell>
          <cell r="I402">
            <v>0</v>
          </cell>
        </row>
        <row r="408">
          <cell r="G408">
            <v>0</v>
          </cell>
          <cell r="H408">
            <v>0</v>
          </cell>
          <cell r="I408">
            <v>0</v>
          </cell>
        </row>
        <row r="409">
          <cell r="G409">
            <v>0</v>
          </cell>
          <cell r="H409">
            <v>0</v>
          </cell>
          <cell r="I409">
            <v>0</v>
          </cell>
        </row>
        <row r="410">
          <cell r="G410">
            <v>0</v>
          </cell>
          <cell r="H410">
            <v>0</v>
          </cell>
          <cell r="I410">
            <v>0</v>
          </cell>
        </row>
        <row r="416">
          <cell r="G416">
            <v>0</v>
          </cell>
          <cell r="H416">
            <v>0</v>
          </cell>
          <cell r="I416">
            <v>0</v>
          </cell>
        </row>
        <row r="417">
          <cell r="G417">
            <v>0</v>
          </cell>
          <cell r="H417">
            <v>0</v>
          </cell>
          <cell r="I417">
            <v>0</v>
          </cell>
        </row>
        <row r="418">
          <cell r="G418">
            <v>0</v>
          </cell>
          <cell r="H418">
            <v>0</v>
          </cell>
          <cell r="I418">
            <v>0</v>
          </cell>
        </row>
        <row r="424">
          <cell r="G424">
            <v>0</v>
          </cell>
          <cell r="H424">
            <v>0</v>
          </cell>
          <cell r="I424">
            <v>0</v>
          </cell>
        </row>
        <row r="425">
          <cell r="G425">
            <v>0</v>
          </cell>
          <cell r="H425">
            <v>0</v>
          </cell>
          <cell r="I425">
            <v>0</v>
          </cell>
        </row>
        <row r="426">
          <cell r="G426">
            <v>0</v>
          </cell>
          <cell r="H426">
            <v>0</v>
          </cell>
          <cell r="I426">
            <v>0</v>
          </cell>
        </row>
        <row r="432">
          <cell r="G432">
            <v>0</v>
          </cell>
          <cell r="H432">
            <v>0</v>
          </cell>
          <cell r="I432">
            <v>0</v>
          </cell>
        </row>
        <row r="433">
          <cell r="G433">
            <v>0</v>
          </cell>
          <cell r="H433">
            <v>0</v>
          </cell>
          <cell r="I433">
            <v>0</v>
          </cell>
        </row>
        <row r="434">
          <cell r="G434">
            <v>0</v>
          </cell>
          <cell r="H434">
            <v>0</v>
          </cell>
          <cell r="I434">
            <v>0</v>
          </cell>
        </row>
        <row r="440">
          <cell r="G440">
            <v>0</v>
          </cell>
          <cell r="H440">
            <v>0</v>
          </cell>
          <cell r="I440">
            <v>0</v>
          </cell>
        </row>
        <row r="441">
          <cell r="G441">
            <v>0</v>
          </cell>
          <cell r="H441">
            <v>0</v>
          </cell>
          <cell r="I441">
            <v>0</v>
          </cell>
        </row>
        <row r="442">
          <cell r="G442">
            <v>0</v>
          </cell>
          <cell r="H442">
            <v>0</v>
          </cell>
          <cell r="I442">
            <v>0</v>
          </cell>
        </row>
        <row r="448">
          <cell r="G448">
            <v>0</v>
          </cell>
          <cell r="H448">
            <v>0</v>
          </cell>
          <cell r="I448">
            <v>0</v>
          </cell>
        </row>
        <row r="449">
          <cell r="G449">
            <v>0</v>
          </cell>
          <cell r="H449">
            <v>0</v>
          </cell>
          <cell r="I449">
            <v>0</v>
          </cell>
        </row>
        <row r="450">
          <cell r="G450">
            <v>0</v>
          </cell>
          <cell r="H450">
            <v>0</v>
          </cell>
          <cell r="I450">
            <v>0</v>
          </cell>
        </row>
        <row r="456">
          <cell r="G456">
            <v>0</v>
          </cell>
          <cell r="H456">
            <v>0</v>
          </cell>
          <cell r="I456">
            <v>0</v>
          </cell>
        </row>
        <row r="457">
          <cell r="G457">
            <v>0</v>
          </cell>
          <cell r="H457">
            <v>0</v>
          </cell>
          <cell r="I457">
            <v>0</v>
          </cell>
        </row>
        <row r="458">
          <cell r="G458">
            <v>0</v>
          </cell>
          <cell r="H458">
            <v>0</v>
          </cell>
          <cell r="I458">
            <v>0</v>
          </cell>
        </row>
        <row r="464">
          <cell r="G464">
            <v>0</v>
          </cell>
          <cell r="H464">
            <v>0</v>
          </cell>
          <cell r="I464">
            <v>0</v>
          </cell>
        </row>
        <row r="465">
          <cell r="G465">
            <v>0</v>
          </cell>
          <cell r="H465">
            <v>0</v>
          </cell>
          <cell r="I465">
            <v>0</v>
          </cell>
        </row>
        <row r="466">
          <cell r="G466">
            <v>0</v>
          </cell>
          <cell r="H466">
            <v>0</v>
          </cell>
          <cell r="I466">
            <v>0</v>
          </cell>
        </row>
        <row r="472">
          <cell r="G472">
            <v>0</v>
          </cell>
          <cell r="H472">
            <v>0</v>
          </cell>
          <cell r="I472">
            <v>0</v>
          </cell>
        </row>
        <row r="473">
          <cell r="G473">
            <v>0</v>
          </cell>
          <cell r="H473">
            <v>0</v>
          </cell>
          <cell r="I473">
            <v>0</v>
          </cell>
        </row>
        <row r="474">
          <cell r="G474">
            <v>0</v>
          </cell>
          <cell r="H474">
            <v>0</v>
          </cell>
          <cell r="I474">
            <v>0</v>
          </cell>
        </row>
        <row r="480">
          <cell r="G480">
            <v>0</v>
          </cell>
          <cell r="H480">
            <v>0</v>
          </cell>
          <cell r="I480">
            <v>0</v>
          </cell>
        </row>
        <row r="481">
          <cell r="G481">
            <v>0</v>
          </cell>
          <cell r="H481">
            <v>0</v>
          </cell>
          <cell r="I481">
            <v>0</v>
          </cell>
        </row>
        <row r="482">
          <cell r="G482">
            <v>0</v>
          </cell>
          <cell r="H482">
            <v>0</v>
          </cell>
          <cell r="I482">
            <v>0</v>
          </cell>
        </row>
        <row r="488">
          <cell r="G488">
            <v>0</v>
          </cell>
          <cell r="H488">
            <v>0</v>
          </cell>
          <cell r="I488">
            <v>0</v>
          </cell>
        </row>
        <row r="489">
          <cell r="G489">
            <v>0</v>
          </cell>
          <cell r="H489">
            <v>0</v>
          </cell>
          <cell r="I489">
            <v>0</v>
          </cell>
        </row>
        <row r="490">
          <cell r="G490">
            <v>0</v>
          </cell>
          <cell r="H490">
            <v>0</v>
          </cell>
          <cell r="I490">
            <v>0</v>
          </cell>
        </row>
        <row r="496">
          <cell r="G496">
            <v>0</v>
          </cell>
          <cell r="H496">
            <v>0</v>
          </cell>
          <cell r="I496">
            <v>0</v>
          </cell>
        </row>
        <row r="497">
          <cell r="G497">
            <v>0</v>
          </cell>
          <cell r="H497">
            <v>0</v>
          </cell>
          <cell r="I497">
            <v>0</v>
          </cell>
        </row>
        <row r="498">
          <cell r="G498">
            <v>0</v>
          </cell>
          <cell r="H498">
            <v>0</v>
          </cell>
          <cell r="I498">
            <v>0</v>
          </cell>
        </row>
        <row r="504">
          <cell r="G504">
            <v>0</v>
          </cell>
          <cell r="H504">
            <v>0</v>
          </cell>
          <cell r="I504">
            <v>0</v>
          </cell>
        </row>
        <row r="505">
          <cell r="G505">
            <v>0</v>
          </cell>
          <cell r="H505">
            <v>0</v>
          </cell>
          <cell r="I505">
            <v>0</v>
          </cell>
        </row>
        <row r="506">
          <cell r="G506">
            <v>0</v>
          </cell>
          <cell r="H506">
            <v>0</v>
          </cell>
          <cell r="I506">
            <v>0</v>
          </cell>
        </row>
        <row r="512">
          <cell r="G512">
            <v>0</v>
          </cell>
          <cell r="H512">
            <v>0</v>
          </cell>
          <cell r="I512">
            <v>0</v>
          </cell>
        </row>
        <row r="513">
          <cell r="G513">
            <v>0</v>
          </cell>
          <cell r="H513">
            <v>0</v>
          </cell>
          <cell r="I513">
            <v>0</v>
          </cell>
        </row>
        <row r="514">
          <cell r="G514">
            <v>0</v>
          </cell>
          <cell r="H514">
            <v>0</v>
          </cell>
          <cell r="I514">
            <v>0</v>
          </cell>
        </row>
        <row r="520">
          <cell r="G520">
            <v>0</v>
          </cell>
          <cell r="H520">
            <v>0</v>
          </cell>
          <cell r="I520">
            <v>0</v>
          </cell>
        </row>
        <row r="521">
          <cell r="G521">
            <v>0</v>
          </cell>
          <cell r="H521">
            <v>0</v>
          </cell>
          <cell r="I521">
            <v>0</v>
          </cell>
        </row>
        <row r="522">
          <cell r="G522">
            <v>0</v>
          </cell>
          <cell r="H522">
            <v>0</v>
          </cell>
          <cell r="I522">
            <v>0</v>
          </cell>
        </row>
        <row r="528">
          <cell r="G528">
            <v>0</v>
          </cell>
          <cell r="H528">
            <v>0</v>
          </cell>
          <cell r="I528">
            <v>0</v>
          </cell>
        </row>
        <row r="529">
          <cell r="G529">
            <v>0</v>
          </cell>
          <cell r="H529">
            <v>0</v>
          </cell>
          <cell r="I529">
            <v>0</v>
          </cell>
        </row>
        <row r="530">
          <cell r="G530">
            <v>0</v>
          </cell>
          <cell r="H530">
            <v>0</v>
          </cell>
          <cell r="I530">
            <v>0</v>
          </cell>
        </row>
        <row r="536">
          <cell r="G536">
            <v>0</v>
          </cell>
          <cell r="H536">
            <v>0</v>
          </cell>
          <cell r="I536">
            <v>0</v>
          </cell>
        </row>
        <row r="537">
          <cell r="G537">
            <v>0</v>
          </cell>
          <cell r="H537">
            <v>0</v>
          </cell>
          <cell r="I537">
            <v>0</v>
          </cell>
        </row>
        <row r="538">
          <cell r="G538">
            <v>0</v>
          </cell>
          <cell r="H538">
            <v>0</v>
          </cell>
          <cell r="I538">
            <v>0</v>
          </cell>
        </row>
        <row r="544">
          <cell r="G544">
            <v>0</v>
          </cell>
          <cell r="H544">
            <v>0</v>
          </cell>
          <cell r="I544">
            <v>0</v>
          </cell>
        </row>
        <row r="545">
          <cell r="G545">
            <v>0</v>
          </cell>
          <cell r="H545">
            <v>0</v>
          </cell>
          <cell r="I545">
            <v>0</v>
          </cell>
        </row>
        <row r="546">
          <cell r="G546">
            <v>0</v>
          </cell>
          <cell r="H546">
            <v>0</v>
          </cell>
          <cell r="I546">
            <v>0</v>
          </cell>
        </row>
        <row r="552">
          <cell r="G552">
            <v>0</v>
          </cell>
          <cell r="H552">
            <v>0</v>
          </cell>
          <cell r="I552">
            <v>0</v>
          </cell>
        </row>
        <row r="553">
          <cell r="G553">
            <v>0</v>
          </cell>
          <cell r="H553">
            <v>0</v>
          </cell>
          <cell r="I553">
            <v>0</v>
          </cell>
        </row>
        <row r="554">
          <cell r="G554">
            <v>0</v>
          </cell>
          <cell r="H554">
            <v>0</v>
          </cell>
          <cell r="I554">
            <v>0</v>
          </cell>
        </row>
        <row r="560">
          <cell r="G560">
            <v>0</v>
          </cell>
          <cell r="H560">
            <v>0</v>
          </cell>
          <cell r="I560">
            <v>0</v>
          </cell>
        </row>
        <row r="561">
          <cell r="G561">
            <v>0</v>
          </cell>
          <cell r="H561">
            <v>0</v>
          </cell>
          <cell r="I561">
            <v>0</v>
          </cell>
        </row>
        <row r="562">
          <cell r="G562">
            <v>0</v>
          </cell>
          <cell r="H562">
            <v>0</v>
          </cell>
          <cell r="I562">
            <v>0</v>
          </cell>
        </row>
        <row r="568">
          <cell r="G568">
            <v>0</v>
          </cell>
          <cell r="H568">
            <v>0</v>
          </cell>
          <cell r="I568">
            <v>0</v>
          </cell>
        </row>
        <row r="569">
          <cell r="G569">
            <v>0</v>
          </cell>
          <cell r="H569">
            <v>0</v>
          </cell>
          <cell r="I569">
            <v>0</v>
          </cell>
        </row>
        <row r="570">
          <cell r="G570">
            <v>0</v>
          </cell>
          <cell r="H570">
            <v>0</v>
          </cell>
          <cell r="I570">
            <v>0</v>
          </cell>
        </row>
        <row r="584">
          <cell r="G584">
            <v>0</v>
          </cell>
          <cell r="H584">
            <v>0</v>
          </cell>
          <cell r="I584">
            <v>0</v>
          </cell>
        </row>
        <row r="585">
          <cell r="G585">
            <v>0</v>
          </cell>
          <cell r="H585">
            <v>0</v>
          </cell>
          <cell r="I585">
            <v>0</v>
          </cell>
        </row>
        <row r="586">
          <cell r="G586">
            <v>0</v>
          </cell>
          <cell r="H586">
            <v>0</v>
          </cell>
          <cell r="I586">
            <v>0</v>
          </cell>
        </row>
        <row r="592">
          <cell r="G592">
            <v>0</v>
          </cell>
          <cell r="H592">
            <v>0</v>
          </cell>
          <cell r="I592">
            <v>0</v>
          </cell>
        </row>
        <row r="593">
          <cell r="G593">
            <v>0</v>
          </cell>
          <cell r="H593">
            <v>0</v>
          </cell>
          <cell r="I593">
            <v>0</v>
          </cell>
        </row>
        <row r="594">
          <cell r="G594">
            <v>0</v>
          </cell>
          <cell r="H594">
            <v>0</v>
          </cell>
          <cell r="I59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ОМ"/>
      <sheetName val="План"/>
      <sheetName val="16-18"/>
      <sheetName val="4. ОКС"/>
      <sheetName val="5. Фин уч"/>
      <sheetName val="c учетом УС"/>
      <sheetName val="8 План16-19 (2)"/>
      <sheetName val=" 3.ОМ 16-19"/>
      <sheetName val="Сводная"/>
      <sheetName val="8 План16-20"/>
      <sheetName val="Изменения 2017 Минфин"/>
      <sheetName val="10а. Спр пок "/>
      <sheetName val="10б. Справка"/>
      <sheetName val="10в. Спр ОКС"/>
      <sheetName val="4. ОКС 16-19-3"/>
      <sheetName val="Пр8 16-19 (2)"/>
    </sheetNames>
    <sheetDataSet>
      <sheetData sheetId="0"/>
      <sheetData sheetId="1">
        <row r="128">
          <cell r="G128">
            <v>0</v>
          </cell>
          <cell r="H128">
            <v>0</v>
          </cell>
          <cell r="I128">
            <v>0</v>
          </cell>
        </row>
        <row r="129">
          <cell r="G129">
            <v>0</v>
          </cell>
          <cell r="H129">
            <v>0</v>
          </cell>
          <cell r="I129">
            <v>0</v>
          </cell>
        </row>
        <row r="130">
          <cell r="G130">
            <v>0</v>
          </cell>
          <cell r="H130">
            <v>0</v>
          </cell>
          <cell r="I130">
            <v>0</v>
          </cell>
        </row>
        <row r="131">
          <cell r="G131">
            <v>0</v>
          </cell>
          <cell r="H131">
            <v>0</v>
          </cell>
          <cell r="I131">
            <v>0</v>
          </cell>
        </row>
        <row r="132">
          <cell r="G132">
            <v>0</v>
          </cell>
          <cell r="H132">
            <v>0</v>
          </cell>
          <cell r="I132">
            <v>0</v>
          </cell>
        </row>
        <row r="136">
          <cell r="G136">
            <v>0</v>
          </cell>
          <cell r="H136">
            <v>0</v>
          </cell>
          <cell r="I136">
            <v>0</v>
          </cell>
        </row>
        <row r="137">
          <cell r="G137">
            <v>0</v>
          </cell>
          <cell r="H137">
            <v>0</v>
          </cell>
          <cell r="I137">
            <v>0</v>
          </cell>
        </row>
        <row r="138">
          <cell r="G138">
            <v>0</v>
          </cell>
          <cell r="H138">
            <v>0</v>
          </cell>
          <cell r="I138">
            <v>0</v>
          </cell>
        </row>
        <row r="139">
          <cell r="G139">
            <v>0</v>
          </cell>
          <cell r="H139">
            <v>0</v>
          </cell>
          <cell r="I139">
            <v>0</v>
          </cell>
        </row>
        <row r="140">
          <cell r="G140">
            <v>0</v>
          </cell>
          <cell r="H140">
            <v>0</v>
          </cell>
          <cell r="I140">
            <v>0</v>
          </cell>
        </row>
        <row r="176">
          <cell r="G176">
            <v>0</v>
          </cell>
          <cell r="H176">
            <v>0</v>
          </cell>
          <cell r="I176">
            <v>0</v>
          </cell>
        </row>
        <row r="177">
          <cell r="G177">
            <v>0</v>
          </cell>
          <cell r="H177">
            <v>0</v>
          </cell>
          <cell r="I177">
            <v>0</v>
          </cell>
        </row>
        <row r="178">
          <cell r="G178">
            <v>0</v>
          </cell>
          <cell r="H178">
            <v>0</v>
          </cell>
          <cell r="I178">
            <v>0</v>
          </cell>
        </row>
        <row r="179">
          <cell r="G179">
            <v>0</v>
          </cell>
          <cell r="H179">
            <v>0</v>
          </cell>
          <cell r="I179">
            <v>0</v>
          </cell>
        </row>
        <row r="180">
          <cell r="G180">
            <v>0</v>
          </cell>
          <cell r="H180">
            <v>0</v>
          </cell>
          <cell r="I180">
            <v>0</v>
          </cell>
        </row>
        <row r="232">
          <cell r="G232">
            <v>0</v>
          </cell>
          <cell r="H232">
            <v>0</v>
          </cell>
          <cell r="I232">
            <v>0</v>
          </cell>
        </row>
        <row r="233">
          <cell r="G233">
            <v>0</v>
          </cell>
          <cell r="H233">
            <v>0</v>
          </cell>
          <cell r="I233">
            <v>0</v>
          </cell>
        </row>
        <row r="234">
          <cell r="G234">
            <v>0</v>
          </cell>
          <cell r="H234">
            <v>0</v>
          </cell>
          <cell r="I234">
            <v>0</v>
          </cell>
        </row>
        <row r="240">
          <cell r="G240">
            <v>0</v>
          </cell>
          <cell r="H240">
            <v>0</v>
          </cell>
          <cell r="I240">
            <v>0</v>
          </cell>
        </row>
        <row r="241">
          <cell r="G241">
            <v>0</v>
          </cell>
          <cell r="H241">
            <v>0</v>
          </cell>
          <cell r="I241">
            <v>0</v>
          </cell>
        </row>
        <row r="242">
          <cell r="G242">
            <v>0</v>
          </cell>
          <cell r="H242">
            <v>0</v>
          </cell>
          <cell r="I242">
            <v>0</v>
          </cell>
        </row>
        <row r="248">
          <cell r="G248">
            <v>0</v>
          </cell>
          <cell r="H248">
            <v>0</v>
          </cell>
          <cell r="I248">
            <v>0</v>
          </cell>
        </row>
        <row r="249">
          <cell r="G249">
            <v>0</v>
          </cell>
          <cell r="H249">
            <v>0</v>
          </cell>
          <cell r="I249">
            <v>0</v>
          </cell>
        </row>
        <row r="250">
          <cell r="G250">
            <v>0</v>
          </cell>
          <cell r="H250">
            <v>0</v>
          </cell>
          <cell r="I250">
            <v>0</v>
          </cell>
        </row>
        <row r="256">
          <cell r="G256">
            <v>0</v>
          </cell>
          <cell r="H256">
            <v>0</v>
          </cell>
          <cell r="I256">
            <v>0</v>
          </cell>
        </row>
        <row r="257">
          <cell r="G257">
            <v>0</v>
          </cell>
          <cell r="H257">
            <v>0</v>
          </cell>
          <cell r="I257">
            <v>0</v>
          </cell>
        </row>
        <row r="258">
          <cell r="G258">
            <v>0</v>
          </cell>
          <cell r="H258">
            <v>0</v>
          </cell>
          <cell r="I258">
            <v>0</v>
          </cell>
        </row>
        <row r="264">
          <cell r="G264">
            <v>0</v>
          </cell>
          <cell r="H264">
            <v>0</v>
          </cell>
          <cell r="I264">
            <v>0</v>
          </cell>
        </row>
        <row r="265">
          <cell r="G265">
            <v>0</v>
          </cell>
          <cell r="H265">
            <v>0</v>
          </cell>
          <cell r="I265">
            <v>0</v>
          </cell>
        </row>
        <row r="266">
          <cell r="G266">
            <v>0</v>
          </cell>
          <cell r="H266">
            <v>0</v>
          </cell>
          <cell r="I266">
            <v>0</v>
          </cell>
        </row>
        <row r="272">
          <cell r="G272">
            <v>0</v>
          </cell>
          <cell r="H272">
            <v>0</v>
          </cell>
          <cell r="I272">
            <v>0</v>
          </cell>
        </row>
        <row r="273">
          <cell r="G273">
            <v>0</v>
          </cell>
          <cell r="H273">
            <v>0</v>
          </cell>
          <cell r="I273">
            <v>0</v>
          </cell>
        </row>
        <row r="274">
          <cell r="G274">
            <v>0</v>
          </cell>
          <cell r="H274">
            <v>0</v>
          </cell>
          <cell r="I274">
            <v>0</v>
          </cell>
        </row>
        <row r="280">
          <cell r="G280">
            <v>0</v>
          </cell>
          <cell r="H280">
            <v>0</v>
          </cell>
          <cell r="I280">
            <v>0</v>
          </cell>
        </row>
        <row r="281">
          <cell r="G281">
            <v>0</v>
          </cell>
          <cell r="H281">
            <v>0</v>
          </cell>
          <cell r="I281">
            <v>0</v>
          </cell>
        </row>
        <row r="282">
          <cell r="G282">
            <v>0</v>
          </cell>
          <cell r="H282">
            <v>0</v>
          </cell>
          <cell r="I282">
            <v>0</v>
          </cell>
        </row>
        <row r="288">
          <cell r="G288">
            <v>0</v>
          </cell>
          <cell r="H288">
            <v>0</v>
          </cell>
          <cell r="I288">
            <v>0</v>
          </cell>
        </row>
        <row r="289">
          <cell r="G289">
            <v>0</v>
          </cell>
          <cell r="H289">
            <v>0</v>
          </cell>
          <cell r="I289">
            <v>0</v>
          </cell>
        </row>
        <row r="290">
          <cell r="G290">
            <v>0</v>
          </cell>
          <cell r="H290">
            <v>0</v>
          </cell>
          <cell r="I290">
            <v>0</v>
          </cell>
        </row>
        <row r="296">
          <cell r="G296">
            <v>0</v>
          </cell>
          <cell r="H296">
            <v>0</v>
          </cell>
          <cell r="I296">
            <v>0</v>
          </cell>
        </row>
        <row r="297">
          <cell r="G297">
            <v>0</v>
          </cell>
          <cell r="H297">
            <v>0</v>
          </cell>
          <cell r="I297">
            <v>0</v>
          </cell>
        </row>
        <row r="298">
          <cell r="G298">
            <v>0</v>
          </cell>
          <cell r="H298">
            <v>0</v>
          </cell>
          <cell r="I298">
            <v>0</v>
          </cell>
        </row>
        <row r="304">
          <cell r="G304">
            <v>0</v>
          </cell>
          <cell r="H304">
            <v>0</v>
          </cell>
          <cell r="I304">
            <v>0</v>
          </cell>
        </row>
        <row r="305">
          <cell r="G305">
            <v>0</v>
          </cell>
          <cell r="H305">
            <v>0</v>
          </cell>
          <cell r="I305">
            <v>0</v>
          </cell>
        </row>
        <row r="306">
          <cell r="G306">
            <v>0</v>
          </cell>
          <cell r="H306">
            <v>0</v>
          </cell>
          <cell r="I306">
            <v>0</v>
          </cell>
        </row>
        <row r="312">
          <cell r="G312">
            <v>0</v>
          </cell>
          <cell r="H312">
            <v>0</v>
          </cell>
          <cell r="I312">
            <v>0</v>
          </cell>
        </row>
        <row r="313">
          <cell r="G313">
            <v>0</v>
          </cell>
          <cell r="H313">
            <v>0</v>
          </cell>
          <cell r="I313">
            <v>0</v>
          </cell>
        </row>
        <row r="314">
          <cell r="G314">
            <v>0</v>
          </cell>
          <cell r="H314">
            <v>0</v>
          </cell>
          <cell r="I314">
            <v>0</v>
          </cell>
        </row>
        <row r="320">
          <cell r="G320">
            <v>0</v>
          </cell>
          <cell r="H320">
            <v>0</v>
          </cell>
          <cell r="I320">
            <v>0</v>
          </cell>
        </row>
        <row r="321">
          <cell r="G321">
            <v>0</v>
          </cell>
          <cell r="H321">
            <v>0</v>
          </cell>
          <cell r="I321">
            <v>0</v>
          </cell>
        </row>
        <row r="322">
          <cell r="G322">
            <v>0</v>
          </cell>
          <cell r="H322">
            <v>0</v>
          </cell>
          <cell r="I322">
            <v>0</v>
          </cell>
        </row>
        <row r="328">
          <cell r="G328">
            <v>0</v>
          </cell>
          <cell r="H328">
            <v>0</v>
          </cell>
          <cell r="I328">
            <v>0</v>
          </cell>
        </row>
        <row r="329">
          <cell r="G329">
            <v>0</v>
          </cell>
          <cell r="H329">
            <v>0</v>
          </cell>
          <cell r="I329">
            <v>0</v>
          </cell>
        </row>
        <row r="330">
          <cell r="G330">
            <v>0</v>
          </cell>
          <cell r="H330">
            <v>0</v>
          </cell>
          <cell r="I330">
            <v>0</v>
          </cell>
        </row>
        <row r="336">
          <cell r="G336">
            <v>0</v>
          </cell>
          <cell r="H336">
            <v>0</v>
          </cell>
          <cell r="I336">
            <v>0</v>
          </cell>
        </row>
        <row r="337">
          <cell r="G337">
            <v>0</v>
          </cell>
          <cell r="H337">
            <v>0</v>
          </cell>
          <cell r="I337">
            <v>0</v>
          </cell>
        </row>
        <row r="338">
          <cell r="G338">
            <v>0</v>
          </cell>
          <cell r="H338">
            <v>0</v>
          </cell>
          <cell r="I338">
            <v>0</v>
          </cell>
        </row>
        <row r="344">
          <cell r="G344">
            <v>0</v>
          </cell>
          <cell r="H344">
            <v>0</v>
          </cell>
          <cell r="I344">
            <v>0</v>
          </cell>
        </row>
        <row r="345">
          <cell r="G345">
            <v>0</v>
          </cell>
          <cell r="H345">
            <v>0</v>
          </cell>
          <cell r="I345">
            <v>0</v>
          </cell>
        </row>
        <row r="346">
          <cell r="G346">
            <v>0</v>
          </cell>
          <cell r="H346">
            <v>0</v>
          </cell>
          <cell r="I346">
            <v>0</v>
          </cell>
        </row>
        <row r="352">
          <cell r="G352">
            <v>0</v>
          </cell>
          <cell r="H352">
            <v>0</v>
          </cell>
          <cell r="I352">
            <v>0</v>
          </cell>
        </row>
        <row r="353">
          <cell r="G353">
            <v>0</v>
          </cell>
          <cell r="H353">
            <v>0</v>
          </cell>
          <cell r="I353">
            <v>0</v>
          </cell>
        </row>
        <row r="354">
          <cell r="G354">
            <v>0</v>
          </cell>
          <cell r="H354">
            <v>0</v>
          </cell>
          <cell r="I354">
            <v>0</v>
          </cell>
        </row>
        <row r="360">
          <cell r="G360">
            <v>0</v>
          </cell>
          <cell r="H360">
            <v>0</v>
          </cell>
          <cell r="I360">
            <v>0</v>
          </cell>
        </row>
        <row r="361">
          <cell r="G361">
            <v>0</v>
          </cell>
          <cell r="H361">
            <v>0</v>
          </cell>
          <cell r="I361">
            <v>0</v>
          </cell>
        </row>
        <row r="362">
          <cell r="G362">
            <v>0</v>
          </cell>
          <cell r="H362">
            <v>0</v>
          </cell>
          <cell r="I362">
            <v>0</v>
          </cell>
        </row>
        <row r="368">
          <cell r="G368">
            <v>0</v>
          </cell>
          <cell r="H368">
            <v>0</v>
          </cell>
          <cell r="I368">
            <v>0</v>
          </cell>
        </row>
        <row r="369">
          <cell r="G369">
            <v>0</v>
          </cell>
          <cell r="H369">
            <v>0</v>
          </cell>
          <cell r="I369">
            <v>0</v>
          </cell>
        </row>
        <row r="370">
          <cell r="G370">
            <v>0</v>
          </cell>
          <cell r="H370">
            <v>0</v>
          </cell>
          <cell r="I370">
            <v>0</v>
          </cell>
        </row>
        <row r="376">
          <cell r="G376">
            <v>0</v>
          </cell>
          <cell r="H376">
            <v>0</v>
          </cell>
          <cell r="I376">
            <v>0</v>
          </cell>
        </row>
        <row r="377">
          <cell r="G377">
            <v>0</v>
          </cell>
          <cell r="H377">
            <v>0</v>
          </cell>
          <cell r="I377">
            <v>0</v>
          </cell>
        </row>
        <row r="378">
          <cell r="G378">
            <v>0</v>
          </cell>
          <cell r="H378">
            <v>0</v>
          </cell>
          <cell r="I378">
            <v>0</v>
          </cell>
        </row>
        <row r="384">
          <cell r="G384">
            <v>0</v>
          </cell>
          <cell r="H384">
            <v>0</v>
          </cell>
          <cell r="I384">
            <v>0</v>
          </cell>
        </row>
        <row r="385">
          <cell r="G385">
            <v>0</v>
          </cell>
          <cell r="H385">
            <v>0</v>
          </cell>
          <cell r="I385">
            <v>0</v>
          </cell>
        </row>
        <row r="386">
          <cell r="G386">
            <v>0</v>
          </cell>
          <cell r="H386">
            <v>0</v>
          </cell>
          <cell r="I386">
            <v>0</v>
          </cell>
        </row>
        <row r="392">
          <cell r="G392">
            <v>0</v>
          </cell>
          <cell r="H392">
            <v>0</v>
          </cell>
          <cell r="I392">
            <v>0</v>
          </cell>
        </row>
        <row r="393">
          <cell r="G393">
            <v>0</v>
          </cell>
          <cell r="H393">
            <v>0</v>
          </cell>
          <cell r="I393">
            <v>0</v>
          </cell>
        </row>
        <row r="394">
          <cell r="G394">
            <v>0</v>
          </cell>
          <cell r="H394">
            <v>0</v>
          </cell>
          <cell r="I394">
            <v>0</v>
          </cell>
        </row>
        <row r="400">
          <cell r="G400">
            <v>0</v>
          </cell>
          <cell r="H400">
            <v>0</v>
          </cell>
          <cell r="I400">
            <v>0</v>
          </cell>
        </row>
        <row r="401">
          <cell r="G401">
            <v>0</v>
          </cell>
          <cell r="H401">
            <v>0</v>
          </cell>
          <cell r="I401">
            <v>0</v>
          </cell>
        </row>
        <row r="402">
          <cell r="G402">
            <v>0</v>
          </cell>
          <cell r="H402">
            <v>0</v>
          </cell>
          <cell r="I402">
            <v>0</v>
          </cell>
        </row>
        <row r="408">
          <cell r="G408">
            <v>0</v>
          </cell>
          <cell r="H408">
            <v>0</v>
          </cell>
          <cell r="I408">
            <v>0</v>
          </cell>
        </row>
        <row r="409">
          <cell r="G409">
            <v>0</v>
          </cell>
          <cell r="H409">
            <v>0</v>
          </cell>
          <cell r="I409">
            <v>0</v>
          </cell>
        </row>
        <row r="410">
          <cell r="G410">
            <v>0</v>
          </cell>
          <cell r="H410">
            <v>0</v>
          </cell>
          <cell r="I410">
            <v>0</v>
          </cell>
        </row>
        <row r="416">
          <cell r="G416">
            <v>0</v>
          </cell>
          <cell r="H416">
            <v>0</v>
          </cell>
          <cell r="I416">
            <v>0</v>
          </cell>
        </row>
        <row r="417">
          <cell r="G417">
            <v>0</v>
          </cell>
          <cell r="H417">
            <v>0</v>
          </cell>
          <cell r="I417">
            <v>0</v>
          </cell>
        </row>
        <row r="418">
          <cell r="G418">
            <v>0</v>
          </cell>
          <cell r="H418">
            <v>0</v>
          </cell>
          <cell r="I418">
            <v>0</v>
          </cell>
        </row>
        <row r="424">
          <cell r="G424">
            <v>0</v>
          </cell>
          <cell r="H424">
            <v>0</v>
          </cell>
          <cell r="I424">
            <v>0</v>
          </cell>
        </row>
        <row r="425">
          <cell r="G425">
            <v>0</v>
          </cell>
          <cell r="H425">
            <v>0</v>
          </cell>
          <cell r="I425">
            <v>0</v>
          </cell>
        </row>
        <row r="426">
          <cell r="G426">
            <v>0</v>
          </cell>
          <cell r="H426">
            <v>0</v>
          </cell>
          <cell r="I426">
            <v>0</v>
          </cell>
        </row>
        <row r="432">
          <cell r="G432">
            <v>0</v>
          </cell>
          <cell r="H432">
            <v>0</v>
          </cell>
          <cell r="I432">
            <v>0</v>
          </cell>
        </row>
        <row r="433">
          <cell r="G433">
            <v>0</v>
          </cell>
          <cell r="H433">
            <v>0</v>
          </cell>
          <cell r="I433">
            <v>0</v>
          </cell>
        </row>
        <row r="434">
          <cell r="G434">
            <v>0</v>
          </cell>
          <cell r="H434">
            <v>0</v>
          </cell>
          <cell r="I434">
            <v>0</v>
          </cell>
        </row>
        <row r="440">
          <cell r="G440">
            <v>0</v>
          </cell>
          <cell r="H440">
            <v>0</v>
          </cell>
          <cell r="I440">
            <v>0</v>
          </cell>
        </row>
        <row r="441">
          <cell r="G441">
            <v>0</v>
          </cell>
          <cell r="H441">
            <v>0</v>
          </cell>
          <cell r="I441">
            <v>0</v>
          </cell>
        </row>
        <row r="442">
          <cell r="G442">
            <v>0</v>
          </cell>
          <cell r="H442">
            <v>0</v>
          </cell>
          <cell r="I442">
            <v>0</v>
          </cell>
        </row>
        <row r="448">
          <cell r="G448">
            <v>0</v>
          </cell>
          <cell r="H448">
            <v>0</v>
          </cell>
          <cell r="I448">
            <v>0</v>
          </cell>
        </row>
        <row r="449">
          <cell r="G449">
            <v>0</v>
          </cell>
          <cell r="H449">
            <v>0</v>
          </cell>
          <cell r="I449">
            <v>0</v>
          </cell>
        </row>
        <row r="450">
          <cell r="G450">
            <v>0</v>
          </cell>
          <cell r="H450">
            <v>0</v>
          </cell>
          <cell r="I450">
            <v>0</v>
          </cell>
        </row>
        <row r="456">
          <cell r="G456">
            <v>0</v>
          </cell>
          <cell r="H456">
            <v>0</v>
          </cell>
          <cell r="I456">
            <v>0</v>
          </cell>
        </row>
        <row r="457">
          <cell r="G457">
            <v>0</v>
          </cell>
          <cell r="H457">
            <v>0</v>
          </cell>
          <cell r="I457">
            <v>0</v>
          </cell>
        </row>
        <row r="458">
          <cell r="G458">
            <v>0</v>
          </cell>
          <cell r="H458">
            <v>0</v>
          </cell>
          <cell r="I458">
            <v>0</v>
          </cell>
        </row>
        <row r="464">
          <cell r="G464">
            <v>0</v>
          </cell>
          <cell r="H464">
            <v>0</v>
          </cell>
          <cell r="I464">
            <v>0</v>
          </cell>
        </row>
        <row r="465">
          <cell r="G465">
            <v>0</v>
          </cell>
          <cell r="H465">
            <v>0</v>
          </cell>
          <cell r="I465">
            <v>0</v>
          </cell>
        </row>
        <row r="466">
          <cell r="G466">
            <v>0</v>
          </cell>
          <cell r="H466">
            <v>0</v>
          </cell>
          <cell r="I466">
            <v>0</v>
          </cell>
        </row>
        <row r="472">
          <cell r="G472">
            <v>0</v>
          </cell>
          <cell r="H472">
            <v>0</v>
          </cell>
          <cell r="I472">
            <v>0</v>
          </cell>
        </row>
        <row r="473">
          <cell r="G473">
            <v>0</v>
          </cell>
          <cell r="H473">
            <v>0</v>
          </cell>
          <cell r="I473">
            <v>0</v>
          </cell>
        </row>
        <row r="474">
          <cell r="G474">
            <v>0</v>
          </cell>
          <cell r="H474">
            <v>0</v>
          </cell>
          <cell r="I474">
            <v>0</v>
          </cell>
        </row>
        <row r="480">
          <cell r="G480">
            <v>0</v>
          </cell>
          <cell r="H480">
            <v>0</v>
          </cell>
          <cell r="I480">
            <v>0</v>
          </cell>
        </row>
        <row r="481">
          <cell r="G481">
            <v>0</v>
          </cell>
          <cell r="H481">
            <v>0</v>
          </cell>
          <cell r="I481">
            <v>0</v>
          </cell>
        </row>
        <row r="482">
          <cell r="G482">
            <v>0</v>
          </cell>
          <cell r="H482">
            <v>0</v>
          </cell>
          <cell r="I482">
            <v>0</v>
          </cell>
        </row>
        <row r="488">
          <cell r="G488">
            <v>0</v>
          </cell>
          <cell r="H488">
            <v>0</v>
          </cell>
          <cell r="I488">
            <v>0</v>
          </cell>
        </row>
        <row r="489">
          <cell r="G489">
            <v>0</v>
          </cell>
          <cell r="H489">
            <v>0</v>
          </cell>
          <cell r="I489">
            <v>0</v>
          </cell>
        </row>
        <row r="490">
          <cell r="G490">
            <v>0</v>
          </cell>
          <cell r="H490">
            <v>0</v>
          </cell>
          <cell r="I490">
            <v>0</v>
          </cell>
        </row>
        <row r="496">
          <cell r="G496">
            <v>0</v>
          </cell>
          <cell r="H496">
            <v>0</v>
          </cell>
          <cell r="I496">
            <v>0</v>
          </cell>
        </row>
        <row r="497">
          <cell r="G497">
            <v>0</v>
          </cell>
          <cell r="H497">
            <v>0</v>
          </cell>
          <cell r="I497">
            <v>0</v>
          </cell>
        </row>
        <row r="498">
          <cell r="G498">
            <v>0</v>
          </cell>
          <cell r="H498">
            <v>0</v>
          </cell>
          <cell r="I498">
            <v>0</v>
          </cell>
        </row>
        <row r="504">
          <cell r="G504">
            <v>0</v>
          </cell>
          <cell r="H504">
            <v>0</v>
          </cell>
          <cell r="I504">
            <v>0</v>
          </cell>
        </row>
        <row r="505">
          <cell r="G505">
            <v>0</v>
          </cell>
          <cell r="H505">
            <v>0</v>
          </cell>
          <cell r="I505">
            <v>0</v>
          </cell>
        </row>
        <row r="506">
          <cell r="G506">
            <v>0</v>
          </cell>
          <cell r="H506">
            <v>0</v>
          </cell>
          <cell r="I506">
            <v>0</v>
          </cell>
        </row>
        <row r="512">
          <cell r="G512">
            <v>0</v>
          </cell>
          <cell r="H512">
            <v>0</v>
          </cell>
          <cell r="I512">
            <v>0</v>
          </cell>
        </row>
        <row r="513">
          <cell r="G513">
            <v>0</v>
          </cell>
          <cell r="H513">
            <v>0</v>
          </cell>
          <cell r="I513">
            <v>0</v>
          </cell>
        </row>
        <row r="514">
          <cell r="G514">
            <v>0</v>
          </cell>
          <cell r="H514">
            <v>0</v>
          </cell>
          <cell r="I514">
            <v>0</v>
          </cell>
        </row>
        <row r="520">
          <cell r="G520">
            <v>0</v>
          </cell>
          <cell r="H520">
            <v>0</v>
          </cell>
          <cell r="I520">
            <v>0</v>
          </cell>
        </row>
        <row r="521">
          <cell r="G521">
            <v>0</v>
          </cell>
          <cell r="H521">
            <v>0</v>
          </cell>
          <cell r="I521">
            <v>0</v>
          </cell>
        </row>
        <row r="522">
          <cell r="G522">
            <v>0</v>
          </cell>
          <cell r="H522">
            <v>0</v>
          </cell>
          <cell r="I522">
            <v>0</v>
          </cell>
        </row>
        <row r="528">
          <cell r="G528">
            <v>0</v>
          </cell>
          <cell r="H528">
            <v>0</v>
          </cell>
          <cell r="I528">
            <v>0</v>
          </cell>
        </row>
        <row r="529">
          <cell r="G529">
            <v>0</v>
          </cell>
          <cell r="H529">
            <v>0</v>
          </cell>
          <cell r="I529">
            <v>0</v>
          </cell>
        </row>
        <row r="530">
          <cell r="G530">
            <v>0</v>
          </cell>
          <cell r="H530">
            <v>0</v>
          </cell>
          <cell r="I530">
            <v>0</v>
          </cell>
        </row>
        <row r="536">
          <cell r="G536">
            <v>0</v>
          </cell>
          <cell r="H536">
            <v>0</v>
          </cell>
          <cell r="I536">
            <v>0</v>
          </cell>
        </row>
        <row r="537">
          <cell r="G537">
            <v>0</v>
          </cell>
          <cell r="H537">
            <v>0</v>
          </cell>
          <cell r="I537">
            <v>0</v>
          </cell>
        </row>
        <row r="538">
          <cell r="G538">
            <v>0</v>
          </cell>
          <cell r="H538">
            <v>0</v>
          </cell>
          <cell r="I538">
            <v>0</v>
          </cell>
        </row>
        <row r="544">
          <cell r="G544">
            <v>0</v>
          </cell>
          <cell r="H544">
            <v>0</v>
          </cell>
          <cell r="I544">
            <v>0</v>
          </cell>
        </row>
        <row r="545">
          <cell r="G545">
            <v>0</v>
          </cell>
          <cell r="H545">
            <v>0</v>
          </cell>
          <cell r="I545">
            <v>0</v>
          </cell>
        </row>
        <row r="546">
          <cell r="G546">
            <v>0</v>
          </cell>
          <cell r="H546">
            <v>0</v>
          </cell>
          <cell r="I546">
            <v>0</v>
          </cell>
        </row>
        <row r="552">
          <cell r="G552">
            <v>0</v>
          </cell>
          <cell r="H552">
            <v>0</v>
          </cell>
          <cell r="I552">
            <v>0</v>
          </cell>
        </row>
        <row r="553">
          <cell r="G553">
            <v>0</v>
          </cell>
          <cell r="H553">
            <v>0</v>
          </cell>
          <cell r="I553">
            <v>0</v>
          </cell>
        </row>
        <row r="554">
          <cell r="G554">
            <v>0</v>
          </cell>
          <cell r="H554">
            <v>0</v>
          </cell>
          <cell r="I554">
            <v>0</v>
          </cell>
        </row>
        <row r="560">
          <cell r="G560">
            <v>0</v>
          </cell>
          <cell r="H560">
            <v>0</v>
          </cell>
          <cell r="I560">
            <v>0</v>
          </cell>
        </row>
        <row r="561">
          <cell r="G561">
            <v>0</v>
          </cell>
          <cell r="H561">
            <v>0</v>
          </cell>
          <cell r="I561">
            <v>0</v>
          </cell>
        </row>
        <row r="562">
          <cell r="G562">
            <v>0</v>
          </cell>
          <cell r="H562">
            <v>0</v>
          </cell>
          <cell r="I562">
            <v>0</v>
          </cell>
        </row>
        <row r="568">
          <cell r="G568">
            <v>0</v>
          </cell>
          <cell r="H568">
            <v>0</v>
          </cell>
          <cell r="I568">
            <v>0</v>
          </cell>
        </row>
        <row r="569">
          <cell r="G569">
            <v>0</v>
          </cell>
          <cell r="H569">
            <v>0</v>
          </cell>
          <cell r="I569">
            <v>0</v>
          </cell>
        </row>
        <row r="570">
          <cell r="G570">
            <v>0</v>
          </cell>
          <cell r="H570">
            <v>0</v>
          </cell>
          <cell r="I570">
            <v>0</v>
          </cell>
        </row>
        <row r="584">
          <cell r="G584">
            <v>0</v>
          </cell>
          <cell r="H584">
            <v>0</v>
          </cell>
          <cell r="I584">
            <v>0</v>
          </cell>
        </row>
        <row r="585">
          <cell r="G585">
            <v>0</v>
          </cell>
          <cell r="H585">
            <v>0</v>
          </cell>
          <cell r="I585">
            <v>0</v>
          </cell>
        </row>
        <row r="586">
          <cell r="G586">
            <v>0</v>
          </cell>
          <cell r="H586">
            <v>0</v>
          </cell>
          <cell r="I586">
            <v>0</v>
          </cell>
        </row>
        <row r="592">
          <cell r="G592">
            <v>0</v>
          </cell>
          <cell r="H592">
            <v>0</v>
          </cell>
          <cell r="I592">
            <v>0</v>
          </cell>
        </row>
        <row r="593">
          <cell r="G593">
            <v>0</v>
          </cell>
          <cell r="H593">
            <v>0</v>
          </cell>
          <cell r="I593">
            <v>0</v>
          </cell>
        </row>
        <row r="594">
          <cell r="G594">
            <v>0</v>
          </cell>
          <cell r="H594">
            <v>0</v>
          </cell>
          <cell r="I594">
            <v>0</v>
          </cell>
        </row>
      </sheetData>
      <sheetData sheetId="2"/>
      <sheetData sheetId="3">
        <row r="16">
          <cell r="L16">
            <v>4921</v>
          </cell>
        </row>
      </sheetData>
      <sheetData sheetId="4"/>
      <sheetData sheetId="5"/>
      <sheetData sheetId="6"/>
      <sheetData sheetId="7"/>
      <sheetData sheetId="8"/>
      <sheetData sheetId="9">
        <row r="6">
          <cell r="F6">
            <v>528911.6</v>
          </cell>
        </row>
      </sheetData>
      <sheetData sheetId="10"/>
      <sheetData sheetId="11"/>
      <sheetData sheetId="12"/>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План18-20-2"/>
      <sheetName val="3. ОМ"/>
      <sheetName val="Исп.бюдж.01.01.2019"/>
      <sheetName val="8 План18-20-5"/>
      <sheetName val="12А"/>
      <sheetName val="12Б_СТРОЙКА_НОВЫЙ"/>
      <sheetName val="НП"/>
      <sheetName val="программа"/>
      <sheetName val="475ПП"/>
      <sheetName val="Документ"/>
      <sheetName val="12А_МИНСТРОЙ"/>
      <sheetName val="12Б_СТРОЙКА_СТАРЫЙ"/>
      <sheetName val="2023_КАССА"/>
      <sheetName val="Минфин"/>
      <sheetName val="Муниципальные"/>
      <sheetName val="Областные"/>
      <sheetName val="Пр ГП 19-20"/>
      <sheetName val="Исп.бюдж 01.07.19"/>
      <sheetName val="11д. Оц эф"/>
      <sheetName val="11г"/>
      <sheetName val="4. ОКС"/>
      <sheetName val="8 План16-20"/>
    </sheetNames>
    <sheetDataSet>
      <sheetData sheetId="0"/>
      <sheetData sheetId="1"/>
      <sheetData sheetId="2"/>
      <sheetData sheetId="3"/>
      <sheetData sheetId="4"/>
      <sheetData sheetId="5"/>
      <sheetData sheetId="6">
        <row r="58">
          <cell r="P58">
            <v>1120.5</v>
          </cell>
        </row>
        <row r="60">
          <cell r="P60">
            <v>2983.5115500000002</v>
          </cell>
        </row>
        <row r="92">
          <cell r="P92">
            <v>3950.25</v>
          </cell>
        </row>
        <row r="186">
          <cell r="P186">
            <v>3874.30494</v>
          </cell>
        </row>
        <row r="187">
          <cell r="P187">
            <v>247.29606000000001</v>
          </cell>
        </row>
        <row r="197">
          <cell r="P197">
            <v>7213.9833699999999</v>
          </cell>
        </row>
        <row r="198">
          <cell r="P198">
            <v>460.46701999999999</v>
          </cell>
        </row>
      </sheetData>
      <sheetData sheetId="7">
        <row r="19">
          <cell r="P19">
            <v>49849.056770000003</v>
          </cell>
        </row>
        <row r="49">
          <cell r="P49">
            <v>31380.653770000001</v>
          </cell>
        </row>
        <row r="105">
          <cell r="Q105">
            <v>35440</v>
          </cell>
        </row>
      </sheetData>
      <sheetData sheetId="8">
        <row r="61">
          <cell r="F61">
            <v>40000</v>
          </cell>
          <cell r="G61">
            <v>0</v>
          </cell>
          <cell r="H61">
            <v>0</v>
          </cell>
          <cell r="I61">
            <v>0</v>
          </cell>
        </row>
        <row r="73">
          <cell r="F73">
            <v>40000</v>
          </cell>
          <cell r="G73">
            <v>0</v>
          </cell>
          <cell r="H73">
            <v>0</v>
          </cell>
          <cell r="I73">
            <v>0</v>
          </cell>
        </row>
        <row r="79">
          <cell r="F79">
            <v>2451.4306900000001</v>
          </cell>
          <cell r="G79">
            <v>0</v>
          </cell>
          <cell r="H79">
            <v>0</v>
          </cell>
          <cell r="I79">
            <v>0</v>
          </cell>
        </row>
        <row r="85">
          <cell r="F85">
            <v>57948.035000000003</v>
          </cell>
          <cell r="G85">
            <v>0</v>
          </cell>
          <cell r="H85">
            <v>0</v>
          </cell>
          <cell r="I85">
            <v>0</v>
          </cell>
        </row>
        <row r="91">
          <cell r="F91">
            <v>20000</v>
          </cell>
          <cell r="G91">
            <v>0</v>
          </cell>
          <cell r="H91">
            <v>0</v>
          </cell>
          <cell r="I91">
            <v>0</v>
          </cell>
        </row>
        <row r="109">
          <cell r="F109">
            <v>26000</v>
          </cell>
          <cell r="G109">
            <v>0</v>
          </cell>
          <cell r="H109">
            <v>0</v>
          </cell>
          <cell r="I109">
            <v>0</v>
          </cell>
        </row>
        <row r="127">
          <cell r="F127">
            <v>9000</v>
          </cell>
          <cell r="G127">
            <v>0</v>
          </cell>
          <cell r="H127">
            <v>5210.5263199999999</v>
          </cell>
          <cell r="I127">
            <v>0</v>
          </cell>
        </row>
        <row r="133">
          <cell r="F133">
            <v>35000</v>
          </cell>
          <cell r="G133">
            <v>0</v>
          </cell>
          <cell r="H133">
            <v>7275.2650199999998</v>
          </cell>
          <cell r="I133">
            <v>0</v>
          </cell>
        </row>
        <row r="139">
          <cell r="F139">
            <v>14000</v>
          </cell>
          <cell r="G139">
            <v>0</v>
          </cell>
          <cell r="H139">
            <v>0</v>
          </cell>
          <cell r="I139">
            <v>0</v>
          </cell>
        </row>
        <row r="151">
          <cell r="F151">
            <v>101.89149</v>
          </cell>
          <cell r="G151">
            <v>1596.3</v>
          </cell>
          <cell r="H151">
            <v>0</v>
          </cell>
          <cell r="I151">
            <v>0</v>
          </cell>
        </row>
        <row r="157">
          <cell r="F157">
            <v>3159.1</v>
          </cell>
        </row>
        <row r="163">
          <cell r="F163">
            <v>4000</v>
          </cell>
        </row>
        <row r="187">
          <cell r="F187">
            <v>2106.6570000000002</v>
          </cell>
        </row>
        <row r="193">
          <cell r="F193">
            <v>59494.678659999998</v>
          </cell>
        </row>
        <row r="199">
          <cell r="F199">
            <v>32.07</v>
          </cell>
        </row>
        <row r="205">
          <cell r="F205">
            <v>878519.89599999995</v>
          </cell>
        </row>
        <row r="211">
          <cell r="F211">
            <v>3561.3</v>
          </cell>
        </row>
        <row r="247">
          <cell r="F247">
            <v>5000</v>
          </cell>
        </row>
        <row r="271">
          <cell r="F271">
            <v>30187.855</v>
          </cell>
        </row>
        <row r="301">
          <cell r="F301">
            <v>3628.395</v>
          </cell>
          <cell r="G301">
            <v>0</v>
          </cell>
          <cell r="H301">
            <v>0</v>
          </cell>
          <cell r="I301">
            <v>0</v>
          </cell>
        </row>
        <row r="307">
          <cell r="F307">
            <v>16200.621999999999</v>
          </cell>
          <cell r="G307">
            <v>0</v>
          </cell>
          <cell r="H307">
            <v>0</v>
          </cell>
          <cell r="I307">
            <v>0</v>
          </cell>
        </row>
        <row r="319">
          <cell r="F319">
            <v>6400</v>
          </cell>
          <cell r="G319">
            <v>0</v>
          </cell>
          <cell r="H319">
            <v>3446.2</v>
          </cell>
          <cell r="I319">
            <v>0</v>
          </cell>
        </row>
        <row r="325">
          <cell r="F325">
            <v>41400</v>
          </cell>
          <cell r="G325">
            <v>0</v>
          </cell>
          <cell r="H325">
            <v>16331.03</v>
          </cell>
          <cell r="I325">
            <v>0</v>
          </cell>
        </row>
        <row r="337">
          <cell r="F337">
            <v>460.71632</v>
          </cell>
          <cell r="G337">
            <v>7217.9</v>
          </cell>
          <cell r="H337">
            <v>0</v>
          </cell>
          <cell r="I337">
            <v>0</v>
          </cell>
        </row>
        <row r="343">
          <cell r="F343">
            <v>247.69786999999997</v>
          </cell>
          <cell r="G343">
            <v>3880.6</v>
          </cell>
          <cell r="H343">
            <v>0</v>
          </cell>
          <cell r="I343">
            <v>0</v>
          </cell>
        </row>
        <row r="481">
          <cell r="F481">
            <v>18347.957999999999</v>
          </cell>
          <cell r="G481">
            <v>0</v>
          </cell>
          <cell r="H481">
            <v>965.68200000000002</v>
          </cell>
          <cell r="I481">
            <v>0</v>
          </cell>
        </row>
        <row r="487">
          <cell r="F487">
            <v>6000</v>
          </cell>
          <cell r="G487">
            <v>0</v>
          </cell>
          <cell r="H487">
            <v>0</v>
          </cell>
          <cell r="I487">
            <v>0</v>
          </cell>
        </row>
        <row r="577">
          <cell r="F577">
            <v>76000</v>
          </cell>
          <cell r="G577">
            <v>0</v>
          </cell>
          <cell r="H577">
            <v>4000</v>
          </cell>
          <cell r="I577">
            <v>0</v>
          </cell>
        </row>
        <row r="583">
          <cell r="F583">
            <v>4400</v>
          </cell>
          <cell r="G583">
            <v>0</v>
          </cell>
          <cell r="H583">
            <v>0</v>
          </cell>
          <cell r="I583">
            <v>0</v>
          </cell>
        </row>
        <row r="631">
          <cell r="F631">
            <v>9500</v>
          </cell>
          <cell r="G631">
            <v>0</v>
          </cell>
          <cell r="H631">
            <v>500</v>
          </cell>
          <cell r="I631">
            <v>0</v>
          </cell>
        </row>
        <row r="697">
          <cell r="F697">
            <v>6710</v>
          </cell>
          <cell r="G697">
            <v>180476.63</v>
          </cell>
          <cell r="H697">
            <v>0</v>
          </cell>
          <cell r="I697">
            <v>0</v>
          </cell>
        </row>
        <row r="703">
          <cell r="F703">
            <v>0</v>
          </cell>
          <cell r="G703">
            <v>65440</v>
          </cell>
          <cell r="H703">
            <v>0</v>
          </cell>
          <cell r="I703">
            <v>0</v>
          </cell>
        </row>
        <row r="709">
          <cell r="F709">
            <v>0</v>
          </cell>
          <cell r="G709">
            <v>51403.11</v>
          </cell>
          <cell r="H709">
            <v>0</v>
          </cell>
          <cell r="I709">
            <v>0</v>
          </cell>
        </row>
        <row r="721">
          <cell r="F721">
            <v>3950.25</v>
          </cell>
          <cell r="G721">
            <v>0</v>
          </cell>
          <cell r="H721">
            <v>0</v>
          </cell>
          <cell r="I721">
            <v>0</v>
          </cell>
        </row>
        <row r="739">
          <cell r="F739">
            <v>7725.3191500000057</v>
          </cell>
          <cell r="G739">
            <v>127391</v>
          </cell>
          <cell r="H739">
            <v>406.59573999997519</v>
          </cell>
        </row>
        <row r="757">
          <cell r="F757">
            <v>54125.195</v>
          </cell>
          <cell r="G757">
            <v>0</v>
          </cell>
          <cell r="H757">
            <v>0</v>
          </cell>
          <cell r="I757">
            <v>0</v>
          </cell>
        </row>
      </sheetData>
      <sheetData sheetId="9">
        <row r="24">
          <cell r="L24">
            <v>10000</v>
          </cell>
        </row>
        <row r="27">
          <cell r="L27">
            <v>40000</v>
          </cell>
        </row>
        <row r="30">
          <cell r="L30">
            <v>22500</v>
          </cell>
        </row>
        <row r="64">
          <cell r="L64">
            <v>134.43218999999999</v>
          </cell>
        </row>
        <row r="73">
          <cell r="L73">
            <v>22683.900150000001</v>
          </cell>
        </row>
        <row r="105">
          <cell r="L105">
            <v>22775.04636</v>
          </cell>
        </row>
      </sheetData>
      <sheetData sheetId="10"/>
      <sheetData sheetId="11"/>
      <sheetData sheetId="12">
        <row r="44">
          <cell r="G44">
            <v>1115.63148</v>
          </cell>
        </row>
        <row r="45">
          <cell r="G45">
            <v>71.210520000000002</v>
          </cell>
        </row>
        <row r="48">
          <cell r="G48">
            <v>218.01</v>
          </cell>
        </row>
        <row r="49">
          <cell r="G49">
            <v>59400</v>
          </cell>
        </row>
        <row r="50">
          <cell r="G50">
            <v>30.920999999999999</v>
          </cell>
        </row>
        <row r="56">
          <cell r="F56">
            <v>476163.86099999998</v>
          </cell>
        </row>
        <row r="65">
          <cell r="F65">
            <v>30187.829369999999</v>
          </cell>
        </row>
        <row r="66">
          <cell r="F66">
            <v>2612</v>
          </cell>
        </row>
        <row r="78">
          <cell r="F78">
            <v>0</v>
          </cell>
        </row>
        <row r="81">
          <cell r="F81">
            <v>839</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21-25"/>
      <sheetName val="Роспись Минстрой"/>
      <sheetName val="План реализации _ 10"/>
      <sheetName val="План реализации _ 11"/>
      <sheetName val="Пр10б. Справка 11"/>
      <sheetName val="4.ОКС_2"/>
      <sheetName val="Справка 6б"/>
      <sheetName val="План реализации 13"/>
      <sheetName val="План реализации 14"/>
      <sheetName val="Справка 11 в"/>
      <sheetName val="Лист1"/>
      <sheetName val="10а. Спр пок  "/>
      <sheetName val="План 21-25_9"/>
      <sheetName val="ГП РФ"/>
      <sheetName val="Пр 10в ОКС"/>
      <sheetName val="План 21-25_8 (2)"/>
      <sheetName val="_6_ОМ"/>
      <sheetName val="5092197"/>
      <sheetName val="СТАРЫЙ"/>
      <sheetName val="НОВЫЙ"/>
      <sheetName val="Пр 11б. Справка"/>
      <sheetName val="6.ОМ"/>
      <sheetName val="Справка_Минэнерго"/>
      <sheetName val="ОМ_минэнерго"/>
      <sheetName val="План_минэн."/>
      <sheetName val="План_нов_ред.минэн."/>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89">
          <cell r="E689">
            <v>1965199.79856</v>
          </cell>
          <cell r="F689">
            <v>1667880.05856</v>
          </cell>
          <cell r="G689">
            <v>297319.74</v>
          </cell>
          <cell r="H689">
            <v>0</v>
          </cell>
          <cell r="I689">
            <v>0</v>
          </cell>
        </row>
        <row r="690">
          <cell r="E690">
            <v>0</v>
          </cell>
          <cell r="F690">
            <v>0</v>
          </cell>
          <cell r="G690">
            <v>0</v>
          </cell>
          <cell r="H690">
            <v>0</v>
          </cell>
          <cell r="I690">
            <v>0</v>
          </cell>
        </row>
        <row r="691">
          <cell r="E691">
            <v>0</v>
          </cell>
          <cell r="F691">
            <v>0</v>
          </cell>
          <cell r="G691">
            <v>0</v>
          </cell>
          <cell r="H691">
            <v>0</v>
          </cell>
          <cell r="I691">
            <v>0</v>
          </cell>
        </row>
        <row r="692">
          <cell r="E692">
            <v>381844.82530999999</v>
          </cell>
          <cell r="F692">
            <v>84525.085309999995</v>
          </cell>
          <cell r="G692">
            <v>297319.74</v>
          </cell>
          <cell r="H692">
            <v>0</v>
          </cell>
          <cell r="I692">
            <v>0</v>
          </cell>
        </row>
        <row r="693">
          <cell r="E693">
            <v>1101184.97325</v>
          </cell>
          <cell r="F693">
            <v>1101184.97325</v>
          </cell>
          <cell r="G693">
            <v>0</v>
          </cell>
          <cell r="H693">
            <v>0</v>
          </cell>
          <cell r="I693">
            <v>0</v>
          </cell>
        </row>
        <row r="694">
          <cell r="E694">
            <v>482170</v>
          </cell>
          <cell r="F694">
            <v>482170</v>
          </cell>
          <cell r="G694">
            <v>0</v>
          </cell>
          <cell r="H694">
            <v>0</v>
          </cell>
          <cell r="I694">
            <v>0</v>
          </cell>
        </row>
        <row r="695">
          <cell r="E695">
            <v>884016.68856000004</v>
          </cell>
          <cell r="F695">
            <v>703540.05856000003</v>
          </cell>
          <cell r="G695">
            <v>180476.63</v>
          </cell>
          <cell r="H695">
            <v>0</v>
          </cell>
          <cell r="I695">
            <v>0</v>
          </cell>
        </row>
        <row r="696">
          <cell r="E696">
            <v>0</v>
          </cell>
          <cell r="F696">
            <v>0</v>
          </cell>
          <cell r="G696">
            <v>0</v>
          </cell>
          <cell r="H696">
            <v>0</v>
          </cell>
          <cell r="I696">
            <v>0</v>
          </cell>
        </row>
        <row r="697">
          <cell r="E697">
            <v>0</v>
          </cell>
          <cell r="F697">
            <v>0</v>
          </cell>
          <cell r="G697">
            <v>0</v>
          </cell>
          <cell r="H697">
            <v>0</v>
          </cell>
          <cell r="I697">
            <v>0</v>
          </cell>
        </row>
        <row r="698">
          <cell r="E698">
            <v>265001.71531</v>
          </cell>
          <cell r="F698">
            <v>84525.085309999995</v>
          </cell>
          <cell r="G698">
            <v>180476.63</v>
          </cell>
          <cell r="H698">
            <v>0</v>
          </cell>
          <cell r="I698">
            <v>0</v>
          </cell>
        </row>
        <row r="699">
          <cell r="E699">
            <v>619014.97325000004</v>
          </cell>
          <cell r="F699">
            <v>619014.97325000004</v>
          </cell>
          <cell r="G699">
            <v>0</v>
          </cell>
          <cell r="H699">
            <v>0</v>
          </cell>
          <cell r="I699">
            <v>0</v>
          </cell>
        </row>
        <row r="700">
          <cell r="E700">
            <v>0</v>
          </cell>
          <cell r="F700">
            <v>0</v>
          </cell>
          <cell r="G700">
            <v>0</v>
          </cell>
          <cell r="H700">
            <v>0</v>
          </cell>
          <cell r="I700">
            <v>0</v>
          </cell>
        </row>
        <row r="701">
          <cell r="E701">
            <v>249780</v>
          </cell>
          <cell r="F701">
            <v>184340</v>
          </cell>
          <cell r="G701">
            <v>65440</v>
          </cell>
          <cell r="H701">
            <v>0</v>
          </cell>
          <cell r="I701">
            <v>0</v>
          </cell>
        </row>
        <row r="702">
          <cell r="E702">
            <v>0</v>
          </cell>
          <cell r="F702">
            <v>0</v>
          </cell>
          <cell r="G702">
            <v>0</v>
          </cell>
          <cell r="H702">
            <v>0</v>
          </cell>
          <cell r="I702">
            <v>0</v>
          </cell>
        </row>
        <row r="703">
          <cell r="E703">
            <v>0</v>
          </cell>
          <cell r="F703">
            <v>0</v>
          </cell>
          <cell r="G703">
            <v>0</v>
          </cell>
          <cell r="H703">
            <v>0</v>
          </cell>
          <cell r="I703">
            <v>0</v>
          </cell>
        </row>
        <row r="704">
          <cell r="E704">
            <v>65440</v>
          </cell>
          <cell r="F704">
            <v>0</v>
          </cell>
          <cell r="G704">
            <v>65440</v>
          </cell>
          <cell r="H704">
            <v>0</v>
          </cell>
          <cell r="I704">
            <v>0</v>
          </cell>
        </row>
        <row r="705">
          <cell r="E705">
            <v>92170</v>
          </cell>
          <cell r="F705">
            <v>92170</v>
          </cell>
          <cell r="G705">
            <v>0</v>
          </cell>
          <cell r="H705">
            <v>0</v>
          </cell>
          <cell r="I705">
            <v>0</v>
          </cell>
        </row>
        <row r="706">
          <cell r="E706">
            <v>92170</v>
          </cell>
          <cell r="F706">
            <v>92170</v>
          </cell>
          <cell r="G706">
            <v>0</v>
          </cell>
          <cell r="H706">
            <v>0</v>
          </cell>
          <cell r="I706">
            <v>0</v>
          </cell>
        </row>
        <row r="707">
          <cell r="E707">
            <v>831403.11</v>
          </cell>
          <cell r="F707">
            <v>780000</v>
          </cell>
          <cell r="G707">
            <v>51403.11</v>
          </cell>
          <cell r="H707">
            <v>0</v>
          </cell>
          <cell r="I707">
            <v>0</v>
          </cell>
        </row>
        <row r="708">
          <cell r="E708">
            <v>0</v>
          </cell>
          <cell r="F708">
            <v>0</v>
          </cell>
          <cell r="G708">
            <v>0</v>
          </cell>
          <cell r="H708">
            <v>0</v>
          </cell>
          <cell r="I708">
            <v>0</v>
          </cell>
        </row>
        <row r="709">
          <cell r="E709">
            <v>0</v>
          </cell>
          <cell r="F709">
            <v>0</v>
          </cell>
          <cell r="G709">
            <v>0</v>
          </cell>
          <cell r="H709">
            <v>0</v>
          </cell>
          <cell r="I709">
            <v>0</v>
          </cell>
        </row>
        <row r="710">
          <cell r="E710">
            <v>51403.11</v>
          </cell>
          <cell r="F710">
            <v>0</v>
          </cell>
          <cell r="G710">
            <v>51403.11</v>
          </cell>
          <cell r="H710">
            <v>0</v>
          </cell>
          <cell r="I710">
            <v>0</v>
          </cell>
        </row>
        <row r="711">
          <cell r="E711">
            <v>390000</v>
          </cell>
          <cell r="F711">
            <v>390000</v>
          </cell>
          <cell r="G711">
            <v>0</v>
          </cell>
          <cell r="H711">
            <v>0</v>
          </cell>
          <cell r="I711">
            <v>0</v>
          </cell>
        </row>
        <row r="712">
          <cell r="E712">
            <v>390000</v>
          </cell>
          <cell r="F712">
            <v>390000</v>
          </cell>
          <cell r="G712">
            <v>0</v>
          </cell>
          <cell r="H712">
            <v>0</v>
          </cell>
          <cell r="I712">
            <v>0</v>
          </cell>
        </row>
      </sheetData>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2б. Справка"/>
      <sheetName val="Пр14. План"/>
    </sheetNames>
    <sheetDataSet>
      <sheetData sheetId="0" refreshError="1"/>
      <sheetData sheetId="1" refreshError="1">
        <row r="6">
          <cell r="F6">
            <v>870639.50000000012</v>
          </cell>
          <cell r="G6">
            <v>95764.2</v>
          </cell>
          <cell r="H6">
            <v>1752.6</v>
          </cell>
        </row>
        <row r="14">
          <cell r="E14">
            <v>20666.400000000001</v>
          </cell>
          <cell r="F14">
            <v>20666.400000000001</v>
          </cell>
          <cell r="G14">
            <v>0</v>
          </cell>
          <cell r="H14">
            <v>0</v>
          </cell>
          <cell r="I14">
            <v>0</v>
          </cell>
        </row>
        <row r="20">
          <cell r="G20">
            <v>0</v>
          </cell>
          <cell r="H20">
            <v>0</v>
          </cell>
          <cell r="I20">
            <v>0</v>
          </cell>
        </row>
        <row r="30">
          <cell r="F30">
            <v>18951.900000000001</v>
          </cell>
          <cell r="G30">
            <v>0</v>
          </cell>
          <cell r="H30">
            <v>0</v>
          </cell>
          <cell r="I30">
            <v>0</v>
          </cell>
        </row>
        <row r="36">
          <cell r="G36">
            <v>0</v>
          </cell>
          <cell r="H36">
            <v>0</v>
          </cell>
        </row>
        <row r="78">
          <cell r="E78">
            <v>1714.5</v>
          </cell>
          <cell r="F78">
            <v>1714.5</v>
          </cell>
          <cell r="G78">
            <v>0</v>
          </cell>
          <cell r="H78">
            <v>0</v>
          </cell>
          <cell r="I78">
            <v>0</v>
          </cell>
        </row>
        <row r="84">
          <cell r="G84">
            <v>0</v>
          </cell>
          <cell r="H84">
            <v>0</v>
          </cell>
          <cell r="I84">
            <v>0</v>
          </cell>
        </row>
        <row r="110">
          <cell r="E110">
            <v>358543.30000000005</v>
          </cell>
          <cell r="F110">
            <v>351200.10000000003</v>
          </cell>
          <cell r="G110">
            <v>7343.2</v>
          </cell>
          <cell r="H110">
            <v>0</v>
          </cell>
          <cell r="I110">
            <v>0</v>
          </cell>
        </row>
        <row r="116">
          <cell r="G116">
            <v>0</v>
          </cell>
          <cell r="H116">
            <v>0</v>
          </cell>
          <cell r="I116">
            <v>0</v>
          </cell>
        </row>
        <row r="126">
          <cell r="E126">
            <v>128033.59999999999</v>
          </cell>
          <cell r="F126">
            <v>128033.59999999999</v>
          </cell>
          <cell r="G126">
            <v>0</v>
          </cell>
          <cell r="H126">
            <v>0</v>
          </cell>
          <cell r="I126">
            <v>0</v>
          </cell>
        </row>
        <row r="131">
          <cell r="G131">
            <v>0</v>
          </cell>
          <cell r="H131">
            <v>0</v>
          </cell>
          <cell r="I131">
            <v>0</v>
          </cell>
        </row>
        <row r="132">
          <cell r="G132">
            <v>0</v>
          </cell>
          <cell r="H132">
            <v>0</v>
          </cell>
          <cell r="I132">
            <v>0</v>
          </cell>
        </row>
        <row r="246">
          <cell r="E246">
            <v>213046.80000000005</v>
          </cell>
          <cell r="F246">
            <v>205703.60000000003</v>
          </cell>
          <cell r="G246">
            <v>7343.2</v>
          </cell>
          <cell r="H246">
            <v>0</v>
          </cell>
          <cell r="I246">
            <v>0</v>
          </cell>
        </row>
        <row r="252">
          <cell r="G252">
            <v>0</v>
          </cell>
          <cell r="H252">
            <v>0</v>
          </cell>
          <cell r="I252">
            <v>0</v>
          </cell>
        </row>
        <row r="638">
          <cell r="E638">
            <v>17462.899999999998</v>
          </cell>
          <cell r="F638">
            <v>17462.899999999998</v>
          </cell>
          <cell r="G638">
            <v>0</v>
          </cell>
          <cell r="H638">
            <v>0</v>
          </cell>
          <cell r="I638">
            <v>0</v>
          </cell>
        </row>
        <row r="644">
          <cell r="G644">
            <v>0</v>
          </cell>
          <cell r="H644">
            <v>0</v>
          </cell>
          <cell r="I644">
            <v>0</v>
          </cell>
        </row>
        <row r="670">
          <cell r="F670">
            <v>473335.7</v>
          </cell>
          <cell r="G670">
            <v>88421</v>
          </cell>
          <cell r="H670">
            <v>1752.6</v>
          </cell>
        </row>
        <row r="686">
          <cell r="F686">
            <v>433887.5</v>
          </cell>
          <cell r="G686">
            <v>80000</v>
          </cell>
          <cell r="H686">
            <v>0</v>
          </cell>
        </row>
        <row r="789">
          <cell r="I789">
            <v>0</v>
          </cell>
        </row>
        <row r="817">
          <cell r="E817">
            <v>49621.8</v>
          </cell>
          <cell r="F817">
            <v>39448.199999999997</v>
          </cell>
          <cell r="G817">
            <v>8421</v>
          </cell>
          <cell r="H817">
            <v>1752.6</v>
          </cell>
          <cell r="I817">
            <v>0</v>
          </cell>
        </row>
        <row r="889">
          <cell r="E889">
            <v>25437.3</v>
          </cell>
          <cell r="F889">
            <v>25437.3</v>
          </cell>
          <cell r="G889">
            <v>0</v>
          </cell>
          <cell r="H889">
            <v>0</v>
          </cell>
          <cell r="I889">
            <v>0</v>
          </cell>
        </row>
        <row r="897">
          <cell r="E897">
            <v>25437.3</v>
          </cell>
          <cell r="F897">
            <v>25437.3</v>
          </cell>
          <cell r="G897">
            <v>0</v>
          </cell>
          <cell r="H897">
            <v>0</v>
          </cell>
          <cell r="I897">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ОМ"/>
      <sheetName val="5. ОКС"/>
      <sheetName val="Пр12б. Справка"/>
      <sheetName val="план 15-17"/>
    </sheetNames>
    <sheetDataSet>
      <sheetData sheetId="0"/>
      <sheetData sheetId="1"/>
      <sheetData sheetId="2"/>
      <sheetData sheetId="3">
        <row r="6">
          <cell r="F6">
            <v>621446.20000000007</v>
          </cell>
          <cell r="G6">
            <v>150332</v>
          </cell>
          <cell r="H6">
            <v>2920.6</v>
          </cell>
          <cell r="I6">
            <v>0</v>
          </cell>
        </row>
        <row r="10">
          <cell r="E10">
            <v>15058.3</v>
          </cell>
          <cell r="F10">
            <v>13143.399999999998</v>
          </cell>
          <cell r="G10">
            <v>1914.9</v>
          </cell>
          <cell r="H10">
            <v>0</v>
          </cell>
          <cell r="I10">
            <v>0</v>
          </cell>
        </row>
        <row r="30">
          <cell r="F30">
            <v>3145.7</v>
          </cell>
          <cell r="G30">
            <v>0</v>
          </cell>
          <cell r="H30">
            <v>0</v>
          </cell>
          <cell r="I30">
            <v>0</v>
          </cell>
        </row>
        <row r="42">
          <cell r="E42">
            <v>3316.2</v>
          </cell>
          <cell r="F42">
            <v>1401.3</v>
          </cell>
          <cell r="G42">
            <v>1914.9</v>
          </cell>
          <cell r="H42">
            <v>0</v>
          </cell>
          <cell r="I42">
            <v>0</v>
          </cell>
        </row>
        <row r="54">
          <cell r="E54">
            <v>336025.29999999993</v>
          </cell>
          <cell r="F54">
            <v>329450.19999999995</v>
          </cell>
          <cell r="G54">
            <v>6575.1</v>
          </cell>
          <cell r="H54">
            <v>0</v>
          </cell>
          <cell r="I54">
            <v>0</v>
          </cell>
        </row>
        <row r="62">
          <cell r="E62">
            <v>86630.5</v>
          </cell>
          <cell r="F62">
            <v>86650.5</v>
          </cell>
          <cell r="G62">
            <v>0</v>
          </cell>
          <cell r="H62">
            <v>0</v>
          </cell>
          <cell r="I62">
            <v>0</v>
          </cell>
        </row>
        <row r="118">
          <cell r="E118">
            <v>233706.69999999995</v>
          </cell>
          <cell r="F118">
            <v>227131.59999999995</v>
          </cell>
          <cell r="G118">
            <v>6575.1</v>
          </cell>
          <cell r="H118">
            <v>0</v>
          </cell>
          <cell r="I118">
            <v>0</v>
          </cell>
        </row>
        <row r="266">
          <cell r="E266">
            <v>15668.1</v>
          </cell>
          <cell r="F266">
            <v>15668.1</v>
          </cell>
          <cell r="G266">
            <v>0</v>
          </cell>
          <cell r="H266">
            <v>0</v>
          </cell>
          <cell r="I266">
            <v>0</v>
          </cell>
        </row>
        <row r="286">
          <cell r="F286">
            <v>254835.7</v>
          </cell>
          <cell r="G286">
            <v>141842</v>
          </cell>
          <cell r="H286">
            <v>2920.6</v>
          </cell>
          <cell r="I286">
            <v>0</v>
          </cell>
        </row>
        <row r="294">
          <cell r="F294">
            <v>198427.5</v>
          </cell>
          <cell r="G294">
            <v>125000</v>
          </cell>
          <cell r="H294">
            <v>0</v>
          </cell>
          <cell r="I294">
            <v>0</v>
          </cell>
        </row>
        <row r="298">
          <cell r="F298">
            <v>69933</v>
          </cell>
        </row>
        <row r="302">
          <cell r="F302">
            <v>36221</v>
          </cell>
        </row>
        <row r="306">
          <cell r="F306">
            <v>33970.5</v>
          </cell>
        </row>
        <row r="310">
          <cell r="F310">
            <v>38000</v>
          </cell>
        </row>
        <row r="314">
          <cell r="E314">
            <v>4500</v>
          </cell>
          <cell r="F314">
            <v>4500</v>
          </cell>
          <cell r="G314">
            <v>0</v>
          </cell>
          <cell r="H314">
            <v>0</v>
          </cell>
          <cell r="I314">
            <v>0</v>
          </cell>
        </row>
        <row r="318">
          <cell r="F318">
            <v>0</v>
          </cell>
        </row>
        <row r="322">
          <cell r="F322">
            <v>0</v>
          </cell>
        </row>
        <row r="326">
          <cell r="F326">
            <v>15803</v>
          </cell>
        </row>
        <row r="330">
          <cell r="F330">
            <v>0</v>
          </cell>
        </row>
        <row r="338">
          <cell r="E338">
            <v>76170.799999999988</v>
          </cell>
          <cell r="F338">
            <v>56408.2</v>
          </cell>
          <cell r="G338">
            <v>16842</v>
          </cell>
          <cell r="H338">
            <v>2920.6</v>
          </cell>
          <cell r="I338">
            <v>0</v>
          </cell>
        </row>
        <row r="342">
          <cell r="E342">
            <v>409.2</v>
          </cell>
          <cell r="F342">
            <v>409.2</v>
          </cell>
          <cell r="G342">
            <v>0</v>
          </cell>
          <cell r="H342">
            <v>0</v>
          </cell>
          <cell r="I342">
            <v>0</v>
          </cell>
        </row>
        <row r="346">
          <cell r="F346">
            <v>51099</v>
          </cell>
        </row>
        <row r="350">
          <cell r="F350">
            <v>4400</v>
          </cell>
        </row>
        <row r="354">
          <cell r="E354">
            <v>0</v>
          </cell>
          <cell r="F354">
            <v>0</v>
          </cell>
          <cell r="G354">
            <v>0</v>
          </cell>
          <cell r="H354">
            <v>0</v>
          </cell>
          <cell r="I354">
            <v>0</v>
          </cell>
        </row>
        <row r="358">
          <cell r="E358">
            <v>0</v>
          </cell>
          <cell r="F358">
            <v>0</v>
          </cell>
          <cell r="G358">
            <v>0</v>
          </cell>
          <cell r="H358">
            <v>0</v>
          </cell>
          <cell r="I358">
            <v>0</v>
          </cell>
        </row>
        <row r="362">
          <cell r="E362">
            <v>0</v>
          </cell>
          <cell r="F362">
            <v>0</v>
          </cell>
          <cell r="G362">
            <v>0</v>
          </cell>
          <cell r="H362">
            <v>0</v>
          </cell>
          <cell r="I362">
            <v>0</v>
          </cell>
        </row>
        <row r="366">
          <cell r="F366">
            <v>0</v>
          </cell>
        </row>
        <row r="370">
          <cell r="E370">
            <v>500</v>
          </cell>
          <cell r="F370">
            <v>500</v>
          </cell>
          <cell r="G370">
            <v>0</v>
          </cell>
          <cell r="H370">
            <v>0</v>
          </cell>
          <cell r="I370">
            <v>0</v>
          </cell>
        </row>
        <row r="374">
          <cell r="E374">
            <v>16842</v>
          </cell>
          <cell r="F374">
            <v>0</v>
          </cell>
          <cell r="G374">
            <v>16842</v>
          </cell>
          <cell r="H374">
            <v>0</v>
          </cell>
          <cell r="I374">
            <v>0</v>
          </cell>
        </row>
        <row r="378">
          <cell r="F378">
            <v>24016.899999999998</v>
          </cell>
        </row>
        <row r="382">
          <cell r="F382">
            <v>24016.899999999998</v>
          </cell>
          <cell r="G382">
            <v>0</v>
          </cell>
          <cell r="H382">
            <v>0</v>
          </cell>
          <cell r="I382">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ОМ"/>
      <sheetName val="План"/>
      <sheetName val="16-18"/>
      <sheetName val="4. ОКС"/>
      <sheetName val="5. Фин уч"/>
      <sheetName val="c учетом УС"/>
      <sheetName val="8 План16-19 (2)"/>
      <sheetName val=" 3.ОМ 16-19"/>
      <sheetName val="Изменения 2017 Минфин"/>
      <sheetName val="Справка ОКС"/>
      <sheetName val="8 План18-20-1"/>
      <sheetName val="8 План18-20-2"/>
      <sheetName val="10а. Спр пок "/>
      <sheetName val="10б. Справка"/>
      <sheetName val="Сводная"/>
      <sheetName val="10в Справка ОКС"/>
      <sheetName val="8 План16-20"/>
      <sheetName val="10в. Спр ОКС"/>
      <sheetName val="4. ОКС 16-19-3"/>
      <sheetName val="Пр8 16-19 (2)"/>
    </sheetNames>
    <sheetDataSet>
      <sheetData sheetId="0" refreshError="1"/>
      <sheetData sheetId="1" refreshError="1"/>
      <sheetData sheetId="2" refreshError="1"/>
      <sheetData sheetId="3">
        <row r="16">
          <cell r="L16">
            <v>4921</v>
          </cell>
        </row>
        <row r="101">
          <cell r="L101">
            <v>2188.1</v>
          </cell>
        </row>
      </sheetData>
      <sheetData sheetId="4" refreshError="1"/>
      <sheetData sheetId="5" refreshError="1"/>
      <sheetData sheetId="6" refreshError="1"/>
      <sheetData sheetId="7" refreshError="1"/>
      <sheetData sheetId="8" refreshError="1"/>
      <sheetData sheetId="9" refreshError="1"/>
      <sheetData sheetId="10" refreshError="1"/>
      <sheetData sheetId="11">
        <row r="6">
          <cell r="F6">
            <v>528911.6</v>
          </cell>
          <cell r="G6">
            <v>25501.9</v>
          </cell>
          <cell r="H6">
            <v>20949.2</v>
          </cell>
          <cell r="I6">
            <v>20800</v>
          </cell>
        </row>
        <row r="7">
          <cell r="F7">
            <v>622094.69999999995</v>
          </cell>
          <cell r="G7">
            <v>37021</v>
          </cell>
          <cell r="H7">
            <v>67320.800000000003</v>
          </cell>
          <cell r="I7">
            <v>15000</v>
          </cell>
        </row>
        <row r="8">
          <cell r="F8">
            <v>1011644.85</v>
          </cell>
          <cell r="G8">
            <v>32132.199999999997</v>
          </cell>
          <cell r="H8">
            <v>53899.6</v>
          </cell>
          <cell r="I8">
            <v>0</v>
          </cell>
        </row>
        <row r="9">
          <cell r="F9">
            <v>1128676.5</v>
          </cell>
          <cell r="G9">
            <v>111471.4</v>
          </cell>
          <cell r="H9">
            <v>114812.6</v>
          </cell>
          <cell r="I9">
            <v>28300</v>
          </cell>
        </row>
        <row r="12">
          <cell r="E12">
            <v>20057.099999999999</v>
          </cell>
          <cell r="F12">
            <v>12120.599999999999</v>
          </cell>
          <cell r="G12">
            <v>7936.5</v>
          </cell>
          <cell r="H12">
            <v>0</v>
          </cell>
          <cell r="I12">
            <v>0</v>
          </cell>
        </row>
        <row r="13">
          <cell r="E13">
            <v>29900.6</v>
          </cell>
          <cell r="F13">
            <v>12200.599999999999</v>
          </cell>
          <cell r="G13">
            <v>17700</v>
          </cell>
          <cell r="H13">
            <v>0</v>
          </cell>
          <cell r="I13">
            <v>0</v>
          </cell>
        </row>
        <row r="14">
          <cell r="E14">
            <v>79841.8</v>
          </cell>
          <cell r="F14">
            <v>63022.5</v>
          </cell>
          <cell r="G14">
            <v>16819.3</v>
          </cell>
          <cell r="H14">
            <v>0</v>
          </cell>
          <cell r="I14">
            <v>0</v>
          </cell>
        </row>
        <row r="15">
          <cell r="E15">
            <v>51190.8</v>
          </cell>
          <cell r="F15">
            <v>51190.8</v>
          </cell>
          <cell r="G15">
            <v>0</v>
          </cell>
          <cell r="H15">
            <v>0</v>
          </cell>
          <cell r="I15">
            <v>0</v>
          </cell>
        </row>
        <row r="16">
          <cell r="E16">
            <v>51748.9</v>
          </cell>
          <cell r="F16">
            <v>51748.9</v>
          </cell>
          <cell r="G16">
            <v>0</v>
          </cell>
          <cell r="H16">
            <v>0</v>
          </cell>
          <cell r="I16">
            <v>0</v>
          </cell>
        </row>
        <row r="18">
          <cell r="F18">
            <v>8864.4</v>
          </cell>
          <cell r="G18">
            <v>6977</v>
          </cell>
          <cell r="H18">
            <v>0</v>
          </cell>
          <cell r="I18">
            <v>0</v>
          </cell>
        </row>
        <row r="19">
          <cell r="F19">
            <v>10034.4</v>
          </cell>
          <cell r="G19">
            <v>17700</v>
          </cell>
          <cell r="H19">
            <v>0</v>
          </cell>
          <cell r="I19">
            <v>0</v>
          </cell>
        </row>
        <row r="20">
          <cell r="F20">
            <v>51704.1</v>
          </cell>
          <cell r="G20">
            <v>16819.3</v>
          </cell>
          <cell r="H20">
            <v>0</v>
          </cell>
          <cell r="I20">
            <v>0</v>
          </cell>
        </row>
        <row r="21">
          <cell r="F21">
            <v>39555.1</v>
          </cell>
          <cell r="G21">
            <v>0</v>
          </cell>
          <cell r="H21">
            <v>0</v>
          </cell>
          <cell r="I21">
            <v>0</v>
          </cell>
        </row>
        <row r="22">
          <cell r="F22">
            <v>39784.300000000003</v>
          </cell>
        </row>
        <row r="60">
          <cell r="F60">
            <v>3256.2</v>
          </cell>
          <cell r="G60">
            <v>959.5</v>
          </cell>
          <cell r="H60">
            <v>0</v>
          </cell>
          <cell r="I60">
            <v>0</v>
          </cell>
        </row>
        <row r="61">
          <cell r="F61">
            <v>2166.1999999999998</v>
          </cell>
          <cell r="G61">
            <v>0</v>
          </cell>
          <cell r="H61">
            <v>0</v>
          </cell>
          <cell r="I61">
            <v>0</v>
          </cell>
        </row>
        <row r="62">
          <cell r="F62">
            <v>11318.4</v>
          </cell>
          <cell r="G62">
            <v>0</v>
          </cell>
          <cell r="H62">
            <v>0</v>
          </cell>
          <cell r="I62">
            <v>0</v>
          </cell>
        </row>
        <row r="63">
          <cell r="F63">
            <v>11635.7</v>
          </cell>
          <cell r="G63">
            <v>0</v>
          </cell>
          <cell r="H63">
            <v>0</v>
          </cell>
          <cell r="I63">
            <v>0</v>
          </cell>
        </row>
        <row r="64">
          <cell r="F64">
            <v>11964.6</v>
          </cell>
        </row>
        <row r="84">
          <cell r="E84">
            <v>385423.4</v>
          </cell>
          <cell r="F84">
            <v>379215.5</v>
          </cell>
          <cell r="G84">
            <v>6207.9</v>
          </cell>
          <cell r="H84">
            <v>0</v>
          </cell>
          <cell r="I84">
            <v>0</v>
          </cell>
        </row>
        <row r="85">
          <cell r="E85">
            <v>456261.4</v>
          </cell>
          <cell r="F85">
            <v>448205.9</v>
          </cell>
          <cell r="G85">
            <v>8055.5</v>
          </cell>
          <cell r="H85">
            <v>0</v>
          </cell>
          <cell r="I85">
            <v>0</v>
          </cell>
        </row>
        <row r="86">
          <cell r="E86">
            <v>564541.4</v>
          </cell>
          <cell r="F86">
            <v>549228.5</v>
          </cell>
          <cell r="G86">
            <v>15312.9</v>
          </cell>
          <cell r="H86">
            <v>0</v>
          </cell>
          <cell r="I86">
            <v>0</v>
          </cell>
        </row>
        <row r="87">
          <cell r="E87">
            <v>527685.5</v>
          </cell>
          <cell r="F87">
            <v>527685.5</v>
          </cell>
          <cell r="G87">
            <v>0</v>
          </cell>
          <cell r="H87">
            <v>0</v>
          </cell>
          <cell r="I87">
            <v>0</v>
          </cell>
        </row>
        <row r="88">
          <cell r="E88">
            <v>538931.5</v>
          </cell>
          <cell r="F88">
            <v>538931.5</v>
          </cell>
          <cell r="G88">
            <v>0</v>
          </cell>
          <cell r="H88">
            <v>0</v>
          </cell>
          <cell r="I88">
            <v>0</v>
          </cell>
        </row>
        <row r="90">
          <cell r="F90">
            <v>86400.5</v>
          </cell>
          <cell r="G90">
            <v>0</v>
          </cell>
          <cell r="H90">
            <v>0</v>
          </cell>
          <cell r="I90">
            <v>0</v>
          </cell>
        </row>
        <row r="91">
          <cell r="F91">
            <v>84336.700000000012</v>
          </cell>
          <cell r="G91">
            <v>0</v>
          </cell>
          <cell r="H91">
            <v>0</v>
          </cell>
          <cell r="I91">
            <v>0</v>
          </cell>
        </row>
        <row r="92">
          <cell r="F92">
            <v>116483.30000000002</v>
          </cell>
          <cell r="G92">
            <v>0</v>
          </cell>
          <cell r="H92">
            <v>0</v>
          </cell>
          <cell r="I92">
            <v>0</v>
          </cell>
        </row>
        <row r="93">
          <cell r="F93">
            <v>116993.60000000002</v>
          </cell>
        </row>
        <row r="94">
          <cell r="F94">
            <v>117949.00000000001</v>
          </cell>
        </row>
        <row r="156">
          <cell r="F156">
            <v>290831.7</v>
          </cell>
          <cell r="G156">
            <v>6207.9</v>
          </cell>
          <cell r="H156">
            <v>0</v>
          </cell>
          <cell r="I156">
            <v>0</v>
          </cell>
        </row>
        <row r="157">
          <cell r="F157">
            <v>336315.9</v>
          </cell>
          <cell r="G157">
            <v>8055.5</v>
          </cell>
          <cell r="H157">
            <v>0</v>
          </cell>
          <cell r="I157">
            <v>0</v>
          </cell>
        </row>
        <row r="158">
          <cell r="F158">
            <v>432163.7</v>
          </cell>
          <cell r="G158">
            <v>15312.9</v>
          </cell>
          <cell r="H158">
            <v>0</v>
          </cell>
          <cell r="I158">
            <v>0</v>
          </cell>
        </row>
        <row r="159">
          <cell r="F159">
            <v>410110.4</v>
          </cell>
          <cell r="G159">
            <v>0</v>
          </cell>
          <cell r="H159">
            <v>0</v>
          </cell>
          <cell r="I159">
            <v>0</v>
          </cell>
        </row>
        <row r="160">
          <cell r="F160">
            <v>420401</v>
          </cell>
        </row>
        <row r="186">
          <cell r="F186">
            <v>1983.3</v>
          </cell>
          <cell r="G186">
            <v>0</v>
          </cell>
          <cell r="H186">
            <v>0</v>
          </cell>
          <cell r="I186">
            <v>0</v>
          </cell>
        </row>
        <row r="187">
          <cell r="F187">
            <v>27553.3</v>
          </cell>
          <cell r="G187">
            <v>0</v>
          </cell>
          <cell r="H187">
            <v>0</v>
          </cell>
          <cell r="I187">
            <v>0</v>
          </cell>
        </row>
        <row r="188">
          <cell r="F188">
            <v>581.5</v>
          </cell>
          <cell r="G188">
            <v>0</v>
          </cell>
          <cell r="H188">
            <v>0</v>
          </cell>
          <cell r="I188">
            <v>0</v>
          </cell>
        </row>
        <row r="189">
          <cell r="F189">
            <v>581.5</v>
          </cell>
          <cell r="G189">
            <v>0</v>
          </cell>
          <cell r="H189">
            <v>0</v>
          </cell>
          <cell r="I189">
            <v>0</v>
          </cell>
        </row>
        <row r="190">
          <cell r="F190">
            <v>581.5</v>
          </cell>
        </row>
        <row r="216">
          <cell r="E216">
            <v>165142.70000000001</v>
          </cell>
          <cell r="F216">
            <v>112036</v>
          </cell>
          <cell r="G216">
            <v>11357.5</v>
          </cell>
          <cell r="H216">
            <v>20949.2</v>
          </cell>
          <cell r="I216">
            <v>20800</v>
          </cell>
        </row>
        <row r="217">
          <cell r="E217">
            <v>229531.3</v>
          </cell>
          <cell r="F217">
            <v>135945</v>
          </cell>
          <cell r="G217">
            <v>11265.5</v>
          </cell>
          <cell r="H217">
            <v>67320.800000000003</v>
          </cell>
          <cell r="I217">
            <v>15000</v>
          </cell>
        </row>
        <row r="218">
          <cell r="E218">
            <v>425028.25</v>
          </cell>
          <cell r="F218">
            <v>371128.65</v>
          </cell>
          <cell r="G218">
            <v>0</v>
          </cell>
          <cell r="H218">
            <v>53899.6</v>
          </cell>
          <cell r="I218">
            <v>0</v>
          </cell>
        </row>
        <row r="219">
          <cell r="E219">
            <v>776658.2</v>
          </cell>
          <cell r="F219">
            <v>522074.2</v>
          </cell>
          <cell r="G219">
            <v>111471.4</v>
          </cell>
          <cell r="H219">
            <v>114812.6</v>
          </cell>
          <cell r="I219">
            <v>28300</v>
          </cell>
        </row>
        <row r="220">
          <cell r="E220">
            <v>379865</v>
          </cell>
          <cell r="F220">
            <v>205104.6</v>
          </cell>
          <cell r="G220">
            <v>111471.4</v>
          </cell>
          <cell r="H220">
            <v>63289</v>
          </cell>
          <cell r="I220">
            <v>0</v>
          </cell>
        </row>
        <row r="222">
          <cell r="E222">
            <v>76401.7</v>
          </cell>
          <cell r="F222">
            <v>38301.699999999997</v>
          </cell>
          <cell r="G222">
            <v>0</v>
          </cell>
          <cell r="H222">
            <v>17300</v>
          </cell>
          <cell r="I222">
            <v>20800</v>
          </cell>
        </row>
        <row r="223">
          <cell r="E223">
            <v>165279.4</v>
          </cell>
          <cell r="F223">
            <v>85679.4</v>
          </cell>
          <cell r="G223">
            <v>0</v>
          </cell>
          <cell r="H223">
            <v>64600</v>
          </cell>
          <cell r="I223">
            <v>15000</v>
          </cell>
        </row>
        <row r="224">
          <cell r="E224">
            <v>363024.95</v>
          </cell>
          <cell r="F224">
            <v>321650.85000000003</v>
          </cell>
          <cell r="G224">
            <v>0</v>
          </cell>
          <cell r="H224">
            <v>41374.1</v>
          </cell>
          <cell r="I224">
            <v>0</v>
          </cell>
        </row>
        <row r="225">
          <cell r="E225">
            <v>555441</v>
          </cell>
          <cell r="F225">
            <v>394349.7</v>
          </cell>
          <cell r="G225">
            <v>111471.4</v>
          </cell>
          <cell r="H225">
            <v>49619.9</v>
          </cell>
          <cell r="I225">
            <v>0</v>
          </cell>
        </row>
        <row r="226">
          <cell r="E226">
            <v>249165</v>
          </cell>
          <cell r="F226">
            <v>136754.6</v>
          </cell>
          <cell r="G226">
            <v>111471.4</v>
          </cell>
          <cell r="H226">
            <v>939</v>
          </cell>
          <cell r="I226">
            <v>0</v>
          </cell>
        </row>
        <row r="228">
          <cell r="F228">
            <v>25587.5</v>
          </cell>
        </row>
        <row r="234">
          <cell r="E234">
            <v>3750</v>
          </cell>
          <cell r="F234">
            <v>3750</v>
          </cell>
          <cell r="G234">
            <v>0</v>
          </cell>
          <cell r="H234">
            <v>0</v>
          </cell>
          <cell r="I234">
            <v>0</v>
          </cell>
        </row>
        <row r="235">
          <cell r="E235">
            <v>4500</v>
          </cell>
          <cell r="F235">
            <v>4500</v>
          </cell>
          <cell r="G235">
            <v>0</v>
          </cell>
          <cell r="H235">
            <v>0</v>
          </cell>
          <cell r="I235">
            <v>0</v>
          </cell>
        </row>
        <row r="236">
          <cell r="E236">
            <v>4500</v>
          </cell>
          <cell r="F236">
            <v>4500</v>
          </cell>
          <cell r="G236">
            <v>0</v>
          </cell>
          <cell r="H236">
            <v>0</v>
          </cell>
          <cell r="I236">
            <v>0</v>
          </cell>
        </row>
        <row r="237">
          <cell r="E237">
            <v>4500</v>
          </cell>
          <cell r="F237">
            <v>4500</v>
          </cell>
          <cell r="G237">
            <v>0</v>
          </cell>
          <cell r="H237">
            <v>0</v>
          </cell>
          <cell r="I237">
            <v>0</v>
          </cell>
        </row>
        <row r="238">
          <cell r="E238">
            <v>4500</v>
          </cell>
          <cell r="F238">
            <v>4500</v>
          </cell>
          <cell r="G238">
            <v>0</v>
          </cell>
          <cell r="H238">
            <v>0</v>
          </cell>
          <cell r="I238">
            <v>0</v>
          </cell>
        </row>
        <row r="240">
          <cell r="F240">
            <v>1866</v>
          </cell>
          <cell r="G240">
            <v>0</v>
          </cell>
          <cell r="H240">
            <v>0</v>
          </cell>
          <cell r="I240">
            <v>0</v>
          </cell>
        </row>
        <row r="241">
          <cell r="F241">
            <v>99</v>
          </cell>
          <cell r="G241">
            <v>0</v>
          </cell>
          <cell r="H241">
            <v>0</v>
          </cell>
          <cell r="I241">
            <v>0</v>
          </cell>
        </row>
        <row r="242">
          <cell r="F242">
            <v>31489.75</v>
          </cell>
          <cell r="G242">
            <v>0</v>
          </cell>
          <cell r="H242">
            <v>0</v>
          </cell>
          <cell r="I242">
            <v>0</v>
          </cell>
        </row>
        <row r="243">
          <cell r="F243">
            <v>14557.3</v>
          </cell>
          <cell r="G243">
            <v>0</v>
          </cell>
          <cell r="H243">
            <v>0</v>
          </cell>
          <cell r="I243">
            <v>0</v>
          </cell>
        </row>
        <row r="244">
          <cell r="F244">
            <v>0</v>
          </cell>
          <cell r="G244">
            <v>0</v>
          </cell>
          <cell r="H244">
            <v>0</v>
          </cell>
          <cell r="I244">
            <v>0</v>
          </cell>
        </row>
        <row r="246">
          <cell r="F246">
            <v>2300</v>
          </cell>
          <cell r="G246">
            <v>0</v>
          </cell>
          <cell r="H246">
            <v>2300</v>
          </cell>
          <cell r="I246">
            <v>0</v>
          </cell>
        </row>
        <row r="247">
          <cell r="F247">
            <v>20000</v>
          </cell>
          <cell r="G247">
            <v>0</v>
          </cell>
          <cell r="I247">
            <v>0</v>
          </cell>
        </row>
        <row r="248">
          <cell r="F248">
            <v>24998.7</v>
          </cell>
          <cell r="G248">
            <v>0</v>
          </cell>
          <cell r="H248">
            <v>39222</v>
          </cell>
          <cell r="I248">
            <v>0</v>
          </cell>
        </row>
        <row r="249">
          <cell r="F249">
            <v>53934</v>
          </cell>
          <cell r="G249">
            <v>0</v>
          </cell>
          <cell r="H249">
            <v>47066</v>
          </cell>
          <cell r="I249">
            <v>0</v>
          </cell>
        </row>
        <row r="250">
          <cell r="G250">
            <v>0</v>
          </cell>
          <cell r="I250">
            <v>0</v>
          </cell>
        </row>
        <row r="252">
          <cell r="F252">
            <v>0</v>
          </cell>
          <cell r="G252">
            <v>0</v>
          </cell>
          <cell r="I252">
            <v>10000</v>
          </cell>
        </row>
        <row r="253">
          <cell r="F253">
            <v>0</v>
          </cell>
          <cell r="G253">
            <v>0</v>
          </cell>
          <cell r="I253">
            <v>15000</v>
          </cell>
        </row>
        <row r="254">
          <cell r="F254">
            <v>0</v>
          </cell>
          <cell r="G254">
            <v>0</v>
          </cell>
          <cell r="H254">
            <v>0</v>
          </cell>
          <cell r="I254">
            <v>0</v>
          </cell>
        </row>
        <row r="255">
          <cell r="F255">
            <v>0</v>
          </cell>
          <cell r="G255">
            <v>0</v>
          </cell>
          <cell r="H255">
            <v>0</v>
          </cell>
          <cell r="I255">
            <v>0</v>
          </cell>
        </row>
        <row r="258">
          <cell r="F258">
            <v>4798.2</v>
          </cell>
        </row>
        <row r="264">
          <cell r="F264">
            <v>0</v>
          </cell>
          <cell r="G264">
            <v>0</v>
          </cell>
          <cell r="H264">
            <v>0</v>
          </cell>
          <cell r="I264">
            <v>0</v>
          </cell>
        </row>
        <row r="265">
          <cell r="F265">
            <v>0</v>
          </cell>
          <cell r="G265">
            <v>0</v>
          </cell>
          <cell r="H265">
            <v>0</v>
          </cell>
          <cell r="I265">
            <v>0</v>
          </cell>
        </row>
        <row r="266">
          <cell r="F266">
            <v>40000</v>
          </cell>
          <cell r="G266">
            <v>0</v>
          </cell>
          <cell r="H266">
            <v>0</v>
          </cell>
          <cell r="I266">
            <v>0</v>
          </cell>
        </row>
        <row r="267">
          <cell r="F267">
            <v>68528.600000000006</v>
          </cell>
          <cell r="G267">
            <v>111471.4</v>
          </cell>
          <cell r="H267">
            <v>0</v>
          </cell>
          <cell r="I267">
            <v>0</v>
          </cell>
        </row>
        <row r="268">
          <cell r="F268">
            <v>114414.2</v>
          </cell>
          <cell r="G268">
            <v>111471.4</v>
          </cell>
          <cell r="H268">
            <v>0</v>
          </cell>
          <cell r="I268">
            <v>0</v>
          </cell>
        </row>
        <row r="270">
          <cell r="F270">
            <v>0</v>
          </cell>
          <cell r="G270">
            <v>0</v>
          </cell>
          <cell r="H270">
            <v>0</v>
          </cell>
          <cell r="I270">
            <v>10800</v>
          </cell>
        </row>
        <row r="271">
          <cell r="G271">
            <v>0</v>
          </cell>
          <cell r="I271">
            <v>0</v>
          </cell>
        </row>
        <row r="272">
          <cell r="F272">
            <v>213050</v>
          </cell>
          <cell r="G272">
            <v>0</v>
          </cell>
          <cell r="H272">
            <v>2152.1</v>
          </cell>
          <cell r="I272">
            <v>0</v>
          </cell>
        </row>
        <row r="273">
          <cell r="F273">
            <v>252829.8</v>
          </cell>
          <cell r="G273">
            <v>0</v>
          </cell>
          <cell r="H273">
            <v>2553.9</v>
          </cell>
          <cell r="I273">
            <v>0</v>
          </cell>
        </row>
        <row r="274">
          <cell r="F274">
            <v>0</v>
          </cell>
          <cell r="G274">
            <v>0</v>
          </cell>
          <cell r="H274">
            <v>0</v>
          </cell>
          <cell r="I274">
            <v>0</v>
          </cell>
        </row>
        <row r="276">
          <cell r="F276">
            <v>0</v>
          </cell>
          <cell r="G276">
            <v>0</v>
          </cell>
          <cell r="H276">
            <v>0</v>
          </cell>
          <cell r="I276">
            <v>0</v>
          </cell>
        </row>
        <row r="277">
          <cell r="G277">
            <v>0</v>
          </cell>
          <cell r="H277">
            <v>0</v>
          </cell>
          <cell r="I277">
            <v>0</v>
          </cell>
        </row>
        <row r="278">
          <cell r="F278">
            <v>5085</v>
          </cell>
          <cell r="G278">
            <v>0</v>
          </cell>
          <cell r="H278">
            <v>0</v>
          </cell>
          <cell r="I278">
            <v>0</v>
          </cell>
        </row>
        <row r="279">
          <cell r="F279">
            <v>0</v>
          </cell>
          <cell r="G279">
            <v>0</v>
          </cell>
          <cell r="H279">
            <v>0</v>
          </cell>
          <cell r="I279">
            <v>0</v>
          </cell>
        </row>
        <row r="280">
          <cell r="F280">
            <v>0</v>
          </cell>
          <cell r="G280">
            <v>0</v>
          </cell>
          <cell r="H280">
            <v>0</v>
          </cell>
          <cell r="I280">
            <v>0</v>
          </cell>
        </row>
        <row r="282">
          <cell r="F282">
            <v>0</v>
          </cell>
          <cell r="G282">
            <v>0</v>
          </cell>
          <cell r="H282">
            <v>0</v>
          </cell>
          <cell r="I282">
            <v>0</v>
          </cell>
        </row>
        <row r="283">
          <cell r="G283">
            <v>0</v>
          </cell>
          <cell r="H283">
            <v>0</v>
          </cell>
          <cell r="I283">
            <v>0</v>
          </cell>
        </row>
        <row r="284">
          <cell r="F284">
            <v>0</v>
          </cell>
          <cell r="G284">
            <v>0</v>
          </cell>
          <cell r="H284">
            <v>0</v>
          </cell>
          <cell r="I284">
            <v>0</v>
          </cell>
        </row>
        <row r="285">
          <cell r="F285">
            <v>0</v>
          </cell>
          <cell r="G285">
            <v>0</v>
          </cell>
          <cell r="H285">
            <v>0</v>
          </cell>
          <cell r="I285">
            <v>0</v>
          </cell>
        </row>
        <row r="288">
          <cell r="F288">
            <v>0</v>
          </cell>
          <cell r="G288">
            <v>0</v>
          </cell>
          <cell r="H288">
            <v>0</v>
          </cell>
          <cell r="I288">
            <v>0</v>
          </cell>
        </row>
        <row r="289">
          <cell r="F289">
            <v>0</v>
          </cell>
          <cell r="G289">
            <v>0</v>
          </cell>
          <cell r="H289">
            <v>0</v>
          </cell>
          <cell r="I289">
            <v>0</v>
          </cell>
        </row>
        <row r="290">
          <cell r="F290">
            <v>2527.4</v>
          </cell>
          <cell r="G290">
            <v>0</v>
          </cell>
          <cell r="H290">
            <v>0</v>
          </cell>
          <cell r="I290">
            <v>0</v>
          </cell>
        </row>
        <row r="291">
          <cell r="F291">
            <v>0</v>
          </cell>
          <cell r="G291">
            <v>0</v>
          </cell>
          <cell r="H291">
            <v>0</v>
          </cell>
          <cell r="I291">
            <v>0</v>
          </cell>
        </row>
        <row r="292">
          <cell r="F292">
            <v>0</v>
          </cell>
          <cell r="G292">
            <v>0</v>
          </cell>
          <cell r="H292">
            <v>0</v>
          </cell>
          <cell r="I292">
            <v>0</v>
          </cell>
        </row>
        <row r="294">
          <cell r="F294">
            <v>0</v>
          </cell>
          <cell r="G294">
            <v>0</v>
          </cell>
          <cell r="H294">
            <v>0</v>
          </cell>
          <cell r="I294">
            <v>0</v>
          </cell>
        </row>
        <row r="295">
          <cell r="F295">
            <v>0</v>
          </cell>
          <cell r="G295">
            <v>0</v>
          </cell>
          <cell r="H295">
            <v>0</v>
          </cell>
          <cell r="I295">
            <v>0</v>
          </cell>
        </row>
        <row r="296">
          <cell r="F296">
            <v>0</v>
          </cell>
          <cell r="G296">
            <v>0</v>
          </cell>
          <cell r="H296">
            <v>0</v>
          </cell>
          <cell r="I296">
            <v>0</v>
          </cell>
        </row>
        <row r="297">
          <cell r="F297">
            <v>0</v>
          </cell>
          <cell r="G297">
            <v>0</v>
          </cell>
          <cell r="H297">
            <v>0</v>
          </cell>
          <cell r="I297">
            <v>0</v>
          </cell>
        </row>
        <row r="298">
          <cell r="F298">
            <v>17840.400000000001</v>
          </cell>
          <cell r="G298">
            <v>0</v>
          </cell>
          <cell r="H298">
            <v>939</v>
          </cell>
          <cell r="I298">
            <v>0</v>
          </cell>
        </row>
        <row r="300">
          <cell r="F300">
            <v>73734.3</v>
          </cell>
          <cell r="G300">
            <v>11357.5</v>
          </cell>
          <cell r="H300">
            <v>3649.2</v>
          </cell>
          <cell r="I300">
            <v>0</v>
          </cell>
        </row>
        <row r="301">
          <cell r="F301">
            <v>50265.600000000006</v>
          </cell>
          <cell r="G301">
            <v>11265.5</v>
          </cell>
          <cell r="H301">
            <v>2720.8</v>
          </cell>
          <cell r="I301">
            <v>0</v>
          </cell>
        </row>
        <row r="302">
          <cell r="F302">
            <v>49477.8</v>
          </cell>
          <cell r="G302">
            <v>0</v>
          </cell>
          <cell r="H302">
            <v>2525.5</v>
          </cell>
          <cell r="I302">
            <v>0</v>
          </cell>
        </row>
        <row r="303">
          <cell r="F303">
            <v>67724.5</v>
          </cell>
          <cell r="G303">
            <v>0</v>
          </cell>
          <cell r="H303">
            <v>5192.7</v>
          </cell>
          <cell r="I303">
            <v>0</v>
          </cell>
        </row>
        <row r="304">
          <cell r="F304">
            <v>6000</v>
          </cell>
          <cell r="G304">
            <v>0</v>
          </cell>
          <cell r="H304">
            <v>0</v>
          </cell>
          <cell r="I304">
            <v>0</v>
          </cell>
        </row>
        <row r="306">
          <cell r="E306">
            <v>9000</v>
          </cell>
          <cell r="F306">
            <v>9000</v>
          </cell>
          <cell r="G306">
            <v>0</v>
          </cell>
          <cell r="H306">
            <v>0</v>
          </cell>
          <cell r="I306">
            <v>0</v>
          </cell>
        </row>
        <row r="307">
          <cell r="E307">
            <v>6000</v>
          </cell>
          <cell r="F307">
            <v>6000</v>
          </cell>
          <cell r="G307">
            <v>0</v>
          </cell>
          <cell r="H307">
            <v>0</v>
          </cell>
          <cell r="I307">
            <v>0</v>
          </cell>
        </row>
        <row r="308">
          <cell r="E308">
            <v>6000</v>
          </cell>
          <cell r="F308">
            <v>6000</v>
          </cell>
          <cell r="G308">
            <v>0</v>
          </cell>
          <cell r="H308">
            <v>0</v>
          </cell>
          <cell r="I308">
            <v>0</v>
          </cell>
        </row>
        <row r="309">
          <cell r="E309">
            <v>6000</v>
          </cell>
          <cell r="F309">
            <v>6000</v>
          </cell>
          <cell r="G309">
            <v>0</v>
          </cell>
          <cell r="H309">
            <v>0</v>
          </cell>
          <cell r="I309">
            <v>0</v>
          </cell>
        </row>
        <row r="310">
          <cell r="E310">
            <v>6000</v>
          </cell>
          <cell r="F310">
            <v>6000</v>
          </cell>
          <cell r="G310">
            <v>0</v>
          </cell>
          <cell r="H310">
            <v>0</v>
          </cell>
          <cell r="I310">
            <v>0</v>
          </cell>
        </row>
        <row r="318">
          <cell r="E318">
            <v>2392.1</v>
          </cell>
          <cell r="F318">
            <v>2272.5</v>
          </cell>
          <cell r="G318">
            <v>0</v>
          </cell>
          <cell r="H318">
            <v>119.6</v>
          </cell>
          <cell r="I318">
            <v>0</v>
          </cell>
        </row>
        <row r="319">
          <cell r="E319">
            <v>0</v>
          </cell>
          <cell r="F319">
            <v>0</v>
          </cell>
          <cell r="G319">
            <v>0</v>
          </cell>
          <cell r="H319">
            <v>0</v>
          </cell>
          <cell r="I319">
            <v>0</v>
          </cell>
        </row>
        <row r="320">
          <cell r="E320">
            <v>0</v>
          </cell>
          <cell r="F320">
            <v>0</v>
          </cell>
          <cell r="G320">
            <v>0</v>
          </cell>
          <cell r="H320">
            <v>0</v>
          </cell>
          <cell r="I320">
            <v>0</v>
          </cell>
        </row>
        <row r="321">
          <cell r="E321">
            <v>0</v>
          </cell>
          <cell r="F321">
            <v>0</v>
          </cell>
          <cell r="G321">
            <v>0</v>
          </cell>
          <cell r="H321">
            <v>0</v>
          </cell>
          <cell r="I321">
            <v>0</v>
          </cell>
        </row>
        <row r="322">
          <cell r="E322">
            <v>0</v>
          </cell>
          <cell r="F322">
            <v>0</v>
          </cell>
          <cell r="G322">
            <v>0</v>
          </cell>
          <cell r="H322">
            <v>0</v>
          </cell>
          <cell r="I322">
            <v>0</v>
          </cell>
        </row>
        <row r="324">
          <cell r="E324">
            <v>2156.7000000000003</v>
          </cell>
          <cell r="F324">
            <v>2048.9</v>
          </cell>
          <cell r="G324">
            <v>0</v>
          </cell>
          <cell r="H324">
            <v>107.8</v>
          </cell>
          <cell r="I324">
            <v>0</v>
          </cell>
        </row>
        <row r="325">
          <cell r="E325">
            <v>0</v>
          </cell>
          <cell r="F325">
            <v>0</v>
          </cell>
          <cell r="G325">
            <v>0</v>
          </cell>
          <cell r="H325">
            <v>0</v>
          </cell>
          <cell r="I325">
            <v>0</v>
          </cell>
        </row>
        <row r="326">
          <cell r="E326">
            <v>0</v>
          </cell>
          <cell r="F326">
            <v>0</v>
          </cell>
          <cell r="G326">
            <v>0</v>
          </cell>
          <cell r="H326">
            <v>0</v>
          </cell>
          <cell r="I326">
            <v>0</v>
          </cell>
        </row>
        <row r="327">
          <cell r="E327">
            <v>0</v>
          </cell>
          <cell r="F327">
            <v>0</v>
          </cell>
          <cell r="G327">
            <v>0</v>
          </cell>
          <cell r="H327">
            <v>0</v>
          </cell>
          <cell r="I327">
            <v>0</v>
          </cell>
        </row>
        <row r="328">
          <cell r="E328">
            <v>0</v>
          </cell>
          <cell r="F328">
            <v>0</v>
          </cell>
          <cell r="G328">
            <v>0</v>
          </cell>
          <cell r="H328">
            <v>0</v>
          </cell>
          <cell r="I328">
            <v>0</v>
          </cell>
        </row>
        <row r="330">
          <cell r="E330">
            <v>5977.5</v>
          </cell>
          <cell r="F330">
            <v>5678.6</v>
          </cell>
          <cell r="G330">
            <v>0</v>
          </cell>
          <cell r="H330">
            <v>298.89999999999998</v>
          </cell>
          <cell r="I330">
            <v>0</v>
          </cell>
        </row>
        <row r="331">
          <cell r="E331">
            <v>0</v>
          </cell>
          <cell r="F331">
            <v>0</v>
          </cell>
          <cell r="G331">
            <v>0</v>
          </cell>
          <cell r="H331">
            <v>0</v>
          </cell>
          <cell r="I331">
            <v>0</v>
          </cell>
        </row>
        <row r="332">
          <cell r="E332">
            <v>0</v>
          </cell>
          <cell r="F332">
            <v>0</v>
          </cell>
          <cell r="G332">
            <v>0</v>
          </cell>
          <cell r="H332">
            <v>0</v>
          </cell>
          <cell r="I332">
            <v>0</v>
          </cell>
        </row>
        <row r="333">
          <cell r="E333">
            <v>0</v>
          </cell>
          <cell r="F333">
            <v>0</v>
          </cell>
          <cell r="G333">
            <v>0</v>
          </cell>
          <cell r="H333">
            <v>0</v>
          </cell>
          <cell r="I333">
            <v>0</v>
          </cell>
        </row>
        <row r="334">
          <cell r="E334">
            <v>0</v>
          </cell>
          <cell r="F334">
            <v>0</v>
          </cell>
          <cell r="G334">
            <v>0</v>
          </cell>
          <cell r="H334">
            <v>0</v>
          </cell>
          <cell r="I334">
            <v>0</v>
          </cell>
        </row>
        <row r="342">
          <cell r="E342">
            <v>11957.5</v>
          </cell>
          <cell r="F342">
            <v>0</v>
          </cell>
          <cell r="G342">
            <v>11357.5</v>
          </cell>
          <cell r="H342">
            <v>600</v>
          </cell>
          <cell r="I342">
            <v>0</v>
          </cell>
        </row>
        <row r="343">
          <cell r="E343">
            <v>11265.5</v>
          </cell>
          <cell r="F343">
            <v>0</v>
          </cell>
          <cell r="G343">
            <v>11265.5</v>
          </cell>
          <cell r="H343">
            <v>0</v>
          </cell>
          <cell r="I343">
            <v>0</v>
          </cell>
        </row>
        <row r="344">
          <cell r="E344">
            <v>0</v>
          </cell>
          <cell r="F344">
            <v>0</v>
          </cell>
          <cell r="G344">
            <v>0</v>
          </cell>
          <cell r="H344">
            <v>0</v>
          </cell>
          <cell r="I344">
            <v>0</v>
          </cell>
        </row>
        <row r="345">
          <cell r="E345">
            <v>0</v>
          </cell>
          <cell r="F345">
            <v>0</v>
          </cell>
          <cell r="G345">
            <v>0</v>
          </cell>
          <cell r="H345">
            <v>0</v>
          </cell>
          <cell r="I345">
            <v>0</v>
          </cell>
        </row>
        <row r="346">
          <cell r="E346">
            <v>0</v>
          </cell>
          <cell r="F346">
            <v>0</v>
          </cell>
          <cell r="G346">
            <v>0</v>
          </cell>
          <cell r="H346">
            <v>0</v>
          </cell>
          <cell r="I346">
            <v>0</v>
          </cell>
        </row>
        <row r="348">
          <cell r="E348">
            <v>6327</v>
          </cell>
          <cell r="F348">
            <v>6327</v>
          </cell>
          <cell r="G348">
            <v>0</v>
          </cell>
          <cell r="H348">
            <v>0</v>
          </cell>
          <cell r="I348">
            <v>0</v>
          </cell>
        </row>
        <row r="349">
          <cell r="E349">
            <v>0</v>
          </cell>
          <cell r="F349">
            <v>0</v>
          </cell>
          <cell r="G349">
            <v>0</v>
          </cell>
          <cell r="H349">
            <v>0</v>
          </cell>
          <cell r="I349">
            <v>0</v>
          </cell>
        </row>
        <row r="350">
          <cell r="E350">
            <v>0</v>
          </cell>
          <cell r="F350">
            <v>0</v>
          </cell>
          <cell r="G350">
            <v>0</v>
          </cell>
          <cell r="H350">
            <v>0</v>
          </cell>
          <cell r="I350">
            <v>0</v>
          </cell>
        </row>
        <row r="351">
          <cell r="E351">
            <v>0</v>
          </cell>
          <cell r="F351">
            <v>0</v>
          </cell>
          <cell r="G351">
            <v>0</v>
          </cell>
          <cell r="H351">
            <v>0</v>
          </cell>
          <cell r="I351">
            <v>0</v>
          </cell>
        </row>
        <row r="352">
          <cell r="E352">
            <v>0</v>
          </cell>
          <cell r="F352">
            <v>0</v>
          </cell>
          <cell r="G352">
            <v>0</v>
          </cell>
          <cell r="H352">
            <v>0</v>
          </cell>
          <cell r="I352">
            <v>0</v>
          </cell>
        </row>
        <row r="354">
          <cell r="E354">
            <v>600</v>
          </cell>
          <cell r="F354">
            <v>600</v>
          </cell>
          <cell r="G354">
            <v>0</v>
          </cell>
          <cell r="H354">
            <v>0</v>
          </cell>
          <cell r="I354">
            <v>0</v>
          </cell>
        </row>
        <row r="355">
          <cell r="E355">
            <v>0</v>
          </cell>
          <cell r="F355">
            <v>0</v>
          </cell>
          <cell r="G355">
            <v>0</v>
          </cell>
          <cell r="H355">
            <v>0</v>
          </cell>
          <cell r="I355">
            <v>0</v>
          </cell>
        </row>
        <row r="356">
          <cell r="E356">
            <v>0</v>
          </cell>
          <cell r="F356">
            <v>0</v>
          </cell>
          <cell r="G356">
            <v>0</v>
          </cell>
          <cell r="H356">
            <v>0</v>
          </cell>
          <cell r="I356">
            <v>0</v>
          </cell>
        </row>
        <row r="357">
          <cell r="E357">
            <v>0</v>
          </cell>
          <cell r="F357">
            <v>0</v>
          </cell>
          <cell r="G357">
            <v>0</v>
          </cell>
          <cell r="H357">
            <v>0</v>
          </cell>
          <cell r="I357">
            <v>0</v>
          </cell>
        </row>
        <row r="358">
          <cell r="E358">
            <v>0</v>
          </cell>
          <cell r="F358">
            <v>0</v>
          </cell>
          <cell r="G358">
            <v>0</v>
          </cell>
          <cell r="H358">
            <v>0</v>
          </cell>
          <cell r="I358">
            <v>0</v>
          </cell>
        </row>
        <row r="366">
          <cell r="E366">
            <v>0</v>
          </cell>
          <cell r="F366">
            <v>0</v>
          </cell>
          <cell r="G366">
            <v>0</v>
          </cell>
          <cell r="H366">
            <v>0</v>
          </cell>
          <cell r="I366">
            <v>0</v>
          </cell>
        </row>
        <row r="367">
          <cell r="E367">
            <v>2086.5</v>
          </cell>
          <cell r="F367">
            <v>1936.5</v>
          </cell>
          <cell r="G367">
            <v>0</v>
          </cell>
          <cell r="H367">
            <v>150</v>
          </cell>
          <cell r="I367">
            <v>0</v>
          </cell>
        </row>
        <row r="368">
          <cell r="E368">
            <v>0</v>
          </cell>
          <cell r="F368">
            <v>0</v>
          </cell>
          <cell r="G368">
            <v>0</v>
          </cell>
          <cell r="H368">
            <v>0</v>
          </cell>
          <cell r="I368">
            <v>0</v>
          </cell>
        </row>
        <row r="369">
          <cell r="E369">
            <v>0</v>
          </cell>
          <cell r="F369">
            <v>0</v>
          </cell>
          <cell r="G369">
            <v>0</v>
          </cell>
          <cell r="H369">
            <v>0</v>
          </cell>
          <cell r="I369">
            <v>0</v>
          </cell>
        </row>
        <row r="370">
          <cell r="E370">
            <v>0</v>
          </cell>
          <cell r="F370">
            <v>0</v>
          </cell>
          <cell r="G370">
            <v>0</v>
          </cell>
          <cell r="H370">
            <v>0</v>
          </cell>
          <cell r="I370">
            <v>0</v>
          </cell>
        </row>
        <row r="372">
          <cell r="E372">
            <v>0</v>
          </cell>
          <cell r="F372">
            <v>0</v>
          </cell>
          <cell r="G372">
            <v>0</v>
          </cell>
          <cell r="H372">
            <v>0</v>
          </cell>
          <cell r="I372">
            <v>0</v>
          </cell>
        </row>
        <row r="373">
          <cell r="E373">
            <v>25409</v>
          </cell>
          <cell r="F373">
            <v>23838.2</v>
          </cell>
          <cell r="G373">
            <v>0</v>
          </cell>
          <cell r="H373">
            <v>1570.8</v>
          </cell>
          <cell r="I373">
            <v>0</v>
          </cell>
        </row>
        <row r="374">
          <cell r="E374">
            <v>0</v>
          </cell>
          <cell r="F374">
            <v>0</v>
          </cell>
          <cell r="G374">
            <v>0</v>
          </cell>
          <cell r="H374">
            <v>0</v>
          </cell>
          <cell r="I374">
            <v>0</v>
          </cell>
        </row>
        <row r="375">
          <cell r="E375">
            <v>0</v>
          </cell>
          <cell r="F375">
            <v>0</v>
          </cell>
          <cell r="G375">
            <v>0</v>
          </cell>
          <cell r="H375">
            <v>0</v>
          </cell>
          <cell r="I375">
            <v>0</v>
          </cell>
        </row>
        <row r="376">
          <cell r="E376">
            <v>0</v>
          </cell>
          <cell r="F376">
            <v>0</v>
          </cell>
          <cell r="G376">
            <v>0</v>
          </cell>
          <cell r="H376">
            <v>0</v>
          </cell>
          <cell r="I376">
            <v>0</v>
          </cell>
        </row>
        <row r="384">
          <cell r="E384">
            <v>0</v>
          </cell>
          <cell r="F384">
            <v>0</v>
          </cell>
          <cell r="G384">
            <v>0</v>
          </cell>
          <cell r="H384">
            <v>0</v>
          </cell>
          <cell r="I384">
            <v>0</v>
          </cell>
        </row>
        <row r="385">
          <cell r="E385">
            <v>0</v>
          </cell>
          <cell r="F385">
            <v>0</v>
          </cell>
          <cell r="G385">
            <v>0</v>
          </cell>
          <cell r="H385">
            <v>0</v>
          </cell>
          <cell r="I385">
            <v>0</v>
          </cell>
        </row>
        <row r="386">
          <cell r="E386">
            <v>6633.9</v>
          </cell>
          <cell r="F386">
            <v>6302.2</v>
          </cell>
          <cell r="G386">
            <v>0</v>
          </cell>
          <cell r="H386">
            <v>331.7</v>
          </cell>
          <cell r="I386">
            <v>0</v>
          </cell>
        </row>
        <row r="387">
          <cell r="E387">
            <v>0</v>
          </cell>
          <cell r="F387">
            <v>0</v>
          </cell>
          <cell r="G387">
            <v>0</v>
          </cell>
          <cell r="H387">
            <v>0</v>
          </cell>
          <cell r="I387">
            <v>0</v>
          </cell>
        </row>
        <row r="388">
          <cell r="E388">
            <v>0</v>
          </cell>
          <cell r="F388">
            <v>0</v>
          </cell>
          <cell r="G388">
            <v>0</v>
          </cell>
          <cell r="H388">
            <v>0</v>
          </cell>
          <cell r="I388">
            <v>0</v>
          </cell>
        </row>
        <row r="414">
          <cell r="F414">
            <v>0</v>
          </cell>
          <cell r="G414">
            <v>0</v>
          </cell>
          <cell r="H414">
            <v>0</v>
          </cell>
          <cell r="I414">
            <v>0</v>
          </cell>
        </row>
        <row r="415">
          <cell r="F415">
            <v>0</v>
          </cell>
          <cell r="G415">
            <v>0</v>
          </cell>
          <cell r="H415">
            <v>0</v>
          </cell>
          <cell r="I415">
            <v>0</v>
          </cell>
        </row>
        <row r="416">
          <cell r="F416">
            <v>0</v>
          </cell>
          <cell r="G416">
            <v>0</v>
          </cell>
          <cell r="H416">
            <v>10000</v>
          </cell>
          <cell r="I416">
            <v>0</v>
          </cell>
        </row>
        <row r="417">
          <cell r="F417">
            <v>60000</v>
          </cell>
          <cell r="G417">
            <v>0</v>
          </cell>
          <cell r="H417">
            <v>60000</v>
          </cell>
          <cell r="I417">
            <v>28300</v>
          </cell>
        </row>
        <row r="418">
          <cell r="F418">
            <v>62350</v>
          </cell>
          <cell r="G418">
            <v>0</v>
          </cell>
          <cell r="H418">
            <v>62350</v>
          </cell>
          <cell r="I418">
            <v>0</v>
          </cell>
        </row>
        <row r="420">
          <cell r="F420">
            <v>0</v>
          </cell>
          <cell r="G420">
            <v>0</v>
          </cell>
          <cell r="H420">
            <v>0</v>
          </cell>
          <cell r="I420">
            <v>0</v>
          </cell>
        </row>
        <row r="421">
          <cell r="F421">
            <v>0</v>
          </cell>
          <cell r="G421">
            <v>0</v>
          </cell>
          <cell r="H421">
            <v>0</v>
          </cell>
          <cell r="I421">
            <v>0</v>
          </cell>
        </row>
        <row r="422">
          <cell r="F422">
            <v>0</v>
          </cell>
          <cell r="G422">
            <v>0</v>
          </cell>
          <cell r="H422">
            <v>10000</v>
          </cell>
          <cell r="I422">
            <v>0</v>
          </cell>
        </row>
        <row r="423">
          <cell r="F423">
            <v>60000</v>
          </cell>
          <cell r="G423">
            <v>0</v>
          </cell>
          <cell r="H423">
            <v>60000</v>
          </cell>
          <cell r="I423">
            <v>28300</v>
          </cell>
        </row>
        <row r="424">
          <cell r="F424">
            <v>62350</v>
          </cell>
          <cell r="G424">
            <v>0</v>
          </cell>
          <cell r="H424">
            <v>62350</v>
          </cell>
          <cell r="I424">
            <v>0</v>
          </cell>
        </row>
        <row r="426">
          <cell r="E426">
            <v>25539.5</v>
          </cell>
          <cell r="F426">
            <v>25539.5</v>
          </cell>
          <cell r="G426">
            <v>0</v>
          </cell>
          <cell r="H426">
            <v>0</v>
          </cell>
          <cell r="I426">
            <v>0</v>
          </cell>
        </row>
        <row r="427">
          <cell r="E427">
            <v>25743.200000000001</v>
          </cell>
          <cell r="F427">
            <v>25743.200000000001</v>
          </cell>
          <cell r="G427">
            <v>0</v>
          </cell>
          <cell r="H427">
            <v>0</v>
          </cell>
          <cell r="I427">
            <v>0</v>
          </cell>
        </row>
        <row r="428">
          <cell r="E428">
            <v>28265.200000000001</v>
          </cell>
          <cell r="F428">
            <v>28265.200000000001</v>
          </cell>
          <cell r="G428">
            <v>0</v>
          </cell>
          <cell r="H428">
            <v>0</v>
          </cell>
          <cell r="I428">
            <v>0</v>
          </cell>
        </row>
        <row r="429">
          <cell r="E429">
            <v>27726</v>
          </cell>
          <cell r="F429">
            <v>27726</v>
          </cell>
          <cell r="G429">
            <v>0</v>
          </cell>
          <cell r="H429">
            <v>0</v>
          </cell>
          <cell r="I429">
            <v>0</v>
          </cell>
        </row>
        <row r="430">
          <cell r="E430">
            <v>28769.5</v>
          </cell>
          <cell r="F430">
            <v>28769.5</v>
          </cell>
          <cell r="G430">
            <v>0</v>
          </cell>
          <cell r="H430">
            <v>0</v>
          </cell>
          <cell r="I430">
            <v>0</v>
          </cell>
        </row>
        <row r="432">
          <cell r="E432">
            <v>25539.5</v>
          </cell>
          <cell r="F432">
            <v>25539.5</v>
          </cell>
          <cell r="G432">
            <v>0</v>
          </cell>
          <cell r="H432">
            <v>0</v>
          </cell>
          <cell r="I432">
            <v>0</v>
          </cell>
        </row>
        <row r="433">
          <cell r="E433">
            <v>25743.200000000001</v>
          </cell>
          <cell r="F433">
            <v>25743.200000000001</v>
          </cell>
          <cell r="G433">
            <v>0</v>
          </cell>
          <cell r="H433">
            <v>0</v>
          </cell>
          <cell r="I433">
            <v>0</v>
          </cell>
        </row>
        <row r="434">
          <cell r="E434">
            <v>28265.200000000001</v>
          </cell>
          <cell r="F434">
            <v>28265.200000000001</v>
          </cell>
          <cell r="G434">
            <v>0</v>
          </cell>
          <cell r="H434">
            <v>0</v>
          </cell>
          <cell r="I434">
            <v>0</v>
          </cell>
        </row>
        <row r="435">
          <cell r="E435">
            <v>27726</v>
          </cell>
          <cell r="F435">
            <v>27726</v>
          </cell>
          <cell r="G435">
            <v>0</v>
          </cell>
          <cell r="H435">
            <v>0</v>
          </cell>
          <cell r="I435">
            <v>0</v>
          </cell>
        </row>
        <row r="436">
          <cell r="E436">
            <v>28769.5</v>
          </cell>
          <cell r="F436">
            <v>28769.5</v>
          </cell>
          <cell r="G436">
            <v>0</v>
          </cell>
          <cell r="H436">
            <v>0</v>
          </cell>
          <cell r="I43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2б. Справка"/>
      <sheetName val="Пр14. План"/>
    </sheetNames>
    <sheetDataSet>
      <sheetData sheetId="0"/>
      <sheetData sheetId="1">
        <row r="14">
          <cell r="F14">
            <v>20666.400000000001</v>
          </cell>
          <cell r="G14">
            <v>0</v>
          </cell>
        </row>
        <row r="110">
          <cell r="F110">
            <v>351200.10000000003</v>
          </cell>
          <cell r="G110">
            <v>7343.2</v>
          </cell>
        </row>
        <row r="694">
          <cell r="F694">
            <v>15000</v>
          </cell>
        </row>
        <row r="801">
          <cell r="F801">
            <v>0</v>
          </cell>
        </row>
        <row r="817">
          <cell r="G817">
            <v>8421</v>
          </cell>
        </row>
        <row r="825">
          <cell r="F825">
            <v>200</v>
          </cell>
        </row>
        <row r="833">
          <cell r="F833">
            <v>1457</v>
          </cell>
        </row>
        <row r="841">
          <cell r="F841">
            <v>1491.3</v>
          </cell>
        </row>
        <row r="849">
          <cell r="F849">
            <v>2676.9</v>
          </cell>
        </row>
        <row r="857">
          <cell r="F857">
            <v>323</v>
          </cell>
        </row>
        <row r="865">
          <cell r="F865">
            <v>0</v>
          </cell>
        </row>
        <row r="889">
          <cell r="F889">
            <v>25437.3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ОМ"/>
      <sheetName val="План"/>
      <sheetName val="16-18"/>
      <sheetName val="4. ОКС"/>
      <sheetName val="5. Фин уч"/>
      <sheetName val="c учетом УС"/>
      <sheetName val="8 План16-19 (2)"/>
      <sheetName val=" 3.ОМ 16-19"/>
      <sheetName val="Изменения 2017 Минфин"/>
      <sheetName val="8 План18-20-1"/>
      <sheetName val="8 План18-20-5"/>
      <sheetName val="10б. Справка"/>
      <sheetName val="8 План18-20-4"/>
      <sheetName val="10в ОКС"/>
      <sheetName val="4. ОКС 18-20-4"/>
      <sheetName val="Сводная"/>
      <sheetName val="11а. Спр пок"/>
      <sheetName val="10 б спорт"/>
      <sheetName val="10 в спорт"/>
      <sheetName val="ПЛ реализации спорт"/>
      <sheetName val="Лист1"/>
      <sheetName val="Лист3"/>
      <sheetName val="8 План16-20"/>
      <sheetName val="4. ОКС 16-19-3"/>
      <sheetName val="Пр8 16-19 (2)"/>
    </sheetNames>
    <sheetDataSet>
      <sheetData sheetId="0" refreshError="1"/>
      <sheetData sheetId="1">
        <row r="128">
          <cell r="G128">
            <v>0</v>
          </cell>
          <cell r="H128">
            <v>0</v>
          </cell>
          <cell r="I128">
            <v>0</v>
          </cell>
        </row>
        <row r="129">
          <cell r="G129">
            <v>0</v>
          </cell>
          <cell r="H129">
            <v>0</v>
          </cell>
          <cell r="I129">
            <v>0</v>
          </cell>
        </row>
        <row r="130">
          <cell r="G130">
            <v>0</v>
          </cell>
          <cell r="H130">
            <v>0</v>
          </cell>
          <cell r="I130">
            <v>0</v>
          </cell>
        </row>
        <row r="131">
          <cell r="G131">
            <v>0</v>
          </cell>
          <cell r="H131">
            <v>0</v>
          </cell>
          <cell r="I131">
            <v>0</v>
          </cell>
        </row>
        <row r="132">
          <cell r="G132">
            <v>0</v>
          </cell>
          <cell r="H132">
            <v>0</v>
          </cell>
          <cell r="I132">
            <v>0</v>
          </cell>
        </row>
        <row r="136">
          <cell r="G136">
            <v>0</v>
          </cell>
          <cell r="H136">
            <v>0</v>
          </cell>
          <cell r="I136">
            <v>0</v>
          </cell>
        </row>
        <row r="137">
          <cell r="G137">
            <v>0</v>
          </cell>
          <cell r="H137">
            <v>0</v>
          </cell>
          <cell r="I137">
            <v>0</v>
          </cell>
        </row>
        <row r="138">
          <cell r="G138">
            <v>0</v>
          </cell>
          <cell r="H138">
            <v>0</v>
          </cell>
          <cell r="I138">
            <v>0</v>
          </cell>
        </row>
        <row r="139">
          <cell r="G139">
            <v>0</v>
          </cell>
          <cell r="H139">
            <v>0</v>
          </cell>
          <cell r="I139">
            <v>0</v>
          </cell>
        </row>
        <row r="140">
          <cell r="G140">
            <v>0</v>
          </cell>
          <cell r="H140">
            <v>0</v>
          </cell>
          <cell r="I140">
            <v>0</v>
          </cell>
        </row>
        <row r="176">
          <cell r="G176">
            <v>0</v>
          </cell>
          <cell r="H176">
            <v>0</v>
          </cell>
          <cell r="I176">
            <v>0</v>
          </cell>
        </row>
        <row r="177">
          <cell r="G177">
            <v>0</v>
          </cell>
          <cell r="H177">
            <v>0</v>
          </cell>
          <cell r="I177">
            <v>0</v>
          </cell>
        </row>
        <row r="178">
          <cell r="G178">
            <v>0</v>
          </cell>
          <cell r="H178">
            <v>0</v>
          </cell>
          <cell r="I178">
            <v>0</v>
          </cell>
        </row>
        <row r="179">
          <cell r="G179">
            <v>0</v>
          </cell>
          <cell r="H179">
            <v>0</v>
          </cell>
          <cell r="I179">
            <v>0</v>
          </cell>
        </row>
        <row r="180">
          <cell r="G180">
            <v>0</v>
          </cell>
          <cell r="H180">
            <v>0</v>
          </cell>
          <cell r="I180">
            <v>0</v>
          </cell>
        </row>
        <row r="232">
          <cell r="G232">
            <v>0</v>
          </cell>
          <cell r="H232">
            <v>0</v>
          </cell>
          <cell r="I232">
            <v>0</v>
          </cell>
        </row>
        <row r="233">
          <cell r="G233">
            <v>0</v>
          </cell>
          <cell r="H233">
            <v>0</v>
          </cell>
          <cell r="I233">
            <v>0</v>
          </cell>
        </row>
        <row r="234">
          <cell r="G234">
            <v>0</v>
          </cell>
          <cell r="H234">
            <v>0</v>
          </cell>
          <cell r="I234">
            <v>0</v>
          </cell>
        </row>
        <row r="240">
          <cell r="G240">
            <v>0</v>
          </cell>
          <cell r="H240">
            <v>0</v>
          </cell>
          <cell r="I240">
            <v>0</v>
          </cell>
        </row>
        <row r="241">
          <cell r="G241">
            <v>0</v>
          </cell>
          <cell r="H241">
            <v>0</v>
          </cell>
          <cell r="I241">
            <v>0</v>
          </cell>
        </row>
        <row r="242">
          <cell r="G242">
            <v>0</v>
          </cell>
          <cell r="H242">
            <v>0</v>
          </cell>
          <cell r="I242">
            <v>0</v>
          </cell>
        </row>
        <row r="248">
          <cell r="G248">
            <v>0</v>
          </cell>
          <cell r="H248">
            <v>0</v>
          </cell>
          <cell r="I248">
            <v>0</v>
          </cell>
        </row>
        <row r="249">
          <cell r="G249">
            <v>0</v>
          </cell>
          <cell r="H249">
            <v>0</v>
          </cell>
          <cell r="I249">
            <v>0</v>
          </cell>
        </row>
        <row r="250">
          <cell r="G250">
            <v>0</v>
          </cell>
          <cell r="H250">
            <v>0</v>
          </cell>
          <cell r="I250">
            <v>0</v>
          </cell>
        </row>
        <row r="256">
          <cell r="G256">
            <v>0</v>
          </cell>
          <cell r="H256">
            <v>0</v>
          </cell>
          <cell r="I256">
            <v>0</v>
          </cell>
        </row>
        <row r="257">
          <cell r="G257">
            <v>0</v>
          </cell>
          <cell r="H257">
            <v>0</v>
          </cell>
          <cell r="I257">
            <v>0</v>
          </cell>
        </row>
        <row r="258">
          <cell r="G258">
            <v>0</v>
          </cell>
          <cell r="H258">
            <v>0</v>
          </cell>
          <cell r="I258">
            <v>0</v>
          </cell>
        </row>
        <row r="264">
          <cell r="G264">
            <v>0</v>
          </cell>
          <cell r="H264">
            <v>0</v>
          </cell>
          <cell r="I264">
            <v>0</v>
          </cell>
        </row>
        <row r="265">
          <cell r="G265">
            <v>0</v>
          </cell>
          <cell r="H265">
            <v>0</v>
          </cell>
          <cell r="I265">
            <v>0</v>
          </cell>
        </row>
        <row r="266">
          <cell r="G266">
            <v>0</v>
          </cell>
          <cell r="H266">
            <v>0</v>
          </cell>
          <cell r="I266">
            <v>0</v>
          </cell>
        </row>
        <row r="272">
          <cell r="G272">
            <v>0</v>
          </cell>
          <cell r="H272">
            <v>0</v>
          </cell>
          <cell r="I272">
            <v>0</v>
          </cell>
        </row>
        <row r="273">
          <cell r="G273">
            <v>0</v>
          </cell>
          <cell r="H273">
            <v>0</v>
          </cell>
          <cell r="I273">
            <v>0</v>
          </cell>
        </row>
        <row r="274">
          <cell r="G274">
            <v>0</v>
          </cell>
          <cell r="H274">
            <v>0</v>
          </cell>
          <cell r="I274">
            <v>0</v>
          </cell>
        </row>
        <row r="280">
          <cell r="G280">
            <v>0</v>
          </cell>
          <cell r="H280">
            <v>0</v>
          </cell>
          <cell r="I280">
            <v>0</v>
          </cell>
        </row>
        <row r="281">
          <cell r="G281">
            <v>0</v>
          </cell>
          <cell r="H281">
            <v>0</v>
          </cell>
          <cell r="I281">
            <v>0</v>
          </cell>
        </row>
        <row r="282">
          <cell r="G282">
            <v>0</v>
          </cell>
          <cell r="H282">
            <v>0</v>
          </cell>
          <cell r="I282">
            <v>0</v>
          </cell>
        </row>
        <row r="288">
          <cell r="G288">
            <v>0</v>
          </cell>
          <cell r="H288">
            <v>0</v>
          </cell>
          <cell r="I288">
            <v>0</v>
          </cell>
        </row>
        <row r="289">
          <cell r="G289">
            <v>0</v>
          </cell>
          <cell r="H289">
            <v>0</v>
          </cell>
          <cell r="I289">
            <v>0</v>
          </cell>
        </row>
        <row r="290">
          <cell r="G290">
            <v>0</v>
          </cell>
          <cell r="H290">
            <v>0</v>
          </cell>
          <cell r="I290">
            <v>0</v>
          </cell>
        </row>
        <row r="296">
          <cell r="G296">
            <v>0</v>
          </cell>
          <cell r="H296">
            <v>0</v>
          </cell>
          <cell r="I296">
            <v>0</v>
          </cell>
        </row>
        <row r="297">
          <cell r="G297">
            <v>0</v>
          </cell>
          <cell r="H297">
            <v>0</v>
          </cell>
          <cell r="I297">
            <v>0</v>
          </cell>
        </row>
        <row r="298">
          <cell r="G298">
            <v>0</v>
          </cell>
          <cell r="H298">
            <v>0</v>
          </cell>
          <cell r="I298">
            <v>0</v>
          </cell>
        </row>
        <row r="304">
          <cell r="G304">
            <v>0</v>
          </cell>
          <cell r="H304">
            <v>0</v>
          </cell>
          <cell r="I304">
            <v>0</v>
          </cell>
        </row>
        <row r="305">
          <cell r="G305">
            <v>0</v>
          </cell>
          <cell r="H305">
            <v>0</v>
          </cell>
          <cell r="I305">
            <v>0</v>
          </cell>
        </row>
        <row r="306">
          <cell r="G306">
            <v>0</v>
          </cell>
          <cell r="H306">
            <v>0</v>
          </cell>
          <cell r="I306">
            <v>0</v>
          </cell>
        </row>
        <row r="312">
          <cell r="G312">
            <v>0</v>
          </cell>
          <cell r="H312">
            <v>0</v>
          </cell>
          <cell r="I312">
            <v>0</v>
          </cell>
        </row>
        <row r="313">
          <cell r="G313">
            <v>0</v>
          </cell>
          <cell r="H313">
            <v>0</v>
          </cell>
          <cell r="I313">
            <v>0</v>
          </cell>
        </row>
        <row r="314">
          <cell r="G314">
            <v>0</v>
          </cell>
          <cell r="H314">
            <v>0</v>
          </cell>
          <cell r="I314">
            <v>0</v>
          </cell>
        </row>
        <row r="320">
          <cell r="G320">
            <v>0</v>
          </cell>
          <cell r="H320">
            <v>0</v>
          </cell>
          <cell r="I320">
            <v>0</v>
          </cell>
        </row>
        <row r="321">
          <cell r="G321">
            <v>0</v>
          </cell>
          <cell r="H321">
            <v>0</v>
          </cell>
          <cell r="I321">
            <v>0</v>
          </cell>
        </row>
        <row r="322">
          <cell r="G322">
            <v>0</v>
          </cell>
          <cell r="H322">
            <v>0</v>
          </cell>
          <cell r="I322">
            <v>0</v>
          </cell>
        </row>
        <row r="328">
          <cell r="G328">
            <v>0</v>
          </cell>
          <cell r="H328">
            <v>0</v>
          </cell>
          <cell r="I328">
            <v>0</v>
          </cell>
        </row>
        <row r="329">
          <cell r="G329">
            <v>0</v>
          </cell>
          <cell r="H329">
            <v>0</v>
          </cell>
          <cell r="I329">
            <v>0</v>
          </cell>
        </row>
        <row r="330">
          <cell r="G330">
            <v>0</v>
          </cell>
          <cell r="H330">
            <v>0</v>
          </cell>
          <cell r="I330">
            <v>0</v>
          </cell>
        </row>
        <row r="336">
          <cell r="G336">
            <v>0</v>
          </cell>
          <cell r="H336">
            <v>0</v>
          </cell>
          <cell r="I336">
            <v>0</v>
          </cell>
        </row>
        <row r="337">
          <cell r="G337">
            <v>0</v>
          </cell>
          <cell r="H337">
            <v>0</v>
          </cell>
          <cell r="I337">
            <v>0</v>
          </cell>
        </row>
        <row r="338">
          <cell r="G338">
            <v>0</v>
          </cell>
          <cell r="H338">
            <v>0</v>
          </cell>
          <cell r="I338">
            <v>0</v>
          </cell>
        </row>
        <row r="344">
          <cell r="G344">
            <v>0</v>
          </cell>
          <cell r="H344">
            <v>0</v>
          </cell>
          <cell r="I344">
            <v>0</v>
          </cell>
        </row>
        <row r="345">
          <cell r="G345">
            <v>0</v>
          </cell>
          <cell r="H345">
            <v>0</v>
          </cell>
          <cell r="I345">
            <v>0</v>
          </cell>
        </row>
        <row r="346">
          <cell r="G346">
            <v>0</v>
          </cell>
          <cell r="H346">
            <v>0</v>
          </cell>
          <cell r="I346">
            <v>0</v>
          </cell>
        </row>
        <row r="352">
          <cell r="G352">
            <v>0</v>
          </cell>
          <cell r="H352">
            <v>0</v>
          </cell>
          <cell r="I352">
            <v>0</v>
          </cell>
        </row>
        <row r="353">
          <cell r="G353">
            <v>0</v>
          </cell>
          <cell r="H353">
            <v>0</v>
          </cell>
          <cell r="I353">
            <v>0</v>
          </cell>
        </row>
        <row r="354">
          <cell r="G354">
            <v>0</v>
          </cell>
          <cell r="H354">
            <v>0</v>
          </cell>
          <cell r="I354">
            <v>0</v>
          </cell>
        </row>
        <row r="360">
          <cell r="G360">
            <v>0</v>
          </cell>
          <cell r="H360">
            <v>0</v>
          </cell>
          <cell r="I360">
            <v>0</v>
          </cell>
        </row>
        <row r="361">
          <cell r="G361">
            <v>0</v>
          </cell>
          <cell r="H361">
            <v>0</v>
          </cell>
          <cell r="I361">
            <v>0</v>
          </cell>
        </row>
        <row r="362">
          <cell r="G362">
            <v>0</v>
          </cell>
          <cell r="H362">
            <v>0</v>
          </cell>
          <cell r="I362">
            <v>0</v>
          </cell>
        </row>
        <row r="368">
          <cell r="G368">
            <v>0</v>
          </cell>
          <cell r="H368">
            <v>0</v>
          </cell>
          <cell r="I368">
            <v>0</v>
          </cell>
        </row>
        <row r="369">
          <cell r="G369">
            <v>0</v>
          </cell>
          <cell r="H369">
            <v>0</v>
          </cell>
          <cell r="I369">
            <v>0</v>
          </cell>
        </row>
        <row r="370">
          <cell r="G370">
            <v>0</v>
          </cell>
          <cell r="H370">
            <v>0</v>
          </cell>
          <cell r="I370">
            <v>0</v>
          </cell>
        </row>
        <row r="376">
          <cell r="G376">
            <v>0</v>
          </cell>
          <cell r="H376">
            <v>0</v>
          </cell>
          <cell r="I376">
            <v>0</v>
          </cell>
        </row>
        <row r="377">
          <cell r="G377">
            <v>0</v>
          </cell>
          <cell r="H377">
            <v>0</v>
          </cell>
          <cell r="I377">
            <v>0</v>
          </cell>
        </row>
        <row r="378">
          <cell r="G378">
            <v>0</v>
          </cell>
          <cell r="H378">
            <v>0</v>
          </cell>
          <cell r="I378">
            <v>0</v>
          </cell>
        </row>
        <row r="384">
          <cell r="G384">
            <v>0</v>
          </cell>
          <cell r="H384">
            <v>0</v>
          </cell>
          <cell r="I384">
            <v>0</v>
          </cell>
        </row>
        <row r="385">
          <cell r="G385">
            <v>0</v>
          </cell>
          <cell r="H385">
            <v>0</v>
          </cell>
          <cell r="I385">
            <v>0</v>
          </cell>
        </row>
        <row r="386">
          <cell r="G386">
            <v>0</v>
          </cell>
          <cell r="H386">
            <v>0</v>
          </cell>
          <cell r="I386">
            <v>0</v>
          </cell>
        </row>
        <row r="392">
          <cell r="G392">
            <v>0</v>
          </cell>
          <cell r="H392">
            <v>0</v>
          </cell>
          <cell r="I392">
            <v>0</v>
          </cell>
        </row>
        <row r="393">
          <cell r="G393">
            <v>0</v>
          </cell>
          <cell r="H393">
            <v>0</v>
          </cell>
          <cell r="I393">
            <v>0</v>
          </cell>
        </row>
        <row r="394">
          <cell r="G394">
            <v>0</v>
          </cell>
          <cell r="H394">
            <v>0</v>
          </cell>
          <cell r="I394">
            <v>0</v>
          </cell>
        </row>
        <row r="400">
          <cell r="G400">
            <v>0</v>
          </cell>
          <cell r="H400">
            <v>0</v>
          </cell>
          <cell r="I400">
            <v>0</v>
          </cell>
        </row>
        <row r="401">
          <cell r="G401">
            <v>0</v>
          </cell>
          <cell r="H401">
            <v>0</v>
          </cell>
          <cell r="I401">
            <v>0</v>
          </cell>
        </row>
        <row r="402">
          <cell r="G402">
            <v>0</v>
          </cell>
          <cell r="H402">
            <v>0</v>
          </cell>
          <cell r="I402">
            <v>0</v>
          </cell>
        </row>
        <row r="408">
          <cell r="G408">
            <v>0</v>
          </cell>
          <cell r="H408">
            <v>0</v>
          </cell>
          <cell r="I408">
            <v>0</v>
          </cell>
        </row>
        <row r="409">
          <cell r="G409">
            <v>0</v>
          </cell>
          <cell r="H409">
            <v>0</v>
          </cell>
          <cell r="I409">
            <v>0</v>
          </cell>
        </row>
        <row r="410">
          <cell r="G410">
            <v>0</v>
          </cell>
          <cell r="H410">
            <v>0</v>
          </cell>
          <cell r="I410">
            <v>0</v>
          </cell>
        </row>
        <row r="416">
          <cell r="G416">
            <v>0</v>
          </cell>
          <cell r="H416">
            <v>0</v>
          </cell>
          <cell r="I416">
            <v>0</v>
          </cell>
        </row>
        <row r="417">
          <cell r="G417">
            <v>0</v>
          </cell>
          <cell r="H417">
            <v>0</v>
          </cell>
          <cell r="I417">
            <v>0</v>
          </cell>
        </row>
        <row r="418">
          <cell r="G418">
            <v>0</v>
          </cell>
          <cell r="H418">
            <v>0</v>
          </cell>
          <cell r="I418">
            <v>0</v>
          </cell>
        </row>
        <row r="424">
          <cell r="G424">
            <v>0</v>
          </cell>
          <cell r="H424">
            <v>0</v>
          </cell>
          <cell r="I424">
            <v>0</v>
          </cell>
        </row>
        <row r="425">
          <cell r="G425">
            <v>0</v>
          </cell>
          <cell r="H425">
            <v>0</v>
          </cell>
          <cell r="I425">
            <v>0</v>
          </cell>
        </row>
        <row r="426">
          <cell r="G426">
            <v>0</v>
          </cell>
          <cell r="H426">
            <v>0</v>
          </cell>
          <cell r="I426">
            <v>0</v>
          </cell>
        </row>
        <row r="432">
          <cell r="G432">
            <v>0</v>
          </cell>
          <cell r="H432">
            <v>0</v>
          </cell>
          <cell r="I432">
            <v>0</v>
          </cell>
        </row>
        <row r="433">
          <cell r="G433">
            <v>0</v>
          </cell>
          <cell r="H433">
            <v>0</v>
          </cell>
          <cell r="I433">
            <v>0</v>
          </cell>
        </row>
        <row r="434">
          <cell r="G434">
            <v>0</v>
          </cell>
          <cell r="H434">
            <v>0</v>
          </cell>
          <cell r="I434">
            <v>0</v>
          </cell>
        </row>
        <row r="440">
          <cell r="G440">
            <v>0</v>
          </cell>
          <cell r="H440">
            <v>0</v>
          </cell>
          <cell r="I440">
            <v>0</v>
          </cell>
        </row>
        <row r="441">
          <cell r="G441">
            <v>0</v>
          </cell>
          <cell r="H441">
            <v>0</v>
          </cell>
          <cell r="I441">
            <v>0</v>
          </cell>
        </row>
        <row r="442">
          <cell r="G442">
            <v>0</v>
          </cell>
          <cell r="H442">
            <v>0</v>
          </cell>
          <cell r="I442">
            <v>0</v>
          </cell>
        </row>
        <row r="448">
          <cell r="G448">
            <v>0</v>
          </cell>
          <cell r="H448">
            <v>0</v>
          </cell>
          <cell r="I448">
            <v>0</v>
          </cell>
        </row>
        <row r="449">
          <cell r="G449">
            <v>0</v>
          </cell>
          <cell r="H449">
            <v>0</v>
          </cell>
          <cell r="I449">
            <v>0</v>
          </cell>
        </row>
        <row r="450">
          <cell r="G450">
            <v>0</v>
          </cell>
          <cell r="H450">
            <v>0</v>
          </cell>
          <cell r="I450">
            <v>0</v>
          </cell>
        </row>
        <row r="456">
          <cell r="G456">
            <v>0</v>
          </cell>
          <cell r="H456">
            <v>0</v>
          </cell>
          <cell r="I456">
            <v>0</v>
          </cell>
        </row>
        <row r="457">
          <cell r="G457">
            <v>0</v>
          </cell>
          <cell r="H457">
            <v>0</v>
          </cell>
          <cell r="I457">
            <v>0</v>
          </cell>
        </row>
        <row r="458">
          <cell r="G458">
            <v>0</v>
          </cell>
          <cell r="H458">
            <v>0</v>
          </cell>
          <cell r="I458">
            <v>0</v>
          </cell>
        </row>
        <row r="464">
          <cell r="G464">
            <v>0</v>
          </cell>
          <cell r="H464">
            <v>0</v>
          </cell>
          <cell r="I464">
            <v>0</v>
          </cell>
        </row>
        <row r="465">
          <cell r="G465">
            <v>0</v>
          </cell>
          <cell r="H465">
            <v>0</v>
          </cell>
          <cell r="I465">
            <v>0</v>
          </cell>
        </row>
        <row r="466">
          <cell r="G466">
            <v>0</v>
          </cell>
          <cell r="H466">
            <v>0</v>
          </cell>
          <cell r="I466">
            <v>0</v>
          </cell>
        </row>
        <row r="472">
          <cell r="G472">
            <v>0</v>
          </cell>
          <cell r="H472">
            <v>0</v>
          </cell>
          <cell r="I472">
            <v>0</v>
          </cell>
        </row>
        <row r="473">
          <cell r="G473">
            <v>0</v>
          </cell>
          <cell r="H473">
            <v>0</v>
          </cell>
          <cell r="I473">
            <v>0</v>
          </cell>
        </row>
        <row r="474">
          <cell r="G474">
            <v>0</v>
          </cell>
          <cell r="H474">
            <v>0</v>
          </cell>
          <cell r="I474">
            <v>0</v>
          </cell>
        </row>
        <row r="480">
          <cell r="G480">
            <v>0</v>
          </cell>
          <cell r="H480">
            <v>0</v>
          </cell>
          <cell r="I480">
            <v>0</v>
          </cell>
        </row>
        <row r="481">
          <cell r="G481">
            <v>0</v>
          </cell>
          <cell r="H481">
            <v>0</v>
          </cell>
          <cell r="I481">
            <v>0</v>
          </cell>
        </row>
        <row r="482">
          <cell r="G482">
            <v>0</v>
          </cell>
          <cell r="H482">
            <v>0</v>
          </cell>
          <cell r="I482">
            <v>0</v>
          </cell>
        </row>
        <row r="488">
          <cell r="G488">
            <v>0</v>
          </cell>
          <cell r="H488">
            <v>0</v>
          </cell>
          <cell r="I488">
            <v>0</v>
          </cell>
        </row>
        <row r="489">
          <cell r="G489">
            <v>0</v>
          </cell>
          <cell r="H489">
            <v>0</v>
          </cell>
          <cell r="I489">
            <v>0</v>
          </cell>
        </row>
        <row r="490">
          <cell r="G490">
            <v>0</v>
          </cell>
          <cell r="H490">
            <v>0</v>
          </cell>
          <cell r="I490">
            <v>0</v>
          </cell>
        </row>
        <row r="496">
          <cell r="G496">
            <v>0</v>
          </cell>
          <cell r="H496">
            <v>0</v>
          </cell>
          <cell r="I496">
            <v>0</v>
          </cell>
        </row>
        <row r="497">
          <cell r="G497">
            <v>0</v>
          </cell>
          <cell r="H497">
            <v>0</v>
          </cell>
          <cell r="I497">
            <v>0</v>
          </cell>
        </row>
        <row r="498">
          <cell r="G498">
            <v>0</v>
          </cell>
          <cell r="H498">
            <v>0</v>
          </cell>
          <cell r="I498">
            <v>0</v>
          </cell>
        </row>
        <row r="504">
          <cell r="G504">
            <v>0</v>
          </cell>
          <cell r="H504">
            <v>0</v>
          </cell>
          <cell r="I504">
            <v>0</v>
          </cell>
        </row>
        <row r="505">
          <cell r="G505">
            <v>0</v>
          </cell>
          <cell r="H505">
            <v>0</v>
          </cell>
          <cell r="I505">
            <v>0</v>
          </cell>
        </row>
        <row r="506">
          <cell r="G506">
            <v>0</v>
          </cell>
          <cell r="H506">
            <v>0</v>
          </cell>
          <cell r="I506">
            <v>0</v>
          </cell>
        </row>
        <row r="512">
          <cell r="G512">
            <v>0</v>
          </cell>
          <cell r="H512">
            <v>0</v>
          </cell>
          <cell r="I512">
            <v>0</v>
          </cell>
        </row>
        <row r="513">
          <cell r="G513">
            <v>0</v>
          </cell>
          <cell r="H513">
            <v>0</v>
          </cell>
          <cell r="I513">
            <v>0</v>
          </cell>
        </row>
        <row r="514">
          <cell r="G514">
            <v>0</v>
          </cell>
          <cell r="H514">
            <v>0</v>
          </cell>
          <cell r="I514">
            <v>0</v>
          </cell>
        </row>
        <row r="520">
          <cell r="G520">
            <v>0</v>
          </cell>
          <cell r="H520">
            <v>0</v>
          </cell>
          <cell r="I520">
            <v>0</v>
          </cell>
        </row>
        <row r="521">
          <cell r="G521">
            <v>0</v>
          </cell>
          <cell r="H521">
            <v>0</v>
          </cell>
          <cell r="I521">
            <v>0</v>
          </cell>
        </row>
        <row r="522">
          <cell r="G522">
            <v>0</v>
          </cell>
          <cell r="H522">
            <v>0</v>
          </cell>
          <cell r="I522">
            <v>0</v>
          </cell>
        </row>
        <row r="528">
          <cell r="G528">
            <v>0</v>
          </cell>
          <cell r="H528">
            <v>0</v>
          </cell>
          <cell r="I528">
            <v>0</v>
          </cell>
        </row>
        <row r="529">
          <cell r="G529">
            <v>0</v>
          </cell>
          <cell r="H529">
            <v>0</v>
          </cell>
          <cell r="I529">
            <v>0</v>
          </cell>
        </row>
        <row r="530">
          <cell r="G530">
            <v>0</v>
          </cell>
          <cell r="H530">
            <v>0</v>
          </cell>
          <cell r="I530">
            <v>0</v>
          </cell>
        </row>
        <row r="536">
          <cell r="G536">
            <v>0</v>
          </cell>
          <cell r="H536">
            <v>0</v>
          </cell>
          <cell r="I536">
            <v>0</v>
          </cell>
        </row>
        <row r="537">
          <cell r="G537">
            <v>0</v>
          </cell>
          <cell r="H537">
            <v>0</v>
          </cell>
          <cell r="I537">
            <v>0</v>
          </cell>
        </row>
        <row r="538">
          <cell r="G538">
            <v>0</v>
          </cell>
          <cell r="H538">
            <v>0</v>
          </cell>
          <cell r="I538">
            <v>0</v>
          </cell>
        </row>
        <row r="544">
          <cell r="G544">
            <v>0</v>
          </cell>
          <cell r="H544">
            <v>0</v>
          </cell>
          <cell r="I544">
            <v>0</v>
          </cell>
        </row>
        <row r="545">
          <cell r="G545">
            <v>0</v>
          </cell>
          <cell r="H545">
            <v>0</v>
          </cell>
          <cell r="I545">
            <v>0</v>
          </cell>
        </row>
        <row r="546">
          <cell r="G546">
            <v>0</v>
          </cell>
          <cell r="H546">
            <v>0</v>
          </cell>
          <cell r="I546">
            <v>0</v>
          </cell>
        </row>
        <row r="552">
          <cell r="G552">
            <v>0</v>
          </cell>
          <cell r="H552">
            <v>0</v>
          </cell>
          <cell r="I552">
            <v>0</v>
          </cell>
        </row>
        <row r="553">
          <cell r="G553">
            <v>0</v>
          </cell>
          <cell r="H553">
            <v>0</v>
          </cell>
          <cell r="I553">
            <v>0</v>
          </cell>
        </row>
        <row r="554">
          <cell r="G554">
            <v>0</v>
          </cell>
          <cell r="H554">
            <v>0</v>
          </cell>
          <cell r="I554">
            <v>0</v>
          </cell>
        </row>
        <row r="560">
          <cell r="G560">
            <v>0</v>
          </cell>
          <cell r="H560">
            <v>0</v>
          </cell>
          <cell r="I560">
            <v>0</v>
          </cell>
        </row>
        <row r="561">
          <cell r="G561">
            <v>0</v>
          </cell>
          <cell r="H561">
            <v>0</v>
          </cell>
          <cell r="I561">
            <v>0</v>
          </cell>
        </row>
        <row r="562">
          <cell r="G562">
            <v>0</v>
          </cell>
          <cell r="H562">
            <v>0</v>
          </cell>
          <cell r="I562">
            <v>0</v>
          </cell>
        </row>
        <row r="568">
          <cell r="G568">
            <v>0</v>
          </cell>
          <cell r="H568">
            <v>0</v>
          </cell>
          <cell r="I568">
            <v>0</v>
          </cell>
        </row>
        <row r="569">
          <cell r="G569">
            <v>0</v>
          </cell>
          <cell r="H569">
            <v>0</v>
          </cell>
          <cell r="I569">
            <v>0</v>
          </cell>
        </row>
        <row r="570">
          <cell r="G570">
            <v>0</v>
          </cell>
          <cell r="H570">
            <v>0</v>
          </cell>
          <cell r="I570">
            <v>0</v>
          </cell>
        </row>
        <row r="584">
          <cell r="G584">
            <v>0</v>
          </cell>
          <cell r="H584">
            <v>0</v>
          </cell>
          <cell r="I584">
            <v>0</v>
          </cell>
        </row>
        <row r="585">
          <cell r="G585">
            <v>0</v>
          </cell>
          <cell r="H585">
            <v>0</v>
          </cell>
          <cell r="I585">
            <v>0</v>
          </cell>
        </row>
        <row r="586">
          <cell r="G586">
            <v>0</v>
          </cell>
          <cell r="H586">
            <v>0</v>
          </cell>
          <cell r="I586">
            <v>0</v>
          </cell>
        </row>
        <row r="592">
          <cell r="G592">
            <v>0</v>
          </cell>
          <cell r="H592">
            <v>0</v>
          </cell>
          <cell r="I592">
            <v>0</v>
          </cell>
        </row>
        <row r="593">
          <cell r="G593">
            <v>0</v>
          </cell>
          <cell r="H593">
            <v>0</v>
          </cell>
          <cell r="I593">
            <v>0</v>
          </cell>
        </row>
        <row r="594">
          <cell r="G594">
            <v>0</v>
          </cell>
          <cell r="H594">
            <v>0</v>
          </cell>
          <cell r="I59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80">
          <cell r="D180">
            <v>2016</v>
          </cell>
        </row>
        <row r="267">
          <cell r="F267">
            <v>68528.600000000006</v>
          </cell>
          <cell r="G267">
            <v>20000</v>
          </cell>
        </row>
      </sheetData>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16-18"/>
      <sheetName val="5. Фин уч"/>
      <sheetName val="c учетом УС"/>
      <sheetName val="8 План16-19 (2)"/>
      <sheetName val=" 3.ОМ 16-19"/>
      <sheetName val="Изменения 2017 Минфин"/>
      <sheetName val="8 План18-20-1"/>
      <sheetName val="8 План18-20-2"/>
      <sheetName val="10в Справка ОКС 18.03.19"/>
      <sheetName val="8 План16-20"/>
      <sheetName val="Пр ГП 19-20"/>
      <sheetName val="8 План19-21-1"/>
      <sheetName val="8 План18-20-5"/>
      <sheetName val="10в Справка ОКС"/>
      <sheetName val="Сводная"/>
      <sheetName val="9. План 21-25"/>
      <sheetName val="10в. Спр ОКС"/>
      <sheetName val="10а. Спр пок "/>
      <sheetName val="4. ОКС 16-19-3"/>
      <sheetName val="Пр8 16-19 (2)"/>
      <sheetName val="для счета"/>
      <sheetName val="Пр10б. Справка"/>
      <sheetName val="Пр 10в ОКС"/>
      <sheetName val="8 План16-19"/>
      <sheetName val="3. ОМ"/>
      <sheetName val="Исп.бюдж.01.01.2019"/>
      <sheetName val="Пр ГП 19-20 (2)"/>
      <sheetName val="Пр ГП 19-20 (3)"/>
      <sheetName val="Пр 11а."/>
      <sheetName val="Спорт ОКС"/>
      <sheetName val="Минфин"/>
      <sheetName val="Муниципальные"/>
      <sheetName val="Областные"/>
      <sheetName val="Исп.бюдж 01.07.19"/>
      <sheetName val="11д. Оц эф"/>
      <sheetName val="11г"/>
      <sheetName val="4. ОК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K5" t="str">
            <v>Министерство спорта и молодежной политики МО, Министерство строительства МО</v>
          </cell>
        </row>
        <row r="11">
          <cell r="K11" t="str">
            <v>Министерство строительства МО</v>
          </cell>
        </row>
        <row r="41">
          <cell r="J41" t="str">
            <v xml:space="preserve">Обучение плаванию ежегодно не менее 500 человек </v>
          </cell>
        </row>
        <row r="59">
          <cell r="J59" t="str">
            <v>Ежегодная организация и проведение церемонии награждения спортсменов, тренеров, ветеранов спорта и физкультурного актива  Мурманской области с количеством награжденных не менее 3 человек, с участием в церемонии не менее 60 человек</v>
          </cell>
        </row>
        <row r="107">
          <cell r="K107" t="str">
            <v>ГАУМО "ЦСП"</v>
          </cell>
        </row>
        <row r="167">
          <cell r="K167" t="str">
            <v>Министерство строительства МО, администрации муниципальных образований</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План18-20-2"/>
      <sheetName val="3. ОМ"/>
      <sheetName val="Исп.бюдж.01.01.2019"/>
      <sheetName val="8 План18-20-5"/>
      <sheetName val="12А_МИНСТРОЙ"/>
      <sheetName val="12Б_МИНСТРОЙ"/>
      <sheetName val="475ПП"/>
      <sheetName val="Документ"/>
      <sheetName val="Минфин"/>
      <sheetName val="Муниципальные"/>
      <sheetName val="Областные"/>
      <sheetName val="Пр ГП 19-20"/>
      <sheetName val="Исп.бюдж 01.07.19"/>
      <sheetName val="11д. Оц эф"/>
      <sheetName val="11г"/>
      <sheetName val="4. ОКС"/>
      <sheetName val="8 План16-20"/>
    </sheetNames>
    <sheetDataSet>
      <sheetData sheetId="0" refreshError="1"/>
      <sheetData sheetId="1" refreshError="1"/>
      <sheetData sheetId="2" refreshError="1"/>
      <sheetData sheetId="3" refreshError="1"/>
      <sheetData sheetId="4" refreshError="1"/>
      <sheetData sheetId="5" refreshError="1"/>
      <sheetData sheetId="6">
        <row r="61">
          <cell r="F61">
            <v>40000</v>
          </cell>
          <cell r="G61">
            <v>0</v>
          </cell>
          <cell r="H61">
            <v>0</v>
          </cell>
          <cell r="I61">
            <v>0</v>
          </cell>
        </row>
        <row r="73">
          <cell r="F73">
            <v>40000</v>
          </cell>
          <cell r="G73">
            <v>0</v>
          </cell>
          <cell r="H73">
            <v>0</v>
          </cell>
          <cell r="I73">
            <v>0</v>
          </cell>
        </row>
        <row r="79">
          <cell r="F79">
            <v>2451.4306900000001</v>
          </cell>
          <cell r="G79">
            <v>0</v>
          </cell>
          <cell r="H79">
            <v>0</v>
          </cell>
          <cell r="I79">
            <v>0</v>
          </cell>
        </row>
        <row r="85">
          <cell r="F85">
            <v>57948.035000000003</v>
          </cell>
          <cell r="G85">
            <v>0</v>
          </cell>
          <cell r="H85">
            <v>0</v>
          </cell>
          <cell r="I85">
            <v>0</v>
          </cell>
        </row>
        <row r="91">
          <cell r="F91">
            <v>20000</v>
          </cell>
          <cell r="G91">
            <v>0</v>
          </cell>
          <cell r="H91">
            <v>0</v>
          </cell>
          <cell r="I91">
            <v>0</v>
          </cell>
        </row>
        <row r="109">
          <cell r="F109">
            <v>26000</v>
          </cell>
          <cell r="G109">
            <v>0</v>
          </cell>
          <cell r="H109">
            <v>0</v>
          </cell>
          <cell r="I109">
            <v>0</v>
          </cell>
        </row>
        <row r="127">
          <cell r="F127">
            <v>9000</v>
          </cell>
          <cell r="G127">
            <v>0</v>
          </cell>
          <cell r="H127">
            <v>5210.5263199999999</v>
          </cell>
          <cell r="I127">
            <v>0</v>
          </cell>
        </row>
        <row r="133">
          <cell r="F133">
            <v>35000</v>
          </cell>
          <cell r="G133">
            <v>0</v>
          </cell>
          <cell r="H133">
            <v>7275.2650199999998</v>
          </cell>
          <cell r="I133">
            <v>0</v>
          </cell>
        </row>
        <row r="139">
          <cell r="F139">
            <v>14000</v>
          </cell>
          <cell r="G139">
            <v>0</v>
          </cell>
          <cell r="H139">
            <v>0</v>
          </cell>
          <cell r="I139">
            <v>0</v>
          </cell>
        </row>
        <row r="151">
          <cell r="F151">
            <v>101.89149</v>
          </cell>
          <cell r="G151">
            <v>1596.3</v>
          </cell>
          <cell r="H151">
            <v>0</v>
          </cell>
          <cell r="I151">
            <v>0</v>
          </cell>
        </row>
        <row r="157">
          <cell r="F157">
            <v>3159.1</v>
          </cell>
        </row>
        <row r="163">
          <cell r="F163">
            <v>4000</v>
          </cell>
        </row>
        <row r="187">
          <cell r="F187">
            <v>2106.6570000000002</v>
          </cell>
        </row>
        <row r="193">
          <cell r="F193">
            <v>59494.678659999998</v>
          </cell>
        </row>
        <row r="199">
          <cell r="F199">
            <v>32.07</v>
          </cell>
        </row>
        <row r="205">
          <cell r="F205">
            <v>878519.89599999995</v>
          </cell>
        </row>
        <row r="211">
          <cell r="F211">
            <v>3561.3</v>
          </cell>
        </row>
        <row r="247">
          <cell r="F247">
            <v>5000</v>
          </cell>
        </row>
        <row r="271">
          <cell r="F271">
            <v>30187.855</v>
          </cell>
        </row>
        <row r="301">
          <cell r="F301">
            <v>3628.395</v>
          </cell>
          <cell r="G301">
            <v>0</v>
          </cell>
          <cell r="H301">
            <v>0</v>
          </cell>
          <cell r="I301">
            <v>0</v>
          </cell>
        </row>
        <row r="307">
          <cell r="F307">
            <v>16200.621999999999</v>
          </cell>
          <cell r="G307">
            <v>0</v>
          </cell>
          <cell r="H307">
            <v>0</v>
          </cell>
          <cell r="I307">
            <v>0</v>
          </cell>
        </row>
        <row r="319">
          <cell r="F319">
            <v>6400</v>
          </cell>
          <cell r="G319">
            <v>0</v>
          </cell>
          <cell r="H319">
            <v>3446.2</v>
          </cell>
          <cell r="I319">
            <v>0</v>
          </cell>
        </row>
        <row r="325">
          <cell r="F325">
            <v>41400</v>
          </cell>
          <cell r="G325">
            <v>0</v>
          </cell>
          <cell r="H325">
            <v>16331.03</v>
          </cell>
          <cell r="I325">
            <v>0</v>
          </cell>
        </row>
        <row r="577">
          <cell r="F577">
            <v>76000</v>
          </cell>
          <cell r="G577">
            <v>0</v>
          </cell>
          <cell r="H577">
            <v>4000</v>
          </cell>
          <cell r="I577">
            <v>0</v>
          </cell>
        </row>
        <row r="583">
          <cell r="F583">
            <v>4400</v>
          </cell>
          <cell r="G583">
            <v>0</v>
          </cell>
          <cell r="H583">
            <v>0</v>
          </cell>
          <cell r="I583">
            <v>0</v>
          </cell>
        </row>
        <row r="631">
          <cell r="F631">
            <v>9500</v>
          </cell>
          <cell r="G631">
            <v>0</v>
          </cell>
          <cell r="H631">
            <v>500</v>
          </cell>
          <cell r="I631">
            <v>0</v>
          </cell>
        </row>
        <row r="697">
          <cell r="F697">
            <v>6710</v>
          </cell>
          <cell r="G697">
            <v>180476.63</v>
          </cell>
          <cell r="H697">
            <v>0</v>
          </cell>
          <cell r="I697">
            <v>0</v>
          </cell>
        </row>
        <row r="703">
          <cell r="F703">
            <v>0</v>
          </cell>
          <cell r="G703">
            <v>65440</v>
          </cell>
          <cell r="H703">
            <v>0</v>
          </cell>
          <cell r="I703">
            <v>0</v>
          </cell>
        </row>
        <row r="709">
          <cell r="F709">
            <v>0</v>
          </cell>
          <cell r="G709">
            <v>51403.11</v>
          </cell>
          <cell r="H709">
            <v>0</v>
          </cell>
          <cell r="I709">
            <v>0</v>
          </cell>
        </row>
      </sheetData>
      <sheetData sheetId="7">
        <row r="27">
          <cell r="L27">
            <v>40000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ниципальные"/>
    </sheetNames>
    <sheetDataSet>
      <sheetData sheetId="0">
        <row r="103">
          <cell r="D103">
            <v>173475</v>
          </cell>
        </row>
        <row r="104">
          <cell r="B104">
            <v>1066656.04</v>
          </cell>
          <cell r="C104">
            <v>0</v>
          </cell>
        </row>
        <row r="105">
          <cell r="B105">
            <v>1060746.1470000001</v>
          </cell>
          <cell r="C105">
            <v>45420.555</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8"/>
  <sheetViews>
    <sheetView view="pageBreakPreview" topLeftCell="A278" zoomScale="120" zoomScaleNormal="120" zoomScaleSheetLayoutView="120" workbookViewId="0">
      <selection activeCell="K281" sqref="K281:K286"/>
    </sheetView>
  </sheetViews>
  <sheetFormatPr defaultColWidth="8.85546875" defaultRowHeight="15"/>
  <cols>
    <col min="1" max="1" width="7.28515625" style="54" customWidth="1"/>
    <col min="2" max="2" width="17.140625" style="1" customWidth="1"/>
    <col min="3" max="3" width="8.7109375" style="2" customWidth="1"/>
    <col min="4" max="4" width="8.85546875" style="41" customWidth="1"/>
    <col min="5" max="5" width="9.140625" style="4" bestFit="1" customWidth="1"/>
    <col min="6" max="6" width="9.140625" style="3" bestFit="1" customWidth="1"/>
    <col min="7" max="9" width="7.85546875" style="4" bestFit="1" customWidth="1"/>
    <col min="10" max="10" width="26.7109375" style="5" customWidth="1"/>
    <col min="11" max="11" width="17" style="6" customWidth="1"/>
    <col min="257" max="257" width="7.28515625" customWidth="1"/>
    <col min="258" max="258" width="17.140625" customWidth="1"/>
    <col min="259" max="259" width="8.7109375" customWidth="1"/>
    <col min="260" max="260" width="8.85546875" customWidth="1"/>
    <col min="261" max="262" width="9.140625" bestFit="1" customWidth="1"/>
    <col min="263" max="265" width="7.85546875" bestFit="1" customWidth="1"/>
    <col min="266" max="266" width="26.7109375" customWidth="1"/>
    <col min="267" max="267" width="17" customWidth="1"/>
    <col min="513" max="513" width="7.28515625" customWidth="1"/>
    <col min="514" max="514" width="17.140625" customWidth="1"/>
    <col min="515" max="515" width="8.7109375" customWidth="1"/>
    <col min="516" max="516" width="8.85546875" customWidth="1"/>
    <col min="517" max="518" width="9.140625" bestFit="1" customWidth="1"/>
    <col min="519" max="521" width="7.85546875" bestFit="1" customWidth="1"/>
    <col min="522" max="522" width="26.7109375" customWidth="1"/>
    <col min="523" max="523" width="17" customWidth="1"/>
    <col min="769" max="769" width="7.28515625" customWidth="1"/>
    <col min="770" max="770" width="17.140625" customWidth="1"/>
    <col min="771" max="771" width="8.7109375" customWidth="1"/>
    <col min="772" max="772" width="8.85546875" customWidth="1"/>
    <col min="773" max="774" width="9.140625" bestFit="1" customWidth="1"/>
    <col min="775" max="777" width="7.85546875" bestFit="1" customWidth="1"/>
    <col min="778" max="778" width="26.7109375" customWidth="1"/>
    <col min="779" max="779" width="17" customWidth="1"/>
    <col min="1025" max="1025" width="7.28515625" customWidth="1"/>
    <col min="1026" max="1026" width="17.140625" customWidth="1"/>
    <col min="1027" max="1027" width="8.7109375" customWidth="1"/>
    <col min="1028" max="1028" width="8.85546875" customWidth="1"/>
    <col min="1029" max="1030" width="9.140625" bestFit="1" customWidth="1"/>
    <col min="1031" max="1033" width="7.85546875" bestFit="1" customWidth="1"/>
    <col min="1034" max="1034" width="26.7109375" customWidth="1"/>
    <col min="1035" max="1035" width="17" customWidth="1"/>
    <col min="1281" max="1281" width="7.28515625" customWidth="1"/>
    <col min="1282" max="1282" width="17.140625" customWidth="1"/>
    <col min="1283" max="1283" width="8.7109375" customWidth="1"/>
    <col min="1284" max="1284" width="8.85546875" customWidth="1"/>
    <col min="1285" max="1286" width="9.140625" bestFit="1" customWidth="1"/>
    <col min="1287" max="1289" width="7.85546875" bestFit="1" customWidth="1"/>
    <col min="1290" max="1290" width="26.7109375" customWidth="1"/>
    <col min="1291" max="1291" width="17" customWidth="1"/>
    <col min="1537" max="1537" width="7.28515625" customWidth="1"/>
    <col min="1538" max="1538" width="17.140625" customWidth="1"/>
    <col min="1539" max="1539" width="8.7109375" customWidth="1"/>
    <col min="1540" max="1540" width="8.85546875" customWidth="1"/>
    <col min="1541" max="1542" width="9.140625" bestFit="1" customWidth="1"/>
    <col min="1543" max="1545" width="7.85546875" bestFit="1" customWidth="1"/>
    <col min="1546" max="1546" width="26.7109375" customWidth="1"/>
    <col min="1547" max="1547" width="17" customWidth="1"/>
    <col min="1793" max="1793" width="7.28515625" customWidth="1"/>
    <col min="1794" max="1794" width="17.140625" customWidth="1"/>
    <col min="1795" max="1795" width="8.7109375" customWidth="1"/>
    <col min="1796" max="1796" width="8.85546875" customWidth="1"/>
    <col min="1797" max="1798" width="9.140625" bestFit="1" customWidth="1"/>
    <col min="1799" max="1801" width="7.85546875" bestFit="1" customWidth="1"/>
    <col min="1802" max="1802" width="26.7109375" customWidth="1"/>
    <col min="1803" max="1803" width="17" customWidth="1"/>
    <col min="2049" max="2049" width="7.28515625" customWidth="1"/>
    <col min="2050" max="2050" width="17.140625" customWidth="1"/>
    <col min="2051" max="2051" width="8.7109375" customWidth="1"/>
    <col min="2052" max="2052" width="8.85546875" customWidth="1"/>
    <col min="2053" max="2054" width="9.140625" bestFit="1" customWidth="1"/>
    <col min="2055" max="2057" width="7.85546875" bestFit="1" customWidth="1"/>
    <col min="2058" max="2058" width="26.7109375" customWidth="1"/>
    <col min="2059" max="2059" width="17" customWidth="1"/>
    <col min="2305" max="2305" width="7.28515625" customWidth="1"/>
    <col min="2306" max="2306" width="17.140625" customWidth="1"/>
    <col min="2307" max="2307" width="8.7109375" customWidth="1"/>
    <col min="2308" max="2308" width="8.85546875" customWidth="1"/>
    <col min="2309" max="2310" width="9.140625" bestFit="1" customWidth="1"/>
    <col min="2311" max="2313" width="7.85546875" bestFit="1" customWidth="1"/>
    <col min="2314" max="2314" width="26.7109375" customWidth="1"/>
    <col min="2315" max="2315" width="17" customWidth="1"/>
    <col min="2561" max="2561" width="7.28515625" customWidth="1"/>
    <col min="2562" max="2562" width="17.140625" customWidth="1"/>
    <col min="2563" max="2563" width="8.7109375" customWidth="1"/>
    <col min="2564" max="2564" width="8.85546875" customWidth="1"/>
    <col min="2565" max="2566" width="9.140625" bestFit="1" customWidth="1"/>
    <col min="2567" max="2569" width="7.85546875" bestFit="1" customWidth="1"/>
    <col min="2570" max="2570" width="26.7109375" customWidth="1"/>
    <col min="2571" max="2571" width="17" customWidth="1"/>
    <col min="2817" max="2817" width="7.28515625" customWidth="1"/>
    <col min="2818" max="2818" width="17.140625" customWidth="1"/>
    <col min="2819" max="2819" width="8.7109375" customWidth="1"/>
    <col min="2820" max="2820" width="8.85546875" customWidth="1"/>
    <col min="2821" max="2822" width="9.140625" bestFit="1" customWidth="1"/>
    <col min="2823" max="2825" width="7.85546875" bestFit="1" customWidth="1"/>
    <col min="2826" max="2826" width="26.7109375" customWidth="1"/>
    <col min="2827" max="2827" width="17" customWidth="1"/>
    <col min="3073" max="3073" width="7.28515625" customWidth="1"/>
    <col min="3074" max="3074" width="17.140625" customWidth="1"/>
    <col min="3075" max="3075" width="8.7109375" customWidth="1"/>
    <col min="3076" max="3076" width="8.85546875" customWidth="1"/>
    <col min="3077" max="3078" width="9.140625" bestFit="1" customWidth="1"/>
    <col min="3079" max="3081" width="7.85546875" bestFit="1" customWidth="1"/>
    <col min="3082" max="3082" width="26.7109375" customWidth="1"/>
    <col min="3083" max="3083" width="17" customWidth="1"/>
    <col min="3329" max="3329" width="7.28515625" customWidth="1"/>
    <col min="3330" max="3330" width="17.140625" customWidth="1"/>
    <col min="3331" max="3331" width="8.7109375" customWidth="1"/>
    <col min="3332" max="3332" width="8.85546875" customWidth="1"/>
    <col min="3333" max="3334" width="9.140625" bestFit="1" customWidth="1"/>
    <col min="3335" max="3337" width="7.85546875" bestFit="1" customWidth="1"/>
    <col min="3338" max="3338" width="26.7109375" customWidth="1"/>
    <col min="3339" max="3339" width="17" customWidth="1"/>
    <col min="3585" max="3585" width="7.28515625" customWidth="1"/>
    <col min="3586" max="3586" width="17.140625" customWidth="1"/>
    <col min="3587" max="3587" width="8.7109375" customWidth="1"/>
    <col min="3588" max="3588" width="8.85546875" customWidth="1"/>
    <col min="3589" max="3590" width="9.140625" bestFit="1" customWidth="1"/>
    <col min="3591" max="3593" width="7.85546875" bestFit="1" customWidth="1"/>
    <col min="3594" max="3594" width="26.7109375" customWidth="1"/>
    <col min="3595" max="3595" width="17" customWidth="1"/>
    <col min="3841" max="3841" width="7.28515625" customWidth="1"/>
    <col min="3842" max="3842" width="17.140625" customWidth="1"/>
    <col min="3843" max="3843" width="8.7109375" customWidth="1"/>
    <col min="3844" max="3844" width="8.85546875" customWidth="1"/>
    <col min="3845" max="3846" width="9.140625" bestFit="1" customWidth="1"/>
    <col min="3847" max="3849" width="7.85546875" bestFit="1" customWidth="1"/>
    <col min="3850" max="3850" width="26.7109375" customWidth="1"/>
    <col min="3851" max="3851" width="17" customWidth="1"/>
    <col min="4097" max="4097" width="7.28515625" customWidth="1"/>
    <col min="4098" max="4098" width="17.140625" customWidth="1"/>
    <col min="4099" max="4099" width="8.7109375" customWidth="1"/>
    <col min="4100" max="4100" width="8.85546875" customWidth="1"/>
    <col min="4101" max="4102" width="9.140625" bestFit="1" customWidth="1"/>
    <col min="4103" max="4105" width="7.85546875" bestFit="1" customWidth="1"/>
    <col min="4106" max="4106" width="26.7109375" customWidth="1"/>
    <col min="4107" max="4107" width="17" customWidth="1"/>
    <col min="4353" max="4353" width="7.28515625" customWidth="1"/>
    <col min="4354" max="4354" width="17.140625" customWidth="1"/>
    <col min="4355" max="4355" width="8.7109375" customWidth="1"/>
    <col min="4356" max="4356" width="8.85546875" customWidth="1"/>
    <col min="4357" max="4358" width="9.140625" bestFit="1" customWidth="1"/>
    <col min="4359" max="4361" width="7.85546875" bestFit="1" customWidth="1"/>
    <col min="4362" max="4362" width="26.7109375" customWidth="1"/>
    <col min="4363" max="4363" width="17" customWidth="1"/>
    <col min="4609" max="4609" width="7.28515625" customWidth="1"/>
    <col min="4610" max="4610" width="17.140625" customWidth="1"/>
    <col min="4611" max="4611" width="8.7109375" customWidth="1"/>
    <col min="4612" max="4612" width="8.85546875" customWidth="1"/>
    <col min="4613" max="4614" width="9.140625" bestFit="1" customWidth="1"/>
    <col min="4615" max="4617" width="7.85546875" bestFit="1" customWidth="1"/>
    <col min="4618" max="4618" width="26.7109375" customWidth="1"/>
    <col min="4619" max="4619" width="17" customWidth="1"/>
    <col min="4865" max="4865" width="7.28515625" customWidth="1"/>
    <col min="4866" max="4866" width="17.140625" customWidth="1"/>
    <col min="4867" max="4867" width="8.7109375" customWidth="1"/>
    <col min="4868" max="4868" width="8.85546875" customWidth="1"/>
    <col min="4869" max="4870" width="9.140625" bestFit="1" customWidth="1"/>
    <col min="4871" max="4873" width="7.85546875" bestFit="1" customWidth="1"/>
    <col min="4874" max="4874" width="26.7109375" customWidth="1"/>
    <col min="4875" max="4875" width="17" customWidth="1"/>
    <col min="5121" max="5121" width="7.28515625" customWidth="1"/>
    <col min="5122" max="5122" width="17.140625" customWidth="1"/>
    <col min="5123" max="5123" width="8.7109375" customWidth="1"/>
    <col min="5124" max="5124" width="8.85546875" customWidth="1"/>
    <col min="5125" max="5126" width="9.140625" bestFit="1" customWidth="1"/>
    <col min="5127" max="5129" width="7.85546875" bestFit="1" customWidth="1"/>
    <col min="5130" max="5130" width="26.7109375" customWidth="1"/>
    <col min="5131" max="5131" width="17" customWidth="1"/>
    <col min="5377" max="5377" width="7.28515625" customWidth="1"/>
    <col min="5378" max="5378" width="17.140625" customWidth="1"/>
    <col min="5379" max="5379" width="8.7109375" customWidth="1"/>
    <col min="5380" max="5380" width="8.85546875" customWidth="1"/>
    <col min="5381" max="5382" width="9.140625" bestFit="1" customWidth="1"/>
    <col min="5383" max="5385" width="7.85546875" bestFit="1" customWidth="1"/>
    <col min="5386" max="5386" width="26.7109375" customWidth="1"/>
    <col min="5387" max="5387" width="17" customWidth="1"/>
    <col min="5633" max="5633" width="7.28515625" customWidth="1"/>
    <col min="5634" max="5634" width="17.140625" customWidth="1"/>
    <col min="5635" max="5635" width="8.7109375" customWidth="1"/>
    <col min="5636" max="5636" width="8.85546875" customWidth="1"/>
    <col min="5637" max="5638" width="9.140625" bestFit="1" customWidth="1"/>
    <col min="5639" max="5641" width="7.85546875" bestFit="1" customWidth="1"/>
    <col min="5642" max="5642" width="26.7109375" customWidth="1"/>
    <col min="5643" max="5643" width="17" customWidth="1"/>
    <col min="5889" max="5889" width="7.28515625" customWidth="1"/>
    <col min="5890" max="5890" width="17.140625" customWidth="1"/>
    <col min="5891" max="5891" width="8.7109375" customWidth="1"/>
    <col min="5892" max="5892" width="8.85546875" customWidth="1"/>
    <col min="5893" max="5894" width="9.140625" bestFit="1" customWidth="1"/>
    <col min="5895" max="5897" width="7.85546875" bestFit="1" customWidth="1"/>
    <col min="5898" max="5898" width="26.7109375" customWidth="1"/>
    <col min="5899" max="5899" width="17" customWidth="1"/>
    <col min="6145" max="6145" width="7.28515625" customWidth="1"/>
    <col min="6146" max="6146" width="17.140625" customWidth="1"/>
    <col min="6147" max="6147" width="8.7109375" customWidth="1"/>
    <col min="6148" max="6148" width="8.85546875" customWidth="1"/>
    <col min="6149" max="6150" width="9.140625" bestFit="1" customWidth="1"/>
    <col min="6151" max="6153" width="7.85546875" bestFit="1" customWidth="1"/>
    <col min="6154" max="6154" width="26.7109375" customWidth="1"/>
    <col min="6155" max="6155" width="17" customWidth="1"/>
    <col min="6401" max="6401" width="7.28515625" customWidth="1"/>
    <col min="6402" max="6402" width="17.140625" customWidth="1"/>
    <col min="6403" max="6403" width="8.7109375" customWidth="1"/>
    <col min="6404" max="6404" width="8.85546875" customWidth="1"/>
    <col min="6405" max="6406" width="9.140625" bestFit="1" customWidth="1"/>
    <col min="6407" max="6409" width="7.85546875" bestFit="1" customWidth="1"/>
    <col min="6410" max="6410" width="26.7109375" customWidth="1"/>
    <col min="6411" max="6411" width="17" customWidth="1"/>
    <col min="6657" max="6657" width="7.28515625" customWidth="1"/>
    <col min="6658" max="6658" width="17.140625" customWidth="1"/>
    <col min="6659" max="6659" width="8.7109375" customWidth="1"/>
    <col min="6660" max="6660" width="8.85546875" customWidth="1"/>
    <col min="6661" max="6662" width="9.140625" bestFit="1" customWidth="1"/>
    <col min="6663" max="6665" width="7.85546875" bestFit="1" customWidth="1"/>
    <col min="6666" max="6666" width="26.7109375" customWidth="1"/>
    <col min="6667" max="6667" width="17" customWidth="1"/>
    <col min="6913" max="6913" width="7.28515625" customWidth="1"/>
    <col min="6914" max="6914" width="17.140625" customWidth="1"/>
    <col min="6915" max="6915" width="8.7109375" customWidth="1"/>
    <col min="6916" max="6916" width="8.85546875" customWidth="1"/>
    <col min="6917" max="6918" width="9.140625" bestFit="1" customWidth="1"/>
    <col min="6919" max="6921" width="7.85546875" bestFit="1" customWidth="1"/>
    <col min="6922" max="6922" width="26.7109375" customWidth="1"/>
    <col min="6923" max="6923" width="17" customWidth="1"/>
    <col min="7169" max="7169" width="7.28515625" customWidth="1"/>
    <col min="7170" max="7170" width="17.140625" customWidth="1"/>
    <col min="7171" max="7171" width="8.7109375" customWidth="1"/>
    <col min="7172" max="7172" width="8.85546875" customWidth="1"/>
    <col min="7173" max="7174" width="9.140625" bestFit="1" customWidth="1"/>
    <col min="7175" max="7177" width="7.85546875" bestFit="1" customWidth="1"/>
    <col min="7178" max="7178" width="26.7109375" customWidth="1"/>
    <col min="7179" max="7179" width="17" customWidth="1"/>
    <col min="7425" max="7425" width="7.28515625" customWidth="1"/>
    <col min="7426" max="7426" width="17.140625" customWidth="1"/>
    <col min="7427" max="7427" width="8.7109375" customWidth="1"/>
    <col min="7428" max="7428" width="8.85546875" customWidth="1"/>
    <col min="7429" max="7430" width="9.140625" bestFit="1" customWidth="1"/>
    <col min="7431" max="7433" width="7.85546875" bestFit="1" customWidth="1"/>
    <col min="7434" max="7434" width="26.7109375" customWidth="1"/>
    <col min="7435" max="7435" width="17" customWidth="1"/>
    <col min="7681" max="7681" width="7.28515625" customWidth="1"/>
    <col min="7682" max="7682" width="17.140625" customWidth="1"/>
    <col min="7683" max="7683" width="8.7109375" customWidth="1"/>
    <col min="7684" max="7684" width="8.85546875" customWidth="1"/>
    <col min="7685" max="7686" width="9.140625" bestFit="1" customWidth="1"/>
    <col min="7687" max="7689" width="7.85546875" bestFit="1" customWidth="1"/>
    <col min="7690" max="7690" width="26.7109375" customWidth="1"/>
    <col min="7691" max="7691" width="17" customWidth="1"/>
    <col min="7937" max="7937" width="7.28515625" customWidth="1"/>
    <col min="7938" max="7938" width="17.140625" customWidth="1"/>
    <col min="7939" max="7939" width="8.7109375" customWidth="1"/>
    <col min="7940" max="7940" width="8.85546875" customWidth="1"/>
    <col min="7941" max="7942" width="9.140625" bestFit="1" customWidth="1"/>
    <col min="7943" max="7945" width="7.85546875" bestFit="1" customWidth="1"/>
    <col min="7946" max="7946" width="26.7109375" customWidth="1"/>
    <col min="7947" max="7947" width="17" customWidth="1"/>
    <col min="8193" max="8193" width="7.28515625" customWidth="1"/>
    <col min="8194" max="8194" width="17.140625" customWidth="1"/>
    <col min="8195" max="8195" width="8.7109375" customWidth="1"/>
    <col min="8196" max="8196" width="8.85546875" customWidth="1"/>
    <col min="8197" max="8198" width="9.140625" bestFit="1" customWidth="1"/>
    <col min="8199" max="8201" width="7.85546875" bestFit="1" customWidth="1"/>
    <col min="8202" max="8202" width="26.7109375" customWidth="1"/>
    <col min="8203" max="8203" width="17" customWidth="1"/>
    <col min="8449" max="8449" width="7.28515625" customWidth="1"/>
    <col min="8450" max="8450" width="17.140625" customWidth="1"/>
    <col min="8451" max="8451" width="8.7109375" customWidth="1"/>
    <col min="8452" max="8452" width="8.85546875" customWidth="1"/>
    <col min="8453" max="8454" width="9.140625" bestFit="1" customWidth="1"/>
    <col min="8455" max="8457" width="7.85546875" bestFit="1" customWidth="1"/>
    <col min="8458" max="8458" width="26.7109375" customWidth="1"/>
    <col min="8459" max="8459" width="17" customWidth="1"/>
    <col min="8705" max="8705" width="7.28515625" customWidth="1"/>
    <col min="8706" max="8706" width="17.140625" customWidth="1"/>
    <col min="8707" max="8707" width="8.7109375" customWidth="1"/>
    <col min="8708" max="8708" width="8.85546875" customWidth="1"/>
    <col min="8709" max="8710" width="9.140625" bestFit="1" customWidth="1"/>
    <col min="8711" max="8713" width="7.85546875" bestFit="1" customWidth="1"/>
    <col min="8714" max="8714" width="26.7109375" customWidth="1"/>
    <col min="8715" max="8715" width="17" customWidth="1"/>
    <col min="8961" max="8961" width="7.28515625" customWidth="1"/>
    <col min="8962" max="8962" width="17.140625" customWidth="1"/>
    <col min="8963" max="8963" width="8.7109375" customWidth="1"/>
    <col min="8964" max="8964" width="8.85546875" customWidth="1"/>
    <col min="8965" max="8966" width="9.140625" bestFit="1" customWidth="1"/>
    <col min="8967" max="8969" width="7.85546875" bestFit="1" customWidth="1"/>
    <col min="8970" max="8970" width="26.7109375" customWidth="1"/>
    <col min="8971" max="8971" width="17" customWidth="1"/>
    <col min="9217" max="9217" width="7.28515625" customWidth="1"/>
    <col min="9218" max="9218" width="17.140625" customWidth="1"/>
    <col min="9219" max="9219" width="8.7109375" customWidth="1"/>
    <col min="9220" max="9220" width="8.85546875" customWidth="1"/>
    <col min="9221" max="9222" width="9.140625" bestFit="1" customWidth="1"/>
    <col min="9223" max="9225" width="7.85546875" bestFit="1" customWidth="1"/>
    <col min="9226" max="9226" width="26.7109375" customWidth="1"/>
    <col min="9227" max="9227" width="17" customWidth="1"/>
    <col min="9473" max="9473" width="7.28515625" customWidth="1"/>
    <col min="9474" max="9474" width="17.140625" customWidth="1"/>
    <col min="9475" max="9475" width="8.7109375" customWidth="1"/>
    <col min="9476" max="9476" width="8.85546875" customWidth="1"/>
    <col min="9477" max="9478" width="9.140625" bestFit="1" customWidth="1"/>
    <col min="9479" max="9481" width="7.85546875" bestFit="1" customWidth="1"/>
    <col min="9482" max="9482" width="26.7109375" customWidth="1"/>
    <col min="9483" max="9483" width="17" customWidth="1"/>
    <col min="9729" max="9729" width="7.28515625" customWidth="1"/>
    <col min="9730" max="9730" width="17.140625" customWidth="1"/>
    <col min="9731" max="9731" width="8.7109375" customWidth="1"/>
    <col min="9732" max="9732" width="8.85546875" customWidth="1"/>
    <col min="9733" max="9734" width="9.140625" bestFit="1" customWidth="1"/>
    <col min="9735" max="9737" width="7.85546875" bestFit="1" customWidth="1"/>
    <col min="9738" max="9738" width="26.7109375" customWidth="1"/>
    <col min="9739" max="9739" width="17" customWidth="1"/>
    <col min="9985" max="9985" width="7.28515625" customWidth="1"/>
    <col min="9986" max="9986" width="17.140625" customWidth="1"/>
    <col min="9987" max="9987" width="8.7109375" customWidth="1"/>
    <col min="9988" max="9988" width="8.85546875" customWidth="1"/>
    <col min="9989" max="9990" width="9.140625" bestFit="1" customWidth="1"/>
    <col min="9991" max="9993" width="7.85546875" bestFit="1" customWidth="1"/>
    <col min="9994" max="9994" width="26.7109375" customWidth="1"/>
    <col min="9995" max="9995" width="17" customWidth="1"/>
    <col min="10241" max="10241" width="7.28515625" customWidth="1"/>
    <col min="10242" max="10242" width="17.140625" customWidth="1"/>
    <col min="10243" max="10243" width="8.7109375" customWidth="1"/>
    <col min="10244" max="10244" width="8.85546875" customWidth="1"/>
    <col min="10245" max="10246" width="9.140625" bestFit="1" customWidth="1"/>
    <col min="10247" max="10249" width="7.85546875" bestFit="1" customWidth="1"/>
    <col min="10250" max="10250" width="26.7109375" customWidth="1"/>
    <col min="10251" max="10251" width="17" customWidth="1"/>
    <col min="10497" max="10497" width="7.28515625" customWidth="1"/>
    <col min="10498" max="10498" width="17.140625" customWidth="1"/>
    <col min="10499" max="10499" width="8.7109375" customWidth="1"/>
    <col min="10500" max="10500" width="8.85546875" customWidth="1"/>
    <col min="10501" max="10502" width="9.140625" bestFit="1" customWidth="1"/>
    <col min="10503" max="10505" width="7.85546875" bestFit="1" customWidth="1"/>
    <col min="10506" max="10506" width="26.7109375" customWidth="1"/>
    <col min="10507" max="10507" width="17" customWidth="1"/>
    <col min="10753" max="10753" width="7.28515625" customWidth="1"/>
    <col min="10754" max="10754" width="17.140625" customWidth="1"/>
    <col min="10755" max="10755" width="8.7109375" customWidth="1"/>
    <col min="10756" max="10756" width="8.85546875" customWidth="1"/>
    <col min="10757" max="10758" width="9.140625" bestFit="1" customWidth="1"/>
    <col min="10759" max="10761" width="7.85546875" bestFit="1" customWidth="1"/>
    <col min="10762" max="10762" width="26.7109375" customWidth="1"/>
    <col min="10763" max="10763" width="17" customWidth="1"/>
    <col min="11009" max="11009" width="7.28515625" customWidth="1"/>
    <col min="11010" max="11010" width="17.140625" customWidth="1"/>
    <col min="11011" max="11011" width="8.7109375" customWidth="1"/>
    <col min="11012" max="11012" width="8.85546875" customWidth="1"/>
    <col min="11013" max="11014" width="9.140625" bestFit="1" customWidth="1"/>
    <col min="11015" max="11017" width="7.85546875" bestFit="1" customWidth="1"/>
    <col min="11018" max="11018" width="26.7109375" customWidth="1"/>
    <col min="11019" max="11019" width="17" customWidth="1"/>
    <col min="11265" max="11265" width="7.28515625" customWidth="1"/>
    <col min="11266" max="11266" width="17.140625" customWidth="1"/>
    <col min="11267" max="11267" width="8.7109375" customWidth="1"/>
    <col min="11268" max="11268" width="8.85546875" customWidth="1"/>
    <col min="11269" max="11270" width="9.140625" bestFit="1" customWidth="1"/>
    <col min="11271" max="11273" width="7.85546875" bestFit="1" customWidth="1"/>
    <col min="11274" max="11274" width="26.7109375" customWidth="1"/>
    <col min="11275" max="11275" width="17" customWidth="1"/>
    <col min="11521" max="11521" width="7.28515625" customWidth="1"/>
    <col min="11522" max="11522" width="17.140625" customWidth="1"/>
    <col min="11523" max="11523" width="8.7109375" customWidth="1"/>
    <col min="11524" max="11524" width="8.85546875" customWidth="1"/>
    <col min="11525" max="11526" width="9.140625" bestFit="1" customWidth="1"/>
    <col min="11527" max="11529" width="7.85546875" bestFit="1" customWidth="1"/>
    <col min="11530" max="11530" width="26.7109375" customWidth="1"/>
    <col min="11531" max="11531" width="17" customWidth="1"/>
    <col min="11777" max="11777" width="7.28515625" customWidth="1"/>
    <col min="11778" max="11778" width="17.140625" customWidth="1"/>
    <col min="11779" max="11779" width="8.7109375" customWidth="1"/>
    <col min="11780" max="11780" width="8.85546875" customWidth="1"/>
    <col min="11781" max="11782" width="9.140625" bestFit="1" customWidth="1"/>
    <col min="11783" max="11785" width="7.85546875" bestFit="1" customWidth="1"/>
    <col min="11786" max="11786" width="26.7109375" customWidth="1"/>
    <col min="11787" max="11787" width="17" customWidth="1"/>
    <col min="12033" max="12033" width="7.28515625" customWidth="1"/>
    <col min="12034" max="12034" width="17.140625" customWidth="1"/>
    <col min="12035" max="12035" width="8.7109375" customWidth="1"/>
    <col min="12036" max="12036" width="8.85546875" customWidth="1"/>
    <col min="12037" max="12038" width="9.140625" bestFit="1" customWidth="1"/>
    <col min="12039" max="12041" width="7.85546875" bestFit="1" customWidth="1"/>
    <col min="12042" max="12042" width="26.7109375" customWidth="1"/>
    <col min="12043" max="12043" width="17" customWidth="1"/>
    <col min="12289" max="12289" width="7.28515625" customWidth="1"/>
    <col min="12290" max="12290" width="17.140625" customWidth="1"/>
    <col min="12291" max="12291" width="8.7109375" customWidth="1"/>
    <col min="12292" max="12292" width="8.85546875" customWidth="1"/>
    <col min="12293" max="12294" width="9.140625" bestFit="1" customWidth="1"/>
    <col min="12295" max="12297" width="7.85546875" bestFit="1" customWidth="1"/>
    <col min="12298" max="12298" width="26.7109375" customWidth="1"/>
    <col min="12299" max="12299" width="17" customWidth="1"/>
    <col min="12545" max="12545" width="7.28515625" customWidth="1"/>
    <col min="12546" max="12546" width="17.140625" customWidth="1"/>
    <col min="12547" max="12547" width="8.7109375" customWidth="1"/>
    <col min="12548" max="12548" width="8.85546875" customWidth="1"/>
    <col min="12549" max="12550" width="9.140625" bestFit="1" customWidth="1"/>
    <col min="12551" max="12553" width="7.85546875" bestFit="1" customWidth="1"/>
    <col min="12554" max="12554" width="26.7109375" customWidth="1"/>
    <col min="12555" max="12555" width="17" customWidth="1"/>
    <col min="12801" max="12801" width="7.28515625" customWidth="1"/>
    <col min="12802" max="12802" width="17.140625" customWidth="1"/>
    <col min="12803" max="12803" width="8.7109375" customWidth="1"/>
    <col min="12804" max="12804" width="8.85546875" customWidth="1"/>
    <col min="12805" max="12806" width="9.140625" bestFit="1" customWidth="1"/>
    <col min="12807" max="12809" width="7.85546875" bestFit="1" customWidth="1"/>
    <col min="12810" max="12810" width="26.7109375" customWidth="1"/>
    <col min="12811" max="12811" width="17" customWidth="1"/>
    <col min="13057" max="13057" width="7.28515625" customWidth="1"/>
    <col min="13058" max="13058" width="17.140625" customWidth="1"/>
    <col min="13059" max="13059" width="8.7109375" customWidth="1"/>
    <col min="13060" max="13060" width="8.85546875" customWidth="1"/>
    <col min="13061" max="13062" width="9.140625" bestFit="1" customWidth="1"/>
    <col min="13063" max="13065" width="7.85546875" bestFit="1" customWidth="1"/>
    <col min="13066" max="13066" width="26.7109375" customWidth="1"/>
    <col min="13067" max="13067" width="17" customWidth="1"/>
    <col min="13313" max="13313" width="7.28515625" customWidth="1"/>
    <col min="13314" max="13314" width="17.140625" customWidth="1"/>
    <col min="13315" max="13315" width="8.7109375" customWidth="1"/>
    <col min="13316" max="13316" width="8.85546875" customWidth="1"/>
    <col min="13317" max="13318" width="9.140625" bestFit="1" customWidth="1"/>
    <col min="13319" max="13321" width="7.85546875" bestFit="1" customWidth="1"/>
    <col min="13322" max="13322" width="26.7109375" customWidth="1"/>
    <col min="13323" max="13323" width="17" customWidth="1"/>
    <col min="13569" max="13569" width="7.28515625" customWidth="1"/>
    <col min="13570" max="13570" width="17.140625" customWidth="1"/>
    <col min="13571" max="13571" width="8.7109375" customWidth="1"/>
    <col min="13572" max="13572" width="8.85546875" customWidth="1"/>
    <col min="13573" max="13574" width="9.140625" bestFit="1" customWidth="1"/>
    <col min="13575" max="13577" width="7.85546875" bestFit="1" customWidth="1"/>
    <col min="13578" max="13578" width="26.7109375" customWidth="1"/>
    <col min="13579" max="13579" width="17" customWidth="1"/>
    <col min="13825" max="13825" width="7.28515625" customWidth="1"/>
    <col min="13826" max="13826" width="17.140625" customWidth="1"/>
    <col min="13827" max="13827" width="8.7109375" customWidth="1"/>
    <col min="13828" max="13828" width="8.85546875" customWidth="1"/>
    <col min="13829" max="13830" width="9.140625" bestFit="1" customWidth="1"/>
    <col min="13831" max="13833" width="7.85546875" bestFit="1" customWidth="1"/>
    <col min="13834" max="13834" width="26.7109375" customWidth="1"/>
    <col min="13835" max="13835" width="17" customWidth="1"/>
    <col min="14081" max="14081" width="7.28515625" customWidth="1"/>
    <col min="14082" max="14082" width="17.140625" customWidth="1"/>
    <col min="14083" max="14083" width="8.7109375" customWidth="1"/>
    <col min="14084" max="14084" width="8.85546875" customWidth="1"/>
    <col min="14085" max="14086" width="9.140625" bestFit="1" customWidth="1"/>
    <col min="14087" max="14089" width="7.85546875" bestFit="1" customWidth="1"/>
    <col min="14090" max="14090" width="26.7109375" customWidth="1"/>
    <col min="14091" max="14091" width="17" customWidth="1"/>
    <col min="14337" max="14337" width="7.28515625" customWidth="1"/>
    <col min="14338" max="14338" width="17.140625" customWidth="1"/>
    <col min="14339" max="14339" width="8.7109375" customWidth="1"/>
    <col min="14340" max="14340" width="8.85546875" customWidth="1"/>
    <col min="14341" max="14342" width="9.140625" bestFit="1" customWidth="1"/>
    <col min="14343" max="14345" width="7.85546875" bestFit="1" customWidth="1"/>
    <col min="14346" max="14346" width="26.7109375" customWidth="1"/>
    <col min="14347" max="14347" width="17" customWidth="1"/>
    <col min="14593" max="14593" width="7.28515625" customWidth="1"/>
    <col min="14594" max="14594" width="17.140625" customWidth="1"/>
    <col min="14595" max="14595" width="8.7109375" customWidth="1"/>
    <col min="14596" max="14596" width="8.85546875" customWidth="1"/>
    <col min="14597" max="14598" width="9.140625" bestFit="1" customWidth="1"/>
    <col min="14599" max="14601" width="7.85546875" bestFit="1" customWidth="1"/>
    <col min="14602" max="14602" width="26.7109375" customWidth="1"/>
    <col min="14603" max="14603" width="17" customWidth="1"/>
    <col min="14849" max="14849" width="7.28515625" customWidth="1"/>
    <col min="14850" max="14850" width="17.140625" customWidth="1"/>
    <col min="14851" max="14851" width="8.7109375" customWidth="1"/>
    <col min="14852" max="14852" width="8.85546875" customWidth="1"/>
    <col min="14853" max="14854" width="9.140625" bestFit="1" customWidth="1"/>
    <col min="14855" max="14857" width="7.85546875" bestFit="1" customWidth="1"/>
    <col min="14858" max="14858" width="26.7109375" customWidth="1"/>
    <col min="14859" max="14859" width="17" customWidth="1"/>
    <col min="15105" max="15105" width="7.28515625" customWidth="1"/>
    <col min="15106" max="15106" width="17.140625" customWidth="1"/>
    <col min="15107" max="15107" width="8.7109375" customWidth="1"/>
    <col min="15108" max="15108" width="8.85546875" customWidth="1"/>
    <col min="15109" max="15110" width="9.140625" bestFit="1" customWidth="1"/>
    <col min="15111" max="15113" width="7.85546875" bestFit="1" customWidth="1"/>
    <col min="15114" max="15114" width="26.7109375" customWidth="1"/>
    <col min="15115" max="15115" width="17" customWidth="1"/>
    <col min="15361" max="15361" width="7.28515625" customWidth="1"/>
    <col min="15362" max="15362" width="17.140625" customWidth="1"/>
    <col min="15363" max="15363" width="8.7109375" customWidth="1"/>
    <col min="15364" max="15364" width="8.85546875" customWidth="1"/>
    <col min="15365" max="15366" width="9.140625" bestFit="1" customWidth="1"/>
    <col min="15367" max="15369" width="7.85546875" bestFit="1" customWidth="1"/>
    <col min="15370" max="15370" width="26.7109375" customWidth="1"/>
    <col min="15371" max="15371" width="17" customWidth="1"/>
    <col min="15617" max="15617" width="7.28515625" customWidth="1"/>
    <col min="15618" max="15618" width="17.140625" customWidth="1"/>
    <col min="15619" max="15619" width="8.7109375" customWidth="1"/>
    <col min="15620" max="15620" width="8.85546875" customWidth="1"/>
    <col min="15621" max="15622" width="9.140625" bestFit="1" customWidth="1"/>
    <col min="15623" max="15625" width="7.85546875" bestFit="1" customWidth="1"/>
    <col min="15626" max="15626" width="26.7109375" customWidth="1"/>
    <col min="15627" max="15627" width="17" customWidth="1"/>
    <col min="15873" max="15873" width="7.28515625" customWidth="1"/>
    <col min="15874" max="15874" width="17.140625" customWidth="1"/>
    <col min="15875" max="15875" width="8.7109375" customWidth="1"/>
    <col min="15876" max="15876" width="8.85546875" customWidth="1"/>
    <col min="15877" max="15878" width="9.140625" bestFit="1" customWidth="1"/>
    <col min="15879" max="15881" width="7.85546875" bestFit="1" customWidth="1"/>
    <col min="15882" max="15882" width="26.7109375" customWidth="1"/>
    <col min="15883" max="15883" width="17" customWidth="1"/>
    <col min="16129" max="16129" width="7.28515625" customWidth="1"/>
    <col min="16130" max="16130" width="17.140625" customWidth="1"/>
    <col min="16131" max="16131" width="8.7109375" customWidth="1"/>
    <col min="16132" max="16132" width="8.85546875" customWidth="1"/>
    <col min="16133" max="16134" width="9.140625" bestFit="1" customWidth="1"/>
    <col min="16135" max="16137" width="7.85546875" bestFit="1" customWidth="1"/>
    <col min="16138" max="16138" width="26.7109375" customWidth="1"/>
    <col min="16139" max="16139" width="17" customWidth="1"/>
  </cols>
  <sheetData>
    <row r="1" spans="1:11" ht="15.75" customHeight="1">
      <c r="A1" s="1928" t="s">
        <v>0</v>
      </c>
      <c r="B1" s="1929"/>
      <c r="C1" s="1929"/>
      <c r="D1" s="1929"/>
      <c r="E1" s="1929"/>
      <c r="F1" s="1929"/>
      <c r="G1" s="1929"/>
      <c r="H1" s="1929"/>
      <c r="I1" s="1929"/>
      <c r="J1" s="1929"/>
      <c r="K1" s="1930"/>
    </row>
    <row r="2" spans="1:11">
      <c r="A2" s="1931"/>
      <c r="B2" s="1932"/>
      <c r="C2" s="1932"/>
      <c r="D2" s="1932"/>
      <c r="E2" s="1932"/>
      <c r="F2" s="1932"/>
      <c r="G2" s="1932"/>
      <c r="H2" s="1932"/>
      <c r="I2" s="1932"/>
      <c r="J2" s="1932"/>
      <c r="K2" s="1933"/>
    </row>
    <row r="3" spans="1:11" ht="15" customHeight="1">
      <c r="A3" s="1934" t="s">
        <v>1</v>
      </c>
      <c r="B3" s="1936" t="s">
        <v>2</v>
      </c>
      <c r="C3" s="1938" t="s">
        <v>3</v>
      </c>
      <c r="D3" s="1938" t="s">
        <v>4</v>
      </c>
      <c r="E3" s="1938"/>
      <c r="F3" s="1938"/>
      <c r="G3" s="1938"/>
      <c r="H3" s="1938"/>
      <c r="I3" s="1938"/>
      <c r="J3" s="1940" t="s">
        <v>5</v>
      </c>
      <c r="K3" s="1936" t="s">
        <v>6</v>
      </c>
    </row>
    <row r="4" spans="1:11" ht="36.75" customHeight="1">
      <c r="A4" s="1935"/>
      <c r="B4" s="1937"/>
      <c r="C4" s="1939"/>
      <c r="D4" s="56" t="s">
        <v>7</v>
      </c>
      <c r="E4" s="47" t="s">
        <v>8</v>
      </c>
      <c r="F4" s="46" t="s">
        <v>9</v>
      </c>
      <c r="G4" s="47" t="s">
        <v>10</v>
      </c>
      <c r="H4" s="47" t="s">
        <v>11</v>
      </c>
      <c r="I4" s="47" t="s">
        <v>12</v>
      </c>
      <c r="J4" s="1941"/>
      <c r="K4" s="1937"/>
    </row>
    <row r="5" spans="1:11" ht="15" customHeight="1">
      <c r="A5" s="1942"/>
      <c r="B5" s="1937" t="s">
        <v>13</v>
      </c>
      <c r="C5" s="1943" t="s">
        <v>14</v>
      </c>
      <c r="D5" s="57" t="s">
        <v>8</v>
      </c>
      <c r="E5" s="49">
        <f t="shared" ref="E5:E20" si="0">SUM(F5:I5)</f>
        <v>4817851.25</v>
      </c>
      <c r="F5" s="49">
        <f>SUM(F6:F10)</f>
        <v>4115882.15</v>
      </c>
      <c r="G5" s="49">
        <f>SUM(G6:G10)</f>
        <v>317597.90000000002</v>
      </c>
      <c r="H5" s="49">
        <f>SUM(H6:H10)</f>
        <v>320271.2</v>
      </c>
      <c r="I5" s="49">
        <f>SUM(I6:I10)</f>
        <v>64100</v>
      </c>
      <c r="J5" s="1941"/>
      <c r="K5" s="1937" t="s">
        <v>15</v>
      </c>
    </row>
    <row r="6" spans="1:11">
      <c r="A6" s="1942"/>
      <c r="B6" s="1937"/>
      <c r="C6" s="1943"/>
      <c r="D6" s="57">
        <v>2016</v>
      </c>
      <c r="E6" s="49">
        <f t="shared" si="0"/>
        <v>596162.69999999995</v>
      </c>
      <c r="F6" s="49">
        <f t="shared" ref="F6:I10" si="1">SUM(F12,F84,F216,F426)</f>
        <v>528911.6</v>
      </c>
      <c r="G6" s="49">
        <f t="shared" si="1"/>
        <v>25501.9</v>
      </c>
      <c r="H6" s="49">
        <f t="shared" si="1"/>
        <v>20949.2</v>
      </c>
      <c r="I6" s="49">
        <f t="shared" si="1"/>
        <v>20800</v>
      </c>
      <c r="J6" s="1941"/>
      <c r="K6" s="1937"/>
    </row>
    <row r="7" spans="1:11">
      <c r="A7" s="1942"/>
      <c r="B7" s="1937"/>
      <c r="C7" s="1943"/>
      <c r="D7" s="57">
        <v>2017</v>
      </c>
      <c r="E7" s="49">
        <f t="shared" si="0"/>
        <v>741436.5</v>
      </c>
      <c r="F7" s="49">
        <f t="shared" si="1"/>
        <v>622094.69999999995</v>
      </c>
      <c r="G7" s="49">
        <f t="shared" si="1"/>
        <v>37021</v>
      </c>
      <c r="H7" s="49">
        <f t="shared" si="1"/>
        <v>67320.800000000003</v>
      </c>
      <c r="I7" s="49">
        <f t="shared" si="1"/>
        <v>15000</v>
      </c>
      <c r="J7" s="1941"/>
      <c r="K7" s="1937"/>
    </row>
    <row r="8" spans="1:11">
      <c r="A8" s="1942"/>
      <c r="B8" s="1937"/>
      <c r="C8" s="1943"/>
      <c r="D8" s="57">
        <v>2018</v>
      </c>
      <c r="E8" s="49">
        <f>SUM(F8:I8)</f>
        <v>1097676.6499999999</v>
      </c>
      <c r="F8" s="49">
        <f t="shared" si="1"/>
        <v>1011644.85</v>
      </c>
      <c r="G8" s="49">
        <f t="shared" si="1"/>
        <v>32132.199999999997</v>
      </c>
      <c r="H8" s="49">
        <f t="shared" si="1"/>
        <v>53899.6</v>
      </c>
      <c r="I8" s="49">
        <f t="shared" si="1"/>
        <v>0</v>
      </c>
      <c r="J8" s="1941"/>
      <c r="K8" s="1937"/>
    </row>
    <row r="9" spans="1:11">
      <c r="A9" s="1942"/>
      <c r="B9" s="1937"/>
      <c r="C9" s="1943"/>
      <c r="D9" s="57">
        <v>2019</v>
      </c>
      <c r="E9" s="49">
        <f>SUM(F9:I9)</f>
        <v>1383260.5</v>
      </c>
      <c r="F9" s="49">
        <f t="shared" si="1"/>
        <v>1128676.5</v>
      </c>
      <c r="G9" s="49">
        <f t="shared" si="1"/>
        <v>111471.4</v>
      </c>
      <c r="H9" s="49">
        <f t="shared" si="1"/>
        <v>114812.6</v>
      </c>
      <c r="I9" s="49">
        <f t="shared" si="1"/>
        <v>28300</v>
      </c>
      <c r="J9" s="1941"/>
      <c r="K9" s="1937"/>
    </row>
    <row r="10" spans="1:11">
      <c r="A10" s="1942"/>
      <c r="B10" s="1937"/>
      <c r="C10" s="1943"/>
      <c r="D10" s="57">
        <v>2020</v>
      </c>
      <c r="E10" s="49">
        <f>SUM(F10:I10)</f>
        <v>999314.9</v>
      </c>
      <c r="F10" s="49">
        <f t="shared" si="1"/>
        <v>824554.5</v>
      </c>
      <c r="G10" s="49">
        <f t="shared" si="1"/>
        <v>111471.4</v>
      </c>
      <c r="H10" s="49">
        <f t="shared" si="1"/>
        <v>63289</v>
      </c>
      <c r="I10" s="49">
        <f t="shared" si="1"/>
        <v>0</v>
      </c>
      <c r="J10" s="1941"/>
      <c r="K10" s="1937"/>
    </row>
    <row r="11" spans="1:11" ht="15" customHeight="1">
      <c r="A11" s="1942" t="s">
        <v>16</v>
      </c>
      <c r="B11" s="1937" t="s">
        <v>17</v>
      </c>
      <c r="C11" s="1943" t="s">
        <v>14</v>
      </c>
      <c r="D11" s="57" t="s">
        <v>8</v>
      </c>
      <c r="E11" s="49">
        <f t="shared" si="0"/>
        <v>232739.20000000001</v>
      </c>
      <c r="F11" s="49">
        <f>SUM(F12:F16)</f>
        <v>190283.4</v>
      </c>
      <c r="G11" s="49">
        <f>SUM(G12:G16)</f>
        <v>42455.8</v>
      </c>
      <c r="H11" s="49">
        <f>SUM(H12:H16)</f>
        <v>0</v>
      </c>
      <c r="I11" s="49">
        <f>SUM(I12:I16)</f>
        <v>0</v>
      </c>
      <c r="J11" s="1941"/>
      <c r="K11" s="1937" t="s">
        <v>18</v>
      </c>
    </row>
    <row r="12" spans="1:11">
      <c r="A12" s="1942"/>
      <c r="B12" s="1937"/>
      <c r="C12" s="1943"/>
      <c r="D12" s="57">
        <v>2016</v>
      </c>
      <c r="E12" s="49">
        <f t="shared" si="0"/>
        <v>20057.099999999999</v>
      </c>
      <c r="F12" s="49">
        <f t="shared" ref="F12:I16" si="2">F18+F60</f>
        <v>12120.599999999999</v>
      </c>
      <c r="G12" s="49">
        <f t="shared" si="2"/>
        <v>7936.5</v>
      </c>
      <c r="H12" s="49">
        <f t="shared" si="2"/>
        <v>0</v>
      </c>
      <c r="I12" s="49">
        <f t="shared" si="2"/>
        <v>0</v>
      </c>
      <c r="J12" s="1941"/>
      <c r="K12" s="1937"/>
    </row>
    <row r="13" spans="1:11">
      <c r="A13" s="1942"/>
      <c r="B13" s="1937"/>
      <c r="C13" s="1943"/>
      <c r="D13" s="57">
        <v>2017</v>
      </c>
      <c r="E13" s="49">
        <f>SUM(F13:I13)</f>
        <v>29900.6</v>
      </c>
      <c r="F13" s="49">
        <f t="shared" si="2"/>
        <v>12200.599999999999</v>
      </c>
      <c r="G13" s="49">
        <f t="shared" si="2"/>
        <v>17700</v>
      </c>
      <c r="H13" s="49">
        <f t="shared" si="2"/>
        <v>0</v>
      </c>
      <c r="I13" s="49">
        <f t="shared" si="2"/>
        <v>0</v>
      </c>
      <c r="J13" s="1941"/>
      <c r="K13" s="1937"/>
    </row>
    <row r="14" spans="1:11">
      <c r="A14" s="1942"/>
      <c r="B14" s="1937"/>
      <c r="C14" s="1943"/>
      <c r="D14" s="57">
        <v>2018</v>
      </c>
      <c r="E14" s="49">
        <f t="shared" si="0"/>
        <v>79841.8</v>
      </c>
      <c r="F14" s="49">
        <f t="shared" si="2"/>
        <v>63022.5</v>
      </c>
      <c r="G14" s="49">
        <f t="shared" si="2"/>
        <v>16819.3</v>
      </c>
      <c r="H14" s="49">
        <f t="shared" si="2"/>
        <v>0</v>
      </c>
      <c r="I14" s="49">
        <f t="shared" si="2"/>
        <v>0</v>
      </c>
      <c r="J14" s="1941"/>
      <c r="K14" s="1937"/>
    </row>
    <row r="15" spans="1:11">
      <c r="A15" s="1942"/>
      <c r="B15" s="1937"/>
      <c r="C15" s="1943"/>
      <c r="D15" s="57">
        <v>2019</v>
      </c>
      <c r="E15" s="49">
        <f>SUM(F15:I15)</f>
        <v>51190.8</v>
      </c>
      <c r="F15" s="49">
        <f t="shared" si="2"/>
        <v>51190.8</v>
      </c>
      <c r="G15" s="49">
        <f t="shared" si="2"/>
        <v>0</v>
      </c>
      <c r="H15" s="49">
        <f t="shared" si="2"/>
        <v>0</v>
      </c>
      <c r="I15" s="49">
        <f t="shared" si="2"/>
        <v>0</v>
      </c>
      <c r="J15" s="1941"/>
      <c r="K15" s="1937"/>
    </row>
    <row r="16" spans="1:11">
      <c r="A16" s="1942"/>
      <c r="B16" s="1937"/>
      <c r="C16" s="1943"/>
      <c r="D16" s="57">
        <v>2020</v>
      </c>
      <c r="E16" s="49">
        <f>SUM(F16:I16)</f>
        <v>51748.9</v>
      </c>
      <c r="F16" s="49">
        <f t="shared" si="2"/>
        <v>51748.9</v>
      </c>
      <c r="G16" s="49">
        <f t="shared" si="2"/>
        <v>0</v>
      </c>
      <c r="H16" s="49">
        <f t="shared" si="2"/>
        <v>0</v>
      </c>
      <c r="I16" s="49">
        <f t="shared" si="2"/>
        <v>0</v>
      </c>
      <c r="J16" s="1941"/>
      <c r="K16" s="1937"/>
    </row>
    <row r="17" spans="1:11" ht="15" customHeight="1">
      <c r="A17" s="1942" t="s">
        <v>172</v>
      </c>
      <c r="B17" s="1944" t="s">
        <v>20</v>
      </c>
      <c r="C17" s="1943" t="s">
        <v>14</v>
      </c>
      <c r="D17" s="57" t="s">
        <v>8</v>
      </c>
      <c r="E17" s="49">
        <f t="shared" si="0"/>
        <v>191438.59999999998</v>
      </c>
      <c r="F17" s="49">
        <f>SUM(F18:F22)</f>
        <v>149942.29999999999</v>
      </c>
      <c r="G17" s="49">
        <f>SUM(G18:G22)</f>
        <v>41496.300000000003</v>
      </c>
      <c r="H17" s="49">
        <f>SUM(H18:H22)</f>
        <v>0</v>
      </c>
      <c r="I17" s="49">
        <f>SUM(I18:I22)</f>
        <v>0</v>
      </c>
      <c r="J17" s="1941" t="s">
        <v>21</v>
      </c>
      <c r="K17" s="1937" t="s">
        <v>18</v>
      </c>
    </row>
    <row r="18" spans="1:11">
      <c r="A18" s="1942"/>
      <c r="B18" s="1944"/>
      <c r="C18" s="1943"/>
      <c r="D18" s="57">
        <v>2016</v>
      </c>
      <c r="E18" s="49">
        <f t="shared" si="0"/>
        <v>15841.4</v>
      </c>
      <c r="F18" s="49">
        <f t="shared" ref="F18:I22" si="3">SUM(F24,F30,F36,F42,F48,F54)</f>
        <v>8864.4</v>
      </c>
      <c r="G18" s="49">
        <f t="shared" si="3"/>
        <v>6977</v>
      </c>
      <c r="H18" s="49">
        <f t="shared" si="3"/>
        <v>0</v>
      </c>
      <c r="I18" s="49">
        <f t="shared" si="3"/>
        <v>0</v>
      </c>
      <c r="J18" s="1941"/>
      <c r="K18" s="1937"/>
    </row>
    <row r="19" spans="1:11">
      <c r="A19" s="1942"/>
      <c r="B19" s="1944"/>
      <c r="C19" s="1943"/>
      <c r="D19" s="57">
        <v>2017</v>
      </c>
      <c r="E19" s="49">
        <f>SUM(F19:I19)</f>
        <v>27734.400000000001</v>
      </c>
      <c r="F19" s="49">
        <f t="shared" si="3"/>
        <v>10034.4</v>
      </c>
      <c r="G19" s="49">
        <f t="shared" si="3"/>
        <v>17700</v>
      </c>
      <c r="H19" s="49">
        <f t="shared" si="3"/>
        <v>0</v>
      </c>
      <c r="I19" s="49">
        <f t="shared" si="3"/>
        <v>0</v>
      </c>
      <c r="J19" s="1941"/>
      <c r="K19" s="1937"/>
    </row>
    <row r="20" spans="1:11" ht="16.5" customHeight="1">
      <c r="A20" s="1942"/>
      <c r="B20" s="1944"/>
      <c r="C20" s="1943"/>
      <c r="D20" s="57">
        <v>2018</v>
      </c>
      <c r="E20" s="49">
        <f t="shared" si="0"/>
        <v>68523.399999999994</v>
      </c>
      <c r="F20" s="49">
        <f t="shared" si="3"/>
        <v>51704.1</v>
      </c>
      <c r="G20" s="49">
        <f t="shared" si="3"/>
        <v>16819.3</v>
      </c>
      <c r="H20" s="49">
        <f t="shared" si="3"/>
        <v>0</v>
      </c>
      <c r="I20" s="49">
        <f t="shared" si="3"/>
        <v>0</v>
      </c>
      <c r="J20" s="1941"/>
      <c r="K20" s="1937"/>
    </row>
    <row r="21" spans="1:11" ht="16.5" customHeight="1">
      <c r="A21" s="1942"/>
      <c r="B21" s="1944"/>
      <c r="C21" s="1943"/>
      <c r="D21" s="57">
        <v>2019</v>
      </c>
      <c r="E21" s="49">
        <f>SUM(F21:I21)</f>
        <v>39555.1</v>
      </c>
      <c r="F21" s="49">
        <f t="shared" si="3"/>
        <v>39555.1</v>
      </c>
      <c r="G21" s="49">
        <f t="shared" si="3"/>
        <v>0</v>
      </c>
      <c r="H21" s="49">
        <f t="shared" si="3"/>
        <v>0</v>
      </c>
      <c r="I21" s="49">
        <f t="shared" si="3"/>
        <v>0</v>
      </c>
      <c r="J21" s="1941"/>
      <c r="K21" s="1937"/>
    </row>
    <row r="22" spans="1:11" ht="16.5" customHeight="1">
      <c r="A22" s="1942"/>
      <c r="B22" s="1944"/>
      <c r="C22" s="1943"/>
      <c r="D22" s="57">
        <v>2020</v>
      </c>
      <c r="E22" s="49">
        <f>SUM(F22:I22)</f>
        <v>39784.300000000003</v>
      </c>
      <c r="F22" s="49">
        <f t="shared" si="3"/>
        <v>39784.300000000003</v>
      </c>
      <c r="G22" s="49">
        <f t="shared" si="3"/>
        <v>0</v>
      </c>
      <c r="H22" s="49">
        <f t="shared" si="3"/>
        <v>0</v>
      </c>
      <c r="I22" s="49">
        <f t="shared" si="3"/>
        <v>0</v>
      </c>
      <c r="J22" s="1941"/>
      <c r="K22" s="1937"/>
    </row>
    <row r="23" spans="1:11" s="2" customFormat="1" ht="16.5" customHeight="1">
      <c r="A23" s="1945" t="s">
        <v>19</v>
      </c>
      <c r="B23" s="1946" t="s">
        <v>22</v>
      </c>
      <c r="C23" s="1947" t="s">
        <v>14</v>
      </c>
      <c r="D23" s="55" t="s">
        <v>8</v>
      </c>
      <c r="E23" s="8">
        <f t="shared" ref="E23:E32" si="4">SUM(F23:I23)</f>
        <v>43124.3</v>
      </c>
      <c r="F23" s="8">
        <f>SUM(F24:F28)</f>
        <v>43124.3</v>
      </c>
      <c r="G23" s="8">
        <f>SUM(G24:G28)</f>
        <v>0</v>
      </c>
      <c r="H23" s="8">
        <f>SUM(H24:H28)</f>
        <v>0</v>
      </c>
      <c r="I23" s="8">
        <f>SUM(I24:I28)</f>
        <v>0</v>
      </c>
      <c r="J23" s="1948" t="s">
        <v>179</v>
      </c>
      <c r="K23" s="1949" t="s">
        <v>23</v>
      </c>
    </row>
    <row r="24" spans="1:11" s="2" customFormat="1">
      <c r="A24" s="1945"/>
      <c r="B24" s="1946"/>
      <c r="C24" s="1947"/>
      <c r="D24" s="55">
        <v>2016</v>
      </c>
      <c r="E24" s="8">
        <f t="shared" si="4"/>
        <v>4096.3999999999996</v>
      </c>
      <c r="F24" s="8">
        <v>4096.3999999999996</v>
      </c>
      <c r="G24" s="9">
        <v>0</v>
      </c>
      <c r="H24" s="9">
        <v>0</v>
      </c>
      <c r="I24" s="9">
        <v>0</v>
      </c>
      <c r="J24" s="1948"/>
      <c r="K24" s="1949"/>
    </row>
    <row r="25" spans="1:11" s="2" customFormat="1">
      <c r="A25" s="1945"/>
      <c r="B25" s="1946"/>
      <c r="C25" s="1947"/>
      <c r="D25" s="55">
        <v>2017</v>
      </c>
      <c r="E25" s="8">
        <f>SUM(F25:I25)</f>
        <v>5186.3999999999996</v>
      </c>
      <c r="F25" s="8">
        <v>5186.3999999999996</v>
      </c>
      <c r="G25" s="9">
        <v>0</v>
      </c>
      <c r="H25" s="9">
        <v>0</v>
      </c>
      <c r="I25" s="9">
        <v>0</v>
      </c>
      <c r="J25" s="1948"/>
      <c r="K25" s="1949"/>
    </row>
    <row r="26" spans="1:11" s="2" customFormat="1">
      <c r="A26" s="1945"/>
      <c r="B26" s="1946"/>
      <c r="C26" s="1947"/>
      <c r="D26" s="55">
        <v>2018</v>
      </c>
      <c r="E26" s="8">
        <f t="shared" si="4"/>
        <v>11216.3</v>
      </c>
      <c r="F26" s="8">
        <v>11216.3</v>
      </c>
      <c r="G26" s="9">
        <v>0</v>
      </c>
      <c r="H26" s="9">
        <v>0</v>
      </c>
      <c r="I26" s="9">
        <v>0</v>
      </c>
      <c r="J26" s="1948"/>
      <c r="K26" s="1949"/>
    </row>
    <row r="27" spans="1:11" s="2" customFormat="1">
      <c r="A27" s="1945"/>
      <c r="B27" s="1946"/>
      <c r="C27" s="1947"/>
      <c r="D27" s="55">
        <v>2019</v>
      </c>
      <c r="E27" s="8">
        <f>SUM(F27:I27)</f>
        <v>11198</v>
      </c>
      <c r="F27" s="8">
        <v>11198</v>
      </c>
      <c r="G27" s="9">
        <v>0</v>
      </c>
      <c r="H27" s="9">
        <v>0</v>
      </c>
      <c r="I27" s="9">
        <v>0</v>
      </c>
      <c r="J27" s="1948"/>
      <c r="K27" s="1949"/>
    </row>
    <row r="28" spans="1:11" s="2" customFormat="1">
      <c r="A28" s="1945"/>
      <c r="B28" s="1946"/>
      <c r="C28" s="1947"/>
      <c r="D28" s="55">
        <v>2020</v>
      </c>
      <c r="E28" s="8">
        <f>SUM(F28:I28)</f>
        <v>11427.2</v>
      </c>
      <c r="F28" s="8">
        <v>11427.2</v>
      </c>
      <c r="G28" s="9">
        <v>0</v>
      </c>
      <c r="H28" s="9">
        <v>0</v>
      </c>
      <c r="I28" s="9">
        <v>0</v>
      </c>
      <c r="J28" s="1948"/>
      <c r="K28" s="1949"/>
    </row>
    <row r="29" spans="1:11" s="2" customFormat="1" ht="15" customHeight="1">
      <c r="A29" s="1942" t="s">
        <v>180</v>
      </c>
      <c r="B29" s="1946" t="s">
        <v>274</v>
      </c>
      <c r="C29" s="1943" t="s">
        <v>14</v>
      </c>
      <c r="D29" s="57" t="s">
        <v>8</v>
      </c>
      <c r="E29" s="49">
        <f t="shared" si="4"/>
        <v>9090</v>
      </c>
      <c r="F29" s="49">
        <f>SUM(F30:F34)</f>
        <v>9090</v>
      </c>
      <c r="G29" s="49">
        <f>SUM(G30:G34)</f>
        <v>0</v>
      </c>
      <c r="H29" s="49">
        <f>SUM(H30:H34)</f>
        <v>0</v>
      </c>
      <c r="I29" s="49">
        <f>SUM(I30:I34)</f>
        <v>0</v>
      </c>
      <c r="J29" s="1941" t="s">
        <v>25</v>
      </c>
      <c r="K29" s="1937" t="s">
        <v>26</v>
      </c>
    </row>
    <row r="30" spans="1:11" s="2" customFormat="1">
      <c r="A30" s="1942"/>
      <c r="B30" s="1946"/>
      <c r="C30" s="1943"/>
      <c r="D30" s="57">
        <v>2016</v>
      </c>
      <c r="E30" s="49">
        <f t="shared" si="4"/>
        <v>1818</v>
      </c>
      <c r="F30" s="49">
        <v>1818</v>
      </c>
      <c r="G30" s="50">
        <v>0</v>
      </c>
      <c r="H30" s="50">
        <v>0</v>
      </c>
      <c r="I30" s="50">
        <v>0</v>
      </c>
      <c r="J30" s="1941"/>
      <c r="K30" s="1937"/>
    </row>
    <row r="31" spans="1:11" s="2" customFormat="1">
      <c r="A31" s="1942"/>
      <c r="B31" s="1946"/>
      <c r="C31" s="1943"/>
      <c r="D31" s="57">
        <v>2017</v>
      </c>
      <c r="E31" s="49">
        <f>SUM(F31:I31)</f>
        <v>1818</v>
      </c>
      <c r="F31" s="49">
        <v>1818</v>
      </c>
      <c r="G31" s="50">
        <v>0</v>
      </c>
      <c r="H31" s="50">
        <v>0</v>
      </c>
      <c r="I31" s="50">
        <v>0</v>
      </c>
      <c r="J31" s="1941"/>
      <c r="K31" s="1937"/>
    </row>
    <row r="32" spans="1:11" s="2" customFormat="1">
      <c r="A32" s="1942"/>
      <c r="B32" s="1946"/>
      <c r="C32" s="1943"/>
      <c r="D32" s="57">
        <v>2018</v>
      </c>
      <c r="E32" s="49">
        <f t="shared" si="4"/>
        <v>1818</v>
      </c>
      <c r="F32" s="49">
        <v>1818</v>
      </c>
      <c r="G32" s="50">
        <v>0</v>
      </c>
      <c r="H32" s="50">
        <v>0</v>
      </c>
      <c r="I32" s="50">
        <v>0</v>
      </c>
      <c r="J32" s="1941"/>
      <c r="K32" s="1937"/>
    </row>
    <row r="33" spans="1:11" s="2" customFormat="1">
      <c r="A33" s="1942"/>
      <c r="B33" s="1946"/>
      <c r="C33" s="1943"/>
      <c r="D33" s="57">
        <v>2019</v>
      </c>
      <c r="E33" s="49">
        <f t="shared" ref="E33:E68" si="5">SUM(F33:I33)</f>
        <v>1818</v>
      </c>
      <c r="F33" s="49">
        <v>1818</v>
      </c>
      <c r="G33" s="50">
        <v>0</v>
      </c>
      <c r="H33" s="50">
        <v>0</v>
      </c>
      <c r="I33" s="50">
        <v>0</v>
      </c>
      <c r="J33" s="1941"/>
      <c r="K33" s="1937"/>
    </row>
    <row r="34" spans="1:11" s="2" customFormat="1">
      <c r="A34" s="1942"/>
      <c r="B34" s="1946"/>
      <c r="C34" s="1943"/>
      <c r="D34" s="57">
        <v>2020</v>
      </c>
      <c r="E34" s="49">
        <f t="shared" si="5"/>
        <v>1818</v>
      </c>
      <c r="F34" s="49">
        <v>1818</v>
      </c>
      <c r="G34" s="50">
        <v>0</v>
      </c>
      <c r="H34" s="50">
        <v>0</v>
      </c>
      <c r="I34" s="50">
        <v>0</v>
      </c>
      <c r="J34" s="1941"/>
      <c r="K34" s="1937"/>
    </row>
    <row r="35" spans="1:11" s="2" customFormat="1" ht="13.5" customHeight="1">
      <c r="A35" s="1945" t="s">
        <v>182</v>
      </c>
      <c r="B35" s="1946" t="s">
        <v>27</v>
      </c>
      <c r="C35" s="1947" t="s">
        <v>151</v>
      </c>
      <c r="D35" s="55" t="s">
        <v>8</v>
      </c>
      <c r="E35" s="8">
        <f t="shared" ref="E35:E40" si="6">SUM(F35:I35)</f>
        <v>14250</v>
      </c>
      <c r="F35" s="8">
        <f>SUM(F36:F40)</f>
        <v>14250</v>
      </c>
      <c r="G35" s="8">
        <f>SUM(G36:G40)</f>
        <v>0</v>
      </c>
      <c r="H35" s="8">
        <f>SUM(H36:H40)</f>
        <v>0</v>
      </c>
      <c r="I35" s="8">
        <f>SUM(I36:I40)</f>
        <v>0</v>
      </c>
      <c r="J35" s="1948" t="s">
        <v>275</v>
      </c>
      <c r="K35" s="1949" t="s">
        <v>23</v>
      </c>
    </row>
    <row r="36" spans="1:11" s="2" customFormat="1" ht="13.5" customHeight="1">
      <c r="A36" s="1945"/>
      <c r="B36" s="1946"/>
      <c r="C36" s="1947"/>
      <c r="D36" s="55">
        <v>2016</v>
      </c>
      <c r="E36" s="8">
        <f t="shared" si="6"/>
        <v>2850</v>
      </c>
      <c r="F36" s="8">
        <v>2850</v>
      </c>
      <c r="G36" s="9">
        <v>0</v>
      </c>
      <c r="H36" s="9">
        <v>0</v>
      </c>
      <c r="I36" s="9">
        <v>0</v>
      </c>
      <c r="J36" s="1948"/>
      <c r="K36" s="1949"/>
    </row>
    <row r="37" spans="1:11" s="2" customFormat="1" ht="13.5" customHeight="1">
      <c r="A37" s="1945"/>
      <c r="B37" s="1946"/>
      <c r="C37" s="1947"/>
      <c r="D37" s="55">
        <v>2017</v>
      </c>
      <c r="E37" s="8">
        <f t="shared" si="6"/>
        <v>2850</v>
      </c>
      <c r="F37" s="8">
        <v>2850</v>
      </c>
      <c r="G37" s="9">
        <v>0</v>
      </c>
      <c r="H37" s="9">
        <v>0</v>
      </c>
      <c r="I37" s="9">
        <v>0</v>
      </c>
      <c r="J37" s="1948"/>
      <c r="K37" s="1949"/>
    </row>
    <row r="38" spans="1:11" s="2" customFormat="1" ht="13.5" customHeight="1">
      <c r="A38" s="1945"/>
      <c r="B38" s="1946"/>
      <c r="C38" s="1947"/>
      <c r="D38" s="55">
        <v>2018</v>
      </c>
      <c r="E38" s="8">
        <f t="shared" si="6"/>
        <v>2850</v>
      </c>
      <c r="F38" s="8">
        <v>2850</v>
      </c>
      <c r="G38" s="9">
        <v>0</v>
      </c>
      <c r="H38" s="9">
        <v>0</v>
      </c>
      <c r="I38" s="9">
        <v>0</v>
      </c>
      <c r="J38" s="1948"/>
      <c r="K38" s="1949"/>
    </row>
    <row r="39" spans="1:11" s="2" customFormat="1" ht="13.5" customHeight="1">
      <c r="A39" s="1945"/>
      <c r="B39" s="1946"/>
      <c r="C39" s="1947"/>
      <c r="D39" s="55">
        <v>2019</v>
      </c>
      <c r="E39" s="8">
        <f t="shared" si="6"/>
        <v>2850</v>
      </c>
      <c r="F39" s="8">
        <v>2850</v>
      </c>
      <c r="G39" s="9">
        <v>0</v>
      </c>
      <c r="H39" s="9">
        <v>0</v>
      </c>
      <c r="I39" s="9">
        <v>0</v>
      </c>
      <c r="J39" s="1948"/>
      <c r="K39" s="1949"/>
    </row>
    <row r="40" spans="1:11" s="2" customFormat="1" ht="13.5" customHeight="1">
      <c r="A40" s="1945"/>
      <c r="B40" s="1946"/>
      <c r="C40" s="1947"/>
      <c r="D40" s="55">
        <v>2020</v>
      </c>
      <c r="E40" s="8">
        <f t="shared" si="6"/>
        <v>2850</v>
      </c>
      <c r="F40" s="8">
        <v>2850</v>
      </c>
      <c r="G40" s="9">
        <v>0</v>
      </c>
      <c r="H40" s="9">
        <v>0</v>
      </c>
      <c r="I40" s="9">
        <v>0</v>
      </c>
      <c r="J40" s="1948"/>
      <c r="K40" s="1949"/>
    </row>
    <row r="41" spans="1:11" s="2" customFormat="1" ht="15.75" customHeight="1">
      <c r="A41" s="1945" t="s">
        <v>183</v>
      </c>
      <c r="B41" s="1946" t="s">
        <v>29</v>
      </c>
      <c r="C41" s="1947" t="s">
        <v>151</v>
      </c>
      <c r="D41" s="57" t="s">
        <v>8</v>
      </c>
      <c r="E41" s="8">
        <f t="shared" si="5"/>
        <v>63591.899999999994</v>
      </c>
      <c r="F41" s="8">
        <f>SUM(F42:F46)</f>
        <v>29771.3</v>
      </c>
      <c r="G41" s="8">
        <f>SUM(G42:G46)</f>
        <v>33820.6</v>
      </c>
      <c r="H41" s="8">
        <f>SUM(H42:H46)</f>
        <v>0</v>
      </c>
      <c r="I41" s="8">
        <f>SUM(I42:I46)</f>
        <v>0</v>
      </c>
      <c r="J41" s="1948" t="s">
        <v>31</v>
      </c>
      <c r="K41" s="1948" t="s">
        <v>276</v>
      </c>
    </row>
    <row r="42" spans="1:11" s="2" customFormat="1">
      <c r="A42" s="1945"/>
      <c r="B42" s="1946"/>
      <c r="C42" s="1947"/>
      <c r="D42" s="57">
        <v>2016</v>
      </c>
      <c r="E42" s="8">
        <f t="shared" si="5"/>
        <v>7077</v>
      </c>
      <c r="F42" s="9">
        <v>100</v>
      </c>
      <c r="G42" s="9">
        <v>6977</v>
      </c>
      <c r="H42" s="9">
        <v>0</v>
      </c>
      <c r="I42" s="9">
        <v>0</v>
      </c>
      <c r="J42" s="1948"/>
      <c r="K42" s="1948"/>
    </row>
    <row r="43" spans="1:11" s="2" customFormat="1">
      <c r="A43" s="1945"/>
      <c r="B43" s="1946"/>
      <c r="C43" s="1947"/>
      <c r="D43" s="57">
        <v>2017</v>
      </c>
      <c r="E43" s="8">
        <f t="shared" si="5"/>
        <v>17880</v>
      </c>
      <c r="F43" s="9">
        <v>180</v>
      </c>
      <c r="G43" s="9">
        <v>17700</v>
      </c>
      <c r="H43" s="9">
        <v>0</v>
      </c>
      <c r="I43" s="9">
        <v>0</v>
      </c>
      <c r="J43" s="1948"/>
      <c r="K43" s="1948"/>
    </row>
    <row r="44" spans="1:11" s="2" customFormat="1">
      <c r="A44" s="1945"/>
      <c r="B44" s="1946"/>
      <c r="C44" s="1947"/>
      <c r="D44" s="57">
        <v>2018</v>
      </c>
      <c r="E44" s="8">
        <f t="shared" si="5"/>
        <v>12878.3</v>
      </c>
      <c r="F44" s="9">
        <v>3734.7</v>
      </c>
      <c r="G44" s="9">
        <v>9143.6</v>
      </c>
      <c r="H44" s="9">
        <v>0</v>
      </c>
      <c r="I44" s="9">
        <v>0</v>
      </c>
      <c r="J44" s="1948"/>
      <c r="K44" s="1948"/>
    </row>
    <row r="45" spans="1:11" s="2" customFormat="1">
      <c r="A45" s="1945"/>
      <c r="B45" s="1946"/>
      <c r="C45" s="1947"/>
      <c r="D45" s="57">
        <v>2019</v>
      </c>
      <c r="E45" s="8">
        <f t="shared" si="5"/>
        <v>12878.3</v>
      </c>
      <c r="F45" s="9">
        <v>12878.3</v>
      </c>
      <c r="G45" s="9">
        <v>0</v>
      </c>
      <c r="H45" s="9">
        <v>0</v>
      </c>
      <c r="I45" s="9">
        <v>0</v>
      </c>
      <c r="J45" s="1948"/>
      <c r="K45" s="1948"/>
    </row>
    <row r="46" spans="1:11" s="2" customFormat="1">
      <c r="A46" s="1945"/>
      <c r="B46" s="1946"/>
      <c r="C46" s="1947"/>
      <c r="D46" s="57">
        <v>2020</v>
      </c>
      <c r="E46" s="8">
        <f t="shared" si="5"/>
        <v>12878.3</v>
      </c>
      <c r="F46" s="9">
        <v>12878.3</v>
      </c>
      <c r="G46" s="9">
        <v>0</v>
      </c>
      <c r="H46" s="9">
        <v>0</v>
      </c>
      <c r="I46" s="9">
        <v>0</v>
      </c>
      <c r="J46" s="1948"/>
      <c r="K46" s="1948"/>
    </row>
    <row r="47" spans="1:11" s="2" customFormat="1" ht="15" customHeight="1">
      <c r="A47" s="1950" t="s">
        <v>184</v>
      </c>
      <c r="B47" s="1952" t="s">
        <v>185</v>
      </c>
      <c r="C47" s="1951" t="s">
        <v>186</v>
      </c>
      <c r="D47" s="51" t="s">
        <v>8</v>
      </c>
      <c r="E47" s="8">
        <f t="shared" si="5"/>
        <v>32432.399999999998</v>
      </c>
      <c r="F47" s="8">
        <f>SUM(F48:F52)</f>
        <v>24756.699999999997</v>
      </c>
      <c r="G47" s="8">
        <f>SUM(G48:G52)</f>
        <v>7675.7</v>
      </c>
      <c r="H47" s="8">
        <f>SUM(H48:H52)</f>
        <v>0</v>
      </c>
      <c r="I47" s="8">
        <f>SUM(I48:I52)</f>
        <v>0</v>
      </c>
      <c r="J47" s="1948" t="s">
        <v>187</v>
      </c>
      <c r="K47" s="1949" t="s">
        <v>26</v>
      </c>
    </row>
    <row r="48" spans="1:11" s="2" customFormat="1">
      <c r="A48" s="1951"/>
      <c r="B48" s="1952"/>
      <c r="C48" s="1951"/>
      <c r="D48" s="51">
        <v>2016</v>
      </c>
      <c r="E48" s="8">
        <f t="shared" si="5"/>
        <v>0</v>
      </c>
      <c r="F48" s="9">
        <v>0</v>
      </c>
      <c r="G48" s="9">
        <v>0</v>
      </c>
      <c r="H48" s="9">
        <v>0</v>
      </c>
      <c r="I48" s="9">
        <v>0</v>
      </c>
      <c r="J48" s="1948"/>
      <c r="K48" s="1949"/>
    </row>
    <row r="49" spans="1:11" s="2" customFormat="1">
      <c r="A49" s="1951"/>
      <c r="B49" s="1952"/>
      <c r="C49" s="1951"/>
      <c r="D49" s="51">
        <v>2017</v>
      </c>
      <c r="E49" s="8">
        <f t="shared" si="5"/>
        <v>0</v>
      </c>
      <c r="F49" s="9">
        <v>0</v>
      </c>
      <c r="G49" s="9">
        <v>0</v>
      </c>
      <c r="H49" s="9">
        <v>0</v>
      </c>
      <c r="I49" s="9">
        <v>0</v>
      </c>
      <c r="J49" s="1948"/>
      <c r="K49" s="1949"/>
    </row>
    <row r="50" spans="1:11" s="2" customFormat="1">
      <c r="A50" s="1951"/>
      <c r="B50" s="1952"/>
      <c r="C50" s="1951"/>
      <c r="D50" s="55">
        <v>2018</v>
      </c>
      <c r="E50" s="8">
        <f t="shared" si="5"/>
        <v>10810.8</v>
      </c>
      <c r="F50" s="9">
        <v>3135.1</v>
      </c>
      <c r="G50" s="9">
        <v>7675.7</v>
      </c>
      <c r="H50" s="9">
        <v>0</v>
      </c>
      <c r="I50" s="9">
        <v>0</v>
      </c>
      <c r="J50" s="1948"/>
      <c r="K50" s="1949"/>
    </row>
    <row r="51" spans="1:11" s="2" customFormat="1">
      <c r="A51" s="1951"/>
      <c r="B51" s="1952"/>
      <c r="C51" s="1951"/>
      <c r="D51" s="55">
        <v>2019</v>
      </c>
      <c r="E51" s="8">
        <f t="shared" si="5"/>
        <v>10810.8</v>
      </c>
      <c r="F51" s="9">
        <v>10810.8</v>
      </c>
      <c r="G51" s="9">
        <v>0</v>
      </c>
      <c r="H51" s="9">
        <v>0</v>
      </c>
      <c r="I51" s="9">
        <v>0</v>
      </c>
      <c r="J51" s="1948"/>
      <c r="K51" s="1949"/>
    </row>
    <row r="52" spans="1:11" s="2" customFormat="1">
      <c r="A52" s="1951"/>
      <c r="B52" s="1952"/>
      <c r="C52" s="1951"/>
      <c r="D52" s="55">
        <v>2020</v>
      </c>
      <c r="E52" s="8">
        <f t="shared" si="5"/>
        <v>10810.8</v>
      </c>
      <c r="F52" s="9">
        <v>10810.8</v>
      </c>
      <c r="G52" s="9">
        <v>0</v>
      </c>
      <c r="H52" s="9">
        <v>0</v>
      </c>
      <c r="I52" s="9">
        <v>0</v>
      </c>
      <c r="J52" s="1948"/>
      <c r="K52" s="1949"/>
    </row>
    <row r="53" spans="1:11" s="2" customFormat="1" ht="15" customHeight="1">
      <c r="A53" s="1950" t="s">
        <v>188</v>
      </c>
      <c r="B53" s="1952" t="s">
        <v>189</v>
      </c>
      <c r="C53" s="1951">
        <v>2018</v>
      </c>
      <c r="D53" s="51" t="s">
        <v>8</v>
      </c>
      <c r="E53" s="8">
        <f t="shared" si="5"/>
        <v>28950</v>
      </c>
      <c r="F53" s="8">
        <f>SUM(F54:F58)</f>
        <v>28950</v>
      </c>
      <c r="G53" s="8">
        <f>SUM(G54:G58)</f>
        <v>0</v>
      </c>
      <c r="H53" s="8">
        <f>SUM(H54:H58)</f>
        <v>0</v>
      </c>
      <c r="I53" s="8">
        <f>SUM(I54:I58)</f>
        <v>0</v>
      </c>
      <c r="J53" s="1948" t="s">
        <v>190</v>
      </c>
      <c r="K53" s="1949" t="s">
        <v>26</v>
      </c>
    </row>
    <row r="54" spans="1:11" s="2" customFormat="1">
      <c r="A54" s="1951"/>
      <c r="B54" s="1952"/>
      <c r="C54" s="1951"/>
      <c r="D54" s="51">
        <v>2016</v>
      </c>
      <c r="E54" s="8">
        <f t="shared" si="5"/>
        <v>0</v>
      </c>
      <c r="F54" s="9">
        <v>0</v>
      </c>
      <c r="G54" s="9">
        <v>0</v>
      </c>
      <c r="H54" s="9">
        <v>0</v>
      </c>
      <c r="I54" s="9">
        <v>0</v>
      </c>
      <c r="J54" s="1948"/>
      <c r="K54" s="1949"/>
    </row>
    <row r="55" spans="1:11" s="2" customFormat="1">
      <c r="A55" s="1951"/>
      <c r="B55" s="1952"/>
      <c r="C55" s="1951"/>
      <c r="D55" s="51">
        <v>2017</v>
      </c>
      <c r="E55" s="8">
        <f t="shared" si="5"/>
        <v>0</v>
      </c>
      <c r="F55" s="9">
        <v>0</v>
      </c>
      <c r="G55" s="9">
        <v>0</v>
      </c>
      <c r="H55" s="9">
        <v>0</v>
      </c>
      <c r="I55" s="9">
        <v>0</v>
      </c>
      <c r="J55" s="1948"/>
      <c r="K55" s="1949"/>
    </row>
    <row r="56" spans="1:11" s="2" customFormat="1">
      <c r="A56" s="1951"/>
      <c r="B56" s="1952"/>
      <c r="C56" s="1951"/>
      <c r="D56" s="55">
        <v>2018</v>
      </c>
      <c r="E56" s="8">
        <f t="shared" si="5"/>
        <v>28950</v>
      </c>
      <c r="F56" s="9">
        <v>28950</v>
      </c>
      <c r="G56" s="9">
        <v>0</v>
      </c>
      <c r="H56" s="9">
        <v>0</v>
      </c>
      <c r="I56" s="9">
        <v>0</v>
      </c>
      <c r="J56" s="1948"/>
      <c r="K56" s="1949"/>
    </row>
    <row r="57" spans="1:11" s="2" customFormat="1">
      <c r="A57" s="1951"/>
      <c r="B57" s="1952"/>
      <c r="C57" s="1951"/>
      <c r="D57" s="55">
        <v>2019</v>
      </c>
      <c r="E57" s="8">
        <f t="shared" si="5"/>
        <v>0</v>
      </c>
      <c r="F57" s="9">
        <v>0</v>
      </c>
      <c r="G57" s="9">
        <v>0</v>
      </c>
      <c r="H57" s="9">
        <v>0</v>
      </c>
      <c r="I57" s="9">
        <v>0</v>
      </c>
      <c r="J57" s="1948"/>
      <c r="K57" s="1949"/>
    </row>
    <row r="58" spans="1:11" s="2" customFormat="1">
      <c r="A58" s="1951"/>
      <c r="B58" s="1952"/>
      <c r="C58" s="1951"/>
      <c r="D58" s="55">
        <v>2020</v>
      </c>
      <c r="E58" s="8">
        <f t="shared" si="5"/>
        <v>0</v>
      </c>
      <c r="F58" s="9">
        <v>0</v>
      </c>
      <c r="G58" s="9">
        <v>0</v>
      </c>
      <c r="H58" s="9">
        <v>0</v>
      </c>
      <c r="I58" s="9">
        <v>0</v>
      </c>
      <c r="J58" s="1948"/>
      <c r="K58" s="1949"/>
    </row>
    <row r="59" spans="1:11" ht="20.100000000000001" customHeight="1">
      <c r="A59" s="1945" t="s">
        <v>173</v>
      </c>
      <c r="B59" s="1946" t="s">
        <v>34</v>
      </c>
      <c r="C59" s="1947" t="s">
        <v>14</v>
      </c>
      <c r="D59" s="57" t="s">
        <v>8</v>
      </c>
      <c r="E59" s="8">
        <f t="shared" si="5"/>
        <v>41300.6</v>
      </c>
      <c r="F59" s="8">
        <f>SUM(F60:F64)</f>
        <v>40341.1</v>
      </c>
      <c r="G59" s="8">
        <f>SUM(G60:G63)</f>
        <v>959.5</v>
      </c>
      <c r="H59" s="8">
        <f>SUM(H60:H63)</f>
        <v>0</v>
      </c>
      <c r="I59" s="8">
        <f>SUM(I60:I63)</f>
        <v>0</v>
      </c>
      <c r="J59" s="1948" t="s">
        <v>35</v>
      </c>
      <c r="K59" s="1949" t="s">
        <v>26</v>
      </c>
    </row>
    <row r="60" spans="1:11" ht="20.100000000000001" customHeight="1">
      <c r="A60" s="1945"/>
      <c r="B60" s="1946"/>
      <c r="C60" s="1947"/>
      <c r="D60" s="57">
        <v>2016</v>
      </c>
      <c r="E60" s="8">
        <f t="shared" si="5"/>
        <v>4215.7</v>
      </c>
      <c r="F60" s="8">
        <f t="shared" ref="F60:I64" si="7">F66+F72+F78</f>
        <v>3256.2</v>
      </c>
      <c r="G60" s="8">
        <f t="shared" si="7"/>
        <v>959.5</v>
      </c>
      <c r="H60" s="8">
        <f t="shared" si="7"/>
        <v>0</v>
      </c>
      <c r="I60" s="8">
        <f t="shared" si="7"/>
        <v>0</v>
      </c>
      <c r="J60" s="1948"/>
      <c r="K60" s="1949"/>
    </row>
    <row r="61" spans="1:11" ht="20.100000000000001" customHeight="1">
      <c r="A61" s="1945"/>
      <c r="B61" s="1946"/>
      <c r="C61" s="1947"/>
      <c r="D61" s="57">
        <v>2017</v>
      </c>
      <c r="E61" s="8">
        <f>SUM(F61:I61)</f>
        <v>2166.1999999999998</v>
      </c>
      <c r="F61" s="8">
        <f t="shared" si="7"/>
        <v>2166.1999999999998</v>
      </c>
      <c r="G61" s="8">
        <f t="shared" si="7"/>
        <v>0</v>
      </c>
      <c r="H61" s="8">
        <f t="shared" si="7"/>
        <v>0</v>
      </c>
      <c r="I61" s="8">
        <f t="shared" si="7"/>
        <v>0</v>
      </c>
      <c r="J61" s="1948"/>
      <c r="K61" s="1949"/>
    </row>
    <row r="62" spans="1:11" ht="20.100000000000001" customHeight="1">
      <c r="A62" s="1945"/>
      <c r="B62" s="1946"/>
      <c r="C62" s="1947"/>
      <c r="D62" s="57">
        <v>2018</v>
      </c>
      <c r="E62" s="8">
        <f t="shared" si="5"/>
        <v>11318.4</v>
      </c>
      <c r="F62" s="8">
        <f t="shared" si="7"/>
        <v>11318.4</v>
      </c>
      <c r="G62" s="8">
        <f t="shared" si="7"/>
        <v>0</v>
      </c>
      <c r="H62" s="8">
        <f t="shared" si="7"/>
        <v>0</v>
      </c>
      <c r="I62" s="8">
        <f t="shared" si="7"/>
        <v>0</v>
      </c>
      <c r="J62" s="1948"/>
      <c r="K62" s="1949"/>
    </row>
    <row r="63" spans="1:11" ht="20.100000000000001" customHeight="1">
      <c r="A63" s="1945"/>
      <c r="B63" s="1946"/>
      <c r="C63" s="1947"/>
      <c r="D63" s="57">
        <v>2019</v>
      </c>
      <c r="E63" s="8">
        <f>SUM(F63:I63)</f>
        <v>11635.7</v>
      </c>
      <c r="F63" s="8">
        <f t="shared" si="7"/>
        <v>11635.7</v>
      </c>
      <c r="G63" s="8">
        <f t="shared" si="7"/>
        <v>0</v>
      </c>
      <c r="H63" s="8">
        <f t="shared" si="7"/>
        <v>0</v>
      </c>
      <c r="I63" s="8">
        <f t="shared" si="7"/>
        <v>0</v>
      </c>
      <c r="J63" s="1948"/>
      <c r="K63" s="1949"/>
    </row>
    <row r="64" spans="1:11" ht="20.100000000000001" customHeight="1">
      <c r="A64" s="1945"/>
      <c r="B64" s="1946"/>
      <c r="C64" s="1947"/>
      <c r="D64" s="57">
        <v>2020</v>
      </c>
      <c r="E64" s="8">
        <f>SUM(F64:I64)</f>
        <v>11964.6</v>
      </c>
      <c r="F64" s="8">
        <f t="shared" si="7"/>
        <v>11964.6</v>
      </c>
      <c r="G64" s="8">
        <f t="shared" si="7"/>
        <v>0</v>
      </c>
      <c r="H64" s="8">
        <f t="shared" si="7"/>
        <v>0</v>
      </c>
      <c r="I64" s="8">
        <f t="shared" si="7"/>
        <v>0</v>
      </c>
      <c r="J64" s="1948"/>
      <c r="K64" s="1949"/>
    </row>
    <row r="65" spans="1:11" s="2" customFormat="1" ht="18.75" customHeight="1">
      <c r="A65" s="1945" t="s">
        <v>33</v>
      </c>
      <c r="B65" s="1946" t="s">
        <v>36</v>
      </c>
      <c r="C65" s="1947" t="s">
        <v>159</v>
      </c>
      <c r="D65" s="57" t="s">
        <v>8</v>
      </c>
      <c r="E65" s="8">
        <f t="shared" si="5"/>
        <v>950</v>
      </c>
      <c r="F65" s="8">
        <f>SUM(F66:F70)</f>
        <v>950</v>
      </c>
      <c r="G65" s="8">
        <f>SUM(G66:G70)</f>
        <v>0</v>
      </c>
      <c r="H65" s="8">
        <f>SUM(H66:H70)</f>
        <v>0</v>
      </c>
      <c r="I65" s="8">
        <f>SUM(I66:I70)</f>
        <v>0</v>
      </c>
      <c r="J65" s="1948" t="s">
        <v>37</v>
      </c>
      <c r="K65" s="1948" t="s">
        <v>23</v>
      </c>
    </row>
    <row r="66" spans="1:11" s="2" customFormat="1" ht="18.75" customHeight="1">
      <c r="A66" s="1945"/>
      <c r="B66" s="1946"/>
      <c r="C66" s="1947"/>
      <c r="D66" s="57">
        <v>2016</v>
      </c>
      <c r="E66" s="8">
        <f t="shared" si="5"/>
        <v>475</v>
      </c>
      <c r="F66" s="8">
        <v>475</v>
      </c>
      <c r="G66" s="9">
        <v>0</v>
      </c>
      <c r="H66" s="9">
        <v>0</v>
      </c>
      <c r="I66" s="9">
        <v>0</v>
      </c>
      <c r="J66" s="1948"/>
      <c r="K66" s="1948"/>
    </row>
    <row r="67" spans="1:11" s="2" customFormat="1" ht="18.75" customHeight="1">
      <c r="A67" s="1945"/>
      <c r="B67" s="1946"/>
      <c r="C67" s="1947"/>
      <c r="D67" s="57">
        <v>2017</v>
      </c>
      <c r="E67" s="8">
        <f>SUM(F67:I67)</f>
        <v>475</v>
      </c>
      <c r="F67" s="8">
        <v>475</v>
      </c>
      <c r="G67" s="9">
        <v>0</v>
      </c>
      <c r="H67" s="9">
        <v>0</v>
      </c>
      <c r="I67" s="9">
        <v>0</v>
      </c>
      <c r="J67" s="1948"/>
      <c r="K67" s="1948"/>
    </row>
    <row r="68" spans="1:11" s="2" customFormat="1" ht="18.75" customHeight="1">
      <c r="A68" s="1945"/>
      <c r="B68" s="1946"/>
      <c r="C68" s="1947"/>
      <c r="D68" s="57">
        <v>2018</v>
      </c>
      <c r="E68" s="8">
        <f t="shared" si="5"/>
        <v>0</v>
      </c>
      <c r="F68" s="8">
        <v>0</v>
      </c>
      <c r="G68" s="9">
        <v>0</v>
      </c>
      <c r="H68" s="9">
        <v>0</v>
      </c>
      <c r="I68" s="9">
        <v>0</v>
      </c>
      <c r="J68" s="1948"/>
      <c r="K68" s="1948"/>
    </row>
    <row r="69" spans="1:11" s="2" customFormat="1" ht="18.75" customHeight="1">
      <c r="A69" s="1945"/>
      <c r="B69" s="1946"/>
      <c r="C69" s="1947"/>
      <c r="D69" s="57">
        <v>2019</v>
      </c>
      <c r="E69" s="8">
        <f t="shared" ref="E69:E87" si="8">SUM(F69:I69)</f>
        <v>0</v>
      </c>
      <c r="F69" s="8">
        <v>0</v>
      </c>
      <c r="G69" s="9">
        <v>0</v>
      </c>
      <c r="H69" s="9">
        <v>0</v>
      </c>
      <c r="I69" s="9">
        <v>0</v>
      </c>
      <c r="J69" s="1948"/>
      <c r="K69" s="1948"/>
    </row>
    <row r="70" spans="1:11" s="2" customFormat="1" ht="18.75" customHeight="1">
      <c r="A70" s="1945"/>
      <c r="B70" s="1946"/>
      <c r="C70" s="1947"/>
      <c r="D70" s="57">
        <v>2020</v>
      </c>
      <c r="E70" s="8">
        <f>SUM(F70:I70)</f>
        <v>0</v>
      </c>
      <c r="F70" s="8">
        <v>0</v>
      </c>
      <c r="G70" s="9">
        <v>0</v>
      </c>
      <c r="H70" s="9">
        <v>0</v>
      </c>
      <c r="I70" s="9">
        <v>0</v>
      </c>
      <c r="J70" s="1948"/>
      <c r="K70" s="1948"/>
    </row>
    <row r="71" spans="1:11" s="2" customFormat="1" ht="15" customHeight="1">
      <c r="A71" s="1945" t="s">
        <v>191</v>
      </c>
      <c r="B71" s="1946" t="s">
        <v>38</v>
      </c>
      <c r="C71" s="1947">
        <v>2016</v>
      </c>
      <c r="D71" s="57" t="s">
        <v>8</v>
      </c>
      <c r="E71" s="8">
        <f t="shared" si="8"/>
        <v>3740.7</v>
      </c>
      <c r="F71" s="8">
        <f>SUM(F72:F76)</f>
        <v>2781.2</v>
      </c>
      <c r="G71" s="8">
        <f>SUM(G72:G76)</f>
        <v>959.5</v>
      </c>
      <c r="H71" s="8">
        <f>SUM(H72:H76)</f>
        <v>0</v>
      </c>
      <c r="I71" s="8">
        <f>SUM(I72:I76)</f>
        <v>0</v>
      </c>
      <c r="J71" s="1948" t="s">
        <v>192</v>
      </c>
      <c r="K71" s="1949" t="s">
        <v>39</v>
      </c>
    </row>
    <row r="72" spans="1:11" s="2" customFormat="1" ht="15" customHeight="1">
      <c r="A72" s="1945"/>
      <c r="B72" s="1946"/>
      <c r="C72" s="1947"/>
      <c r="D72" s="57">
        <v>2016</v>
      </c>
      <c r="E72" s="8">
        <f t="shared" si="8"/>
        <v>3740.7</v>
      </c>
      <c r="F72" s="8">
        <v>2781.2</v>
      </c>
      <c r="G72" s="9">
        <v>959.5</v>
      </c>
      <c r="H72" s="9">
        <v>0</v>
      </c>
      <c r="I72" s="9">
        <v>0</v>
      </c>
      <c r="J72" s="1948"/>
      <c r="K72" s="1949"/>
    </row>
    <row r="73" spans="1:11" s="2" customFormat="1" ht="15" customHeight="1">
      <c r="A73" s="1945"/>
      <c r="B73" s="1946"/>
      <c r="C73" s="1947"/>
      <c r="D73" s="57">
        <v>2017</v>
      </c>
      <c r="E73" s="8">
        <f t="shared" si="8"/>
        <v>0</v>
      </c>
      <c r="F73" s="8">
        <v>0</v>
      </c>
      <c r="G73" s="9">
        <v>0</v>
      </c>
      <c r="H73" s="9">
        <v>0</v>
      </c>
      <c r="I73" s="9">
        <v>0</v>
      </c>
      <c r="J73" s="1948"/>
      <c r="K73" s="1949"/>
    </row>
    <row r="74" spans="1:11" s="2" customFormat="1" ht="15" customHeight="1">
      <c r="A74" s="1945"/>
      <c r="B74" s="1946"/>
      <c r="C74" s="1947"/>
      <c r="D74" s="57">
        <v>2018</v>
      </c>
      <c r="E74" s="8">
        <f t="shared" si="8"/>
        <v>0</v>
      </c>
      <c r="F74" s="8">
        <v>0</v>
      </c>
      <c r="G74" s="9">
        <v>0</v>
      </c>
      <c r="H74" s="9">
        <v>0</v>
      </c>
      <c r="I74" s="9">
        <v>0</v>
      </c>
      <c r="J74" s="1948"/>
      <c r="K74" s="1949"/>
    </row>
    <row r="75" spans="1:11" s="2" customFormat="1" ht="15" customHeight="1">
      <c r="A75" s="1945"/>
      <c r="B75" s="1946"/>
      <c r="C75" s="1947"/>
      <c r="D75" s="57">
        <v>2019</v>
      </c>
      <c r="E75" s="8">
        <f t="shared" si="8"/>
        <v>0</v>
      </c>
      <c r="F75" s="8">
        <v>0</v>
      </c>
      <c r="G75" s="9">
        <v>0</v>
      </c>
      <c r="H75" s="9">
        <v>0</v>
      </c>
      <c r="I75" s="9">
        <v>0</v>
      </c>
      <c r="J75" s="1948"/>
      <c r="K75" s="1949"/>
    </row>
    <row r="76" spans="1:11" s="2" customFormat="1" ht="15" customHeight="1">
      <c r="A76" s="1945"/>
      <c r="B76" s="1946"/>
      <c r="C76" s="1947"/>
      <c r="D76" s="57">
        <v>2020</v>
      </c>
      <c r="E76" s="8">
        <f t="shared" si="8"/>
        <v>0</v>
      </c>
      <c r="F76" s="8">
        <v>0</v>
      </c>
      <c r="G76" s="9">
        <v>0</v>
      </c>
      <c r="H76" s="9">
        <v>0</v>
      </c>
      <c r="I76" s="9">
        <v>0</v>
      </c>
      <c r="J76" s="1948"/>
      <c r="K76" s="1949"/>
    </row>
    <row r="77" spans="1:11" s="2" customFormat="1" ht="18.75" customHeight="1">
      <c r="A77" s="1945" t="s">
        <v>193</v>
      </c>
      <c r="B77" s="1946" t="s">
        <v>22</v>
      </c>
      <c r="C77" s="1947" t="s">
        <v>194</v>
      </c>
      <c r="D77" s="55" t="s">
        <v>8</v>
      </c>
      <c r="E77" s="8">
        <f t="shared" si="8"/>
        <v>36609.9</v>
      </c>
      <c r="F77" s="8">
        <f>SUM(F78:F82)</f>
        <v>36609.9</v>
      </c>
      <c r="G77" s="8">
        <f>SUM(G78:G82)</f>
        <v>0</v>
      </c>
      <c r="H77" s="8">
        <f>SUM(H78:H82)</f>
        <v>0</v>
      </c>
      <c r="I77" s="8">
        <f>SUM(I78:I82)</f>
        <v>0</v>
      </c>
      <c r="J77" s="1948" t="s">
        <v>277</v>
      </c>
      <c r="K77" s="1949" t="s">
        <v>23</v>
      </c>
    </row>
    <row r="78" spans="1:11" s="2" customFormat="1" ht="18.75" customHeight="1">
      <c r="A78" s="1945"/>
      <c r="B78" s="1946"/>
      <c r="C78" s="1947"/>
      <c r="D78" s="55">
        <v>2016</v>
      </c>
      <c r="E78" s="8">
        <f t="shared" si="8"/>
        <v>0</v>
      </c>
      <c r="F78" s="8">
        <v>0</v>
      </c>
      <c r="G78" s="9">
        <v>0</v>
      </c>
      <c r="H78" s="9">
        <v>0</v>
      </c>
      <c r="I78" s="9">
        <v>0</v>
      </c>
      <c r="J78" s="1948"/>
      <c r="K78" s="1949"/>
    </row>
    <row r="79" spans="1:11" s="2" customFormat="1" ht="18.75" customHeight="1">
      <c r="A79" s="1945"/>
      <c r="B79" s="1946"/>
      <c r="C79" s="1947"/>
      <c r="D79" s="55">
        <v>2017</v>
      </c>
      <c r="E79" s="8">
        <f t="shared" si="8"/>
        <v>1691.2</v>
      </c>
      <c r="F79" s="8">
        <v>1691.2</v>
      </c>
      <c r="G79" s="9">
        <v>0</v>
      </c>
      <c r="H79" s="9">
        <v>0</v>
      </c>
      <c r="I79" s="9">
        <v>0</v>
      </c>
      <c r="J79" s="1948"/>
      <c r="K79" s="1949"/>
    </row>
    <row r="80" spans="1:11" s="2" customFormat="1" ht="18.75" customHeight="1">
      <c r="A80" s="1945"/>
      <c r="B80" s="1946"/>
      <c r="C80" s="1947"/>
      <c r="D80" s="55">
        <v>2018</v>
      </c>
      <c r="E80" s="8">
        <f t="shared" si="8"/>
        <v>11318.4</v>
      </c>
      <c r="F80" s="8">
        <v>11318.4</v>
      </c>
      <c r="G80" s="9">
        <v>0</v>
      </c>
      <c r="H80" s="9">
        <v>0</v>
      </c>
      <c r="I80" s="9">
        <v>0</v>
      </c>
      <c r="J80" s="1948"/>
      <c r="K80" s="1949"/>
    </row>
    <row r="81" spans="1:11" s="2" customFormat="1" ht="18.75" customHeight="1">
      <c r="A81" s="1945"/>
      <c r="B81" s="1946"/>
      <c r="C81" s="1947"/>
      <c r="D81" s="55">
        <v>2019</v>
      </c>
      <c r="E81" s="8">
        <f t="shared" si="8"/>
        <v>11635.7</v>
      </c>
      <c r="F81" s="8">
        <v>11635.7</v>
      </c>
      <c r="G81" s="9">
        <v>0</v>
      </c>
      <c r="H81" s="9">
        <v>0</v>
      </c>
      <c r="I81" s="9">
        <v>0</v>
      </c>
      <c r="J81" s="1948"/>
      <c r="K81" s="1949"/>
    </row>
    <row r="82" spans="1:11" s="2" customFormat="1" ht="18.75" customHeight="1">
      <c r="A82" s="1945"/>
      <c r="B82" s="1946"/>
      <c r="C82" s="1947"/>
      <c r="D82" s="55">
        <v>2020</v>
      </c>
      <c r="E82" s="8">
        <f t="shared" si="8"/>
        <v>11964.6</v>
      </c>
      <c r="F82" s="8">
        <v>11964.6</v>
      </c>
      <c r="G82" s="9">
        <v>0</v>
      </c>
      <c r="H82" s="9">
        <v>0</v>
      </c>
      <c r="I82" s="9">
        <v>0</v>
      </c>
      <c r="J82" s="1948"/>
      <c r="K82" s="1949"/>
    </row>
    <row r="83" spans="1:11" s="2" customFormat="1" ht="15" customHeight="1">
      <c r="A83" s="1945" t="s">
        <v>40</v>
      </c>
      <c r="B83" s="1948" t="s">
        <v>41</v>
      </c>
      <c r="C83" s="1947" t="s">
        <v>14</v>
      </c>
      <c r="D83" s="57" t="s">
        <v>8</v>
      </c>
      <c r="E83" s="8">
        <f t="shared" si="8"/>
        <v>2472843.1999999997</v>
      </c>
      <c r="F83" s="8">
        <f>SUM(F84:F88)</f>
        <v>2443266.9</v>
      </c>
      <c r="G83" s="8">
        <f>SUM(G84:G88)</f>
        <v>29576.3</v>
      </c>
      <c r="H83" s="8">
        <f>SUM(H84:H88)</f>
        <v>0</v>
      </c>
      <c r="I83" s="8">
        <f>SUM(I84:I88)</f>
        <v>0</v>
      </c>
      <c r="J83" s="1948"/>
      <c r="K83" s="1949" t="s">
        <v>42</v>
      </c>
    </row>
    <row r="84" spans="1:11" s="2" customFormat="1">
      <c r="A84" s="1945"/>
      <c r="B84" s="1948"/>
      <c r="C84" s="1947"/>
      <c r="D84" s="57">
        <v>2016</v>
      </c>
      <c r="E84" s="8">
        <f t="shared" si="8"/>
        <v>385423.4</v>
      </c>
      <c r="F84" s="8">
        <f t="shared" ref="F84:I88" si="9">F90+F156+F186</f>
        <v>379215.5</v>
      </c>
      <c r="G84" s="8">
        <f t="shared" si="9"/>
        <v>6207.9</v>
      </c>
      <c r="H84" s="8">
        <f t="shared" si="9"/>
        <v>0</v>
      </c>
      <c r="I84" s="8">
        <f t="shared" si="9"/>
        <v>0</v>
      </c>
      <c r="J84" s="1948"/>
      <c r="K84" s="1949"/>
    </row>
    <row r="85" spans="1:11">
      <c r="A85" s="1945"/>
      <c r="B85" s="1948"/>
      <c r="C85" s="1947"/>
      <c r="D85" s="57">
        <v>2017</v>
      </c>
      <c r="E85" s="8">
        <f t="shared" si="8"/>
        <v>456261.4</v>
      </c>
      <c r="F85" s="8">
        <f t="shared" si="9"/>
        <v>448205.9</v>
      </c>
      <c r="G85" s="8">
        <f t="shared" si="9"/>
        <v>8055.5</v>
      </c>
      <c r="H85" s="8">
        <f t="shared" si="9"/>
        <v>0</v>
      </c>
      <c r="I85" s="8">
        <f t="shared" si="9"/>
        <v>0</v>
      </c>
      <c r="J85" s="1948"/>
      <c r="K85" s="1949"/>
    </row>
    <row r="86" spans="1:11">
      <c r="A86" s="1945"/>
      <c r="B86" s="1948"/>
      <c r="C86" s="1947"/>
      <c r="D86" s="57">
        <v>2018</v>
      </c>
      <c r="E86" s="8">
        <f t="shared" si="8"/>
        <v>564541.4</v>
      </c>
      <c r="F86" s="8">
        <f t="shared" si="9"/>
        <v>549228.5</v>
      </c>
      <c r="G86" s="8">
        <f t="shared" si="9"/>
        <v>15312.9</v>
      </c>
      <c r="H86" s="8">
        <f t="shared" si="9"/>
        <v>0</v>
      </c>
      <c r="I86" s="8">
        <f t="shared" si="9"/>
        <v>0</v>
      </c>
      <c r="J86" s="1948"/>
      <c r="K86" s="1949"/>
    </row>
    <row r="87" spans="1:11">
      <c r="A87" s="1945"/>
      <c r="B87" s="1948"/>
      <c r="C87" s="1947"/>
      <c r="D87" s="57">
        <v>2019</v>
      </c>
      <c r="E87" s="8">
        <f t="shared" si="8"/>
        <v>527685.5</v>
      </c>
      <c r="F87" s="8">
        <f t="shared" si="9"/>
        <v>527685.5</v>
      </c>
      <c r="G87" s="8">
        <f t="shared" si="9"/>
        <v>0</v>
      </c>
      <c r="H87" s="8">
        <f t="shared" si="9"/>
        <v>0</v>
      </c>
      <c r="I87" s="8">
        <f t="shared" si="9"/>
        <v>0</v>
      </c>
      <c r="J87" s="1948"/>
      <c r="K87" s="1949"/>
    </row>
    <row r="88" spans="1:11">
      <c r="A88" s="1945"/>
      <c r="B88" s="1948"/>
      <c r="C88" s="1947"/>
      <c r="D88" s="57">
        <v>2020</v>
      </c>
      <c r="E88" s="8">
        <f>SUM(F88:I88)</f>
        <v>538931.5</v>
      </c>
      <c r="F88" s="8">
        <f t="shared" si="9"/>
        <v>538931.5</v>
      </c>
      <c r="G88" s="8">
        <f t="shared" si="9"/>
        <v>0</v>
      </c>
      <c r="H88" s="8">
        <f t="shared" si="9"/>
        <v>0</v>
      </c>
      <c r="I88" s="8">
        <f t="shared" si="9"/>
        <v>0</v>
      </c>
      <c r="J88" s="1948"/>
      <c r="K88" s="1949"/>
    </row>
    <row r="89" spans="1:11" ht="13.5" customHeight="1">
      <c r="A89" s="1945" t="s">
        <v>174</v>
      </c>
      <c r="B89" s="1946" t="s">
        <v>44</v>
      </c>
      <c r="C89" s="1947" t="s">
        <v>14</v>
      </c>
      <c r="D89" s="57" t="s">
        <v>8</v>
      </c>
      <c r="E89" s="8">
        <f t="shared" ref="E89:I94" si="10">SUM(E95+E101,E107,E113,E119,E125,E131,E137,E143,E149)</f>
        <v>522163.1</v>
      </c>
      <c r="F89" s="8">
        <f t="shared" si="10"/>
        <v>522163.1</v>
      </c>
      <c r="G89" s="8">
        <f t="shared" si="10"/>
        <v>0</v>
      </c>
      <c r="H89" s="8">
        <f t="shared" si="10"/>
        <v>0</v>
      </c>
      <c r="I89" s="8">
        <f t="shared" si="10"/>
        <v>0</v>
      </c>
      <c r="J89" s="1948" t="s">
        <v>45</v>
      </c>
      <c r="K89" s="1949" t="s">
        <v>18</v>
      </c>
    </row>
    <row r="90" spans="1:11" ht="13.5" customHeight="1">
      <c r="A90" s="1945"/>
      <c r="B90" s="1946"/>
      <c r="C90" s="1947"/>
      <c r="D90" s="57">
        <v>2016</v>
      </c>
      <c r="E90" s="8">
        <f t="shared" si="10"/>
        <v>86400.5</v>
      </c>
      <c r="F90" s="8">
        <f t="shared" si="10"/>
        <v>86400.5</v>
      </c>
      <c r="G90" s="8">
        <f t="shared" si="10"/>
        <v>0</v>
      </c>
      <c r="H90" s="8">
        <f t="shared" si="10"/>
        <v>0</v>
      </c>
      <c r="I90" s="8">
        <f t="shared" si="10"/>
        <v>0</v>
      </c>
      <c r="J90" s="1948"/>
      <c r="K90" s="1949"/>
    </row>
    <row r="91" spans="1:11" ht="13.5" customHeight="1">
      <c r="A91" s="1945"/>
      <c r="B91" s="1946"/>
      <c r="C91" s="1947"/>
      <c r="D91" s="57">
        <v>2017</v>
      </c>
      <c r="E91" s="8">
        <f t="shared" si="10"/>
        <v>84336.700000000012</v>
      </c>
      <c r="F91" s="8">
        <f t="shared" si="10"/>
        <v>84336.700000000012</v>
      </c>
      <c r="G91" s="8">
        <f t="shared" si="10"/>
        <v>0</v>
      </c>
      <c r="H91" s="8">
        <f t="shared" si="10"/>
        <v>0</v>
      </c>
      <c r="I91" s="8">
        <f t="shared" si="10"/>
        <v>0</v>
      </c>
      <c r="J91" s="1948"/>
      <c r="K91" s="1949"/>
    </row>
    <row r="92" spans="1:11" ht="13.5" customHeight="1">
      <c r="A92" s="1945"/>
      <c r="B92" s="1946"/>
      <c r="C92" s="1947"/>
      <c r="D92" s="57">
        <v>2018</v>
      </c>
      <c r="E92" s="8">
        <f t="shared" si="10"/>
        <v>116483.30000000002</v>
      </c>
      <c r="F92" s="8">
        <f t="shared" si="10"/>
        <v>116483.30000000002</v>
      </c>
      <c r="G92" s="8">
        <f t="shared" si="10"/>
        <v>0</v>
      </c>
      <c r="H92" s="8">
        <f t="shared" si="10"/>
        <v>0</v>
      </c>
      <c r="I92" s="8">
        <f t="shared" si="10"/>
        <v>0</v>
      </c>
      <c r="J92" s="1948"/>
      <c r="K92" s="1949"/>
    </row>
    <row r="93" spans="1:11" ht="13.5" customHeight="1">
      <c r="A93" s="1945"/>
      <c r="B93" s="1946"/>
      <c r="C93" s="1947"/>
      <c r="D93" s="57">
        <v>2019</v>
      </c>
      <c r="E93" s="8">
        <f t="shared" si="10"/>
        <v>116993.60000000002</v>
      </c>
      <c r="F93" s="8">
        <f t="shared" si="10"/>
        <v>116993.60000000002</v>
      </c>
      <c r="G93" s="8">
        <f t="shared" si="10"/>
        <v>0</v>
      </c>
      <c r="H93" s="8">
        <f t="shared" si="10"/>
        <v>0</v>
      </c>
      <c r="I93" s="8">
        <f t="shared" si="10"/>
        <v>0</v>
      </c>
      <c r="J93" s="1948"/>
      <c r="K93" s="1949"/>
    </row>
    <row r="94" spans="1:11" ht="13.5" customHeight="1">
      <c r="A94" s="1945"/>
      <c r="B94" s="1946"/>
      <c r="C94" s="1947"/>
      <c r="D94" s="57">
        <v>2020</v>
      </c>
      <c r="E94" s="8">
        <f t="shared" si="10"/>
        <v>117949.00000000001</v>
      </c>
      <c r="F94" s="8">
        <f t="shared" si="10"/>
        <v>117949.00000000001</v>
      </c>
      <c r="G94" s="8">
        <f t="shared" si="10"/>
        <v>0</v>
      </c>
      <c r="H94" s="8">
        <f t="shared" si="10"/>
        <v>0</v>
      </c>
      <c r="I94" s="8">
        <f t="shared" si="10"/>
        <v>0</v>
      </c>
      <c r="J94" s="1948"/>
      <c r="K94" s="1949"/>
    </row>
    <row r="95" spans="1:11" s="2" customFormat="1" ht="24.95" customHeight="1">
      <c r="A95" s="1951" t="s">
        <v>43</v>
      </c>
      <c r="B95" s="1952" t="s">
        <v>22</v>
      </c>
      <c r="C95" s="1947" t="s">
        <v>14</v>
      </c>
      <c r="D95" s="55" t="s">
        <v>8</v>
      </c>
      <c r="E95" s="8">
        <f t="shared" ref="E95:E105" si="11">SUM(F95:I95)</f>
        <v>322767.3</v>
      </c>
      <c r="F95" s="8">
        <f>SUM(F96:F100)</f>
        <v>322767.3</v>
      </c>
      <c r="G95" s="8">
        <f>SUM(G96:G100)</f>
        <v>0</v>
      </c>
      <c r="H95" s="8">
        <f>SUM(H96:H100)</f>
        <v>0</v>
      </c>
      <c r="I95" s="8">
        <f>SUM(I96:I100)</f>
        <v>0</v>
      </c>
      <c r="J95" s="1948" t="s">
        <v>278</v>
      </c>
      <c r="K95" s="1953" t="s">
        <v>47</v>
      </c>
    </row>
    <row r="96" spans="1:11" s="2" customFormat="1" ht="24.95" customHeight="1">
      <c r="A96" s="1951"/>
      <c r="B96" s="1952"/>
      <c r="C96" s="1947"/>
      <c r="D96" s="55">
        <v>2016</v>
      </c>
      <c r="E96" s="8">
        <f t="shared" si="11"/>
        <v>50941.599999999999</v>
      </c>
      <c r="F96" s="9">
        <v>50941.599999999999</v>
      </c>
      <c r="G96" s="9">
        <f>[1]План!G128+[1]План!G136+[1]План!G176</f>
        <v>0</v>
      </c>
      <c r="H96" s="9">
        <f>[1]План!H128+[1]План!H136+[1]План!H176</f>
        <v>0</v>
      </c>
      <c r="I96" s="9">
        <f>[1]План!I128+[1]План!I136+[1]План!I176</f>
        <v>0</v>
      </c>
      <c r="J96" s="1948"/>
      <c r="K96" s="1953"/>
    </row>
    <row r="97" spans="1:11" s="2" customFormat="1" ht="24.95" customHeight="1">
      <c r="A97" s="1951"/>
      <c r="B97" s="1952"/>
      <c r="C97" s="1947"/>
      <c r="D97" s="55">
        <v>2017</v>
      </c>
      <c r="E97" s="8">
        <f t="shared" si="11"/>
        <v>48074.7</v>
      </c>
      <c r="F97" s="9">
        <v>48074.7</v>
      </c>
      <c r="G97" s="9">
        <f>[1]План!G129+[1]План!G137+[1]План!G177</f>
        <v>0</v>
      </c>
      <c r="H97" s="9">
        <f>[1]План!H129+[1]План!H137+[1]План!H177</f>
        <v>0</v>
      </c>
      <c r="I97" s="9">
        <f>[1]План!I129+[1]План!I137+[1]План!I177</f>
        <v>0</v>
      </c>
      <c r="J97" s="1948"/>
      <c r="K97" s="1953"/>
    </row>
    <row r="98" spans="1:11" s="2" customFormat="1" ht="24.95" customHeight="1">
      <c r="A98" s="1951"/>
      <c r="B98" s="1952"/>
      <c r="C98" s="1947"/>
      <c r="D98" s="58">
        <v>2018</v>
      </c>
      <c r="E98" s="59">
        <f t="shared" si="11"/>
        <v>73925</v>
      </c>
      <c r="F98" s="60">
        <v>73925</v>
      </c>
      <c r="G98" s="9">
        <f>[1]План!G130+[1]План!G138+[1]План!G178</f>
        <v>0</v>
      </c>
      <c r="H98" s="9">
        <f>[1]План!H130+[1]План!H138+[1]План!H178</f>
        <v>0</v>
      </c>
      <c r="I98" s="9">
        <f>[1]План!I130+[1]План!I138+[1]План!I178</f>
        <v>0</v>
      </c>
      <c r="J98" s="1948"/>
      <c r="K98" s="1953"/>
    </row>
    <row r="99" spans="1:11" s="2" customFormat="1" ht="24.95" customHeight="1">
      <c r="A99" s="1951"/>
      <c r="B99" s="1952"/>
      <c r="C99" s="1947"/>
      <c r="D99" s="55">
        <v>2019</v>
      </c>
      <c r="E99" s="8">
        <f t="shared" si="11"/>
        <v>74435.3</v>
      </c>
      <c r="F99" s="9">
        <v>74435.3</v>
      </c>
      <c r="G99" s="9">
        <f>[1]План!G131+[1]План!G139+[1]План!G179</f>
        <v>0</v>
      </c>
      <c r="H99" s="9">
        <f>[1]План!H131+[1]План!H139+[1]План!H179</f>
        <v>0</v>
      </c>
      <c r="I99" s="9">
        <f>[1]План!I131+[1]План!I139+[1]План!I179</f>
        <v>0</v>
      </c>
      <c r="J99" s="1948"/>
      <c r="K99" s="1953"/>
    </row>
    <row r="100" spans="1:11" s="2" customFormat="1" ht="24.95" customHeight="1">
      <c r="A100" s="1951"/>
      <c r="B100" s="1952"/>
      <c r="C100" s="1947"/>
      <c r="D100" s="55">
        <v>2020</v>
      </c>
      <c r="E100" s="8">
        <f>SUM(F100:I100)</f>
        <v>75390.7</v>
      </c>
      <c r="F100" s="9">
        <v>75390.7</v>
      </c>
      <c r="G100" s="9">
        <f>[1]План!G132+[1]План!G140+[1]План!G180</f>
        <v>0</v>
      </c>
      <c r="H100" s="9">
        <f>[1]План!H132+[1]План!H140+[1]План!H180</f>
        <v>0</v>
      </c>
      <c r="I100" s="9">
        <f>[1]План!I132+[1]План!I140+[1]План!I180</f>
        <v>0</v>
      </c>
      <c r="J100" s="1948"/>
      <c r="K100" s="1953"/>
    </row>
    <row r="101" spans="1:11" s="2" customFormat="1" ht="15" customHeight="1">
      <c r="A101" s="1945" t="s">
        <v>196</v>
      </c>
      <c r="B101" s="1946" t="s">
        <v>48</v>
      </c>
      <c r="C101" s="1947" t="s">
        <v>14</v>
      </c>
      <c r="D101" s="55" t="s">
        <v>8</v>
      </c>
      <c r="E101" s="8">
        <f t="shared" si="11"/>
        <v>67298.399999999994</v>
      </c>
      <c r="F101" s="8">
        <f>SUM(F102:F106)</f>
        <v>67298.399999999994</v>
      </c>
      <c r="G101" s="8">
        <f>SUM(G102:G106)</f>
        <v>0</v>
      </c>
      <c r="H101" s="8">
        <f>SUM(H102:H106)</f>
        <v>0</v>
      </c>
      <c r="I101" s="8">
        <f>SUM(I102:I106)</f>
        <v>0</v>
      </c>
      <c r="J101" s="1948" t="s">
        <v>49</v>
      </c>
      <c r="K101" s="1949" t="s">
        <v>279</v>
      </c>
    </row>
    <row r="102" spans="1:11" s="2" customFormat="1">
      <c r="A102" s="1945"/>
      <c r="B102" s="1946"/>
      <c r="C102" s="1947"/>
      <c r="D102" s="55">
        <v>2016</v>
      </c>
      <c r="E102" s="8">
        <f t="shared" si="11"/>
        <v>12699.3</v>
      </c>
      <c r="F102" s="8">
        <v>12699.3</v>
      </c>
      <c r="G102" s="9">
        <v>0</v>
      </c>
      <c r="H102" s="9">
        <v>0</v>
      </c>
      <c r="I102" s="9">
        <v>0</v>
      </c>
      <c r="J102" s="1948"/>
      <c r="K102" s="1949"/>
    </row>
    <row r="103" spans="1:11" s="2" customFormat="1">
      <c r="A103" s="1945"/>
      <c r="B103" s="1946"/>
      <c r="C103" s="1947"/>
      <c r="D103" s="55">
        <v>2017</v>
      </c>
      <c r="E103" s="8">
        <f t="shared" si="11"/>
        <v>12699.3</v>
      </c>
      <c r="F103" s="8">
        <v>12699.3</v>
      </c>
      <c r="G103" s="9">
        <v>0</v>
      </c>
      <c r="H103" s="9">
        <v>0</v>
      </c>
      <c r="I103" s="9">
        <v>0</v>
      </c>
      <c r="J103" s="1948"/>
      <c r="K103" s="1949"/>
    </row>
    <row r="104" spans="1:11" s="2" customFormat="1">
      <c r="A104" s="1945"/>
      <c r="B104" s="1946"/>
      <c r="C104" s="1947"/>
      <c r="D104" s="55">
        <v>2018</v>
      </c>
      <c r="E104" s="8">
        <f t="shared" si="11"/>
        <v>13966.6</v>
      </c>
      <c r="F104" s="8">
        <v>13966.6</v>
      </c>
      <c r="G104" s="9">
        <v>0</v>
      </c>
      <c r="H104" s="9">
        <v>0</v>
      </c>
      <c r="I104" s="9">
        <v>0</v>
      </c>
      <c r="J104" s="1948"/>
      <c r="K104" s="1949"/>
    </row>
    <row r="105" spans="1:11" s="2" customFormat="1">
      <c r="A105" s="1945"/>
      <c r="B105" s="1946"/>
      <c r="C105" s="1947"/>
      <c r="D105" s="55">
        <v>2019</v>
      </c>
      <c r="E105" s="8">
        <f t="shared" si="11"/>
        <v>13966.6</v>
      </c>
      <c r="F105" s="8">
        <v>13966.6</v>
      </c>
      <c r="G105" s="9">
        <v>0</v>
      </c>
      <c r="H105" s="9">
        <v>0</v>
      </c>
      <c r="I105" s="9">
        <v>0</v>
      </c>
      <c r="J105" s="1948"/>
      <c r="K105" s="1949"/>
    </row>
    <row r="106" spans="1:11" s="2" customFormat="1">
      <c r="A106" s="1945"/>
      <c r="B106" s="1946"/>
      <c r="C106" s="1947"/>
      <c r="D106" s="55">
        <v>2020</v>
      </c>
      <c r="E106" s="8">
        <f t="shared" ref="E106:E112" si="12">SUM(F106:I106)</f>
        <v>13966.6</v>
      </c>
      <c r="F106" s="8">
        <v>13966.6</v>
      </c>
      <c r="G106" s="9">
        <v>0</v>
      </c>
      <c r="H106" s="9">
        <v>0</v>
      </c>
      <c r="I106" s="9">
        <v>0</v>
      </c>
      <c r="J106" s="1948"/>
      <c r="K106" s="1949"/>
    </row>
    <row r="107" spans="1:11" s="2" customFormat="1" ht="13.5" customHeight="1">
      <c r="A107" s="1945" t="s">
        <v>197</v>
      </c>
      <c r="B107" s="1952" t="s">
        <v>50</v>
      </c>
      <c r="C107" s="1947" t="s">
        <v>14</v>
      </c>
      <c r="D107" s="57" t="s">
        <v>8</v>
      </c>
      <c r="E107" s="8">
        <f t="shared" si="12"/>
        <v>2665.5</v>
      </c>
      <c r="F107" s="8">
        <f>SUM(F108:F112)</f>
        <v>2665.5</v>
      </c>
      <c r="G107" s="8">
        <f>SUM(G108:G112)</f>
        <v>0</v>
      </c>
      <c r="H107" s="8">
        <f>SUM(H108:H112)</f>
        <v>0</v>
      </c>
      <c r="I107" s="8">
        <f>SUM(I108:I112)</f>
        <v>0</v>
      </c>
      <c r="J107" s="1948" t="s">
        <v>51</v>
      </c>
      <c r="K107" s="1949" t="s">
        <v>26</v>
      </c>
    </row>
    <row r="108" spans="1:11" s="2" customFormat="1" ht="13.5" customHeight="1">
      <c r="A108" s="1945"/>
      <c r="B108" s="1952"/>
      <c r="C108" s="1947"/>
      <c r="D108" s="57">
        <v>2016</v>
      </c>
      <c r="E108" s="8">
        <f t="shared" si="12"/>
        <v>533.1</v>
      </c>
      <c r="F108" s="9">
        <v>533.1</v>
      </c>
      <c r="G108" s="9">
        <v>0</v>
      </c>
      <c r="H108" s="9">
        <v>0</v>
      </c>
      <c r="I108" s="9">
        <v>0</v>
      </c>
      <c r="J108" s="1948"/>
      <c r="K108" s="1949"/>
    </row>
    <row r="109" spans="1:11" s="2" customFormat="1" ht="13.5" customHeight="1">
      <c r="A109" s="1945"/>
      <c r="B109" s="1952"/>
      <c r="C109" s="1947"/>
      <c r="D109" s="57">
        <v>2017</v>
      </c>
      <c r="E109" s="8">
        <f t="shared" si="12"/>
        <v>533.1</v>
      </c>
      <c r="F109" s="9">
        <v>533.1</v>
      </c>
      <c r="G109" s="9">
        <v>0</v>
      </c>
      <c r="H109" s="9">
        <v>0</v>
      </c>
      <c r="I109" s="9">
        <v>0</v>
      </c>
      <c r="J109" s="1948"/>
      <c r="K109" s="1949"/>
    </row>
    <row r="110" spans="1:11" s="2" customFormat="1" ht="13.5" customHeight="1">
      <c r="A110" s="1945"/>
      <c r="B110" s="1952"/>
      <c r="C110" s="1947"/>
      <c r="D110" s="57">
        <v>2018</v>
      </c>
      <c r="E110" s="8">
        <f t="shared" si="12"/>
        <v>533.1</v>
      </c>
      <c r="F110" s="9">
        <v>533.1</v>
      </c>
      <c r="G110" s="9">
        <v>0</v>
      </c>
      <c r="H110" s="9">
        <v>0</v>
      </c>
      <c r="I110" s="9">
        <v>0</v>
      </c>
      <c r="J110" s="1948"/>
      <c r="K110" s="1949"/>
    </row>
    <row r="111" spans="1:11" s="2" customFormat="1" ht="13.5" customHeight="1">
      <c r="A111" s="1945"/>
      <c r="B111" s="1952"/>
      <c r="C111" s="1947"/>
      <c r="D111" s="57">
        <v>2019</v>
      </c>
      <c r="E111" s="8">
        <f t="shared" si="12"/>
        <v>533.1</v>
      </c>
      <c r="F111" s="9">
        <v>533.1</v>
      </c>
      <c r="G111" s="9">
        <v>0</v>
      </c>
      <c r="H111" s="9">
        <v>0</v>
      </c>
      <c r="I111" s="9">
        <v>0</v>
      </c>
      <c r="J111" s="1948"/>
      <c r="K111" s="1949"/>
    </row>
    <row r="112" spans="1:11" s="2" customFormat="1" ht="13.5" customHeight="1">
      <c r="A112" s="1945"/>
      <c r="B112" s="1952"/>
      <c r="C112" s="1947"/>
      <c r="D112" s="57">
        <v>2020</v>
      </c>
      <c r="E112" s="8">
        <f t="shared" si="12"/>
        <v>533.1</v>
      </c>
      <c r="F112" s="9">
        <v>533.1</v>
      </c>
      <c r="G112" s="9">
        <v>0</v>
      </c>
      <c r="H112" s="9">
        <v>0</v>
      </c>
      <c r="I112" s="9">
        <v>0</v>
      </c>
      <c r="J112" s="1948"/>
      <c r="K112" s="1949"/>
    </row>
    <row r="113" spans="1:11" s="2" customFormat="1" ht="15" customHeight="1">
      <c r="A113" s="1945" t="s">
        <v>198</v>
      </c>
      <c r="B113" s="1952" t="s">
        <v>52</v>
      </c>
      <c r="C113" s="1947" t="s">
        <v>14</v>
      </c>
      <c r="D113" s="55" t="s">
        <v>198</v>
      </c>
      <c r="E113" s="8">
        <f t="shared" ref="E113:E118" si="13">SUM(F113:I113)</f>
        <v>150</v>
      </c>
      <c r="F113" s="8">
        <f>SUM(F114:F118)</f>
        <v>150</v>
      </c>
      <c r="G113" s="8">
        <f>SUM(G114:G118)</f>
        <v>0</v>
      </c>
      <c r="H113" s="8">
        <f>SUM(H114:H118)</f>
        <v>0</v>
      </c>
      <c r="I113" s="8">
        <f>SUM(I114:I118)</f>
        <v>0</v>
      </c>
      <c r="J113" s="1948" t="s">
        <v>53</v>
      </c>
      <c r="K113" s="1949" t="s">
        <v>26</v>
      </c>
    </row>
    <row r="114" spans="1:11" s="2" customFormat="1">
      <c r="A114" s="1945"/>
      <c r="B114" s="1952"/>
      <c r="C114" s="1947"/>
      <c r="D114" s="55">
        <v>2016</v>
      </c>
      <c r="E114" s="8">
        <f t="shared" si="13"/>
        <v>30</v>
      </c>
      <c r="F114" s="8">
        <v>30</v>
      </c>
      <c r="G114" s="9">
        <v>0</v>
      </c>
      <c r="H114" s="9">
        <v>0</v>
      </c>
      <c r="I114" s="9">
        <v>0</v>
      </c>
      <c r="J114" s="1948"/>
      <c r="K114" s="1949"/>
    </row>
    <row r="115" spans="1:11" s="2" customFormat="1">
      <c r="A115" s="1945"/>
      <c r="B115" s="1952"/>
      <c r="C115" s="1947"/>
      <c r="D115" s="55">
        <v>2017</v>
      </c>
      <c r="E115" s="8">
        <f t="shared" si="13"/>
        <v>30</v>
      </c>
      <c r="F115" s="8">
        <v>30</v>
      </c>
      <c r="G115" s="9">
        <v>0</v>
      </c>
      <c r="H115" s="9">
        <v>0</v>
      </c>
      <c r="I115" s="9">
        <v>0</v>
      </c>
      <c r="J115" s="1948"/>
      <c r="K115" s="1949"/>
    </row>
    <row r="116" spans="1:11" s="2" customFormat="1">
      <c r="A116" s="1945"/>
      <c r="B116" s="1952"/>
      <c r="C116" s="1947"/>
      <c r="D116" s="55">
        <v>2018</v>
      </c>
      <c r="E116" s="8">
        <f t="shared" si="13"/>
        <v>30</v>
      </c>
      <c r="F116" s="8">
        <v>30</v>
      </c>
      <c r="G116" s="9">
        <v>0</v>
      </c>
      <c r="H116" s="9">
        <v>0</v>
      </c>
      <c r="I116" s="9">
        <v>0</v>
      </c>
      <c r="J116" s="1948"/>
      <c r="K116" s="1949"/>
    </row>
    <row r="117" spans="1:11" s="2" customFormat="1">
      <c r="A117" s="1945"/>
      <c r="B117" s="1952"/>
      <c r="C117" s="1947"/>
      <c r="D117" s="55">
        <v>2019</v>
      </c>
      <c r="E117" s="8">
        <f t="shared" si="13"/>
        <v>30</v>
      </c>
      <c r="F117" s="8">
        <v>30</v>
      </c>
      <c r="G117" s="9">
        <v>0</v>
      </c>
      <c r="H117" s="9">
        <v>0</v>
      </c>
      <c r="I117" s="9">
        <v>0</v>
      </c>
      <c r="J117" s="1948"/>
      <c r="K117" s="1949"/>
    </row>
    <row r="118" spans="1:11" s="2" customFormat="1">
      <c r="A118" s="1945"/>
      <c r="B118" s="1952"/>
      <c r="C118" s="1947"/>
      <c r="D118" s="55">
        <v>2020</v>
      </c>
      <c r="E118" s="8">
        <f t="shared" si="13"/>
        <v>30</v>
      </c>
      <c r="F118" s="8">
        <v>30</v>
      </c>
      <c r="G118" s="9">
        <v>0</v>
      </c>
      <c r="H118" s="9">
        <v>0</v>
      </c>
      <c r="I118" s="9">
        <v>0</v>
      </c>
      <c r="J118" s="1948"/>
      <c r="K118" s="1949"/>
    </row>
    <row r="119" spans="1:11" s="2" customFormat="1" ht="15" customHeight="1">
      <c r="A119" s="1945" t="s">
        <v>199</v>
      </c>
      <c r="B119" s="1946" t="s">
        <v>54</v>
      </c>
      <c r="C119" s="1947">
        <v>2016</v>
      </c>
      <c r="D119" s="57" t="s">
        <v>8</v>
      </c>
      <c r="E119" s="8">
        <f t="shared" ref="E119:E141" si="14">SUM(F119:I119)</f>
        <v>200</v>
      </c>
      <c r="F119" s="8">
        <f>SUM(F120:F124)</f>
        <v>200</v>
      </c>
      <c r="G119" s="8">
        <f>SUM(G120:G124)</f>
        <v>0</v>
      </c>
      <c r="H119" s="8">
        <f>SUM(H120:H124)</f>
        <v>0</v>
      </c>
      <c r="I119" s="8">
        <f>SUM(I120:I124)</f>
        <v>0</v>
      </c>
      <c r="J119" s="1948" t="s">
        <v>200</v>
      </c>
      <c r="K119" s="1949" t="s">
        <v>26</v>
      </c>
    </row>
    <row r="120" spans="1:11" s="2" customFormat="1">
      <c r="A120" s="1945"/>
      <c r="B120" s="1946"/>
      <c r="C120" s="1947"/>
      <c r="D120" s="57">
        <v>2016</v>
      </c>
      <c r="E120" s="8">
        <f t="shared" si="14"/>
        <v>200</v>
      </c>
      <c r="F120" s="8">
        <v>200</v>
      </c>
      <c r="G120" s="9">
        <v>0</v>
      </c>
      <c r="H120" s="9">
        <v>0</v>
      </c>
      <c r="I120" s="9">
        <v>0</v>
      </c>
      <c r="J120" s="1948"/>
      <c r="K120" s="1949"/>
    </row>
    <row r="121" spans="1:11" s="2" customFormat="1">
      <c r="A121" s="1945"/>
      <c r="B121" s="1946"/>
      <c r="C121" s="1947"/>
      <c r="D121" s="57">
        <v>2017</v>
      </c>
      <c r="E121" s="8">
        <f t="shared" si="14"/>
        <v>0</v>
      </c>
      <c r="F121" s="8">
        <v>0</v>
      </c>
      <c r="G121" s="9">
        <v>0</v>
      </c>
      <c r="H121" s="9">
        <v>0</v>
      </c>
      <c r="I121" s="9">
        <v>0</v>
      </c>
      <c r="J121" s="1948"/>
      <c r="K121" s="1949"/>
    </row>
    <row r="122" spans="1:11" s="2" customFormat="1">
      <c r="A122" s="1945"/>
      <c r="B122" s="1946"/>
      <c r="C122" s="1947"/>
      <c r="D122" s="57">
        <v>2018</v>
      </c>
      <c r="E122" s="8">
        <f t="shared" si="14"/>
        <v>0</v>
      </c>
      <c r="F122" s="8">
        <v>0</v>
      </c>
      <c r="G122" s="9">
        <v>0</v>
      </c>
      <c r="H122" s="9">
        <v>0</v>
      </c>
      <c r="I122" s="9">
        <v>0</v>
      </c>
      <c r="J122" s="1948"/>
      <c r="K122" s="1949"/>
    </row>
    <row r="123" spans="1:11" s="2" customFormat="1">
      <c r="A123" s="1945"/>
      <c r="B123" s="1946"/>
      <c r="C123" s="1947"/>
      <c r="D123" s="57">
        <v>2019</v>
      </c>
      <c r="E123" s="8">
        <f t="shared" si="14"/>
        <v>0</v>
      </c>
      <c r="F123" s="8">
        <v>0</v>
      </c>
      <c r="G123" s="9">
        <v>0</v>
      </c>
      <c r="H123" s="9">
        <v>0</v>
      </c>
      <c r="I123" s="9">
        <v>0</v>
      </c>
      <c r="J123" s="1948"/>
      <c r="K123" s="1949"/>
    </row>
    <row r="124" spans="1:11" s="2" customFormat="1">
      <c r="A124" s="1945"/>
      <c r="B124" s="1946"/>
      <c r="C124" s="1947"/>
      <c r="D124" s="57">
        <v>2020</v>
      </c>
      <c r="E124" s="8">
        <f t="shared" si="14"/>
        <v>0</v>
      </c>
      <c r="F124" s="8">
        <v>0</v>
      </c>
      <c r="G124" s="9">
        <v>0</v>
      </c>
      <c r="H124" s="9">
        <v>0</v>
      </c>
      <c r="I124" s="9">
        <v>0</v>
      </c>
      <c r="J124" s="1948"/>
      <c r="K124" s="1949"/>
    </row>
    <row r="125" spans="1:11" s="2" customFormat="1" ht="13.5" customHeight="1">
      <c r="A125" s="1954" t="s">
        <v>201</v>
      </c>
      <c r="B125" s="1946" t="s">
        <v>55</v>
      </c>
      <c r="C125" s="1947" t="s">
        <v>14</v>
      </c>
      <c r="D125" s="55" t="s">
        <v>8</v>
      </c>
      <c r="E125" s="8">
        <f t="shared" si="14"/>
        <v>108562.5</v>
      </c>
      <c r="F125" s="8">
        <f>SUM(F126:F130)</f>
        <v>108562.5</v>
      </c>
      <c r="G125" s="8">
        <f>SUM(G126:G130)</f>
        <v>0</v>
      </c>
      <c r="H125" s="8">
        <f>SUM(H126:H130)</f>
        <v>0</v>
      </c>
      <c r="I125" s="8">
        <f>SUM(I126:I130)</f>
        <v>0</v>
      </c>
      <c r="J125" s="1948" t="s">
        <v>280</v>
      </c>
      <c r="K125" s="1949" t="s">
        <v>26</v>
      </c>
    </row>
    <row r="126" spans="1:11" s="2" customFormat="1" ht="13.5" customHeight="1">
      <c r="A126" s="1954"/>
      <c r="B126" s="1946"/>
      <c r="C126" s="1947"/>
      <c r="D126" s="55">
        <v>2016</v>
      </c>
      <c r="E126" s="8">
        <f t="shared" si="14"/>
        <v>20912.5</v>
      </c>
      <c r="F126" s="8">
        <v>20912.5</v>
      </c>
      <c r="G126" s="9">
        <v>0</v>
      </c>
      <c r="H126" s="9">
        <v>0</v>
      </c>
      <c r="I126" s="9">
        <v>0</v>
      </c>
      <c r="J126" s="1948"/>
      <c r="K126" s="1949"/>
    </row>
    <row r="127" spans="1:11" s="2" customFormat="1" ht="13.5" customHeight="1">
      <c r="A127" s="1954"/>
      <c r="B127" s="1946"/>
      <c r="C127" s="1947"/>
      <c r="D127" s="55">
        <v>2017</v>
      </c>
      <c r="E127" s="8">
        <f>SUM(F127:I127)</f>
        <v>21912.5</v>
      </c>
      <c r="F127" s="8">
        <v>21912.5</v>
      </c>
      <c r="G127" s="9">
        <v>0</v>
      </c>
      <c r="H127" s="9">
        <v>0</v>
      </c>
      <c r="I127" s="9">
        <v>0</v>
      </c>
      <c r="J127" s="1948"/>
      <c r="K127" s="1949"/>
    </row>
    <row r="128" spans="1:11" s="2" customFormat="1" ht="13.5" customHeight="1">
      <c r="A128" s="1954"/>
      <c r="B128" s="1946"/>
      <c r="C128" s="1947"/>
      <c r="D128" s="55">
        <v>2018</v>
      </c>
      <c r="E128" s="8">
        <f t="shared" si="14"/>
        <v>21912.5</v>
      </c>
      <c r="F128" s="8">
        <v>21912.5</v>
      </c>
      <c r="G128" s="9">
        <v>0</v>
      </c>
      <c r="H128" s="9">
        <v>0</v>
      </c>
      <c r="I128" s="9">
        <v>0</v>
      </c>
      <c r="J128" s="1948"/>
      <c r="K128" s="1949"/>
    </row>
    <row r="129" spans="1:11" s="2" customFormat="1" ht="13.5" customHeight="1">
      <c r="A129" s="1954"/>
      <c r="B129" s="1946"/>
      <c r="C129" s="1947"/>
      <c r="D129" s="55">
        <v>2019</v>
      </c>
      <c r="E129" s="8">
        <f>SUM(F129:I129)</f>
        <v>21912.5</v>
      </c>
      <c r="F129" s="8">
        <v>21912.5</v>
      </c>
      <c r="G129" s="9">
        <v>0</v>
      </c>
      <c r="H129" s="9">
        <v>0</v>
      </c>
      <c r="I129" s="9">
        <v>0</v>
      </c>
      <c r="J129" s="1948"/>
      <c r="K129" s="1949"/>
    </row>
    <row r="130" spans="1:11" s="2" customFormat="1" ht="13.5" customHeight="1">
      <c r="A130" s="1954"/>
      <c r="B130" s="1946"/>
      <c r="C130" s="1947"/>
      <c r="D130" s="55">
        <v>2020</v>
      </c>
      <c r="E130" s="8">
        <f>SUM(F130:I130)</f>
        <v>21912.5</v>
      </c>
      <c r="F130" s="8">
        <v>21912.5</v>
      </c>
      <c r="G130" s="9">
        <v>0</v>
      </c>
      <c r="H130" s="9">
        <v>0</v>
      </c>
      <c r="I130" s="9">
        <v>0</v>
      </c>
      <c r="J130" s="1948"/>
      <c r="K130" s="1949"/>
    </row>
    <row r="131" spans="1:11" s="2" customFormat="1" ht="15" customHeight="1">
      <c r="A131" s="1945" t="s">
        <v>203</v>
      </c>
      <c r="B131" s="1946" t="s">
        <v>56</v>
      </c>
      <c r="C131" s="1947" t="s">
        <v>14</v>
      </c>
      <c r="D131" s="57" t="s">
        <v>8</v>
      </c>
      <c r="E131" s="8">
        <f t="shared" si="14"/>
        <v>5391</v>
      </c>
      <c r="F131" s="8">
        <f>SUM(F132:F136)</f>
        <v>5391</v>
      </c>
      <c r="G131" s="8">
        <f>SUM(G132:G136)</f>
        <v>0</v>
      </c>
      <c r="H131" s="8">
        <f>SUM(H132:H136)</f>
        <v>0</v>
      </c>
      <c r="I131" s="8">
        <f>SUM(I132:I136)</f>
        <v>0</v>
      </c>
      <c r="J131" s="1948" t="s">
        <v>57</v>
      </c>
      <c r="K131" s="1949" t="s">
        <v>26</v>
      </c>
    </row>
    <row r="132" spans="1:11" s="2" customFormat="1">
      <c r="A132" s="1945"/>
      <c r="B132" s="1946"/>
      <c r="C132" s="1947"/>
      <c r="D132" s="57">
        <v>2016</v>
      </c>
      <c r="E132" s="8">
        <f t="shared" si="14"/>
        <v>1084</v>
      </c>
      <c r="F132" s="8">
        <v>1084</v>
      </c>
      <c r="G132" s="9">
        <v>0</v>
      </c>
      <c r="H132" s="9">
        <v>0</v>
      </c>
      <c r="I132" s="9">
        <v>0</v>
      </c>
      <c r="J132" s="1948"/>
      <c r="K132" s="1949"/>
    </row>
    <row r="133" spans="1:11" s="2" customFormat="1">
      <c r="A133" s="1945"/>
      <c r="B133" s="1946"/>
      <c r="C133" s="1947"/>
      <c r="D133" s="57">
        <v>2017</v>
      </c>
      <c r="E133" s="8">
        <f>SUM(F133:I133)</f>
        <v>1055</v>
      </c>
      <c r="F133" s="8">
        <v>1055</v>
      </c>
      <c r="G133" s="9">
        <v>0</v>
      </c>
      <c r="H133" s="9">
        <v>0</v>
      </c>
      <c r="I133" s="9">
        <v>0</v>
      </c>
      <c r="J133" s="1948"/>
      <c r="K133" s="1949"/>
    </row>
    <row r="134" spans="1:11" s="2" customFormat="1">
      <c r="A134" s="1945"/>
      <c r="B134" s="1946"/>
      <c r="C134" s="1947"/>
      <c r="D134" s="57">
        <v>2018</v>
      </c>
      <c r="E134" s="8">
        <f t="shared" si="14"/>
        <v>1084</v>
      </c>
      <c r="F134" s="8">
        <v>1084</v>
      </c>
      <c r="G134" s="9">
        <v>0</v>
      </c>
      <c r="H134" s="9">
        <v>0</v>
      </c>
      <c r="I134" s="9">
        <v>0</v>
      </c>
      <c r="J134" s="1948"/>
      <c r="K134" s="1949"/>
    </row>
    <row r="135" spans="1:11" s="2" customFormat="1">
      <c r="A135" s="1945"/>
      <c r="B135" s="1946"/>
      <c r="C135" s="1947"/>
      <c r="D135" s="57">
        <v>2019</v>
      </c>
      <c r="E135" s="8">
        <f t="shared" si="14"/>
        <v>1084</v>
      </c>
      <c r="F135" s="8">
        <v>1084</v>
      </c>
      <c r="G135" s="9">
        <v>0</v>
      </c>
      <c r="H135" s="9">
        <v>0</v>
      </c>
      <c r="I135" s="9">
        <v>0</v>
      </c>
      <c r="J135" s="1948"/>
      <c r="K135" s="1949"/>
    </row>
    <row r="136" spans="1:11" s="2" customFormat="1">
      <c r="A136" s="1945"/>
      <c r="B136" s="1946"/>
      <c r="C136" s="1947"/>
      <c r="D136" s="57">
        <v>2020</v>
      </c>
      <c r="E136" s="8">
        <f>SUM(F136:I136)</f>
        <v>1084</v>
      </c>
      <c r="F136" s="8">
        <v>1084</v>
      </c>
      <c r="G136" s="9">
        <v>0</v>
      </c>
      <c r="H136" s="9">
        <v>0</v>
      </c>
      <c r="I136" s="9">
        <v>0</v>
      </c>
      <c r="J136" s="1948"/>
      <c r="K136" s="1949"/>
    </row>
    <row r="137" spans="1:11" s="2" customFormat="1" ht="15" customHeight="1">
      <c r="A137" s="1945" t="s">
        <v>204</v>
      </c>
      <c r="B137" s="1946" t="s">
        <v>152</v>
      </c>
      <c r="C137" s="1947" t="s">
        <v>194</v>
      </c>
      <c r="D137" s="55" t="s">
        <v>8</v>
      </c>
      <c r="E137" s="8">
        <f t="shared" si="14"/>
        <v>128.4</v>
      </c>
      <c r="F137" s="8">
        <f>SUM(F138:F142)</f>
        <v>128.4</v>
      </c>
      <c r="G137" s="8">
        <f>SUM(G138:G142)</f>
        <v>0</v>
      </c>
      <c r="H137" s="8">
        <f>SUM(H138:H142)</f>
        <v>0</v>
      </c>
      <c r="I137" s="8">
        <f>SUM(I138:I142)</f>
        <v>0</v>
      </c>
      <c r="J137" s="1948" t="s">
        <v>281</v>
      </c>
      <c r="K137" s="1949" t="s">
        <v>282</v>
      </c>
    </row>
    <row r="138" spans="1:11" s="2" customFormat="1">
      <c r="A138" s="1945"/>
      <c r="B138" s="1946"/>
      <c r="C138" s="1947"/>
      <c r="D138" s="55">
        <v>2016</v>
      </c>
      <c r="E138" s="8">
        <f t="shared" si="14"/>
        <v>0</v>
      </c>
      <c r="F138" s="8">
        <v>0</v>
      </c>
      <c r="G138" s="9">
        <v>0</v>
      </c>
      <c r="H138" s="9">
        <v>0</v>
      </c>
      <c r="I138" s="9">
        <v>0</v>
      </c>
      <c r="J138" s="1948"/>
      <c r="K138" s="1949"/>
    </row>
    <row r="139" spans="1:11" s="2" customFormat="1">
      <c r="A139" s="1945"/>
      <c r="B139" s="1946"/>
      <c r="C139" s="1947"/>
      <c r="D139" s="55">
        <v>2017</v>
      </c>
      <c r="E139" s="8">
        <f t="shared" si="14"/>
        <v>32.1</v>
      </c>
      <c r="F139" s="8">
        <v>32.1</v>
      </c>
      <c r="G139" s="9">
        <v>0</v>
      </c>
      <c r="H139" s="9">
        <v>0</v>
      </c>
      <c r="I139" s="9">
        <v>0</v>
      </c>
      <c r="J139" s="1948"/>
      <c r="K139" s="1949"/>
    </row>
    <row r="140" spans="1:11" s="2" customFormat="1">
      <c r="A140" s="1945"/>
      <c r="B140" s="1946"/>
      <c r="C140" s="1947"/>
      <c r="D140" s="55">
        <v>2018</v>
      </c>
      <c r="E140" s="8">
        <f t="shared" si="14"/>
        <v>32.1</v>
      </c>
      <c r="F140" s="8">
        <v>32.1</v>
      </c>
      <c r="G140" s="9">
        <v>0</v>
      </c>
      <c r="H140" s="9">
        <v>0</v>
      </c>
      <c r="I140" s="9">
        <v>0</v>
      </c>
      <c r="J140" s="1948"/>
      <c r="K140" s="1949"/>
    </row>
    <row r="141" spans="1:11" s="2" customFormat="1">
      <c r="A141" s="1945"/>
      <c r="B141" s="1946"/>
      <c r="C141" s="1947"/>
      <c r="D141" s="55">
        <v>2019</v>
      </c>
      <c r="E141" s="8">
        <f t="shared" si="14"/>
        <v>32.1</v>
      </c>
      <c r="F141" s="8">
        <v>32.1</v>
      </c>
      <c r="G141" s="9">
        <v>0</v>
      </c>
      <c r="H141" s="9">
        <v>0</v>
      </c>
      <c r="I141" s="9">
        <v>0</v>
      </c>
      <c r="J141" s="1948"/>
      <c r="K141" s="1949"/>
    </row>
    <row r="142" spans="1:11" s="2" customFormat="1">
      <c r="A142" s="1945"/>
      <c r="B142" s="1946"/>
      <c r="C142" s="1947"/>
      <c r="D142" s="55">
        <v>2019</v>
      </c>
      <c r="E142" s="8">
        <f>SUM(F142:I142)</f>
        <v>32.1</v>
      </c>
      <c r="F142" s="8">
        <v>32.1</v>
      </c>
      <c r="G142" s="9">
        <v>0</v>
      </c>
      <c r="H142" s="9">
        <v>0</v>
      </c>
      <c r="I142" s="9">
        <v>0</v>
      </c>
      <c r="J142" s="1948"/>
      <c r="K142" s="1949"/>
    </row>
    <row r="143" spans="1:11" s="2" customFormat="1" ht="15" hidden="1" customHeight="1">
      <c r="A143" s="1945" t="s">
        <v>205</v>
      </c>
      <c r="B143" s="1946" t="s">
        <v>206</v>
      </c>
      <c r="C143" s="1947">
        <v>2018</v>
      </c>
      <c r="D143" s="55" t="s">
        <v>8</v>
      </c>
      <c r="E143" s="8">
        <f>SUM(F143:I143)</f>
        <v>0</v>
      </c>
      <c r="F143" s="8">
        <f>SUM(F144:F148)</f>
        <v>0</v>
      </c>
      <c r="G143" s="8">
        <f>SUM(G144:G148)</f>
        <v>0</v>
      </c>
      <c r="H143" s="8">
        <f>SUM(H144:H148)</f>
        <v>0</v>
      </c>
      <c r="I143" s="8">
        <f>SUM(I144:I148)</f>
        <v>0</v>
      </c>
      <c r="J143" s="1948"/>
      <c r="K143" s="1949"/>
    </row>
    <row r="144" spans="1:11" s="2" customFormat="1" hidden="1">
      <c r="A144" s="1945"/>
      <c r="B144" s="1946"/>
      <c r="C144" s="1947"/>
      <c r="D144" s="55">
        <v>2016</v>
      </c>
      <c r="E144" s="8">
        <f>SUM(F144:I144)</f>
        <v>0</v>
      </c>
      <c r="F144" s="8">
        <v>0</v>
      </c>
      <c r="G144" s="9">
        <v>0</v>
      </c>
      <c r="H144" s="9">
        <v>0</v>
      </c>
      <c r="I144" s="9">
        <v>0</v>
      </c>
      <c r="J144" s="1948"/>
      <c r="K144" s="1949"/>
    </row>
    <row r="145" spans="1:11" s="2" customFormat="1" hidden="1">
      <c r="A145" s="1945"/>
      <c r="B145" s="1946"/>
      <c r="C145" s="1947"/>
      <c r="D145" s="55">
        <v>2017</v>
      </c>
      <c r="E145" s="8">
        <v>0</v>
      </c>
      <c r="F145" s="8">
        <v>0</v>
      </c>
      <c r="G145" s="9">
        <v>0</v>
      </c>
      <c r="H145" s="9">
        <v>0</v>
      </c>
      <c r="I145" s="9">
        <v>0</v>
      </c>
      <c r="J145" s="1948"/>
      <c r="K145" s="1949"/>
    </row>
    <row r="146" spans="1:11" s="2" customFormat="1" hidden="1">
      <c r="A146" s="1945"/>
      <c r="B146" s="1946"/>
      <c r="C146" s="1947"/>
      <c r="D146" s="58">
        <v>2018</v>
      </c>
      <c r="E146" s="59">
        <f>SUM(F146:I146)</f>
        <v>0</v>
      </c>
      <c r="F146" s="59">
        <v>0</v>
      </c>
      <c r="G146" s="9">
        <v>0</v>
      </c>
      <c r="H146" s="9">
        <v>0</v>
      </c>
      <c r="I146" s="9">
        <v>0</v>
      </c>
      <c r="J146" s="1948"/>
      <c r="K146" s="1949"/>
    </row>
    <row r="147" spans="1:11" s="2" customFormat="1" hidden="1">
      <c r="A147" s="1945"/>
      <c r="B147" s="1946"/>
      <c r="C147" s="1947"/>
      <c r="D147" s="55">
        <v>2019</v>
      </c>
      <c r="E147" s="8">
        <f>SUM(F147:I147)</f>
        <v>0</v>
      </c>
      <c r="F147" s="8">
        <v>0</v>
      </c>
      <c r="G147" s="9">
        <v>0</v>
      </c>
      <c r="H147" s="9">
        <v>0</v>
      </c>
      <c r="I147" s="9">
        <v>0</v>
      </c>
      <c r="J147" s="1948"/>
      <c r="K147" s="1949"/>
    </row>
    <row r="148" spans="1:11" s="2" customFormat="1" hidden="1">
      <c r="A148" s="1945"/>
      <c r="B148" s="1946"/>
      <c r="C148" s="1947"/>
      <c r="D148" s="55">
        <v>2020</v>
      </c>
      <c r="E148" s="8">
        <f>SUM(F148:I148)</f>
        <v>0</v>
      </c>
      <c r="F148" s="8">
        <v>0</v>
      </c>
      <c r="G148" s="9">
        <v>0</v>
      </c>
      <c r="H148" s="9">
        <v>0</v>
      </c>
      <c r="I148" s="9">
        <v>0</v>
      </c>
      <c r="J148" s="1948"/>
      <c r="K148" s="1949"/>
    </row>
    <row r="149" spans="1:11" s="2" customFormat="1" ht="15" customHeight="1">
      <c r="A149" s="1945" t="s">
        <v>273</v>
      </c>
      <c r="B149" s="1946" t="s">
        <v>283</v>
      </c>
      <c r="C149" s="1947" t="s">
        <v>186</v>
      </c>
      <c r="D149" s="55" t="s">
        <v>8</v>
      </c>
      <c r="E149" s="8">
        <f>SUM(F149:I149)</f>
        <v>15000</v>
      </c>
      <c r="F149" s="8">
        <f>SUM(F150:F154)</f>
        <v>15000</v>
      </c>
      <c r="G149" s="8">
        <f>SUM(G150:G154)</f>
        <v>0</v>
      </c>
      <c r="H149" s="8">
        <f>SUM(H150:H154)</f>
        <v>0</v>
      </c>
      <c r="I149" s="8">
        <f>SUM(I150:I154)</f>
        <v>0</v>
      </c>
      <c r="J149" s="1946" t="s">
        <v>284</v>
      </c>
      <c r="K149" s="1949" t="s">
        <v>66</v>
      </c>
    </row>
    <row r="150" spans="1:11" s="2" customFormat="1">
      <c r="A150" s="1945"/>
      <c r="B150" s="1946"/>
      <c r="C150" s="1947"/>
      <c r="D150" s="55">
        <v>2016</v>
      </c>
      <c r="E150" s="8">
        <f>SUM(F150:I150)</f>
        <v>0</v>
      </c>
      <c r="F150" s="8">
        <v>0</v>
      </c>
      <c r="G150" s="9">
        <v>0</v>
      </c>
      <c r="H150" s="9">
        <v>0</v>
      </c>
      <c r="I150" s="9">
        <v>0</v>
      </c>
      <c r="J150" s="1946"/>
      <c r="K150" s="1949"/>
    </row>
    <row r="151" spans="1:11" s="2" customFormat="1">
      <c r="A151" s="1945"/>
      <c r="B151" s="1946"/>
      <c r="C151" s="1947"/>
      <c r="D151" s="55">
        <v>2017</v>
      </c>
      <c r="E151" s="8">
        <v>0</v>
      </c>
      <c r="F151" s="8">
        <v>0</v>
      </c>
      <c r="G151" s="9">
        <v>0</v>
      </c>
      <c r="H151" s="9">
        <v>0</v>
      </c>
      <c r="I151" s="9">
        <v>0</v>
      </c>
      <c r="J151" s="1946"/>
      <c r="K151" s="1949"/>
    </row>
    <row r="152" spans="1:11" s="2" customFormat="1">
      <c r="A152" s="1945"/>
      <c r="B152" s="1946"/>
      <c r="C152" s="1947"/>
      <c r="D152" s="58">
        <v>2018</v>
      </c>
      <c r="E152" s="59">
        <f>SUM(F152:I152)</f>
        <v>5000</v>
      </c>
      <c r="F152" s="59">
        <v>5000</v>
      </c>
      <c r="G152" s="9">
        <v>0</v>
      </c>
      <c r="H152" s="9">
        <v>0</v>
      </c>
      <c r="I152" s="9">
        <v>0</v>
      </c>
      <c r="J152" s="1946"/>
      <c r="K152" s="1949"/>
    </row>
    <row r="153" spans="1:11" s="2" customFormat="1">
      <c r="A153" s="1945"/>
      <c r="B153" s="1946"/>
      <c r="C153" s="1947"/>
      <c r="D153" s="58">
        <v>2019</v>
      </c>
      <c r="E153" s="59">
        <f>SUM(F153:I153)</f>
        <v>5000</v>
      </c>
      <c r="F153" s="59">
        <v>5000</v>
      </c>
      <c r="G153" s="9">
        <v>0</v>
      </c>
      <c r="H153" s="9">
        <v>0</v>
      </c>
      <c r="I153" s="9">
        <v>0</v>
      </c>
      <c r="J153" s="1946"/>
      <c r="K153" s="1949"/>
    </row>
    <row r="154" spans="1:11" s="2" customFormat="1">
      <c r="A154" s="1945"/>
      <c r="B154" s="1946"/>
      <c r="C154" s="1947"/>
      <c r="D154" s="58">
        <v>2020</v>
      </c>
      <c r="E154" s="59">
        <f>SUM(F154:I154)</f>
        <v>5000</v>
      </c>
      <c r="F154" s="59">
        <v>5000</v>
      </c>
      <c r="G154" s="9">
        <v>0</v>
      </c>
      <c r="H154" s="9">
        <v>0</v>
      </c>
      <c r="I154" s="9">
        <v>0</v>
      </c>
      <c r="J154" s="1946"/>
      <c r="K154" s="1949"/>
    </row>
    <row r="155" spans="1:11" s="2" customFormat="1" ht="30" customHeight="1">
      <c r="A155" s="1945" t="s">
        <v>175</v>
      </c>
      <c r="B155" s="1946" t="s">
        <v>59</v>
      </c>
      <c r="C155" s="1947" t="s">
        <v>14</v>
      </c>
      <c r="D155" s="57" t="s">
        <v>8</v>
      </c>
      <c r="E155" s="8">
        <f>SUM(E156:E160)</f>
        <v>1919399</v>
      </c>
      <c r="F155" s="8">
        <f>F156+F157+F158+F159+F160</f>
        <v>1889822.7000000002</v>
      </c>
      <c r="G155" s="8">
        <f>G156+G157+G158+G159+G160</f>
        <v>29576.3</v>
      </c>
      <c r="H155" s="8">
        <f>H156+H157+H158+H159+H160</f>
        <v>0</v>
      </c>
      <c r="I155" s="8">
        <f>I156+I157+I158+I159+I160</f>
        <v>0</v>
      </c>
      <c r="J155" s="1948" t="s">
        <v>60</v>
      </c>
      <c r="K155" s="1949" t="s">
        <v>18</v>
      </c>
    </row>
    <row r="156" spans="1:11" s="2" customFormat="1" ht="30" customHeight="1">
      <c r="A156" s="1945"/>
      <c r="B156" s="1946"/>
      <c r="C156" s="1947"/>
      <c r="D156" s="57">
        <v>2016</v>
      </c>
      <c r="E156" s="8">
        <f t="shared" ref="E156:E165" si="15">SUM(F156:I156)</f>
        <v>297039.60000000003</v>
      </c>
      <c r="F156" s="8">
        <f t="shared" ref="F156:I160" si="16">F162+F168+F174+F180</f>
        <v>290831.7</v>
      </c>
      <c r="G156" s="8">
        <f t="shared" si="16"/>
        <v>6207.9</v>
      </c>
      <c r="H156" s="8">
        <f t="shared" si="16"/>
        <v>0</v>
      </c>
      <c r="I156" s="8">
        <f t="shared" si="16"/>
        <v>0</v>
      </c>
      <c r="J156" s="1948"/>
      <c r="K156" s="1949"/>
    </row>
    <row r="157" spans="1:11" s="2" customFormat="1" ht="30" customHeight="1">
      <c r="A157" s="1945"/>
      <c r="B157" s="1946"/>
      <c r="C157" s="1947"/>
      <c r="D157" s="57">
        <v>2017</v>
      </c>
      <c r="E157" s="8">
        <f>SUM(F157:I157)</f>
        <v>344371.4</v>
      </c>
      <c r="F157" s="8">
        <f t="shared" si="16"/>
        <v>336315.9</v>
      </c>
      <c r="G157" s="8">
        <f t="shared" si="16"/>
        <v>8055.5</v>
      </c>
      <c r="H157" s="8">
        <f t="shared" si="16"/>
        <v>0</v>
      </c>
      <c r="I157" s="8">
        <f t="shared" si="16"/>
        <v>0</v>
      </c>
      <c r="J157" s="1948"/>
      <c r="K157" s="1949"/>
    </row>
    <row r="158" spans="1:11" s="2" customFormat="1" ht="30" customHeight="1">
      <c r="A158" s="1945"/>
      <c r="B158" s="1946"/>
      <c r="C158" s="1947"/>
      <c r="D158" s="57">
        <v>2018</v>
      </c>
      <c r="E158" s="8">
        <f t="shared" si="15"/>
        <v>447476.60000000003</v>
      </c>
      <c r="F158" s="8">
        <f t="shared" si="16"/>
        <v>432163.7</v>
      </c>
      <c r="G158" s="8">
        <f t="shared" si="16"/>
        <v>15312.9</v>
      </c>
      <c r="H158" s="8">
        <f t="shared" si="16"/>
        <v>0</v>
      </c>
      <c r="I158" s="8">
        <f t="shared" si="16"/>
        <v>0</v>
      </c>
      <c r="J158" s="1948"/>
      <c r="K158" s="1949"/>
    </row>
    <row r="159" spans="1:11" s="2" customFormat="1" ht="30" customHeight="1">
      <c r="A159" s="1945"/>
      <c r="B159" s="1946"/>
      <c r="C159" s="1947"/>
      <c r="D159" s="57">
        <v>2019</v>
      </c>
      <c r="E159" s="8">
        <f>SUM(F159:I159)</f>
        <v>410110.4</v>
      </c>
      <c r="F159" s="8">
        <f t="shared" si="16"/>
        <v>410110.4</v>
      </c>
      <c r="G159" s="8">
        <f t="shared" si="16"/>
        <v>0</v>
      </c>
      <c r="H159" s="8">
        <f t="shared" si="16"/>
        <v>0</v>
      </c>
      <c r="I159" s="8">
        <f t="shared" si="16"/>
        <v>0</v>
      </c>
      <c r="J159" s="1948"/>
      <c r="K159" s="1949"/>
    </row>
    <row r="160" spans="1:11" s="2" customFormat="1" ht="30" customHeight="1">
      <c r="A160" s="1945"/>
      <c r="B160" s="1946"/>
      <c r="C160" s="1947"/>
      <c r="D160" s="57">
        <v>2020</v>
      </c>
      <c r="E160" s="8">
        <f>SUM(F160:I160)</f>
        <v>420401</v>
      </c>
      <c r="F160" s="8">
        <f t="shared" si="16"/>
        <v>420401</v>
      </c>
      <c r="G160" s="8">
        <f t="shared" si="16"/>
        <v>0</v>
      </c>
      <c r="H160" s="8">
        <f t="shared" si="16"/>
        <v>0</v>
      </c>
      <c r="I160" s="8">
        <f t="shared" si="16"/>
        <v>0</v>
      </c>
      <c r="J160" s="1948"/>
      <c r="K160" s="1949"/>
    </row>
    <row r="161" spans="1:11" s="2" customFormat="1" ht="17.100000000000001" customHeight="1">
      <c r="A161" s="1945" t="s">
        <v>58</v>
      </c>
      <c r="B161" s="1946" t="s">
        <v>22</v>
      </c>
      <c r="C161" s="1947" t="s">
        <v>14</v>
      </c>
      <c r="D161" s="58" t="s">
        <v>8</v>
      </c>
      <c r="E161" s="59">
        <f>SUM(E162:E166)</f>
        <v>1844170.7000000002</v>
      </c>
      <c r="F161" s="59">
        <f>SUM(F162:F166)</f>
        <v>1844170.7000000002</v>
      </c>
      <c r="G161" s="8">
        <f>SUM(G162:G165)</f>
        <v>0</v>
      </c>
      <c r="H161" s="8">
        <f>SUM(H162:H165)</f>
        <v>0</v>
      </c>
      <c r="I161" s="8">
        <f>SUM(I162:I165)</f>
        <v>0</v>
      </c>
      <c r="J161" s="1948" t="s">
        <v>155</v>
      </c>
      <c r="K161" s="1949" t="s">
        <v>61</v>
      </c>
    </row>
    <row r="162" spans="1:11" s="2" customFormat="1" ht="17.100000000000001" customHeight="1">
      <c r="A162" s="1945"/>
      <c r="B162" s="1946"/>
      <c r="C162" s="1947"/>
      <c r="D162" s="55">
        <v>2016</v>
      </c>
      <c r="E162" s="8">
        <f t="shared" si="15"/>
        <v>288974</v>
      </c>
      <c r="F162" s="9">
        <v>288974</v>
      </c>
      <c r="G162" s="9">
        <f>[1]План!G232+[1]План!G240+[1]План!G248+[1]План!G256+[1]План!G264+[1]План!G272+[1]План!G280+[1]План!G288+[1]План!G296+[1]План!G304+[1]План!G312+[1]План!G320+[1]План!G328+[1]План!G336+[1]План!G344+[1]План!G352+[1]План!G360+[1]План!G368+[1]План!G376+[1]План!G384+[1]План!G392+[1]План!G400+[1]План!G408+[1]План!G416+[1]План!G424+[1]План!G432+[1]План!G440+[1]План!G448+[1]План!G456+[1]План!G464+[1]План!G472+[1]План!G480+[1]План!G488+[1]План!G496+[1]План!G504+[1]План!G512+[1]План!G520+[1]План!G528+[1]План!G536+[1]План!G544+[1]План!G552+[1]План!G560+[1]План!G568+[1]План!G584+[1]План!G592</f>
        <v>0</v>
      </c>
      <c r="H162" s="9">
        <f>[1]План!H232+[1]План!H240+[1]План!H248+[1]План!H256+[1]План!H264+[1]План!H272+[1]План!H280+[1]План!H288+[1]План!H296+[1]План!H304+[1]План!H312+[1]План!H320+[1]План!H328+[1]План!H336+[1]План!H344+[1]План!H352+[1]План!H360+[1]План!H368+[1]План!H376+[1]План!H384+[1]План!H392+[1]План!H400+[1]План!H408+[1]План!H416+[1]План!H424+[1]План!H432+[1]План!H440+[1]План!H448+[1]План!H456+[1]План!H464+[1]План!H472+[1]План!H480+[1]План!H488+[1]План!H496+[1]План!H504+[1]План!H512+[1]План!H520+[1]План!H528+[1]План!H536+[1]План!H544+[1]План!H552+[1]План!H560+[1]План!H568+[1]План!H584+[1]План!H592</f>
        <v>0</v>
      </c>
      <c r="I162" s="9">
        <f>[1]План!I232+[1]План!I240+[1]План!I248+[1]План!I256+[1]План!I264+[1]План!I272+[1]План!I280+[1]План!I288+[1]План!I296+[1]План!I304+[1]План!I312+[1]План!I320+[1]План!I328+[1]План!I336+[1]План!I344+[1]План!I352+[1]План!I360+[1]План!I368+[1]План!I376+[1]План!I384+[1]План!I392+[1]План!I400+[1]План!I408+[1]План!I416+[1]План!I424+[1]План!I432+[1]План!I440+[1]План!I448+[1]План!I456+[1]План!I464+[1]План!I472+[1]План!I480+[1]План!I488+[1]План!I496+[1]План!I504+[1]План!I512+[1]План!I520+[1]План!I528+[1]План!I536+[1]План!I544+[1]План!I552+[1]План!I560+[1]План!I568+[1]План!I584+[1]План!I592</f>
        <v>0</v>
      </c>
      <c r="J162" s="1948"/>
      <c r="K162" s="1949"/>
    </row>
    <row r="163" spans="1:11" s="2" customFormat="1" ht="17.100000000000001" customHeight="1">
      <c r="A163" s="1945"/>
      <c r="B163" s="1946"/>
      <c r="C163" s="1947"/>
      <c r="D163" s="55">
        <v>2017</v>
      </c>
      <c r="E163" s="8">
        <f>SUM(F163:I163)</f>
        <v>334047.40000000002</v>
      </c>
      <c r="F163" s="9">
        <v>334047.40000000002</v>
      </c>
      <c r="G163" s="9">
        <f>[1]План!G233+[1]План!G241+[1]План!G249+[1]План!G257+[1]План!G265+[1]План!G273+[1]План!G281+[1]План!G289+[1]План!G297+[1]План!G305+[1]План!G313+[1]План!G321+[1]План!G329+[1]План!G337+[1]План!G345+[1]План!G353+[1]План!G361+[1]План!G369+[1]План!G377+[1]План!G385+[1]План!G393+[1]План!G401+[1]План!G409+[1]План!G417+[1]План!G425+[1]План!G433+[1]План!G441+[1]План!G449+[1]План!G457+[1]План!G465+[1]План!G473+[1]План!G481+[1]План!G489+[1]План!G497+[1]План!G505+[1]План!G513+[1]План!G521+[1]План!G529+[1]План!G537+[1]План!G545+[1]План!G553+[1]План!G561+[1]План!G569+[1]План!G585+[1]План!G593</f>
        <v>0</v>
      </c>
      <c r="H163" s="9">
        <f>[1]План!H233+[1]План!H241+[1]План!H249+[1]План!H257+[1]План!H265+[1]План!H273+[1]План!H281+[1]План!H289+[1]План!H297+[1]План!H305+[1]План!H313+[1]План!H321+[1]План!H329+[1]План!H337+[1]План!H345+[1]План!H353+[1]План!H361+[1]План!H369+[1]План!H377+[1]План!H385+[1]План!H393+[1]План!H401+[1]План!H409+[1]План!H417+[1]План!H425+[1]План!H433+[1]План!H441+[1]План!H449+[1]План!H457+[1]План!H465+[1]План!H473+[1]План!H481+[1]План!H489+[1]План!H497+[1]План!H505+[1]План!H513+[1]План!H521+[1]План!H529+[1]План!H537+[1]План!H545+[1]План!H553+[1]План!H561+[1]План!H569+[1]План!H585+[1]План!H593</f>
        <v>0</v>
      </c>
      <c r="I163" s="9">
        <f>[1]План!I233+[1]План!I241+[1]План!I249+[1]План!I257+[1]План!I265+[1]План!I273+[1]План!I281+[1]План!I289+[1]План!I297+[1]План!I305+[1]План!I313+[1]План!I321+[1]План!I329+[1]План!I337+[1]План!I345+[1]План!I353+[1]План!I361+[1]План!I369+[1]План!I377+[1]План!I385+[1]План!I393+[1]План!I401+[1]План!I409+[1]План!I417+[1]План!I425+[1]План!I433+[1]План!I441+[1]План!I449+[1]План!I457+[1]План!I465+[1]План!I473+[1]План!I481+[1]План!I489+[1]План!I497+[1]План!I505+[1]План!I513+[1]План!I521+[1]План!I529+[1]План!I537+[1]План!I545+[1]План!I553+[1]План!I561+[1]План!I569+[1]План!I585+[1]План!I593</f>
        <v>0</v>
      </c>
      <c r="J163" s="1948"/>
      <c r="K163" s="1949"/>
    </row>
    <row r="164" spans="1:11" s="2" customFormat="1" ht="17.100000000000001" customHeight="1">
      <c r="A164" s="1945"/>
      <c r="B164" s="1946"/>
      <c r="C164" s="1947"/>
      <c r="D164" s="58">
        <v>2018</v>
      </c>
      <c r="E164" s="59">
        <f t="shared" si="15"/>
        <v>422347.9</v>
      </c>
      <c r="F164" s="60">
        <v>422347.9</v>
      </c>
      <c r="G164" s="9">
        <f>[1]План!G234+[1]План!G242+[1]План!G250+[1]План!G258+[1]План!G266+[1]План!G274+[1]План!G282+[1]План!G290+[1]План!G298+[1]План!G306+[1]План!G314+[1]План!G322+[1]План!G330+[1]План!G338+[1]План!G346+[1]План!G354+[1]План!G362+[1]План!G370+[1]План!G378+[1]План!G386+[1]План!G394+[1]План!G402+[1]План!G410+[1]План!G418+[1]План!G426+[1]План!G434+[1]План!G442+[1]План!G450+[1]План!G458+[1]План!G466+[1]План!G474+[1]План!G482+[1]План!G490+[1]План!G498+[1]План!G506+[1]План!G514+[1]План!G522+[1]План!G530+[1]План!G538+[1]План!G546+[1]План!G554+[1]План!G562+[1]План!G570+[1]План!G586+[1]План!G594</f>
        <v>0</v>
      </c>
      <c r="H164" s="9">
        <f>[1]План!H234+[1]План!H242+[1]План!H250+[1]План!H258+[1]План!H266+[1]План!H274+[1]План!H282+[1]План!H290+[1]План!H298+[1]План!H306+[1]План!H314+[1]План!H322+[1]План!H330+[1]План!H338+[1]План!H346+[1]План!H354+[1]План!H362+[1]План!H370+[1]План!H378+[1]План!H386+[1]План!H394+[1]План!H402+[1]План!H410+[1]План!H418+[1]План!H426+[1]План!H434+[1]План!H442+[1]План!H450+[1]План!H458+[1]План!H466+[1]План!H474+[1]План!H482+[1]План!H490+[1]План!H498+[1]План!H506+[1]План!H514+[1]План!H522+[1]План!H530+[1]План!H538+[1]План!H546+[1]План!H554+[1]План!H562+[1]План!H570+[1]План!H586+[1]План!H594</f>
        <v>0</v>
      </c>
      <c r="I164" s="9">
        <f>[1]План!I234+[1]План!I242+[1]План!I250+[1]План!I258+[1]План!I266+[1]План!I274+[1]План!I282+[1]План!I290+[1]План!I298+[1]План!I306+[1]План!I314+[1]План!I322+[1]План!I330+[1]План!I338+[1]План!I346+[1]План!I354+[1]План!I362+[1]План!I370+[1]План!I378+[1]План!I386+[1]План!I394+[1]План!I402+[1]План!I410+[1]План!I418+[1]План!I426+[1]План!I434+[1]План!I442+[1]План!I450+[1]План!I458+[1]План!I466+[1]План!I474+[1]План!I482+[1]План!I490+[1]План!I498+[1]План!I506+[1]План!I514+[1]План!I522+[1]План!I530+[1]План!I538+[1]План!I546+[1]План!I554+[1]План!I562+[1]План!I570+[1]План!I586+[1]План!I594</f>
        <v>0</v>
      </c>
      <c r="J164" s="1948"/>
      <c r="K164" s="1949"/>
    </row>
    <row r="165" spans="1:11" s="2" customFormat="1" ht="17.100000000000001" customHeight="1">
      <c r="A165" s="1945"/>
      <c r="B165" s="1946"/>
      <c r="C165" s="1947"/>
      <c r="D165" s="58">
        <v>2019</v>
      </c>
      <c r="E165" s="59">
        <f t="shared" si="15"/>
        <v>394255.4</v>
      </c>
      <c r="F165" s="60">
        <v>394255.4</v>
      </c>
      <c r="G165" s="9">
        <v>0</v>
      </c>
      <c r="H165" s="9">
        <v>0</v>
      </c>
      <c r="I165" s="9">
        <v>0</v>
      </c>
      <c r="J165" s="1948"/>
      <c r="K165" s="1949"/>
    </row>
    <row r="166" spans="1:11" s="2" customFormat="1" ht="17.100000000000001" customHeight="1">
      <c r="A166" s="1945"/>
      <c r="B166" s="1946"/>
      <c r="C166" s="1947"/>
      <c r="D166" s="58">
        <v>2020</v>
      </c>
      <c r="E166" s="59">
        <f>SUM(F166:I166)</f>
        <v>404546</v>
      </c>
      <c r="F166" s="60">
        <v>404546</v>
      </c>
      <c r="G166" s="9">
        <v>0</v>
      </c>
      <c r="H166" s="9">
        <v>0</v>
      </c>
      <c r="I166" s="9">
        <v>0</v>
      </c>
      <c r="J166" s="1948"/>
      <c r="K166" s="1949"/>
    </row>
    <row r="167" spans="1:11" s="2" customFormat="1" ht="13.5" customHeight="1">
      <c r="A167" s="1945" t="s">
        <v>67</v>
      </c>
      <c r="B167" s="1946" t="s">
        <v>62</v>
      </c>
      <c r="C167" s="1947" t="s">
        <v>14</v>
      </c>
      <c r="D167" s="55" t="s">
        <v>8</v>
      </c>
      <c r="E167" s="8">
        <f>SUM(E168:E172)</f>
        <v>10453.199999999999</v>
      </c>
      <c r="F167" s="8">
        <f>SUM(F168:F172)</f>
        <v>10453.199999999999</v>
      </c>
      <c r="G167" s="8">
        <f>SUM(G168:G172)</f>
        <v>0</v>
      </c>
      <c r="H167" s="8">
        <f>SUM(H168:H172)</f>
        <v>0</v>
      </c>
      <c r="I167" s="8">
        <f>SUM(I168:I172)</f>
        <v>0</v>
      </c>
      <c r="J167" s="1948" t="s">
        <v>63</v>
      </c>
      <c r="K167" s="1949" t="s">
        <v>61</v>
      </c>
    </row>
    <row r="168" spans="1:11" s="2" customFormat="1" ht="13.5" customHeight="1">
      <c r="A168" s="1945"/>
      <c r="B168" s="1946"/>
      <c r="C168" s="1947"/>
      <c r="D168" s="55">
        <v>2016</v>
      </c>
      <c r="E168" s="8">
        <f>SUM(F168:I168)</f>
        <v>1527.7</v>
      </c>
      <c r="F168" s="8">
        <v>1527.7</v>
      </c>
      <c r="G168" s="9">
        <v>0</v>
      </c>
      <c r="H168" s="9">
        <v>0</v>
      </c>
      <c r="I168" s="9">
        <v>0</v>
      </c>
      <c r="J168" s="1948"/>
      <c r="K168" s="1949"/>
    </row>
    <row r="169" spans="1:11" s="2" customFormat="1" ht="13.5" customHeight="1">
      <c r="A169" s="1945"/>
      <c r="B169" s="1946"/>
      <c r="C169" s="1947"/>
      <c r="D169" s="55">
        <v>2017</v>
      </c>
      <c r="E169" s="8">
        <f>SUM(F169:I169)</f>
        <v>1819.6</v>
      </c>
      <c r="F169" s="8">
        <v>1819.6</v>
      </c>
      <c r="G169" s="9">
        <v>0</v>
      </c>
      <c r="H169" s="9">
        <v>0</v>
      </c>
      <c r="I169" s="9">
        <v>0</v>
      </c>
      <c r="J169" s="1948"/>
      <c r="K169" s="1949"/>
    </row>
    <row r="170" spans="1:11" s="2" customFormat="1" ht="13.5" customHeight="1">
      <c r="A170" s="1945"/>
      <c r="B170" s="1946"/>
      <c r="C170" s="1947"/>
      <c r="D170" s="55">
        <v>2018</v>
      </c>
      <c r="E170" s="59">
        <f>SUM(F170:I170)</f>
        <v>3561.3</v>
      </c>
      <c r="F170" s="60">
        <v>3561.3</v>
      </c>
      <c r="G170" s="9">
        <v>0</v>
      </c>
      <c r="H170" s="9">
        <v>0</v>
      </c>
      <c r="I170" s="9">
        <v>0</v>
      </c>
      <c r="J170" s="1948"/>
      <c r="K170" s="1949"/>
    </row>
    <row r="171" spans="1:11" s="2" customFormat="1" ht="13.5" customHeight="1">
      <c r="A171" s="1945"/>
      <c r="B171" s="1946"/>
      <c r="C171" s="1947"/>
      <c r="D171" s="55">
        <v>2019</v>
      </c>
      <c r="E171" s="8">
        <f>SUM(F171:I171)</f>
        <v>1772.3</v>
      </c>
      <c r="F171" s="9">
        <v>1772.3</v>
      </c>
      <c r="G171" s="9">
        <v>0</v>
      </c>
      <c r="H171" s="9">
        <v>0</v>
      </c>
      <c r="I171" s="9">
        <v>0</v>
      </c>
      <c r="J171" s="1948"/>
      <c r="K171" s="1949"/>
    </row>
    <row r="172" spans="1:11" s="2" customFormat="1" ht="13.5" customHeight="1">
      <c r="A172" s="1945"/>
      <c r="B172" s="1946"/>
      <c r="C172" s="1947"/>
      <c r="D172" s="55">
        <v>2020</v>
      </c>
      <c r="E172" s="8">
        <f>SUM(F172:I172)</f>
        <v>1772.3</v>
      </c>
      <c r="F172" s="9">
        <v>1772.3</v>
      </c>
      <c r="G172" s="9">
        <v>0</v>
      </c>
      <c r="H172" s="9">
        <v>0</v>
      </c>
      <c r="I172" s="9">
        <v>0</v>
      </c>
      <c r="J172" s="1948"/>
      <c r="K172" s="1949"/>
    </row>
    <row r="173" spans="1:11" s="2" customFormat="1" ht="21.95" customHeight="1">
      <c r="A173" s="1945" t="s">
        <v>208</v>
      </c>
      <c r="B173" s="1946" t="s">
        <v>64</v>
      </c>
      <c r="C173" s="1947" t="s">
        <v>14</v>
      </c>
      <c r="D173" s="57" t="s">
        <v>8</v>
      </c>
      <c r="E173" s="8">
        <f>SUM(E174:E178)</f>
        <v>64756.2</v>
      </c>
      <c r="F173" s="8">
        <f>SUM(F174:F178)</f>
        <v>35179.9</v>
      </c>
      <c r="G173" s="8">
        <f>SUM(G174:G178)</f>
        <v>29576.3</v>
      </c>
      <c r="H173" s="8">
        <f>SUM(H174:H178)</f>
        <v>0</v>
      </c>
      <c r="I173" s="8">
        <f>SUM(I174:I178)</f>
        <v>0</v>
      </c>
      <c r="J173" s="1948" t="s">
        <v>285</v>
      </c>
      <c r="K173" s="1949" t="s">
        <v>26</v>
      </c>
    </row>
    <row r="174" spans="1:11" s="2" customFormat="1" ht="21.95" customHeight="1">
      <c r="A174" s="1945"/>
      <c r="B174" s="1946"/>
      <c r="C174" s="1947"/>
      <c r="D174" s="57">
        <v>2016</v>
      </c>
      <c r="E174" s="8">
        <f>SUM(F174:I174)</f>
        <v>6537.9</v>
      </c>
      <c r="F174" s="8">
        <v>330</v>
      </c>
      <c r="G174" s="9">
        <v>6207.9</v>
      </c>
      <c r="H174" s="9">
        <v>0</v>
      </c>
      <c r="I174" s="9">
        <v>0</v>
      </c>
      <c r="J174" s="1948"/>
      <c r="K174" s="1949"/>
    </row>
    <row r="175" spans="1:11" s="2" customFormat="1" ht="21.95" customHeight="1">
      <c r="A175" s="1945"/>
      <c r="B175" s="1946"/>
      <c r="C175" s="1947"/>
      <c r="D175" s="57">
        <v>2017</v>
      </c>
      <c r="E175" s="8">
        <f>SUM(F175:I175)</f>
        <v>8485.5</v>
      </c>
      <c r="F175" s="8">
        <v>430</v>
      </c>
      <c r="G175" s="9">
        <v>8055.5</v>
      </c>
      <c r="H175" s="9">
        <v>0</v>
      </c>
      <c r="I175" s="9">
        <v>0</v>
      </c>
      <c r="J175" s="1948"/>
      <c r="K175" s="1949"/>
    </row>
    <row r="176" spans="1:11" s="2" customFormat="1" ht="21.95" customHeight="1">
      <c r="A176" s="1945"/>
      <c r="B176" s="1946"/>
      <c r="C176" s="1947"/>
      <c r="D176" s="57">
        <v>2018</v>
      </c>
      <c r="E176" s="8">
        <f>SUM(F176:I176)</f>
        <v>21567.4</v>
      </c>
      <c r="F176" s="9">
        <v>6254.5</v>
      </c>
      <c r="G176" s="9">
        <v>15312.9</v>
      </c>
      <c r="H176" s="9">
        <v>0</v>
      </c>
      <c r="I176" s="9">
        <v>0</v>
      </c>
      <c r="J176" s="1948"/>
      <c r="K176" s="1949"/>
    </row>
    <row r="177" spans="1:11" s="2" customFormat="1" ht="21.95" customHeight="1">
      <c r="A177" s="1945"/>
      <c r="B177" s="1946"/>
      <c r="C177" s="1947"/>
      <c r="D177" s="57">
        <v>2019</v>
      </c>
      <c r="E177" s="8">
        <f>SUM(F177:I177)</f>
        <v>14082.7</v>
      </c>
      <c r="F177" s="9">
        <v>14082.7</v>
      </c>
      <c r="G177" s="9">
        <v>0</v>
      </c>
      <c r="H177" s="9">
        <v>0</v>
      </c>
      <c r="I177" s="9">
        <v>0</v>
      </c>
      <c r="J177" s="1948"/>
      <c r="K177" s="1949"/>
    </row>
    <row r="178" spans="1:11" s="2" customFormat="1" ht="21.95" customHeight="1">
      <c r="A178" s="1945"/>
      <c r="B178" s="1946"/>
      <c r="C178" s="1947"/>
      <c r="D178" s="57">
        <v>2020</v>
      </c>
      <c r="E178" s="8">
        <f>SUM(F178:I178)</f>
        <v>14082.7</v>
      </c>
      <c r="F178" s="9">
        <v>14082.7</v>
      </c>
      <c r="G178" s="9">
        <v>0</v>
      </c>
      <c r="H178" s="9">
        <v>0</v>
      </c>
      <c r="I178" s="9">
        <v>0</v>
      </c>
      <c r="J178" s="1948"/>
      <c r="K178" s="1949"/>
    </row>
    <row r="179" spans="1:11" s="2" customFormat="1" ht="17.100000000000001" customHeight="1">
      <c r="A179" s="1945" t="s">
        <v>209</v>
      </c>
      <c r="B179" s="1946" t="s">
        <v>156</v>
      </c>
      <c r="C179" s="1947">
        <v>2017</v>
      </c>
      <c r="D179" s="57" t="s">
        <v>8</v>
      </c>
      <c r="E179" s="8">
        <f>SUM(E180:E182)</f>
        <v>18.899999999999999</v>
      </c>
      <c r="F179" s="8">
        <f>SUM(F180:F184)</f>
        <v>18.899999999999999</v>
      </c>
      <c r="G179" s="8">
        <f>SUM(G180:G184)</f>
        <v>0</v>
      </c>
      <c r="H179" s="8">
        <f>SUM(H180:H184)</f>
        <v>0</v>
      </c>
      <c r="I179" s="8">
        <f>SUM(I180:I184)</f>
        <v>0</v>
      </c>
      <c r="J179" s="1948" t="s">
        <v>156</v>
      </c>
      <c r="K179" s="1949" t="s">
        <v>61</v>
      </c>
    </row>
    <row r="180" spans="1:11" s="2" customFormat="1" ht="17.100000000000001" customHeight="1">
      <c r="A180" s="1945"/>
      <c r="B180" s="1946"/>
      <c r="C180" s="1947"/>
      <c r="D180" s="57">
        <v>2016</v>
      </c>
      <c r="E180" s="8">
        <f>SUM(F180:I180)</f>
        <v>0</v>
      </c>
      <c r="F180" s="8">
        <v>0</v>
      </c>
      <c r="G180" s="9">
        <v>0</v>
      </c>
      <c r="H180" s="9">
        <v>0</v>
      </c>
      <c r="I180" s="9">
        <v>0</v>
      </c>
      <c r="J180" s="1948"/>
      <c r="K180" s="1949"/>
    </row>
    <row r="181" spans="1:11" s="2" customFormat="1" ht="17.100000000000001" customHeight="1">
      <c r="A181" s="1945"/>
      <c r="B181" s="1946"/>
      <c r="C181" s="1947"/>
      <c r="D181" s="57">
        <v>2017</v>
      </c>
      <c r="E181" s="8">
        <f>SUM(F181:I181)</f>
        <v>18.899999999999999</v>
      </c>
      <c r="F181" s="8">
        <v>18.899999999999999</v>
      </c>
      <c r="G181" s="9">
        <v>0</v>
      </c>
      <c r="H181" s="9">
        <v>0</v>
      </c>
      <c r="I181" s="9">
        <v>0</v>
      </c>
      <c r="J181" s="1948"/>
      <c r="K181" s="1949"/>
    </row>
    <row r="182" spans="1:11" s="2" customFormat="1" ht="17.100000000000001" customHeight="1">
      <c r="A182" s="1945"/>
      <c r="B182" s="1946"/>
      <c r="C182" s="1947"/>
      <c r="D182" s="57">
        <v>2018</v>
      </c>
      <c r="E182" s="8">
        <f>SUM(F182:I182)</f>
        <v>0</v>
      </c>
      <c r="F182" s="8">
        <v>0</v>
      </c>
      <c r="G182" s="9">
        <v>0</v>
      </c>
      <c r="H182" s="9">
        <v>0</v>
      </c>
      <c r="I182" s="9">
        <v>0</v>
      </c>
      <c r="J182" s="1948"/>
      <c r="K182" s="1949"/>
    </row>
    <row r="183" spans="1:11" s="2" customFormat="1" ht="17.100000000000001" customHeight="1">
      <c r="A183" s="1945"/>
      <c r="B183" s="1946"/>
      <c r="C183" s="1947"/>
      <c r="D183" s="57">
        <v>2019</v>
      </c>
      <c r="E183" s="8">
        <f>SUM(F183:I183)</f>
        <v>0</v>
      </c>
      <c r="F183" s="8">
        <v>0</v>
      </c>
      <c r="G183" s="9">
        <v>0</v>
      </c>
      <c r="H183" s="9">
        <v>0</v>
      </c>
      <c r="I183" s="9">
        <v>0</v>
      </c>
      <c r="J183" s="1948"/>
      <c r="K183" s="1949"/>
    </row>
    <row r="184" spans="1:11" s="2" customFormat="1" ht="17.100000000000001" customHeight="1">
      <c r="A184" s="1945"/>
      <c r="B184" s="1946"/>
      <c r="C184" s="1947"/>
      <c r="D184" s="57">
        <v>2020</v>
      </c>
      <c r="E184" s="8">
        <f>SUM(F184:I184)</f>
        <v>0</v>
      </c>
      <c r="F184" s="8">
        <v>0</v>
      </c>
      <c r="G184" s="9">
        <v>0</v>
      </c>
      <c r="H184" s="9">
        <v>0</v>
      </c>
      <c r="I184" s="9">
        <v>0</v>
      </c>
      <c r="J184" s="1948"/>
      <c r="K184" s="1949"/>
    </row>
    <row r="185" spans="1:11" s="2" customFormat="1" ht="24.95" customHeight="1">
      <c r="A185" s="1945" t="s">
        <v>176</v>
      </c>
      <c r="B185" s="1946" t="s">
        <v>68</v>
      </c>
      <c r="C185" s="1947" t="s">
        <v>14</v>
      </c>
      <c r="D185" s="57" t="s">
        <v>8</v>
      </c>
      <c r="E185" s="8">
        <f t="shared" ref="E185:E190" si="17">F185+G185+H185+I185</f>
        <v>31281.1</v>
      </c>
      <c r="F185" s="8">
        <f>SUM(F186:F190)</f>
        <v>31281.1</v>
      </c>
      <c r="G185" s="8">
        <f>SUM(G186:G190)</f>
        <v>0</v>
      </c>
      <c r="H185" s="8">
        <f>SUM(H186:H190)</f>
        <v>0</v>
      </c>
      <c r="I185" s="8">
        <f>SUM(I186:I190)</f>
        <v>0</v>
      </c>
      <c r="J185" s="1948" t="s">
        <v>69</v>
      </c>
      <c r="K185" s="1949" t="s">
        <v>42</v>
      </c>
    </row>
    <row r="186" spans="1:11" s="2" customFormat="1" ht="24.95" customHeight="1">
      <c r="A186" s="1945"/>
      <c r="B186" s="1946"/>
      <c r="C186" s="1947"/>
      <c r="D186" s="57">
        <v>2016</v>
      </c>
      <c r="E186" s="8">
        <f t="shared" si="17"/>
        <v>1983.3</v>
      </c>
      <c r="F186" s="8">
        <f t="shared" ref="F186:I190" si="18">F192+F198+F204+F210</f>
        <v>1983.3</v>
      </c>
      <c r="G186" s="8">
        <f t="shared" si="18"/>
        <v>0</v>
      </c>
      <c r="H186" s="8">
        <f t="shared" si="18"/>
        <v>0</v>
      </c>
      <c r="I186" s="8">
        <f t="shared" si="18"/>
        <v>0</v>
      </c>
      <c r="J186" s="1948"/>
      <c r="K186" s="1949"/>
    </row>
    <row r="187" spans="1:11" s="2" customFormat="1" ht="24.95" customHeight="1">
      <c r="A187" s="1945"/>
      <c r="B187" s="1946"/>
      <c r="C187" s="1947"/>
      <c r="D187" s="57">
        <v>2017</v>
      </c>
      <c r="E187" s="8">
        <f t="shared" si="17"/>
        <v>27553.3</v>
      </c>
      <c r="F187" s="8">
        <f t="shared" si="18"/>
        <v>27553.3</v>
      </c>
      <c r="G187" s="8">
        <f t="shared" si="18"/>
        <v>0</v>
      </c>
      <c r="H187" s="8">
        <f t="shared" si="18"/>
        <v>0</v>
      </c>
      <c r="I187" s="8">
        <f t="shared" si="18"/>
        <v>0</v>
      </c>
      <c r="J187" s="1948"/>
      <c r="K187" s="1949"/>
    </row>
    <row r="188" spans="1:11" s="2" customFormat="1" ht="24.95" customHeight="1">
      <c r="A188" s="1945"/>
      <c r="B188" s="1946"/>
      <c r="C188" s="1947"/>
      <c r="D188" s="57">
        <v>2018</v>
      </c>
      <c r="E188" s="8">
        <f t="shared" si="17"/>
        <v>581.5</v>
      </c>
      <c r="F188" s="8">
        <f t="shared" si="18"/>
        <v>581.5</v>
      </c>
      <c r="G188" s="8">
        <f t="shared" si="18"/>
        <v>0</v>
      </c>
      <c r="H188" s="8">
        <f t="shared" si="18"/>
        <v>0</v>
      </c>
      <c r="I188" s="8">
        <f t="shared" si="18"/>
        <v>0</v>
      </c>
      <c r="J188" s="1948"/>
      <c r="K188" s="1949"/>
    </row>
    <row r="189" spans="1:11" s="2" customFormat="1" ht="24.95" customHeight="1">
      <c r="A189" s="1945"/>
      <c r="B189" s="1946"/>
      <c r="C189" s="1947"/>
      <c r="D189" s="57">
        <v>2019</v>
      </c>
      <c r="E189" s="8">
        <f t="shared" si="17"/>
        <v>581.5</v>
      </c>
      <c r="F189" s="8">
        <f t="shared" si="18"/>
        <v>581.5</v>
      </c>
      <c r="G189" s="8">
        <f t="shared" si="18"/>
        <v>0</v>
      </c>
      <c r="H189" s="8">
        <f t="shared" si="18"/>
        <v>0</v>
      </c>
      <c r="I189" s="8">
        <f t="shared" si="18"/>
        <v>0</v>
      </c>
      <c r="J189" s="1948"/>
      <c r="K189" s="1949"/>
    </row>
    <row r="190" spans="1:11" s="2" customFormat="1" ht="24.95" customHeight="1">
      <c r="A190" s="1945"/>
      <c r="B190" s="1946"/>
      <c r="C190" s="1947"/>
      <c r="D190" s="57">
        <v>2020</v>
      </c>
      <c r="E190" s="8">
        <f t="shared" si="17"/>
        <v>581.5</v>
      </c>
      <c r="F190" s="8">
        <f t="shared" si="18"/>
        <v>581.5</v>
      </c>
      <c r="G190" s="8">
        <f t="shared" si="18"/>
        <v>0</v>
      </c>
      <c r="H190" s="8">
        <f t="shared" si="18"/>
        <v>0</v>
      </c>
      <c r="I190" s="8">
        <f t="shared" si="18"/>
        <v>0</v>
      </c>
      <c r="J190" s="1948"/>
      <c r="K190" s="1949"/>
    </row>
    <row r="191" spans="1:11" s="2" customFormat="1" ht="15.75" customHeight="1">
      <c r="A191" s="1945" t="s">
        <v>210</v>
      </c>
      <c r="B191" s="1946" t="s">
        <v>70</v>
      </c>
      <c r="C191" s="1947" t="s">
        <v>14</v>
      </c>
      <c r="D191" s="55" t="s">
        <v>8</v>
      </c>
      <c r="E191" s="8">
        <f t="shared" ref="E191:E215" si="19">SUM(F191:I191)</f>
        <v>3331.1</v>
      </c>
      <c r="F191" s="8">
        <f>SUM(F192:F196)</f>
        <v>3331.1</v>
      </c>
      <c r="G191" s="8">
        <f>SUM(G192:G196)</f>
        <v>0</v>
      </c>
      <c r="H191" s="8">
        <f>SUM(H192:H196)</f>
        <v>0</v>
      </c>
      <c r="I191" s="8">
        <f>SUM(I192:I196)</f>
        <v>0</v>
      </c>
      <c r="J191" s="1948" t="s">
        <v>71</v>
      </c>
      <c r="K191" s="1949" t="s">
        <v>61</v>
      </c>
    </row>
    <row r="192" spans="1:11" s="2" customFormat="1">
      <c r="A192" s="1945"/>
      <c r="B192" s="1946"/>
      <c r="C192" s="1947"/>
      <c r="D192" s="55">
        <v>2016</v>
      </c>
      <c r="E192" s="8">
        <f t="shared" si="19"/>
        <v>883.3</v>
      </c>
      <c r="F192" s="8">
        <v>883.3</v>
      </c>
      <c r="G192" s="9">
        <v>0</v>
      </c>
      <c r="H192" s="9">
        <v>0</v>
      </c>
      <c r="I192" s="9">
        <v>0</v>
      </c>
      <c r="J192" s="1948"/>
      <c r="K192" s="1949"/>
    </row>
    <row r="193" spans="1:11" s="2" customFormat="1">
      <c r="A193" s="1945"/>
      <c r="B193" s="1946"/>
      <c r="C193" s="1947"/>
      <c r="D193" s="55">
        <v>2017</v>
      </c>
      <c r="E193" s="8">
        <f t="shared" si="19"/>
        <v>703.3</v>
      </c>
      <c r="F193" s="8">
        <v>703.3</v>
      </c>
      <c r="G193" s="9">
        <v>0</v>
      </c>
      <c r="H193" s="9">
        <v>0</v>
      </c>
      <c r="I193" s="9">
        <v>0</v>
      </c>
      <c r="J193" s="1948"/>
      <c r="K193" s="1949"/>
    </row>
    <row r="194" spans="1:11" s="2" customFormat="1">
      <c r="A194" s="1945"/>
      <c r="B194" s="1946"/>
      <c r="C194" s="1947"/>
      <c r="D194" s="55">
        <v>2018</v>
      </c>
      <c r="E194" s="8">
        <f t="shared" si="19"/>
        <v>581.5</v>
      </c>
      <c r="F194" s="8">
        <v>581.5</v>
      </c>
      <c r="G194" s="9">
        <v>0</v>
      </c>
      <c r="H194" s="9">
        <v>0</v>
      </c>
      <c r="I194" s="9">
        <v>0</v>
      </c>
      <c r="J194" s="1948"/>
      <c r="K194" s="1949"/>
    </row>
    <row r="195" spans="1:11" s="2" customFormat="1">
      <c r="A195" s="1945"/>
      <c r="B195" s="1946"/>
      <c r="C195" s="1947"/>
      <c r="D195" s="55">
        <v>2019</v>
      </c>
      <c r="E195" s="8">
        <f>SUM(F195:I195)</f>
        <v>581.5</v>
      </c>
      <c r="F195" s="8">
        <v>581.5</v>
      </c>
      <c r="G195" s="9">
        <v>0</v>
      </c>
      <c r="H195" s="9">
        <v>0</v>
      </c>
      <c r="I195" s="9">
        <v>0</v>
      </c>
      <c r="J195" s="1948"/>
      <c r="K195" s="1949"/>
    </row>
    <row r="196" spans="1:11" s="2" customFormat="1">
      <c r="A196" s="1945"/>
      <c r="B196" s="1946"/>
      <c r="C196" s="1947"/>
      <c r="D196" s="55">
        <v>2020</v>
      </c>
      <c r="E196" s="8">
        <f>SUM(F196:I196)</f>
        <v>581.5</v>
      </c>
      <c r="F196" s="8">
        <v>581.5</v>
      </c>
      <c r="G196" s="9">
        <v>0</v>
      </c>
      <c r="H196" s="9">
        <v>0</v>
      </c>
      <c r="I196" s="9">
        <v>0</v>
      </c>
      <c r="J196" s="1948"/>
      <c r="K196" s="1949"/>
    </row>
    <row r="197" spans="1:11" s="2" customFormat="1" ht="15.75" customHeight="1">
      <c r="A197" s="1945" t="s">
        <v>211</v>
      </c>
      <c r="B197" s="1946" t="s">
        <v>72</v>
      </c>
      <c r="C197" s="1947">
        <v>2016</v>
      </c>
      <c r="D197" s="57" t="s">
        <v>8</v>
      </c>
      <c r="E197" s="8">
        <f t="shared" si="19"/>
        <v>1100</v>
      </c>
      <c r="F197" s="8">
        <f>SUM(F198:F202)</f>
        <v>1100</v>
      </c>
      <c r="G197" s="8">
        <f>SUM(G198:G202)</f>
        <v>0</v>
      </c>
      <c r="H197" s="8">
        <f>SUM(H198:H202)</f>
        <v>0</v>
      </c>
      <c r="I197" s="8">
        <f>SUM(I198:I202)</f>
        <v>0</v>
      </c>
      <c r="J197" s="1948" t="s">
        <v>73</v>
      </c>
      <c r="K197" s="1949" t="s">
        <v>66</v>
      </c>
    </row>
    <row r="198" spans="1:11" s="2" customFormat="1">
      <c r="A198" s="1945"/>
      <c r="B198" s="1946"/>
      <c r="C198" s="1947"/>
      <c r="D198" s="57">
        <v>2016</v>
      </c>
      <c r="E198" s="8">
        <f t="shared" si="19"/>
        <v>1100</v>
      </c>
      <c r="F198" s="8">
        <v>1100</v>
      </c>
      <c r="G198" s="9">
        <v>0</v>
      </c>
      <c r="H198" s="9">
        <v>0</v>
      </c>
      <c r="I198" s="9">
        <v>0</v>
      </c>
      <c r="J198" s="1948"/>
      <c r="K198" s="1949"/>
    </row>
    <row r="199" spans="1:11" s="2" customFormat="1">
      <c r="A199" s="1945"/>
      <c r="B199" s="1946"/>
      <c r="C199" s="1947"/>
      <c r="D199" s="57">
        <v>2017</v>
      </c>
      <c r="E199" s="8">
        <f t="shared" si="19"/>
        <v>0</v>
      </c>
      <c r="F199" s="9">
        <v>0</v>
      </c>
      <c r="G199" s="9">
        <v>0</v>
      </c>
      <c r="H199" s="9">
        <v>0</v>
      </c>
      <c r="I199" s="9">
        <v>0</v>
      </c>
      <c r="J199" s="1948"/>
      <c r="K199" s="1949"/>
    </row>
    <row r="200" spans="1:11" s="2" customFormat="1">
      <c r="A200" s="1945"/>
      <c r="B200" s="1946"/>
      <c r="C200" s="1947"/>
      <c r="D200" s="57">
        <v>2018</v>
      </c>
      <c r="E200" s="8">
        <f t="shared" si="19"/>
        <v>0</v>
      </c>
      <c r="F200" s="9">
        <v>0</v>
      </c>
      <c r="G200" s="9">
        <v>0</v>
      </c>
      <c r="H200" s="9">
        <v>0</v>
      </c>
      <c r="I200" s="9">
        <v>0</v>
      </c>
      <c r="J200" s="1948"/>
      <c r="K200" s="1949"/>
    </row>
    <row r="201" spans="1:11" s="2" customFormat="1">
      <c r="A201" s="1945"/>
      <c r="B201" s="1946"/>
      <c r="C201" s="1947"/>
      <c r="D201" s="57">
        <v>2019</v>
      </c>
      <c r="E201" s="8">
        <f>SUM(F201:I201)</f>
        <v>0</v>
      </c>
      <c r="F201" s="9">
        <v>0</v>
      </c>
      <c r="G201" s="9">
        <v>0</v>
      </c>
      <c r="H201" s="9">
        <v>0</v>
      </c>
      <c r="I201" s="9">
        <v>0</v>
      </c>
      <c r="J201" s="1948"/>
      <c r="K201" s="1949"/>
    </row>
    <row r="202" spans="1:11" s="2" customFormat="1">
      <c r="A202" s="1945"/>
      <c r="B202" s="1946"/>
      <c r="C202" s="1947"/>
      <c r="D202" s="57">
        <v>2020</v>
      </c>
      <c r="E202" s="8">
        <f>SUM(F202:I202)</f>
        <v>0</v>
      </c>
      <c r="F202" s="9">
        <v>0</v>
      </c>
      <c r="G202" s="9">
        <v>0</v>
      </c>
      <c r="H202" s="9">
        <v>0</v>
      </c>
      <c r="I202" s="9">
        <v>0</v>
      </c>
      <c r="J202" s="1948"/>
      <c r="K202" s="1949"/>
    </row>
    <row r="203" spans="1:11" s="2" customFormat="1" ht="15.75" customHeight="1">
      <c r="A203" s="1945" t="s">
        <v>212</v>
      </c>
      <c r="B203" s="1946" t="s">
        <v>74</v>
      </c>
      <c r="C203" s="1947">
        <v>2017</v>
      </c>
      <c r="D203" s="57" t="s">
        <v>8</v>
      </c>
      <c r="E203" s="8">
        <f t="shared" si="19"/>
        <v>1850</v>
      </c>
      <c r="F203" s="8">
        <f>SUM(F204:F208)</f>
        <v>1850</v>
      </c>
      <c r="G203" s="8">
        <f>SUM(G204:G208)</f>
        <v>0</v>
      </c>
      <c r="H203" s="8">
        <f>SUM(H204:H208)</f>
        <v>0</v>
      </c>
      <c r="I203" s="8">
        <f>SUM(I204:I208)</f>
        <v>0</v>
      </c>
      <c r="J203" s="1946" t="s">
        <v>75</v>
      </c>
      <c r="K203" s="1949" t="s">
        <v>66</v>
      </c>
    </row>
    <row r="204" spans="1:11" s="2" customFormat="1">
      <c r="A204" s="1945"/>
      <c r="B204" s="1946"/>
      <c r="C204" s="1947"/>
      <c r="D204" s="57">
        <v>2016</v>
      </c>
      <c r="E204" s="8">
        <f t="shared" si="19"/>
        <v>0</v>
      </c>
      <c r="F204" s="8">
        <v>0</v>
      </c>
      <c r="G204" s="9">
        <v>0</v>
      </c>
      <c r="H204" s="9">
        <v>0</v>
      </c>
      <c r="I204" s="9">
        <v>0</v>
      </c>
      <c r="J204" s="1946"/>
      <c r="K204" s="1949"/>
    </row>
    <row r="205" spans="1:11" s="2" customFormat="1">
      <c r="A205" s="1945"/>
      <c r="B205" s="1946"/>
      <c r="C205" s="1947"/>
      <c r="D205" s="57">
        <v>2017</v>
      </c>
      <c r="E205" s="8">
        <f t="shared" si="19"/>
        <v>1850</v>
      </c>
      <c r="F205" s="9">
        <v>1850</v>
      </c>
      <c r="G205" s="9">
        <v>0</v>
      </c>
      <c r="H205" s="9">
        <v>0</v>
      </c>
      <c r="I205" s="9">
        <v>0</v>
      </c>
      <c r="J205" s="1946"/>
      <c r="K205" s="1949"/>
    </row>
    <row r="206" spans="1:11" s="2" customFormat="1">
      <c r="A206" s="1945"/>
      <c r="B206" s="1946"/>
      <c r="C206" s="1947"/>
      <c r="D206" s="57">
        <v>2018</v>
      </c>
      <c r="E206" s="8">
        <f t="shared" si="19"/>
        <v>0</v>
      </c>
      <c r="F206" s="9">
        <v>0</v>
      </c>
      <c r="G206" s="9">
        <v>0</v>
      </c>
      <c r="H206" s="9">
        <v>0</v>
      </c>
      <c r="I206" s="9">
        <v>0</v>
      </c>
      <c r="J206" s="1946"/>
      <c r="K206" s="1949"/>
    </row>
    <row r="207" spans="1:11" s="2" customFormat="1">
      <c r="A207" s="1945"/>
      <c r="B207" s="1946"/>
      <c r="C207" s="1947"/>
      <c r="D207" s="57">
        <v>2019</v>
      </c>
      <c r="E207" s="8">
        <f t="shared" si="19"/>
        <v>0</v>
      </c>
      <c r="F207" s="9">
        <v>0</v>
      </c>
      <c r="G207" s="9">
        <v>0</v>
      </c>
      <c r="H207" s="9">
        <v>0</v>
      </c>
      <c r="I207" s="9">
        <v>0</v>
      </c>
      <c r="J207" s="1946"/>
      <c r="K207" s="1949"/>
    </row>
    <row r="208" spans="1:11" s="2" customFormat="1">
      <c r="A208" s="1945"/>
      <c r="B208" s="1946"/>
      <c r="C208" s="1947"/>
      <c r="D208" s="57">
        <v>2020</v>
      </c>
      <c r="E208" s="8">
        <f t="shared" ref="E208:E214" si="20">SUM(F208:I208)</f>
        <v>0</v>
      </c>
      <c r="F208" s="9">
        <v>0</v>
      </c>
      <c r="G208" s="9">
        <v>0</v>
      </c>
      <c r="H208" s="9">
        <v>0</v>
      </c>
      <c r="I208" s="9">
        <v>0</v>
      </c>
      <c r="J208" s="1946"/>
      <c r="K208" s="1949"/>
    </row>
    <row r="209" spans="1:11" s="2" customFormat="1" ht="15.75" customHeight="1">
      <c r="A209" s="1945" t="s">
        <v>213</v>
      </c>
      <c r="B209" s="1946" t="s">
        <v>157</v>
      </c>
      <c r="C209" s="1947">
        <v>2017</v>
      </c>
      <c r="D209" s="57" t="s">
        <v>8</v>
      </c>
      <c r="E209" s="8">
        <f t="shared" si="20"/>
        <v>25000</v>
      </c>
      <c r="F209" s="8">
        <f>SUM(F210:F214)</f>
        <v>25000</v>
      </c>
      <c r="G209" s="8">
        <f>SUM(G210:G214)</f>
        <v>0</v>
      </c>
      <c r="H209" s="8">
        <f>SUM(H210:H214)</f>
        <v>0</v>
      </c>
      <c r="I209" s="8">
        <f>SUM(I210:I214)</f>
        <v>0</v>
      </c>
      <c r="J209" s="1946" t="s">
        <v>158</v>
      </c>
      <c r="K209" s="1949" t="s">
        <v>66</v>
      </c>
    </row>
    <row r="210" spans="1:11" s="2" customFormat="1">
      <c r="A210" s="1945"/>
      <c r="B210" s="1946"/>
      <c r="C210" s="1947"/>
      <c r="D210" s="57">
        <v>2016</v>
      </c>
      <c r="E210" s="8">
        <f t="shared" si="20"/>
        <v>0</v>
      </c>
      <c r="F210" s="8">
        <v>0</v>
      </c>
      <c r="G210" s="9">
        <v>0</v>
      </c>
      <c r="H210" s="9">
        <v>0</v>
      </c>
      <c r="I210" s="9">
        <v>0</v>
      </c>
      <c r="J210" s="1946"/>
      <c r="K210" s="1949"/>
    </row>
    <row r="211" spans="1:11" s="2" customFormat="1">
      <c r="A211" s="1945"/>
      <c r="B211" s="1946"/>
      <c r="C211" s="1947"/>
      <c r="D211" s="57">
        <v>2017</v>
      </c>
      <c r="E211" s="8">
        <f t="shared" si="20"/>
        <v>25000</v>
      </c>
      <c r="F211" s="9">
        <v>25000</v>
      </c>
      <c r="G211" s="9">
        <v>0</v>
      </c>
      <c r="H211" s="9">
        <v>0</v>
      </c>
      <c r="I211" s="9">
        <v>0</v>
      </c>
      <c r="J211" s="1946"/>
      <c r="K211" s="1949"/>
    </row>
    <row r="212" spans="1:11" s="2" customFormat="1">
      <c r="A212" s="1945"/>
      <c r="B212" s="1946"/>
      <c r="C212" s="1947"/>
      <c r="D212" s="57">
        <v>2018</v>
      </c>
      <c r="E212" s="8">
        <f t="shared" si="20"/>
        <v>0</v>
      </c>
      <c r="F212" s="9">
        <v>0</v>
      </c>
      <c r="G212" s="9">
        <v>0</v>
      </c>
      <c r="H212" s="9">
        <v>0</v>
      </c>
      <c r="I212" s="9">
        <v>0</v>
      </c>
      <c r="J212" s="1946"/>
      <c r="K212" s="1949"/>
    </row>
    <row r="213" spans="1:11" s="2" customFormat="1">
      <c r="A213" s="1945"/>
      <c r="B213" s="1946"/>
      <c r="C213" s="1947"/>
      <c r="D213" s="57">
        <v>2019</v>
      </c>
      <c r="E213" s="8">
        <f t="shared" si="20"/>
        <v>0</v>
      </c>
      <c r="F213" s="9">
        <v>0</v>
      </c>
      <c r="G213" s="9">
        <v>0</v>
      </c>
      <c r="H213" s="9">
        <v>0</v>
      </c>
      <c r="I213" s="9">
        <v>0</v>
      </c>
      <c r="J213" s="1946"/>
      <c r="K213" s="1949"/>
    </row>
    <row r="214" spans="1:11" s="2" customFormat="1">
      <c r="A214" s="1945"/>
      <c r="B214" s="1946"/>
      <c r="C214" s="1947"/>
      <c r="D214" s="57">
        <v>2020</v>
      </c>
      <c r="E214" s="8">
        <f t="shared" si="20"/>
        <v>0</v>
      </c>
      <c r="F214" s="9">
        <v>0</v>
      </c>
      <c r="G214" s="9">
        <v>0</v>
      </c>
      <c r="H214" s="9">
        <v>0</v>
      </c>
      <c r="I214" s="9">
        <v>0</v>
      </c>
      <c r="J214" s="1946"/>
      <c r="K214" s="1949"/>
    </row>
    <row r="215" spans="1:11" s="2" customFormat="1" ht="15" customHeight="1">
      <c r="A215" s="1945" t="s">
        <v>76</v>
      </c>
      <c r="B215" s="1949" t="s">
        <v>77</v>
      </c>
      <c r="C215" s="1947" t="s">
        <v>14</v>
      </c>
      <c r="D215" s="57" t="s">
        <v>8</v>
      </c>
      <c r="E215" s="8">
        <f t="shared" si="19"/>
        <v>1976225.4500000002</v>
      </c>
      <c r="F215" s="8">
        <f>SUM(F216:F220)</f>
        <v>1346288.4500000002</v>
      </c>
      <c r="G215" s="8">
        <f>SUM(G216:G220)</f>
        <v>245565.8</v>
      </c>
      <c r="H215" s="8">
        <f>SUM(H216:H220)</f>
        <v>320271.2</v>
      </c>
      <c r="I215" s="8">
        <f>SUM(I216:I220)</f>
        <v>64100</v>
      </c>
      <c r="J215" s="1948"/>
      <c r="K215" s="1949" t="s">
        <v>78</v>
      </c>
    </row>
    <row r="216" spans="1:11" s="2" customFormat="1">
      <c r="A216" s="1945"/>
      <c r="B216" s="1949"/>
      <c r="C216" s="1947"/>
      <c r="D216" s="57">
        <v>2016</v>
      </c>
      <c r="E216" s="8">
        <f>F216+G216+H216+I216</f>
        <v>165142.70000000001</v>
      </c>
      <c r="F216" s="8">
        <f t="shared" ref="F216:I220" si="21">F222+F300+F414</f>
        <v>112036</v>
      </c>
      <c r="G216" s="8">
        <f t="shared" si="21"/>
        <v>11357.5</v>
      </c>
      <c r="H216" s="8">
        <f t="shared" si="21"/>
        <v>20949.2</v>
      </c>
      <c r="I216" s="8">
        <f t="shared" si="21"/>
        <v>20800</v>
      </c>
      <c r="J216" s="1948"/>
      <c r="K216" s="1949"/>
    </row>
    <row r="217" spans="1:11" s="2" customFormat="1">
      <c r="A217" s="1945"/>
      <c r="B217" s="1949"/>
      <c r="C217" s="1947"/>
      <c r="D217" s="57">
        <v>2017</v>
      </c>
      <c r="E217" s="8">
        <f>F217+G217+H217+I217</f>
        <v>229531.3</v>
      </c>
      <c r="F217" s="8">
        <f t="shared" si="21"/>
        <v>135945</v>
      </c>
      <c r="G217" s="8">
        <f t="shared" si="21"/>
        <v>11265.5</v>
      </c>
      <c r="H217" s="8">
        <f t="shared" si="21"/>
        <v>67320.800000000003</v>
      </c>
      <c r="I217" s="8">
        <f t="shared" si="21"/>
        <v>15000</v>
      </c>
      <c r="J217" s="1948"/>
      <c r="K217" s="1949"/>
    </row>
    <row r="218" spans="1:11" s="2" customFormat="1">
      <c r="A218" s="1945"/>
      <c r="B218" s="1949"/>
      <c r="C218" s="1947"/>
      <c r="D218" s="57">
        <v>2018</v>
      </c>
      <c r="E218" s="8">
        <f>F218+G218+H218+I218</f>
        <v>425028.25</v>
      </c>
      <c r="F218" s="8">
        <f t="shared" si="21"/>
        <v>371128.65</v>
      </c>
      <c r="G218" s="8">
        <f t="shared" si="21"/>
        <v>0</v>
      </c>
      <c r="H218" s="8">
        <f t="shared" si="21"/>
        <v>53899.6</v>
      </c>
      <c r="I218" s="8">
        <f t="shared" si="21"/>
        <v>0</v>
      </c>
      <c r="J218" s="1948"/>
      <c r="K218" s="1949"/>
    </row>
    <row r="219" spans="1:11" s="2" customFormat="1">
      <c r="A219" s="1945"/>
      <c r="B219" s="1949"/>
      <c r="C219" s="1947"/>
      <c r="D219" s="57">
        <v>2019</v>
      </c>
      <c r="E219" s="8">
        <f>F219+G219+H219+I219</f>
        <v>776658.2</v>
      </c>
      <c r="F219" s="8">
        <f t="shared" si="21"/>
        <v>522074.2</v>
      </c>
      <c r="G219" s="8">
        <f t="shared" si="21"/>
        <v>111471.4</v>
      </c>
      <c r="H219" s="8">
        <f t="shared" si="21"/>
        <v>114812.6</v>
      </c>
      <c r="I219" s="8">
        <f t="shared" si="21"/>
        <v>28300</v>
      </c>
      <c r="J219" s="1948"/>
      <c r="K219" s="1949"/>
    </row>
    <row r="220" spans="1:11" s="2" customFormat="1">
      <c r="A220" s="1945"/>
      <c r="B220" s="1949"/>
      <c r="C220" s="1947"/>
      <c r="D220" s="57">
        <v>2020</v>
      </c>
      <c r="E220" s="8">
        <f>F220+G220+H220+I220</f>
        <v>379865</v>
      </c>
      <c r="F220" s="8">
        <f t="shared" si="21"/>
        <v>205104.6</v>
      </c>
      <c r="G220" s="8">
        <f t="shared" si="21"/>
        <v>111471.4</v>
      </c>
      <c r="H220" s="8">
        <f t="shared" si="21"/>
        <v>63289</v>
      </c>
      <c r="I220" s="8">
        <f t="shared" si="21"/>
        <v>0</v>
      </c>
      <c r="J220" s="1948"/>
      <c r="K220" s="1949"/>
    </row>
    <row r="221" spans="1:11" s="2" customFormat="1" ht="15.95" customHeight="1">
      <c r="A221" s="1945" t="s">
        <v>177</v>
      </c>
      <c r="B221" s="1946" t="s">
        <v>80</v>
      </c>
      <c r="C221" s="1947" t="s">
        <v>14</v>
      </c>
      <c r="D221" s="57" t="s">
        <v>8</v>
      </c>
      <c r="E221" s="8">
        <f>SUM(F221:I221)</f>
        <v>1297840.6499999999</v>
      </c>
      <c r="F221" s="8">
        <f>SUM(F222:F226)</f>
        <v>976736.25</v>
      </c>
      <c r="G221" s="8">
        <f>SUM(G222:G225)</f>
        <v>111471.4</v>
      </c>
      <c r="H221" s="8">
        <f>SUM(H222:H226)</f>
        <v>173833</v>
      </c>
      <c r="I221" s="8">
        <f>SUM(I222:I225)</f>
        <v>35800</v>
      </c>
      <c r="J221" s="1948" t="s">
        <v>81</v>
      </c>
      <c r="K221" s="1949" t="s">
        <v>82</v>
      </c>
    </row>
    <row r="222" spans="1:11" s="2" customFormat="1" ht="15.95" customHeight="1">
      <c r="A222" s="1945"/>
      <c r="B222" s="1946"/>
      <c r="C222" s="1947"/>
      <c r="D222" s="57">
        <v>2016</v>
      </c>
      <c r="E222" s="8">
        <f>F222+G222+H222+I222</f>
        <v>76401.7</v>
      </c>
      <c r="F222" s="8">
        <f t="shared" ref="F222:I226" si="22">SUM(F228,F234,F240,F246,F252,F258,F264,F270,F276,F282,F288,F294)</f>
        <v>38301.699999999997</v>
      </c>
      <c r="G222" s="8">
        <f t="shared" si="22"/>
        <v>0</v>
      </c>
      <c r="H222" s="8">
        <f t="shared" si="22"/>
        <v>17300</v>
      </c>
      <c r="I222" s="8">
        <f t="shared" si="22"/>
        <v>20800</v>
      </c>
      <c r="J222" s="1948"/>
      <c r="K222" s="1949"/>
    </row>
    <row r="223" spans="1:11" s="2" customFormat="1" ht="15.95" customHeight="1">
      <c r="A223" s="1945"/>
      <c r="B223" s="1946"/>
      <c r="C223" s="1947"/>
      <c r="D223" s="57">
        <v>2017</v>
      </c>
      <c r="E223" s="8">
        <f>F223+G223+H223+I223</f>
        <v>165279.4</v>
      </c>
      <c r="F223" s="8">
        <f t="shared" si="22"/>
        <v>85679.4</v>
      </c>
      <c r="G223" s="8">
        <f t="shared" si="22"/>
        <v>0</v>
      </c>
      <c r="H223" s="8">
        <f t="shared" si="22"/>
        <v>64600</v>
      </c>
      <c r="I223" s="8">
        <f t="shared" si="22"/>
        <v>15000</v>
      </c>
      <c r="J223" s="1948"/>
      <c r="K223" s="1949"/>
    </row>
    <row r="224" spans="1:11" s="2" customFormat="1" ht="15.95" customHeight="1">
      <c r="A224" s="1945"/>
      <c r="B224" s="1946"/>
      <c r="C224" s="1947"/>
      <c r="D224" s="57">
        <v>2018</v>
      </c>
      <c r="E224" s="8">
        <f>F224+G224+H224+I224</f>
        <v>363024.95</v>
      </c>
      <c r="F224" s="8">
        <f t="shared" si="22"/>
        <v>321650.85000000003</v>
      </c>
      <c r="G224" s="8">
        <f t="shared" si="22"/>
        <v>0</v>
      </c>
      <c r="H224" s="8">
        <f t="shared" si="22"/>
        <v>41374.1</v>
      </c>
      <c r="I224" s="8">
        <f t="shared" si="22"/>
        <v>0</v>
      </c>
      <c r="J224" s="1948"/>
      <c r="K224" s="1949"/>
    </row>
    <row r="225" spans="1:11" s="2" customFormat="1" ht="15.95" customHeight="1">
      <c r="A225" s="1945"/>
      <c r="B225" s="1946"/>
      <c r="C225" s="1947"/>
      <c r="D225" s="57">
        <v>2019</v>
      </c>
      <c r="E225" s="8">
        <f>F225+G225+H225+I225</f>
        <v>555441</v>
      </c>
      <c r="F225" s="8">
        <f t="shared" si="22"/>
        <v>394349.7</v>
      </c>
      <c r="G225" s="8">
        <f t="shared" si="22"/>
        <v>111471.4</v>
      </c>
      <c r="H225" s="8">
        <f t="shared" si="22"/>
        <v>49619.9</v>
      </c>
      <c r="I225" s="8">
        <f t="shared" si="22"/>
        <v>0</v>
      </c>
      <c r="J225" s="1948"/>
      <c r="K225" s="1949"/>
    </row>
    <row r="226" spans="1:11" s="2" customFormat="1" ht="15.95" customHeight="1">
      <c r="A226" s="1945"/>
      <c r="B226" s="1946"/>
      <c r="C226" s="1947"/>
      <c r="D226" s="57">
        <v>2020</v>
      </c>
      <c r="E226" s="8">
        <f>F226+G226+H226+I226</f>
        <v>249165</v>
      </c>
      <c r="F226" s="8">
        <f t="shared" si="22"/>
        <v>136754.6</v>
      </c>
      <c r="G226" s="8">
        <f t="shared" si="22"/>
        <v>111471.4</v>
      </c>
      <c r="H226" s="8">
        <f t="shared" si="22"/>
        <v>939</v>
      </c>
      <c r="I226" s="8">
        <f t="shared" si="22"/>
        <v>0</v>
      </c>
      <c r="J226" s="1948"/>
      <c r="K226" s="1949"/>
    </row>
    <row r="227" spans="1:11" s="2" customFormat="1" ht="15" customHeight="1">
      <c r="A227" s="1954" t="s">
        <v>79</v>
      </c>
      <c r="B227" s="1946" t="s">
        <v>83</v>
      </c>
      <c r="C227" s="1947" t="s">
        <v>159</v>
      </c>
      <c r="D227" s="57" t="s">
        <v>8</v>
      </c>
      <c r="E227" s="8">
        <f t="shared" ref="E227:E261" si="23">SUM(F227:I227)</f>
        <v>25587.5</v>
      </c>
      <c r="F227" s="8">
        <f>SUM(F228:F232)</f>
        <v>25587.5</v>
      </c>
      <c r="G227" s="8">
        <f>SUM(G228:G232)</f>
        <v>0</v>
      </c>
      <c r="H227" s="8">
        <f>SUM(H228:H232)</f>
        <v>0</v>
      </c>
      <c r="I227" s="8">
        <f>SUM(I228:I232)</f>
        <v>0</v>
      </c>
      <c r="J227" s="1948" t="s">
        <v>160</v>
      </c>
      <c r="K227" s="1949" t="s">
        <v>85</v>
      </c>
    </row>
    <row r="228" spans="1:11" s="2" customFormat="1">
      <c r="A228" s="1945"/>
      <c r="B228" s="1946"/>
      <c r="C228" s="1947"/>
      <c r="D228" s="57">
        <v>2016</v>
      </c>
      <c r="E228" s="8">
        <f t="shared" si="23"/>
        <v>25587.5</v>
      </c>
      <c r="F228" s="9">
        <v>25587.5</v>
      </c>
      <c r="G228" s="9">
        <v>0</v>
      </c>
      <c r="H228" s="9">
        <v>0</v>
      </c>
      <c r="I228" s="9">
        <v>0</v>
      </c>
      <c r="J228" s="1948"/>
      <c r="K228" s="1949"/>
    </row>
    <row r="229" spans="1:11" s="2" customFormat="1">
      <c r="A229" s="1945"/>
      <c r="B229" s="1946"/>
      <c r="C229" s="1947"/>
      <c r="D229" s="57">
        <v>2017</v>
      </c>
      <c r="E229" s="8">
        <f t="shared" si="23"/>
        <v>0</v>
      </c>
      <c r="F229" s="9">
        <v>0</v>
      </c>
      <c r="G229" s="9">
        <v>0</v>
      </c>
      <c r="H229" s="9">
        <v>0</v>
      </c>
      <c r="I229" s="9">
        <v>0</v>
      </c>
      <c r="J229" s="1948"/>
      <c r="K229" s="1949"/>
    </row>
    <row r="230" spans="1:11" s="2" customFormat="1">
      <c r="A230" s="1945"/>
      <c r="B230" s="1946"/>
      <c r="C230" s="1947"/>
      <c r="D230" s="57">
        <v>2018</v>
      </c>
      <c r="E230" s="8">
        <f t="shared" si="23"/>
        <v>0</v>
      </c>
      <c r="F230" s="9">
        <v>0</v>
      </c>
      <c r="G230" s="9">
        <v>0</v>
      </c>
      <c r="H230" s="9">
        <v>0</v>
      </c>
      <c r="I230" s="9">
        <v>0</v>
      </c>
      <c r="J230" s="1948"/>
      <c r="K230" s="1949"/>
    </row>
    <row r="231" spans="1:11" s="2" customFormat="1">
      <c r="A231" s="1945"/>
      <c r="B231" s="1946"/>
      <c r="C231" s="1947"/>
      <c r="D231" s="57">
        <v>2019</v>
      </c>
      <c r="E231" s="8">
        <f>SUM(F231:I231)</f>
        <v>0</v>
      </c>
      <c r="F231" s="9">
        <v>0</v>
      </c>
      <c r="G231" s="9">
        <v>0</v>
      </c>
      <c r="H231" s="9">
        <v>0</v>
      </c>
      <c r="I231" s="9">
        <v>0</v>
      </c>
      <c r="J231" s="1948"/>
      <c r="K231" s="1949"/>
    </row>
    <row r="232" spans="1:11" s="2" customFormat="1">
      <c r="A232" s="1945"/>
      <c r="B232" s="1946"/>
      <c r="C232" s="1947"/>
      <c r="D232" s="57">
        <v>2020</v>
      </c>
      <c r="E232" s="8">
        <f>SUM(F232:I232)</f>
        <v>0</v>
      </c>
      <c r="F232" s="9">
        <v>0</v>
      </c>
      <c r="G232" s="9">
        <v>0</v>
      </c>
      <c r="H232" s="9">
        <v>0</v>
      </c>
      <c r="I232" s="9">
        <v>0</v>
      </c>
      <c r="J232" s="1948"/>
      <c r="K232" s="1949"/>
    </row>
    <row r="233" spans="1:11" s="10" customFormat="1" ht="13.5" customHeight="1">
      <c r="A233" s="1954" t="s">
        <v>214</v>
      </c>
      <c r="B233" s="1946" t="s">
        <v>215</v>
      </c>
      <c r="C233" s="1947" t="s">
        <v>86</v>
      </c>
      <c r="D233" s="55" t="s">
        <v>8</v>
      </c>
      <c r="E233" s="8">
        <f t="shared" ref="E233:E238" si="24">SUM(F233:I233)</f>
        <v>21750</v>
      </c>
      <c r="F233" s="8">
        <f>SUM(F234:F238)</f>
        <v>21750</v>
      </c>
      <c r="G233" s="8">
        <f>SUM(G234:G238)</f>
        <v>0</v>
      </c>
      <c r="H233" s="8">
        <f>SUM(H234:H238)</f>
        <v>0</v>
      </c>
      <c r="I233" s="8">
        <f>SUM(I234:I238)</f>
        <v>0</v>
      </c>
      <c r="J233" s="1948" t="s">
        <v>87</v>
      </c>
      <c r="K233" s="1949" t="s">
        <v>26</v>
      </c>
    </row>
    <row r="234" spans="1:11" s="10" customFormat="1" ht="13.5" customHeight="1">
      <c r="A234" s="1945"/>
      <c r="B234" s="1946"/>
      <c r="C234" s="1947"/>
      <c r="D234" s="55">
        <v>2016</v>
      </c>
      <c r="E234" s="8">
        <f t="shared" si="24"/>
        <v>3750</v>
      </c>
      <c r="F234" s="11">
        <v>3750</v>
      </c>
      <c r="G234" s="9">
        <v>0</v>
      </c>
      <c r="H234" s="9">
        <v>0</v>
      </c>
      <c r="I234" s="9">
        <v>0</v>
      </c>
      <c r="J234" s="1948"/>
      <c r="K234" s="1949"/>
    </row>
    <row r="235" spans="1:11" s="10" customFormat="1" ht="13.5" customHeight="1">
      <c r="A235" s="1945"/>
      <c r="B235" s="1946"/>
      <c r="C235" s="1947"/>
      <c r="D235" s="55">
        <v>2017</v>
      </c>
      <c r="E235" s="8">
        <f t="shared" si="24"/>
        <v>4500</v>
      </c>
      <c r="F235" s="11">
        <v>4500</v>
      </c>
      <c r="G235" s="9">
        <v>0</v>
      </c>
      <c r="H235" s="9">
        <v>0</v>
      </c>
      <c r="I235" s="9">
        <v>0</v>
      </c>
      <c r="J235" s="1948"/>
      <c r="K235" s="1949"/>
    </row>
    <row r="236" spans="1:11" s="12" customFormat="1" ht="14.25" customHeight="1">
      <c r="A236" s="1945"/>
      <c r="B236" s="1946"/>
      <c r="C236" s="1947"/>
      <c r="D236" s="55">
        <v>2018</v>
      </c>
      <c r="E236" s="8">
        <f t="shared" si="24"/>
        <v>4500</v>
      </c>
      <c r="F236" s="11">
        <v>4500</v>
      </c>
      <c r="G236" s="9">
        <v>0</v>
      </c>
      <c r="H236" s="9">
        <v>0</v>
      </c>
      <c r="I236" s="9">
        <v>0</v>
      </c>
      <c r="J236" s="1948"/>
      <c r="K236" s="1949"/>
    </row>
    <row r="237" spans="1:11" s="12" customFormat="1" ht="14.25" customHeight="1">
      <c r="A237" s="1945"/>
      <c r="B237" s="1946"/>
      <c r="C237" s="1947"/>
      <c r="D237" s="55">
        <v>2019</v>
      </c>
      <c r="E237" s="8">
        <f t="shared" si="24"/>
        <v>4500</v>
      </c>
      <c r="F237" s="11">
        <v>4500</v>
      </c>
      <c r="G237" s="9">
        <v>0</v>
      </c>
      <c r="H237" s="9">
        <v>0</v>
      </c>
      <c r="I237" s="9">
        <v>0</v>
      </c>
      <c r="J237" s="1948"/>
      <c r="K237" s="1949"/>
    </row>
    <row r="238" spans="1:11" s="12" customFormat="1" ht="14.25" customHeight="1">
      <c r="A238" s="1945"/>
      <c r="B238" s="1946"/>
      <c r="C238" s="1947"/>
      <c r="D238" s="55">
        <v>2020</v>
      </c>
      <c r="E238" s="8">
        <f t="shared" si="24"/>
        <v>4500</v>
      </c>
      <c r="F238" s="11">
        <v>4500</v>
      </c>
      <c r="G238" s="9">
        <v>0</v>
      </c>
      <c r="H238" s="9">
        <v>0</v>
      </c>
      <c r="I238" s="9">
        <v>0</v>
      </c>
      <c r="J238" s="1948"/>
      <c r="K238" s="1949"/>
    </row>
    <row r="239" spans="1:11" s="10" customFormat="1" ht="14.25" customHeight="1">
      <c r="A239" s="1945" t="s">
        <v>216</v>
      </c>
      <c r="B239" s="1946" t="s">
        <v>88</v>
      </c>
      <c r="C239" s="1947" t="s">
        <v>161</v>
      </c>
      <c r="D239" s="55" t="s">
        <v>8</v>
      </c>
      <c r="E239" s="8">
        <f t="shared" si="23"/>
        <v>48012.05</v>
      </c>
      <c r="F239" s="8">
        <f>SUM(F240:F244)</f>
        <v>48012.05</v>
      </c>
      <c r="G239" s="8">
        <f>SUM(G240:G244)</f>
        <v>0</v>
      </c>
      <c r="H239" s="8">
        <f>SUM(H240:H244)</f>
        <v>0</v>
      </c>
      <c r="I239" s="8">
        <f>SUM(I240:I244)</f>
        <v>0</v>
      </c>
      <c r="J239" s="1948" t="s">
        <v>169</v>
      </c>
      <c r="K239" s="1949" t="s">
        <v>89</v>
      </c>
    </row>
    <row r="240" spans="1:11" s="10" customFormat="1" ht="13.5" customHeight="1">
      <c r="A240" s="1945"/>
      <c r="B240" s="1946"/>
      <c r="C240" s="1947"/>
      <c r="D240" s="55">
        <v>2016</v>
      </c>
      <c r="E240" s="8">
        <f t="shared" si="23"/>
        <v>1866</v>
      </c>
      <c r="F240" s="9">
        <v>1866</v>
      </c>
      <c r="G240" s="9">
        <v>0</v>
      </c>
      <c r="H240" s="9">
        <v>0</v>
      </c>
      <c r="I240" s="9">
        <v>0</v>
      </c>
      <c r="J240" s="1948"/>
      <c r="K240" s="1949"/>
    </row>
    <row r="241" spans="1:11" s="10" customFormat="1" ht="13.5" customHeight="1">
      <c r="A241" s="1945"/>
      <c r="B241" s="1946"/>
      <c r="C241" s="1947"/>
      <c r="D241" s="55">
        <v>2017</v>
      </c>
      <c r="E241" s="8">
        <f t="shared" si="23"/>
        <v>99</v>
      </c>
      <c r="F241" s="9">
        <v>99</v>
      </c>
      <c r="G241" s="9">
        <v>0</v>
      </c>
      <c r="H241" s="9">
        <v>0</v>
      </c>
      <c r="I241" s="9">
        <v>0</v>
      </c>
      <c r="J241" s="1948"/>
      <c r="K241" s="1949"/>
    </row>
    <row r="242" spans="1:11" s="12" customFormat="1" ht="14.25" customHeight="1">
      <c r="A242" s="1945"/>
      <c r="B242" s="1946"/>
      <c r="C242" s="1947"/>
      <c r="D242" s="55">
        <v>2018</v>
      </c>
      <c r="E242" s="8">
        <f t="shared" si="23"/>
        <v>31489.75</v>
      </c>
      <c r="F242" s="9">
        <v>31489.75</v>
      </c>
      <c r="G242" s="9">
        <v>0</v>
      </c>
      <c r="H242" s="9">
        <v>0</v>
      </c>
      <c r="I242" s="9">
        <v>0</v>
      </c>
      <c r="J242" s="1948"/>
      <c r="K242" s="1949"/>
    </row>
    <row r="243" spans="1:11" s="12" customFormat="1" ht="14.25" customHeight="1">
      <c r="A243" s="1945"/>
      <c r="B243" s="1946"/>
      <c r="C243" s="1947"/>
      <c r="D243" s="55">
        <v>2019</v>
      </c>
      <c r="E243" s="8">
        <f>SUM(F243:I243)</f>
        <v>14557.3</v>
      </c>
      <c r="F243" s="9">
        <v>14557.3</v>
      </c>
      <c r="G243" s="9">
        <v>0</v>
      </c>
      <c r="H243" s="9">
        <v>0</v>
      </c>
      <c r="I243" s="9">
        <v>0</v>
      </c>
      <c r="J243" s="1948"/>
      <c r="K243" s="1949"/>
    </row>
    <row r="244" spans="1:11" s="12" customFormat="1" ht="14.25" customHeight="1">
      <c r="A244" s="1945"/>
      <c r="B244" s="1946"/>
      <c r="C244" s="1947"/>
      <c r="D244" s="55">
        <v>2020</v>
      </c>
      <c r="E244" s="8">
        <f>SUM(F244:I244)</f>
        <v>0</v>
      </c>
      <c r="F244" s="9">
        <v>0</v>
      </c>
      <c r="G244" s="9">
        <v>0</v>
      </c>
      <c r="H244" s="9">
        <v>0</v>
      </c>
      <c r="I244" s="9">
        <v>0</v>
      </c>
      <c r="J244" s="1948"/>
      <c r="K244" s="1949"/>
    </row>
    <row r="245" spans="1:11" s="10" customFormat="1" ht="13.5" customHeight="1">
      <c r="A245" s="1945" t="s">
        <v>217</v>
      </c>
      <c r="B245" s="1946" t="s">
        <v>286</v>
      </c>
      <c r="C245" s="1947" t="s">
        <v>161</v>
      </c>
      <c r="D245" s="57" t="s">
        <v>8</v>
      </c>
      <c r="E245" s="8">
        <f t="shared" si="23"/>
        <v>209820.7</v>
      </c>
      <c r="F245" s="8">
        <f>SUM(F246:F250)</f>
        <v>101232.7</v>
      </c>
      <c r="G245" s="8">
        <f>SUM(G246:G250)</f>
        <v>0</v>
      </c>
      <c r="H245" s="8">
        <f>SUM(H246:H250)</f>
        <v>108588</v>
      </c>
      <c r="I245" s="8">
        <f>SUM(I246:I250)</f>
        <v>0</v>
      </c>
      <c r="J245" s="1948" t="s">
        <v>287</v>
      </c>
      <c r="K245" s="1949" t="s">
        <v>90</v>
      </c>
    </row>
    <row r="246" spans="1:11" s="10" customFormat="1" ht="13.5" customHeight="1">
      <c r="A246" s="1945"/>
      <c r="B246" s="1946"/>
      <c r="C246" s="1947"/>
      <c r="D246" s="57">
        <v>2016</v>
      </c>
      <c r="E246" s="8">
        <f t="shared" si="23"/>
        <v>4600</v>
      </c>
      <c r="F246" s="9">
        <v>2300</v>
      </c>
      <c r="G246" s="9">
        <v>0</v>
      </c>
      <c r="H246" s="9">
        <v>2300</v>
      </c>
      <c r="I246" s="9">
        <v>0</v>
      </c>
      <c r="J246" s="1948"/>
      <c r="K246" s="1949"/>
    </row>
    <row r="247" spans="1:11" s="10" customFormat="1" ht="13.5" customHeight="1">
      <c r="A247" s="1945"/>
      <c r="B247" s="1946"/>
      <c r="C247" s="1947"/>
      <c r="D247" s="57">
        <v>2017</v>
      </c>
      <c r="E247" s="8">
        <f t="shared" si="23"/>
        <v>40000</v>
      </c>
      <c r="F247" s="9">
        <v>20000</v>
      </c>
      <c r="G247" s="9">
        <v>0</v>
      </c>
      <c r="H247" s="9">
        <v>20000</v>
      </c>
      <c r="I247" s="9">
        <v>0</v>
      </c>
      <c r="J247" s="1948"/>
      <c r="K247" s="1949"/>
    </row>
    <row r="248" spans="1:11" s="12" customFormat="1" ht="14.25" customHeight="1">
      <c r="A248" s="1945"/>
      <c r="B248" s="1946"/>
      <c r="C248" s="1947"/>
      <c r="D248" s="55">
        <v>2018</v>
      </c>
      <c r="E248" s="8">
        <f t="shared" si="23"/>
        <v>64220.7</v>
      </c>
      <c r="F248" s="9">
        <v>24998.7</v>
      </c>
      <c r="G248" s="9">
        <v>0</v>
      </c>
      <c r="H248" s="9">
        <v>39222</v>
      </c>
      <c r="I248" s="9">
        <v>0</v>
      </c>
      <c r="J248" s="1948"/>
      <c r="K248" s="1949"/>
    </row>
    <row r="249" spans="1:11" s="12" customFormat="1" ht="14.25" customHeight="1">
      <c r="A249" s="1945"/>
      <c r="B249" s="1946"/>
      <c r="C249" s="1947"/>
      <c r="D249" s="58">
        <v>2019</v>
      </c>
      <c r="E249" s="59">
        <f t="shared" si="23"/>
        <v>101000</v>
      </c>
      <c r="F249" s="60">
        <v>53934</v>
      </c>
      <c r="G249" s="60">
        <v>0</v>
      </c>
      <c r="H249" s="60">
        <v>47066</v>
      </c>
      <c r="I249" s="60">
        <v>0</v>
      </c>
      <c r="J249" s="1948"/>
      <c r="K249" s="1949"/>
    </row>
    <row r="250" spans="1:11" s="12" customFormat="1" ht="14.25" customHeight="1">
      <c r="A250" s="1945"/>
      <c r="B250" s="1946"/>
      <c r="C250" s="1947"/>
      <c r="D250" s="58">
        <v>2020</v>
      </c>
      <c r="E250" s="59">
        <f t="shared" si="23"/>
        <v>0</v>
      </c>
      <c r="F250" s="60"/>
      <c r="G250" s="60">
        <v>0</v>
      </c>
      <c r="H250" s="60"/>
      <c r="I250" s="60">
        <v>0</v>
      </c>
      <c r="J250" s="1948"/>
      <c r="K250" s="1949"/>
    </row>
    <row r="251" spans="1:11" s="10" customFormat="1" ht="13.5" customHeight="1">
      <c r="A251" s="1945" t="s">
        <v>219</v>
      </c>
      <c r="B251" s="1946" t="s">
        <v>91</v>
      </c>
      <c r="C251" s="1947" t="s">
        <v>30</v>
      </c>
      <c r="D251" s="57" t="s">
        <v>8</v>
      </c>
      <c r="E251" s="8">
        <f t="shared" si="23"/>
        <v>47000</v>
      </c>
      <c r="F251" s="8">
        <f>SUM(F252:F256)</f>
        <v>0</v>
      </c>
      <c r="G251" s="8">
        <f>SUM(G252:G256)</f>
        <v>0</v>
      </c>
      <c r="H251" s="8">
        <f>SUM(H252:H256)</f>
        <v>22000</v>
      </c>
      <c r="I251" s="8">
        <f>SUM(I252:I256)</f>
        <v>25000</v>
      </c>
      <c r="J251" s="1948" t="s">
        <v>92</v>
      </c>
      <c r="K251" s="1949" t="s">
        <v>93</v>
      </c>
    </row>
    <row r="252" spans="1:11" s="10" customFormat="1" ht="13.5" customHeight="1">
      <c r="A252" s="1945"/>
      <c r="B252" s="1946"/>
      <c r="C252" s="1947"/>
      <c r="D252" s="57">
        <v>2016</v>
      </c>
      <c r="E252" s="8">
        <f t="shared" si="23"/>
        <v>25000</v>
      </c>
      <c r="F252" s="9">
        <v>0</v>
      </c>
      <c r="G252" s="9">
        <v>0</v>
      </c>
      <c r="H252" s="9">
        <v>15000</v>
      </c>
      <c r="I252" s="9">
        <v>10000</v>
      </c>
      <c r="J252" s="1948"/>
      <c r="K252" s="1949"/>
    </row>
    <row r="253" spans="1:11" s="10" customFormat="1" ht="13.5" customHeight="1">
      <c r="A253" s="1945"/>
      <c r="B253" s="1946"/>
      <c r="C253" s="1947"/>
      <c r="D253" s="57">
        <v>2017</v>
      </c>
      <c r="E253" s="8">
        <f t="shared" si="23"/>
        <v>22000</v>
      </c>
      <c r="F253" s="9">
        <v>0</v>
      </c>
      <c r="G253" s="9">
        <v>0</v>
      </c>
      <c r="H253" s="9">
        <v>7000</v>
      </c>
      <c r="I253" s="9">
        <v>15000</v>
      </c>
      <c r="J253" s="1948"/>
      <c r="K253" s="1949"/>
    </row>
    <row r="254" spans="1:11" s="12" customFormat="1" ht="14.25" customHeight="1">
      <c r="A254" s="1945"/>
      <c r="B254" s="1946"/>
      <c r="C254" s="1947"/>
      <c r="D254" s="57">
        <v>2018</v>
      </c>
      <c r="E254" s="8">
        <f t="shared" si="23"/>
        <v>0</v>
      </c>
      <c r="F254" s="9">
        <v>0</v>
      </c>
      <c r="G254" s="9">
        <v>0</v>
      </c>
      <c r="H254" s="9">
        <v>0</v>
      </c>
      <c r="I254" s="9">
        <v>0</v>
      </c>
      <c r="J254" s="1948"/>
      <c r="K254" s="1949"/>
    </row>
    <row r="255" spans="1:11" s="12" customFormat="1" ht="14.25" customHeight="1">
      <c r="A255" s="1945"/>
      <c r="B255" s="1946"/>
      <c r="C255" s="1947"/>
      <c r="D255" s="57">
        <v>2019</v>
      </c>
      <c r="E255" s="8">
        <f t="shared" si="23"/>
        <v>0</v>
      </c>
      <c r="F255" s="9">
        <v>0</v>
      </c>
      <c r="G255" s="9">
        <v>0</v>
      </c>
      <c r="H255" s="9">
        <v>0</v>
      </c>
      <c r="I255" s="9">
        <v>0</v>
      </c>
      <c r="J255" s="1948"/>
      <c r="K255" s="1949"/>
    </row>
    <row r="256" spans="1:11" s="12" customFormat="1" ht="14.25" customHeight="1">
      <c r="A256" s="1945"/>
      <c r="B256" s="1946"/>
      <c r="C256" s="1947"/>
      <c r="D256" s="57">
        <v>2020</v>
      </c>
      <c r="E256" s="8">
        <f>SUM(F256:I256)</f>
        <v>0</v>
      </c>
      <c r="F256" s="9">
        <v>0</v>
      </c>
      <c r="G256" s="9">
        <v>0</v>
      </c>
      <c r="H256" s="9">
        <v>0</v>
      </c>
      <c r="I256" s="9">
        <v>0</v>
      </c>
      <c r="J256" s="1948"/>
      <c r="K256" s="1949"/>
    </row>
    <row r="257" spans="1:11" s="10" customFormat="1" ht="13.5" customHeight="1">
      <c r="A257" s="1945" t="s">
        <v>220</v>
      </c>
      <c r="B257" s="1946" t="s">
        <v>288</v>
      </c>
      <c r="C257" s="1947" t="s">
        <v>95</v>
      </c>
      <c r="D257" s="57" t="s">
        <v>8</v>
      </c>
      <c r="E257" s="8">
        <f t="shared" si="23"/>
        <v>4798.2</v>
      </c>
      <c r="F257" s="8">
        <f>SUM(F258:F262)</f>
        <v>4798.2</v>
      </c>
      <c r="G257" s="8">
        <f>SUM(G258:G262)</f>
        <v>0</v>
      </c>
      <c r="H257" s="8">
        <f>SUM(H258:H262)</f>
        <v>0</v>
      </c>
      <c r="I257" s="8">
        <f>SUM(I258:I262)</f>
        <v>0</v>
      </c>
      <c r="J257" s="1948" t="s">
        <v>96</v>
      </c>
      <c r="K257" s="1949" t="s">
        <v>89</v>
      </c>
    </row>
    <row r="258" spans="1:11" s="10" customFormat="1" ht="13.5" customHeight="1">
      <c r="A258" s="1945"/>
      <c r="B258" s="1946"/>
      <c r="C258" s="1947"/>
      <c r="D258" s="57">
        <v>2016</v>
      </c>
      <c r="E258" s="8">
        <f t="shared" si="23"/>
        <v>4798.2</v>
      </c>
      <c r="F258" s="9">
        <v>4798.2</v>
      </c>
      <c r="G258" s="9">
        <v>0</v>
      </c>
      <c r="H258" s="9">
        <v>0</v>
      </c>
      <c r="I258" s="9">
        <v>0</v>
      </c>
      <c r="J258" s="1948"/>
      <c r="K258" s="1949"/>
    </row>
    <row r="259" spans="1:11" s="10" customFormat="1" ht="13.5" customHeight="1">
      <c r="A259" s="1945"/>
      <c r="B259" s="1946"/>
      <c r="C259" s="1947"/>
      <c r="D259" s="57">
        <v>2017</v>
      </c>
      <c r="E259" s="8">
        <f t="shared" si="23"/>
        <v>0</v>
      </c>
      <c r="F259" s="9">
        <v>0</v>
      </c>
      <c r="G259" s="9">
        <v>0</v>
      </c>
      <c r="H259" s="9">
        <v>0</v>
      </c>
      <c r="I259" s="9">
        <v>0</v>
      </c>
      <c r="J259" s="1948"/>
      <c r="K259" s="1949"/>
    </row>
    <row r="260" spans="1:11" s="12" customFormat="1" ht="14.25" customHeight="1">
      <c r="A260" s="1945"/>
      <c r="B260" s="1946"/>
      <c r="C260" s="1947"/>
      <c r="D260" s="57">
        <v>2018</v>
      </c>
      <c r="E260" s="8">
        <f t="shared" si="23"/>
        <v>0</v>
      </c>
      <c r="F260" s="9">
        <v>0</v>
      </c>
      <c r="G260" s="9">
        <v>0</v>
      </c>
      <c r="H260" s="9">
        <v>0</v>
      </c>
      <c r="I260" s="9">
        <v>0</v>
      </c>
      <c r="J260" s="1948"/>
      <c r="K260" s="1949"/>
    </row>
    <row r="261" spans="1:11" s="12" customFormat="1" ht="14.25" customHeight="1">
      <c r="A261" s="1945"/>
      <c r="B261" s="1946"/>
      <c r="C261" s="1947"/>
      <c r="D261" s="57">
        <v>2019</v>
      </c>
      <c r="E261" s="8">
        <f t="shared" si="23"/>
        <v>0</v>
      </c>
      <c r="F261" s="9">
        <v>0</v>
      </c>
      <c r="G261" s="9">
        <v>0</v>
      </c>
      <c r="H261" s="9">
        <v>0</v>
      </c>
      <c r="I261" s="9">
        <v>0</v>
      </c>
      <c r="J261" s="1948"/>
      <c r="K261" s="1949"/>
    </row>
    <row r="262" spans="1:11" s="12" customFormat="1" ht="14.25" customHeight="1">
      <c r="A262" s="1945"/>
      <c r="B262" s="1946"/>
      <c r="C262" s="1947"/>
      <c r="D262" s="57">
        <v>2020</v>
      </c>
      <c r="E262" s="8">
        <f>SUM(F262:I262)</f>
        <v>0</v>
      </c>
      <c r="F262" s="9">
        <v>0</v>
      </c>
      <c r="G262" s="9">
        <v>0</v>
      </c>
      <c r="H262" s="9">
        <v>0</v>
      </c>
      <c r="I262" s="9">
        <v>0</v>
      </c>
      <c r="J262" s="1948"/>
      <c r="K262" s="1949"/>
    </row>
    <row r="263" spans="1:11" s="10" customFormat="1" ht="19.5" customHeight="1">
      <c r="A263" s="1945" t="s">
        <v>221</v>
      </c>
      <c r="B263" s="1946" t="s">
        <v>145</v>
      </c>
      <c r="C263" s="1947" t="s">
        <v>222</v>
      </c>
      <c r="D263" s="55" t="s">
        <v>8</v>
      </c>
      <c r="E263" s="8">
        <f t="shared" ref="E263:E299" si="25">SUM(F263:I263)</f>
        <v>445885.6</v>
      </c>
      <c r="F263" s="8">
        <f>SUM(F264:F268)</f>
        <v>222942.8</v>
      </c>
      <c r="G263" s="8">
        <f>SUM(G264:G268)</f>
        <v>222942.8</v>
      </c>
      <c r="H263" s="8">
        <f>SUM(H264:H268)</f>
        <v>0</v>
      </c>
      <c r="I263" s="8">
        <f>SUM(I264:I268)</f>
        <v>0</v>
      </c>
      <c r="J263" s="1948" t="s">
        <v>223</v>
      </c>
      <c r="K263" s="1949" t="s">
        <v>89</v>
      </c>
    </row>
    <row r="264" spans="1:11" s="10" customFormat="1" ht="19.5" customHeight="1">
      <c r="A264" s="1945"/>
      <c r="B264" s="1946"/>
      <c r="C264" s="1947"/>
      <c r="D264" s="55">
        <v>2016</v>
      </c>
      <c r="E264" s="8">
        <f t="shared" si="25"/>
        <v>0</v>
      </c>
      <c r="F264" s="9">
        <v>0</v>
      </c>
      <c r="G264" s="9">
        <v>0</v>
      </c>
      <c r="H264" s="9">
        <v>0</v>
      </c>
      <c r="I264" s="9">
        <v>0</v>
      </c>
      <c r="J264" s="1948"/>
      <c r="K264" s="1949"/>
    </row>
    <row r="265" spans="1:11" s="10" customFormat="1" ht="19.5" customHeight="1">
      <c r="A265" s="1945"/>
      <c r="B265" s="1946"/>
      <c r="C265" s="1947"/>
      <c r="D265" s="55">
        <v>2017</v>
      </c>
      <c r="E265" s="8">
        <f t="shared" si="25"/>
        <v>0</v>
      </c>
      <c r="F265" s="9">
        <v>0</v>
      </c>
      <c r="G265" s="9">
        <v>0</v>
      </c>
      <c r="H265" s="9">
        <v>0</v>
      </c>
      <c r="I265" s="9">
        <v>0</v>
      </c>
      <c r="J265" s="1948"/>
      <c r="K265" s="1949"/>
    </row>
    <row r="266" spans="1:11" s="12" customFormat="1" ht="19.5" customHeight="1">
      <c r="A266" s="1945"/>
      <c r="B266" s="1946"/>
      <c r="C266" s="1947"/>
      <c r="D266" s="55">
        <v>2018</v>
      </c>
      <c r="E266" s="8">
        <f t="shared" si="25"/>
        <v>40000</v>
      </c>
      <c r="F266" s="9">
        <v>40000</v>
      </c>
      <c r="G266" s="9">
        <v>0</v>
      </c>
      <c r="H266" s="9">
        <v>0</v>
      </c>
      <c r="I266" s="9">
        <v>0</v>
      </c>
      <c r="J266" s="1948"/>
      <c r="K266" s="1949"/>
    </row>
    <row r="267" spans="1:11" s="12" customFormat="1" ht="19.5" customHeight="1">
      <c r="A267" s="1945"/>
      <c r="B267" s="1946"/>
      <c r="C267" s="1947"/>
      <c r="D267" s="55" t="s">
        <v>224</v>
      </c>
      <c r="E267" s="8">
        <f t="shared" si="25"/>
        <v>180000</v>
      </c>
      <c r="F267" s="9">
        <v>68528.600000000006</v>
      </c>
      <c r="G267" s="9">
        <v>111471.4</v>
      </c>
      <c r="H267" s="9">
        <v>0</v>
      </c>
      <c r="I267" s="9">
        <v>0</v>
      </c>
      <c r="J267" s="1948"/>
      <c r="K267" s="1949"/>
    </row>
    <row r="268" spans="1:11" s="12" customFormat="1" ht="19.5" customHeight="1">
      <c r="A268" s="1945"/>
      <c r="B268" s="1946"/>
      <c r="C268" s="1947"/>
      <c r="D268" s="55" t="s">
        <v>225</v>
      </c>
      <c r="E268" s="8">
        <f>SUM(F268:I268)</f>
        <v>225885.59999999998</v>
      </c>
      <c r="F268" s="9">
        <v>114414.2</v>
      </c>
      <c r="G268" s="9">
        <v>111471.4</v>
      </c>
      <c r="H268" s="9">
        <v>0</v>
      </c>
      <c r="I268" s="9">
        <v>0</v>
      </c>
      <c r="J268" s="1948"/>
      <c r="K268" s="1949"/>
    </row>
    <row r="269" spans="1:11" s="10" customFormat="1" ht="13.5" customHeight="1">
      <c r="A269" s="1945" t="s">
        <v>226</v>
      </c>
      <c r="B269" s="1946" t="s">
        <v>97</v>
      </c>
      <c r="C269" s="1947" t="s">
        <v>161</v>
      </c>
      <c r="D269" s="55" t="s">
        <v>8</v>
      </c>
      <c r="E269" s="8">
        <f t="shared" si="25"/>
        <v>556585.80000000005</v>
      </c>
      <c r="F269" s="8">
        <f>SUM(F270:F274)</f>
        <v>503479.8</v>
      </c>
      <c r="G269" s="8">
        <f>SUM(G270:G274)</f>
        <v>0</v>
      </c>
      <c r="H269" s="8">
        <f>SUM(H270:H274)</f>
        <v>42306</v>
      </c>
      <c r="I269" s="8">
        <f>SUM(I270:I274)</f>
        <v>10800</v>
      </c>
      <c r="J269" s="1948" t="s">
        <v>289</v>
      </c>
      <c r="K269" s="1949" t="s">
        <v>98</v>
      </c>
    </row>
    <row r="270" spans="1:11" s="10" customFormat="1" ht="13.5" customHeight="1">
      <c r="A270" s="1945"/>
      <c r="B270" s="1946"/>
      <c r="C270" s="1947"/>
      <c r="D270" s="55">
        <v>2016</v>
      </c>
      <c r="E270" s="8">
        <f t="shared" si="25"/>
        <v>10800</v>
      </c>
      <c r="F270" s="9">
        <v>0</v>
      </c>
      <c r="G270" s="9">
        <v>0</v>
      </c>
      <c r="H270" s="9">
        <v>0</v>
      </c>
      <c r="I270" s="9">
        <v>10800</v>
      </c>
      <c r="J270" s="1948"/>
      <c r="K270" s="1949"/>
    </row>
    <row r="271" spans="1:11" s="10" customFormat="1" ht="13.5" customHeight="1">
      <c r="A271" s="1945"/>
      <c r="B271" s="1946"/>
      <c r="C271" s="1947"/>
      <c r="D271" s="55">
        <v>2017</v>
      </c>
      <c r="E271" s="8">
        <f t="shared" si="25"/>
        <v>75200</v>
      </c>
      <c r="F271" s="9">
        <v>37600</v>
      </c>
      <c r="G271" s="9">
        <v>0</v>
      </c>
      <c r="H271" s="9">
        <v>37600</v>
      </c>
      <c r="I271" s="9">
        <v>0</v>
      </c>
      <c r="J271" s="1948"/>
      <c r="K271" s="1949"/>
    </row>
    <row r="272" spans="1:11" s="12" customFormat="1" ht="14.25" customHeight="1">
      <c r="A272" s="1945"/>
      <c r="B272" s="1946"/>
      <c r="C272" s="1947"/>
      <c r="D272" s="63">
        <v>2018</v>
      </c>
      <c r="E272" s="8">
        <f t="shared" si="25"/>
        <v>215202.1</v>
      </c>
      <c r="F272" s="9">
        <v>213050</v>
      </c>
      <c r="G272" s="9">
        <v>0</v>
      </c>
      <c r="H272" s="9">
        <v>2152.1</v>
      </c>
      <c r="I272" s="9">
        <v>0</v>
      </c>
      <c r="J272" s="1948"/>
      <c r="K272" s="1949"/>
    </row>
    <row r="273" spans="1:11" s="12" customFormat="1" ht="14.25" customHeight="1">
      <c r="A273" s="1945"/>
      <c r="B273" s="1946"/>
      <c r="C273" s="1947"/>
      <c r="D273" s="63">
        <v>2019</v>
      </c>
      <c r="E273" s="8">
        <f t="shared" si="25"/>
        <v>255383.69999999998</v>
      </c>
      <c r="F273" s="9">
        <v>252829.8</v>
      </c>
      <c r="G273" s="9">
        <v>0</v>
      </c>
      <c r="H273" s="9">
        <v>2553.9</v>
      </c>
      <c r="I273" s="9">
        <v>0</v>
      </c>
      <c r="J273" s="1948"/>
      <c r="K273" s="1949"/>
    </row>
    <row r="274" spans="1:11" s="12" customFormat="1" ht="14.25" customHeight="1">
      <c r="A274" s="1945"/>
      <c r="B274" s="1946"/>
      <c r="C274" s="1947"/>
      <c r="D274" s="55">
        <v>2020</v>
      </c>
      <c r="E274" s="8">
        <f t="shared" si="25"/>
        <v>0</v>
      </c>
      <c r="F274" s="9">
        <v>0</v>
      </c>
      <c r="G274" s="9">
        <v>0</v>
      </c>
      <c r="H274" s="9">
        <v>0</v>
      </c>
      <c r="I274" s="9">
        <v>0</v>
      </c>
      <c r="J274" s="1948"/>
      <c r="K274" s="1949"/>
    </row>
    <row r="275" spans="1:11" s="10" customFormat="1" ht="13.5" customHeight="1">
      <c r="A275" s="1945" t="s">
        <v>227</v>
      </c>
      <c r="B275" s="1946" t="s">
        <v>99</v>
      </c>
      <c r="C275" s="1947" t="s">
        <v>290</v>
      </c>
      <c r="D275" s="55" t="s">
        <v>8</v>
      </c>
      <c r="E275" s="8">
        <f t="shared" si="25"/>
        <v>23652.400000000001</v>
      </c>
      <c r="F275" s="8">
        <f>SUM(F276:F280)</f>
        <v>23652.400000000001</v>
      </c>
      <c r="G275" s="8">
        <f>SUM(G276:G280)</f>
        <v>0</v>
      </c>
      <c r="H275" s="8">
        <f>SUM(H276:H280)</f>
        <v>0</v>
      </c>
      <c r="I275" s="8">
        <f>SUM(I276:I280)</f>
        <v>0</v>
      </c>
      <c r="J275" s="1948" t="s">
        <v>291</v>
      </c>
      <c r="K275" s="1949" t="s">
        <v>100</v>
      </c>
    </row>
    <row r="276" spans="1:11" s="10" customFormat="1" ht="13.5" customHeight="1">
      <c r="A276" s="1945"/>
      <c r="B276" s="1946"/>
      <c r="C276" s="1947"/>
      <c r="D276" s="55">
        <v>2016</v>
      </c>
      <c r="E276" s="8">
        <f t="shared" si="25"/>
        <v>0</v>
      </c>
      <c r="F276" s="9">
        <v>0</v>
      </c>
      <c r="G276" s="9">
        <v>0</v>
      </c>
      <c r="H276" s="9">
        <v>0</v>
      </c>
      <c r="I276" s="9">
        <v>0</v>
      </c>
      <c r="J276" s="1948"/>
      <c r="K276" s="1949"/>
    </row>
    <row r="277" spans="1:11" s="10" customFormat="1" ht="13.5" customHeight="1">
      <c r="A277" s="1945"/>
      <c r="B277" s="1946"/>
      <c r="C277" s="1947"/>
      <c r="D277" s="55">
        <v>2017</v>
      </c>
      <c r="E277" s="8">
        <f t="shared" si="25"/>
        <v>18567.400000000001</v>
      </c>
      <c r="F277" s="9">
        <v>18567.400000000001</v>
      </c>
      <c r="G277" s="9">
        <v>0</v>
      </c>
      <c r="H277" s="9">
        <v>0</v>
      </c>
      <c r="I277" s="9">
        <v>0</v>
      </c>
      <c r="J277" s="1948"/>
      <c r="K277" s="1949"/>
    </row>
    <row r="278" spans="1:11" s="12" customFormat="1" ht="14.25" customHeight="1">
      <c r="A278" s="1945"/>
      <c r="B278" s="1946"/>
      <c r="C278" s="1947"/>
      <c r="D278" s="55">
        <v>2018</v>
      </c>
      <c r="E278" s="8">
        <f t="shared" si="25"/>
        <v>5085</v>
      </c>
      <c r="F278" s="9">
        <v>5085</v>
      </c>
      <c r="G278" s="9">
        <v>0</v>
      </c>
      <c r="H278" s="9">
        <v>0</v>
      </c>
      <c r="I278" s="9">
        <v>0</v>
      </c>
      <c r="J278" s="1948"/>
      <c r="K278" s="1949"/>
    </row>
    <row r="279" spans="1:11" s="12" customFormat="1" ht="14.25" customHeight="1">
      <c r="A279" s="1945"/>
      <c r="B279" s="1946"/>
      <c r="C279" s="1947"/>
      <c r="D279" s="55">
        <v>2019</v>
      </c>
      <c r="E279" s="8">
        <f t="shared" si="25"/>
        <v>0</v>
      </c>
      <c r="F279" s="9">
        <v>0</v>
      </c>
      <c r="G279" s="9">
        <v>0</v>
      </c>
      <c r="H279" s="9">
        <v>0</v>
      </c>
      <c r="I279" s="9">
        <v>0</v>
      </c>
      <c r="J279" s="1948"/>
      <c r="K279" s="1949"/>
    </row>
    <row r="280" spans="1:11" s="12" customFormat="1" ht="14.25" customHeight="1">
      <c r="A280" s="1945"/>
      <c r="B280" s="1946"/>
      <c r="C280" s="1947"/>
      <c r="D280" s="55">
        <v>2020</v>
      </c>
      <c r="E280" s="8">
        <f t="shared" si="25"/>
        <v>0</v>
      </c>
      <c r="F280" s="9">
        <v>0</v>
      </c>
      <c r="G280" s="9">
        <v>0</v>
      </c>
      <c r="H280" s="9">
        <v>0</v>
      </c>
      <c r="I280" s="9">
        <v>0</v>
      </c>
      <c r="J280" s="1948"/>
      <c r="K280" s="1949"/>
    </row>
    <row r="281" spans="1:11" s="10" customFormat="1" ht="13.5" customHeight="1">
      <c r="A281" s="1945" t="s">
        <v>228</v>
      </c>
      <c r="B281" s="1946" t="s">
        <v>101</v>
      </c>
      <c r="C281" s="1947">
        <v>2017</v>
      </c>
      <c r="D281" s="55" t="s">
        <v>8</v>
      </c>
      <c r="E281" s="8">
        <f t="shared" si="25"/>
        <v>4913</v>
      </c>
      <c r="F281" s="8">
        <f>SUM(F282:F286)</f>
        <v>4913</v>
      </c>
      <c r="G281" s="8">
        <f>SUM(G282:G286)</f>
        <v>0</v>
      </c>
      <c r="H281" s="8">
        <f>SUM(H282:H286)</f>
        <v>0</v>
      </c>
      <c r="I281" s="8">
        <f>SUM(I282:I286)</f>
        <v>0</v>
      </c>
      <c r="J281" s="1948" t="s">
        <v>162</v>
      </c>
      <c r="K281" s="1949" t="s">
        <v>89</v>
      </c>
    </row>
    <row r="282" spans="1:11" s="10" customFormat="1" ht="13.5" customHeight="1">
      <c r="A282" s="1945"/>
      <c r="B282" s="1946"/>
      <c r="C282" s="1947"/>
      <c r="D282" s="55">
        <v>2016</v>
      </c>
      <c r="E282" s="8">
        <f t="shared" si="25"/>
        <v>0</v>
      </c>
      <c r="F282" s="9">
        <v>0</v>
      </c>
      <c r="G282" s="9">
        <v>0</v>
      </c>
      <c r="H282" s="9">
        <v>0</v>
      </c>
      <c r="I282" s="9">
        <v>0</v>
      </c>
      <c r="J282" s="1948"/>
      <c r="K282" s="1949"/>
    </row>
    <row r="283" spans="1:11" s="10" customFormat="1" ht="13.5" customHeight="1">
      <c r="A283" s="1945"/>
      <c r="B283" s="1946"/>
      <c r="C283" s="1947"/>
      <c r="D283" s="55">
        <v>2017</v>
      </c>
      <c r="E283" s="8">
        <f t="shared" si="25"/>
        <v>4913</v>
      </c>
      <c r="F283" s="9">
        <v>4913</v>
      </c>
      <c r="G283" s="9">
        <v>0</v>
      </c>
      <c r="H283" s="9">
        <v>0</v>
      </c>
      <c r="I283" s="9">
        <v>0</v>
      </c>
      <c r="J283" s="1948"/>
      <c r="K283" s="1949"/>
    </row>
    <row r="284" spans="1:11" s="12" customFormat="1" ht="14.25" customHeight="1">
      <c r="A284" s="1945"/>
      <c r="B284" s="1946"/>
      <c r="C284" s="1947"/>
      <c r="D284" s="55">
        <v>2018</v>
      </c>
      <c r="E284" s="8">
        <f t="shared" si="25"/>
        <v>0</v>
      </c>
      <c r="F284" s="9">
        <v>0</v>
      </c>
      <c r="G284" s="9">
        <v>0</v>
      </c>
      <c r="H284" s="9">
        <v>0</v>
      </c>
      <c r="I284" s="9">
        <v>0</v>
      </c>
      <c r="J284" s="1948"/>
      <c r="K284" s="1949"/>
    </row>
    <row r="285" spans="1:11" s="12" customFormat="1" ht="14.25" customHeight="1">
      <c r="A285" s="1945"/>
      <c r="B285" s="1946"/>
      <c r="C285" s="1947"/>
      <c r="D285" s="55">
        <v>2019</v>
      </c>
      <c r="E285" s="8">
        <f t="shared" si="25"/>
        <v>0</v>
      </c>
      <c r="F285" s="9">
        <v>0</v>
      </c>
      <c r="G285" s="9">
        <v>0</v>
      </c>
      <c r="H285" s="9">
        <v>0</v>
      </c>
      <c r="I285" s="9">
        <v>0</v>
      </c>
      <c r="J285" s="1948"/>
      <c r="K285" s="1949"/>
    </row>
    <row r="286" spans="1:11" s="12" customFormat="1" ht="14.25" customHeight="1">
      <c r="A286" s="1945"/>
      <c r="B286" s="1946"/>
      <c r="C286" s="1947"/>
      <c r="D286" s="55">
        <v>2020</v>
      </c>
      <c r="E286" s="8">
        <f t="shared" si="25"/>
        <v>0</v>
      </c>
      <c r="F286" s="9">
        <v>0</v>
      </c>
      <c r="G286" s="9">
        <v>0</v>
      </c>
      <c r="H286" s="9">
        <v>0</v>
      </c>
      <c r="I286" s="9">
        <v>0</v>
      </c>
      <c r="J286" s="1948"/>
      <c r="K286" s="1949"/>
    </row>
    <row r="287" spans="1:11" s="10" customFormat="1" ht="13.5" customHeight="1">
      <c r="A287" s="1945" t="s">
        <v>229</v>
      </c>
      <c r="B287" s="1946" t="s">
        <v>230</v>
      </c>
      <c r="C287" s="1947">
        <v>2018</v>
      </c>
      <c r="D287" s="55" t="s">
        <v>8</v>
      </c>
      <c r="E287" s="8">
        <f t="shared" si="25"/>
        <v>2527.4</v>
      </c>
      <c r="F287" s="8">
        <f>SUM(F288:F292)</f>
        <v>2527.4</v>
      </c>
      <c r="G287" s="8">
        <f>SUM(G288:G292)</f>
        <v>0</v>
      </c>
      <c r="H287" s="8">
        <f>SUM(H288:H292)</f>
        <v>0</v>
      </c>
      <c r="I287" s="8">
        <f>SUM(I288:I292)</f>
        <v>0</v>
      </c>
      <c r="J287" s="1948" t="s">
        <v>231</v>
      </c>
      <c r="K287" s="1949" t="s">
        <v>292</v>
      </c>
    </row>
    <row r="288" spans="1:11" s="10" customFormat="1" ht="13.5" customHeight="1">
      <c r="A288" s="1945"/>
      <c r="B288" s="1946"/>
      <c r="C288" s="1947"/>
      <c r="D288" s="55">
        <v>2016</v>
      </c>
      <c r="E288" s="8">
        <f t="shared" si="25"/>
        <v>0</v>
      </c>
      <c r="F288" s="9">
        <v>0</v>
      </c>
      <c r="G288" s="9">
        <v>0</v>
      </c>
      <c r="H288" s="9">
        <v>0</v>
      </c>
      <c r="I288" s="9">
        <v>0</v>
      </c>
      <c r="J288" s="1948"/>
      <c r="K288" s="1949"/>
    </row>
    <row r="289" spans="1:12" s="10" customFormat="1" ht="13.5" customHeight="1">
      <c r="A289" s="1945"/>
      <c r="B289" s="1946"/>
      <c r="C289" s="1947"/>
      <c r="D289" s="55">
        <v>2017</v>
      </c>
      <c r="E289" s="8">
        <f t="shared" si="25"/>
        <v>0</v>
      </c>
      <c r="F289" s="9">
        <v>0</v>
      </c>
      <c r="G289" s="9">
        <v>0</v>
      </c>
      <c r="H289" s="9">
        <v>0</v>
      </c>
      <c r="I289" s="9">
        <v>0</v>
      </c>
      <c r="J289" s="1948"/>
      <c r="K289" s="1949"/>
    </row>
    <row r="290" spans="1:12" s="12" customFormat="1" ht="14.25" customHeight="1">
      <c r="A290" s="1945"/>
      <c r="B290" s="1946"/>
      <c r="C290" s="1947"/>
      <c r="D290" s="55">
        <v>2018</v>
      </c>
      <c r="E290" s="8">
        <f t="shared" si="25"/>
        <v>2527.4</v>
      </c>
      <c r="F290" s="9">
        <v>2527.4</v>
      </c>
      <c r="G290" s="9">
        <v>0</v>
      </c>
      <c r="H290" s="9">
        <v>0</v>
      </c>
      <c r="I290" s="9">
        <v>0</v>
      </c>
      <c r="J290" s="1948"/>
      <c r="K290" s="1949"/>
    </row>
    <row r="291" spans="1:12" s="12" customFormat="1" ht="14.25" customHeight="1">
      <c r="A291" s="1945"/>
      <c r="B291" s="1946"/>
      <c r="C291" s="1947"/>
      <c r="D291" s="55">
        <v>2019</v>
      </c>
      <c r="E291" s="8">
        <f t="shared" si="25"/>
        <v>0</v>
      </c>
      <c r="F291" s="9">
        <v>0</v>
      </c>
      <c r="G291" s="9">
        <v>0</v>
      </c>
      <c r="H291" s="9">
        <v>0</v>
      </c>
      <c r="I291" s="9">
        <v>0</v>
      </c>
      <c r="J291" s="1948"/>
      <c r="K291" s="1949"/>
    </row>
    <row r="292" spans="1:12" s="12" customFormat="1" ht="14.25" customHeight="1">
      <c r="A292" s="1945"/>
      <c r="B292" s="1946"/>
      <c r="C292" s="1947"/>
      <c r="D292" s="55">
        <v>2020</v>
      </c>
      <c r="E292" s="8">
        <f t="shared" si="25"/>
        <v>0</v>
      </c>
      <c r="F292" s="9">
        <v>0</v>
      </c>
      <c r="G292" s="9">
        <v>0</v>
      </c>
      <c r="H292" s="9">
        <v>0</v>
      </c>
      <c r="I292" s="9">
        <v>0</v>
      </c>
      <c r="J292" s="1948"/>
      <c r="K292" s="1949"/>
    </row>
    <row r="293" spans="1:12" s="10" customFormat="1" ht="13.5" customHeight="1">
      <c r="A293" s="1945" t="s">
        <v>233</v>
      </c>
      <c r="B293" s="1946" t="s">
        <v>234</v>
      </c>
      <c r="C293" s="1947">
        <v>2020</v>
      </c>
      <c r="D293" s="55" t="s">
        <v>8</v>
      </c>
      <c r="E293" s="8">
        <f t="shared" si="25"/>
        <v>18779.400000000001</v>
      </c>
      <c r="F293" s="8">
        <f>SUM(F294:F298)</f>
        <v>17840.400000000001</v>
      </c>
      <c r="G293" s="8">
        <f>SUM(G294:G298)</f>
        <v>0</v>
      </c>
      <c r="H293" s="8">
        <f>SUM(H294:H298)</f>
        <v>939</v>
      </c>
      <c r="I293" s="8">
        <f>SUM(I294:I298)</f>
        <v>0</v>
      </c>
      <c r="J293" s="1948" t="s">
        <v>235</v>
      </c>
      <c r="K293" s="1949" t="s">
        <v>168</v>
      </c>
    </row>
    <row r="294" spans="1:12" s="10" customFormat="1" ht="13.5" customHeight="1">
      <c r="A294" s="1945"/>
      <c r="B294" s="1946"/>
      <c r="C294" s="1947"/>
      <c r="D294" s="55">
        <v>2016</v>
      </c>
      <c r="E294" s="8">
        <f t="shared" si="25"/>
        <v>0</v>
      </c>
      <c r="F294" s="9">
        <v>0</v>
      </c>
      <c r="G294" s="9">
        <v>0</v>
      </c>
      <c r="H294" s="9">
        <v>0</v>
      </c>
      <c r="I294" s="9">
        <v>0</v>
      </c>
      <c r="J294" s="1948"/>
      <c r="K294" s="1949"/>
    </row>
    <row r="295" spans="1:12" s="10" customFormat="1" ht="13.5" customHeight="1">
      <c r="A295" s="1945"/>
      <c r="B295" s="1946"/>
      <c r="C295" s="1947"/>
      <c r="D295" s="55">
        <v>2017</v>
      </c>
      <c r="E295" s="8">
        <f t="shared" si="25"/>
        <v>0</v>
      </c>
      <c r="F295" s="9">
        <v>0</v>
      </c>
      <c r="G295" s="9">
        <v>0</v>
      </c>
      <c r="H295" s="9">
        <v>0</v>
      </c>
      <c r="I295" s="9">
        <v>0</v>
      </c>
      <c r="J295" s="1948"/>
      <c r="K295" s="1949"/>
    </row>
    <row r="296" spans="1:12" s="12" customFormat="1" ht="14.25" customHeight="1">
      <c r="A296" s="1945"/>
      <c r="B296" s="1946"/>
      <c r="C296" s="1947"/>
      <c r="D296" s="55">
        <v>2018</v>
      </c>
      <c r="E296" s="8">
        <f t="shared" si="25"/>
        <v>0</v>
      </c>
      <c r="F296" s="9">
        <v>0</v>
      </c>
      <c r="G296" s="9">
        <v>0</v>
      </c>
      <c r="H296" s="9">
        <v>0</v>
      </c>
      <c r="I296" s="9">
        <v>0</v>
      </c>
      <c r="J296" s="1948"/>
      <c r="K296" s="1949"/>
    </row>
    <row r="297" spans="1:12" s="12" customFormat="1" ht="14.25" customHeight="1">
      <c r="A297" s="1945"/>
      <c r="B297" s="1946"/>
      <c r="C297" s="1947"/>
      <c r="D297" s="55">
        <v>2019</v>
      </c>
      <c r="E297" s="8">
        <f t="shared" si="25"/>
        <v>0</v>
      </c>
      <c r="F297" s="9">
        <v>0</v>
      </c>
      <c r="G297" s="9">
        <v>0</v>
      </c>
      <c r="H297" s="9">
        <v>0</v>
      </c>
      <c r="I297" s="9">
        <v>0</v>
      </c>
      <c r="J297" s="1948"/>
      <c r="K297" s="1949"/>
    </row>
    <row r="298" spans="1:12" s="12" customFormat="1" ht="14.25" customHeight="1">
      <c r="A298" s="1945"/>
      <c r="B298" s="1946"/>
      <c r="C298" s="1947"/>
      <c r="D298" s="55">
        <v>2020</v>
      </c>
      <c r="E298" s="8">
        <f t="shared" si="25"/>
        <v>18779.400000000001</v>
      </c>
      <c r="F298" s="9">
        <v>17840.400000000001</v>
      </c>
      <c r="G298" s="9">
        <v>0</v>
      </c>
      <c r="H298" s="9">
        <v>939</v>
      </c>
      <c r="I298" s="9">
        <v>0</v>
      </c>
      <c r="J298" s="1948"/>
      <c r="K298" s="1949"/>
    </row>
    <row r="299" spans="1:12" ht="15" customHeight="1">
      <c r="A299" s="1945" t="s">
        <v>178</v>
      </c>
      <c r="B299" s="1946" t="s">
        <v>103</v>
      </c>
      <c r="C299" s="1947" t="s">
        <v>14</v>
      </c>
      <c r="D299" s="57" t="s">
        <v>8</v>
      </c>
      <c r="E299" s="8">
        <f t="shared" si="25"/>
        <v>283913.40000000002</v>
      </c>
      <c r="F299" s="8">
        <f>SUM(F300:F304)</f>
        <v>247202.2</v>
      </c>
      <c r="G299" s="8">
        <f>SUM(G300:G304)</f>
        <v>22623</v>
      </c>
      <c r="H299" s="8">
        <f>SUM(H300:H304)</f>
        <v>14088.2</v>
      </c>
      <c r="I299" s="8">
        <f>SUM(I300:I304)</f>
        <v>0</v>
      </c>
      <c r="J299" s="1948" t="s">
        <v>104</v>
      </c>
      <c r="K299" s="1948" t="s">
        <v>105</v>
      </c>
      <c r="L299" s="1955"/>
    </row>
    <row r="300" spans="1:12">
      <c r="A300" s="1945"/>
      <c r="B300" s="1946"/>
      <c r="C300" s="1947"/>
      <c r="D300" s="57">
        <v>2016</v>
      </c>
      <c r="E300" s="8">
        <f t="shared" ref="E300:I304" si="26">E306+E312+E318+E324+E330+E336+E342+E348+E354+E360+E366+E372+E378+E384+E390+E396+E402+E408</f>
        <v>88741</v>
      </c>
      <c r="F300" s="8">
        <f t="shared" si="26"/>
        <v>73734.3</v>
      </c>
      <c r="G300" s="8">
        <f t="shared" si="26"/>
        <v>11357.5</v>
      </c>
      <c r="H300" s="8">
        <f t="shared" si="26"/>
        <v>3649.2</v>
      </c>
      <c r="I300" s="8">
        <f t="shared" si="26"/>
        <v>0</v>
      </c>
      <c r="J300" s="1948"/>
      <c r="K300" s="1948"/>
      <c r="L300" s="1955"/>
    </row>
    <row r="301" spans="1:12">
      <c r="A301" s="1945"/>
      <c r="B301" s="1946"/>
      <c r="C301" s="1947"/>
      <c r="D301" s="57">
        <v>2017</v>
      </c>
      <c r="E301" s="8">
        <f t="shared" si="26"/>
        <v>64251.9</v>
      </c>
      <c r="F301" s="8">
        <f t="shared" si="26"/>
        <v>50265.600000000006</v>
      </c>
      <c r="G301" s="8">
        <f t="shared" si="26"/>
        <v>11265.5</v>
      </c>
      <c r="H301" s="8">
        <f t="shared" si="26"/>
        <v>2720.8</v>
      </c>
      <c r="I301" s="8">
        <f t="shared" si="26"/>
        <v>0</v>
      </c>
      <c r="J301" s="1948"/>
      <c r="K301" s="1948"/>
      <c r="L301" s="1955"/>
    </row>
    <row r="302" spans="1:12">
      <c r="A302" s="1945"/>
      <c r="B302" s="1946"/>
      <c r="C302" s="1947"/>
      <c r="D302" s="57">
        <v>2018</v>
      </c>
      <c r="E302" s="8">
        <f t="shared" si="26"/>
        <v>52003.3</v>
      </c>
      <c r="F302" s="8">
        <f t="shared" si="26"/>
        <v>49477.8</v>
      </c>
      <c r="G302" s="8">
        <f t="shared" si="26"/>
        <v>0</v>
      </c>
      <c r="H302" s="8">
        <f t="shared" si="26"/>
        <v>2525.5</v>
      </c>
      <c r="I302" s="8">
        <f t="shared" si="26"/>
        <v>0</v>
      </c>
      <c r="J302" s="1948"/>
      <c r="K302" s="1948"/>
      <c r="L302" s="1955"/>
    </row>
    <row r="303" spans="1:12">
      <c r="A303" s="1945"/>
      <c r="B303" s="1946"/>
      <c r="C303" s="1947"/>
      <c r="D303" s="57">
        <v>2019</v>
      </c>
      <c r="E303" s="8">
        <f t="shared" si="26"/>
        <v>72917.2</v>
      </c>
      <c r="F303" s="8">
        <f t="shared" si="26"/>
        <v>67724.5</v>
      </c>
      <c r="G303" s="8">
        <f t="shared" si="26"/>
        <v>0</v>
      </c>
      <c r="H303" s="8">
        <f t="shared" si="26"/>
        <v>5192.7</v>
      </c>
      <c r="I303" s="8">
        <f t="shared" si="26"/>
        <v>0</v>
      </c>
      <c r="J303" s="1948"/>
      <c r="K303" s="1948"/>
      <c r="L303" s="1955"/>
    </row>
    <row r="304" spans="1:12">
      <c r="A304" s="1945"/>
      <c r="B304" s="1946"/>
      <c r="C304" s="1947"/>
      <c r="D304" s="57">
        <v>2020</v>
      </c>
      <c r="E304" s="8">
        <f t="shared" si="26"/>
        <v>6000</v>
      </c>
      <c r="F304" s="8">
        <f t="shared" si="26"/>
        <v>6000</v>
      </c>
      <c r="G304" s="8">
        <f t="shared" si="26"/>
        <v>0</v>
      </c>
      <c r="H304" s="8">
        <f t="shared" si="26"/>
        <v>0</v>
      </c>
      <c r="I304" s="8">
        <f t="shared" si="26"/>
        <v>0</v>
      </c>
      <c r="J304" s="1948"/>
      <c r="K304" s="1948"/>
      <c r="L304" s="53"/>
    </row>
    <row r="305" spans="1:11" s="2" customFormat="1" ht="15" customHeight="1">
      <c r="A305" s="1951" t="s">
        <v>102</v>
      </c>
      <c r="B305" s="1952" t="s">
        <v>106</v>
      </c>
      <c r="C305" s="1947" t="s">
        <v>14</v>
      </c>
      <c r="D305" s="37" t="s">
        <v>8</v>
      </c>
      <c r="E305" s="8">
        <f t="shared" ref="E305:E333" si="27">SUM(F305:I305)</f>
        <v>33000</v>
      </c>
      <c r="F305" s="8">
        <f>SUM(F306:F310)</f>
        <v>33000</v>
      </c>
      <c r="G305" s="8">
        <f>SUM(G306:G309)</f>
        <v>0</v>
      </c>
      <c r="H305" s="8">
        <f>SUM(H306:H309)</f>
        <v>0</v>
      </c>
      <c r="I305" s="8">
        <f>SUM(I306:I309)</f>
        <v>0</v>
      </c>
      <c r="J305" s="1952" t="s">
        <v>107</v>
      </c>
      <c r="K305" s="1948" t="s">
        <v>108</v>
      </c>
    </row>
    <row r="306" spans="1:11" s="2" customFormat="1">
      <c r="A306" s="1951"/>
      <c r="B306" s="1952"/>
      <c r="C306" s="1947"/>
      <c r="D306" s="37">
        <v>2016</v>
      </c>
      <c r="E306" s="8">
        <f t="shared" si="27"/>
        <v>9000</v>
      </c>
      <c r="F306" s="13">
        <v>9000</v>
      </c>
      <c r="G306" s="14">
        <v>0</v>
      </c>
      <c r="H306" s="14">
        <v>0</v>
      </c>
      <c r="I306" s="14">
        <v>0</v>
      </c>
      <c r="J306" s="1952"/>
      <c r="K306" s="1948"/>
    </row>
    <row r="307" spans="1:11" s="2" customFormat="1">
      <c r="A307" s="1951"/>
      <c r="B307" s="1952"/>
      <c r="C307" s="1947"/>
      <c r="D307" s="37">
        <v>2017</v>
      </c>
      <c r="E307" s="8">
        <f t="shared" si="27"/>
        <v>6000</v>
      </c>
      <c r="F307" s="13">
        <v>6000</v>
      </c>
      <c r="G307" s="14">
        <v>0</v>
      </c>
      <c r="H307" s="14">
        <v>0</v>
      </c>
      <c r="I307" s="14">
        <v>0</v>
      </c>
      <c r="J307" s="1952"/>
      <c r="K307" s="1948"/>
    </row>
    <row r="308" spans="1:11" s="2" customFormat="1">
      <c r="A308" s="1951"/>
      <c r="B308" s="1952"/>
      <c r="C308" s="1947"/>
      <c r="D308" s="57">
        <v>2018</v>
      </c>
      <c r="E308" s="8">
        <f t="shared" si="27"/>
        <v>6000</v>
      </c>
      <c r="F308" s="13">
        <v>6000</v>
      </c>
      <c r="G308" s="14">
        <v>0</v>
      </c>
      <c r="H308" s="14">
        <v>0</v>
      </c>
      <c r="I308" s="14">
        <v>0</v>
      </c>
      <c r="J308" s="1952"/>
      <c r="K308" s="1948"/>
    </row>
    <row r="309" spans="1:11" s="2" customFormat="1">
      <c r="A309" s="1951"/>
      <c r="B309" s="1952"/>
      <c r="C309" s="1947"/>
      <c r="D309" s="57">
        <v>2019</v>
      </c>
      <c r="E309" s="8">
        <f t="shared" si="27"/>
        <v>6000</v>
      </c>
      <c r="F309" s="13">
        <v>6000</v>
      </c>
      <c r="G309" s="14">
        <v>0</v>
      </c>
      <c r="H309" s="14">
        <v>0</v>
      </c>
      <c r="I309" s="14">
        <v>0</v>
      </c>
      <c r="J309" s="1952"/>
      <c r="K309" s="1948"/>
    </row>
    <row r="310" spans="1:11" s="2" customFormat="1">
      <c r="A310" s="1951"/>
      <c r="B310" s="1952"/>
      <c r="C310" s="1947"/>
      <c r="D310" s="57">
        <v>2020</v>
      </c>
      <c r="E310" s="8">
        <f>SUM(F310:I310)</f>
        <v>6000</v>
      </c>
      <c r="F310" s="13">
        <v>6000</v>
      </c>
      <c r="G310" s="14">
        <v>0</v>
      </c>
      <c r="H310" s="14">
        <v>0</v>
      </c>
      <c r="I310" s="14">
        <v>0</v>
      </c>
      <c r="J310" s="1952"/>
      <c r="K310" s="1948"/>
    </row>
    <row r="311" spans="1:11" ht="15" customHeight="1">
      <c r="A311" s="1951" t="s">
        <v>236</v>
      </c>
      <c r="B311" s="1952" t="s">
        <v>109</v>
      </c>
      <c r="C311" s="1951" t="s">
        <v>84</v>
      </c>
      <c r="D311" s="37" t="s">
        <v>8</v>
      </c>
      <c r="E311" s="8">
        <f t="shared" si="27"/>
        <v>37215.600000000006</v>
      </c>
      <c r="F311" s="8">
        <f>SUM(F312:F316)</f>
        <v>35354.800000000003</v>
      </c>
      <c r="G311" s="8">
        <f>SUM(G312:G316)</f>
        <v>0</v>
      </c>
      <c r="H311" s="8">
        <f>SUM(H312:H316)</f>
        <v>1860.8</v>
      </c>
      <c r="I311" s="8">
        <f>SUM(I312:I316)</f>
        <v>0</v>
      </c>
      <c r="J311" s="1948" t="s">
        <v>163</v>
      </c>
      <c r="K311" s="1949" t="s">
        <v>110</v>
      </c>
    </row>
    <row r="312" spans="1:11">
      <c r="A312" s="1951"/>
      <c r="B312" s="1952"/>
      <c r="C312" s="1951"/>
      <c r="D312" s="37">
        <v>2016</v>
      </c>
      <c r="E312" s="8">
        <f t="shared" si="27"/>
        <v>37215.600000000006</v>
      </c>
      <c r="F312" s="9">
        <v>35354.800000000003</v>
      </c>
      <c r="G312" s="15">
        <v>0</v>
      </c>
      <c r="H312" s="9">
        <v>1860.8</v>
      </c>
      <c r="I312" s="15">
        <v>0</v>
      </c>
      <c r="J312" s="1948"/>
      <c r="K312" s="1949"/>
    </row>
    <row r="313" spans="1:11">
      <c r="A313" s="1951"/>
      <c r="B313" s="1952"/>
      <c r="C313" s="1951"/>
      <c r="D313" s="37">
        <v>2017</v>
      </c>
      <c r="E313" s="8">
        <f t="shared" si="27"/>
        <v>0</v>
      </c>
      <c r="F313" s="15">
        <v>0</v>
      </c>
      <c r="G313" s="15">
        <v>0</v>
      </c>
      <c r="H313" s="15">
        <v>0</v>
      </c>
      <c r="I313" s="15">
        <v>0</v>
      </c>
      <c r="J313" s="1948"/>
      <c r="K313" s="1949"/>
    </row>
    <row r="314" spans="1:11">
      <c r="A314" s="1951"/>
      <c r="B314" s="1952"/>
      <c r="C314" s="1951"/>
      <c r="D314" s="57">
        <v>2018</v>
      </c>
      <c r="E314" s="8">
        <f t="shared" si="27"/>
        <v>0</v>
      </c>
      <c r="F314" s="15">
        <v>0</v>
      </c>
      <c r="G314" s="15">
        <v>0</v>
      </c>
      <c r="H314" s="15">
        <v>0</v>
      </c>
      <c r="I314" s="15">
        <v>0</v>
      </c>
      <c r="J314" s="1948"/>
      <c r="K314" s="1949"/>
    </row>
    <row r="315" spans="1:11">
      <c r="A315" s="1951"/>
      <c r="B315" s="1952"/>
      <c r="C315" s="1951"/>
      <c r="D315" s="57">
        <v>2019</v>
      </c>
      <c r="E315" s="8">
        <f t="shared" si="27"/>
        <v>0</v>
      </c>
      <c r="F315" s="9">
        <v>0</v>
      </c>
      <c r="G315" s="9">
        <v>0</v>
      </c>
      <c r="H315" s="9">
        <v>0</v>
      </c>
      <c r="I315" s="9">
        <v>0</v>
      </c>
      <c r="J315" s="1948"/>
      <c r="K315" s="1949"/>
    </row>
    <row r="316" spans="1:11">
      <c r="A316" s="1951"/>
      <c r="B316" s="1952"/>
      <c r="C316" s="1951"/>
      <c r="D316" s="57">
        <v>2020</v>
      </c>
      <c r="E316" s="8">
        <f>SUM(F316:I316)</f>
        <v>0</v>
      </c>
      <c r="F316" s="9">
        <v>0</v>
      </c>
      <c r="G316" s="9">
        <v>0</v>
      </c>
      <c r="H316" s="9">
        <v>0</v>
      </c>
      <c r="I316" s="9">
        <v>0</v>
      </c>
      <c r="J316" s="1948"/>
      <c r="K316" s="1949"/>
    </row>
    <row r="317" spans="1:11" ht="15" customHeight="1">
      <c r="A317" s="1951" t="s">
        <v>237</v>
      </c>
      <c r="B317" s="1952" t="s">
        <v>111</v>
      </c>
      <c r="C317" s="1951">
        <v>2016</v>
      </c>
      <c r="D317" s="37" t="s">
        <v>8</v>
      </c>
      <c r="E317" s="8">
        <f t="shared" si="27"/>
        <v>2392.1</v>
      </c>
      <c r="F317" s="8">
        <f>SUM(F318:F322)</f>
        <v>2272.5</v>
      </c>
      <c r="G317" s="8">
        <f>SUM(G318:G322)</f>
        <v>0</v>
      </c>
      <c r="H317" s="8">
        <f>SUM(H318:H322)</f>
        <v>119.6</v>
      </c>
      <c r="I317" s="8">
        <f>SUM(I318:I322)</f>
        <v>0</v>
      </c>
      <c r="J317" s="1948" t="s">
        <v>112</v>
      </c>
      <c r="K317" s="1949" t="s">
        <v>113</v>
      </c>
    </row>
    <row r="318" spans="1:11">
      <c r="A318" s="1951"/>
      <c r="B318" s="1952"/>
      <c r="C318" s="1951"/>
      <c r="D318" s="37">
        <v>2016</v>
      </c>
      <c r="E318" s="8">
        <f t="shared" si="27"/>
        <v>2392.1</v>
      </c>
      <c r="F318" s="9">
        <v>2272.5</v>
      </c>
      <c r="G318" s="9">
        <v>0</v>
      </c>
      <c r="H318" s="9">
        <v>119.6</v>
      </c>
      <c r="I318" s="9">
        <v>0</v>
      </c>
      <c r="J318" s="1948"/>
      <c r="K318" s="1949"/>
    </row>
    <row r="319" spans="1:11">
      <c r="A319" s="1951"/>
      <c r="B319" s="1952"/>
      <c r="C319" s="1951"/>
      <c r="D319" s="37">
        <v>2017</v>
      </c>
      <c r="E319" s="8">
        <f t="shared" si="27"/>
        <v>0</v>
      </c>
      <c r="F319" s="9">
        <v>0</v>
      </c>
      <c r="G319" s="9">
        <v>0</v>
      </c>
      <c r="H319" s="9">
        <v>0</v>
      </c>
      <c r="I319" s="9">
        <v>0</v>
      </c>
      <c r="J319" s="1948"/>
      <c r="K319" s="1949"/>
    </row>
    <row r="320" spans="1:11">
      <c r="A320" s="1951"/>
      <c r="B320" s="1952"/>
      <c r="C320" s="1951"/>
      <c r="D320" s="57">
        <v>2018</v>
      </c>
      <c r="E320" s="8">
        <f t="shared" si="27"/>
        <v>0</v>
      </c>
      <c r="F320" s="9">
        <v>0</v>
      </c>
      <c r="G320" s="9">
        <v>0</v>
      </c>
      <c r="H320" s="9">
        <v>0</v>
      </c>
      <c r="I320" s="9">
        <v>0</v>
      </c>
      <c r="J320" s="1948"/>
      <c r="K320" s="1949"/>
    </row>
    <row r="321" spans="1:11">
      <c r="A321" s="1951"/>
      <c r="B321" s="1952"/>
      <c r="C321" s="1951"/>
      <c r="D321" s="57">
        <v>2019</v>
      </c>
      <c r="E321" s="8">
        <f t="shared" si="27"/>
        <v>0</v>
      </c>
      <c r="F321" s="9">
        <v>0</v>
      </c>
      <c r="G321" s="9">
        <v>0</v>
      </c>
      <c r="H321" s="9">
        <v>0</v>
      </c>
      <c r="I321" s="9">
        <v>0</v>
      </c>
      <c r="J321" s="1948"/>
      <c r="K321" s="1949"/>
    </row>
    <row r="322" spans="1:11">
      <c r="A322" s="1951"/>
      <c r="B322" s="1952"/>
      <c r="C322" s="1951"/>
      <c r="D322" s="57">
        <v>2020</v>
      </c>
      <c r="E322" s="8">
        <f>SUM(F322:I322)</f>
        <v>0</v>
      </c>
      <c r="F322" s="9">
        <v>0</v>
      </c>
      <c r="G322" s="9">
        <v>0</v>
      </c>
      <c r="H322" s="9">
        <v>0</v>
      </c>
      <c r="I322" s="9">
        <v>0</v>
      </c>
      <c r="J322" s="1948"/>
      <c r="K322" s="1949"/>
    </row>
    <row r="323" spans="1:11" ht="15" customHeight="1">
      <c r="A323" s="1951" t="s">
        <v>238</v>
      </c>
      <c r="B323" s="1952" t="s">
        <v>114</v>
      </c>
      <c r="C323" s="1951">
        <v>2016</v>
      </c>
      <c r="D323" s="37" t="s">
        <v>8</v>
      </c>
      <c r="E323" s="8">
        <f t="shared" si="27"/>
        <v>2156.7000000000003</v>
      </c>
      <c r="F323" s="8">
        <f>SUM(F324:F328)</f>
        <v>2048.9</v>
      </c>
      <c r="G323" s="8">
        <f>SUM(G324:G328)</f>
        <v>0</v>
      </c>
      <c r="H323" s="8">
        <f>SUM(H324:H328)</f>
        <v>107.8</v>
      </c>
      <c r="I323" s="8">
        <f>SUM(I324:I328)</f>
        <v>0</v>
      </c>
      <c r="J323" s="1948" t="s">
        <v>115</v>
      </c>
      <c r="K323" s="1949" t="s">
        <v>113</v>
      </c>
    </row>
    <row r="324" spans="1:11">
      <c r="A324" s="1951"/>
      <c r="B324" s="1952"/>
      <c r="C324" s="1951"/>
      <c r="D324" s="37">
        <v>2016</v>
      </c>
      <c r="E324" s="8">
        <f t="shared" si="27"/>
        <v>2156.7000000000003</v>
      </c>
      <c r="F324" s="9">
        <v>2048.9</v>
      </c>
      <c r="G324" s="9">
        <v>0</v>
      </c>
      <c r="H324" s="9">
        <v>107.8</v>
      </c>
      <c r="I324" s="9">
        <v>0</v>
      </c>
      <c r="J324" s="1948"/>
      <c r="K324" s="1949"/>
    </row>
    <row r="325" spans="1:11">
      <c r="A325" s="1951"/>
      <c r="B325" s="1952"/>
      <c r="C325" s="1951"/>
      <c r="D325" s="37">
        <v>2017</v>
      </c>
      <c r="E325" s="8">
        <f t="shared" si="27"/>
        <v>0</v>
      </c>
      <c r="F325" s="9">
        <v>0</v>
      </c>
      <c r="G325" s="9">
        <v>0</v>
      </c>
      <c r="H325" s="9">
        <v>0</v>
      </c>
      <c r="I325" s="9">
        <v>0</v>
      </c>
      <c r="J325" s="1948"/>
      <c r="K325" s="1949"/>
    </row>
    <row r="326" spans="1:11">
      <c r="A326" s="1951"/>
      <c r="B326" s="1952"/>
      <c r="C326" s="1951"/>
      <c r="D326" s="57">
        <v>2018</v>
      </c>
      <c r="E326" s="8">
        <f t="shared" si="27"/>
        <v>0</v>
      </c>
      <c r="F326" s="9">
        <v>0</v>
      </c>
      <c r="G326" s="9">
        <v>0</v>
      </c>
      <c r="H326" s="9">
        <v>0</v>
      </c>
      <c r="I326" s="9">
        <v>0</v>
      </c>
      <c r="J326" s="1948"/>
      <c r="K326" s="1949"/>
    </row>
    <row r="327" spans="1:11">
      <c r="A327" s="1951"/>
      <c r="B327" s="1952"/>
      <c r="C327" s="1951"/>
      <c r="D327" s="57">
        <v>2019</v>
      </c>
      <c r="E327" s="8">
        <f t="shared" si="27"/>
        <v>0</v>
      </c>
      <c r="F327" s="9">
        <v>0</v>
      </c>
      <c r="G327" s="9">
        <v>0</v>
      </c>
      <c r="H327" s="9">
        <v>0</v>
      </c>
      <c r="I327" s="9">
        <v>0</v>
      </c>
      <c r="J327" s="1948"/>
      <c r="K327" s="1949"/>
    </row>
    <row r="328" spans="1:11">
      <c r="A328" s="1951"/>
      <c r="B328" s="1952"/>
      <c r="C328" s="1951"/>
      <c r="D328" s="57">
        <v>2020</v>
      </c>
      <c r="E328" s="8">
        <f>SUM(F328:I328)</f>
        <v>0</v>
      </c>
      <c r="F328" s="9">
        <v>0</v>
      </c>
      <c r="G328" s="9">
        <v>0</v>
      </c>
      <c r="H328" s="9">
        <v>0</v>
      </c>
      <c r="I328" s="9">
        <v>0</v>
      </c>
      <c r="J328" s="1948"/>
      <c r="K328" s="1949"/>
    </row>
    <row r="329" spans="1:11" ht="16.5" customHeight="1">
      <c r="A329" s="1951" t="s">
        <v>239</v>
      </c>
      <c r="B329" s="1952" t="s">
        <v>116</v>
      </c>
      <c r="C329" s="1951">
        <v>2016</v>
      </c>
      <c r="D329" s="37" t="s">
        <v>8</v>
      </c>
      <c r="E329" s="8">
        <f t="shared" si="27"/>
        <v>5977.5</v>
      </c>
      <c r="F329" s="8">
        <f>SUM(F330:F334)</f>
        <v>5678.6</v>
      </c>
      <c r="G329" s="8">
        <f>SUM(G330:G334)</f>
        <v>0</v>
      </c>
      <c r="H329" s="8">
        <f>SUM(H330:H334)</f>
        <v>298.89999999999998</v>
      </c>
      <c r="I329" s="8">
        <f>SUM(I330:I334)</f>
        <v>0</v>
      </c>
      <c r="J329" s="1948" t="s">
        <v>117</v>
      </c>
      <c r="K329" s="1949" t="s">
        <v>113</v>
      </c>
    </row>
    <row r="330" spans="1:11" ht="16.5" customHeight="1">
      <c r="A330" s="1951"/>
      <c r="B330" s="1952"/>
      <c r="C330" s="1951"/>
      <c r="D330" s="37">
        <v>2016</v>
      </c>
      <c r="E330" s="8">
        <f t="shared" si="27"/>
        <v>5977.5</v>
      </c>
      <c r="F330" s="9">
        <v>5678.6</v>
      </c>
      <c r="G330" s="9">
        <v>0</v>
      </c>
      <c r="H330" s="9">
        <v>298.89999999999998</v>
      </c>
      <c r="I330" s="9">
        <v>0</v>
      </c>
      <c r="J330" s="1948"/>
      <c r="K330" s="1949"/>
    </row>
    <row r="331" spans="1:11" ht="16.5" customHeight="1">
      <c r="A331" s="1951"/>
      <c r="B331" s="1952"/>
      <c r="C331" s="1951"/>
      <c r="D331" s="37">
        <v>2017</v>
      </c>
      <c r="E331" s="8">
        <f t="shared" si="27"/>
        <v>0</v>
      </c>
      <c r="F331" s="9">
        <v>0</v>
      </c>
      <c r="G331" s="9">
        <v>0</v>
      </c>
      <c r="H331" s="9">
        <v>0</v>
      </c>
      <c r="I331" s="9">
        <v>0</v>
      </c>
      <c r="J331" s="1948"/>
      <c r="K331" s="1949"/>
    </row>
    <row r="332" spans="1:11" ht="16.5" customHeight="1">
      <c r="A332" s="1951"/>
      <c r="B332" s="1952"/>
      <c r="C332" s="1951"/>
      <c r="D332" s="57">
        <v>2018</v>
      </c>
      <c r="E332" s="8">
        <f t="shared" si="27"/>
        <v>0</v>
      </c>
      <c r="F332" s="9">
        <v>0</v>
      </c>
      <c r="G332" s="9">
        <v>0</v>
      </c>
      <c r="H332" s="9">
        <v>0</v>
      </c>
      <c r="I332" s="9">
        <v>0</v>
      </c>
      <c r="J332" s="1948"/>
      <c r="K332" s="1949"/>
    </row>
    <row r="333" spans="1:11" ht="16.5" customHeight="1">
      <c r="A333" s="1951"/>
      <c r="B333" s="1952"/>
      <c r="C333" s="1951"/>
      <c r="D333" s="57">
        <v>2019</v>
      </c>
      <c r="E333" s="8">
        <f t="shared" si="27"/>
        <v>0</v>
      </c>
      <c r="F333" s="9">
        <v>0</v>
      </c>
      <c r="G333" s="9">
        <v>0</v>
      </c>
      <c r="H333" s="9">
        <v>0</v>
      </c>
      <c r="I333" s="9">
        <v>0</v>
      </c>
      <c r="J333" s="1948"/>
      <c r="K333" s="1949"/>
    </row>
    <row r="334" spans="1:11" ht="16.5" customHeight="1">
      <c r="A334" s="1951"/>
      <c r="B334" s="1952"/>
      <c r="C334" s="1951"/>
      <c r="D334" s="57">
        <v>2020</v>
      </c>
      <c r="E334" s="8">
        <f>SUM(F334:I334)</f>
        <v>0</v>
      </c>
      <c r="F334" s="9">
        <v>0</v>
      </c>
      <c r="G334" s="9">
        <v>0</v>
      </c>
      <c r="H334" s="9">
        <v>0</v>
      </c>
      <c r="I334" s="9">
        <v>0</v>
      </c>
      <c r="J334" s="1948"/>
      <c r="K334" s="1949"/>
    </row>
    <row r="335" spans="1:11" ht="12.75" customHeight="1">
      <c r="A335" s="1951" t="s">
        <v>240</v>
      </c>
      <c r="B335" s="1952" t="s">
        <v>118</v>
      </c>
      <c r="C335" s="1951">
        <v>2016</v>
      </c>
      <c r="D335" s="37" t="s">
        <v>8</v>
      </c>
      <c r="E335" s="8">
        <f t="shared" ref="E335:E345" si="28">SUM(F335:I335)</f>
        <v>13114.6</v>
      </c>
      <c r="F335" s="8">
        <f>SUM(F336:F340)</f>
        <v>12452.5</v>
      </c>
      <c r="G335" s="8">
        <f>SUM(G336:G340)</f>
        <v>0</v>
      </c>
      <c r="H335" s="8">
        <f>SUM(H336:H340)</f>
        <v>662.1</v>
      </c>
      <c r="I335" s="8">
        <f>SUM(I336:I340)</f>
        <v>0</v>
      </c>
      <c r="J335" s="1948" t="s">
        <v>119</v>
      </c>
      <c r="K335" s="1949" t="s">
        <v>90</v>
      </c>
    </row>
    <row r="336" spans="1:11">
      <c r="A336" s="1951"/>
      <c r="B336" s="1952"/>
      <c r="C336" s="1951"/>
      <c r="D336" s="37">
        <v>2016</v>
      </c>
      <c r="E336" s="8">
        <f t="shared" si="28"/>
        <v>13114.6</v>
      </c>
      <c r="F336" s="9">
        <v>12452.5</v>
      </c>
      <c r="G336" s="9">
        <v>0</v>
      </c>
      <c r="H336" s="9">
        <v>662.1</v>
      </c>
      <c r="I336" s="9">
        <v>0</v>
      </c>
      <c r="J336" s="1948"/>
      <c r="K336" s="1949"/>
    </row>
    <row r="337" spans="1:11">
      <c r="A337" s="1951"/>
      <c r="B337" s="1952"/>
      <c r="C337" s="1951"/>
      <c r="D337" s="37">
        <v>2017</v>
      </c>
      <c r="E337" s="8">
        <f t="shared" si="28"/>
        <v>0</v>
      </c>
      <c r="F337" s="9">
        <v>0</v>
      </c>
      <c r="G337" s="9">
        <v>0</v>
      </c>
      <c r="H337" s="9">
        <v>0</v>
      </c>
      <c r="I337" s="9">
        <v>0</v>
      </c>
      <c r="J337" s="1948"/>
      <c r="K337" s="1949"/>
    </row>
    <row r="338" spans="1:11">
      <c r="A338" s="1951"/>
      <c r="B338" s="1952"/>
      <c r="C338" s="1951"/>
      <c r="D338" s="57">
        <v>2018</v>
      </c>
      <c r="E338" s="8">
        <f t="shared" si="28"/>
        <v>0</v>
      </c>
      <c r="F338" s="9">
        <v>0</v>
      </c>
      <c r="G338" s="9">
        <v>0</v>
      </c>
      <c r="H338" s="9">
        <v>0</v>
      </c>
      <c r="I338" s="9">
        <v>0</v>
      </c>
      <c r="J338" s="1948"/>
      <c r="K338" s="1949"/>
    </row>
    <row r="339" spans="1:11">
      <c r="A339" s="1951"/>
      <c r="B339" s="1952"/>
      <c r="C339" s="1951"/>
      <c r="D339" s="57">
        <v>2019</v>
      </c>
      <c r="E339" s="8">
        <f t="shared" si="28"/>
        <v>0</v>
      </c>
      <c r="F339" s="9">
        <v>0</v>
      </c>
      <c r="G339" s="9">
        <v>0</v>
      </c>
      <c r="H339" s="9">
        <v>0</v>
      </c>
      <c r="I339" s="9">
        <v>0</v>
      </c>
      <c r="J339" s="1948"/>
      <c r="K339" s="1949"/>
    </row>
    <row r="340" spans="1:11">
      <c r="A340" s="1951"/>
      <c r="B340" s="1952"/>
      <c r="C340" s="1951"/>
      <c r="D340" s="57">
        <v>2020</v>
      </c>
      <c r="E340" s="8">
        <f>SUM(F340:I340)</f>
        <v>0</v>
      </c>
      <c r="F340" s="9">
        <v>0</v>
      </c>
      <c r="G340" s="9">
        <v>0</v>
      </c>
      <c r="H340" s="9">
        <v>0</v>
      </c>
      <c r="I340" s="9">
        <v>0</v>
      </c>
      <c r="J340" s="1948"/>
      <c r="K340" s="1949"/>
    </row>
    <row r="341" spans="1:11" ht="15" customHeight="1">
      <c r="A341" s="1951" t="s">
        <v>241</v>
      </c>
      <c r="B341" s="1952" t="s">
        <v>120</v>
      </c>
      <c r="C341" s="1951" t="s">
        <v>30</v>
      </c>
      <c r="D341" s="37" t="s">
        <v>8</v>
      </c>
      <c r="E341" s="8">
        <f t="shared" si="28"/>
        <v>23223</v>
      </c>
      <c r="F341" s="8">
        <f>SUM(F342:F346)</f>
        <v>0</v>
      </c>
      <c r="G341" s="8">
        <f>SUM(G342:G346)</f>
        <v>22623</v>
      </c>
      <c r="H341" s="8">
        <f>SUM(H342:H346)</f>
        <v>600</v>
      </c>
      <c r="I341" s="8">
        <f>SUM(I342:I346)</f>
        <v>0</v>
      </c>
      <c r="J341" s="1948" t="s">
        <v>121</v>
      </c>
      <c r="K341" s="1949" t="s">
        <v>113</v>
      </c>
    </row>
    <row r="342" spans="1:11">
      <c r="A342" s="1951"/>
      <c r="B342" s="1952"/>
      <c r="C342" s="1951"/>
      <c r="D342" s="37">
        <v>2016</v>
      </c>
      <c r="E342" s="8">
        <f t="shared" si="28"/>
        <v>11957.5</v>
      </c>
      <c r="F342" s="9">
        <v>0</v>
      </c>
      <c r="G342" s="9">
        <v>11357.5</v>
      </c>
      <c r="H342" s="9">
        <v>600</v>
      </c>
      <c r="I342" s="9">
        <v>0</v>
      </c>
      <c r="J342" s="1948"/>
      <c r="K342" s="1949"/>
    </row>
    <row r="343" spans="1:11">
      <c r="A343" s="1951"/>
      <c r="B343" s="1952"/>
      <c r="C343" s="1951"/>
      <c r="D343" s="37">
        <v>2017</v>
      </c>
      <c r="E343" s="8">
        <f t="shared" si="28"/>
        <v>11265.5</v>
      </c>
      <c r="F343" s="9">
        <v>0</v>
      </c>
      <c r="G343" s="9">
        <v>11265.5</v>
      </c>
      <c r="H343" s="9">
        <v>0</v>
      </c>
      <c r="I343" s="9">
        <v>0</v>
      </c>
      <c r="J343" s="1948"/>
      <c r="K343" s="1949"/>
    </row>
    <row r="344" spans="1:11">
      <c r="A344" s="1951"/>
      <c r="B344" s="1952"/>
      <c r="C344" s="1951"/>
      <c r="D344" s="57">
        <v>2018</v>
      </c>
      <c r="E344" s="8">
        <f t="shared" si="28"/>
        <v>0</v>
      </c>
      <c r="F344" s="9">
        <v>0</v>
      </c>
      <c r="G344" s="9">
        <v>0</v>
      </c>
      <c r="H344" s="9">
        <v>0</v>
      </c>
      <c r="I344" s="9">
        <v>0</v>
      </c>
      <c r="J344" s="1948"/>
      <c r="K344" s="1949"/>
    </row>
    <row r="345" spans="1:11">
      <c r="A345" s="1951"/>
      <c r="B345" s="1952"/>
      <c r="C345" s="1951"/>
      <c r="D345" s="57">
        <v>2019</v>
      </c>
      <c r="E345" s="8">
        <f t="shared" si="28"/>
        <v>0</v>
      </c>
      <c r="F345" s="9">
        <v>0</v>
      </c>
      <c r="G345" s="9">
        <v>0</v>
      </c>
      <c r="H345" s="9">
        <v>0</v>
      </c>
      <c r="I345" s="9">
        <v>0</v>
      </c>
      <c r="J345" s="1948"/>
      <c r="K345" s="1949"/>
    </row>
    <row r="346" spans="1:11">
      <c r="A346" s="1951"/>
      <c r="B346" s="1952"/>
      <c r="C346" s="1951"/>
      <c r="D346" s="57">
        <v>2020</v>
      </c>
      <c r="E346" s="8">
        <f>SUM(F346:I346)</f>
        <v>0</v>
      </c>
      <c r="F346" s="9">
        <v>0</v>
      </c>
      <c r="G346" s="9">
        <v>0</v>
      </c>
      <c r="H346" s="9">
        <v>0</v>
      </c>
      <c r="I346" s="9">
        <v>0</v>
      </c>
      <c r="J346" s="1948"/>
      <c r="K346" s="1949"/>
    </row>
    <row r="347" spans="1:11" ht="15" customHeight="1">
      <c r="A347" s="1951" t="s">
        <v>242</v>
      </c>
      <c r="B347" s="1952" t="s">
        <v>122</v>
      </c>
      <c r="C347" s="1951">
        <v>2016</v>
      </c>
      <c r="D347" s="37" t="s">
        <v>8</v>
      </c>
      <c r="E347" s="8">
        <f t="shared" ref="E347:E410" si="29">SUM(F347:I347)</f>
        <v>6327</v>
      </c>
      <c r="F347" s="8">
        <f>SUM(F348:F352)</f>
        <v>6327</v>
      </c>
      <c r="G347" s="8">
        <f>SUM(G348:G352)</f>
        <v>0</v>
      </c>
      <c r="H347" s="8">
        <f>SUM(H348:H352)</f>
        <v>0</v>
      </c>
      <c r="I347" s="8">
        <f>SUM(I348:I352)</f>
        <v>0</v>
      </c>
      <c r="J347" s="1948" t="s">
        <v>123</v>
      </c>
      <c r="K347" s="1949" t="s">
        <v>23</v>
      </c>
    </row>
    <row r="348" spans="1:11">
      <c r="A348" s="1951"/>
      <c r="B348" s="1952"/>
      <c r="C348" s="1951"/>
      <c r="D348" s="37">
        <v>2016</v>
      </c>
      <c r="E348" s="8">
        <f t="shared" si="29"/>
        <v>6327</v>
      </c>
      <c r="F348" s="9">
        <v>6327</v>
      </c>
      <c r="G348" s="9">
        <v>0</v>
      </c>
      <c r="H348" s="9">
        <v>0</v>
      </c>
      <c r="I348" s="9">
        <v>0</v>
      </c>
      <c r="J348" s="1948"/>
      <c r="K348" s="1949"/>
    </row>
    <row r="349" spans="1:11">
      <c r="A349" s="1951"/>
      <c r="B349" s="1952"/>
      <c r="C349" s="1951"/>
      <c r="D349" s="37">
        <v>2017</v>
      </c>
      <c r="E349" s="8">
        <f t="shared" si="29"/>
        <v>0</v>
      </c>
      <c r="F349" s="9">
        <v>0</v>
      </c>
      <c r="G349" s="9">
        <v>0</v>
      </c>
      <c r="H349" s="9">
        <v>0</v>
      </c>
      <c r="I349" s="9">
        <v>0</v>
      </c>
      <c r="J349" s="1948"/>
      <c r="K349" s="1949"/>
    </row>
    <row r="350" spans="1:11">
      <c r="A350" s="1951"/>
      <c r="B350" s="1952"/>
      <c r="C350" s="1951"/>
      <c r="D350" s="57">
        <v>2018</v>
      </c>
      <c r="E350" s="8">
        <f t="shared" si="29"/>
        <v>0</v>
      </c>
      <c r="F350" s="9">
        <v>0</v>
      </c>
      <c r="G350" s="9">
        <v>0</v>
      </c>
      <c r="H350" s="9">
        <v>0</v>
      </c>
      <c r="I350" s="9">
        <v>0</v>
      </c>
      <c r="J350" s="1948"/>
      <c r="K350" s="1949"/>
    </row>
    <row r="351" spans="1:11">
      <c r="A351" s="1951"/>
      <c r="B351" s="1952"/>
      <c r="C351" s="1951"/>
      <c r="D351" s="57">
        <v>2019</v>
      </c>
      <c r="E351" s="8">
        <f>SUM(F351:I351)</f>
        <v>0</v>
      </c>
      <c r="F351" s="9">
        <v>0</v>
      </c>
      <c r="G351" s="9">
        <v>0</v>
      </c>
      <c r="H351" s="9">
        <v>0</v>
      </c>
      <c r="I351" s="9">
        <v>0</v>
      </c>
      <c r="J351" s="1948"/>
      <c r="K351" s="1949"/>
    </row>
    <row r="352" spans="1:11">
      <c r="A352" s="1951"/>
      <c r="B352" s="1952"/>
      <c r="C352" s="1951"/>
      <c r="D352" s="57">
        <v>2020</v>
      </c>
      <c r="E352" s="8">
        <f>SUM(F352:I352)</f>
        <v>0</v>
      </c>
      <c r="F352" s="9">
        <v>0</v>
      </c>
      <c r="G352" s="9">
        <v>0</v>
      </c>
      <c r="H352" s="9">
        <v>0</v>
      </c>
      <c r="I352" s="9">
        <v>0</v>
      </c>
      <c r="J352" s="1948"/>
      <c r="K352" s="1949"/>
    </row>
    <row r="353" spans="1:11" ht="15" customHeight="1">
      <c r="A353" s="1951" t="s">
        <v>243</v>
      </c>
      <c r="B353" s="1952" t="s">
        <v>124</v>
      </c>
      <c r="C353" s="1951">
        <v>2016</v>
      </c>
      <c r="D353" s="37" t="s">
        <v>8</v>
      </c>
      <c r="E353" s="8">
        <f t="shared" si="29"/>
        <v>600</v>
      </c>
      <c r="F353" s="8">
        <f>SUM(F354:F358)</f>
        <v>600</v>
      </c>
      <c r="G353" s="8">
        <f>SUM(G354:G358)</f>
        <v>0</v>
      </c>
      <c r="H353" s="8">
        <f>SUM(H354:H358)</f>
        <v>0</v>
      </c>
      <c r="I353" s="8">
        <f>SUM(I354:I358)</f>
        <v>0</v>
      </c>
      <c r="J353" s="1948" t="s">
        <v>125</v>
      </c>
      <c r="K353" s="1949" t="s">
        <v>23</v>
      </c>
    </row>
    <row r="354" spans="1:11">
      <c r="A354" s="1951"/>
      <c r="B354" s="1952"/>
      <c r="C354" s="1951"/>
      <c r="D354" s="37">
        <v>2016</v>
      </c>
      <c r="E354" s="8">
        <f t="shared" si="29"/>
        <v>600</v>
      </c>
      <c r="F354" s="9">
        <v>600</v>
      </c>
      <c r="G354" s="9">
        <v>0</v>
      </c>
      <c r="H354" s="9">
        <v>0</v>
      </c>
      <c r="I354" s="9">
        <v>0</v>
      </c>
      <c r="J354" s="1948"/>
      <c r="K354" s="1949"/>
    </row>
    <row r="355" spans="1:11">
      <c r="A355" s="1951"/>
      <c r="B355" s="1952"/>
      <c r="C355" s="1951"/>
      <c r="D355" s="37">
        <v>2017</v>
      </c>
      <c r="E355" s="8">
        <f t="shared" si="29"/>
        <v>0</v>
      </c>
      <c r="F355" s="9">
        <v>0</v>
      </c>
      <c r="G355" s="9">
        <v>0</v>
      </c>
      <c r="H355" s="9">
        <v>0</v>
      </c>
      <c r="I355" s="9">
        <v>0</v>
      </c>
      <c r="J355" s="1948"/>
      <c r="K355" s="1949"/>
    </row>
    <row r="356" spans="1:11">
      <c r="A356" s="1951"/>
      <c r="B356" s="1952"/>
      <c r="C356" s="1951"/>
      <c r="D356" s="57">
        <v>2018</v>
      </c>
      <c r="E356" s="8">
        <f t="shared" si="29"/>
        <v>0</v>
      </c>
      <c r="F356" s="9">
        <v>0</v>
      </c>
      <c r="G356" s="9">
        <v>0</v>
      </c>
      <c r="H356" s="9">
        <v>0</v>
      </c>
      <c r="I356" s="9">
        <v>0</v>
      </c>
      <c r="J356" s="1948"/>
      <c r="K356" s="1949"/>
    </row>
    <row r="357" spans="1:11">
      <c r="A357" s="1951"/>
      <c r="B357" s="1952"/>
      <c r="C357" s="1951"/>
      <c r="D357" s="57">
        <v>2019</v>
      </c>
      <c r="E357" s="8">
        <f t="shared" si="29"/>
        <v>0</v>
      </c>
      <c r="F357" s="9">
        <v>0</v>
      </c>
      <c r="G357" s="9">
        <v>0</v>
      </c>
      <c r="H357" s="9">
        <v>0</v>
      </c>
      <c r="I357" s="9">
        <v>0</v>
      </c>
      <c r="J357" s="1948"/>
      <c r="K357" s="1949"/>
    </row>
    <row r="358" spans="1:11">
      <c r="A358" s="1951"/>
      <c r="B358" s="1952"/>
      <c r="C358" s="1951"/>
      <c r="D358" s="57">
        <v>2020</v>
      </c>
      <c r="E358" s="8">
        <f t="shared" si="29"/>
        <v>0</v>
      </c>
      <c r="F358" s="9">
        <v>0</v>
      </c>
      <c r="G358" s="9">
        <v>0</v>
      </c>
      <c r="H358" s="9">
        <v>0</v>
      </c>
      <c r="I358" s="9">
        <v>0</v>
      </c>
      <c r="J358" s="1948"/>
      <c r="K358" s="1949"/>
    </row>
    <row r="359" spans="1:11" ht="15" customHeight="1">
      <c r="A359" s="1951" t="s">
        <v>244</v>
      </c>
      <c r="B359" s="1952" t="s">
        <v>126</v>
      </c>
      <c r="C359" s="1951">
        <v>2017</v>
      </c>
      <c r="D359" s="37" t="s">
        <v>8</v>
      </c>
      <c r="E359" s="8">
        <f t="shared" si="29"/>
        <v>9490.9</v>
      </c>
      <c r="F359" s="8">
        <f>SUM(F360:F364)</f>
        <v>8990.9</v>
      </c>
      <c r="G359" s="8">
        <f>SUM(G360:G364)</f>
        <v>0</v>
      </c>
      <c r="H359" s="8">
        <f>SUM(H360:H364)</f>
        <v>500</v>
      </c>
      <c r="I359" s="8">
        <f>SUM(I360:I364)</f>
        <v>0</v>
      </c>
      <c r="J359" s="1948" t="s">
        <v>127</v>
      </c>
      <c r="K359" s="1949" t="s">
        <v>128</v>
      </c>
    </row>
    <row r="360" spans="1:11">
      <c r="A360" s="1951"/>
      <c r="B360" s="1952"/>
      <c r="C360" s="1951"/>
      <c r="D360" s="37">
        <v>2016</v>
      </c>
      <c r="E360" s="8">
        <f t="shared" si="29"/>
        <v>0</v>
      </c>
      <c r="F360" s="9">
        <v>0</v>
      </c>
      <c r="G360" s="9">
        <v>0</v>
      </c>
      <c r="H360" s="9">
        <v>0</v>
      </c>
      <c r="I360" s="9">
        <v>0</v>
      </c>
      <c r="J360" s="1948"/>
      <c r="K360" s="1949"/>
    </row>
    <row r="361" spans="1:11">
      <c r="A361" s="1951"/>
      <c r="B361" s="1952"/>
      <c r="C361" s="1951"/>
      <c r="D361" s="37">
        <v>2017</v>
      </c>
      <c r="E361" s="8">
        <f t="shared" si="29"/>
        <v>9490.9</v>
      </c>
      <c r="F361" s="9">
        <v>8990.9</v>
      </c>
      <c r="G361" s="9">
        <v>0</v>
      </c>
      <c r="H361" s="9">
        <v>500</v>
      </c>
      <c r="I361" s="9">
        <v>0</v>
      </c>
      <c r="J361" s="1948"/>
      <c r="K361" s="1949"/>
    </row>
    <row r="362" spans="1:11">
      <c r="A362" s="1951"/>
      <c r="B362" s="1952"/>
      <c r="C362" s="1951"/>
      <c r="D362" s="57">
        <v>2018</v>
      </c>
      <c r="E362" s="8">
        <f t="shared" si="29"/>
        <v>0</v>
      </c>
      <c r="F362" s="9">
        <v>0</v>
      </c>
      <c r="G362" s="9">
        <v>0</v>
      </c>
      <c r="H362" s="9">
        <v>0</v>
      </c>
      <c r="I362" s="9">
        <v>0</v>
      </c>
      <c r="J362" s="1948"/>
      <c r="K362" s="1949"/>
    </row>
    <row r="363" spans="1:11">
      <c r="A363" s="1951"/>
      <c r="B363" s="1952"/>
      <c r="C363" s="1951"/>
      <c r="D363" s="57">
        <v>2019</v>
      </c>
      <c r="E363" s="8">
        <f t="shared" si="29"/>
        <v>0</v>
      </c>
      <c r="F363" s="9">
        <v>0</v>
      </c>
      <c r="G363" s="9">
        <v>0</v>
      </c>
      <c r="H363" s="9">
        <v>0</v>
      </c>
      <c r="I363" s="9">
        <v>0</v>
      </c>
      <c r="J363" s="1948"/>
      <c r="K363" s="1949"/>
    </row>
    <row r="364" spans="1:11">
      <c r="A364" s="1951"/>
      <c r="B364" s="1952"/>
      <c r="C364" s="1951"/>
      <c r="D364" s="57">
        <v>2020</v>
      </c>
      <c r="E364" s="8">
        <f>SUM(F364:I364)</f>
        <v>0</v>
      </c>
      <c r="F364" s="9">
        <v>0</v>
      </c>
      <c r="G364" s="9">
        <v>0</v>
      </c>
      <c r="H364" s="9">
        <v>0</v>
      </c>
      <c r="I364" s="9">
        <v>0</v>
      </c>
      <c r="J364" s="1948"/>
      <c r="K364" s="1949"/>
    </row>
    <row r="365" spans="1:11" ht="15" customHeight="1">
      <c r="A365" s="1951" t="s">
        <v>245</v>
      </c>
      <c r="B365" s="1952" t="s">
        <v>246</v>
      </c>
      <c r="C365" s="1951">
        <v>2017</v>
      </c>
      <c r="D365" s="37" t="s">
        <v>8</v>
      </c>
      <c r="E365" s="8">
        <f t="shared" si="29"/>
        <v>2086.5</v>
      </c>
      <c r="F365" s="8">
        <f>SUM(F366:F370)</f>
        <v>1936.5</v>
      </c>
      <c r="G365" s="8">
        <f>SUM(G366:G370)</f>
        <v>0</v>
      </c>
      <c r="H365" s="8">
        <f>SUM(H366:H370)</f>
        <v>150</v>
      </c>
      <c r="I365" s="8">
        <f>SUM(I366:I370)</f>
        <v>0</v>
      </c>
      <c r="J365" s="1948" t="s">
        <v>247</v>
      </c>
      <c r="K365" s="1949" t="s">
        <v>113</v>
      </c>
    </row>
    <row r="366" spans="1:11">
      <c r="A366" s="1951"/>
      <c r="B366" s="1952"/>
      <c r="C366" s="1951"/>
      <c r="D366" s="37">
        <v>2016</v>
      </c>
      <c r="E366" s="8">
        <f t="shared" si="29"/>
        <v>0</v>
      </c>
      <c r="F366" s="9">
        <v>0</v>
      </c>
      <c r="G366" s="9">
        <v>0</v>
      </c>
      <c r="H366" s="9">
        <v>0</v>
      </c>
      <c r="I366" s="9">
        <v>0</v>
      </c>
      <c r="J366" s="1948"/>
      <c r="K366" s="1949"/>
    </row>
    <row r="367" spans="1:11">
      <c r="A367" s="1951"/>
      <c r="B367" s="1952"/>
      <c r="C367" s="1951"/>
      <c r="D367" s="37">
        <v>2017</v>
      </c>
      <c r="E367" s="8">
        <f t="shared" si="29"/>
        <v>2086.5</v>
      </c>
      <c r="F367" s="9">
        <v>1936.5</v>
      </c>
      <c r="G367" s="9">
        <v>0</v>
      </c>
      <c r="H367" s="9">
        <v>150</v>
      </c>
      <c r="I367" s="9">
        <v>0</v>
      </c>
      <c r="J367" s="1948"/>
      <c r="K367" s="1949"/>
    </row>
    <row r="368" spans="1:11">
      <c r="A368" s="1951"/>
      <c r="B368" s="1952"/>
      <c r="C368" s="1951"/>
      <c r="D368" s="57">
        <v>2018</v>
      </c>
      <c r="E368" s="8">
        <f t="shared" si="29"/>
        <v>0</v>
      </c>
      <c r="F368" s="9">
        <v>0</v>
      </c>
      <c r="G368" s="9">
        <v>0</v>
      </c>
      <c r="H368" s="9">
        <v>0</v>
      </c>
      <c r="I368" s="9">
        <v>0</v>
      </c>
      <c r="J368" s="1948"/>
      <c r="K368" s="1949"/>
    </row>
    <row r="369" spans="1:11">
      <c r="A369" s="1951"/>
      <c r="B369" s="1952"/>
      <c r="C369" s="1951"/>
      <c r="D369" s="57">
        <v>2019</v>
      </c>
      <c r="E369" s="8">
        <f t="shared" si="29"/>
        <v>0</v>
      </c>
      <c r="F369" s="9">
        <v>0</v>
      </c>
      <c r="G369" s="9">
        <v>0</v>
      </c>
      <c r="H369" s="9">
        <v>0</v>
      </c>
      <c r="I369" s="9">
        <v>0</v>
      </c>
      <c r="J369" s="1948"/>
      <c r="K369" s="1949"/>
    </row>
    <row r="370" spans="1:11">
      <c r="A370" s="1951"/>
      <c r="B370" s="1952"/>
      <c r="C370" s="1951"/>
      <c r="D370" s="57">
        <v>2020</v>
      </c>
      <c r="E370" s="8">
        <f>SUM(F370:I370)</f>
        <v>0</v>
      </c>
      <c r="F370" s="9">
        <v>0</v>
      </c>
      <c r="G370" s="9">
        <v>0</v>
      </c>
      <c r="H370" s="9">
        <v>0</v>
      </c>
      <c r="I370" s="9">
        <v>0</v>
      </c>
      <c r="J370" s="1948"/>
      <c r="K370" s="1949"/>
    </row>
    <row r="371" spans="1:11" ht="15" customHeight="1">
      <c r="A371" s="1951" t="s">
        <v>248</v>
      </c>
      <c r="B371" s="1952" t="s">
        <v>164</v>
      </c>
      <c r="C371" s="1951">
        <v>2017</v>
      </c>
      <c r="D371" s="37" t="s">
        <v>8</v>
      </c>
      <c r="E371" s="8">
        <f t="shared" si="29"/>
        <v>25409</v>
      </c>
      <c r="F371" s="8">
        <f>SUM(F372:F376)</f>
        <v>23838.2</v>
      </c>
      <c r="G371" s="8">
        <f>SUM(G372:G376)</f>
        <v>0</v>
      </c>
      <c r="H371" s="8">
        <f>SUM(H372:H376)</f>
        <v>1570.8</v>
      </c>
      <c r="I371" s="8">
        <f>SUM(I372:I376)</f>
        <v>0</v>
      </c>
      <c r="J371" s="1948" t="s">
        <v>165</v>
      </c>
      <c r="K371" s="1949" t="s">
        <v>113</v>
      </c>
    </row>
    <row r="372" spans="1:11">
      <c r="A372" s="1951"/>
      <c r="B372" s="1952"/>
      <c r="C372" s="1951"/>
      <c r="D372" s="37">
        <v>2016</v>
      </c>
      <c r="E372" s="8">
        <f t="shared" si="29"/>
        <v>0</v>
      </c>
      <c r="F372" s="9">
        <v>0</v>
      </c>
      <c r="G372" s="9">
        <v>0</v>
      </c>
      <c r="H372" s="9">
        <v>0</v>
      </c>
      <c r="I372" s="9">
        <v>0</v>
      </c>
      <c r="J372" s="1948"/>
      <c r="K372" s="1949"/>
    </row>
    <row r="373" spans="1:11">
      <c r="A373" s="1951"/>
      <c r="B373" s="1952"/>
      <c r="C373" s="1951"/>
      <c r="D373" s="37">
        <v>2017</v>
      </c>
      <c r="E373" s="8">
        <f t="shared" si="29"/>
        <v>25409</v>
      </c>
      <c r="F373" s="9">
        <v>23838.2</v>
      </c>
      <c r="G373" s="9">
        <v>0</v>
      </c>
      <c r="H373" s="9">
        <v>1570.8</v>
      </c>
      <c r="I373" s="9">
        <v>0</v>
      </c>
      <c r="J373" s="1948"/>
      <c r="K373" s="1949"/>
    </row>
    <row r="374" spans="1:11">
      <c r="A374" s="1951"/>
      <c r="B374" s="1952"/>
      <c r="C374" s="1951"/>
      <c r="D374" s="57">
        <v>2018</v>
      </c>
      <c r="E374" s="8">
        <f t="shared" si="29"/>
        <v>0</v>
      </c>
      <c r="F374" s="9">
        <v>0</v>
      </c>
      <c r="G374" s="9">
        <v>0</v>
      </c>
      <c r="H374" s="9">
        <v>0</v>
      </c>
      <c r="I374" s="9">
        <v>0</v>
      </c>
      <c r="J374" s="1948"/>
      <c r="K374" s="1949"/>
    </row>
    <row r="375" spans="1:11">
      <c r="A375" s="1951"/>
      <c r="B375" s="1952"/>
      <c r="C375" s="1951"/>
      <c r="D375" s="57">
        <v>2019</v>
      </c>
      <c r="E375" s="8">
        <f t="shared" si="29"/>
        <v>0</v>
      </c>
      <c r="F375" s="9">
        <v>0</v>
      </c>
      <c r="G375" s="9">
        <v>0</v>
      </c>
      <c r="H375" s="9">
        <v>0</v>
      </c>
      <c r="I375" s="9">
        <v>0</v>
      </c>
      <c r="J375" s="1948"/>
      <c r="K375" s="1949"/>
    </row>
    <row r="376" spans="1:11">
      <c r="A376" s="1951"/>
      <c r="B376" s="1952"/>
      <c r="C376" s="1951"/>
      <c r="D376" s="57">
        <v>2020</v>
      </c>
      <c r="E376" s="8">
        <f t="shared" si="29"/>
        <v>0</v>
      </c>
      <c r="F376" s="9">
        <v>0</v>
      </c>
      <c r="G376" s="9">
        <v>0</v>
      </c>
      <c r="H376" s="9">
        <v>0</v>
      </c>
      <c r="I376" s="9">
        <v>0</v>
      </c>
      <c r="J376" s="1948"/>
      <c r="K376" s="1949"/>
    </row>
    <row r="377" spans="1:11" ht="15" customHeight="1">
      <c r="A377" s="1951" t="s">
        <v>249</v>
      </c>
      <c r="B377" s="1952" t="s">
        <v>166</v>
      </c>
      <c r="C377" s="1951">
        <v>2017</v>
      </c>
      <c r="D377" s="37" t="s">
        <v>8</v>
      </c>
      <c r="E377" s="8">
        <f t="shared" si="29"/>
        <v>10000</v>
      </c>
      <c r="F377" s="8">
        <f>SUM(F378:F382)</f>
        <v>9500</v>
      </c>
      <c r="G377" s="8">
        <f>SUM(G378:G382)</f>
        <v>0</v>
      </c>
      <c r="H377" s="8">
        <f>SUM(H378:H382)</f>
        <v>500</v>
      </c>
      <c r="I377" s="8">
        <f>SUM(I378:I382)</f>
        <v>0</v>
      </c>
      <c r="J377" s="1948" t="s">
        <v>167</v>
      </c>
      <c r="K377" s="1949" t="s">
        <v>168</v>
      </c>
    </row>
    <row r="378" spans="1:11">
      <c r="A378" s="1951"/>
      <c r="B378" s="1952"/>
      <c r="C378" s="1951"/>
      <c r="D378" s="37">
        <v>2016</v>
      </c>
      <c r="E378" s="8">
        <f t="shared" si="29"/>
        <v>0</v>
      </c>
      <c r="F378" s="9">
        <v>0</v>
      </c>
      <c r="G378" s="9">
        <v>0</v>
      </c>
      <c r="H378" s="9">
        <v>0</v>
      </c>
      <c r="I378" s="9">
        <v>0</v>
      </c>
      <c r="J378" s="1948"/>
      <c r="K378" s="1949"/>
    </row>
    <row r="379" spans="1:11">
      <c r="A379" s="1951"/>
      <c r="B379" s="1952"/>
      <c r="C379" s="1951"/>
      <c r="D379" s="37">
        <v>2017</v>
      </c>
      <c r="E379" s="8">
        <f t="shared" si="29"/>
        <v>10000</v>
      </c>
      <c r="F379" s="9">
        <v>9500</v>
      </c>
      <c r="G379" s="9">
        <v>0</v>
      </c>
      <c r="H379" s="9">
        <v>500</v>
      </c>
      <c r="I379" s="9">
        <v>0</v>
      </c>
      <c r="J379" s="1948"/>
      <c r="K379" s="1949"/>
    </row>
    <row r="380" spans="1:11">
      <c r="A380" s="1951"/>
      <c r="B380" s="1952"/>
      <c r="C380" s="1951"/>
      <c r="D380" s="57">
        <v>2018</v>
      </c>
      <c r="E380" s="8">
        <f t="shared" si="29"/>
        <v>0</v>
      </c>
      <c r="F380" s="9">
        <v>0</v>
      </c>
      <c r="G380" s="9">
        <v>0</v>
      </c>
      <c r="H380" s="9">
        <v>0</v>
      </c>
      <c r="I380" s="9">
        <v>0</v>
      </c>
      <c r="J380" s="1948"/>
      <c r="K380" s="1949"/>
    </row>
    <row r="381" spans="1:11">
      <c r="A381" s="1951"/>
      <c r="B381" s="1952"/>
      <c r="C381" s="1951"/>
      <c r="D381" s="57">
        <v>2019</v>
      </c>
      <c r="E381" s="8">
        <f t="shared" si="29"/>
        <v>0</v>
      </c>
      <c r="F381" s="9">
        <v>0</v>
      </c>
      <c r="G381" s="9">
        <v>0</v>
      </c>
      <c r="H381" s="9">
        <v>0</v>
      </c>
      <c r="I381" s="9">
        <v>0</v>
      </c>
      <c r="J381" s="1948"/>
      <c r="K381" s="1949"/>
    </row>
    <row r="382" spans="1:11">
      <c r="A382" s="1951"/>
      <c r="B382" s="1952"/>
      <c r="C382" s="1951"/>
      <c r="D382" s="57">
        <v>2020</v>
      </c>
      <c r="E382" s="8">
        <f t="shared" si="29"/>
        <v>0</v>
      </c>
      <c r="F382" s="9">
        <v>0</v>
      </c>
      <c r="G382" s="9">
        <v>0</v>
      </c>
      <c r="H382" s="9">
        <v>0</v>
      </c>
      <c r="I382" s="9">
        <v>0</v>
      </c>
      <c r="J382" s="1948"/>
      <c r="K382" s="1949"/>
    </row>
    <row r="383" spans="1:11" s="2" customFormat="1" ht="15" customHeight="1">
      <c r="A383" s="1951" t="s">
        <v>250</v>
      </c>
      <c r="B383" s="1952" t="s">
        <v>293</v>
      </c>
      <c r="C383" s="1951">
        <v>2018</v>
      </c>
      <c r="D383" s="51" t="s">
        <v>8</v>
      </c>
      <c r="E383" s="8">
        <f t="shared" si="29"/>
        <v>6633.9</v>
      </c>
      <c r="F383" s="8">
        <f>SUM(F384:F388)</f>
        <v>6302.2</v>
      </c>
      <c r="G383" s="8">
        <f>SUM(G384:G388)</f>
        <v>0</v>
      </c>
      <c r="H383" s="8">
        <f>SUM(H384:H388)</f>
        <v>331.7</v>
      </c>
      <c r="I383" s="8">
        <f>SUM(I384:I388)</f>
        <v>0</v>
      </c>
      <c r="J383" s="1948" t="s">
        <v>294</v>
      </c>
      <c r="K383" s="1949" t="s">
        <v>113</v>
      </c>
    </row>
    <row r="384" spans="1:11" s="2" customFormat="1">
      <c r="A384" s="1951"/>
      <c r="B384" s="1952"/>
      <c r="C384" s="1951"/>
      <c r="D384" s="51">
        <v>2016</v>
      </c>
      <c r="E384" s="8">
        <f t="shared" si="29"/>
        <v>0</v>
      </c>
      <c r="F384" s="9">
        <v>0</v>
      </c>
      <c r="G384" s="9">
        <v>0</v>
      </c>
      <c r="H384" s="9">
        <v>0</v>
      </c>
      <c r="I384" s="9">
        <v>0</v>
      </c>
      <c r="J384" s="1948"/>
      <c r="K384" s="1949"/>
    </row>
    <row r="385" spans="1:11" s="2" customFormat="1">
      <c r="A385" s="1951"/>
      <c r="B385" s="1952"/>
      <c r="C385" s="1951"/>
      <c r="D385" s="51">
        <v>2017</v>
      </c>
      <c r="E385" s="8">
        <f t="shared" si="29"/>
        <v>0</v>
      </c>
      <c r="F385" s="9">
        <v>0</v>
      </c>
      <c r="G385" s="9">
        <v>0</v>
      </c>
      <c r="H385" s="9">
        <v>0</v>
      </c>
      <c r="I385" s="9">
        <v>0</v>
      </c>
      <c r="J385" s="1948"/>
      <c r="K385" s="1949"/>
    </row>
    <row r="386" spans="1:11" s="2" customFormat="1">
      <c r="A386" s="1951"/>
      <c r="B386" s="1952"/>
      <c r="C386" s="1951"/>
      <c r="D386" s="55">
        <v>2018</v>
      </c>
      <c r="E386" s="8">
        <f t="shared" si="29"/>
        <v>6633.9</v>
      </c>
      <c r="F386" s="9">
        <v>6302.2</v>
      </c>
      <c r="G386" s="9">
        <v>0</v>
      </c>
      <c r="H386" s="9">
        <v>331.7</v>
      </c>
      <c r="I386" s="9">
        <v>0</v>
      </c>
      <c r="J386" s="1948"/>
      <c r="K386" s="1949"/>
    </row>
    <row r="387" spans="1:11" s="2" customFormat="1">
      <c r="A387" s="1951"/>
      <c r="B387" s="1952"/>
      <c r="C387" s="1951"/>
      <c r="D387" s="55">
        <v>2019</v>
      </c>
      <c r="E387" s="8">
        <f t="shared" si="29"/>
        <v>0</v>
      </c>
      <c r="F387" s="9">
        <v>0</v>
      </c>
      <c r="G387" s="9">
        <v>0</v>
      </c>
      <c r="H387" s="9">
        <v>0</v>
      </c>
      <c r="I387" s="9">
        <v>0</v>
      </c>
      <c r="J387" s="1948"/>
      <c r="K387" s="1949"/>
    </row>
    <row r="388" spans="1:11" s="2" customFormat="1">
      <c r="A388" s="1951"/>
      <c r="B388" s="1952"/>
      <c r="C388" s="1951"/>
      <c r="D388" s="55">
        <v>2020</v>
      </c>
      <c r="E388" s="8">
        <f t="shared" si="29"/>
        <v>0</v>
      </c>
      <c r="F388" s="9">
        <v>0</v>
      </c>
      <c r="G388" s="9">
        <v>0</v>
      </c>
      <c r="H388" s="9">
        <v>0</v>
      </c>
      <c r="I388" s="9">
        <v>0</v>
      </c>
      <c r="J388" s="1948"/>
      <c r="K388" s="1949"/>
    </row>
    <row r="389" spans="1:11" s="2" customFormat="1" ht="15" customHeight="1">
      <c r="A389" s="1951" t="s">
        <v>253</v>
      </c>
      <c r="B389" s="1952" t="s">
        <v>254</v>
      </c>
      <c r="C389" s="1951" t="s">
        <v>255</v>
      </c>
      <c r="D389" s="51" t="s">
        <v>8</v>
      </c>
      <c r="E389" s="8">
        <f t="shared" si="29"/>
        <v>75252.3</v>
      </c>
      <c r="F389" s="8">
        <f>SUM(F390:F394)</f>
        <v>70586.600000000006</v>
      </c>
      <c r="G389" s="8">
        <f>SUM(G390:G394)</f>
        <v>0</v>
      </c>
      <c r="H389" s="8">
        <f>SUM(H390:H394)</f>
        <v>4665.7</v>
      </c>
      <c r="I389" s="8">
        <f>SUM(I390:I394)</f>
        <v>0</v>
      </c>
      <c r="J389" s="1948" t="s">
        <v>256</v>
      </c>
      <c r="K389" s="1949" t="s">
        <v>168</v>
      </c>
    </row>
    <row r="390" spans="1:11" s="2" customFormat="1">
      <c r="A390" s="1951"/>
      <c r="B390" s="1952"/>
      <c r="C390" s="1951"/>
      <c r="D390" s="51">
        <v>2016</v>
      </c>
      <c r="E390" s="8">
        <f t="shared" si="29"/>
        <v>0</v>
      </c>
      <c r="F390" s="9">
        <v>0</v>
      </c>
      <c r="G390" s="9">
        <v>0</v>
      </c>
      <c r="H390" s="9">
        <v>0</v>
      </c>
      <c r="I390" s="9">
        <v>0</v>
      </c>
      <c r="J390" s="1948"/>
      <c r="K390" s="1949"/>
    </row>
    <row r="391" spans="1:11" s="2" customFormat="1">
      <c r="A391" s="1951"/>
      <c r="B391" s="1952"/>
      <c r="C391" s="1951"/>
      <c r="D391" s="51">
        <v>2017</v>
      </c>
      <c r="E391" s="8">
        <f t="shared" si="29"/>
        <v>0</v>
      </c>
      <c r="F391" s="9">
        <v>0</v>
      </c>
      <c r="G391" s="9">
        <v>0</v>
      </c>
      <c r="H391" s="9">
        <v>0</v>
      </c>
      <c r="I391" s="9">
        <v>0</v>
      </c>
      <c r="J391" s="1948"/>
      <c r="K391" s="1949"/>
    </row>
    <row r="392" spans="1:11" s="2" customFormat="1">
      <c r="A392" s="1951"/>
      <c r="B392" s="1952"/>
      <c r="C392" s="1951"/>
      <c r="D392" s="55">
        <v>2018</v>
      </c>
      <c r="E392" s="8">
        <f t="shared" si="29"/>
        <v>18773.5</v>
      </c>
      <c r="F392" s="9">
        <v>17609.5</v>
      </c>
      <c r="G392" s="9">
        <v>0</v>
      </c>
      <c r="H392" s="9">
        <v>1164</v>
      </c>
      <c r="I392" s="9">
        <v>0</v>
      </c>
      <c r="J392" s="1948"/>
      <c r="K392" s="1949"/>
    </row>
    <row r="393" spans="1:11" s="2" customFormat="1">
      <c r="A393" s="1951"/>
      <c r="B393" s="1952"/>
      <c r="C393" s="1951"/>
      <c r="D393" s="55">
        <v>2019</v>
      </c>
      <c r="E393" s="8">
        <f t="shared" si="29"/>
        <v>56478.799999999996</v>
      </c>
      <c r="F393" s="9">
        <v>52977.1</v>
      </c>
      <c r="G393" s="9">
        <v>0</v>
      </c>
      <c r="H393" s="9">
        <v>3501.7</v>
      </c>
      <c r="I393" s="9">
        <v>0</v>
      </c>
      <c r="J393" s="1948"/>
      <c r="K393" s="1949"/>
    </row>
    <row r="394" spans="1:11" s="2" customFormat="1">
      <c r="A394" s="1951"/>
      <c r="B394" s="1952"/>
      <c r="C394" s="1951"/>
      <c r="D394" s="55">
        <v>2020</v>
      </c>
      <c r="E394" s="8">
        <f t="shared" si="29"/>
        <v>0</v>
      </c>
      <c r="F394" s="9">
        <v>0</v>
      </c>
      <c r="G394" s="9">
        <v>0</v>
      </c>
      <c r="H394" s="9">
        <v>0</v>
      </c>
      <c r="I394" s="9">
        <v>0</v>
      </c>
      <c r="J394" s="1948"/>
      <c r="K394" s="1949"/>
    </row>
    <row r="395" spans="1:11" s="2" customFormat="1" ht="15" customHeight="1">
      <c r="A395" s="1951" t="s">
        <v>257</v>
      </c>
      <c r="B395" s="1952" t="s">
        <v>258</v>
      </c>
      <c r="C395" s="1951">
        <v>2018</v>
      </c>
      <c r="D395" s="51" t="s">
        <v>8</v>
      </c>
      <c r="E395" s="8">
        <f t="shared" si="29"/>
        <v>11650.4</v>
      </c>
      <c r="F395" s="8">
        <f>SUM(F396:F400)</f>
        <v>11067.9</v>
      </c>
      <c r="G395" s="8">
        <f>SUM(G396:G400)</f>
        <v>0</v>
      </c>
      <c r="H395" s="8">
        <f>SUM(H396:H400)</f>
        <v>582.5</v>
      </c>
      <c r="I395" s="8">
        <f>SUM(I396:I400)</f>
        <v>0</v>
      </c>
      <c r="J395" s="1948" t="s">
        <v>259</v>
      </c>
      <c r="K395" s="1949" t="s">
        <v>168</v>
      </c>
    </row>
    <row r="396" spans="1:11" s="2" customFormat="1">
      <c r="A396" s="1951"/>
      <c r="B396" s="1952"/>
      <c r="C396" s="1951"/>
      <c r="D396" s="51">
        <v>2016</v>
      </c>
      <c r="E396" s="8">
        <f t="shared" si="29"/>
        <v>0</v>
      </c>
      <c r="F396" s="9">
        <v>0</v>
      </c>
      <c r="G396" s="9">
        <v>0</v>
      </c>
      <c r="H396" s="9">
        <v>0</v>
      </c>
      <c r="I396" s="9">
        <v>0</v>
      </c>
      <c r="J396" s="1948"/>
      <c r="K396" s="1949"/>
    </row>
    <row r="397" spans="1:11" s="2" customFormat="1">
      <c r="A397" s="1951"/>
      <c r="B397" s="1952"/>
      <c r="C397" s="1951"/>
      <c r="D397" s="51">
        <v>2017</v>
      </c>
      <c r="E397" s="8">
        <f t="shared" si="29"/>
        <v>0</v>
      </c>
      <c r="F397" s="9">
        <v>0</v>
      </c>
      <c r="G397" s="9">
        <v>0</v>
      </c>
      <c r="H397" s="9">
        <v>0</v>
      </c>
      <c r="I397" s="9">
        <v>0</v>
      </c>
      <c r="J397" s="1948"/>
      <c r="K397" s="1949"/>
    </row>
    <row r="398" spans="1:11" s="2" customFormat="1">
      <c r="A398" s="1951"/>
      <c r="B398" s="1952"/>
      <c r="C398" s="1951"/>
      <c r="D398" s="55">
        <v>2018</v>
      </c>
      <c r="E398" s="8">
        <f t="shared" si="29"/>
        <v>11650.4</v>
      </c>
      <c r="F398" s="9">
        <v>11067.9</v>
      </c>
      <c r="G398" s="9">
        <v>0</v>
      </c>
      <c r="H398" s="9">
        <v>582.5</v>
      </c>
      <c r="I398" s="9">
        <v>0</v>
      </c>
      <c r="J398" s="1948"/>
      <c r="K398" s="1949"/>
    </row>
    <row r="399" spans="1:11" s="2" customFormat="1">
      <c r="A399" s="1951"/>
      <c r="B399" s="1952"/>
      <c r="C399" s="1951"/>
      <c r="D399" s="55">
        <v>2019</v>
      </c>
      <c r="E399" s="8">
        <f t="shared" si="29"/>
        <v>0</v>
      </c>
      <c r="F399" s="9">
        <v>0</v>
      </c>
      <c r="G399" s="9">
        <v>0</v>
      </c>
      <c r="H399" s="9">
        <v>0</v>
      </c>
      <c r="I399" s="9">
        <v>0</v>
      </c>
      <c r="J399" s="1948"/>
      <c r="K399" s="1949"/>
    </row>
    <row r="400" spans="1:11" s="2" customFormat="1">
      <c r="A400" s="1951"/>
      <c r="B400" s="1952"/>
      <c r="C400" s="1951"/>
      <c r="D400" s="55">
        <v>2020</v>
      </c>
      <c r="E400" s="8">
        <f t="shared" si="29"/>
        <v>0</v>
      </c>
      <c r="F400" s="9">
        <v>0</v>
      </c>
      <c r="G400" s="9">
        <v>0</v>
      </c>
      <c r="H400" s="9">
        <v>0</v>
      </c>
      <c r="I400" s="9">
        <v>0</v>
      </c>
      <c r="J400" s="1948"/>
      <c r="K400" s="1949"/>
    </row>
    <row r="401" spans="1:12" s="2" customFormat="1" ht="15" customHeight="1">
      <c r="A401" s="1951" t="s">
        <v>260</v>
      </c>
      <c r="B401" s="1952" t="s">
        <v>261</v>
      </c>
      <c r="C401" s="1951">
        <v>2018</v>
      </c>
      <c r="D401" s="51" t="s">
        <v>8</v>
      </c>
      <c r="E401" s="8">
        <f t="shared" si="29"/>
        <v>8945.5</v>
      </c>
      <c r="F401" s="8">
        <f>SUM(F402:F406)</f>
        <v>8498.2000000000007</v>
      </c>
      <c r="G401" s="8">
        <f>SUM(G402:G406)</f>
        <v>0</v>
      </c>
      <c r="H401" s="8">
        <f>SUM(H402:H406)</f>
        <v>447.3</v>
      </c>
      <c r="I401" s="8">
        <f>SUM(I402:I406)</f>
        <v>0</v>
      </c>
      <c r="J401" s="1948" t="s">
        <v>262</v>
      </c>
      <c r="K401" s="1949" t="s">
        <v>168</v>
      </c>
    </row>
    <row r="402" spans="1:12" s="2" customFormat="1">
      <c r="A402" s="1951"/>
      <c r="B402" s="1952"/>
      <c r="C402" s="1951"/>
      <c r="D402" s="51">
        <v>2016</v>
      </c>
      <c r="E402" s="8">
        <f t="shared" si="29"/>
        <v>0</v>
      </c>
      <c r="F402" s="9">
        <v>0</v>
      </c>
      <c r="G402" s="9">
        <v>0</v>
      </c>
      <c r="H402" s="9">
        <v>0</v>
      </c>
      <c r="I402" s="9">
        <v>0</v>
      </c>
      <c r="J402" s="1948"/>
      <c r="K402" s="1949"/>
    </row>
    <row r="403" spans="1:12" s="2" customFormat="1">
      <c r="A403" s="1951"/>
      <c r="B403" s="1952"/>
      <c r="C403" s="1951"/>
      <c r="D403" s="51">
        <v>2017</v>
      </c>
      <c r="E403" s="8">
        <f t="shared" si="29"/>
        <v>0</v>
      </c>
      <c r="F403" s="9">
        <v>0</v>
      </c>
      <c r="G403" s="9">
        <v>0</v>
      </c>
      <c r="H403" s="9">
        <v>0</v>
      </c>
      <c r="I403" s="9">
        <v>0</v>
      </c>
      <c r="J403" s="1948"/>
      <c r="K403" s="1949"/>
    </row>
    <row r="404" spans="1:12" s="2" customFormat="1">
      <c r="A404" s="1951"/>
      <c r="B404" s="1952"/>
      <c r="C404" s="1951"/>
      <c r="D404" s="55">
        <v>2018</v>
      </c>
      <c r="E404" s="8">
        <f t="shared" si="29"/>
        <v>8945.5</v>
      </c>
      <c r="F404" s="9">
        <v>8498.2000000000007</v>
      </c>
      <c r="G404" s="9">
        <v>0</v>
      </c>
      <c r="H404" s="9">
        <v>447.3</v>
      </c>
      <c r="I404" s="9">
        <v>0</v>
      </c>
      <c r="J404" s="1948"/>
      <c r="K404" s="1949"/>
    </row>
    <row r="405" spans="1:12" s="2" customFormat="1">
      <c r="A405" s="1951"/>
      <c r="B405" s="1952"/>
      <c r="C405" s="1951"/>
      <c r="D405" s="55">
        <v>2019</v>
      </c>
      <c r="E405" s="8">
        <f t="shared" si="29"/>
        <v>0</v>
      </c>
      <c r="F405" s="9">
        <v>0</v>
      </c>
      <c r="G405" s="9">
        <v>0</v>
      </c>
      <c r="H405" s="9">
        <v>0</v>
      </c>
      <c r="I405" s="9">
        <v>0</v>
      </c>
      <c r="J405" s="1948"/>
      <c r="K405" s="1949"/>
    </row>
    <row r="406" spans="1:12" s="2" customFormat="1">
      <c r="A406" s="1951"/>
      <c r="B406" s="1952"/>
      <c r="C406" s="1951"/>
      <c r="D406" s="55">
        <v>2020</v>
      </c>
      <c r="E406" s="8">
        <f t="shared" si="29"/>
        <v>0</v>
      </c>
      <c r="F406" s="9">
        <v>0</v>
      </c>
      <c r="G406" s="9">
        <v>0</v>
      </c>
      <c r="H406" s="9">
        <v>0</v>
      </c>
      <c r="I406" s="9">
        <v>0</v>
      </c>
      <c r="J406" s="1948"/>
      <c r="K406" s="1949"/>
    </row>
    <row r="407" spans="1:12" s="2" customFormat="1" ht="15" customHeight="1">
      <c r="A407" s="1951" t="s">
        <v>263</v>
      </c>
      <c r="B407" s="1952" t="s">
        <v>264</v>
      </c>
      <c r="C407" s="1951">
        <v>2019</v>
      </c>
      <c r="D407" s="51" t="s">
        <v>8</v>
      </c>
      <c r="E407" s="8">
        <f t="shared" si="29"/>
        <v>10438.4</v>
      </c>
      <c r="F407" s="8">
        <f>SUM(F408:F412)</f>
        <v>8747.4</v>
      </c>
      <c r="G407" s="8">
        <f>SUM(G408:G412)</f>
        <v>0</v>
      </c>
      <c r="H407" s="8">
        <f>SUM(H408:H412)</f>
        <v>1691</v>
      </c>
      <c r="I407" s="8">
        <f>SUM(I408:I412)</f>
        <v>0</v>
      </c>
      <c r="J407" s="1948" t="s">
        <v>265</v>
      </c>
      <c r="K407" s="1949" t="s">
        <v>168</v>
      </c>
    </row>
    <row r="408" spans="1:12" s="2" customFormat="1">
      <c r="A408" s="1951"/>
      <c r="B408" s="1952"/>
      <c r="C408" s="1951"/>
      <c r="D408" s="51">
        <v>2016</v>
      </c>
      <c r="E408" s="8">
        <f t="shared" si="29"/>
        <v>0</v>
      </c>
      <c r="F408" s="9">
        <v>0</v>
      </c>
      <c r="G408" s="9">
        <v>0</v>
      </c>
      <c r="H408" s="9">
        <v>0</v>
      </c>
      <c r="I408" s="9">
        <v>0</v>
      </c>
      <c r="J408" s="1948"/>
      <c r="K408" s="1949"/>
    </row>
    <row r="409" spans="1:12" s="2" customFormat="1">
      <c r="A409" s="1951"/>
      <c r="B409" s="1952"/>
      <c r="C409" s="1951"/>
      <c r="D409" s="51">
        <v>2017</v>
      </c>
      <c r="E409" s="8">
        <f t="shared" si="29"/>
        <v>0</v>
      </c>
      <c r="F409" s="9">
        <v>0</v>
      </c>
      <c r="G409" s="9">
        <v>0</v>
      </c>
      <c r="H409" s="9">
        <v>0</v>
      </c>
      <c r="I409" s="9">
        <v>0</v>
      </c>
      <c r="J409" s="1948"/>
      <c r="K409" s="1949"/>
    </row>
    <row r="410" spans="1:12" s="2" customFormat="1">
      <c r="A410" s="1951"/>
      <c r="B410" s="1952"/>
      <c r="C410" s="1951"/>
      <c r="D410" s="55">
        <v>2018</v>
      </c>
      <c r="E410" s="8">
        <f t="shared" si="29"/>
        <v>0</v>
      </c>
      <c r="F410" s="9">
        <v>0</v>
      </c>
      <c r="G410" s="9">
        <v>0</v>
      </c>
      <c r="H410" s="9">
        <v>0</v>
      </c>
      <c r="I410" s="9">
        <v>0</v>
      </c>
      <c r="J410" s="1948"/>
      <c r="K410" s="1949"/>
    </row>
    <row r="411" spans="1:12" s="2" customFormat="1">
      <c r="A411" s="1951"/>
      <c r="B411" s="1952"/>
      <c r="C411" s="1951"/>
      <c r="D411" s="55">
        <v>2019</v>
      </c>
      <c r="E411" s="8">
        <f t="shared" ref="E411:E412" si="30">SUM(F411:I411)</f>
        <v>10438.4</v>
      </c>
      <c r="F411" s="9">
        <v>8747.4</v>
      </c>
      <c r="G411" s="9">
        <v>0</v>
      </c>
      <c r="H411" s="9">
        <v>1691</v>
      </c>
      <c r="I411" s="9">
        <v>0</v>
      </c>
      <c r="J411" s="1948"/>
      <c r="K411" s="1949"/>
    </row>
    <row r="412" spans="1:12" s="2" customFormat="1">
      <c r="A412" s="1951"/>
      <c r="B412" s="1952"/>
      <c r="C412" s="1951"/>
      <c r="D412" s="55">
        <v>2020</v>
      </c>
      <c r="E412" s="8">
        <f t="shared" si="30"/>
        <v>0</v>
      </c>
      <c r="F412" s="9">
        <v>0</v>
      </c>
      <c r="G412" s="9">
        <v>0</v>
      </c>
      <c r="H412" s="9">
        <v>0</v>
      </c>
      <c r="I412" s="9">
        <v>0</v>
      </c>
      <c r="J412" s="1948"/>
      <c r="K412" s="1949"/>
    </row>
    <row r="413" spans="1:12" ht="15" customHeight="1">
      <c r="A413" s="1945" t="s">
        <v>295</v>
      </c>
      <c r="B413" s="1946" t="s">
        <v>296</v>
      </c>
      <c r="C413" s="1947" t="s">
        <v>186</v>
      </c>
      <c r="D413" s="57" t="s">
        <v>8</v>
      </c>
      <c r="E413" s="8">
        <f t="shared" ref="E413:I418" si="31">E419</f>
        <v>283000</v>
      </c>
      <c r="F413" s="8">
        <f t="shared" si="31"/>
        <v>122350</v>
      </c>
      <c r="G413" s="8">
        <f t="shared" si="31"/>
        <v>0</v>
      </c>
      <c r="H413" s="8">
        <f t="shared" si="31"/>
        <v>132350</v>
      </c>
      <c r="I413" s="8">
        <f t="shared" si="31"/>
        <v>28300</v>
      </c>
      <c r="J413" s="1948" t="s">
        <v>81</v>
      </c>
      <c r="K413" s="1949" t="s">
        <v>297</v>
      </c>
      <c r="L413" s="1955"/>
    </row>
    <row r="414" spans="1:12">
      <c r="A414" s="1945"/>
      <c r="B414" s="1946"/>
      <c r="C414" s="1947"/>
      <c r="D414" s="57">
        <v>2016</v>
      </c>
      <c r="E414" s="8">
        <f t="shared" si="31"/>
        <v>0</v>
      </c>
      <c r="F414" s="8">
        <f t="shared" si="31"/>
        <v>0</v>
      </c>
      <c r="G414" s="8">
        <f t="shared" si="31"/>
        <v>0</v>
      </c>
      <c r="H414" s="8">
        <f t="shared" si="31"/>
        <v>0</v>
      </c>
      <c r="I414" s="8">
        <f t="shared" si="31"/>
        <v>0</v>
      </c>
      <c r="J414" s="1948"/>
      <c r="K414" s="1949"/>
      <c r="L414" s="1955"/>
    </row>
    <row r="415" spans="1:12">
      <c r="A415" s="1945"/>
      <c r="B415" s="1946"/>
      <c r="C415" s="1947"/>
      <c r="D415" s="57">
        <v>2017</v>
      </c>
      <c r="E415" s="8">
        <f t="shared" si="31"/>
        <v>0</v>
      </c>
      <c r="F415" s="8">
        <f t="shared" si="31"/>
        <v>0</v>
      </c>
      <c r="G415" s="8">
        <f t="shared" si="31"/>
        <v>0</v>
      </c>
      <c r="H415" s="8">
        <f t="shared" si="31"/>
        <v>0</v>
      </c>
      <c r="I415" s="8">
        <f t="shared" si="31"/>
        <v>0</v>
      </c>
      <c r="J415" s="1948"/>
      <c r="K415" s="1949"/>
      <c r="L415" s="1955"/>
    </row>
    <row r="416" spans="1:12">
      <c r="A416" s="1945"/>
      <c r="B416" s="1946"/>
      <c r="C416" s="1947"/>
      <c r="D416" s="57">
        <v>2018</v>
      </c>
      <c r="E416" s="8">
        <f t="shared" si="31"/>
        <v>10000</v>
      </c>
      <c r="F416" s="8">
        <f t="shared" si="31"/>
        <v>0</v>
      </c>
      <c r="G416" s="8">
        <f t="shared" si="31"/>
        <v>0</v>
      </c>
      <c r="H416" s="8">
        <f t="shared" si="31"/>
        <v>10000</v>
      </c>
      <c r="I416" s="8">
        <f t="shared" si="31"/>
        <v>0</v>
      </c>
      <c r="J416" s="1948"/>
      <c r="K416" s="1949"/>
      <c r="L416" s="1955"/>
    </row>
    <row r="417" spans="1:12">
      <c r="A417" s="1945"/>
      <c r="B417" s="1946"/>
      <c r="C417" s="1947"/>
      <c r="D417" s="57">
        <v>2019</v>
      </c>
      <c r="E417" s="8">
        <f t="shared" si="31"/>
        <v>148300</v>
      </c>
      <c r="F417" s="8">
        <f>F423</f>
        <v>60000</v>
      </c>
      <c r="G417" s="8">
        <f t="shared" si="31"/>
        <v>0</v>
      </c>
      <c r="H417" s="8">
        <f t="shared" si="31"/>
        <v>60000</v>
      </c>
      <c r="I417" s="8">
        <f t="shared" si="31"/>
        <v>28300</v>
      </c>
      <c r="J417" s="1948"/>
      <c r="K417" s="1949"/>
      <c r="L417" s="1955"/>
    </row>
    <row r="418" spans="1:12">
      <c r="A418" s="1945"/>
      <c r="B418" s="1946"/>
      <c r="C418" s="1947"/>
      <c r="D418" s="57">
        <v>2020</v>
      </c>
      <c r="E418" s="8">
        <f t="shared" si="31"/>
        <v>124700</v>
      </c>
      <c r="F418" s="9">
        <f>F424</f>
        <v>62350</v>
      </c>
      <c r="G418" s="9">
        <f t="shared" si="31"/>
        <v>0</v>
      </c>
      <c r="H418" s="9">
        <f t="shared" si="31"/>
        <v>62350</v>
      </c>
      <c r="I418" s="8">
        <f t="shared" si="31"/>
        <v>0</v>
      </c>
      <c r="J418" s="1948"/>
      <c r="K418" s="1949"/>
      <c r="L418" s="53"/>
    </row>
    <row r="419" spans="1:12" ht="15" customHeight="1">
      <c r="A419" s="1945" t="s">
        <v>298</v>
      </c>
      <c r="B419" s="1946" t="s">
        <v>299</v>
      </c>
      <c r="C419" s="1947" t="s">
        <v>186</v>
      </c>
      <c r="D419" s="57" t="s">
        <v>8</v>
      </c>
      <c r="E419" s="8">
        <f t="shared" ref="E419:E442" si="32">SUM(F419:I419)</f>
        <v>283000</v>
      </c>
      <c r="F419" s="8">
        <f>SUM(F420:F424)</f>
        <v>122350</v>
      </c>
      <c r="G419" s="8">
        <f>SUM(G420:G424)</f>
        <v>0</v>
      </c>
      <c r="H419" s="8">
        <f>SUM(H420:H424)</f>
        <v>132350</v>
      </c>
      <c r="I419" s="8">
        <f>SUM(I420:I424)</f>
        <v>28300</v>
      </c>
      <c r="J419" s="1948" t="s">
        <v>300</v>
      </c>
      <c r="K419" s="1949" t="s">
        <v>297</v>
      </c>
      <c r="L419" s="1955"/>
    </row>
    <row r="420" spans="1:12">
      <c r="A420" s="1945"/>
      <c r="B420" s="1946"/>
      <c r="C420" s="1947"/>
      <c r="D420" s="57">
        <v>2016</v>
      </c>
      <c r="E420" s="8">
        <f t="shared" si="32"/>
        <v>0</v>
      </c>
      <c r="F420" s="9">
        <v>0</v>
      </c>
      <c r="G420" s="9">
        <v>0</v>
      </c>
      <c r="H420" s="9">
        <v>0</v>
      </c>
      <c r="I420" s="9">
        <v>0</v>
      </c>
      <c r="J420" s="1948"/>
      <c r="K420" s="1949"/>
      <c r="L420" s="1955"/>
    </row>
    <row r="421" spans="1:12">
      <c r="A421" s="1945"/>
      <c r="B421" s="1946"/>
      <c r="C421" s="1947"/>
      <c r="D421" s="57">
        <v>2017</v>
      </c>
      <c r="E421" s="8">
        <f t="shared" si="32"/>
        <v>0</v>
      </c>
      <c r="F421" s="9">
        <v>0</v>
      </c>
      <c r="G421" s="9">
        <v>0</v>
      </c>
      <c r="H421" s="9">
        <v>0</v>
      </c>
      <c r="I421" s="9">
        <v>0</v>
      </c>
      <c r="J421" s="1948"/>
      <c r="K421" s="1949"/>
      <c r="L421" s="1955"/>
    </row>
    <row r="422" spans="1:12">
      <c r="A422" s="1945"/>
      <c r="B422" s="1946"/>
      <c r="C422" s="1947"/>
      <c r="D422" s="57">
        <v>2018</v>
      </c>
      <c r="E422" s="8">
        <f t="shared" si="32"/>
        <v>10000</v>
      </c>
      <c r="F422" s="9">
        <v>0</v>
      </c>
      <c r="G422" s="9">
        <v>0</v>
      </c>
      <c r="H422" s="9">
        <v>10000</v>
      </c>
      <c r="I422" s="9">
        <v>0</v>
      </c>
      <c r="J422" s="1948"/>
      <c r="K422" s="1949"/>
      <c r="L422" s="1955"/>
    </row>
    <row r="423" spans="1:12">
      <c r="A423" s="1945"/>
      <c r="B423" s="1946"/>
      <c r="C423" s="1947"/>
      <c r="D423" s="57" t="s">
        <v>301</v>
      </c>
      <c r="E423" s="8">
        <f t="shared" si="32"/>
        <v>148300</v>
      </c>
      <c r="F423" s="9">
        <v>60000</v>
      </c>
      <c r="G423" s="9">
        <v>0</v>
      </c>
      <c r="H423" s="9">
        <v>60000</v>
      </c>
      <c r="I423" s="61">
        <v>28300</v>
      </c>
      <c r="J423" s="1948"/>
      <c r="K423" s="1949"/>
      <c r="L423" s="1955"/>
    </row>
    <row r="424" spans="1:12">
      <c r="A424" s="1945"/>
      <c r="B424" s="1946"/>
      <c r="C424" s="1947"/>
      <c r="D424" s="57" t="s">
        <v>302</v>
      </c>
      <c r="E424" s="8">
        <f t="shared" si="32"/>
        <v>124700</v>
      </c>
      <c r="F424" s="62">
        <v>62350</v>
      </c>
      <c r="G424" s="9">
        <v>0</v>
      </c>
      <c r="H424" s="62">
        <v>62350</v>
      </c>
      <c r="I424" s="9">
        <v>0</v>
      </c>
      <c r="J424" s="1948"/>
      <c r="K424" s="1949"/>
      <c r="L424" s="53"/>
    </row>
    <row r="425" spans="1:12" ht="15" customHeight="1">
      <c r="A425" s="1945" t="s">
        <v>129</v>
      </c>
      <c r="B425" s="1949" t="s">
        <v>130</v>
      </c>
      <c r="C425" s="1947" t="s">
        <v>14</v>
      </c>
      <c r="D425" s="57" t="s">
        <v>8</v>
      </c>
      <c r="E425" s="8">
        <f t="shared" si="32"/>
        <v>136043.4</v>
      </c>
      <c r="F425" s="8">
        <f>SUM(F426:F430)</f>
        <v>136043.4</v>
      </c>
      <c r="G425" s="9">
        <v>0</v>
      </c>
      <c r="H425" s="9">
        <v>0</v>
      </c>
      <c r="I425" s="9">
        <v>0</v>
      </c>
      <c r="J425" s="1958"/>
      <c r="K425" s="1949" t="s">
        <v>26</v>
      </c>
    </row>
    <row r="426" spans="1:12">
      <c r="A426" s="1945"/>
      <c r="B426" s="1949"/>
      <c r="C426" s="1947"/>
      <c r="D426" s="57">
        <v>2016</v>
      </c>
      <c r="E426" s="8">
        <f t="shared" si="32"/>
        <v>25539.5</v>
      </c>
      <c r="F426" s="9">
        <f>SUM(F432)</f>
        <v>25539.5</v>
      </c>
      <c r="G426" s="9">
        <v>0</v>
      </c>
      <c r="H426" s="9">
        <v>0</v>
      </c>
      <c r="I426" s="9">
        <v>0</v>
      </c>
      <c r="J426" s="1958"/>
      <c r="K426" s="1949"/>
    </row>
    <row r="427" spans="1:12">
      <c r="A427" s="1945"/>
      <c r="B427" s="1949"/>
      <c r="C427" s="1947"/>
      <c r="D427" s="57">
        <v>2017</v>
      </c>
      <c r="E427" s="8">
        <f t="shared" si="32"/>
        <v>25743.200000000001</v>
      </c>
      <c r="F427" s="9">
        <f>SUM(F433)</f>
        <v>25743.200000000001</v>
      </c>
      <c r="G427" s="9">
        <v>0</v>
      </c>
      <c r="H427" s="9">
        <v>0</v>
      </c>
      <c r="I427" s="9">
        <v>0</v>
      </c>
      <c r="J427" s="1958"/>
      <c r="K427" s="1949"/>
    </row>
    <row r="428" spans="1:12">
      <c r="A428" s="1945"/>
      <c r="B428" s="1949"/>
      <c r="C428" s="1947"/>
      <c r="D428" s="57">
        <v>2018</v>
      </c>
      <c r="E428" s="8">
        <f t="shared" si="32"/>
        <v>28265.200000000001</v>
      </c>
      <c r="F428" s="9">
        <f>SUM(F434)</f>
        <v>28265.200000000001</v>
      </c>
      <c r="G428" s="9">
        <v>0</v>
      </c>
      <c r="H428" s="9">
        <v>0</v>
      </c>
      <c r="I428" s="9">
        <v>0</v>
      </c>
      <c r="J428" s="1958"/>
      <c r="K428" s="1949"/>
    </row>
    <row r="429" spans="1:12">
      <c r="A429" s="1945"/>
      <c r="B429" s="1949"/>
      <c r="C429" s="1947"/>
      <c r="D429" s="57">
        <v>2019</v>
      </c>
      <c r="E429" s="8">
        <f t="shared" si="32"/>
        <v>27726</v>
      </c>
      <c r="F429" s="9">
        <f>SUM(F435)</f>
        <v>27726</v>
      </c>
      <c r="G429" s="9">
        <v>0</v>
      </c>
      <c r="H429" s="9">
        <v>0</v>
      </c>
      <c r="I429" s="9">
        <v>0</v>
      </c>
      <c r="J429" s="1958"/>
      <c r="K429" s="1949"/>
    </row>
    <row r="430" spans="1:12">
      <c r="A430" s="1945"/>
      <c r="B430" s="1949"/>
      <c r="C430" s="1947"/>
      <c r="D430" s="57">
        <v>2020</v>
      </c>
      <c r="E430" s="8">
        <f t="shared" si="32"/>
        <v>28769.5</v>
      </c>
      <c r="F430" s="9">
        <f>SUM(F436)</f>
        <v>28769.5</v>
      </c>
      <c r="G430" s="9">
        <v>0</v>
      </c>
      <c r="H430" s="9">
        <v>0</v>
      </c>
      <c r="I430" s="9">
        <v>0</v>
      </c>
      <c r="J430" s="1958"/>
      <c r="K430" s="1949"/>
    </row>
    <row r="431" spans="1:12" ht="17.100000000000001" customHeight="1">
      <c r="A431" s="1945" t="s">
        <v>131</v>
      </c>
      <c r="B431" s="1952" t="s">
        <v>132</v>
      </c>
      <c r="C431" s="1947" t="s">
        <v>14</v>
      </c>
      <c r="D431" s="57" t="s">
        <v>8</v>
      </c>
      <c r="E431" s="8">
        <f t="shared" si="32"/>
        <v>136043.4</v>
      </c>
      <c r="F431" s="8">
        <f>SUM(F432:F436)</f>
        <v>136043.4</v>
      </c>
      <c r="G431" s="8">
        <f>SUM(G432:G436)</f>
        <v>0</v>
      </c>
      <c r="H431" s="8">
        <f>SUM(H432:H436)</f>
        <v>0</v>
      </c>
      <c r="I431" s="8">
        <f>SUM(I432:I436)</f>
        <v>0</v>
      </c>
      <c r="J431" s="1948" t="s">
        <v>133</v>
      </c>
      <c r="K431" s="1949" t="s">
        <v>26</v>
      </c>
    </row>
    <row r="432" spans="1:12" ht="17.100000000000001" customHeight="1">
      <c r="A432" s="1945"/>
      <c r="B432" s="1952"/>
      <c r="C432" s="1947"/>
      <c r="D432" s="57">
        <v>2016</v>
      </c>
      <c r="E432" s="8">
        <f t="shared" si="32"/>
        <v>25539.5</v>
      </c>
      <c r="F432" s="9">
        <f t="shared" ref="F432:I436" si="33">SUM(F438)</f>
        <v>25539.5</v>
      </c>
      <c r="G432" s="9">
        <f t="shared" si="33"/>
        <v>0</v>
      </c>
      <c r="H432" s="9">
        <f t="shared" si="33"/>
        <v>0</v>
      </c>
      <c r="I432" s="9">
        <f t="shared" si="33"/>
        <v>0</v>
      </c>
      <c r="J432" s="1948"/>
      <c r="K432" s="1949"/>
    </row>
    <row r="433" spans="1:11" ht="17.100000000000001" customHeight="1">
      <c r="A433" s="1945"/>
      <c r="B433" s="1952"/>
      <c r="C433" s="1947"/>
      <c r="D433" s="57">
        <v>2017</v>
      </c>
      <c r="E433" s="8">
        <f t="shared" si="32"/>
        <v>25743.200000000001</v>
      </c>
      <c r="F433" s="9">
        <f t="shared" si="33"/>
        <v>25743.200000000001</v>
      </c>
      <c r="G433" s="9">
        <f t="shared" si="33"/>
        <v>0</v>
      </c>
      <c r="H433" s="9">
        <f t="shared" si="33"/>
        <v>0</v>
      </c>
      <c r="I433" s="9">
        <f t="shared" si="33"/>
        <v>0</v>
      </c>
      <c r="J433" s="1948"/>
      <c r="K433" s="1949"/>
    </row>
    <row r="434" spans="1:11" ht="17.100000000000001" customHeight="1">
      <c r="A434" s="1945"/>
      <c r="B434" s="1952"/>
      <c r="C434" s="1947"/>
      <c r="D434" s="57">
        <v>2018</v>
      </c>
      <c r="E434" s="8">
        <f t="shared" si="32"/>
        <v>28265.200000000001</v>
      </c>
      <c r="F434" s="9">
        <f t="shared" si="33"/>
        <v>28265.200000000001</v>
      </c>
      <c r="G434" s="9">
        <f t="shared" si="33"/>
        <v>0</v>
      </c>
      <c r="H434" s="9">
        <f t="shared" si="33"/>
        <v>0</v>
      </c>
      <c r="I434" s="9">
        <f t="shared" si="33"/>
        <v>0</v>
      </c>
      <c r="J434" s="1948"/>
      <c r="K434" s="1949"/>
    </row>
    <row r="435" spans="1:11" ht="17.100000000000001" customHeight="1">
      <c r="A435" s="1945"/>
      <c r="B435" s="1952"/>
      <c r="C435" s="1947"/>
      <c r="D435" s="57">
        <v>2019</v>
      </c>
      <c r="E435" s="8">
        <f t="shared" si="32"/>
        <v>27726</v>
      </c>
      <c r="F435" s="9">
        <f t="shared" si="33"/>
        <v>27726</v>
      </c>
      <c r="G435" s="9">
        <f t="shared" si="33"/>
        <v>0</v>
      </c>
      <c r="H435" s="9">
        <f t="shared" si="33"/>
        <v>0</v>
      </c>
      <c r="I435" s="9">
        <f t="shared" si="33"/>
        <v>0</v>
      </c>
      <c r="J435" s="1948"/>
      <c r="K435" s="1949"/>
    </row>
    <row r="436" spans="1:11" ht="17.100000000000001" customHeight="1">
      <c r="A436" s="1945"/>
      <c r="B436" s="1952"/>
      <c r="C436" s="1947"/>
      <c r="D436" s="57">
        <v>2020</v>
      </c>
      <c r="E436" s="8">
        <f t="shared" si="32"/>
        <v>28769.5</v>
      </c>
      <c r="F436" s="9">
        <f t="shared" si="33"/>
        <v>28769.5</v>
      </c>
      <c r="G436" s="9">
        <f t="shared" si="33"/>
        <v>0</v>
      </c>
      <c r="H436" s="9">
        <f t="shared" si="33"/>
        <v>0</v>
      </c>
      <c r="I436" s="9">
        <f t="shared" si="33"/>
        <v>0</v>
      </c>
      <c r="J436" s="1948"/>
      <c r="K436" s="1949"/>
    </row>
    <row r="437" spans="1:11" s="2" customFormat="1" ht="17.100000000000001" customHeight="1">
      <c r="A437" s="1945" t="s">
        <v>134</v>
      </c>
      <c r="B437" s="1946" t="s">
        <v>135</v>
      </c>
      <c r="C437" s="1947" t="s">
        <v>14</v>
      </c>
      <c r="D437" s="57" t="s">
        <v>8</v>
      </c>
      <c r="E437" s="8">
        <f t="shared" si="32"/>
        <v>136043.4</v>
      </c>
      <c r="F437" s="8">
        <f>SUM(F438:F442)</f>
        <v>136043.4</v>
      </c>
      <c r="G437" s="9">
        <v>0</v>
      </c>
      <c r="H437" s="9">
        <v>0</v>
      </c>
      <c r="I437" s="9">
        <v>0</v>
      </c>
      <c r="J437" s="1948" t="s">
        <v>136</v>
      </c>
      <c r="K437" s="1949" t="s">
        <v>26</v>
      </c>
    </row>
    <row r="438" spans="1:11" s="2" customFormat="1" ht="17.100000000000001" customHeight="1">
      <c r="A438" s="1945"/>
      <c r="B438" s="1946"/>
      <c r="C438" s="1947"/>
      <c r="D438" s="57">
        <v>2016</v>
      </c>
      <c r="E438" s="8">
        <f t="shared" si="32"/>
        <v>25539.5</v>
      </c>
      <c r="F438" s="9">
        <v>25539.5</v>
      </c>
      <c r="G438" s="9">
        <v>0</v>
      </c>
      <c r="H438" s="9">
        <v>0</v>
      </c>
      <c r="I438" s="9">
        <v>0</v>
      </c>
      <c r="J438" s="1948"/>
      <c r="K438" s="1949"/>
    </row>
    <row r="439" spans="1:11" s="2" customFormat="1" ht="17.100000000000001" customHeight="1">
      <c r="A439" s="1945"/>
      <c r="B439" s="1946"/>
      <c r="C439" s="1947"/>
      <c r="D439" s="57">
        <v>2017</v>
      </c>
      <c r="E439" s="8">
        <f t="shared" si="32"/>
        <v>25743.200000000001</v>
      </c>
      <c r="F439" s="9">
        <v>25743.200000000001</v>
      </c>
      <c r="G439" s="9">
        <v>0</v>
      </c>
      <c r="H439" s="9">
        <v>0</v>
      </c>
      <c r="I439" s="9">
        <v>0</v>
      </c>
      <c r="J439" s="1948"/>
      <c r="K439" s="1949"/>
    </row>
    <row r="440" spans="1:11" s="2" customFormat="1" ht="17.100000000000001" customHeight="1">
      <c r="A440" s="1945"/>
      <c r="B440" s="1946"/>
      <c r="C440" s="1947"/>
      <c r="D440" s="58">
        <v>2018</v>
      </c>
      <c r="E440" s="59">
        <f t="shared" si="32"/>
        <v>28265.200000000001</v>
      </c>
      <c r="F440" s="60">
        <v>28265.200000000001</v>
      </c>
      <c r="G440" s="9">
        <v>0</v>
      </c>
      <c r="H440" s="9">
        <v>0</v>
      </c>
      <c r="I440" s="9">
        <v>0</v>
      </c>
      <c r="J440" s="1948"/>
      <c r="K440" s="1949"/>
    </row>
    <row r="441" spans="1:11" s="2" customFormat="1" ht="17.100000000000001" customHeight="1">
      <c r="A441" s="1945"/>
      <c r="B441" s="1946"/>
      <c r="C441" s="1947"/>
      <c r="D441" s="57">
        <v>2019</v>
      </c>
      <c r="E441" s="8">
        <f t="shared" si="32"/>
        <v>27726</v>
      </c>
      <c r="F441" s="9">
        <v>27726</v>
      </c>
      <c r="G441" s="9">
        <v>0</v>
      </c>
      <c r="H441" s="9">
        <v>0</v>
      </c>
      <c r="I441" s="9">
        <v>0</v>
      </c>
      <c r="J441" s="1948"/>
      <c r="K441" s="1949"/>
    </row>
    <row r="442" spans="1:11" s="52" customFormat="1" ht="17.100000000000001" customHeight="1">
      <c r="A442" s="1945"/>
      <c r="B442" s="1946"/>
      <c r="C442" s="1947"/>
      <c r="D442" s="57">
        <v>2020</v>
      </c>
      <c r="E442" s="8">
        <f t="shared" si="32"/>
        <v>28769.5</v>
      </c>
      <c r="F442" s="9">
        <v>28769.5</v>
      </c>
      <c r="G442" s="9">
        <v>0</v>
      </c>
      <c r="H442" s="9">
        <v>0</v>
      </c>
      <c r="I442" s="9">
        <v>0</v>
      </c>
      <c r="J442" s="1948"/>
      <c r="K442" s="1949"/>
    </row>
    <row r="443" spans="1:11" ht="17.100000000000001" customHeight="1">
      <c r="A443" s="1957" t="s">
        <v>266</v>
      </c>
      <c r="B443" s="1957"/>
      <c r="C443" s="1957"/>
      <c r="D443" s="1957"/>
      <c r="E443" s="1957"/>
      <c r="F443" s="1957"/>
      <c r="G443" s="1957"/>
      <c r="H443" s="1957"/>
      <c r="I443" s="1957"/>
      <c r="J443" s="21"/>
      <c r="K443" s="22"/>
    </row>
    <row r="444" spans="1:11" ht="17.100000000000001" customHeight="1">
      <c r="A444" s="1956" t="s">
        <v>303</v>
      </c>
      <c r="B444" s="1956"/>
      <c r="C444" s="1956"/>
      <c r="D444" s="1956"/>
      <c r="E444" s="19"/>
      <c r="F444" s="20"/>
      <c r="G444" s="20"/>
      <c r="H444" s="20"/>
      <c r="I444" s="20"/>
      <c r="J444" s="21"/>
      <c r="K444" s="22"/>
    </row>
    <row r="445" spans="1:11" ht="17.100000000000001" customHeight="1">
      <c r="A445" s="16"/>
      <c r="B445" s="17"/>
      <c r="C445" s="18"/>
      <c r="D445" s="38"/>
      <c r="E445" s="23"/>
      <c r="F445" s="24"/>
      <c r="G445" s="24"/>
      <c r="H445" s="24"/>
      <c r="I445" s="20"/>
      <c r="J445" s="21"/>
      <c r="K445" s="22"/>
    </row>
    <row r="446" spans="1:11" ht="17.100000000000001" customHeight="1">
      <c r="A446" s="16"/>
      <c r="B446" s="17"/>
      <c r="C446" s="18"/>
      <c r="D446" s="38"/>
      <c r="E446" s="19"/>
      <c r="F446" s="20"/>
      <c r="G446" s="20"/>
      <c r="H446" s="20"/>
      <c r="I446" s="20"/>
      <c r="J446" s="21"/>
      <c r="K446" s="22"/>
    </row>
    <row r="447" spans="1:11">
      <c r="A447" s="25"/>
      <c r="B447" s="26"/>
      <c r="C447" s="10"/>
      <c r="D447" s="39"/>
      <c r="E447" s="27"/>
      <c r="F447" s="28"/>
      <c r="G447" s="27"/>
      <c r="H447" s="27"/>
      <c r="I447" s="27"/>
      <c r="J447" s="29"/>
      <c r="K447" s="30"/>
    </row>
    <row r="448" spans="1:11">
      <c r="A448" s="31"/>
      <c r="B448" s="32"/>
      <c r="C448" s="31"/>
      <c r="D448" s="40"/>
      <c r="E448" s="33"/>
      <c r="F448" s="34"/>
      <c r="G448" s="33"/>
      <c r="H448" s="33"/>
      <c r="I448" s="33"/>
      <c r="J448" s="35"/>
      <c r="K448" s="32"/>
    </row>
  </sheetData>
  <mergeCells count="377">
    <mergeCell ref="A444:D444"/>
    <mergeCell ref="A437:A442"/>
    <mergeCell ref="B437:B442"/>
    <mergeCell ref="C437:C442"/>
    <mergeCell ref="J437:J442"/>
    <mergeCell ref="K437:K442"/>
    <mergeCell ref="A443:I443"/>
    <mergeCell ref="A425:A430"/>
    <mergeCell ref="B425:B430"/>
    <mergeCell ref="C425:C430"/>
    <mergeCell ref="J425:J430"/>
    <mergeCell ref="K425:K430"/>
    <mergeCell ref="A431:A436"/>
    <mergeCell ref="B431:B436"/>
    <mergeCell ref="C431:C436"/>
    <mergeCell ref="J431:J436"/>
    <mergeCell ref="K431:K436"/>
    <mergeCell ref="L413:L417"/>
    <mergeCell ref="A419:A424"/>
    <mergeCell ref="B419:B424"/>
    <mergeCell ref="C419:C424"/>
    <mergeCell ref="J419:J424"/>
    <mergeCell ref="K419:K424"/>
    <mergeCell ref="L419:L423"/>
    <mergeCell ref="A407:A412"/>
    <mergeCell ref="B407:B412"/>
    <mergeCell ref="C407:C412"/>
    <mergeCell ref="J407:J412"/>
    <mergeCell ref="K407:K412"/>
    <mergeCell ref="A413:A418"/>
    <mergeCell ref="B413:B418"/>
    <mergeCell ref="C413:C418"/>
    <mergeCell ref="J413:J418"/>
    <mergeCell ref="K413:K418"/>
    <mergeCell ref="A395:A400"/>
    <mergeCell ref="B395:B400"/>
    <mergeCell ref="C395:C400"/>
    <mergeCell ref="J395:J400"/>
    <mergeCell ref="K395:K400"/>
    <mergeCell ref="A401:A406"/>
    <mergeCell ref="B401:B406"/>
    <mergeCell ref="C401:C406"/>
    <mergeCell ref="J401:J406"/>
    <mergeCell ref="K401:K406"/>
    <mergeCell ref="A383:A388"/>
    <mergeCell ref="B383:B388"/>
    <mergeCell ref="C383:C388"/>
    <mergeCell ref="J383:J388"/>
    <mergeCell ref="K383:K388"/>
    <mergeCell ref="A389:A394"/>
    <mergeCell ref="B389:B394"/>
    <mergeCell ref="C389:C394"/>
    <mergeCell ref="J389:J394"/>
    <mergeCell ref="K389:K394"/>
    <mergeCell ref="A371:A376"/>
    <mergeCell ref="B371:B376"/>
    <mergeCell ref="C371:C376"/>
    <mergeCell ref="J371:J376"/>
    <mergeCell ref="K371:K376"/>
    <mergeCell ref="A377:A382"/>
    <mergeCell ref="B377:B382"/>
    <mergeCell ref="C377:C382"/>
    <mergeCell ref="J377:J382"/>
    <mergeCell ref="K377:K382"/>
    <mergeCell ref="A359:A364"/>
    <mergeCell ref="B359:B364"/>
    <mergeCell ref="C359:C364"/>
    <mergeCell ref="J359:J364"/>
    <mergeCell ref="K359:K364"/>
    <mergeCell ref="A365:A370"/>
    <mergeCell ref="B365:B370"/>
    <mergeCell ref="C365:C370"/>
    <mergeCell ref="J365:J370"/>
    <mergeCell ref="K365:K370"/>
    <mergeCell ref="A347:A352"/>
    <mergeCell ref="B347:B352"/>
    <mergeCell ref="C347:C352"/>
    <mergeCell ref="J347:J352"/>
    <mergeCell ref="K347:K352"/>
    <mergeCell ref="A353:A358"/>
    <mergeCell ref="B353:B358"/>
    <mergeCell ref="C353:C358"/>
    <mergeCell ref="J353:J358"/>
    <mergeCell ref="K353:K358"/>
    <mergeCell ref="A335:A340"/>
    <mergeCell ref="B335:B340"/>
    <mergeCell ref="C335:C340"/>
    <mergeCell ref="J335:J340"/>
    <mergeCell ref="K335:K340"/>
    <mergeCell ref="A341:A346"/>
    <mergeCell ref="B341:B346"/>
    <mergeCell ref="C341:C346"/>
    <mergeCell ref="J341:J346"/>
    <mergeCell ref="K341:K346"/>
    <mergeCell ref="A323:A328"/>
    <mergeCell ref="B323:B328"/>
    <mergeCell ref="C323:C328"/>
    <mergeCell ref="J323:J328"/>
    <mergeCell ref="K323:K328"/>
    <mergeCell ref="A329:A334"/>
    <mergeCell ref="B329:B334"/>
    <mergeCell ref="C329:C334"/>
    <mergeCell ref="J329:J334"/>
    <mergeCell ref="K329:K334"/>
    <mergeCell ref="A311:A316"/>
    <mergeCell ref="B311:B316"/>
    <mergeCell ref="C311:C316"/>
    <mergeCell ref="J311:J316"/>
    <mergeCell ref="K311:K316"/>
    <mergeCell ref="A317:A322"/>
    <mergeCell ref="B317:B322"/>
    <mergeCell ref="C317:C322"/>
    <mergeCell ref="J317:J322"/>
    <mergeCell ref="K317:K322"/>
    <mergeCell ref="A287:A292"/>
    <mergeCell ref="B287:B292"/>
    <mergeCell ref="C287:C292"/>
    <mergeCell ref="J287:J292"/>
    <mergeCell ref="K287:K292"/>
    <mergeCell ref="L299:L303"/>
    <mergeCell ref="A305:A310"/>
    <mergeCell ref="B305:B310"/>
    <mergeCell ref="C305:C310"/>
    <mergeCell ref="J305:J310"/>
    <mergeCell ref="K305:K310"/>
    <mergeCell ref="A293:A298"/>
    <mergeCell ref="B293:B298"/>
    <mergeCell ref="C293:C298"/>
    <mergeCell ref="J293:J298"/>
    <mergeCell ref="K293:K298"/>
    <mergeCell ref="A299:A304"/>
    <mergeCell ref="B299:B304"/>
    <mergeCell ref="C299:C304"/>
    <mergeCell ref="J299:J304"/>
    <mergeCell ref="K299:K304"/>
    <mergeCell ref="A275:A280"/>
    <mergeCell ref="B275:B280"/>
    <mergeCell ref="C275:C280"/>
    <mergeCell ref="J275:J280"/>
    <mergeCell ref="K275:K280"/>
    <mergeCell ref="A281:A286"/>
    <mergeCell ref="B281:B286"/>
    <mergeCell ref="C281:C286"/>
    <mergeCell ref="J281:J286"/>
    <mergeCell ref="K281:K286"/>
    <mergeCell ref="A263:A268"/>
    <mergeCell ref="B263:B268"/>
    <mergeCell ref="C263:C268"/>
    <mergeCell ref="J263:J268"/>
    <mergeCell ref="K263:K268"/>
    <mergeCell ref="A269:A274"/>
    <mergeCell ref="B269:B274"/>
    <mergeCell ref="C269:C274"/>
    <mergeCell ref="J269:J274"/>
    <mergeCell ref="K269:K274"/>
    <mergeCell ref="A251:A256"/>
    <mergeCell ref="B251:B256"/>
    <mergeCell ref="C251:C256"/>
    <mergeCell ref="J251:J256"/>
    <mergeCell ref="K251:K256"/>
    <mergeCell ref="A257:A262"/>
    <mergeCell ref="B257:B262"/>
    <mergeCell ref="C257:C262"/>
    <mergeCell ref="J257:J262"/>
    <mergeCell ref="K257:K262"/>
    <mergeCell ref="A239:A244"/>
    <mergeCell ref="B239:B244"/>
    <mergeCell ref="C239:C244"/>
    <mergeCell ref="J239:J244"/>
    <mergeCell ref="K239:K244"/>
    <mergeCell ref="A245:A250"/>
    <mergeCell ref="B245:B250"/>
    <mergeCell ref="C245:C250"/>
    <mergeCell ref="J245:J250"/>
    <mergeCell ref="K245:K250"/>
    <mergeCell ref="A227:A232"/>
    <mergeCell ref="B227:B232"/>
    <mergeCell ref="C227:C232"/>
    <mergeCell ref="J227:J232"/>
    <mergeCell ref="K227:K232"/>
    <mergeCell ref="A233:A238"/>
    <mergeCell ref="B233:B238"/>
    <mergeCell ref="C233:C238"/>
    <mergeCell ref="J233:J238"/>
    <mergeCell ref="K233:K238"/>
    <mergeCell ref="A215:A220"/>
    <mergeCell ref="B215:B220"/>
    <mergeCell ref="C215:C220"/>
    <mergeCell ref="J215:J220"/>
    <mergeCell ref="K215:K220"/>
    <mergeCell ref="A221:A226"/>
    <mergeCell ref="B221:B226"/>
    <mergeCell ref="C221:C226"/>
    <mergeCell ref="J221:J226"/>
    <mergeCell ref="K221:K226"/>
    <mergeCell ref="A203:A208"/>
    <mergeCell ref="B203:B208"/>
    <mergeCell ref="C203:C208"/>
    <mergeCell ref="J203:J208"/>
    <mergeCell ref="K203:K208"/>
    <mergeCell ref="A209:A214"/>
    <mergeCell ref="B209:B214"/>
    <mergeCell ref="C209:C214"/>
    <mergeCell ref="J209:J214"/>
    <mergeCell ref="K209:K214"/>
    <mergeCell ref="A191:A196"/>
    <mergeCell ref="B191:B196"/>
    <mergeCell ref="C191:C196"/>
    <mergeCell ref="J191:J196"/>
    <mergeCell ref="K191:K196"/>
    <mergeCell ref="A197:A202"/>
    <mergeCell ref="B197:B202"/>
    <mergeCell ref="C197:C202"/>
    <mergeCell ref="J197:J202"/>
    <mergeCell ref="K197:K202"/>
    <mergeCell ref="A179:A184"/>
    <mergeCell ref="B179:B184"/>
    <mergeCell ref="C179:C184"/>
    <mergeCell ref="J179:J184"/>
    <mergeCell ref="K179:K184"/>
    <mergeCell ref="A185:A190"/>
    <mergeCell ref="B185:B190"/>
    <mergeCell ref="C185:C190"/>
    <mergeCell ref="J185:J190"/>
    <mergeCell ref="K185:K190"/>
    <mergeCell ref="A167:A172"/>
    <mergeCell ref="B167:B172"/>
    <mergeCell ref="C167:C172"/>
    <mergeCell ref="J167:J172"/>
    <mergeCell ref="K167:K172"/>
    <mergeCell ref="A173:A178"/>
    <mergeCell ref="B173:B178"/>
    <mergeCell ref="C173:C178"/>
    <mergeCell ref="J173:J178"/>
    <mergeCell ref="K173:K178"/>
    <mergeCell ref="A155:A160"/>
    <mergeCell ref="B155:B160"/>
    <mergeCell ref="C155:C160"/>
    <mergeCell ref="J155:J160"/>
    <mergeCell ref="K155:K160"/>
    <mergeCell ref="A161:A166"/>
    <mergeCell ref="B161:B166"/>
    <mergeCell ref="C161:C166"/>
    <mergeCell ref="J161:J166"/>
    <mergeCell ref="K161:K166"/>
    <mergeCell ref="A143:A148"/>
    <mergeCell ref="B143:B148"/>
    <mergeCell ref="C143:C148"/>
    <mergeCell ref="J143:J148"/>
    <mergeCell ref="K143:K148"/>
    <mergeCell ref="A149:A154"/>
    <mergeCell ref="B149:B154"/>
    <mergeCell ref="C149:C154"/>
    <mergeCell ref="J149:J154"/>
    <mergeCell ref="K149:K154"/>
    <mergeCell ref="A131:A136"/>
    <mergeCell ref="B131:B136"/>
    <mergeCell ref="C131:C136"/>
    <mergeCell ref="J131:J136"/>
    <mergeCell ref="K131:K136"/>
    <mergeCell ref="A137:A142"/>
    <mergeCell ref="B137:B142"/>
    <mergeCell ref="C137:C142"/>
    <mergeCell ref="J137:J142"/>
    <mergeCell ref="K137:K142"/>
    <mergeCell ref="A119:A124"/>
    <mergeCell ref="B119:B124"/>
    <mergeCell ref="C119:C124"/>
    <mergeCell ref="J119:J124"/>
    <mergeCell ref="K119:K124"/>
    <mergeCell ref="A125:A130"/>
    <mergeCell ref="B125:B130"/>
    <mergeCell ref="C125:C130"/>
    <mergeCell ref="J125:J130"/>
    <mergeCell ref="K125:K130"/>
    <mergeCell ref="A107:A112"/>
    <mergeCell ref="B107:B112"/>
    <mergeCell ref="C107:C112"/>
    <mergeCell ref="J107:J112"/>
    <mergeCell ref="K107:K112"/>
    <mergeCell ref="A113:A118"/>
    <mergeCell ref="B113:B118"/>
    <mergeCell ref="C113:C118"/>
    <mergeCell ref="J113:J118"/>
    <mergeCell ref="K113:K118"/>
    <mergeCell ref="A95:A100"/>
    <mergeCell ref="B95:B100"/>
    <mergeCell ref="C95:C100"/>
    <mergeCell ref="J95:J100"/>
    <mergeCell ref="K95:K100"/>
    <mergeCell ref="A101:A106"/>
    <mergeCell ref="B101:B106"/>
    <mergeCell ref="C101:C106"/>
    <mergeCell ref="J101:J106"/>
    <mergeCell ref="K101:K106"/>
    <mergeCell ref="A83:A88"/>
    <mergeCell ref="B83:B88"/>
    <mergeCell ref="C83:C88"/>
    <mergeCell ref="J83:J88"/>
    <mergeCell ref="K83:K88"/>
    <mergeCell ref="A89:A94"/>
    <mergeCell ref="B89:B94"/>
    <mergeCell ref="C89:C94"/>
    <mergeCell ref="J89:J94"/>
    <mergeCell ref="K89:K94"/>
    <mergeCell ref="A71:A76"/>
    <mergeCell ref="B71:B76"/>
    <mergeCell ref="C71:C76"/>
    <mergeCell ref="J71:J76"/>
    <mergeCell ref="K71:K76"/>
    <mergeCell ref="A77:A82"/>
    <mergeCell ref="B77:B82"/>
    <mergeCell ref="C77:C82"/>
    <mergeCell ref="J77:J82"/>
    <mergeCell ref="K77:K82"/>
    <mergeCell ref="A59:A64"/>
    <mergeCell ref="B59:B64"/>
    <mergeCell ref="C59:C64"/>
    <mergeCell ref="J59:J64"/>
    <mergeCell ref="K59:K64"/>
    <mergeCell ref="A65:A70"/>
    <mergeCell ref="B65:B70"/>
    <mergeCell ref="C65:C70"/>
    <mergeCell ref="J65:J70"/>
    <mergeCell ref="K65:K70"/>
    <mergeCell ref="A47:A52"/>
    <mergeCell ref="B47:B52"/>
    <mergeCell ref="C47:C52"/>
    <mergeCell ref="J47:J52"/>
    <mergeCell ref="K47:K52"/>
    <mergeCell ref="A53:A58"/>
    <mergeCell ref="B53:B58"/>
    <mergeCell ref="C53:C58"/>
    <mergeCell ref="J53:J58"/>
    <mergeCell ref="K53:K58"/>
    <mergeCell ref="A35:A40"/>
    <mergeCell ref="B35:B40"/>
    <mergeCell ref="C35:C40"/>
    <mergeCell ref="J35:J40"/>
    <mergeCell ref="K35:K40"/>
    <mergeCell ref="A41:A46"/>
    <mergeCell ref="B41:B46"/>
    <mergeCell ref="C41:C46"/>
    <mergeCell ref="J41:J46"/>
    <mergeCell ref="K41:K46"/>
    <mergeCell ref="A23:A28"/>
    <mergeCell ref="B23:B28"/>
    <mergeCell ref="C23:C28"/>
    <mergeCell ref="J23:J28"/>
    <mergeCell ref="K23:K28"/>
    <mergeCell ref="A29:A34"/>
    <mergeCell ref="B29:B34"/>
    <mergeCell ref="C29:C34"/>
    <mergeCell ref="J29:J34"/>
    <mergeCell ref="K29:K34"/>
    <mergeCell ref="A11:A16"/>
    <mergeCell ref="B11:B16"/>
    <mergeCell ref="C11:C16"/>
    <mergeCell ref="J11:J16"/>
    <mergeCell ref="K11:K16"/>
    <mergeCell ref="A17:A22"/>
    <mergeCell ref="B17:B22"/>
    <mergeCell ref="C17:C22"/>
    <mergeCell ref="J17:J22"/>
    <mergeCell ref="K17:K22"/>
    <mergeCell ref="A1:K2"/>
    <mergeCell ref="A3:A4"/>
    <mergeCell ref="B3:B4"/>
    <mergeCell ref="C3:C4"/>
    <mergeCell ref="D3:I3"/>
    <mergeCell ref="J3:J4"/>
    <mergeCell ref="K3:K4"/>
    <mergeCell ref="A5:A10"/>
    <mergeCell ref="B5:B10"/>
    <mergeCell ref="C5:C10"/>
    <mergeCell ref="J5:J10"/>
    <mergeCell ref="K5:K10"/>
  </mergeCells>
  <printOptions horizontalCentered="1" verticalCentered="1"/>
  <pageMargins left="0.11811023622047245" right="0.11811023622047245" top="0.15748031496062992" bottom="0.15748031496062992" header="0.11811023622047245" footer="0.11811023622047245"/>
  <pageSetup paperSize="9" fitToHeight="14" orientation="landscape" r:id="rId1"/>
  <rowBreaks count="11" manualBreakCount="11">
    <brk id="64" max="10" man="1"/>
    <brk id="94" max="10" man="1"/>
    <brk id="124" max="10" man="1"/>
    <brk id="160" max="10" man="1"/>
    <brk id="190" max="10" man="1"/>
    <brk id="226" max="10" man="1"/>
    <brk id="262" max="10" man="1"/>
    <brk id="298" max="10" man="1"/>
    <brk id="334" max="10" man="1"/>
    <brk id="370" max="10" man="1"/>
    <brk id="406"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P759"/>
  <sheetViews>
    <sheetView view="pageBreakPreview" zoomScale="80" zoomScaleSheetLayoutView="80" workbookViewId="0">
      <pane xSplit="3" ySplit="9" topLeftCell="D337" activePane="bottomRight" state="frozen"/>
      <selection activeCell="J305" sqref="J305:J310"/>
      <selection pane="topRight"/>
      <selection pane="bottomLeft"/>
      <selection pane="bottomRight" activeCell="D13" sqref="A13:XFD13"/>
    </sheetView>
  </sheetViews>
  <sheetFormatPr defaultColWidth="9.140625" defaultRowHeight="15" outlineLevelRow="1"/>
  <cols>
    <col min="1" max="1" width="6.28515625" style="724" customWidth="1"/>
    <col min="2" max="2" width="31.7109375" style="723" customWidth="1"/>
    <col min="3" max="3" width="8.85546875" style="722" customWidth="1"/>
    <col min="4" max="4" width="8.85546875" style="721" customWidth="1"/>
    <col min="5" max="5" width="17.140625" style="719" customWidth="1"/>
    <col min="6" max="6" width="18" style="720" customWidth="1"/>
    <col min="7" max="7" width="15" style="719" customWidth="1"/>
    <col min="8" max="8" width="11.7109375" style="720" customWidth="1"/>
    <col min="9" max="9" width="15.5703125" style="719" customWidth="1"/>
    <col min="10" max="10" width="43.42578125" style="718" customWidth="1"/>
    <col min="11" max="11" width="32.7109375" style="717" customWidth="1"/>
    <col min="12" max="12" width="0.140625" style="716" hidden="1" customWidth="1"/>
    <col min="13" max="13" width="12.85546875" style="715" customWidth="1"/>
    <col min="14" max="14" width="39.85546875" style="715" customWidth="1"/>
    <col min="15" max="15" width="12.5703125" style="715" customWidth="1"/>
    <col min="16" max="16" width="13.5703125" style="715" customWidth="1"/>
    <col min="17" max="16384" width="9.140625" style="715"/>
  </cols>
  <sheetData>
    <row r="1" spans="1:15" ht="18.75">
      <c r="K1" s="754" t="s">
        <v>3235</v>
      </c>
    </row>
    <row r="2" spans="1:15" ht="18.75">
      <c r="K2" s="754" t="s">
        <v>3234</v>
      </c>
    </row>
    <row r="3" spans="1:15" ht="18.75">
      <c r="K3" s="754" t="s">
        <v>3233</v>
      </c>
    </row>
    <row r="4" spans="1:15" ht="18.75">
      <c r="K4" s="754" t="s">
        <v>3232</v>
      </c>
    </row>
    <row r="5" spans="1:15" ht="18.75">
      <c r="K5" s="754"/>
    </row>
    <row r="6" spans="1:15" ht="15.75" customHeight="1">
      <c r="A6" s="2506" t="s">
        <v>3231</v>
      </c>
      <c r="B6" s="2507"/>
      <c r="C6" s="2508"/>
      <c r="D6" s="2508"/>
      <c r="E6" s="2508"/>
      <c r="F6" s="2508"/>
      <c r="G6" s="2508"/>
      <c r="H6" s="2508"/>
      <c r="I6" s="2508"/>
      <c r="J6" s="2509"/>
      <c r="K6" s="2510"/>
    </row>
    <row r="7" spans="1:15">
      <c r="A7" s="2511"/>
      <c r="B7" s="2512"/>
      <c r="C7" s="2513"/>
      <c r="D7" s="2513"/>
      <c r="E7" s="2513"/>
      <c r="F7" s="2513"/>
      <c r="G7" s="2513"/>
      <c r="H7" s="2513"/>
      <c r="I7" s="2513"/>
      <c r="J7" s="2514"/>
      <c r="K7" s="2515"/>
    </row>
    <row r="8" spans="1:15" ht="39.75" customHeight="1">
      <c r="A8" s="2516" t="s">
        <v>1</v>
      </c>
      <c r="B8" s="2518" t="s">
        <v>2</v>
      </c>
      <c r="C8" s="2520" t="s">
        <v>3</v>
      </c>
      <c r="D8" s="2522" t="s">
        <v>4</v>
      </c>
      <c r="E8" s="2522"/>
      <c r="F8" s="2522"/>
      <c r="G8" s="2522"/>
      <c r="H8" s="2522"/>
      <c r="I8" s="2522"/>
      <c r="J8" s="2522" t="s">
        <v>5</v>
      </c>
      <c r="K8" s="2522" t="s">
        <v>6</v>
      </c>
      <c r="N8" s="751"/>
    </row>
    <row r="9" spans="1:15" ht="36.75" customHeight="1">
      <c r="A9" s="2517"/>
      <c r="B9" s="2519"/>
      <c r="C9" s="2521"/>
      <c r="D9" s="727" t="s">
        <v>7</v>
      </c>
      <c r="E9" s="752" t="s">
        <v>8</v>
      </c>
      <c r="F9" s="753" t="s">
        <v>9</v>
      </c>
      <c r="G9" s="752" t="s">
        <v>10</v>
      </c>
      <c r="H9" s="753" t="s">
        <v>11</v>
      </c>
      <c r="I9" s="752" t="s">
        <v>12</v>
      </c>
      <c r="J9" s="2523"/>
      <c r="K9" s="2523"/>
      <c r="N9" s="751"/>
    </row>
    <row r="10" spans="1:15" ht="15" customHeight="1">
      <c r="A10" s="2502"/>
      <c r="B10" s="2503" t="s">
        <v>3230</v>
      </c>
      <c r="C10" s="2504" t="s">
        <v>2989</v>
      </c>
      <c r="D10" s="765" t="s">
        <v>8</v>
      </c>
      <c r="E10" s="766">
        <f t="shared" ref="E10:E45" si="0">SUM(F10:I10)</f>
        <v>9781947.7639247533</v>
      </c>
      <c r="F10" s="766">
        <f>SUM(F11:F15)</f>
        <v>8391356.6447500009</v>
      </c>
      <c r="G10" s="766">
        <f>SUM(G11:G15)</f>
        <v>1185269.108</v>
      </c>
      <c r="H10" s="766">
        <f>SUM(H11:H15)</f>
        <v>205322.01117475086</v>
      </c>
      <c r="I10" s="766">
        <f>SUM(I11:I15)</f>
        <v>0</v>
      </c>
      <c r="J10" s="2505"/>
      <c r="K10" s="2505" t="s">
        <v>3229</v>
      </c>
      <c r="M10" s="747"/>
      <c r="N10" s="751"/>
      <c r="O10" s="747"/>
    </row>
    <row r="11" spans="1:15" ht="15.75">
      <c r="A11" s="2502"/>
      <c r="B11" s="2503"/>
      <c r="C11" s="2504"/>
      <c r="D11" s="765">
        <v>2021</v>
      </c>
      <c r="E11" s="766">
        <f t="shared" si="0"/>
        <v>1613228.6017916503</v>
      </c>
      <c r="F11" s="766">
        <f t="shared" ref="F11:I15" si="1">F29+F173+F347+F743</f>
        <v>1267910.29015</v>
      </c>
      <c r="G11" s="766">
        <f t="shared" si="1"/>
        <v>301879.99800000002</v>
      </c>
      <c r="H11" s="766">
        <f t="shared" si="1"/>
        <v>43438.313641650384</v>
      </c>
      <c r="I11" s="766">
        <f t="shared" si="1"/>
        <v>0</v>
      </c>
      <c r="J11" s="2505"/>
      <c r="K11" s="2505"/>
      <c r="M11" s="747"/>
      <c r="N11" s="751"/>
      <c r="O11" s="747"/>
    </row>
    <row r="12" spans="1:15">
      <c r="A12" s="2502"/>
      <c r="B12" s="2503"/>
      <c r="C12" s="2504"/>
      <c r="D12" s="765">
        <v>2022</v>
      </c>
      <c r="E12" s="766">
        <f t="shared" si="0"/>
        <v>2883391.4108731011</v>
      </c>
      <c r="F12" s="766">
        <f t="shared" si="1"/>
        <v>2558971.7024200005</v>
      </c>
      <c r="G12" s="766">
        <f t="shared" si="1"/>
        <v>244045.77</v>
      </c>
      <c r="H12" s="766">
        <f t="shared" si="1"/>
        <v>80373.93845310052</v>
      </c>
      <c r="I12" s="766">
        <f t="shared" si="1"/>
        <v>0</v>
      </c>
      <c r="J12" s="2505"/>
      <c r="K12" s="2505"/>
      <c r="M12" s="747"/>
      <c r="N12" s="747"/>
      <c r="O12" s="747"/>
    </row>
    <row r="13" spans="1:15">
      <c r="A13" s="2502"/>
      <c r="B13" s="2503"/>
      <c r="C13" s="2504"/>
      <c r="D13" s="765">
        <v>2023</v>
      </c>
      <c r="E13" s="766">
        <f t="shared" si="0"/>
        <v>1961199.9062600001</v>
      </c>
      <c r="F13" s="766">
        <f t="shared" si="1"/>
        <v>1485659.06718</v>
      </c>
      <c r="G13" s="766">
        <f t="shared" si="1"/>
        <v>437405.54</v>
      </c>
      <c r="H13" s="766">
        <f t="shared" si="1"/>
        <v>38135.299079999975</v>
      </c>
      <c r="I13" s="766">
        <f t="shared" si="1"/>
        <v>0</v>
      </c>
      <c r="J13" s="2505"/>
      <c r="K13" s="2505"/>
      <c r="M13" s="747"/>
      <c r="N13" s="747"/>
      <c r="O13" s="747"/>
    </row>
    <row r="14" spans="1:15">
      <c r="A14" s="2502"/>
      <c r="B14" s="2503"/>
      <c r="C14" s="2504"/>
      <c r="D14" s="765">
        <v>2024</v>
      </c>
      <c r="E14" s="766">
        <f t="shared" si="0"/>
        <v>1894840.747</v>
      </c>
      <c r="F14" s="766">
        <f t="shared" si="1"/>
        <v>1769859.517</v>
      </c>
      <c r="G14" s="766">
        <f t="shared" si="1"/>
        <v>97937.8</v>
      </c>
      <c r="H14" s="766">
        <f t="shared" si="1"/>
        <v>27043.43</v>
      </c>
      <c r="I14" s="766">
        <f t="shared" si="1"/>
        <v>0</v>
      </c>
      <c r="J14" s="2505"/>
      <c r="K14" s="2505"/>
      <c r="M14" s="747"/>
      <c r="N14" s="747"/>
      <c r="O14" s="747"/>
    </row>
    <row r="15" spans="1:15">
      <c r="A15" s="2502"/>
      <c r="B15" s="2503"/>
      <c r="C15" s="2504"/>
      <c r="D15" s="765">
        <v>2025</v>
      </c>
      <c r="E15" s="766">
        <f t="shared" si="0"/>
        <v>1429287.098</v>
      </c>
      <c r="F15" s="766">
        <f t="shared" si="1"/>
        <v>1308956.068</v>
      </c>
      <c r="G15" s="766">
        <f t="shared" si="1"/>
        <v>104000</v>
      </c>
      <c r="H15" s="766">
        <f t="shared" si="1"/>
        <v>16331.03</v>
      </c>
      <c r="I15" s="766">
        <f t="shared" si="1"/>
        <v>0</v>
      </c>
      <c r="J15" s="2505"/>
      <c r="K15" s="2505"/>
      <c r="M15" s="747"/>
      <c r="N15" s="747"/>
      <c r="O15" s="747"/>
    </row>
    <row r="16" spans="1:15">
      <c r="A16" s="2502"/>
      <c r="B16" s="2503" t="s">
        <v>3228</v>
      </c>
      <c r="C16" s="2504" t="s">
        <v>2989</v>
      </c>
      <c r="D16" s="765" t="s">
        <v>8</v>
      </c>
      <c r="E16" s="766">
        <f t="shared" si="0"/>
        <v>7191266.8838978428</v>
      </c>
      <c r="F16" s="766">
        <f>SUM(F17:F21)</f>
        <v>6707891.9395200005</v>
      </c>
      <c r="G16" s="766">
        <f>SUM(G17:G21)</f>
        <v>376864.87900000002</v>
      </c>
      <c r="H16" s="766">
        <f>SUM(H17:H21)</f>
        <v>106510.06537784266</v>
      </c>
      <c r="I16" s="766">
        <v>0</v>
      </c>
      <c r="J16" s="2505"/>
      <c r="K16" s="2505" t="s">
        <v>2799</v>
      </c>
      <c r="M16" s="747"/>
      <c r="N16" s="747"/>
      <c r="O16" s="747"/>
    </row>
    <row r="17" spans="1:16">
      <c r="A17" s="2502"/>
      <c r="B17" s="2503"/>
      <c r="C17" s="2504"/>
      <c r="D17" s="765">
        <v>2021</v>
      </c>
      <c r="E17" s="766">
        <f t="shared" si="0"/>
        <v>1143437.1402100001</v>
      </c>
      <c r="F17" s="766">
        <f t="shared" ref="F17:H21" si="2">F11-F23</f>
        <v>1079783.2501300001</v>
      </c>
      <c r="G17" s="766">
        <f t="shared" si="2"/>
        <v>44391.299000000028</v>
      </c>
      <c r="H17" s="766">
        <f t="shared" si="2"/>
        <v>19262.591080000006</v>
      </c>
      <c r="I17" s="766">
        <v>0</v>
      </c>
      <c r="J17" s="2505"/>
      <c r="K17" s="2505"/>
      <c r="M17" s="747" t="s">
        <v>9</v>
      </c>
      <c r="N17" s="747" t="s">
        <v>10</v>
      </c>
      <c r="O17" s="747" t="s">
        <v>11</v>
      </c>
    </row>
    <row r="18" spans="1:16">
      <c r="A18" s="2502"/>
      <c r="B18" s="2503"/>
      <c r="C18" s="2504"/>
      <c r="D18" s="765">
        <v>2022</v>
      </c>
      <c r="E18" s="766">
        <f t="shared" si="0"/>
        <v>1725609.8373178432</v>
      </c>
      <c r="F18" s="766">
        <f t="shared" si="2"/>
        <v>1637815.2563600005</v>
      </c>
      <c r="G18" s="766">
        <f t="shared" si="2"/>
        <v>66437.87</v>
      </c>
      <c r="H18" s="766">
        <f t="shared" si="2"/>
        <v>21356.710957842668</v>
      </c>
      <c r="I18" s="766">
        <v>0</v>
      </c>
      <c r="J18" s="2505"/>
      <c r="K18" s="2505"/>
      <c r="L18" s="746"/>
      <c r="M18" s="748">
        <f>SUM(F30,F174,F378,F390,F468,F480,F486,F492,F498,F552,F582,F642,F648,F654,F660,F678,F720,F744)</f>
        <v>1637815.2563600005</v>
      </c>
      <c r="N18" s="748">
        <f>SUM(G30,G174,G378,G390,G468,G480,G486,G492,G498,G552,G582,G642,G648,G654,G660,G678,G720,G744)</f>
        <v>66437.87</v>
      </c>
      <c r="O18" s="748">
        <f>SUM(H30,H174,H378,H390,H468,H480,H486,H492,H498,H552,H582,H642,H648,H654,H660,H678,H720,H744)</f>
        <v>21356.710957842668</v>
      </c>
    </row>
    <row r="19" spans="1:16">
      <c r="A19" s="2502"/>
      <c r="B19" s="2503"/>
      <c r="C19" s="2504"/>
      <c r="D19" s="765">
        <v>2023</v>
      </c>
      <c r="E19" s="766">
        <f t="shared" si="0"/>
        <v>1483050.3613699998</v>
      </c>
      <c r="F19" s="766">
        <f t="shared" si="2"/>
        <v>1385723.7480299999</v>
      </c>
      <c r="G19" s="766">
        <f t="shared" si="2"/>
        <v>64097.909999999974</v>
      </c>
      <c r="H19" s="766">
        <f t="shared" si="2"/>
        <v>33228.70334</v>
      </c>
      <c r="I19" s="766">
        <v>0</v>
      </c>
      <c r="J19" s="2505"/>
      <c r="K19" s="2505"/>
      <c r="L19" s="746"/>
      <c r="M19" s="750"/>
      <c r="N19" s="750"/>
      <c r="O19" s="750"/>
      <c r="P19" s="749"/>
    </row>
    <row r="20" spans="1:16">
      <c r="A20" s="2502"/>
      <c r="B20" s="2503"/>
      <c r="C20" s="2504"/>
      <c r="D20" s="765">
        <v>2024</v>
      </c>
      <c r="E20" s="766">
        <f t="shared" si="0"/>
        <v>1409882.4470000002</v>
      </c>
      <c r="F20" s="766">
        <f t="shared" si="2"/>
        <v>1295613.6170000001</v>
      </c>
      <c r="G20" s="766">
        <f t="shared" si="2"/>
        <v>97937.8</v>
      </c>
      <c r="H20" s="766">
        <f t="shared" si="2"/>
        <v>16331.03</v>
      </c>
      <c r="I20" s="766">
        <v>0</v>
      </c>
      <c r="J20" s="2505"/>
      <c r="K20" s="2505"/>
      <c r="L20" s="746"/>
      <c r="M20" s="748">
        <f t="shared" ref="M20:O21" si="3">SUM(F32,F176,F380,F392,F470,F482,F488,F494,F500,F554,F584,F644,F650,F656,F662,F680,F722,F746)</f>
        <v>1295613.6170000001</v>
      </c>
      <c r="N20" s="748">
        <f t="shared" si="3"/>
        <v>97937.8</v>
      </c>
      <c r="O20" s="748">
        <f t="shared" si="3"/>
        <v>16331.03</v>
      </c>
    </row>
    <row r="21" spans="1:16">
      <c r="A21" s="2502"/>
      <c r="B21" s="2503"/>
      <c r="C21" s="2504"/>
      <c r="D21" s="765">
        <v>2025</v>
      </c>
      <c r="E21" s="766">
        <f t="shared" si="0"/>
        <v>1429287.098</v>
      </c>
      <c r="F21" s="766">
        <f t="shared" si="2"/>
        <v>1308956.068</v>
      </c>
      <c r="G21" s="766">
        <f t="shared" si="2"/>
        <v>104000</v>
      </c>
      <c r="H21" s="766">
        <f t="shared" si="2"/>
        <v>16331.03</v>
      </c>
      <c r="I21" s="766">
        <v>0</v>
      </c>
      <c r="J21" s="2505"/>
      <c r="K21" s="2505"/>
      <c r="L21" s="746"/>
      <c r="M21" s="748">
        <f t="shared" si="3"/>
        <v>1308956.068</v>
      </c>
      <c r="N21" s="748">
        <f t="shared" si="3"/>
        <v>104000</v>
      </c>
      <c r="O21" s="748">
        <f t="shared" si="3"/>
        <v>16331.03</v>
      </c>
    </row>
    <row r="22" spans="1:16">
      <c r="A22" s="2526"/>
      <c r="B22" s="2503" t="s">
        <v>3227</v>
      </c>
      <c r="C22" s="2527" t="s">
        <v>3115</v>
      </c>
      <c r="D22" s="762" t="s">
        <v>8</v>
      </c>
      <c r="E22" s="766">
        <f t="shared" si="0"/>
        <v>2590680.8800269091</v>
      </c>
      <c r="F22" s="766">
        <f>F23+F24+F25+F26</f>
        <v>1683464.7052300004</v>
      </c>
      <c r="G22" s="766">
        <f>G23+G24+G25+G26</f>
        <v>808404.22900000005</v>
      </c>
      <c r="H22" s="766">
        <f>H23+H24+H25+H26</f>
        <v>98811.9457969082</v>
      </c>
      <c r="I22" s="766">
        <f>I23+I24+I25+I26</f>
        <v>0</v>
      </c>
      <c r="J22" s="2528"/>
      <c r="K22" s="2505" t="s">
        <v>2657</v>
      </c>
      <c r="L22" s="746"/>
      <c r="M22" s="747"/>
      <c r="N22" s="747"/>
      <c r="O22" s="747"/>
    </row>
    <row r="23" spans="1:16">
      <c r="A23" s="2526"/>
      <c r="B23" s="2503"/>
      <c r="C23" s="2527"/>
      <c r="D23" s="762">
        <v>2021</v>
      </c>
      <c r="E23" s="766">
        <f t="shared" si="0"/>
        <v>469791.46158165036</v>
      </c>
      <c r="F23" s="766">
        <f>F359+F365+F371+F383+F413+F425+F431+F461+F503+F509+F515+F521+F533+F539+F557+F563+F569+F575+F587+F593+F599+F605+F611+F617+F623+F629+F635+F665+F671+F695+F725+F731+F737+F449</f>
        <v>188127.04001999999</v>
      </c>
      <c r="G23" s="766">
        <f>G359+G365+G371+G383+G413+G425+G431+G461+G503+G509+G515+G521+G533+G539+G551+G557+G563+G569+G575+G587+G593+G599+G605+G611+G617+G623+G629+G635+G665+G671+G695+G725+G731+G737+G449+G701</f>
        <v>257488.69899999999</v>
      </c>
      <c r="H23" s="766">
        <f>H359+H365+H371+H383+H413+H425+H431+H461+H503+H509+H515+H521+H533+H539+H551+H557+H563+H569+H575+H587+H593+H599+H605+H611+H617+H623+H629+H635+H665+H671+H695+H725+H731+H737+H449</f>
        <v>24175.722561650378</v>
      </c>
      <c r="I23" s="766">
        <f>I11-I17</f>
        <v>0</v>
      </c>
      <c r="J23" s="2528"/>
      <c r="K23" s="2505"/>
      <c r="L23" s="746"/>
      <c r="M23" s="747"/>
      <c r="N23" s="747"/>
      <c r="O23" s="747"/>
    </row>
    <row r="24" spans="1:16">
      <c r="A24" s="2526"/>
      <c r="B24" s="2503"/>
      <c r="C24" s="2527"/>
      <c r="D24" s="762">
        <v>2022</v>
      </c>
      <c r="E24" s="766">
        <f t="shared" si="0"/>
        <v>1157781.5735552579</v>
      </c>
      <c r="F24" s="766">
        <f>F360+F366+F372+F384+F414+F426+F432+F462+F504+F510+F516+F522+F534+F540+F552+F558+F564+F570+F576+F588+F594+F600+F606+F612+F618+F624+F630+F636+F666+F672+F696+F726+F732+F738+F450</f>
        <v>921156.4460600001</v>
      </c>
      <c r="G24" s="766">
        <f>G360+G366+G372+G384+G414+G426+G432+G462+G504+G510+G516+G522+G534+G540+G552+G558+G564+G570+G576+G588+G594+G600+G606+G612+G618+G624+G630+G636+G666+G672+G696+G726+G732+G738+G450+G702</f>
        <v>177607.9</v>
      </c>
      <c r="H24" s="766">
        <f>H360+H366+H372+H384+H414+H426+H432+H462+H504+H510+H516+H522+H534+H540+H552+H558+H564+H570+H576+H588+H594+H600+H606+H612+H618+H624+H630+H636+H666+H672+H696+H726+H732+H738+H450</f>
        <v>59017.227495257852</v>
      </c>
      <c r="I24" s="766">
        <f>I12-I18</f>
        <v>0</v>
      </c>
      <c r="J24" s="2528"/>
      <c r="K24" s="2505"/>
      <c r="L24" s="746"/>
      <c r="M24" s="747"/>
      <c r="N24" s="747"/>
      <c r="O24" s="747"/>
    </row>
    <row r="25" spans="1:16">
      <c r="A25" s="2526"/>
      <c r="B25" s="2503"/>
      <c r="C25" s="2527"/>
      <c r="D25" s="762">
        <v>2023</v>
      </c>
      <c r="E25" s="766">
        <f t="shared" si="0"/>
        <v>478149.54488999996</v>
      </c>
      <c r="F25" s="766">
        <f>F361+F367+F373+F385+F415+F427+F433+F463+F505+F511+F517+F523+F535+F541+F553+F559+F565+F571+F577+F589+F595+F601+F607+F613+F619+F625+F631+F637+F667+F673+F697+F727+F733+F739+F451</f>
        <v>99935.31915000001</v>
      </c>
      <c r="G25" s="766">
        <f>G361+G367+G373+G385+G415+G427+G433+G463+G505+G511+G517+G523+G535+G541+G553+G559+G565+G571+G577+G589+G595+G601+G607+G613+G619+G625+G631+G637+G667+G673+G697+G727+G733+G739+G451+G703</f>
        <v>373307.63</v>
      </c>
      <c r="H25" s="766">
        <f>H361+H367+H373+H385+H415+H427+H433+H463+H505+H511+H517+H523+H535+H541+H553+H559+H565+H571+H577+H589+H595+H601+H607+H613+H619+H625+H631+H637+H667+H673+H697+H727+H733+H739+H451</f>
        <v>4906.5957399999752</v>
      </c>
      <c r="I25" s="766">
        <f>I13-I19</f>
        <v>0</v>
      </c>
      <c r="J25" s="2528"/>
      <c r="K25" s="2505"/>
      <c r="L25" s="746"/>
    </row>
    <row r="26" spans="1:16">
      <c r="A26" s="2526"/>
      <c r="B26" s="2503"/>
      <c r="C26" s="2527"/>
      <c r="D26" s="762">
        <v>2024</v>
      </c>
      <c r="E26" s="766">
        <f t="shared" si="0"/>
        <v>484958.30000000005</v>
      </c>
      <c r="F26" s="766">
        <f>F362+F368+F374+F386+F416+F428+F434+F464+F506+F512+F518+F524+F536+F542+F554+F560+F566+F572+F578+F590+F596+F602+F608+F614+F620+F626+F632+F638+F668+F674+F698+F728+F734+F740+F452</f>
        <v>474245.9</v>
      </c>
      <c r="G26" s="766">
        <f>G362+G368+G374+G386+G416+G428+G434+G464+G506+G512+G518+G524+G536+G542+G554+G560+G566+G572+G578+G590+G596+G602+G608+G614+G620+G626+G632+G638+G668+G674+G698+G728+G734+G740+G452+G704</f>
        <v>0</v>
      </c>
      <c r="H26" s="766">
        <f>H362+H368+H374+H386+H416+H428+H434+H464+H506+H512+H518+H524+H536+H542+H554+H560+H566+H572+H578+H590+H596+H602+H608+H614+H620+H626+H632+H638+H668+H674+H698+H728+H734+H740+H452</f>
        <v>10712.4</v>
      </c>
      <c r="I26" s="766">
        <f>I14-I20</f>
        <v>0</v>
      </c>
      <c r="J26" s="2528"/>
      <c r="K26" s="2505"/>
      <c r="L26" s="746"/>
    </row>
    <row r="27" spans="1:16">
      <c r="A27" s="2526"/>
      <c r="B27" s="2503"/>
      <c r="C27" s="2527"/>
      <c r="D27" s="762">
        <v>2025</v>
      </c>
      <c r="E27" s="766">
        <f t="shared" si="0"/>
        <v>0</v>
      </c>
      <c r="F27" s="766">
        <f>F363+F369+F375+F387+F417+F429+F435+F465+F507+F513+F519+F525+F537+F543+F555+F561+F567+F573+F579+F591+F597+F603+F609+F615+F621+F627+F633+F639+F669+F675+F699+F729+F735+F741+F453</f>
        <v>0</v>
      </c>
      <c r="G27" s="766">
        <f>G363+G369+G375+G387+G417+G429+G435+G465+G507+G513+G519+G525+G537+G543+G555+G561+G567+G573+G579+G591+G597+G603+G609+G615+G621+G627+G633+G639+G669+G675+G699+G729+G735+G741+G453+G705</f>
        <v>0</v>
      </c>
      <c r="H27" s="766">
        <f>H363+H369+H375+H387+H417+H429+H435+H465+H507+H513+H519+H525+H537+H543+H555+H561+H567+H573+H579+H591+H597+H603+H609+H615+H621+H627+H633+H639+H669+H675+H699+H729+H735+H741+H453</f>
        <v>0</v>
      </c>
      <c r="I27" s="766">
        <f>I15-I21</f>
        <v>0</v>
      </c>
      <c r="J27" s="2528"/>
      <c r="K27" s="2505"/>
      <c r="L27" s="746"/>
    </row>
    <row r="28" spans="1:16" ht="15" customHeight="1">
      <c r="A28" s="2502" t="s">
        <v>687</v>
      </c>
      <c r="B28" s="2503" t="s">
        <v>2910</v>
      </c>
      <c r="C28" s="2504" t="s">
        <v>2989</v>
      </c>
      <c r="D28" s="765" t="s">
        <v>8</v>
      </c>
      <c r="E28" s="766">
        <f t="shared" si="0"/>
        <v>1109747.5149300001</v>
      </c>
      <c r="F28" s="766">
        <f>SUM(F29:F33)</f>
        <v>1073097.74759</v>
      </c>
      <c r="G28" s="766">
        <f>SUM(G29:G33)</f>
        <v>24163.975999999995</v>
      </c>
      <c r="H28" s="766">
        <f>SUM(H29:H33)</f>
        <v>12485.79134</v>
      </c>
      <c r="I28" s="766">
        <f>SUM(I29:I33)</f>
        <v>0</v>
      </c>
      <c r="J28" s="2505"/>
      <c r="K28" s="2505" t="s">
        <v>3066</v>
      </c>
      <c r="L28" s="2525" t="s">
        <v>3226</v>
      </c>
    </row>
    <row r="29" spans="1:16">
      <c r="A29" s="2502"/>
      <c r="B29" s="2503"/>
      <c r="C29" s="2504"/>
      <c r="D29" s="765">
        <v>2021</v>
      </c>
      <c r="E29" s="766">
        <f t="shared" si="0"/>
        <v>138607.88275000002</v>
      </c>
      <c r="F29" s="766">
        <f t="shared" ref="F29:I33" si="4">F35+F53+F143</f>
        <v>118407.68375000001</v>
      </c>
      <c r="G29" s="766">
        <f t="shared" si="4"/>
        <v>20200.198999999997</v>
      </c>
      <c r="H29" s="766">
        <f t="shared" si="4"/>
        <v>0</v>
      </c>
      <c r="I29" s="766">
        <f t="shared" si="4"/>
        <v>0</v>
      </c>
      <c r="J29" s="2505"/>
      <c r="K29" s="2505"/>
      <c r="L29" s="2525"/>
    </row>
    <row r="30" spans="1:16">
      <c r="A30" s="2502"/>
      <c r="B30" s="2503"/>
      <c r="C30" s="2504"/>
      <c r="D30" s="765">
        <v>2022</v>
      </c>
      <c r="E30" s="766">
        <f t="shared" si="0"/>
        <v>284204.41166000004</v>
      </c>
      <c r="F30" s="766">
        <f t="shared" si="4"/>
        <v>281836.93466000003</v>
      </c>
      <c r="G30" s="766">
        <f t="shared" si="4"/>
        <v>2367.4769999999999</v>
      </c>
      <c r="H30" s="766">
        <f t="shared" si="4"/>
        <v>0</v>
      </c>
      <c r="I30" s="766">
        <f t="shared" si="4"/>
        <v>0</v>
      </c>
      <c r="J30" s="2505"/>
      <c r="K30" s="2505"/>
      <c r="L30" s="2525"/>
    </row>
    <row r="31" spans="1:16">
      <c r="A31" s="2502"/>
      <c r="B31" s="2503"/>
      <c r="C31" s="2504"/>
      <c r="D31" s="765">
        <v>2023</v>
      </c>
      <c r="E31" s="766">
        <f t="shared" si="0"/>
        <v>265742.54851999995</v>
      </c>
      <c r="F31" s="766">
        <f t="shared" si="4"/>
        <v>251660.45717999997</v>
      </c>
      <c r="G31" s="766">
        <f t="shared" si="4"/>
        <v>1596.3</v>
      </c>
      <c r="H31" s="766">
        <f t="shared" si="4"/>
        <v>12485.79134</v>
      </c>
      <c r="I31" s="766">
        <f t="shared" si="4"/>
        <v>0</v>
      </c>
      <c r="J31" s="2505"/>
      <c r="K31" s="2505"/>
      <c r="L31" s="2525"/>
    </row>
    <row r="32" spans="1:16">
      <c r="A32" s="2502"/>
      <c r="B32" s="2503"/>
      <c r="C32" s="2504"/>
      <c r="D32" s="765">
        <v>2024</v>
      </c>
      <c r="E32" s="766">
        <f t="shared" si="0"/>
        <v>210596.33600000001</v>
      </c>
      <c r="F32" s="766">
        <f t="shared" si="4"/>
        <v>210596.33600000001</v>
      </c>
      <c r="G32" s="766">
        <f t="shared" si="4"/>
        <v>0</v>
      </c>
      <c r="H32" s="766">
        <f t="shared" si="4"/>
        <v>0</v>
      </c>
      <c r="I32" s="766">
        <f t="shared" si="4"/>
        <v>0</v>
      </c>
      <c r="J32" s="2505"/>
      <c r="K32" s="2505"/>
      <c r="L32" s="2525"/>
    </row>
    <row r="33" spans="1:12">
      <c r="A33" s="2502"/>
      <c r="B33" s="2503"/>
      <c r="C33" s="2504"/>
      <c r="D33" s="765">
        <v>2025</v>
      </c>
      <c r="E33" s="766">
        <f t="shared" si="0"/>
        <v>210596.33600000001</v>
      </c>
      <c r="F33" s="766">
        <f t="shared" si="4"/>
        <v>210596.33600000001</v>
      </c>
      <c r="G33" s="766">
        <f t="shared" si="4"/>
        <v>0</v>
      </c>
      <c r="H33" s="766">
        <f t="shared" si="4"/>
        <v>0</v>
      </c>
      <c r="I33" s="766">
        <f t="shared" si="4"/>
        <v>0</v>
      </c>
      <c r="J33" s="2505"/>
      <c r="K33" s="2505"/>
      <c r="L33" s="2525"/>
    </row>
    <row r="34" spans="1:12">
      <c r="A34" s="2529" t="s">
        <v>3225</v>
      </c>
      <c r="B34" s="2532" t="s">
        <v>2893</v>
      </c>
      <c r="C34" s="2535" t="s">
        <v>2989</v>
      </c>
      <c r="D34" s="730" t="s">
        <v>8</v>
      </c>
      <c r="E34" s="729">
        <f t="shared" si="0"/>
        <v>3054.4259999999999</v>
      </c>
      <c r="F34" s="728">
        <f>SUM(F35:F39)</f>
        <v>3054.4259999999999</v>
      </c>
      <c r="G34" s="728">
        <f>SUM(G35:G39)</f>
        <v>0</v>
      </c>
      <c r="H34" s="728">
        <f>SUM(H35:H39)</f>
        <v>0</v>
      </c>
      <c r="I34" s="728">
        <f>SUM(I35:I39)</f>
        <v>0</v>
      </c>
      <c r="J34" s="2538" t="s">
        <v>3224</v>
      </c>
      <c r="K34" s="2538" t="s">
        <v>3223</v>
      </c>
      <c r="L34" s="2524"/>
    </row>
    <row r="35" spans="1:12">
      <c r="A35" s="2530"/>
      <c r="B35" s="2533"/>
      <c r="C35" s="2536"/>
      <c r="D35" s="730">
        <v>2021</v>
      </c>
      <c r="E35" s="729">
        <f t="shared" si="0"/>
        <v>3054.4259999999999</v>
      </c>
      <c r="F35" s="728">
        <f t="shared" ref="F35:I39" si="5">F41+F47</f>
        <v>3054.4259999999999</v>
      </c>
      <c r="G35" s="728">
        <f t="shared" si="5"/>
        <v>0</v>
      </c>
      <c r="H35" s="728">
        <f t="shared" si="5"/>
        <v>0</v>
      </c>
      <c r="I35" s="728">
        <f t="shared" si="5"/>
        <v>0</v>
      </c>
      <c r="J35" s="2539"/>
      <c r="K35" s="2539"/>
      <c r="L35" s="2524"/>
    </row>
    <row r="36" spans="1:12">
      <c r="A36" s="2530"/>
      <c r="B36" s="2533"/>
      <c r="C36" s="2536"/>
      <c r="D36" s="730">
        <v>2022</v>
      </c>
      <c r="E36" s="729">
        <f t="shared" si="0"/>
        <v>0</v>
      </c>
      <c r="F36" s="728">
        <f t="shared" si="5"/>
        <v>0</v>
      </c>
      <c r="G36" s="728">
        <f t="shared" si="5"/>
        <v>0</v>
      </c>
      <c r="H36" s="728">
        <f t="shared" si="5"/>
        <v>0</v>
      </c>
      <c r="I36" s="728">
        <f t="shared" si="5"/>
        <v>0</v>
      </c>
      <c r="J36" s="2539"/>
      <c r="K36" s="2539"/>
      <c r="L36" s="2524"/>
    </row>
    <row r="37" spans="1:12">
      <c r="A37" s="2530"/>
      <c r="B37" s="2533"/>
      <c r="C37" s="2536"/>
      <c r="D37" s="730">
        <v>2023</v>
      </c>
      <c r="E37" s="729">
        <f t="shared" si="0"/>
        <v>0</v>
      </c>
      <c r="F37" s="728">
        <f t="shared" si="5"/>
        <v>0</v>
      </c>
      <c r="G37" s="728">
        <f t="shared" si="5"/>
        <v>0</v>
      </c>
      <c r="H37" s="728">
        <f t="shared" si="5"/>
        <v>0</v>
      </c>
      <c r="I37" s="728">
        <f t="shared" si="5"/>
        <v>0</v>
      </c>
      <c r="J37" s="2539"/>
      <c r="K37" s="2539"/>
      <c r="L37" s="2524"/>
    </row>
    <row r="38" spans="1:12">
      <c r="A38" s="2530"/>
      <c r="B38" s="2533"/>
      <c r="C38" s="2536"/>
      <c r="D38" s="730">
        <v>2024</v>
      </c>
      <c r="E38" s="729">
        <f t="shared" si="0"/>
        <v>0</v>
      </c>
      <c r="F38" s="728">
        <f t="shared" si="5"/>
        <v>0</v>
      </c>
      <c r="G38" s="728">
        <f t="shared" si="5"/>
        <v>0</v>
      </c>
      <c r="H38" s="728">
        <f t="shared" si="5"/>
        <v>0</v>
      </c>
      <c r="I38" s="728">
        <f t="shared" si="5"/>
        <v>0</v>
      </c>
      <c r="J38" s="2539"/>
      <c r="K38" s="2539"/>
      <c r="L38" s="2524"/>
    </row>
    <row r="39" spans="1:12">
      <c r="A39" s="2531"/>
      <c r="B39" s="2534"/>
      <c r="C39" s="2537"/>
      <c r="D39" s="730">
        <v>2025</v>
      </c>
      <c r="E39" s="729">
        <f t="shared" si="0"/>
        <v>0</v>
      </c>
      <c r="F39" s="728">
        <f t="shared" si="5"/>
        <v>0</v>
      </c>
      <c r="G39" s="728">
        <f t="shared" si="5"/>
        <v>0</v>
      </c>
      <c r="H39" s="728">
        <f t="shared" si="5"/>
        <v>0</v>
      </c>
      <c r="I39" s="728">
        <f t="shared" si="5"/>
        <v>0</v>
      </c>
      <c r="J39" s="2540"/>
      <c r="K39" s="2540"/>
      <c r="L39" s="2524"/>
    </row>
    <row r="40" spans="1:12">
      <c r="A40" s="2541" t="s">
        <v>3222</v>
      </c>
      <c r="B40" s="2544" t="s">
        <v>654</v>
      </c>
      <c r="C40" s="2546" t="s">
        <v>3220</v>
      </c>
      <c r="D40" s="727" t="s">
        <v>8</v>
      </c>
      <c r="E40" s="726">
        <f t="shared" si="0"/>
        <v>0</v>
      </c>
      <c r="F40" s="725">
        <f>SUM(F41:F45)</f>
        <v>0</v>
      </c>
      <c r="G40" s="725">
        <f>SUM(G41:G45)</f>
        <v>0</v>
      </c>
      <c r="H40" s="725">
        <f>SUM(H41:H45)</f>
        <v>0</v>
      </c>
      <c r="I40" s="725">
        <f>SUM(I41:I45)</f>
        <v>0</v>
      </c>
      <c r="J40" s="2548" t="s">
        <v>3221</v>
      </c>
      <c r="K40" s="2548" t="s">
        <v>3066</v>
      </c>
      <c r="L40" s="745"/>
    </row>
    <row r="41" spans="1:12">
      <c r="A41" s="2542"/>
      <c r="B41" s="2545"/>
      <c r="C41" s="2547"/>
      <c r="D41" s="727">
        <v>2021</v>
      </c>
      <c r="E41" s="726">
        <f t="shared" si="0"/>
        <v>0</v>
      </c>
      <c r="F41" s="725">
        <v>0</v>
      </c>
      <c r="G41" s="725">
        <v>0</v>
      </c>
      <c r="H41" s="725">
        <v>0</v>
      </c>
      <c r="I41" s="725">
        <v>0</v>
      </c>
      <c r="J41" s="2549"/>
      <c r="K41" s="2549"/>
      <c r="L41" s="745"/>
    </row>
    <row r="42" spans="1:12">
      <c r="A42" s="2542"/>
      <c r="B42" s="2545"/>
      <c r="C42" s="2547"/>
      <c r="D42" s="727">
        <v>2022</v>
      </c>
      <c r="E42" s="726">
        <f t="shared" si="0"/>
        <v>0</v>
      </c>
      <c r="F42" s="725">
        <v>0</v>
      </c>
      <c r="G42" s="725">
        <v>0</v>
      </c>
      <c r="H42" s="725">
        <v>0</v>
      </c>
      <c r="I42" s="725">
        <v>0</v>
      </c>
      <c r="J42" s="2549"/>
      <c r="K42" s="2549"/>
      <c r="L42" s="745"/>
    </row>
    <row r="43" spans="1:12">
      <c r="A43" s="2542"/>
      <c r="B43" s="2545"/>
      <c r="C43" s="2547"/>
      <c r="D43" s="727">
        <v>2023</v>
      </c>
      <c r="E43" s="726">
        <f t="shared" si="0"/>
        <v>0</v>
      </c>
      <c r="F43" s="725">
        <v>0</v>
      </c>
      <c r="G43" s="725">
        <v>0</v>
      </c>
      <c r="H43" s="725">
        <v>0</v>
      </c>
      <c r="I43" s="725">
        <v>0</v>
      </c>
      <c r="J43" s="2549"/>
      <c r="K43" s="2549"/>
      <c r="L43" s="745"/>
    </row>
    <row r="44" spans="1:12">
      <c r="A44" s="2542"/>
      <c r="B44" s="2545"/>
      <c r="C44" s="2547"/>
      <c r="D44" s="727">
        <v>2024</v>
      </c>
      <c r="E44" s="726">
        <f t="shared" si="0"/>
        <v>0</v>
      </c>
      <c r="F44" s="725">
        <v>0</v>
      </c>
      <c r="G44" s="725">
        <v>0</v>
      </c>
      <c r="H44" s="725">
        <v>0</v>
      </c>
      <c r="I44" s="725">
        <v>0</v>
      </c>
      <c r="J44" s="2549"/>
      <c r="K44" s="2549"/>
      <c r="L44" s="745"/>
    </row>
    <row r="45" spans="1:12">
      <c r="A45" s="2543"/>
      <c r="B45" s="2518"/>
      <c r="C45" s="2520"/>
      <c r="D45" s="727">
        <v>2025</v>
      </c>
      <c r="E45" s="726">
        <f t="shared" si="0"/>
        <v>0</v>
      </c>
      <c r="F45" s="725">
        <v>0</v>
      </c>
      <c r="G45" s="725">
        <v>0</v>
      </c>
      <c r="H45" s="725">
        <v>0</v>
      </c>
      <c r="I45" s="725">
        <v>0</v>
      </c>
      <c r="J45" s="2522"/>
      <c r="K45" s="2522"/>
      <c r="L45" s="745"/>
    </row>
    <row r="46" spans="1:12">
      <c r="A46" s="2541" t="s">
        <v>468</v>
      </c>
      <c r="B46" s="2544" t="s">
        <v>2901</v>
      </c>
      <c r="C46" s="2546" t="s">
        <v>3220</v>
      </c>
      <c r="D46" s="727" t="s">
        <v>8</v>
      </c>
      <c r="E46" s="726">
        <f>SUM(E47:E51)</f>
        <v>3054.4259999999999</v>
      </c>
      <c r="F46" s="725">
        <f>SUM(F47:F51)</f>
        <v>3054.4259999999999</v>
      </c>
      <c r="G46" s="725">
        <f>SUM(G47:G51)</f>
        <v>0</v>
      </c>
      <c r="H46" s="725">
        <f>SUM(H47:H51)</f>
        <v>0</v>
      </c>
      <c r="I46" s="725">
        <f>SUM(I47:I51)</f>
        <v>0</v>
      </c>
      <c r="J46" s="2548" t="s">
        <v>3219</v>
      </c>
      <c r="K46" s="2548" t="s">
        <v>3218</v>
      </c>
      <c r="L46" s="2550"/>
    </row>
    <row r="47" spans="1:12">
      <c r="A47" s="2542"/>
      <c r="B47" s="2545"/>
      <c r="C47" s="2547"/>
      <c r="D47" s="727">
        <v>2021</v>
      </c>
      <c r="E47" s="726">
        <f t="shared" ref="E47:E78" si="6">SUM(F47:I47)</f>
        <v>3054.4259999999999</v>
      </c>
      <c r="F47" s="725">
        <v>3054.4259999999999</v>
      </c>
      <c r="G47" s="725">
        <v>0</v>
      </c>
      <c r="H47" s="725">
        <v>0</v>
      </c>
      <c r="I47" s="725">
        <v>0</v>
      </c>
      <c r="J47" s="2549"/>
      <c r="K47" s="2549"/>
      <c r="L47" s="2550"/>
    </row>
    <row r="48" spans="1:12">
      <c r="A48" s="2542"/>
      <c r="B48" s="2545"/>
      <c r="C48" s="2547"/>
      <c r="D48" s="727">
        <v>2022</v>
      </c>
      <c r="E48" s="726">
        <f t="shared" si="6"/>
        <v>0</v>
      </c>
      <c r="F48" s="725">
        <v>0</v>
      </c>
      <c r="G48" s="725">
        <v>0</v>
      </c>
      <c r="H48" s="725">
        <v>0</v>
      </c>
      <c r="I48" s="725">
        <v>0</v>
      </c>
      <c r="J48" s="2549"/>
      <c r="K48" s="2549"/>
      <c r="L48" s="2550"/>
    </row>
    <row r="49" spans="1:12">
      <c r="A49" s="2542"/>
      <c r="B49" s="2545"/>
      <c r="C49" s="2547"/>
      <c r="D49" s="727">
        <v>2023</v>
      </c>
      <c r="E49" s="726">
        <f t="shared" si="6"/>
        <v>0</v>
      </c>
      <c r="F49" s="725">
        <v>0</v>
      </c>
      <c r="G49" s="725">
        <v>0</v>
      </c>
      <c r="H49" s="725">
        <v>0</v>
      </c>
      <c r="I49" s="725">
        <v>0</v>
      </c>
      <c r="J49" s="2549"/>
      <c r="K49" s="2549"/>
      <c r="L49" s="2550"/>
    </row>
    <row r="50" spans="1:12">
      <c r="A50" s="2542"/>
      <c r="B50" s="2545"/>
      <c r="C50" s="2547"/>
      <c r="D50" s="727">
        <v>2024</v>
      </c>
      <c r="E50" s="726">
        <f t="shared" si="6"/>
        <v>0</v>
      </c>
      <c r="F50" s="725">
        <v>0</v>
      </c>
      <c r="G50" s="725">
        <v>0</v>
      </c>
      <c r="H50" s="725">
        <v>0</v>
      </c>
      <c r="I50" s="725">
        <v>0</v>
      </c>
      <c r="J50" s="2549"/>
      <c r="K50" s="2549"/>
      <c r="L50" s="2550"/>
    </row>
    <row r="51" spans="1:12">
      <c r="A51" s="2543"/>
      <c r="B51" s="2518"/>
      <c r="C51" s="2520"/>
      <c r="D51" s="727">
        <v>2025</v>
      </c>
      <c r="E51" s="726">
        <f t="shared" si="6"/>
        <v>0</v>
      </c>
      <c r="F51" s="725">
        <v>0</v>
      </c>
      <c r="G51" s="725">
        <v>0</v>
      </c>
      <c r="H51" s="725">
        <v>0</v>
      </c>
      <c r="I51" s="725">
        <v>0</v>
      </c>
      <c r="J51" s="2522"/>
      <c r="K51" s="2522"/>
      <c r="L51" s="2550"/>
    </row>
    <row r="52" spans="1:12" ht="27.75" customHeight="1">
      <c r="A52" s="2551" t="s">
        <v>3217</v>
      </c>
      <c r="B52" s="2554" t="s">
        <v>3216</v>
      </c>
      <c r="C52" s="2557" t="s">
        <v>2989</v>
      </c>
      <c r="D52" s="774" t="s">
        <v>8</v>
      </c>
      <c r="E52" s="766">
        <f t="shared" si="6"/>
        <v>1046423.31269</v>
      </c>
      <c r="F52" s="768">
        <f>SUM(F53:F57)</f>
        <v>1033937.5213500001</v>
      </c>
      <c r="G52" s="768">
        <f>SUM(G53:G57)</f>
        <v>0</v>
      </c>
      <c r="H52" s="768">
        <f>SUM(H53:H57)</f>
        <v>12485.79134</v>
      </c>
      <c r="I52" s="768">
        <f>SUM(I53:I57)</f>
        <v>0</v>
      </c>
      <c r="J52" s="2560" t="s">
        <v>3215</v>
      </c>
      <c r="K52" s="2560" t="s">
        <v>3066</v>
      </c>
    </row>
    <row r="53" spans="1:12" ht="27.75" customHeight="1">
      <c r="A53" s="2552"/>
      <c r="B53" s="2555"/>
      <c r="C53" s="2558"/>
      <c r="D53" s="774">
        <v>2021</v>
      </c>
      <c r="E53" s="766">
        <f t="shared" si="6"/>
        <v>108436.894</v>
      </c>
      <c r="F53" s="768">
        <f>SUM(F59+F65+F71+F77+F83+F89+F95+F107+F113+F119+F137)</f>
        <v>108436.894</v>
      </c>
      <c r="G53" s="768">
        <f t="shared" ref="G53:I54" si="7">SUM(G59+G65+G71+G77+G83+G89+G95+G107+G113+G119)</f>
        <v>0</v>
      </c>
      <c r="H53" s="768">
        <f t="shared" si="7"/>
        <v>0</v>
      </c>
      <c r="I53" s="768">
        <f t="shared" si="7"/>
        <v>0</v>
      </c>
      <c r="J53" s="2561"/>
      <c r="K53" s="2563"/>
    </row>
    <row r="54" spans="1:12" ht="27.75" customHeight="1">
      <c r="A54" s="2552"/>
      <c r="B54" s="2555"/>
      <c r="C54" s="2558"/>
      <c r="D54" s="774">
        <v>2022</v>
      </c>
      <c r="E54" s="766">
        <f t="shared" si="6"/>
        <v>274226.68966000003</v>
      </c>
      <c r="F54" s="768">
        <f>SUM(F60+F66+F72+F78+F84+F90+F96+F108+F114+F120+F138)</f>
        <v>274226.68966000003</v>
      </c>
      <c r="G54" s="768">
        <f t="shared" si="7"/>
        <v>0</v>
      </c>
      <c r="H54" s="768">
        <f t="shared" si="7"/>
        <v>0</v>
      </c>
      <c r="I54" s="768">
        <f t="shared" si="7"/>
        <v>0</v>
      </c>
      <c r="J54" s="2561"/>
      <c r="K54" s="2563"/>
    </row>
    <row r="55" spans="1:12" ht="27.75" customHeight="1">
      <c r="A55" s="2552"/>
      <c r="B55" s="2555"/>
      <c r="C55" s="2558"/>
      <c r="D55" s="774">
        <v>2023</v>
      </c>
      <c r="E55" s="766">
        <f t="shared" si="6"/>
        <v>256885.25702999998</v>
      </c>
      <c r="F55" s="768">
        <f>SUM(F61+F67+F73+F79+F85+F91+F97+F109+F115+F121+F139+F127+F133)</f>
        <v>244399.46568999998</v>
      </c>
      <c r="G55" s="768">
        <f>SUM(G61+G67+G73+G79+G85+G91+G97+G109+G115+G121+G139+G127+G133)</f>
        <v>0</v>
      </c>
      <c r="H55" s="768">
        <f>SUM(H61+H67+H73+H79+H85+H91+H97+H109+H115+H121+H139+H127+H133)</f>
        <v>12485.79134</v>
      </c>
      <c r="I55" s="768">
        <f>SUM(I61+I67+I73+I79+I85+I91+I97+I109+I115+I121)</f>
        <v>0</v>
      </c>
      <c r="J55" s="2561"/>
      <c r="K55" s="2563"/>
    </row>
    <row r="56" spans="1:12" ht="27.75" customHeight="1">
      <c r="A56" s="2552"/>
      <c r="B56" s="2555"/>
      <c r="C56" s="2558"/>
      <c r="D56" s="774">
        <v>2024</v>
      </c>
      <c r="E56" s="766">
        <f t="shared" si="6"/>
        <v>203437.236</v>
      </c>
      <c r="F56" s="768">
        <f>SUM(F62+F68+F74+F80+F86+F92+F98+F110+F116+F122+F140+F128+F134)</f>
        <v>203437.236</v>
      </c>
      <c r="G56" s="768">
        <f>SUM(G62+G68+G74+G80+G86+G92+G98+G110+G116+G122)</f>
        <v>0</v>
      </c>
      <c r="H56" s="768">
        <f>SUM(H62+H68+H74+H80+H86+H92+H98+H110+H116+H122)</f>
        <v>0</v>
      </c>
      <c r="I56" s="768">
        <f>SUM(I62+I68+I74+I80+I86+I92+I98+I110+I116+I122)</f>
        <v>0</v>
      </c>
      <c r="J56" s="2561"/>
      <c r="K56" s="2563"/>
    </row>
    <row r="57" spans="1:12" ht="27.75" customHeight="1">
      <c r="A57" s="2553"/>
      <c r="B57" s="2556"/>
      <c r="C57" s="2559"/>
      <c r="D57" s="774">
        <v>2025</v>
      </c>
      <c r="E57" s="766">
        <f t="shared" si="6"/>
        <v>203437.236</v>
      </c>
      <c r="F57" s="768">
        <f>SUM(F63+F69+F75+F81+F87+F93+F99+F111+F117+F123+F141+F129+F135)</f>
        <v>203437.236</v>
      </c>
      <c r="G57" s="768">
        <f>SUM(G63+G69+G75+G81+G87+G93+G99+G111+G117+G123)</f>
        <v>0</v>
      </c>
      <c r="H57" s="768">
        <f>SUM(H63+H69+H75+H81+H87+H93+H99+H111+H117+H123)</f>
        <v>0</v>
      </c>
      <c r="I57" s="768">
        <f>SUM(I63+I69+I75+I81+I87+I93+I99+I111+I117+I123)</f>
        <v>0</v>
      </c>
      <c r="J57" s="2562"/>
      <c r="K57" s="2564"/>
    </row>
    <row r="58" spans="1:12" ht="15" customHeight="1">
      <c r="A58" s="2526" t="s">
        <v>3214</v>
      </c>
      <c r="B58" s="2565" t="s">
        <v>3213</v>
      </c>
      <c r="C58" s="2527" t="s">
        <v>2989</v>
      </c>
      <c r="D58" s="762" t="s">
        <v>8</v>
      </c>
      <c r="E58" s="763">
        <f t="shared" si="6"/>
        <v>188000</v>
      </c>
      <c r="F58" s="763">
        <f>SUM(F59:F63)</f>
        <v>188000</v>
      </c>
      <c r="G58" s="763">
        <f>SUM(G59:G63)</f>
        <v>0</v>
      </c>
      <c r="H58" s="763">
        <f>SUM(H59:H63)</f>
        <v>0</v>
      </c>
      <c r="I58" s="763">
        <f>SUM(I59:I63)</f>
        <v>0</v>
      </c>
      <c r="J58" s="2528" t="s">
        <v>3212</v>
      </c>
      <c r="K58" s="2566" t="s">
        <v>2799</v>
      </c>
    </row>
    <row r="59" spans="1:12">
      <c r="A59" s="2526"/>
      <c r="B59" s="2565"/>
      <c r="C59" s="2527"/>
      <c r="D59" s="762">
        <v>2021</v>
      </c>
      <c r="E59" s="763">
        <f t="shared" si="6"/>
        <v>43000</v>
      </c>
      <c r="F59" s="763">
        <v>43000</v>
      </c>
      <c r="G59" s="764">
        <v>0</v>
      </c>
      <c r="H59" s="764">
        <v>0</v>
      </c>
      <c r="I59" s="764">
        <v>0</v>
      </c>
      <c r="J59" s="2528"/>
      <c r="K59" s="2561"/>
    </row>
    <row r="60" spans="1:12">
      <c r="A60" s="2526"/>
      <c r="B60" s="2565"/>
      <c r="C60" s="2527"/>
      <c r="D60" s="762">
        <v>2022</v>
      </c>
      <c r="E60" s="763">
        <f t="shared" si="6"/>
        <v>45000</v>
      </c>
      <c r="F60" s="763">
        <v>45000</v>
      </c>
      <c r="G60" s="764">
        <v>0</v>
      </c>
      <c r="H60" s="764">
        <v>0</v>
      </c>
      <c r="I60" s="764">
        <v>0</v>
      </c>
      <c r="J60" s="2528"/>
      <c r="K60" s="2561"/>
    </row>
    <row r="61" spans="1:12">
      <c r="A61" s="2526"/>
      <c r="B61" s="2565"/>
      <c r="C61" s="2527"/>
      <c r="D61" s="762">
        <v>2023</v>
      </c>
      <c r="E61" s="763">
        <f t="shared" si="6"/>
        <v>40000</v>
      </c>
      <c r="F61" s="763">
        <f>30000+10000</f>
        <v>40000</v>
      </c>
      <c r="G61" s="764">
        <v>0</v>
      </c>
      <c r="H61" s="764">
        <v>0</v>
      </c>
      <c r="I61" s="764">
        <v>0</v>
      </c>
      <c r="J61" s="2528"/>
      <c r="K61" s="2561"/>
    </row>
    <row r="62" spans="1:12">
      <c r="A62" s="2526"/>
      <c r="B62" s="2565"/>
      <c r="C62" s="2527"/>
      <c r="D62" s="762">
        <v>2024</v>
      </c>
      <c r="E62" s="763">
        <f t="shared" si="6"/>
        <v>30000</v>
      </c>
      <c r="F62" s="763">
        <v>30000</v>
      </c>
      <c r="G62" s="764">
        <v>0</v>
      </c>
      <c r="H62" s="764">
        <v>0</v>
      </c>
      <c r="I62" s="764">
        <v>0</v>
      </c>
      <c r="J62" s="2528"/>
      <c r="K62" s="2561"/>
    </row>
    <row r="63" spans="1:12">
      <c r="A63" s="2526"/>
      <c r="B63" s="2565"/>
      <c r="C63" s="2527"/>
      <c r="D63" s="762">
        <v>2025</v>
      </c>
      <c r="E63" s="763">
        <f t="shared" si="6"/>
        <v>30000</v>
      </c>
      <c r="F63" s="763">
        <v>30000</v>
      </c>
      <c r="G63" s="764">
        <v>0</v>
      </c>
      <c r="H63" s="764">
        <v>0</v>
      </c>
      <c r="I63" s="764">
        <v>0</v>
      </c>
      <c r="J63" s="2528"/>
      <c r="K63" s="2562"/>
    </row>
    <row r="64" spans="1:12" ht="13.5" customHeight="1" outlineLevel="1">
      <c r="A64" s="2541" t="s">
        <v>3211</v>
      </c>
      <c r="B64" s="2544" t="s">
        <v>3210</v>
      </c>
      <c r="C64" s="2546">
        <v>2021</v>
      </c>
      <c r="D64" s="727" t="s">
        <v>8</v>
      </c>
      <c r="E64" s="726">
        <f t="shared" si="6"/>
        <v>0</v>
      </c>
      <c r="F64" s="725">
        <f>SUM(F65:F69)</f>
        <v>0</v>
      </c>
      <c r="G64" s="725">
        <f>SUM(G65:G69)</f>
        <v>0</v>
      </c>
      <c r="H64" s="725">
        <f>SUM(H65:H69)</f>
        <v>0</v>
      </c>
      <c r="I64" s="725">
        <f>SUM(I65:I69)</f>
        <v>0</v>
      </c>
      <c r="J64" s="2548" t="s">
        <v>3209</v>
      </c>
      <c r="K64" s="2548" t="s">
        <v>2799</v>
      </c>
    </row>
    <row r="65" spans="1:11" ht="13.5" customHeight="1" outlineLevel="1">
      <c r="A65" s="2542"/>
      <c r="B65" s="2545"/>
      <c r="C65" s="2547"/>
      <c r="D65" s="727">
        <v>2021</v>
      </c>
      <c r="E65" s="726">
        <f t="shared" si="6"/>
        <v>0</v>
      </c>
      <c r="F65" s="725">
        <v>0</v>
      </c>
      <c r="G65" s="725">
        <v>0</v>
      </c>
      <c r="H65" s="725">
        <v>0</v>
      </c>
      <c r="I65" s="725">
        <v>0</v>
      </c>
      <c r="J65" s="2549"/>
      <c r="K65" s="2549"/>
    </row>
    <row r="66" spans="1:11" ht="13.5" customHeight="1" outlineLevel="1">
      <c r="A66" s="2542"/>
      <c r="B66" s="2545"/>
      <c r="C66" s="2547"/>
      <c r="D66" s="727">
        <v>2022</v>
      </c>
      <c r="E66" s="726">
        <f t="shared" si="6"/>
        <v>0</v>
      </c>
      <c r="F66" s="725">
        <v>0</v>
      </c>
      <c r="G66" s="725">
        <v>0</v>
      </c>
      <c r="H66" s="725">
        <v>0</v>
      </c>
      <c r="I66" s="725">
        <v>0</v>
      </c>
      <c r="J66" s="2549"/>
      <c r="K66" s="2549"/>
    </row>
    <row r="67" spans="1:11" ht="13.5" customHeight="1" outlineLevel="1">
      <c r="A67" s="2542"/>
      <c r="B67" s="2545"/>
      <c r="C67" s="2547"/>
      <c r="D67" s="727">
        <v>2023</v>
      </c>
      <c r="E67" s="726">
        <f t="shared" si="6"/>
        <v>0</v>
      </c>
      <c r="F67" s="725">
        <v>0</v>
      </c>
      <c r="G67" s="725">
        <v>0</v>
      </c>
      <c r="H67" s="725">
        <v>0</v>
      </c>
      <c r="I67" s="725">
        <v>0</v>
      </c>
      <c r="J67" s="2549"/>
      <c r="K67" s="2549"/>
    </row>
    <row r="68" spans="1:11" ht="13.5" customHeight="1" outlineLevel="1">
      <c r="A68" s="2542"/>
      <c r="B68" s="2545"/>
      <c r="C68" s="2547"/>
      <c r="D68" s="727">
        <v>2024</v>
      </c>
      <c r="E68" s="726">
        <f t="shared" si="6"/>
        <v>0</v>
      </c>
      <c r="F68" s="725">
        <v>0</v>
      </c>
      <c r="G68" s="725">
        <v>0</v>
      </c>
      <c r="H68" s="725">
        <v>0</v>
      </c>
      <c r="I68" s="725">
        <v>0</v>
      </c>
      <c r="J68" s="2549"/>
      <c r="K68" s="2549"/>
    </row>
    <row r="69" spans="1:11" ht="13.5" customHeight="1" outlineLevel="1">
      <c r="A69" s="2543"/>
      <c r="B69" s="2518"/>
      <c r="C69" s="2520"/>
      <c r="D69" s="727">
        <v>2025</v>
      </c>
      <c r="E69" s="726">
        <f t="shared" si="6"/>
        <v>0</v>
      </c>
      <c r="F69" s="725">
        <v>0</v>
      </c>
      <c r="G69" s="725">
        <v>0</v>
      </c>
      <c r="H69" s="725">
        <v>0</v>
      </c>
      <c r="I69" s="725">
        <v>0</v>
      </c>
      <c r="J69" s="2522"/>
      <c r="K69" s="2522"/>
    </row>
    <row r="70" spans="1:11" ht="13.5" customHeight="1" outlineLevel="1">
      <c r="A70" s="2567" t="s">
        <v>3208</v>
      </c>
      <c r="B70" s="2570" t="s">
        <v>3207</v>
      </c>
      <c r="C70" s="2557" t="s">
        <v>2989</v>
      </c>
      <c r="D70" s="762" t="s">
        <v>8</v>
      </c>
      <c r="E70" s="763">
        <f t="shared" si="6"/>
        <v>193993.769</v>
      </c>
      <c r="F70" s="764">
        <f>SUM(F71:F75)</f>
        <v>193993.769</v>
      </c>
      <c r="G70" s="764">
        <f>SUM(G71:G75)</f>
        <v>0</v>
      </c>
      <c r="H70" s="764">
        <f>SUM(H71:H75)</f>
        <v>0</v>
      </c>
      <c r="I70" s="764">
        <f>SUM(I71:I75)</f>
        <v>0</v>
      </c>
      <c r="J70" s="2566" t="s">
        <v>3206</v>
      </c>
      <c r="K70" s="2566" t="s">
        <v>2799</v>
      </c>
    </row>
    <row r="71" spans="1:11" ht="13.5" customHeight="1" outlineLevel="1">
      <c r="A71" s="2568"/>
      <c r="B71" s="2571"/>
      <c r="C71" s="2558"/>
      <c r="D71" s="762">
        <v>2021</v>
      </c>
      <c r="E71" s="763">
        <f t="shared" si="6"/>
        <v>33993.769</v>
      </c>
      <c r="F71" s="764">
        <v>33993.769</v>
      </c>
      <c r="G71" s="764">
        <v>0</v>
      </c>
      <c r="H71" s="764">
        <v>0</v>
      </c>
      <c r="I71" s="764">
        <v>0</v>
      </c>
      <c r="J71" s="2561"/>
      <c r="K71" s="2561"/>
    </row>
    <row r="72" spans="1:11" ht="13.5" customHeight="1" outlineLevel="1">
      <c r="A72" s="2568"/>
      <c r="B72" s="2571"/>
      <c r="C72" s="2558"/>
      <c r="D72" s="762">
        <v>2022</v>
      </c>
      <c r="E72" s="763">
        <f t="shared" si="6"/>
        <v>40000</v>
      </c>
      <c r="F72" s="764">
        <v>40000</v>
      </c>
      <c r="G72" s="764">
        <v>0</v>
      </c>
      <c r="H72" s="764">
        <v>0</v>
      </c>
      <c r="I72" s="764">
        <v>0</v>
      </c>
      <c r="J72" s="2561"/>
      <c r="K72" s="2561"/>
    </row>
    <row r="73" spans="1:11" ht="13.5" customHeight="1" outlineLevel="1">
      <c r="A73" s="2568"/>
      <c r="B73" s="2571"/>
      <c r="C73" s="2558"/>
      <c r="D73" s="775">
        <v>2023</v>
      </c>
      <c r="E73" s="763">
        <f t="shared" si="6"/>
        <v>40000</v>
      </c>
      <c r="F73" s="764">
        <v>40000</v>
      </c>
      <c r="G73" s="764">
        <v>0</v>
      </c>
      <c r="H73" s="764">
        <v>0</v>
      </c>
      <c r="I73" s="764">
        <v>0</v>
      </c>
      <c r="J73" s="2561"/>
      <c r="K73" s="2561"/>
    </row>
    <row r="74" spans="1:11" ht="13.5" customHeight="1" outlineLevel="1">
      <c r="A74" s="2568"/>
      <c r="B74" s="2571"/>
      <c r="C74" s="2558"/>
      <c r="D74" s="762">
        <v>2024</v>
      </c>
      <c r="E74" s="763">
        <f t="shared" si="6"/>
        <v>40000</v>
      </c>
      <c r="F74" s="764">
        <v>40000</v>
      </c>
      <c r="G74" s="764">
        <v>0</v>
      </c>
      <c r="H74" s="764">
        <v>0</v>
      </c>
      <c r="I74" s="764">
        <v>0</v>
      </c>
      <c r="J74" s="2561"/>
      <c r="K74" s="2561"/>
    </row>
    <row r="75" spans="1:11" ht="13.5" customHeight="1" outlineLevel="1">
      <c r="A75" s="2569"/>
      <c r="B75" s="2572"/>
      <c r="C75" s="2559"/>
      <c r="D75" s="762">
        <v>2025</v>
      </c>
      <c r="E75" s="763">
        <f t="shared" si="6"/>
        <v>40000</v>
      </c>
      <c r="F75" s="764">
        <v>40000</v>
      </c>
      <c r="G75" s="764">
        <v>0</v>
      </c>
      <c r="H75" s="764">
        <v>0</v>
      </c>
      <c r="I75" s="764">
        <v>0</v>
      </c>
      <c r="J75" s="2562"/>
      <c r="K75" s="2562"/>
    </row>
    <row r="76" spans="1:11" ht="13.5" customHeight="1" outlineLevel="1">
      <c r="A76" s="2567" t="s">
        <v>3205</v>
      </c>
      <c r="B76" s="2573" t="s">
        <v>3511</v>
      </c>
      <c r="C76" s="2557" t="s">
        <v>2989</v>
      </c>
      <c r="D76" s="762" t="s">
        <v>8</v>
      </c>
      <c r="E76" s="763">
        <f t="shared" si="6"/>
        <v>18551.430690000001</v>
      </c>
      <c r="F76" s="764">
        <f>SUM(F77:F81)</f>
        <v>18551.430690000001</v>
      </c>
      <c r="G76" s="764">
        <f>SUM(G77:G81)</f>
        <v>0</v>
      </c>
      <c r="H76" s="764">
        <f>SUM(H77:H81)</f>
        <v>0</v>
      </c>
      <c r="I76" s="764">
        <f>SUM(I77:I81)</f>
        <v>0</v>
      </c>
      <c r="J76" s="2566" t="s">
        <v>2810</v>
      </c>
      <c r="K76" s="2566" t="s">
        <v>2799</v>
      </c>
    </row>
    <row r="77" spans="1:11" ht="13.5" customHeight="1" outlineLevel="1">
      <c r="A77" s="2568"/>
      <c r="B77" s="2571"/>
      <c r="C77" s="2558"/>
      <c r="D77" s="762">
        <v>2021</v>
      </c>
      <c r="E77" s="763">
        <f t="shared" si="6"/>
        <v>2000</v>
      </c>
      <c r="F77" s="764">
        <v>2000</v>
      </c>
      <c r="G77" s="764">
        <v>0</v>
      </c>
      <c r="H77" s="764">
        <v>0</v>
      </c>
      <c r="I77" s="764">
        <v>0</v>
      </c>
      <c r="J77" s="2561"/>
      <c r="K77" s="2561"/>
    </row>
    <row r="78" spans="1:11" ht="13.5" customHeight="1" outlineLevel="1">
      <c r="A78" s="2568"/>
      <c r="B78" s="2571"/>
      <c r="C78" s="2558"/>
      <c r="D78" s="762">
        <v>2022</v>
      </c>
      <c r="E78" s="763">
        <f t="shared" si="6"/>
        <v>2900</v>
      </c>
      <c r="F78" s="764">
        <v>2900</v>
      </c>
      <c r="G78" s="764">
        <v>0</v>
      </c>
      <c r="H78" s="764">
        <v>0</v>
      </c>
      <c r="I78" s="764">
        <v>0</v>
      </c>
      <c r="J78" s="2561"/>
      <c r="K78" s="2561"/>
    </row>
    <row r="79" spans="1:11" ht="13.5" customHeight="1" outlineLevel="1">
      <c r="A79" s="2568"/>
      <c r="B79" s="2571"/>
      <c r="C79" s="2558"/>
      <c r="D79" s="775">
        <v>2023</v>
      </c>
      <c r="E79" s="763">
        <f t="shared" ref="E79:E104" si="8">SUM(F79:I79)</f>
        <v>2451.4306900000001</v>
      </c>
      <c r="F79" s="764">
        <f>5600-3148.56931</f>
        <v>2451.4306900000001</v>
      </c>
      <c r="G79" s="764">
        <v>0</v>
      </c>
      <c r="H79" s="764">
        <v>0</v>
      </c>
      <c r="I79" s="764">
        <v>0</v>
      </c>
      <c r="J79" s="2561"/>
      <c r="K79" s="2561"/>
    </row>
    <row r="80" spans="1:11" ht="13.5" customHeight="1" outlineLevel="1">
      <c r="A80" s="2568"/>
      <c r="B80" s="2571"/>
      <c r="C80" s="2558"/>
      <c r="D80" s="762">
        <v>2024</v>
      </c>
      <c r="E80" s="763">
        <f t="shared" si="8"/>
        <v>5600</v>
      </c>
      <c r="F80" s="764">
        <v>5600</v>
      </c>
      <c r="G80" s="764">
        <v>0</v>
      </c>
      <c r="H80" s="764">
        <v>0</v>
      </c>
      <c r="I80" s="764">
        <v>0</v>
      </c>
      <c r="J80" s="2561"/>
      <c r="K80" s="2561"/>
    </row>
    <row r="81" spans="1:11" ht="13.5" customHeight="1" outlineLevel="1">
      <c r="A81" s="2569"/>
      <c r="B81" s="2572"/>
      <c r="C81" s="2559"/>
      <c r="D81" s="762">
        <v>2025</v>
      </c>
      <c r="E81" s="763">
        <f t="shared" si="8"/>
        <v>5600</v>
      </c>
      <c r="F81" s="764">
        <v>5600</v>
      </c>
      <c r="G81" s="764">
        <v>0</v>
      </c>
      <c r="H81" s="764">
        <v>0</v>
      </c>
      <c r="I81" s="764">
        <v>0</v>
      </c>
      <c r="J81" s="2562"/>
      <c r="K81" s="2562"/>
    </row>
    <row r="82" spans="1:11" ht="13.5" customHeight="1" outlineLevel="1">
      <c r="A82" s="2567" t="s">
        <v>3204</v>
      </c>
      <c r="B82" s="2570" t="s">
        <v>3203</v>
      </c>
      <c r="C82" s="2557" t="s">
        <v>2989</v>
      </c>
      <c r="D82" s="762" t="s">
        <v>8</v>
      </c>
      <c r="E82" s="763">
        <f t="shared" si="8"/>
        <v>234813.071</v>
      </c>
      <c r="F82" s="764">
        <f>SUM(F83:F87)</f>
        <v>234813.071</v>
      </c>
      <c r="G82" s="764">
        <f>SUM(G83:G87)</f>
        <v>0</v>
      </c>
      <c r="H82" s="764">
        <f>SUM(H83:H87)</f>
        <v>0</v>
      </c>
      <c r="I82" s="764">
        <f>SUM(I83:I87)</f>
        <v>0</v>
      </c>
      <c r="J82" s="2566" t="s">
        <v>2811</v>
      </c>
      <c r="K82" s="2566" t="s">
        <v>3066</v>
      </c>
    </row>
    <row r="83" spans="1:11" ht="13.5" customHeight="1" outlineLevel="1">
      <c r="A83" s="2568"/>
      <c r="B83" s="2571"/>
      <c r="C83" s="2558"/>
      <c r="D83" s="762">
        <v>2021</v>
      </c>
      <c r="E83" s="763">
        <f t="shared" si="8"/>
        <v>29443.125</v>
      </c>
      <c r="F83" s="764">
        <f>29443125/1000</f>
        <v>29443.125</v>
      </c>
      <c r="G83" s="764">
        <v>0</v>
      </c>
      <c r="H83" s="764">
        <v>0</v>
      </c>
      <c r="I83" s="764">
        <v>0</v>
      </c>
      <c r="J83" s="2561"/>
      <c r="K83" s="2561"/>
    </row>
    <row r="84" spans="1:11" ht="13.5" customHeight="1" outlineLevel="1">
      <c r="A84" s="2568"/>
      <c r="B84" s="2571"/>
      <c r="C84" s="2558"/>
      <c r="D84" s="762">
        <v>2022</v>
      </c>
      <c r="E84" s="763">
        <f t="shared" si="8"/>
        <v>99747.438999999998</v>
      </c>
      <c r="F84" s="764">
        <v>99747.438999999998</v>
      </c>
      <c r="G84" s="764">
        <v>0</v>
      </c>
      <c r="H84" s="764">
        <v>0</v>
      </c>
      <c r="I84" s="764">
        <v>0</v>
      </c>
      <c r="J84" s="2561"/>
      <c r="K84" s="2561"/>
    </row>
    <row r="85" spans="1:11" ht="13.5" customHeight="1" outlineLevel="1">
      <c r="A85" s="2568"/>
      <c r="B85" s="2571"/>
      <c r="C85" s="2558"/>
      <c r="D85" s="775">
        <v>2023</v>
      </c>
      <c r="E85" s="763">
        <f t="shared" si="8"/>
        <v>57948.035000000003</v>
      </c>
      <c r="F85" s="764">
        <f>56948.035+1000</f>
        <v>57948.035000000003</v>
      </c>
      <c r="G85" s="764">
        <v>0</v>
      </c>
      <c r="H85" s="764">
        <v>0</v>
      </c>
      <c r="I85" s="764">
        <v>0</v>
      </c>
      <c r="J85" s="2561"/>
      <c r="K85" s="2561"/>
    </row>
    <row r="86" spans="1:11" ht="13.5" customHeight="1" outlineLevel="1">
      <c r="A86" s="2568"/>
      <c r="B86" s="2571"/>
      <c r="C86" s="2558"/>
      <c r="D86" s="762">
        <v>2024</v>
      </c>
      <c r="E86" s="763">
        <f t="shared" si="8"/>
        <v>23837.236000000001</v>
      </c>
      <c r="F86" s="764">
        <v>23837.236000000001</v>
      </c>
      <c r="G86" s="764">
        <v>0</v>
      </c>
      <c r="H86" s="764">
        <v>0</v>
      </c>
      <c r="I86" s="764">
        <v>0</v>
      </c>
      <c r="J86" s="2561"/>
      <c r="K86" s="2561"/>
    </row>
    <row r="87" spans="1:11" ht="13.5" customHeight="1" outlineLevel="1">
      <c r="A87" s="2569"/>
      <c r="B87" s="2572"/>
      <c r="C87" s="2559"/>
      <c r="D87" s="762">
        <v>2025</v>
      </c>
      <c r="E87" s="763">
        <f t="shared" si="8"/>
        <v>23837.236000000001</v>
      </c>
      <c r="F87" s="764">
        <v>23837.236000000001</v>
      </c>
      <c r="G87" s="764">
        <v>0</v>
      </c>
      <c r="H87" s="764">
        <v>0</v>
      </c>
      <c r="I87" s="764">
        <v>0</v>
      </c>
      <c r="J87" s="2562"/>
      <c r="K87" s="2562"/>
    </row>
    <row r="88" spans="1:11" ht="13.5" customHeight="1" outlineLevel="1">
      <c r="A88" s="2567" t="s">
        <v>2908</v>
      </c>
      <c r="B88" s="2570" t="s">
        <v>2903</v>
      </c>
      <c r="C88" s="2557" t="s">
        <v>3017</v>
      </c>
      <c r="D88" s="762" t="s">
        <v>8</v>
      </c>
      <c r="E88" s="763">
        <f t="shared" si="8"/>
        <v>80000</v>
      </c>
      <c r="F88" s="764">
        <f>SUM(F89:F93)</f>
        <v>80000</v>
      </c>
      <c r="G88" s="764">
        <f>SUM(G89:G93)</f>
        <v>0</v>
      </c>
      <c r="H88" s="764">
        <f>SUM(H89:H93)</f>
        <v>0</v>
      </c>
      <c r="I88" s="764">
        <f>SUM(I89:I93)</f>
        <v>0</v>
      </c>
      <c r="J88" s="2566" t="s">
        <v>3202</v>
      </c>
      <c r="K88" s="2566" t="s">
        <v>2799</v>
      </c>
    </row>
    <row r="89" spans="1:11" ht="13.5" customHeight="1" outlineLevel="1">
      <c r="A89" s="2568"/>
      <c r="B89" s="2571"/>
      <c r="C89" s="2558"/>
      <c r="D89" s="762">
        <v>2021</v>
      </c>
      <c r="E89" s="763">
        <f t="shared" si="8"/>
        <v>0</v>
      </c>
      <c r="F89" s="764">
        <v>0</v>
      </c>
      <c r="G89" s="764">
        <v>0</v>
      </c>
      <c r="H89" s="764">
        <v>0</v>
      </c>
      <c r="I89" s="764">
        <v>0</v>
      </c>
      <c r="J89" s="2561"/>
      <c r="K89" s="2561"/>
    </row>
    <row r="90" spans="1:11" ht="13.5" customHeight="1" outlineLevel="1">
      <c r="A90" s="2568"/>
      <c r="B90" s="2571"/>
      <c r="C90" s="2558"/>
      <c r="D90" s="762">
        <v>2022</v>
      </c>
      <c r="E90" s="763">
        <f t="shared" si="8"/>
        <v>20000</v>
      </c>
      <c r="F90" s="764">
        <v>20000</v>
      </c>
      <c r="G90" s="764">
        <v>0</v>
      </c>
      <c r="H90" s="764">
        <v>0</v>
      </c>
      <c r="I90" s="764">
        <v>0</v>
      </c>
      <c r="J90" s="2561"/>
      <c r="K90" s="2561"/>
    </row>
    <row r="91" spans="1:11" ht="13.5" customHeight="1" outlineLevel="1">
      <c r="A91" s="2568"/>
      <c r="B91" s="2571"/>
      <c r="C91" s="2558"/>
      <c r="D91" s="775">
        <v>2023</v>
      </c>
      <c r="E91" s="763">
        <f t="shared" si="8"/>
        <v>20000</v>
      </c>
      <c r="F91" s="764">
        <v>20000</v>
      </c>
      <c r="G91" s="764">
        <v>0</v>
      </c>
      <c r="H91" s="764">
        <v>0</v>
      </c>
      <c r="I91" s="764">
        <v>0</v>
      </c>
      <c r="J91" s="2561"/>
      <c r="K91" s="2561"/>
    </row>
    <row r="92" spans="1:11" ht="13.5" customHeight="1" outlineLevel="1">
      <c r="A92" s="2568"/>
      <c r="B92" s="2571"/>
      <c r="C92" s="2558"/>
      <c r="D92" s="762">
        <v>2024</v>
      </c>
      <c r="E92" s="763">
        <f t="shared" si="8"/>
        <v>20000</v>
      </c>
      <c r="F92" s="764">
        <v>20000</v>
      </c>
      <c r="G92" s="764">
        <v>0</v>
      </c>
      <c r="H92" s="764">
        <v>0</v>
      </c>
      <c r="I92" s="764">
        <v>0</v>
      </c>
      <c r="J92" s="2561"/>
      <c r="K92" s="2561"/>
    </row>
    <row r="93" spans="1:11" ht="13.5" customHeight="1" outlineLevel="1">
      <c r="A93" s="2569"/>
      <c r="B93" s="2572"/>
      <c r="C93" s="2559"/>
      <c r="D93" s="762">
        <v>2025</v>
      </c>
      <c r="E93" s="763">
        <f t="shared" si="8"/>
        <v>20000</v>
      </c>
      <c r="F93" s="764">
        <v>20000</v>
      </c>
      <c r="G93" s="764">
        <v>0</v>
      </c>
      <c r="H93" s="764">
        <v>0</v>
      </c>
      <c r="I93" s="764">
        <v>0</v>
      </c>
      <c r="J93" s="2562"/>
      <c r="K93" s="2562"/>
    </row>
    <row r="94" spans="1:11" ht="13.5" customHeight="1" outlineLevel="1">
      <c r="A94" s="2541" t="s">
        <v>2912</v>
      </c>
      <c r="B94" s="2544" t="s">
        <v>2904</v>
      </c>
      <c r="C94" s="2546" t="s">
        <v>2989</v>
      </c>
      <c r="D94" s="727" t="s">
        <v>8</v>
      </c>
      <c r="E94" s="726">
        <f t="shared" si="8"/>
        <v>3220</v>
      </c>
      <c r="F94" s="726">
        <f>SUM(F95:F99)</f>
        <v>3220</v>
      </c>
      <c r="G94" s="726">
        <f>SUM(G95:G99)</f>
        <v>0</v>
      </c>
      <c r="H94" s="726">
        <f>SUM(H95:H99)</f>
        <v>0</v>
      </c>
      <c r="I94" s="726">
        <f>SUM(I95:I99)</f>
        <v>0</v>
      </c>
      <c r="J94" s="2548" t="s">
        <v>3201</v>
      </c>
      <c r="K94" s="2548" t="s">
        <v>2799</v>
      </c>
    </row>
    <row r="95" spans="1:11" ht="13.5" customHeight="1" outlineLevel="1">
      <c r="A95" s="2542"/>
      <c r="B95" s="2545"/>
      <c r="C95" s="2547"/>
      <c r="D95" s="727">
        <v>2021</v>
      </c>
      <c r="E95" s="726">
        <f t="shared" si="8"/>
        <v>0</v>
      </c>
      <c r="F95" s="725">
        <v>0</v>
      </c>
      <c r="G95" s="725">
        <v>0</v>
      </c>
      <c r="H95" s="725">
        <v>0</v>
      </c>
      <c r="I95" s="725">
        <v>0</v>
      </c>
      <c r="J95" s="2549"/>
      <c r="K95" s="2549"/>
    </row>
    <row r="96" spans="1:11" ht="13.5" customHeight="1" outlineLevel="1">
      <c r="A96" s="2542"/>
      <c r="B96" s="2545"/>
      <c r="C96" s="2547"/>
      <c r="D96" s="727">
        <v>2022</v>
      </c>
      <c r="E96" s="726">
        <f t="shared" si="8"/>
        <v>3220</v>
      </c>
      <c r="F96" s="725">
        <f>3360-140</f>
        <v>3220</v>
      </c>
      <c r="G96" s="725">
        <v>0</v>
      </c>
      <c r="H96" s="725">
        <v>0</v>
      </c>
      <c r="I96" s="725">
        <v>0</v>
      </c>
      <c r="J96" s="2549"/>
      <c r="K96" s="2549"/>
    </row>
    <row r="97" spans="1:11" ht="13.5" customHeight="1" outlineLevel="1">
      <c r="A97" s="2542"/>
      <c r="B97" s="2545"/>
      <c r="C97" s="2547"/>
      <c r="D97" s="727">
        <v>2023</v>
      </c>
      <c r="E97" s="726">
        <f t="shared" si="8"/>
        <v>0</v>
      </c>
      <c r="F97" s="725">
        <v>0</v>
      </c>
      <c r="G97" s="725">
        <v>0</v>
      </c>
      <c r="H97" s="725">
        <v>0</v>
      </c>
      <c r="I97" s="725">
        <v>0</v>
      </c>
      <c r="J97" s="2549"/>
      <c r="K97" s="2549"/>
    </row>
    <row r="98" spans="1:11" ht="13.5" customHeight="1" outlineLevel="1">
      <c r="A98" s="2542"/>
      <c r="B98" s="2545"/>
      <c r="C98" s="2547"/>
      <c r="D98" s="727">
        <v>2024</v>
      </c>
      <c r="E98" s="726">
        <f t="shared" si="8"/>
        <v>0</v>
      </c>
      <c r="F98" s="725">
        <v>0</v>
      </c>
      <c r="G98" s="725">
        <v>0</v>
      </c>
      <c r="H98" s="725">
        <v>0</v>
      </c>
      <c r="I98" s="725">
        <v>0</v>
      </c>
      <c r="J98" s="2549"/>
      <c r="K98" s="2549"/>
    </row>
    <row r="99" spans="1:11" ht="13.5" customHeight="1" outlineLevel="1">
      <c r="A99" s="2543"/>
      <c r="B99" s="2518"/>
      <c r="C99" s="2520"/>
      <c r="D99" s="727">
        <v>2025</v>
      </c>
      <c r="E99" s="726">
        <f t="shared" si="8"/>
        <v>0</v>
      </c>
      <c r="F99" s="725">
        <v>0</v>
      </c>
      <c r="G99" s="725">
        <v>0</v>
      </c>
      <c r="H99" s="725">
        <v>0</v>
      </c>
      <c r="I99" s="725">
        <v>0</v>
      </c>
      <c r="J99" s="2522"/>
      <c r="K99" s="2522"/>
    </row>
    <row r="100" spans="1:11" ht="23.25" customHeight="1" outlineLevel="1">
      <c r="A100" s="2541" t="s">
        <v>3200</v>
      </c>
      <c r="B100" s="2544" t="s">
        <v>3199</v>
      </c>
      <c r="C100" s="2546" t="s">
        <v>3198</v>
      </c>
      <c r="D100" s="727" t="s">
        <v>8</v>
      </c>
      <c r="E100" s="726">
        <f t="shared" si="8"/>
        <v>0</v>
      </c>
      <c r="F100" s="726">
        <f>SUM(F101:F105)</f>
        <v>0</v>
      </c>
      <c r="G100" s="726">
        <f>SUM(G101:G105)</f>
        <v>0</v>
      </c>
      <c r="H100" s="726">
        <f>SUM(H101:H105)</f>
        <v>0</v>
      </c>
      <c r="I100" s="726">
        <f>SUM(I101:I105)</f>
        <v>0</v>
      </c>
      <c r="J100" s="2548" t="s">
        <v>3197</v>
      </c>
      <c r="K100" s="2548" t="s">
        <v>2799</v>
      </c>
    </row>
    <row r="101" spans="1:11" ht="13.5" customHeight="1" outlineLevel="1">
      <c r="A101" s="2542"/>
      <c r="B101" s="2545"/>
      <c r="C101" s="2547"/>
      <c r="D101" s="727">
        <v>2021</v>
      </c>
      <c r="E101" s="726">
        <f t="shared" si="8"/>
        <v>0</v>
      </c>
      <c r="F101" s="725">
        <v>0</v>
      </c>
      <c r="G101" s="725">
        <v>0</v>
      </c>
      <c r="H101" s="725">
        <v>0</v>
      </c>
      <c r="I101" s="725">
        <v>0</v>
      </c>
      <c r="J101" s="2549"/>
      <c r="K101" s="2549"/>
    </row>
    <row r="102" spans="1:11" ht="13.5" customHeight="1" outlineLevel="1">
      <c r="A102" s="2542"/>
      <c r="B102" s="2545"/>
      <c r="C102" s="2547"/>
      <c r="D102" s="727">
        <v>2022</v>
      </c>
      <c r="E102" s="726">
        <f t="shared" si="8"/>
        <v>0</v>
      </c>
      <c r="F102" s="725">
        <v>0</v>
      </c>
      <c r="G102" s="725">
        <v>0</v>
      </c>
      <c r="H102" s="725">
        <v>0</v>
      </c>
      <c r="I102" s="725">
        <v>0</v>
      </c>
      <c r="J102" s="2549"/>
      <c r="K102" s="2549"/>
    </row>
    <row r="103" spans="1:11" ht="13.5" customHeight="1" outlineLevel="1">
      <c r="A103" s="2542"/>
      <c r="B103" s="2545"/>
      <c r="C103" s="2547"/>
      <c r="D103" s="727">
        <v>2023</v>
      </c>
      <c r="E103" s="726">
        <f t="shared" si="8"/>
        <v>0</v>
      </c>
      <c r="F103" s="725">
        <v>0</v>
      </c>
      <c r="G103" s="725">
        <v>0</v>
      </c>
      <c r="H103" s="725">
        <v>0</v>
      </c>
      <c r="I103" s="725">
        <v>0</v>
      </c>
      <c r="J103" s="2549"/>
      <c r="K103" s="2549"/>
    </row>
    <row r="104" spans="1:11" ht="13.5" customHeight="1" outlineLevel="1">
      <c r="A104" s="2542"/>
      <c r="B104" s="2545"/>
      <c r="C104" s="2547"/>
      <c r="D104" s="727">
        <v>2024</v>
      </c>
      <c r="E104" s="726">
        <f t="shared" si="8"/>
        <v>0</v>
      </c>
      <c r="F104" s="725">
        <v>0</v>
      </c>
      <c r="G104" s="725">
        <v>0</v>
      </c>
      <c r="H104" s="725">
        <v>0</v>
      </c>
      <c r="I104" s="725">
        <v>0</v>
      </c>
      <c r="J104" s="2549"/>
      <c r="K104" s="2549"/>
    </row>
    <row r="105" spans="1:11" ht="13.5" customHeight="1" outlineLevel="1">
      <c r="A105" s="2543"/>
      <c r="B105" s="2518"/>
      <c r="C105" s="2520"/>
      <c r="D105" s="727">
        <v>2025</v>
      </c>
      <c r="E105" s="726">
        <v>0</v>
      </c>
      <c r="F105" s="725">
        <v>0</v>
      </c>
      <c r="G105" s="725">
        <v>0</v>
      </c>
      <c r="H105" s="725">
        <v>0</v>
      </c>
      <c r="I105" s="725">
        <v>0</v>
      </c>
      <c r="J105" s="2522"/>
      <c r="K105" s="2522"/>
    </row>
    <row r="106" spans="1:11" ht="13.5" customHeight="1" outlineLevel="1">
      <c r="A106" s="2567" t="s">
        <v>2913</v>
      </c>
      <c r="B106" s="2570" t="s">
        <v>2905</v>
      </c>
      <c r="C106" s="2557" t="s">
        <v>2989</v>
      </c>
      <c r="D106" s="762" t="s">
        <v>8</v>
      </c>
      <c r="E106" s="763">
        <f t="shared" ref="E106:E137" si="9">SUM(F106:I106)</f>
        <v>99000</v>
      </c>
      <c r="F106" s="763">
        <f>SUM(F107:F111)</f>
        <v>99000</v>
      </c>
      <c r="G106" s="763">
        <f>SUM(G107:G111)</f>
        <v>0</v>
      </c>
      <c r="H106" s="763">
        <f>SUM(H107:H111)</f>
        <v>0</v>
      </c>
      <c r="I106" s="763">
        <f>SUM(I107:I111)</f>
        <v>0</v>
      </c>
      <c r="J106" s="2574" t="s">
        <v>3196</v>
      </c>
      <c r="K106" s="2566" t="s">
        <v>2852</v>
      </c>
    </row>
    <row r="107" spans="1:11" ht="13.5" customHeight="1" outlineLevel="1">
      <c r="A107" s="2568"/>
      <c r="B107" s="2571"/>
      <c r="C107" s="2558"/>
      <c r="D107" s="762">
        <v>2021</v>
      </c>
      <c r="E107" s="763">
        <f t="shared" si="9"/>
        <v>0</v>
      </c>
      <c r="F107" s="764">
        <v>0</v>
      </c>
      <c r="G107" s="764">
        <v>0</v>
      </c>
      <c r="H107" s="764">
        <v>0</v>
      </c>
      <c r="I107" s="764">
        <v>0</v>
      </c>
      <c r="J107" s="2561"/>
      <c r="K107" s="2561"/>
    </row>
    <row r="108" spans="1:11" ht="13.5" customHeight="1" outlineLevel="1">
      <c r="A108" s="2568"/>
      <c r="B108" s="2571"/>
      <c r="C108" s="2558"/>
      <c r="D108" s="762">
        <v>2022</v>
      </c>
      <c r="E108" s="763">
        <f t="shared" si="9"/>
        <v>21000</v>
      </c>
      <c r="F108" s="764">
        <v>21000</v>
      </c>
      <c r="G108" s="764">
        <v>0</v>
      </c>
      <c r="H108" s="764">
        <v>0</v>
      </c>
      <c r="I108" s="764">
        <v>0</v>
      </c>
      <c r="J108" s="2561"/>
      <c r="K108" s="2561"/>
    </row>
    <row r="109" spans="1:11" ht="13.5" customHeight="1" outlineLevel="1">
      <c r="A109" s="2568"/>
      <c r="B109" s="2571"/>
      <c r="C109" s="2558"/>
      <c r="D109" s="775">
        <v>2023</v>
      </c>
      <c r="E109" s="763">
        <f t="shared" si="9"/>
        <v>26000</v>
      </c>
      <c r="F109" s="764">
        <v>26000</v>
      </c>
      <c r="G109" s="764">
        <v>0</v>
      </c>
      <c r="H109" s="764">
        <v>0</v>
      </c>
      <c r="I109" s="764">
        <v>0</v>
      </c>
      <c r="J109" s="2561"/>
      <c r="K109" s="2561"/>
    </row>
    <row r="110" spans="1:11" ht="13.5" customHeight="1" outlineLevel="1">
      <c r="A110" s="2568"/>
      <c r="B110" s="2571"/>
      <c r="C110" s="2558"/>
      <c r="D110" s="762">
        <v>2024</v>
      </c>
      <c r="E110" s="763">
        <f t="shared" si="9"/>
        <v>26000</v>
      </c>
      <c r="F110" s="764">
        <v>26000</v>
      </c>
      <c r="G110" s="764">
        <v>0</v>
      </c>
      <c r="H110" s="764">
        <v>0</v>
      </c>
      <c r="I110" s="764">
        <v>0</v>
      </c>
      <c r="J110" s="2561"/>
      <c r="K110" s="2561"/>
    </row>
    <row r="111" spans="1:11" ht="13.5" customHeight="1" outlineLevel="1">
      <c r="A111" s="2569"/>
      <c r="B111" s="2572"/>
      <c r="C111" s="2559"/>
      <c r="D111" s="762">
        <v>2025</v>
      </c>
      <c r="E111" s="763">
        <f t="shared" si="9"/>
        <v>26000</v>
      </c>
      <c r="F111" s="764">
        <v>26000</v>
      </c>
      <c r="G111" s="764">
        <v>0</v>
      </c>
      <c r="H111" s="764">
        <v>0</v>
      </c>
      <c r="I111" s="764">
        <v>0</v>
      </c>
      <c r="J111" s="2562"/>
      <c r="K111" s="2562"/>
    </row>
    <row r="112" spans="1:11" ht="18" customHeight="1" outlineLevel="1">
      <c r="A112" s="2541" t="s">
        <v>2914</v>
      </c>
      <c r="B112" s="2544" t="s">
        <v>2906</v>
      </c>
      <c r="C112" s="2546" t="s">
        <v>2999</v>
      </c>
      <c r="D112" s="727" t="s">
        <v>8</v>
      </c>
      <c r="E112" s="726">
        <f t="shared" si="9"/>
        <v>9000</v>
      </c>
      <c r="F112" s="726">
        <f>SUM(F113:F117)</f>
        <v>9000</v>
      </c>
      <c r="G112" s="726">
        <f>SUM(G113:G117)</f>
        <v>0</v>
      </c>
      <c r="H112" s="726">
        <f>SUM(H113:H117)</f>
        <v>0</v>
      </c>
      <c r="I112" s="726">
        <f>SUM(I113:I117)</f>
        <v>0</v>
      </c>
      <c r="J112" s="2548" t="s">
        <v>3191</v>
      </c>
      <c r="K112" s="2548" t="s">
        <v>2852</v>
      </c>
    </row>
    <row r="113" spans="1:11" ht="22.5" customHeight="1" outlineLevel="1">
      <c r="A113" s="2542"/>
      <c r="B113" s="2545"/>
      <c r="C113" s="2547"/>
      <c r="D113" s="727">
        <v>2021</v>
      </c>
      <c r="E113" s="726">
        <f t="shared" si="9"/>
        <v>0</v>
      </c>
      <c r="F113" s="725">
        <v>0</v>
      </c>
      <c r="G113" s="725">
        <v>0</v>
      </c>
      <c r="H113" s="725">
        <v>0</v>
      </c>
      <c r="I113" s="725">
        <v>0</v>
      </c>
      <c r="J113" s="2549"/>
      <c r="K113" s="2549"/>
    </row>
    <row r="114" spans="1:11" ht="26.25" customHeight="1" outlineLevel="1">
      <c r="A114" s="2542"/>
      <c r="B114" s="2545"/>
      <c r="C114" s="2547"/>
      <c r="D114" s="727">
        <v>2022</v>
      </c>
      <c r="E114" s="726">
        <f t="shared" si="9"/>
        <v>9000</v>
      </c>
      <c r="F114" s="725">
        <v>9000</v>
      </c>
      <c r="G114" s="725">
        <v>0</v>
      </c>
      <c r="H114" s="725">
        <v>0</v>
      </c>
      <c r="I114" s="725">
        <v>0</v>
      </c>
      <c r="J114" s="2549"/>
      <c r="K114" s="2549"/>
    </row>
    <row r="115" spans="1:11" ht="32.25" customHeight="1" outlineLevel="1">
      <c r="A115" s="2542"/>
      <c r="B115" s="2545"/>
      <c r="C115" s="2547"/>
      <c r="D115" s="727">
        <v>2023</v>
      </c>
      <c r="E115" s="726">
        <f t="shared" si="9"/>
        <v>0</v>
      </c>
      <c r="F115" s="725">
        <v>0</v>
      </c>
      <c r="G115" s="725">
        <v>0</v>
      </c>
      <c r="H115" s="725">
        <v>0</v>
      </c>
      <c r="I115" s="725">
        <v>0</v>
      </c>
      <c r="J115" s="2549"/>
      <c r="K115" s="2549"/>
    </row>
    <row r="116" spans="1:11" ht="22.5" customHeight="1" outlineLevel="1">
      <c r="A116" s="2542"/>
      <c r="B116" s="2545"/>
      <c r="C116" s="2547"/>
      <c r="D116" s="727">
        <v>2024</v>
      </c>
      <c r="E116" s="726">
        <f t="shared" si="9"/>
        <v>0</v>
      </c>
      <c r="F116" s="725">
        <v>0</v>
      </c>
      <c r="G116" s="725">
        <v>0</v>
      </c>
      <c r="H116" s="725">
        <v>0</v>
      </c>
      <c r="I116" s="725">
        <v>0</v>
      </c>
      <c r="J116" s="2549"/>
      <c r="K116" s="2549"/>
    </row>
    <row r="117" spans="1:11" ht="21" customHeight="1" outlineLevel="1">
      <c r="A117" s="2543"/>
      <c r="B117" s="2518"/>
      <c r="C117" s="2520"/>
      <c r="D117" s="727">
        <v>2025</v>
      </c>
      <c r="E117" s="726">
        <f t="shared" si="9"/>
        <v>0</v>
      </c>
      <c r="F117" s="725">
        <v>0</v>
      </c>
      <c r="G117" s="725">
        <v>0</v>
      </c>
      <c r="H117" s="725">
        <v>0</v>
      </c>
      <c r="I117" s="725">
        <v>0</v>
      </c>
      <c r="J117" s="2522"/>
      <c r="K117" s="2522"/>
    </row>
    <row r="118" spans="1:11" ht="15.75" customHeight="1" outlineLevel="1">
      <c r="A118" s="2541" t="s">
        <v>2915</v>
      </c>
      <c r="B118" s="2544" t="s">
        <v>2907</v>
      </c>
      <c r="C118" s="2546">
        <v>2022</v>
      </c>
      <c r="D118" s="727" t="s">
        <v>8</v>
      </c>
      <c r="E118" s="726">
        <f t="shared" si="9"/>
        <v>33359.250659999998</v>
      </c>
      <c r="F118" s="726">
        <f>SUM(F119:F123)</f>
        <v>33359.250659999998</v>
      </c>
      <c r="G118" s="726">
        <f>SUM(G119:G123)</f>
        <v>0</v>
      </c>
      <c r="H118" s="726">
        <f>SUM(H119:H123)</f>
        <v>0</v>
      </c>
      <c r="I118" s="726">
        <f>SUM(I119:I123)</f>
        <v>0</v>
      </c>
      <c r="J118" s="2548" t="s">
        <v>3191</v>
      </c>
      <c r="K118" s="2548" t="s">
        <v>2852</v>
      </c>
    </row>
    <row r="119" spans="1:11" ht="15.75" customHeight="1" outlineLevel="1">
      <c r="A119" s="2542"/>
      <c r="B119" s="2545"/>
      <c r="C119" s="2547"/>
      <c r="D119" s="727">
        <v>2021</v>
      </c>
      <c r="E119" s="726">
        <f t="shared" si="9"/>
        <v>0</v>
      </c>
      <c r="F119" s="725">
        <v>0</v>
      </c>
      <c r="G119" s="725">
        <v>0</v>
      </c>
      <c r="H119" s="725">
        <v>0</v>
      </c>
      <c r="I119" s="726">
        <v>0</v>
      </c>
      <c r="J119" s="2549"/>
      <c r="K119" s="2549"/>
    </row>
    <row r="120" spans="1:11" ht="15.75" customHeight="1" outlineLevel="1">
      <c r="A120" s="2542"/>
      <c r="B120" s="2545"/>
      <c r="C120" s="2547"/>
      <c r="D120" s="727">
        <v>2022</v>
      </c>
      <c r="E120" s="726">
        <f t="shared" si="9"/>
        <v>33359.250659999998</v>
      </c>
      <c r="F120" s="725">
        <f>33194.388+164.86266</f>
        <v>33359.250659999998</v>
      </c>
      <c r="G120" s="725">
        <v>0</v>
      </c>
      <c r="H120" s="725">
        <v>0</v>
      </c>
      <c r="I120" s="726">
        <v>0</v>
      </c>
      <c r="J120" s="2549"/>
      <c r="K120" s="2549"/>
    </row>
    <row r="121" spans="1:11" ht="15.75" customHeight="1" outlineLevel="1">
      <c r="A121" s="2542"/>
      <c r="B121" s="2545"/>
      <c r="C121" s="2547"/>
      <c r="D121" s="727">
        <v>2023</v>
      </c>
      <c r="E121" s="726">
        <f t="shared" si="9"/>
        <v>0</v>
      </c>
      <c r="F121" s="726">
        <f t="shared" ref="F121:H123" si="10">SUM(G121:J121)</f>
        <v>0</v>
      </c>
      <c r="G121" s="726">
        <f t="shared" si="10"/>
        <v>0</v>
      </c>
      <c r="H121" s="726">
        <f t="shared" si="10"/>
        <v>0</v>
      </c>
      <c r="I121" s="726">
        <v>0</v>
      </c>
      <c r="J121" s="2549"/>
      <c r="K121" s="2549"/>
    </row>
    <row r="122" spans="1:11" ht="15.75" customHeight="1" outlineLevel="1">
      <c r="A122" s="2542"/>
      <c r="B122" s="2545"/>
      <c r="C122" s="2547"/>
      <c r="D122" s="727">
        <v>2024</v>
      </c>
      <c r="E122" s="726">
        <f t="shared" si="9"/>
        <v>0</v>
      </c>
      <c r="F122" s="726">
        <f t="shared" si="10"/>
        <v>0</v>
      </c>
      <c r="G122" s="726">
        <f t="shared" si="10"/>
        <v>0</v>
      </c>
      <c r="H122" s="726">
        <f t="shared" si="10"/>
        <v>0</v>
      </c>
      <c r="I122" s="726">
        <v>0</v>
      </c>
      <c r="J122" s="2549"/>
      <c r="K122" s="2549"/>
    </row>
    <row r="123" spans="1:11" ht="15.75" customHeight="1" outlineLevel="1">
      <c r="A123" s="2543"/>
      <c r="B123" s="2518"/>
      <c r="C123" s="2520"/>
      <c r="D123" s="727">
        <v>2025</v>
      </c>
      <c r="E123" s="726">
        <f t="shared" si="9"/>
        <v>0</v>
      </c>
      <c r="F123" s="726">
        <f t="shared" si="10"/>
        <v>0</v>
      </c>
      <c r="G123" s="726">
        <f t="shared" si="10"/>
        <v>0</v>
      </c>
      <c r="H123" s="726">
        <f t="shared" si="10"/>
        <v>0</v>
      </c>
      <c r="I123" s="726">
        <v>0</v>
      </c>
      <c r="J123" s="2522"/>
      <c r="K123" s="2522"/>
    </row>
    <row r="124" spans="1:11" ht="15.75" customHeight="1" outlineLevel="1">
      <c r="A124" s="2526" t="s">
        <v>3195</v>
      </c>
      <c r="B124" s="2570" t="s">
        <v>3194</v>
      </c>
      <c r="C124" s="2527" t="s">
        <v>3188</v>
      </c>
      <c r="D124" s="762" t="s">
        <v>8</v>
      </c>
      <c r="E124" s="763">
        <f t="shared" si="9"/>
        <v>32210.526320000001</v>
      </c>
      <c r="F124" s="763">
        <f>SUM(F125:F129)</f>
        <v>27000</v>
      </c>
      <c r="G124" s="763">
        <f>SUM(G125:G129)</f>
        <v>0</v>
      </c>
      <c r="H124" s="763">
        <f>SUM(H125:H129)</f>
        <v>5210.5263199999999</v>
      </c>
      <c r="I124" s="763">
        <f>SUM(I125:I129)</f>
        <v>0</v>
      </c>
      <c r="J124" s="2574" t="s">
        <v>3366</v>
      </c>
      <c r="K124" s="2566" t="s">
        <v>2852</v>
      </c>
    </row>
    <row r="125" spans="1:11" ht="15.75" customHeight="1" outlineLevel="1">
      <c r="A125" s="2526"/>
      <c r="B125" s="2571"/>
      <c r="C125" s="2527"/>
      <c r="D125" s="762">
        <v>2021</v>
      </c>
      <c r="E125" s="763">
        <f t="shared" si="9"/>
        <v>0</v>
      </c>
      <c r="F125" s="764">
        <v>0</v>
      </c>
      <c r="G125" s="764">
        <v>0</v>
      </c>
      <c r="H125" s="764">
        <v>0</v>
      </c>
      <c r="I125" s="763">
        <v>0</v>
      </c>
      <c r="J125" s="2561"/>
      <c r="K125" s="2561"/>
    </row>
    <row r="126" spans="1:11" ht="15.75" customHeight="1" outlineLevel="1">
      <c r="A126" s="2526"/>
      <c r="B126" s="2571"/>
      <c r="C126" s="2527"/>
      <c r="D126" s="762">
        <v>2022</v>
      </c>
      <c r="E126" s="763">
        <f t="shared" si="9"/>
        <v>0</v>
      </c>
      <c r="F126" s="764">
        <v>0</v>
      </c>
      <c r="G126" s="764">
        <v>0</v>
      </c>
      <c r="H126" s="764">
        <v>0</v>
      </c>
      <c r="I126" s="763">
        <v>0</v>
      </c>
      <c r="J126" s="2561"/>
      <c r="K126" s="2561"/>
    </row>
    <row r="127" spans="1:11" ht="15.75" customHeight="1" outlineLevel="1">
      <c r="A127" s="2526"/>
      <c r="B127" s="2571"/>
      <c r="C127" s="2527"/>
      <c r="D127" s="879">
        <v>2023</v>
      </c>
      <c r="E127" s="763">
        <f t="shared" si="9"/>
        <v>14210.526320000001</v>
      </c>
      <c r="F127" s="764">
        <v>9000</v>
      </c>
      <c r="G127" s="764">
        <v>0</v>
      </c>
      <c r="H127" s="880">
        <v>5210.5263199999999</v>
      </c>
      <c r="I127" s="764">
        <v>0</v>
      </c>
      <c r="J127" s="2561"/>
      <c r="K127" s="2561"/>
    </row>
    <row r="128" spans="1:11" ht="15.75" customHeight="1" outlineLevel="1">
      <c r="A128" s="2526"/>
      <c r="B128" s="2571"/>
      <c r="C128" s="2527"/>
      <c r="D128" s="762">
        <v>2024</v>
      </c>
      <c r="E128" s="763">
        <f t="shared" si="9"/>
        <v>9000</v>
      </c>
      <c r="F128" s="764">
        <v>9000</v>
      </c>
      <c r="G128" s="764">
        <v>0</v>
      </c>
      <c r="H128" s="764">
        <v>0</v>
      </c>
      <c r="I128" s="764">
        <v>0</v>
      </c>
      <c r="J128" s="2561"/>
      <c r="K128" s="2561"/>
    </row>
    <row r="129" spans="1:11" ht="15.75" customHeight="1" outlineLevel="1">
      <c r="A129" s="2526"/>
      <c r="B129" s="2572"/>
      <c r="C129" s="2527"/>
      <c r="D129" s="762">
        <v>2025</v>
      </c>
      <c r="E129" s="763">
        <f t="shared" si="9"/>
        <v>9000</v>
      </c>
      <c r="F129" s="764">
        <v>9000</v>
      </c>
      <c r="G129" s="764">
        <v>0</v>
      </c>
      <c r="H129" s="764">
        <v>0</v>
      </c>
      <c r="I129" s="764">
        <v>0</v>
      </c>
      <c r="J129" s="2562"/>
      <c r="K129" s="2562"/>
    </row>
    <row r="130" spans="1:11" ht="15.75" customHeight="1" outlineLevel="1">
      <c r="A130" s="2568" t="s">
        <v>3193</v>
      </c>
      <c r="B130" s="2570" t="s">
        <v>3192</v>
      </c>
      <c r="C130" s="2527" t="s">
        <v>3188</v>
      </c>
      <c r="D130" s="762" t="s">
        <v>8</v>
      </c>
      <c r="E130" s="763">
        <f t="shared" si="9"/>
        <v>112275.26502000001</v>
      </c>
      <c r="F130" s="763">
        <f>SUM(F131:F135)</f>
        <v>105000</v>
      </c>
      <c r="G130" s="763">
        <f>SUM(G131:G135)</f>
        <v>0</v>
      </c>
      <c r="H130" s="763">
        <f>SUM(H131:H135)</f>
        <v>7275.2650199999998</v>
      </c>
      <c r="I130" s="763">
        <f>SUM(I131:I135)</f>
        <v>0</v>
      </c>
      <c r="J130" s="2566" t="s">
        <v>3191</v>
      </c>
      <c r="K130" s="2566" t="s">
        <v>2852</v>
      </c>
    </row>
    <row r="131" spans="1:11" ht="15.75" customHeight="1" outlineLevel="1">
      <c r="A131" s="2568"/>
      <c r="B131" s="2571"/>
      <c r="C131" s="2527"/>
      <c r="D131" s="762">
        <v>2021</v>
      </c>
      <c r="E131" s="763">
        <f t="shared" si="9"/>
        <v>0</v>
      </c>
      <c r="F131" s="763">
        <v>0</v>
      </c>
      <c r="G131" s="763">
        <f>SUM(H131:K131)</f>
        <v>0</v>
      </c>
      <c r="H131" s="763">
        <f>SUM(I131:L131)</f>
        <v>0</v>
      </c>
      <c r="I131" s="763">
        <v>0</v>
      </c>
      <c r="J131" s="2561"/>
      <c r="K131" s="2561"/>
    </row>
    <row r="132" spans="1:11" ht="15.75" customHeight="1" outlineLevel="1">
      <c r="A132" s="2568"/>
      <c r="B132" s="2571"/>
      <c r="C132" s="2527"/>
      <c r="D132" s="762">
        <v>2022</v>
      </c>
      <c r="E132" s="763">
        <f t="shared" si="9"/>
        <v>0</v>
      </c>
      <c r="F132" s="763">
        <v>0</v>
      </c>
      <c r="G132" s="763">
        <f>SUM(H132:K132)</f>
        <v>0</v>
      </c>
      <c r="H132" s="763">
        <f>SUM(I132:L132)</f>
        <v>0</v>
      </c>
      <c r="I132" s="763">
        <v>0</v>
      </c>
      <c r="J132" s="2561"/>
      <c r="K132" s="2561"/>
    </row>
    <row r="133" spans="1:11" ht="15.75" customHeight="1" outlineLevel="1">
      <c r="A133" s="2568"/>
      <c r="B133" s="2571"/>
      <c r="C133" s="2527"/>
      <c r="D133" s="879">
        <v>2023</v>
      </c>
      <c r="E133" s="763">
        <f t="shared" si="9"/>
        <v>42275.265019999999</v>
      </c>
      <c r="F133" s="763">
        <v>35000</v>
      </c>
      <c r="G133" s="763">
        <v>0</v>
      </c>
      <c r="H133" s="881">
        <v>7275.2650199999998</v>
      </c>
      <c r="I133" s="763">
        <v>0</v>
      </c>
      <c r="J133" s="2561"/>
      <c r="K133" s="2561"/>
    </row>
    <row r="134" spans="1:11" ht="15.75" customHeight="1" outlineLevel="1">
      <c r="A134" s="2568"/>
      <c r="B134" s="2571"/>
      <c r="C134" s="2527"/>
      <c r="D134" s="762">
        <v>2024</v>
      </c>
      <c r="E134" s="763">
        <f t="shared" si="9"/>
        <v>35000</v>
      </c>
      <c r="F134" s="763">
        <v>35000</v>
      </c>
      <c r="G134" s="763">
        <f>SUM(H134:K134)</f>
        <v>0</v>
      </c>
      <c r="H134" s="763">
        <f>SUM(I134:L134)</f>
        <v>0</v>
      </c>
      <c r="I134" s="763">
        <v>0</v>
      </c>
      <c r="J134" s="2561"/>
      <c r="K134" s="2561"/>
    </row>
    <row r="135" spans="1:11" ht="15.75" customHeight="1" outlineLevel="1">
      <c r="A135" s="2569"/>
      <c r="B135" s="2572"/>
      <c r="C135" s="2527"/>
      <c r="D135" s="762">
        <v>2025</v>
      </c>
      <c r="E135" s="763">
        <f t="shared" si="9"/>
        <v>35000</v>
      </c>
      <c r="F135" s="763">
        <v>35000</v>
      </c>
      <c r="G135" s="763">
        <f>SUM(H135:K135)</f>
        <v>0</v>
      </c>
      <c r="H135" s="763">
        <f>SUM(I135:L135)</f>
        <v>0</v>
      </c>
      <c r="I135" s="763">
        <v>0</v>
      </c>
      <c r="J135" s="2562"/>
      <c r="K135" s="2562"/>
    </row>
    <row r="136" spans="1:11" ht="15.75" customHeight="1" outlineLevel="1">
      <c r="A136" s="2567" t="s">
        <v>3190</v>
      </c>
      <c r="B136" s="2570" t="s">
        <v>3189</v>
      </c>
      <c r="C136" s="2557" t="s">
        <v>3188</v>
      </c>
      <c r="D136" s="762" t="s">
        <v>8</v>
      </c>
      <c r="E136" s="763">
        <f t="shared" si="9"/>
        <v>42000</v>
      </c>
      <c r="F136" s="763">
        <f>SUM(F137:F141)</f>
        <v>42000</v>
      </c>
      <c r="G136" s="763">
        <f>SUM(G137:G141)</f>
        <v>0</v>
      </c>
      <c r="H136" s="763">
        <f>SUM(H137:H141)</f>
        <v>0</v>
      </c>
      <c r="I136" s="763">
        <f>SUM(I137:I141)</f>
        <v>0</v>
      </c>
      <c r="J136" s="2566" t="s">
        <v>3187</v>
      </c>
      <c r="K136" s="2566" t="s">
        <v>2799</v>
      </c>
    </row>
    <row r="137" spans="1:11" ht="15.75" customHeight="1" outlineLevel="1">
      <c r="A137" s="2568"/>
      <c r="B137" s="2571"/>
      <c r="C137" s="2558"/>
      <c r="D137" s="762">
        <v>2021</v>
      </c>
      <c r="E137" s="763">
        <f t="shared" si="9"/>
        <v>0</v>
      </c>
      <c r="F137" s="764">
        <v>0</v>
      </c>
      <c r="G137" s="764">
        <v>0</v>
      </c>
      <c r="H137" s="764">
        <v>0</v>
      </c>
      <c r="I137" s="764">
        <v>0</v>
      </c>
      <c r="J137" s="2561"/>
      <c r="K137" s="2561"/>
    </row>
    <row r="138" spans="1:11" ht="15.75" customHeight="1" outlineLevel="1">
      <c r="A138" s="2568"/>
      <c r="B138" s="2571"/>
      <c r="C138" s="2558"/>
      <c r="D138" s="762">
        <v>2022</v>
      </c>
      <c r="E138" s="763">
        <f t="shared" ref="E138:E169" si="11">SUM(F138:I138)</f>
        <v>0</v>
      </c>
      <c r="F138" s="764">
        <v>0</v>
      </c>
      <c r="G138" s="764">
        <v>0</v>
      </c>
      <c r="H138" s="764">
        <v>0</v>
      </c>
      <c r="I138" s="764">
        <v>0</v>
      </c>
      <c r="J138" s="2561"/>
      <c r="K138" s="2561"/>
    </row>
    <row r="139" spans="1:11" ht="15.75" customHeight="1" outlineLevel="1">
      <c r="A139" s="2568"/>
      <c r="B139" s="2571"/>
      <c r="C139" s="2558"/>
      <c r="D139" s="879">
        <v>2023</v>
      </c>
      <c r="E139" s="763">
        <f t="shared" si="11"/>
        <v>14000</v>
      </c>
      <c r="F139" s="763">
        <v>14000</v>
      </c>
      <c r="G139" s="764">
        <v>0</v>
      </c>
      <c r="H139" s="764">
        <v>0</v>
      </c>
      <c r="I139" s="764">
        <v>0</v>
      </c>
      <c r="J139" s="2561"/>
      <c r="K139" s="2561"/>
    </row>
    <row r="140" spans="1:11" ht="15.75" customHeight="1" outlineLevel="1">
      <c r="A140" s="2568"/>
      <c r="B140" s="2571"/>
      <c r="C140" s="2558"/>
      <c r="D140" s="762">
        <v>2024</v>
      </c>
      <c r="E140" s="763">
        <f t="shared" si="11"/>
        <v>14000</v>
      </c>
      <c r="F140" s="763">
        <v>14000</v>
      </c>
      <c r="G140" s="764">
        <v>0</v>
      </c>
      <c r="H140" s="764">
        <v>0</v>
      </c>
      <c r="I140" s="764">
        <v>0</v>
      </c>
      <c r="J140" s="2561"/>
      <c r="K140" s="2561"/>
    </row>
    <row r="141" spans="1:11" ht="15.75" customHeight="1" outlineLevel="1">
      <c r="A141" s="2569"/>
      <c r="B141" s="2572"/>
      <c r="C141" s="2559"/>
      <c r="D141" s="762">
        <v>2025</v>
      </c>
      <c r="E141" s="763">
        <f t="shared" si="11"/>
        <v>14000</v>
      </c>
      <c r="F141" s="763">
        <v>14000</v>
      </c>
      <c r="G141" s="764">
        <v>0</v>
      </c>
      <c r="H141" s="764">
        <v>0</v>
      </c>
      <c r="I141" s="764">
        <v>0</v>
      </c>
      <c r="J141" s="2562"/>
      <c r="K141" s="2562"/>
    </row>
    <row r="142" spans="1:11" ht="15" customHeight="1" outlineLevel="1">
      <c r="A142" s="2551" t="s">
        <v>3186</v>
      </c>
      <c r="B142" s="2554" t="s">
        <v>631</v>
      </c>
      <c r="C142" s="2575" t="s">
        <v>2989</v>
      </c>
      <c r="D142" s="765" t="s">
        <v>8</v>
      </c>
      <c r="E142" s="766">
        <f t="shared" si="11"/>
        <v>60269.776239999992</v>
      </c>
      <c r="F142" s="766">
        <f>SUM(F143:F147)</f>
        <v>36105.800239999997</v>
      </c>
      <c r="G142" s="766">
        <f>SUM(G143:G147)</f>
        <v>24163.975999999995</v>
      </c>
      <c r="H142" s="766">
        <f>SUM(H143:H147)</f>
        <v>0</v>
      </c>
      <c r="I142" s="766">
        <f>SUM(I143:I147)</f>
        <v>0</v>
      </c>
      <c r="J142" s="2560" t="s">
        <v>3185</v>
      </c>
      <c r="K142" s="2560" t="s">
        <v>3175</v>
      </c>
    </row>
    <row r="143" spans="1:11" outlineLevel="1">
      <c r="A143" s="2552"/>
      <c r="B143" s="2555"/>
      <c r="C143" s="2576"/>
      <c r="D143" s="765">
        <v>2021</v>
      </c>
      <c r="E143" s="766">
        <f t="shared" si="11"/>
        <v>27116.562749999997</v>
      </c>
      <c r="F143" s="766">
        <f t="shared" ref="F143:I147" si="12">F155+F167+F149+F161</f>
        <v>6916.3637500000004</v>
      </c>
      <c r="G143" s="766">
        <f t="shared" si="12"/>
        <v>20200.198999999997</v>
      </c>
      <c r="H143" s="766">
        <f t="shared" si="12"/>
        <v>0</v>
      </c>
      <c r="I143" s="766">
        <f t="shared" si="12"/>
        <v>0</v>
      </c>
      <c r="J143" s="2563"/>
      <c r="K143" s="2563"/>
    </row>
    <row r="144" spans="1:11" outlineLevel="1">
      <c r="A144" s="2552"/>
      <c r="B144" s="2555"/>
      <c r="C144" s="2576"/>
      <c r="D144" s="765">
        <v>2022</v>
      </c>
      <c r="E144" s="766">
        <f t="shared" si="11"/>
        <v>9977.7219999999998</v>
      </c>
      <c r="F144" s="766">
        <f t="shared" si="12"/>
        <v>7610.2449999999999</v>
      </c>
      <c r="G144" s="766">
        <f t="shared" si="12"/>
        <v>2367.4769999999999</v>
      </c>
      <c r="H144" s="766">
        <f t="shared" si="12"/>
        <v>0</v>
      </c>
      <c r="I144" s="766">
        <f t="shared" si="12"/>
        <v>0</v>
      </c>
      <c r="J144" s="2563"/>
      <c r="K144" s="2563"/>
    </row>
    <row r="145" spans="1:12" outlineLevel="1">
      <c r="A145" s="2552"/>
      <c r="B145" s="2555"/>
      <c r="C145" s="2576"/>
      <c r="D145" s="811">
        <v>2023</v>
      </c>
      <c r="E145" s="812">
        <f t="shared" si="11"/>
        <v>8857.2914899999996</v>
      </c>
      <c r="F145" s="812">
        <f t="shared" si="12"/>
        <v>7260.9914900000003</v>
      </c>
      <c r="G145" s="812">
        <f t="shared" si="12"/>
        <v>1596.3</v>
      </c>
      <c r="H145" s="812">
        <f t="shared" si="12"/>
        <v>0</v>
      </c>
      <c r="I145" s="812">
        <f t="shared" si="12"/>
        <v>0</v>
      </c>
      <c r="J145" s="2563"/>
      <c r="K145" s="2563"/>
    </row>
    <row r="146" spans="1:12" outlineLevel="1">
      <c r="A146" s="2552"/>
      <c r="B146" s="2555"/>
      <c r="C146" s="2576"/>
      <c r="D146" s="765">
        <v>2024</v>
      </c>
      <c r="E146" s="766">
        <f t="shared" si="11"/>
        <v>7159.1</v>
      </c>
      <c r="F146" s="766">
        <f t="shared" si="12"/>
        <v>7159.1</v>
      </c>
      <c r="G146" s="766">
        <f t="shared" si="12"/>
        <v>0</v>
      </c>
      <c r="H146" s="766">
        <f t="shared" si="12"/>
        <v>0</v>
      </c>
      <c r="I146" s="766">
        <f t="shared" si="12"/>
        <v>0</v>
      </c>
      <c r="J146" s="2563"/>
      <c r="K146" s="2563"/>
    </row>
    <row r="147" spans="1:12" outlineLevel="1">
      <c r="A147" s="2553"/>
      <c r="B147" s="2556"/>
      <c r="C147" s="2577"/>
      <c r="D147" s="765">
        <v>2025</v>
      </c>
      <c r="E147" s="766">
        <f t="shared" si="11"/>
        <v>7159.1</v>
      </c>
      <c r="F147" s="766">
        <f t="shared" si="12"/>
        <v>7159.1</v>
      </c>
      <c r="G147" s="766">
        <f t="shared" si="12"/>
        <v>0</v>
      </c>
      <c r="H147" s="766">
        <f t="shared" si="12"/>
        <v>0</v>
      </c>
      <c r="I147" s="766">
        <f t="shared" si="12"/>
        <v>0</v>
      </c>
      <c r="J147" s="2564"/>
      <c r="K147" s="2564"/>
    </row>
    <row r="148" spans="1:12" outlineLevel="1">
      <c r="A148" s="2526" t="s">
        <v>3184</v>
      </c>
      <c r="B148" s="2565" t="s">
        <v>655</v>
      </c>
      <c r="C148" s="2527" t="s">
        <v>3115</v>
      </c>
      <c r="D148" s="762" t="s">
        <v>8</v>
      </c>
      <c r="E148" s="763">
        <f t="shared" si="11"/>
        <v>5556.8792399999993</v>
      </c>
      <c r="F148" s="763">
        <f>SUM(F149:F153)</f>
        <v>333.41224</v>
      </c>
      <c r="G148" s="763">
        <f>SUM(G149:G153)</f>
        <v>5223.4669999999996</v>
      </c>
      <c r="H148" s="763">
        <f>SUM(H149:H153)</f>
        <v>0</v>
      </c>
      <c r="I148" s="763">
        <f>SUM(I149:I153)</f>
        <v>0</v>
      </c>
      <c r="J148" s="2528" t="s">
        <v>3183</v>
      </c>
      <c r="K148" s="2528" t="s">
        <v>3182</v>
      </c>
    </row>
    <row r="149" spans="1:12" outlineLevel="1">
      <c r="A149" s="2526"/>
      <c r="B149" s="2565"/>
      <c r="C149" s="2527"/>
      <c r="D149" s="762">
        <v>2021</v>
      </c>
      <c r="E149" s="763">
        <f t="shared" si="11"/>
        <v>1340.09575</v>
      </c>
      <c r="F149" s="764">
        <v>80.405749999999998</v>
      </c>
      <c r="G149" s="764">
        <v>1259.69</v>
      </c>
      <c r="H149" s="764">
        <v>0</v>
      </c>
      <c r="I149" s="764">
        <v>0</v>
      </c>
      <c r="J149" s="2528"/>
      <c r="K149" s="2528"/>
    </row>
    <row r="150" spans="1:12" outlineLevel="1">
      <c r="A150" s="2526"/>
      <c r="B150" s="2565"/>
      <c r="C150" s="2527"/>
      <c r="D150" s="762">
        <v>2022</v>
      </c>
      <c r="E150" s="763">
        <f t="shared" si="11"/>
        <v>2518.5919999999996</v>
      </c>
      <c r="F150" s="764">
        <v>151.11500000000001</v>
      </c>
      <c r="G150" s="764">
        <v>2367.4769999999999</v>
      </c>
      <c r="H150" s="764">
        <v>0</v>
      </c>
      <c r="I150" s="764">
        <v>0</v>
      </c>
      <c r="J150" s="2528"/>
      <c r="K150" s="2528"/>
    </row>
    <row r="151" spans="1:12" outlineLevel="1">
      <c r="A151" s="2526"/>
      <c r="B151" s="2565"/>
      <c r="C151" s="2527"/>
      <c r="D151" s="889">
        <v>2023</v>
      </c>
      <c r="E151" s="763">
        <f t="shared" si="11"/>
        <v>1698.1914899999999</v>
      </c>
      <c r="F151" s="764">
        <v>101.89149</v>
      </c>
      <c r="G151" s="764">
        <v>1596.3</v>
      </c>
      <c r="H151" s="764">
        <v>0</v>
      </c>
      <c r="I151" s="764">
        <v>0</v>
      </c>
      <c r="J151" s="2528"/>
      <c r="K151" s="2528"/>
    </row>
    <row r="152" spans="1:12" outlineLevel="1">
      <c r="A152" s="2526"/>
      <c r="B152" s="2565"/>
      <c r="C152" s="2527"/>
      <c r="D152" s="762">
        <v>2024</v>
      </c>
      <c r="E152" s="763">
        <f t="shared" si="11"/>
        <v>0</v>
      </c>
      <c r="F152" s="764">
        <v>0</v>
      </c>
      <c r="G152" s="764">
        <v>0</v>
      </c>
      <c r="H152" s="764">
        <v>0</v>
      </c>
      <c r="I152" s="764">
        <v>0</v>
      </c>
      <c r="J152" s="2528"/>
      <c r="K152" s="2528"/>
    </row>
    <row r="153" spans="1:12" outlineLevel="1">
      <c r="A153" s="2526"/>
      <c r="B153" s="2565"/>
      <c r="C153" s="2527"/>
      <c r="D153" s="762">
        <v>2025</v>
      </c>
      <c r="E153" s="763">
        <f t="shared" si="11"/>
        <v>0</v>
      </c>
      <c r="F153" s="764">
        <v>0</v>
      </c>
      <c r="G153" s="764">
        <v>0</v>
      </c>
      <c r="H153" s="764">
        <v>0</v>
      </c>
      <c r="I153" s="764">
        <v>0</v>
      </c>
      <c r="J153" s="2528"/>
      <c r="K153" s="2528"/>
    </row>
    <row r="154" spans="1:12" ht="15" customHeight="1" outlineLevel="1">
      <c r="A154" s="2526" t="s">
        <v>3181</v>
      </c>
      <c r="B154" s="2565" t="s">
        <v>3180</v>
      </c>
      <c r="C154" s="2527" t="s">
        <v>2989</v>
      </c>
      <c r="D154" s="762" t="s">
        <v>8</v>
      </c>
      <c r="E154" s="763">
        <f t="shared" si="11"/>
        <v>14567.95</v>
      </c>
      <c r="F154" s="763">
        <f>SUM(F155:F159)</f>
        <v>14567.95</v>
      </c>
      <c r="G154" s="763">
        <f>SUM(G155:G159)</f>
        <v>0</v>
      </c>
      <c r="H154" s="763">
        <f>SUM(H155:H159)</f>
        <v>0</v>
      </c>
      <c r="I154" s="763">
        <f>SUM(I155:I159)</f>
        <v>0</v>
      </c>
      <c r="J154" s="2528" t="s">
        <v>25</v>
      </c>
      <c r="K154" s="2528" t="s">
        <v>2799</v>
      </c>
      <c r="L154" s="2524"/>
    </row>
    <row r="155" spans="1:12" outlineLevel="1">
      <c r="A155" s="2526"/>
      <c r="B155" s="2565"/>
      <c r="C155" s="2527"/>
      <c r="D155" s="762">
        <v>2021</v>
      </c>
      <c r="E155" s="763">
        <f t="shared" si="11"/>
        <v>1631.52</v>
      </c>
      <c r="F155" s="764">
        <v>1631.52</v>
      </c>
      <c r="G155" s="764">
        <v>0</v>
      </c>
      <c r="H155" s="764">
        <v>0</v>
      </c>
      <c r="I155" s="764">
        <v>0</v>
      </c>
      <c r="J155" s="2528"/>
      <c r="K155" s="2528"/>
      <c r="L155" s="2524"/>
    </row>
    <row r="156" spans="1:12" outlineLevel="1">
      <c r="A156" s="2526"/>
      <c r="B156" s="2565"/>
      <c r="C156" s="2527"/>
      <c r="D156" s="762">
        <v>2022</v>
      </c>
      <c r="E156" s="763">
        <f t="shared" si="11"/>
        <v>3459.13</v>
      </c>
      <c r="F156" s="764">
        <v>3459.13</v>
      </c>
      <c r="G156" s="764">
        <v>0</v>
      </c>
      <c r="H156" s="764">
        <v>0</v>
      </c>
      <c r="I156" s="764">
        <v>0</v>
      </c>
      <c r="J156" s="2528"/>
      <c r="K156" s="2528"/>
      <c r="L156" s="2524"/>
    </row>
    <row r="157" spans="1:12" outlineLevel="1">
      <c r="A157" s="2526"/>
      <c r="B157" s="2565"/>
      <c r="C157" s="2527"/>
      <c r="D157" s="889">
        <v>2023</v>
      </c>
      <c r="E157" s="763">
        <f t="shared" si="11"/>
        <v>3159.1</v>
      </c>
      <c r="F157" s="764">
        <v>3159.1</v>
      </c>
      <c r="G157" s="764">
        <v>0</v>
      </c>
      <c r="H157" s="764">
        <v>0</v>
      </c>
      <c r="I157" s="764">
        <v>0</v>
      </c>
      <c r="J157" s="2528"/>
      <c r="K157" s="2528"/>
      <c r="L157" s="2524"/>
    </row>
    <row r="158" spans="1:12" outlineLevel="1">
      <c r="A158" s="2526"/>
      <c r="B158" s="2565"/>
      <c r="C158" s="2527"/>
      <c r="D158" s="762">
        <v>2024</v>
      </c>
      <c r="E158" s="763">
        <f t="shared" si="11"/>
        <v>3159.1</v>
      </c>
      <c r="F158" s="764">
        <v>3159.1</v>
      </c>
      <c r="G158" s="764">
        <v>0</v>
      </c>
      <c r="H158" s="764">
        <v>0</v>
      </c>
      <c r="I158" s="764">
        <v>0</v>
      </c>
      <c r="J158" s="2528"/>
      <c r="K158" s="2528"/>
      <c r="L158" s="2524"/>
    </row>
    <row r="159" spans="1:12" outlineLevel="1">
      <c r="A159" s="2526"/>
      <c r="B159" s="2565"/>
      <c r="C159" s="2527"/>
      <c r="D159" s="762">
        <v>2025</v>
      </c>
      <c r="E159" s="763">
        <f t="shared" si="11"/>
        <v>3159.1</v>
      </c>
      <c r="F159" s="764">
        <v>3159.1</v>
      </c>
      <c r="G159" s="764">
        <v>0</v>
      </c>
      <c r="H159" s="764">
        <v>0</v>
      </c>
      <c r="I159" s="764">
        <v>0</v>
      </c>
      <c r="J159" s="2528"/>
      <c r="K159" s="2528"/>
      <c r="L159" s="2524"/>
    </row>
    <row r="160" spans="1:12" ht="18" customHeight="1" outlineLevel="1">
      <c r="A160" s="2526" t="s">
        <v>3179</v>
      </c>
      <c r="B160" s="2565" t="s">
        <v>3178</v>
      </c>
      <c r="C160" s="2527" t="s">
        <v>2989</v>
      </c>
      <c r="D160" s="762" t="s">
        <v>8</v>
      </c>
      <c r="E160" s="763">
        <f t="shared" si="11"/>
        <v>19995.47</v>
      </c>
      <c r="F160" s="763">
        <f>SUM(F161:F165)</f>
        <v>19995.47</v>
      </c>
      <c r="G160" s="763">
        <f>SUM(G161:G165)</f>
        <v>0</v>
      </c>
      <c r="H160" s="763">
        <f>SUM(H161:H165)</f>
        <v>0</v>
      </c>
      <c r="I160" s="763">
        <f>SUM(I161:I165)</f>
        <v>0</v>
      </c>
      <c r="J160" s="2528" t="s">
        <v>2851</v>
      </c>
      <c r="K160" s="2528" t="s">
        <v>2852</v>
      </c>
    </row>
    <row r="161" spans="1:12" ht="18" customHeight="1" outlineLevel="1">
      <c r="A161" s="2526"/>
      <c r="B161" s="2565"/>
      <c r="C161" s="2527"/>
      <c r="D161" s="762">
        <v>2021</v>
      </c>
      <c r="E161" s="763">
        <f t="shared" si="11"/>
        <v>3995.47</v>
      </c>
      <c r="F161" s="764">
        <v>3995.47</v>
      </c>
      <c r="G161" s="764">
        <v>0</v>
      </c>
      <c r="H161" s="764">
        <v>0</v>
      </c>
      <c r="I161" s="764">
        <v>0</v>
      </c>
      <c r="J161" s="2528"/>
      <c r="K161" s="2528"/>
    </row>
    <row r="162" spans="1:12" ht="18" customHeight="1" outlineLevel="1">
      <c r="A162" s="2526"/>
      <c r="B162" s="2565"/>
      <c r="C162" s="2527"/>
      <c r="D162" s="762">
        <v>2022</v>
      </c>
      <c r="E162" s="763">
        <f t="shared" si="11"/>
        <v>4000</v>
      </c>
      <c r="F162" s="764">
        <v>4000</v>
      </c>
      <c r="G162" s="764">
        <v>0</v>
      </c>
      <c r="H162" s="764">
        <v>0</v>
      </c>
      <c r="I162" s="764">
        <v>0</v>
      </c>
      <c r="J162" s="2528"/>
      <c r="K162" s="2528"/>
    </row>
    <row r="163" spans="1:12" ht="18" customHeight="1" outlineLevel="1">
      <c r="A163" s="2526"/>
      <c r="B163" s="2565"/>
      <c r="C163" s="2527"/>
      <c r="D163" s="889">
        <v>2023</v>
      </c>
      <c r="E163" s="763">
        <f t="shared" si="11"/>
        <v>4000</v>
      </c>
      <c r="F163" s="764">
        <v>4000</v>
      </c>
      <c r="G163" s="764">
        <v>0</v>
      </c>
      <c r="H163" s="764">
        <v>0</v>
      </c>
      <c r="I163" s="764">
        <v>0</v>
      </c>
      <c r="J163" s="2528"/>
      <c r="K163" s="2528"/>
    </row>
    <row r="164" spans="1:12" ht="18" customHeight="1" outlineLevel="1">
      <c r="A164" s="2526"/>
      <c r="B164" s="2565"/>
      <c r="C164" s="2527"/>
      <c r="D164" s="762">
        <v>2024</v>
      </c>
      <c r="E164" s="763">
        <f t="shared" si="11"/>
        <v>4000</v>
      </c>
      <c r="F164" s="764">
        <v>4000</v>
      </c>
      <c r="G164" s="764">
        <v>0</v>
      </c>
      <c r="H164" s="764">
        <v>0</v>
      </c>
      <c r="I164" s="764">
        <v>0</v>
      </c>
      <c r="J164" s="2528"/>
      <c r="K164" s="2528"/>
    </row>
    <row r="165" spans="1:12" ht="18" customHeight="1" outlineLevel="1">
      <c r="A165" s="2526"/>
      <c r="B165" s="2565"/>
      <c r="C165" s="2527"/>
      <c r="D165" s="762">
        <v>2025</v>
      </c>
      <c r="E165" s="763">
        <f t="shared" si="11"/>
        <v>4000</v>
      </c>
      <c r="F165" s="764">
        <v>4000</v>
      </c>
      <c r="G165" s="764">
        <v>0</v>
      </c>
      <c r="H165" s="764">
        <v>0</v>
      </c>
      <c r="I165" s="764">
        <v>0</v>
      </c>
      <c r="J165" s="2528"/>
      <c r="K165" s="2528"/>
    </row>
    <row r="166" spans="1:12" ht="13.5" customHeight="1" outlineLevel="1">
      <c r="A166" s="2578" t="s">
        <v>3177</v>
      </c>
      <c r="B166" s="2519" t="s">
        <v>655</v>
      </c>
      <c r="C166" s="2521" t="s">
        <v>3115</v>
      </c>
      <c r="D166" s="727" t="s">
        <v>8</v>
      </c>
      <c r="E166" s="726">
        <f t="shared" si="11"/>
        <v>20149.476999999999</v>
      </c>
      <c r="F166" s="726">
        <f>SUM(F167:F171)</f>
        <v>1208.9680000000001</v>
      </c>
      <c r="G166" s="726">
        <f>SUM(G167:G171)</f>
        <v>18940.508999999998</v>
      </c>
      <c r="H166" s="726">
        <f>SUM(H167:H171)</f>
        <v>0</v>
      </c>
      <c r="I166" s="726">
        <f>SUM(I167:I171)</f>
        <v>0</v>
      </c>
      <c r="J166" s="2523" t="s">
        <v>3176</v>
      </c>
      <c r="K166" s="2523" t="s">
        <v>2852</v>
      </c>
    </row>
    <row r="167" spans="1:12" ht="13.5" customHeight="1" outlineLevel="1">
      <c r="A167" s="2578"/>
      <c r="B167" s="2519"/>
      <c r="C167" s="2521"/>
      <c r="D167" s="727">
        <v>2021</v>
      </c>
      <c r="E167" s="726">
        <f t="shared" si="11"/>
        <v>20149.476999999999</v>
      </c>
      <c r="F167" s="725">
        <v>1208.9680000000001</v>
      </c>
      <c r="G167" s="725">
        <v>18940.508999999998</v>
      </c>
      <c r="H167" s="725">
        <v>0</v>
      </c>
      <c r="I167" s="725">
        <v>0</v>
      </c>
      <c r="J167" s="2523"/>
      <c r="K167" s="2523"/>
    </row>
    <row r="168" spans="1:12" ht="13.5" customHeight="1" outlineLevel="1">
      <c r="A168" s="2578"/>
      <c r="B168" s="2519"/>
      <c r="C168" s="2521"/>
      <c r="D168" s="727">
        <v>2022</v>
      </c>
      <c r="E168" s="726">
        <f t="shared" si="11"/>
        <v>0</v>
      </c>
      <c r="F168" s="742">
        <v>0</v>
      </c>
      <c r="G168" s="725">
        <v>0</v>
      </c>
      <c r="H168" s="725">
        <v>0</v>
      </c>
      <c r="I168" s="725">
        <v>0</v>
      </c>
      <c r="J168" s="2523"/>
      <c r="K168" s="2523"/>
    </row>
    <row r="169" spans="1:12" ht="13.5" customHeight="1" outlineLevel="1">
      <c r="A169" s="2578"/>
      <c r="B169" s="2519"/>
      <c r="C169" s="2521"/>
      <c r="D169" s="727">
        <v>2023</v>
      </c>
      <c r="E169" s="726">
        <f t="shared" si="11"/>
        <v>0</v>
      </c>
      <c r="F169" s="725">
        <v>0</v>
      </c>
      <c r="G169" s="725">
        <v>0</v>
      </c>
      <c r="H169" s="725">
        <v>0</v>
      </c>
      <c r="I169" s="725">
        <v>0</v>
      </c>
      <c r="J169" s="2523"/>
      <c r="K169" s="2523"/>
    </row>
    <row r="170" spans="1:12" ht="13.5" customHeight="1" outlineLevel="1">
      <c r="A170" s="2578"/>
      <c r="B170" s="2519"/>
      <c r="C170" s="2521"/>
      <c r="D170" s="727">
        <v>2024</v>
      </c>
      <c r="E170" s="726">
        <f t="shared" ref="E170:E201" si="13">SUM(F170:I170)</f>
        <v>0</v>
      </c>
      <c r="F170" s="725">
        <v>0</v>
      </c>
      <c r="G170" s="725">
        <v>0</v>
      </c>
      <c r="H170" s="725">
        <v>0</v>
      </c>
      <c r="I170" s="725">
        <v>0</v>
      </c>
      <c r="J170" s="2523"/>
      <c r="K170" s="2523"/>
    </row>
    <row r="171" spans="1:12" ht="13.5" customHeight="1" outlineLevel="1">
      <c r="A171" s="2578"/>
      <c r="B171" s="2519"/>
      <c r="C171" s="2521"/>
      <c r="D171" s="727">
        <v>2025</v>
      </c>
      <c r="E171" s="726">
        <f t="shared" si="13"/>
        <v>0</v>
      </c>
      <c r="F171" s="725">
        <v>0</v>
      </c>
      <c r="G171" s="725">
        <v>0</v>
      </c>
      <c r="H171" s="725">
        <v>0</v>
      </c>
      <c r="I171" s="725">
        <v>0</v>
      </c>
      <c r="J171" s="2523"/>
      <c r="K171" s="2523"/>
    </row>
    <row r="172" spans="1:12" ht="15" customHeight="1">
      <c r="A172" s="2502" t="s">
        <v>485</v>
      </c>
      <c r="B172" s="2503" t="s">
        <v>2916</v>
      </c>
      <c r="C172" s="2504" t="s">
        <v>2989</v>
      </c>
      <c r="D172" s="765" t="s">
        <v>8</v>
      </c>
      <c r="E172" s="766">
        <f t="shared" si="13"/>
        <v>5212836.6264400007</v>
      </c>
      <c r="F172" s="766">
        <f>SUM(F173:F177)</f>
        <v>5055885.7562300004</v>
      </c>
      <c r="G172" s="766">
        <f>SUM(G173:G177)</f>
        <v>71416.7</v>
      </c>
      <c r="H172" s="766">
        <f>SUM(H173:H177)</f>
        <v>85534.170209999997</v>
      </c>
      <c r="I172" s="766">
        <f>SUM(I173:I177)</f>
        <v>0</v>
      </c>
      <c r="J172" s="2505"/>
      <c r="K172" s="2505" t="s">
        <v>3175</v>
      </c>
      <c r="L172" s="744" t="s">
        <v>3174</v>
      </c>
    </row>
    <row r="173" spans="1:12">
      <c r="A173" s="2502"/>
      <c r="B173" s="2503"/>
      <c r="C173" s="2504"/>
      <c r="D173" s="765">
        <v>2021</v>
      </c>
      <c r="E173" s="766">
        <f t="shared" si="13"/>
        <v>891879.98959000001</v>
      </c>
      <c r="F173" s="766">
        <f t="shared" ref="F173:I177" si="14">F179+F311+F329</f>
        <v>854371.18938</v>
      </c>
      <c r="G173" s="766">
        <f t="shared" si="14"/>
        <v>24191.1</v>
      </c>
      <c r="H173" s="766">
        <f t="shared" si="14"/>
        <v>13317.700210000001</v>
      </c>
      <c r="I173" s="766">
        <f t="shared" si="14"/>
        <v>0</v>
      </c>
      <c r="J173" s="2505"/>
      <c r="K173" s="2505"/>
      <c r="L173" s="744"/>
    </row>
    <row r="174" spans="1:12">
      <c r="A174" s="2502"/>
      <c r="B174" s="2503"/>
      <c r="C174" s="2504"/>
      <c r="D174" s="765">
        <v>2022</v>
      </c>
      <c r="E174" s="766">
        <f t="shared" si="13"/>
        <v>1227311.4540000001</v>
      </c>
      <c r="F174" s="766">
        <f t="shared" si="14"/>
        <v>1191344.9740000002</v>
      </c>
      <c r="G174" s="766">
        <f t="shared" si="14"/>
        <v>16189.3</v>
      </c>
      <c r="H174" s="766">
        <f t="shared" si="14"/>
        <v>19777.18</v>
      </c>
      <c r="I174" s="766">
        <f t="shared" si="14"/>
        <v>0</v>
      </c>
      <c r="J174" s="2505"/>
      <c r="K174" s="2505"/>
      <c r="L174" s="744"/>
    </row>
    <row r="175" spans="1:12">
      <c r="A175" s="2502"/>
      <c r="B175" s="2503"/>
      <c r="C175" s="2504"/>
      <c r="D175" s="811">
        <v>2023</v>
      </c>
      <c r="E175" s="812">
        <f t="shared" si="13"/>
        <v>1078115.61785</v>
      </c>
      <c r="F175" s="812">
        <f t="shared" si="14"/>
        <v>1047239.8878500001</v>
      </c>
      <c r="G175" s="812">
        <f t="shared" si="14"/>
        <v>11098.5</v>
      </c>
      <c r="H175" s="812">
        <f t="shared" si="14"/>
        <v>19777.23</v>
      </c>
      <c r="I175" s="812">
        <f t="shared" si="14"/>
        <v>0</v>
      </c>
      <c r="J175" s="2505"/>
      <c r="K175" s="2505"/>
      <c r="L175" s="744"/>
    </row>
    <row r="176" spans="1:12">
      <c r="A176" s="2502"/>
      <c r="B176" s="2503"/>
      <c r="C176" s="2504"/>
      <c r="D176" s="765">
        <v>2024</v>
      </c>
      <c r="E176" s="766">
        <f t="shared" si="13"/>
        <v>1018527.559</v>
      </c>
      <c r="F176" s="766">
        <f t="shared" si="14"/>
        <v>982258.72899999993</v>
      </c>
      <c r="G176" s="766">
        <f t="shared" si="14"/>
        <v>19937.8</v>
      </c>
      <c r="H176" s="766">
        <f t="shared" si="14"/>
        <v>16331.03</v>
      </c>
      <c r="I176" s="766">
        <f t="shared" si="14"/>
        <v>0</v>
      </c>
      <c r="J176" s="2505"/>
      <c r="K176" s="2505"/>
      <c r="L176" s="744"/>
    </row>
    <row r="177" spans="1:12">
      <c r="A177" s="2502"/>
      <c r="B177" s="2503"/>
      <c r="C177" s="2504"/>
      <c r="D177" s="765">
        <v>2025</v>
      </c>
      <c r="E177" s="766">
        <f t="shared" si="13"/>
        <v>997002.00600000005</v>
      </c>
      <c r="F177" s="766">
        <f t="shared" si="14"/>
        <v>980670.97600000002</v>
      </c>
      <c r="G177" s="766">
        <f t="shared" si="14"/>
        <v>0</v>
      </c>
      <c r="H177" s="766">
        <f t="shared" si="14"/>
        <v>16331.03</v>
      </c>
      <c r="I177" s="766">
        <f t="shared" si="14"/>
        <v>0</v>
      </c>
      <c r="J177" s="2505"/>
      <c r="K177" s="2505"/>
      <c r="L177" s="744"/>
    </row>
    <row r="178" spans="1:12" ht="13.5" customHeight="1" outlineLevel="1">
      <c r="A178" s="2502" t="s">
        <v>3173</v>
      </c>
      <c r="B178" s="2503" t="s">
        <v>3172</v>
      </c>
      <c r="C178" s="2504" t="s">
        <v>2989</v>
      </c>
      <c r="D178" s="765" t="s">
        <v>8</v>
      </c>
      <c r="E178" s="766">
        <f t="shared" si="13"/>
        <v>4826688.5383599997</v>
      </c>
      <c r="F178" s="766">
        <f>SUM(F179:F183)</f>
        <v>4826688.5383599997</v>
      </c>
      <c r="G178" s="766">
        <f>SUM(G179:G183)</f>
        <v>0</v>
      </c>
      <c r="H178" s="766">
        <f>SUM(H179:H183)</f>
        <v>0</v>
      </c>
      <c r="I178" s="766">
        <f>SUM(I179:I183)</f>
        <v>0</v>
      </c>
      <c r="J178" s="2505" t="s">
        <v>3171</v>
      </c>
      <c r="K178" s="2505" t="s">
        <v>3066</v>
      </c>
      <c r="L178" s="2550"/>
    </row>
    <row r="179" spans="1:12" ht="13.5" customHeight="1" outlineLevel="1">
      <c r="A179" s="2502"/>
      <c r="B179" s="2503"/>
      <c r="C179" s="2504"/>
      <c r="D179" s="765">
        <v>2021</v>
      </c>
      <c r="E179" s="766">
        <f t="shared" si="13"/>
        <v>809865.57669999998</v>
      </c>
      <c r="F179" s="766">
        <f>F185+F191+F197+F203+F209+F215++F221+F227+F233+F239+F245+F251+F257+F263+F269+F275+F281+F287+F299+F293</f>
        <v>809865.57669999998</v>
      </c>
      <c r="G179" s="766">
        <f t="shared" ref="G179:I183" si="15">G185+G191+G197+G203+G209+G215++G221+G227+G233+G239+G245+G251+G257+G263+G269+G275+G281+G287+G299</f>
        <v>0</v>
      </c>
      <c r="H179" s="766">
        <f t="shared" si="15"/>
        <v>0</v>
      </c>
      <c r="I179" s="766">
        <f t="shared" si="15"/>
        <v>0</v>
      </c>
      <c r="J179" s="2505"/>
      <c r="K179" s="2505"/>
      <c r="L179" s="2550"/>
    </row>
    <row r="180" spans="1:12" ht="13.5" customHeight="1" outlineLevel="1">
      <c r="A180" s="2502"/>
      <c r="B180" s="2503"/>
      <c r="C180" s="2504"/>
      <c r="D180" s="765">
        <v>2022</v>
      </c>
      <c r="E180" s="766">
        <f t="shared" si="13"/>
        <v>1140833.8970000001</v>
      </c>
      <c r="F180" s="766">
        <f>F186+F192+F198+F204+F210+F216++F222+F228+F234+F240+F246+F252+F258+F264+F270+F276+F282+F288+F300</f>
        <v>1140833.8970000001</v>
      </c>
      <c r="G180" s="766">
        <f t="shared" si="15"/>
        <v>0</v>
      </c>
      <c r="H180" s="766">
        <f t="shared" si="15"/>
        <v>0</v>
      </c>
      <c r="I180" s="766">
        <f t="shared" si="15"/>
        <v>0</v>
      </c>
      <c r="J180" s="2505"/>
      <c r="K180" s="2505"/>
      <c r="L180" s="2550"/>
    </row>
    <row r="181" spans="1:12" ht="13.5" customHeight="1" outlineLevel="1">
      <c r="A181" s="2502"/>
      <c r="B181" s="2503"/>
      <c r="C181" s="2504"/>
      <c r="D181" s="811">
        <v>2023</v>
      </c>
      <c r="E181" s="812">
        <f t="shared" si="13"/>
        <v>998731.47366000002</v>
      </c>
      <c r="F181" s="812">
        <f>F187+F193+F199+F205+F211+F217++F223+F229+F235+F241+F247+F253+F259+F265+F271+F277+F283+F289+F301+F307</f>
        <v>998731.47366000002</v>
      </c>
      <c r="G181" s="812">
        <f t="shared" si="15"/>
        <v>0</v>
      </c>
      <c r="H181" s="812">
        <f t="shared" si="15"/>
        <v>0</v>
      </c>
      <c r="I181" s="812">
        <f t="shared" si="15"/>
        <v>0</v>
      </c>
      <c r="J181" s="2505"/>
      <c r="K181" s="2505"/>
      <c r="L181" s="2550"/>
    </row>
    <row r="182" spans="1:12" ht="13.5" customHeight="1" outlineLevel="1">
      <c r="A182" s="2502"/>
      <c r="B182" s="2503"/>
      <c r="C182" s="2504"/>
      <c r="D182" s="765">
        <v>2024</v>
      </c>
      <c r="E182" s="766">
        <f t="shared" si="13"/>
        <v>937986.61499999999</v>
      </c>
      <c r="F182" s="766">
        <f>F188+F194+F200+F206+F212+F218++F224+F230+F236+F242+F248+F254+F260+F266+F272+F278+F284+F290+F302</f>
        <v>937986.61499999999</v>
      </c>
      <c r="G182" s="766">
        <f t="shared" si="15"/>
        <v>0</v>
      </c>
      <c r="H182" s="766">
        <f t="shared" si="15"/>
        <v>0</v>
      </c>
      <c r="I182" s="766">
        <f t="shared" si="15"/>
        <v>0</v>
      </c>
      <c r="J182" s="2505"/>
      <c r="K182" s="2505"/>
      <c r="L182" s="2550"/>
    </row>
    <row r="183" spans="1:12" ht="13.5" customHeight="1" outlineLevel="1">
      <c r="A183" s="2502"/>
      <c r="B183" s="2503"/>
      <c r="C183" s="2504"/>
      <c r="D183" s="765">
        <v>2025</v>
      </c>
      <c r="E183" s="766">
        <f t="shared" si="13"/>
        <v>939270.97600000002</v>
      </c>
      <c r="F183" s="766">
        <f>F189+F195+F201+F207+F213+F219++F225+F231+F237+F243+F249+F255+F261+F267+F273+F279+F285+F291+F303</f>
        <v>939270.97600000002</v>
      </c>
      <c r="G183" s="766">
        <f t="shared" si="15"/>
        <v>0</v>
      </c>
      <c r="H183" s="766">
        <f t="shared" si="15"/>
        <v>0</v>
      </c>
      <c r="I183" s="766">
        <f t="shared" si="15"/>
        <v>0</v>
      </c>
      <c r="J183" s="2505"/>
      <c r="K183" s="2505"/>
      <c r="L183" s="2550"/>
    </row>
    <row r="184" spans="1:12" ht="13.5" customHeight="1" outlineLevel="1">
      <c r="A184" s="2526" t="s">
        <v>3170</v>
      </c>
      <c r="B184" s="2565" t="s">
        <v>50</v>
      </c>
      <c r="C184" s="2527" t="s">
        <v>2989</v>
      </c>
      <c r="D184" s="762" t="s">
        <v>8</v>
      </c>
      <c r="E184" s="763">
        <f t="shared" si="13"/>
        <v>13769.615699999998</v>
      </c>
      <c r="F184" s="763">
        <f>SUM(F185:F189)</f>
        <v>13769.615699999998</v>
      </c>
      <c r="G184" s="763">
        <f>SUM(G185:G189)</f>
        <v>0</v>
      </c>
      <c r="H184" s="763">
        <f>SUM(H185:H189)</f>
        <v>0</v>
      </c>
      <c r="I184" s="763">
        <f>SUM(I185:I189)</f>
        <v>0</v>
      </c>
      <c r="J184" s="2528" t="s">
        <v>3169</v>
      </c>
      <c r="K184" s="2528" t="s">
        <v>2799</v>
      </c>
      <c r="L184" s="2550"/>
    </row>
    <row r="185" spans="1:12" ht="13.5" customHeight="1" outlineLevel="1">
      <c r="A185" s="2526"/>
      <c r="B185" s="2565"/>
      <c r="C185" s="2527"/>
      <c r="D185" s="762">
        <v>2021</v>
      </c>
      <c r="E185" s="763">
        <f t="shared" si="13"/>
        <v>2106.6577000000002</v>
      </c>
      <c r="F185" s="764">
        <f>2106.6577</f>
        <v>2106.6577000000002</v>
      </c>
      <c r="G185" s="764">
        <v>0</v>
      </c>
      <c r="H185" s="764">
        <v>0</v>
      </c>
      <c r="I185" s="764">
        <v>0</v>
      </c>
      <c r="J185" s="2528"/>
      <c r="K185" s="2528"/>
      <c r="L185" s="2550"/>
    </row>
    <row r="186" spans="1:12" ht="13.5" customHeight="1" outlineLevel="1">
      <c r="A186" s="2526"/>
      <c r="B186" s="2565"/>
      <c r="C186" s="2527"/>
      <c r="D186" s="762">
        <v>2022</v>
      </c>
      <c r="E186" s="763">
        <f t="shared" si="13"/>
        <v>5343.0770000000002</v>
      </c>
      <c r="F186" s="764">
        <f>5912.957-569.88</f>
        <v>5343.0770000000002</v>
      </c>
      <c r="G186" s="764">
        <v>0</v>
      </c>
      <c r="H186" s="764">
        <v>0</v>
      </c>
      <c r="I186" s="764">
        <v>0</v>
      </c>
      <c r="J186" s="2528"/>
      <c r="K186" s="2528"/>
      <c r="L186" s="2550"/>
    </row>
    <row r="187" spans="1:12" ht="13.5" customHeight="1" outlineLevel="1">
      <c r="A187" s="2526"/>
      <c r="B187" s="2565"/>
      <c r="C187" s="2527"/>
      <c r="D187" s="889">
        <v>2023</v>
      </c>
      <c r="E187" s="763">
        <f t="shared" si="13"/>
        <v>2106.6570000000002</v>
      </c>
      <c r="F187" s="764">
        <v>2106.6570000000002</v>
      </c>
      <c r="G187" s="764">
        <v>0</v>
      </c>
      <c r="H187" s="764">
        <v>0</v>
      </c>
      <c r="I187" s="764">
        <v>0</v>
      </c>
      <c r="J187" s="2528"/>
      <c r="K187" s="2528"/>
      <c r="L187" s="2550"/>
    </row>
    <row r="188" spans="1:12" ht="13.5" customHeight="1" outlineLevel="1">
      <c r="A188" s="2526"/>
      <c r="B188" s="2565"/>
      <c r="C188" s="2527"/>
      <c r="D188" s="762">
        <v>2024</v>
      </c>
      <c r="E188" s="763">
        <f t="shared" si="13"/>
        <v>2106.6570000000002</v>
      </c>
      <c r="F188" s="764">
        <v>2106.6570000000002</v>
      </c>
      <c r="G188" s="764">
        <v>0</v>
      </c>
      <c r="H188" s="764">
        <v>0</v>
      </c>
      <c r="I188" s="764">
        <v>0</v>
      </c>
      <c r="J188" s="2528"/>
      <c r="K188" s="2528"/>
      <c r="L188" s="2550"/>
    </row>
    <row r="189" spans="1:12" ht="13.5" customHeight="1" outlineLevel="1">
      <c r="A189" s="2526"/>
      <c r="B189" s="2565"/>
      <c r="C189" s="2527"/>
      <c r="D189" s="762">
        <v>2025</v>
      </c>
      <c r="E189" s="763">
        <f t="shared" si="13"/>
        <v>2106.567</v>
      </c>
      <c r="F189" s="764">
        <v>2106.567</v>
      </c>
      <c r="G189" s="764">
        <f>+G195+G201+G207+G231</f>
        <v>0</v>
      </c>
      <c r="H189" s="764">
        <v>0</v>
      </c>
      <c r="I189" s="764">
        <v>0</v>
      </c>
      <c r="J189" s="2528"/>
      <c r="K189" s="2528"/>
      <c r="L189" s="2550"/>
    </row>
    <row r="190" spans="1:12" ht="26.25" customHeight="1" outlineLevel="1">
      <c r="A190" s="2526" t="s">
        <v>3168</v>
      </c>
      <c r="B190" s="2565" t="s">
        <v>2918</v>
      </c>
      <c r="C190" s="2527" t="s">
        <v>2989</v>
      </c>
      <c r="D190" s="762" t="s">
        <v>8</v>
      </c>
      <c r="E190" s="763">
        <f t="shared" si="13"/>
        <v>216658.67866000001</v>
      </c>
      <c r="F190" s="763">
        <f>SUM(F191:F195)</f>
        <v>216658.67866000001</v>
      </c>
      <c r="G190" s="763">
        <f>SUM(G191:G195)</f>
        <v>0</v>
      </c>
      <c r="H190" s="763">
        <f>SUM(H191:H195)</f>
        <v>0</v>
      </c>
      <c r="I190" s="763">
        <f>SUM(I191:I195)</f>
        <v>0</v>
      </c>
      <c r="J190" s="2528" t="s">
        <v>2849</v>
      </c>
      <c r="K190" s="2528" t="s">
        <v>2799</v>
      </c>
    </row>
    <row r="191" spans="1:12" ht="22.5" customHeight="1" outlineLevel="1">
      <c r="A191" s="2526"/>
      <c r="B191" s="2565"/>
      <c r="C191" s="2527"/>
      <c r="D191" s="762">
        <v>2021</v>
      </c>
      <c r="E191" s="763">
        <f t="shared" si="13"/>
        <v>456</v>
      </c>
      <c r="F191" s="763">
        <v>456</v>
      </c>
      <c r="G191" s="764">
        <v>0</v>
      </c>
      <c r="H191" s="764">
        <v>0</v>
      </c>
      <c r="I191" s="764">
        <v>0</v>
      </c>
      <c r="J191" s="2528"/>
      <c r="K191" s="2528"/>
    </row>
    <row r="192" spans="1:12" ht="21.75" customHeight="1" outlineLevel="1">
      <c r="A192" s="2526"/>
      <c r="B192" s="2565"/>
      <c r="C192" s="2527"/>
      <c r="D192" s="762">
        <v>2022</v>
      </c>
      <c r="E192" s="763">
        <f t="shared" si="13"/>
        <v>52700</v>
      </c>
      <c r="F192" s="763">
        <v>52700</v>
      </c>
      <c r="G192" s="764">
        <v>0</v>
      </c>
      <c r="H192" s="764">
        <v>0</v>
      </c>
      <c r="I192" s="764">
        <v>0</v>
      </c>
      <c r="J192" s="2528"/>
      <c r="K192" s="2528"/>
    </row>
    <row r="193" spans="1:11" ht="24" customHeight="1" outlineLevel="1">
      <c r="A193" s="2526"/>
      <c r="B193" s="2565"/>
      <c r="C193" s="2527"/>
      <c r="D193" s="889">
        <v>2023</v>
      </c>
      <c r="E193" s="763">
        <f t="shared" si="13"/>
        <v>59494.678659999998</v>
      </c>
      <c r="F193" s="763">
        <f>52004+7490.67866</f>
        <v>59494.678659999998</v>
      </c>
      <c r="G193" s="764">
        <v>0</v>
      </c>
      <c r="H193" s="764">
        <v>0</v>
      </c>
      <c r="I193" s="764">
        <v>0</v>
      </c>
      <c r="J193" s="2528"/>
      <c r="K193" s="2528"/>
    </row>
    <row r="194" spans="1:11" ht="24.75" customHeight="1" outlineLevel="1">
      <c r="A194" s="2526"/>
      <c r="B194" s="2565"/>
      <c r="C194" s="2527"/>
      <c r="D194" s="762">
        <v>2024</v>
      </c>
      <c r="E194" s="763">
        <f t="shared" si="13"/>
        <v>52004</v>
      </c>
      <c r="F194" s="763">
        <v>52004</v>
      </c>
      <c r="G194" s="764">
        <v>0</v>
      </c>
      <c r="H194" s="764">
        <v>0</v>
      </c>
      <c r="I194" s="764">
        <v>0</v>
      </c>
      <c r="J194" s="2528"/>
      <c r="K194" s="2528"/>
    </row>
    <row r="195" spans="1:11" ht="24" customHeight="1" outlineLevel="1">
      <c r="A195" s="2526"/>
      <c r="B195" s="2565"/>
      <c r="C195" s="2527"/>
      <c r="D195" s="762">
        <v>2025</v>
      </c>
      <c r="E195" s="763">
        <f t="shared" si="13"/>
        <v>52004</v>
      </c>
      <c r="F195" s="763">
        <v>52004</v>
      </c>
      <c r="G195" s="764">
        <v>0</v>
      </c>
      <c r="H195" s="764">
        <v>0</v>
      </c>
      <c r="I195" s="764">
        <v>0</v>
      </c>
      <c r="J195" s="2528"/>
      <c r="K195" s="2528"/>
    </row>
    <row r="196" spans="1:11" ht="15.75" customHeight="1" outlineLevel="1">
      <c r="A196" s="2567" t="s">
        <v>3167</v>
      </c>
      <c r="B196" s="2570" t="s">
        <v>3166</v>
      </c>
      <c r="C196" s="2527" t="s">
        <v>2989</v>
      </c>
      <c r="D196" s="762" t="s">
        <v>8</v>
      </c>
      <c r="E196" s="763">
        <f t="shared" si="13"/>
        <v>123.97999999999999</v>
      </c>
      <c r="F196" s="763">
        <f>SUM(F197:F201)</f>
        <v>123.97999999999999</v>
      </c>
      <c r="G196" s="763">
        <f>SUM(G197:G201)</f>
        <v>0</v>
      </c>
      <c r="H196" s="763">
        <f>SUM(H197:H201)</f>
        <v>0</v>
      </c>
      <c r="I196" s="763">
        <f>SUM(I197:I201)</f>
        <v>0</v>
      </c>
      <c r="J196" s="2566" t="s">
        <v>3165</v>
      </c>
      <c r="K196" s="2566" t="s">
        <v>3164</v>
      </c>
    </row>
    <row r="197" spans="1:11" ht="15.75" customHeight="1" outlineLevel="1">
      <c r="A197" s="2568"/>
      <c r="B197" s="2571"/>
      <c r="C197" s="2527"/>
      <c r="D197" s="762">
        <v>2021</v>
      </c>
      <c r="E197" s="763">
        <f t="shared" si="13"/>
        <v>27.77</v>
      </c>
      <c r="F197" s="763">
        <f>27770/1000</f>
        <v>27.77</v>
      </c>
      <c r="G197" s="764">
        <v>0</v>
      </c>
      <c r="H197" s="764">
        <v>0</v>
      </c>
      <c r="I197" s="764">
        <v>0</v>
      </c>
      <c r="J197" s="2561"/>
      <c r="K197" s="2561"/>
    </row>
    <row r="198" spans="1:11" ht="15.75" customHeight="1" outlineLevel="1">
      <c r="A198" s="2568"/>
      <c r="B198" s="2571"/>
      <c r="C198" s="2527"/>
      <c r="D198" s="762">
        <v>2022</v>
      </c>
      <c r="E198" s="763">
        <f t="shared" si="13"/>
        <v>0</v>
      </c>
      <c r="F198" s="763">
        <v>0</v>
      </c>
      <c r="G198" s="764">
        <v>0</v>
      </c>
      <c r="H198" s="764">
        <v>0</v>
      </c>
      <c r="I198" s="764">
        <v>0</v>
      </c>
      <c r="J198" s="2561"/>
      <c r="K198" s="2561"/>
    </row>
    <row r="199" spans="1:11" ht="15.75" customHeight="1" outlineLevel="1">
      <c r="A199" s="2568"/>
      <c r="B199" s="2571"/>
      <c r="C199" s="2527"/>
      <c r="D199" s="889">
        <v>2023</v>
      </c>
      <c r="E199" s="763">
        <f t="shared" si="13"/>
        <v>32.07</v>
      </c>
      <c r="F199" s="763">
        <v>32.07</v>
      </c>
      <c r="G199" s="764">
        <v>0</v>
      </c>
      <c r="H199" s="764">
        <v>0</v>
      </c>
      <c r="I199" s="764">
        <v>0</v>
      </c>
      <c r="J199" s="2561"/>
      <c r="K199" s="2561"/>
    </row>
    <row r="200" spans="1:11" ht="15.75" customHeight="1" outlineLevel="1">
      <c r="A200" s="2568"/>
      <c r="B200" s="2571"/>
      <c r="C200" s="2527"/>
      <c r="D200" s="762">
        <v>2024</v>
      </c>
      <c r="E200" s="763">
        <f t="shared" si="13"/>
        <v>32.07</v>
      </c>
      <c r="F200" s="763">
        <v>32.07</v>
      </c>
      <c r="G200" s="764">
        <v>0</v>
      </c>
      <c r="H200" s="764">
        <v>0</v>
      </c>
      <c r="I200" s="764">
        <v>0</v>
      </c>
      <c r="J200" s="2561"/>
      <c r="K200" s="2561"/>
    </row>
    <row r="201" spans="1:11" ht="15.75" customHeight="1" outlineLevel="1">
      <c r="A201" s="2568"/>
      <c r="B201" s="2571"/>
      <c r="C201" s="2527"/>
      <c r="D201" s="762">
        <v>2025</v>
      </c>
      <c r="E201" s="763">
        <f t="shared" si="13"/>
        <v>32.07</v>
      </c>
      <c r="F201" s="763">
        <v>32.07</v>
      </c>
      <c r="G201" s="764">
        <v>0</v>
      </c>
      <c r="H201" s="764">
        <v>0</v>
      </c>
      <c r="I201" s="764">
        <v>0</v>
      </c>
      <c r="J201" s="2562"/>
      <c r="K201" s="2561"/>
    </row>
    <row r="202" spans="1:11" ht="13.5" customHeight="1" outlineLevel="1">
      <c r="A202" s="2526" t="s">
        <v>3163</v>
      </c>
      <c r="B202" s="2565" t="s">
        <v>22</v>
      </c>
      <c r="C202" s="2527" t="s">
        <v>2989</v>
      </c>
      <c r="D202" s="762" t="s">
        <v>8</v>
      </c>
      <c r="E202" s="763">
        <f t="shared" ref="E202:E233" si="16">SUM(F202:I202)</f>
        <v>4263317.0719999997</v>
      </c>
      <c r="F202" s="763">
        <f>SUM(F203:F207)</f>
        <v>4263317.0719999997</v>
      </c>
      <c r="G202" s="763">
        <f>SUM(G203:G207)</f>
        <v>0</v>
      </c>
      <c r="H202" s="763">
        <f>SUM(H203:H207)</f>
        <v>0</v>
      </c>
      <c r="I202" s="763">
        <f>SUM(I203:I207)</f>
        <v>0</v>
      </c>
      <c r="J202" s="2528" t="s">
        <v>2680</v>
      </c>
      <c r="K202" s="2566" t="s">
        <v>3160</v>
      </c>
    </row>
    <row r="203" spans="1:11" ht="13.5" customHeight="1" outlineLevel="1">
      <c r="A203" s="2526"/>
      <c r="B203" s="2565"/>
      <c r="C203" s="2527"/>
      <c r="D203" s="762">
        <v>2021</v>
      </c>
      <c r="E203" s="763">
        <f t="shared" si="16"/>
        <v>766375.9</v>
      </c>
      <c r="F203" s="764">
        <v>766375.9</v>
      </c>
      <c r="G203" s="764">
        <v>0</v>
      </c>
      <c r="H203" s="764">
        <v>0</v>
      </c>
      <c r="I203" s="764">
        <v>0</v>
      </c>
      <c r="J203" s="2528"/>
      <c r="K203" s="2561"/>
    </row>
    <row r="204" spans="1:11" ht="13.5" customHeight="1" outlineLevel="1">
      <c r="A204" s="2526"/>
      <c r="B204" s="2565"/>
      <c r="C204" s="2527"/>
      <c r="D204" s="762">
        <v>2022</v>
      </c>
      <c r="E204" s="763">
        <f t="shared" si="16"/>
        <v>914197.98699999996</v>
      </c>
      <c r="F204" s="764">
        <f>879682.2+21426+13089.787</f>
        <v>914197.98699999996</v>
      </c>
      <c r="G204" s="764">
        <v>0</v>
      </c>
      <c r="H204" s="764">
        <v>0</v>
      </c>
      <c r="I204" s="764">
        <v>0</v>
      </c>
      <c r="J204" s="2528"/>
      <c r="K204" s="2561"/>
    </row>
    <row r="205" spans="1:11" ht="13.5" customHeight="1" outlineLevel="1">
      <c r="A205" s="2526"/>
      <c r="B205" s="2565"/>
      <c r="C205" s="2527"/>
      <c r="D205" s="889">
        <v>2023</v>
      </c>
      <c r="E205" s="881">
        <f t="shared" si="16"/>
        <v>878519.89599999995</v>
      </c>
      <c r="F205" s="880">
        <f>850537.551+27982.345</f>
        <v>878519.89599999995</v>
      </c>
      <c r="G205" s="764">
        <v>0</v>
      </c>
      <c r="H205" s="764">
        <v>0</v>
      </c>
      <c r="I205" s="764">
        <v>0</v>
      </c>
      <c r="J205" s="2528"/>
      <c r="K205" s="2561"/>
    </row>
    <row r="206" spans="1:11" ht="13.5" customHeight="1" outlineLevel="1">
      <c r="A206" s="2526"/>
      <c r="B206" s="2565"/>
      <c r="C206" s="2527"/>
      <c r="D206" s="762">
        <v>2024</v>
      </c>
      <c r="E206" s="763">
        <f t="shared" si="16"/>
        <v>851469.41899999999</v>
      </c>
      <c r="F206" s="764">
        <v>851469.41899999999</v>
      </c>
      <c r="G206" s="764">
        <v>0</v>
      </c>
      <c r="H206" s="764">
        <v>0</v>
      </c>
      <c r="I206" s="764">
        <v>0</v>
      </c>
      <c r="J206" s="2528"/>
      <c r="K206" s="2561"/>
    </row>
    <row r="207" spans="1:11" ht="13.5" customHeight="1" outlineLevel="1">
      <c r="A207" s="2526"/>
      <c r="B207" s="2565"/>
      <c r="C207" s="2527"/>
      <c r="D207" s="762">
        <v>2025</v>
      </c>
      <c r="E207" s="763">
        <f t="shared" si="16"/>
        <v>852753.87</v>
      </c>
      <c r="F207" s="764">
        <v>852753.87</v>
      </c>
      <c r="G207" s="764">
        <v>0</v>
      </c>
      <c r="H207" s="764">
        <v>0</v>
      </c>
      <c r="I207" s="764">
        <v>0</v>
      </c>
      <c r="J207" s="2528"/>
      <c r="K207" s="2561"/>
    </row>
    <row r="208" spans="1:11" ht="18.75" customHeight="1" outlineLevel="1">
      <c r="A208" s="2526" t="s">
        <v>3162</v>
      </c>
      <c r="B208" s="2565" t="s">
        <v>62</v>
      </c>
      <c r="C208" s="2527" t="s">
        <v>2989</v>
      </c>
      <c r="D208" s="762" t="s">
        <v>8</v>
      </c>
      <c r="E208" s="763">
        <f t="shared" si="16"/>
        <v>18083.404999999999</v>
      </c>
      <c r="F208" s="763">
        <f>SUM(F209:F213)</f>
        <v>18083.404999999999</v>
      </c>
      <c r="G208" s="763">
        <f>SUM(G209:G213)</f>
        <v>0</v>
      </c>
      <c r="H208" s="763">
        <f>SUM(H209:H213)</f>
        <v>0</v>
      </c>
      <c r="I208" s="763">
        <f>SUM(I209:I213)</f>
        <v>0</v>
      </c>
      <c r="J208" s="2528" t="s">
        <v>3161</v>
      </c>
      <c r="K208" s="2566" t="s">
        <v>3160</v>
      </c>
    </row>
    <row r="209" spans="1:11" ht="18.75" customHeight="1" outlineLevel="1">
      <c r="A209" s="2526"/>
      <c r="B209" s="2565"/>
      <c r="C209" s="2527"/>
      <c r="D209" s="762">
        <v>2021</v>
      </c>
      <c r="E209" s="763">
        <f t="shared" si="16"/>
        <v>3811.2820000000002</v>
      </c>
      <c r="F209" s="763">
        <v>3811.2820000000002</v>
      </c>
      <c r="G209" s="764">
        <v>0</v>
      </c>
      <c r="H209" s="764">
        <v>0</v>
      </c>
      <c r="I209" s="764">
        <v>0</v>
      </c>
      <c r="J209" s="2528"/>
      <c r="K209" s="2561"/>
    </row>
    <row r="210" spans="1:11" ht="18.75" customHeight="1" outlineLevel="1">
      <c r="A210" s="2526"/>
      <c r="B210" s="2565"/>
      <c r="C210" s="2527"/>
      <c r="D210" s="762">
        <v>2022</v>
      </c>
      <c r="E210" s="763">
        <f t="shared" si="16"/>
        <v>3588.2230000000004</v>
      </c>
      <c r="F210" s="767">
        <f>3561.3+109.88-82.957</f>
        <v>3588.2230000000004</v>
      </c>
      <c r="G210" s="764">
        <v>0</v>
      </c>
      <c r="H210" s="764">
        <v>0</v>
      </c>
      <c r="I210" s="764">
        <v>0</v>
      </c>
      <c r="J210" s="2528"/>
      <c r="K210" s="2561"/>
    </row>
    <row r="211" spans="1:11" ht="18.75" customHeight="1" outlineLevel="1">
      <c r="A211" s="2526"/>
      <c r="B211" s="2565"/>
      <c r="C211" s="2527"/>
      <c r="D211" s="889">
        <v>2023</v>
      </c>
      <c r="E211" s="763">
        <f t="shared" si="16"/>
        <v>3561.3</v>
      </c>
      <c r="F211" s="764">
        <v>3561.3</v>
      </c>
      <c r="G211" s="764">
        <v>0</v>
      </c>
      <c r="H211" s="764">
        <v>0</v>
      </c>
      <c r="I211" s="764">
        <v>0</v>
      </c>
      <c r="J211" s="2528"/>
      <c r="K211" s="2561"/>
    </row>
    <row r="212" spans="1:11" ht="18.75" customHeight="1" outlineLevel="1">
      <c r="A212" s="2526"/>
      <c r="B212" s="2565"/>
      <c r="C212" s="2527"/>
      <c r="D212" s="762">
        <v>2024</v>
      </c>
      <c r="E212" s="763">
        <f t="shared" si="16"/>
        <v>3561.3</v>
      </c>
      <c r="F212" s="764">
        <v>3561.3</v>
      </c>
      <c r="G212" s="764">
        <v>0</v>
      </c>
      <c r="H212" s="764">
        <v>0</v>
      </c>
      <c r="I212" s="764">
        <v>0</v>
      </c>
      <c r="J212" s="2528"/>
      <c r="K212" s="2561"/>
    </row>
    <row r="213" spans="1:11" ht="18.75" customHeight="1" outlineLevel="1">
      <c r="A213" s="2526"/>
      <c r="B213" s="2565"/>
      <c r="C213" s="2527"/>
      <c r="D213" s="762">
        <v>2025</v>
      </c>
      <c r="E213" s="763">
        <f t="shared" si="16"/>
        <v>3561.3</v>
      </c>
      <c r="F213" s="764">
        <v>3561.3</v>
      </c>
      <c r="G213" s="764">
        <v>0</v>
      </c>
      <c r="H213" s="764">
        <v>0</v>
      </c>
      <c r="I213" s="764">
        <v>0</v>
      </c>
      <c r="J213" s="2528"/>
      <c r="K213" s="2561"/>
    </row>
    <row r="214" spans="1:11" ht="14.25" customHeight="1" outlineLevel="1">
      <c r="A214" s="2541" t="s">
        <v>3159</v>
      </c>
      <c r="B214" s="2544" t="s">
        <v>3158</v>
      </c>
      <c r="C214" s="2546" t="s">
        <v>2989</v>
      </c>
      <c r="D214" s="727" t="s">
        <v>8</v>
      </c>
      <c r="E214" s="726">
        <f t="shared" si="16"/>
        <v>26988.080000000002</v>
      </c>
      <c r="F214" s="726">
        <f>SUM(F215:F219)</f>
        <v>26988.080000000002</v>
      </c>
      <c r="G214" s="726">
        <f>SUM(G215:G219)</f>
        <v>0</v>
      </c>
      <c r="H214" s="726">
        <f>SUM(H215:H219)</f>
        <v>0</v>
      </c>
      <c r="I214" s="726">
        <f>SUM(I215:I219)</f>
        <v>0</v>
      </c>
      <c r="J214" s="2548" t="s">
        <v>3157</v>
      </c>
      <c r="K214" s="2548" t="s">
        <v>3156</v>
      </c>
    </row>
    <row r="215" spans="1:11" ht="13.5" customHeight="1" outlineLevel="1">
      <c r="A215" s="2542"/>
      <c r="B215" s="2545"/>
      <c r="C215" s="2547"/>
      <c r="D215" s="727">
        <v>2021</v>
      </c>
      <c r="E215" s="726">
        <f t="shared" si="16"/>
        <v>26988.080000000002</v>
      </c>
      <c r="F215" s="726">
        <v>26988.080000000002</v>
      </c>
      <c r="G215" s="725">
        <v>0</v>
      </c>
      <c r="H215" s="725">
        <v>0</v>
      </c>
      <c r="I215" s="725">
        <v>0</v>
      </c>
      <c r="J215" s="2549"/>
      <c r="K215" s="2549"/>
    </row>
    <row r="216" spans="1:11" ht="13.5" customHeight="1" outlineLevel="1">
      <c r="A216" s="2542"/>
      <c r="B216" s="2545"/>
      <c r="C216" s="2547"/>
      <c r="D216" s="727">
        <v>2022</v>
      </c>
      <c r="E216" s="726">
        <f t="shared" si="16"/>
        <v>0</v>
      </c>
      <c r="F216" s="726">
        <v>0</v>
      </c>
      <c r="G216" s="725">
        <v>0</v>
      </c>
      <c r="H216" s="725">
        <v>0</v>
      </c>
      <c r="I216" s="725">
        <v>0</v>
      </c>
      <c r="J216" s="2549"/>
      <c r="K216" s="2549"/>
    </row>
    <row r="217" spans="1:11" ht="13.5" customHeight="1" outlineLevel="1">
      <c r="A217" s="2542"/>
      <c r="B217" s="2545"/>
      <c r="C217" s="2547"/>
      <c r="D217" s="727">
        <v>2023</v>
      </c>
      <c r="E217" s="726">
        <f t="shared" si="16"/>
        <v>0</v>
      </c>
      <c r="F217" s="725">
        <v>0</v>
      </c>
      <c r="G217" s="725">
        <v>0</v>
      </c>
      <c r="H217" s="725">
        <v>0</v>
      </c>
      <c r="I217" s="725">
        <v>0</v>
      </c>
      <c r="J217" s="2549"/>
      <c r="K217" s="2549"/>
    </row>
    <row r="218" spans="1:11" ht="13.5" customHeight="1" outlineLevel="1">
      <c r="A218" s="2542"/>
      <c r="B218" s="2545"/>
      <c r="C218" s="2547"/>
      <c r="D218" s="727">
        <v>2024</v>
      </c>
      <c r="E218" s="726">
        <f t="shared" si="16"/>
        <v>0</v>
      </c>
      <c r="F218" s="725">
        <v>0</v>
      </c>
      <c r="G218" s="725">
        <v>0</v>
      </c>
      <c r="H218" s="725">
        <v>0</v>
      </c>
      <c r="I218" s="725">
        <v>0</v>
      </c>
      <c r="J218" s="2549"/>
      <c r="K218" s="2549"/>
    </row>
    <row r="219" spans="1:11" ht="19.5" customHeight="1" outlineLevel="1">
      <c r="A219" s="2543"/>
      <c r="B219" s="2518"/>
      <c r="C219" s="2520"/>
      <c r="D219" s="727">
        <v>2025</v>
      </c>
      <c r="E219" s="726">
        <f t="shared" si="16"/>
        <v>0</v>
      </c>
      <c r="F219" s="725">
        <v>0</v>
      </c>
      <c r="G219" s="725">
        <v>0</v>
      </c>
      <c r="H219" s="725">
        <v>0</v>
      </c>
      <c r="I219" s="725">
        <v>0</v>
      </c>
      <c r="J219" s="2522"/>
      <c r="K219" s="2522"/>
    </row>
    <row r="220" spans="1:11" ht="14.25" customHeight="1" outlineLevel="1">
      <c r="A220" s="2541" t="s">
        <v>3155</v>
      </c>
      <c r="B220" s="2544" t="s">
        <v>3154</v>
      </c>
      <c r="C220" s="2546" t="s">
        <v>2989</v>
      </c>
      <c r="D220" s="727" t="s">
        <v>8</v>
      </c>
      <c r="E220" s="726">
        <f t="shared" si="16"/>
        <v>0</v>
      </c>
      <c r="F220" s="726">
        <f>SUM(F221:F225)</f>
        <v>0</v>
      </c>
      <c r="G220" s="726">
        <f>SUM(G221:G225)</f>
        <v>0</v>
      </c>
      <c r="H220" s="726">
        <f>SUM(H221:H225)</f>
        <v>0</v>
      </c>
      <c r="I220" s="726">
        <f>SUM(I221:I225)</f>
        <v>0</v>
      </c>
      <c r="J220" s="2548" t="s">
        <v>3153</v>
      </c>
      <c r="K220" s="2548" t="s">
        <v>2855</v>
      </c>
    </row>
    <row r="221" spans="1:11" ht="13.5" customHeight="1" outlineLevel="1">
      <c r="A221" s="2542"/>
      <c r="B221" s="2545"/>
      <c r="C221" s="2547"/>
      <c r="D221" s="727">
        <v>2021</v>
      </c>
      <c r="E221" s="726">
        <f t="shared" si="16"/>
        <v>0</v>
      </c>
      <c r="F221" s="726">
        <v>0</v>
      </c>
      <c r="G221" s="725">
        <v>0</v>
      </c>
      <c r="H221" s="725">
        <v>0</v>
      </c>
      <c r="I221" s="725">
        <v>0</v>
      </c>
      <c r="J221" s="2549"/>
      <c r="K221" s="2549"/>
    </row>
    <row r="222" spans="1:11" ht="13.5" customHeight="1" outlineLevel="1">
      <c r="A222" s="2542"/>
      <c r="B222" s="2545"/>
      <c r="C222" s="2547"/>
      <c r="D222" s="727">
        <v>2022</v>
      </c>
      <c r="E222" s="726">
        <f t="shared" si="16"/>
        <v>0</v>
      </c>
      <c r="F222" s="726">
        <v>0</v>
      </c>
      <c r="G222" s="725">
        <v>0</v>
      </c>
      <c r="H222" s="725">
        <v>0</v>
      </c>
      <c r="I222" s="725">
        <v>0</v>
      </c>
      <c r="J222" s="2549"/>
      <c r="K222" s="2549"/>
    </row>
    <row r="223" spans="1:11" ht="13.5" customHeight="1" outlineLevel="1">
      <c r="A223" s="2542"/>
      <c r="B223" s="2545"/>
      <c r="C223" s="2547"/>
      <c r="D223" s="727">
        <v>2023</v>
      </c>
      <c r="E223" s="726">
        <f t="shared" si="16"/>
        <v>0</v>
      </c>
      <c r="F223" s="726">
        <v>0</v>
      </c>
      <c r="G223" s="725">
        <v>0</v>
      </c>
      <c r="H223" s="725">
        <v>0</v>
      </c>
      <c r="I223" s="725">
        <v>0</v>
      </c>
      <c r="J223" s="2549"/>
      <c r="K223" s="2549"/>
    </row>
    <row r="224" spans="1:11" ht="13.5" customHeight="1" outlineLevel="1">
      <c r="A224" s="2542"/>
      <c r="B224" s="2545"/>
      <c r="C224" s="2547"/>
      <c r="D224" s="727">
        <v>2024</v>
      </c>
      <c r="E224" s="726">
        <f t="shared" si="16"/>
        <v>0</v>
      </c>
      <c r="F224" s="726">
        <v>0</v>
      </c>
      <c r="G224" s="725">
        <v>0</v>
      </c>
      <c r="H224" s="725">
        <v>0</v>
      </c>
      <c r="I224" s="725">
        <v>0</v>
      </c>
      <c r="J224" s="2549"/>
      <c r="K224" s="2549"/>
    </row>
    <row r="225" spans="1:11" ht="19.5" customHeight="1" outlineLevel="1">
      <c r="A225" s="2543"/>
      <c r="B225" s="2518"/>
      <c r="C225" s="2520"/>
      <c r="D225" s="727">
        <v>2025</v>
      </c>
      <c r="E225" s="726">
        <f t="shared" si="16"/>
        <v>0</v>
      </c>
      <c r="F225" s="726">
        <v>0</v>
      </c>
      <c r="G225" s="725">
        <v>0</v>
      </c>
      <c r="H225" s="725">
        <v>0</v>
      </c>
      <c r="I225" s="725">
        <v>0</v>
      </c>
      <c r="J225" s="2522"/>
      <c r="K225" s="2522"/>
    </row>
    <row r="226" spans="1:11" ht="14.25" customHeight="1" outlineLevel="1">
      <c r="A226" s="2541" t="s">
        <v>3152</v>
      </c>
      <c r="B226" s="2544" t="s">
        <v>156</v>
      </c>
      <c r="C226" s="2546" t="s">
        <v>2989</v>
      </c>
      <c r="D226" s="727" t="s">
        <v>8</v>
      </c>
      <c r="E226" s="726">
        <f t="shared" si="16"/>
        <v>233.84399999999999</v>
      </c>
      <c r="F226" s="726">
        <f>SUM(F227:F231)</f>
        <v>233.84399999999999</v>
      </c>
      <c r="G226" s="726">
        <f>SUM(G227:G231)</f>
        <v>0</v>
      </c>
      <c r="H226" s="726">
        <f>SUM(H227:H231)</f>
        <v>0</v>
      </c>
      <c r="I226" s="726">
        <f>SUM(I227:I231)</f>
        <v>0</v>
      </c>
      <c r="J226" s="2548" t="s">
        <v>2816</v>
      </c>
      <c r="K226" s="2548" t="s">
        <v>66</v>
      </c>
    </row>
    <row r="227" spans="1:11" ht="13.5" customHeight="1" outlineLevel="1">
      <c r="A227" s="2542"/>
      <c r="B227" s="2545"/>
      <c r="C227" s="2547"/>
      <c r="D227" s="727">
        <v>2021</v>
      </c>
      <c r="E227" s="726">
        <f t="shared" si="16"/>
        <v>150.887</v>
      </c>
      <c r="F227" s="726">
        <v>150.887</v>
      </c>
      <c r="G227" s="725">
        <v>0</v>
      </c>
      <c r="H227" s="725">
        <v>0</v>
      </c>
      <c r="I227" s="725">
        <v>0</v>
      </c>
      <c r="J227" s="2549"/>
      <c r="K227" s="2549"/>
    </row>
    <row r="228" spans="1:11" ht="13.5" customHeight="1" outlineLevel="1">
      <c r="A228" s="2542"/>
      <c r="B228" s="2545"/>
      <c r="C228" s="2547"/>
      <c r="D228" s="727">
        <v>2022</v>
      </c>
      <c r="E228" s="726">
        <f t="shared" si="16"/>
        <v>82.956999999999994</v>
      </c>
      <c r="F228" s="726">
        <v>82.956999999999994</v>
      </c>
      <c r="G228" s="725">
        <v>0</v>
      </c>
      <c r="H228" s="725">
        <v>0</v>
      </c>
      <c r="I228" s="725">
        <v>0</v>
      </c>
      <c r="J228" s="2549"/>
      <c r="K228" s="2549"/>
    </row>
    <row r="229" spans="1:11" ht="13.5" customHeight="1" outlineLevel="1">
      <c r="A229" s="2542"/>
      <c r="B229" s="2545"/>
      <c r="C229" s="2547"/>
      <c r="D229" s="727">
        <v>2023</v>
      </c>
      <c r="E229" s="726">
        <f t="shared" si="16"/>
        <v>0</v>
      </c>
      <c r="F229" s="726">
        <v>0</v>
      </c>
      <c r="G229" s="725">
        <v>0</v>
      </c>
      <c r="H229" s="725">
        <v>0</v>
      </c>
      <c r="I229" s="725">
        <v>0</v>
      </c>
      <c r="J229" s="2549"/>
      <c r="K229" s="2549"/>
    </row>
    <row r="230" spans="1:11" ht="13.5" customHeight="1" outlineLevel="1">
      <c r="A230" s="2542"/>
      <c r="B230" s="2545"/>
      <c r="C230" s="2547"/>
      <c r="D230" s="727">
        <v>2024</v>
      </c>
      <c r="E230" s="726">
        <f t="shared" si="16"/>
        <v>0</v>
      </c>
      <c r="F230" s="726">
        <v>0</v>
      </c>
      <c r="G230" s="725">
        <v>0</v>
      </c>
      <c r="H230" s="725">
        <v>0</v>
      </c>
      <c r="I230" s="725">
        <v>0</v>
      </c>
      <c r="J230" s="2549"/>
      <c r="K230" s="2549"/>
    </row>
    <row r="231" spans="1:11" ht="19.5" customHeight="1" outlineLevel="1">
      <c r="A231" s="2543"/>
      <c r="B231" s="2518"/>
      <c r="C231" s="2520"/>
      <c r="D231" s="727">
        <v>2025</v>
      </c>
      <c r="E231" s="726">
        <f t="shared" si="16"/>
        <v>0</v>
      </c>
      <c r="F231" s="725">
        <v>0</v>
      </c>
      <c r="G231" s="725">
        <v>0</v>
      </c>
      <c r="H231" s="725">
        <v>0</v>
      </c>
      <c r="I231" s="725">
        <v>0</v>
      </c>
      <c r="J231" s="2522"/>
      <c r="K231" s="2522"/>
    </row>
    <row r="232" spans="1:11" ht="16.5" customHeight="1" outlineLevel="1">
      <c r="A232" s="2541" t="s">
        <v>2853</v>
      </c>
      <c r="B232" s="2544" t="s">
        <v>2854</v>
      </c>
      <c r="C232" s="2546" t="s">
        <v>2989</v>
      </c>
      <c r="D232" s="727" t="s">
        <v>8</v>
      </c>
      <c r="E232" s="726">
        <f t="shared" si="16"/>
        <v>595</v>
      </c>
      <c r="F232" s="726">
        <f>SUM(F233:F237)</f>
        <v>595</v>
      </c>
      <c r="G232" s="726">
        <f>SUM(G233:G237)</f>
        <v>0</v>
      </c>
      <c r="H232" s="726">
        <f>SUM(H233:H237)</f>
        <v>0</v>
      </c>
      <c r="I232" s="726">
        <f>SUM(I233:I237)</f>
        <v>0</v>
      </c>
      <c r="J232" s="2548" t="s">
        <v>3151</v>
      </c>
      <c r="K232" s="2548" t="s">
        <v>2855</v>
      </c>
    </row>
    <row r="233" spans="1:11" ht="16.5" customHeight="1" outlineLevel="1">
      <c r="A233" s="2542"/>
      <c r="B233" s="2545"/>
      <c r="C233" s="2547"/>
      <c r="D233" s="727">
        <v>2021</v>
      </c>
      <c r="E233" s="726">
        <f t="shared" si="16"/>
        <v>595</v>
      </c>
      <c r="F233" s="725">
        <v>595</v>
      </c>
      <c r="G233" s="725">
        <v>0</v>
      </c>
      <c r="H233" s="725">
        <v>0</v>
      </c>
      <c r="I233" s="725">
        <v>0</v>
      </c>
      <c r="J233" s="2549"/>
      <c r="K233" s="2549"/>
    </row>
    <row r="234" spans="1:11" ht="16.5" customHeight="1" outlineLevel="1">
      <c r="A234" s="2542"/>
      <c r="B234" s="2545"/>
      <c r="C234" s="2547"/>
      <c r="D234" s="727">
        <v>2022</v>
      </c>
      <c r="E234" s="726">
        <f t="shared" ref="E234:E263" si="17">SUM(F234:I234)</f>
        <v>0</v>
      </c>
      <c r="F234" s="725">
        <v>0</v>
      </c>
      <c r="G234" s="725">
        <v>0</v>
      </c>
      <c r="H234" s="725">
        <v>0</v>
      </c>
      <c r="I234" s="725">
        <v>0</v>
      </c>
      <c r="J234" s="2549"/>
      <c r="K234" s="2549"/>
    </row>
    <row r="235" spans="1:11" ht="16.5" customHeight="1" outlineLevel="1">
      <c r="A235" s="2542"/>
      <c r="B235" s="2545"/>
      <c r="C235" s="2547"/>
      <c r="D235" s="727">
        <v>2023</v>
      </c>
      <c r="E235" s="726">
        <f t="shared" si="17"/>
        <v>0</v>
      </c>
      <c r="F235" s="725">
        <v>0</v>
      </c>
      <c r="G235" s="725">
        <v>0</v>
      </c>
      <c r="H235" s="725">
        <v>0</v>
      </c>
      <c r="I235" s="725">
        <v>0</v>
      </c>
      <c r="J235" s="2549"/>
      <c r="K235" s="2549"/>
    </row>
    <row r="236" spans="1:11" ht="16.5" customHeight="1" outlineLevel="1">
      <c r="A236" s="2542"/>
      <c r="B236" s="2545"/>
      <c r="C236" s="2547"/>
      <c r="D236" s="727">
        <v>2024</v>
      </c>
      <c r="E236" s="726">
        <f t="shared" si="17"/>
        <v>0</v>
      </c>
      <c r="F236" s="725">
        <v>0</v>
      </c>
      <c r="G236" s="725">
        <v>0</v>
      </c>
      <c r="H236" s="725">
        <v>0</v>
      </c>
      <c r="I236" s="725">
        <v>0</v>
      </c>
      <c r="J236" s="2549"/>
      <c r="K236" s="2549"/>
    </row>
    <row r="237" spans="1:11" ht="16.5" customHeight="1" outlineLevel="1">
      <c r="A237" s="2543"/>
      <c r="B237" s="2518"/>
      <c r="C237" s="2520"/>
      <c r="D237" s="727">
        <v>2025</v>
      </c>
      <c r="E237" s="726">
        <f t="shared" si="17"/>
        <v>0</v>
      </c>
      <c r="F237" s="725">
        <v>0</v>
      </c>
      <c r="G237" s="725">
        <v>0</v>
      </c>
      <c r="H237" s="725">
        <v>0</v>
      </c>
      <c r="I237" s="725">
        <v>0</v>
      </c>
      <c r="J237" s="2522"/>
      <c r="K237" s="2522"/>
    </row>
    <row r="238" spans="1:11" ht="16.5" customHeight="1" outlineLevel="1">
      <c r="A238" s="2541" t="s">
        <v>2919</v>
      </c>
      <c r="B238" s="2544" t="s">
        <v>2920</v>
      </c>
      <c r="C238" s="2546" t="s">
        <v>2989</v>
      </c>
      <c r="D238" s="727" t="s">
        <v>8</v>
      </c>
      <c r="E238" s="726">
        <f t="shared" si="17"/>
        <v>8626</v>
      </c>
      <c r="F238" s="726">
        <f>SUM(F239:F243)</f>
        <v>8626</v>
      </c>
      <c r="G238" s="726">
        <f>SUM(G239:G243)</f>
        <v>0</v>
      </c>
      <c r="H238" s="726">
        <f>SUM(H239:H243)</f>
        <v>0</v>
      </c>
      <c r="I238" s="726">
        <f>SUM(I239:I243)</f>
        <v>0</v>
      </c>
      <c r="J238" s="2548" t="s">
        <v>3150</v>
      </c>
      <c r="K238" s="2548" t="s">
        <v>3052</v>
      </c>
    </row>
    <row r="239" spans="1:11" ht="16.5" customHeight="1" outlineLevel="1">
      <c r="A239" s="2542"/>
      <c r="B239" s="2545"/>
      <c r="C239" s="2547"/>
      <c r="D239" s="727">
        <v>2021</v>
      </c>
      <c r="E239" s="726">
        <f t="shared" si="17"/>
        <v>8626</v>
      </c>
      <c r="F239" s="725">
        <v>8626</v>
      </c>
      <c r="G239" s="725">
        <v>0</v>
      </c>
      <c r="H239" s="725">
        <v>0</v>
      </c>
      <c r="I239" s="725">
        <v>0</v>
      </c>
      <c r="J239" s="2549"/>
      <c r="K239" s="2549"/>
    </row>
    <row r="240" spans="1:11" ht="16.5" customHeight="1" outlineLevel="1">
      <c r="A240" s="2542"/>
      <c r="B240" s="2545"/>
      <c r="C240" s="2547"/>
      <c r="D240" s="727">
        <v>2022</v>
      </c>
      <c r="E240" s="726">
        <f t="shared" si="17"/>
        <v>0</v>
      </c>
      <c r="F240" s="725">
        <v>0</v>
      </c>
      <c r="G240" s="725">
        <v>0</v>
      </c>
      <c r="H240" s="725">
        <v>0</v>
      </c>
      <c r="I240" s="725">
        <v>0</v>
      </c>
      <c r="J240" s="2549"/>
      <c r="K240" s="2549"/>
    </row>
    <row r="241" spans="1:11" ht="16.5" customHeight="1" outlineLevel="1">
      <c r="A241" s="2542"/>
      <c r="B241" s="2545"/>
      <c r="C241" s="2547"/>
      <c r="D241" s="727">
        <v>2023</v>
      </c>
      <c r="E241" s="726">
        <f t="shared" si="17"/>
        <v>0</v>
      </c>
      <c r="F241" s="725">
        <v>0</v>
      </c>
      <c r="G241" s="725">
        <v>0</v>
      </c>
      <c r="H241" s="725">
        <v>0</v>
      </c>
      <c r="I241" s="725">
        <v>0</v>
      </c>
      <c r="J241" s="2549"/>
      <c r="K241" s="2549"/>
    </row>
    <row r="242" spans="1:11" ht="16.5" customHeight="1" outlineLevel="1">
      <c r="A242" s="2542"/>
      <c r="B242" s="2545"/>
      <c r="C242" s="2547"/>
      <c r="D242" s="727">
        <v>2024</v>
      </c>
      <c r="E242" s="726">
        <f t="shared" si="17"/>
        <v>0</v>
      </c>
      <c r="F242" s="725">
        <v>0</v>
      </c>
      <c r="G242" s="725">
        <v>0</v>
      </c>
      <c r="H242" s="725">
        <v>0</v>
      </c>
      <c r="I242" s="725">
        <v>0</v>
      </c>
      <c r="J242" s="2549"/>
      <c r="K242" s="2549"/>
    </row>
    <row r="243" spans="1:11" ht="16.5" customHeight="1" outlineLevel="1">
      <c r="A243" s="2543"/>
      <c r="B243" s="2518"/>
      <c r="C243" s="2520"/>
      <c r="D243" s="727">
        <v>2025</v>
      </c>
      <c r="E243" s="726">
        <f t="shared" si="17"/>
        <v>0</v>
      </c>
      <c r="F243" s="725">
        <v>0</v>
      </c>
      <c r="G243" s="725">
        <v>0</v>
      </c>
      <c r="H243" s="725">
        <v>0</v>
      </c>
      <c r="I243" s="725">
        <v>0</v>
      </c>
      <c r="J243" s="2522"/>
      <c r="K243" s="2522"/>
    </row>
    <row r="244" spans="1:11" ht="16.5" customHeight="1" outlineLevel="1">
      <c r="A244" s="2567" t="s">
        <v>2921</v>
      </c>
      <c r="B244" s="2570" t="s">
        <v>3149</v>
      </c>
      <c r="C244" s="2557" t="s">
        <v>2989</v>
      </c>
      <c r="D244" s="762" t="s">
        <v>8</v>
      </c>
      <c r="E244" s="763">
        <f t="shared" si="17"/>
        <v>40337.442999999999</v>
      </c>
      <c r="F244" s="763">
        <f>SUM(F245:F249)</f>
        <v>40337.442999999999</v>
      </c>
      <c r="G244" s="763">
        <f>SUM(G245:G249)</f>
        <v>0</v>
      </c>
      <c r="H244" s="763">
        <f>SUM(H245:H249)</f>
        <v>0</v>
      </c>
      <c r="I244" s="763">
        <f>SUM(I245:I249)</f>
        <v>0</v>
      </c>
      <c r="J244" s="2566" t="s">
        <v>3148</v>
      </c>
      <c r="K244" s="2566" t="s">
        <v>3147</v>
      </c>
    </row>
    <row r="245" spans="1:11" ht="16.5" customHeight="1" outlineLevel="1">
      <c r="A245" s="2568"/>
      <c r="B245" s="2571"/>
      <c r="C245" s="2558"/>
      <c r="D245" s="762">
        <v>2021</v>
      </c>
      <c r="E245" s="763">
        <f t="shared" si="17"/>
        <v>0</v>
      </c>
      <c r="F245" s="764">
        <v>0</v>
      </c>
      <c r="G245" s="764">
        <v>0</v>
      </c>
      <c r="H245" s="764">
        <v>0</v>
      </c>
      <c r="I245" s="764">
        <v>0</v>
      </c>
      <c r="J245" s="2561"/>
      <c r="K245" s="2561"/>
    </row>
    <row r="246" spans="1:11" ht="16.5" customHeight="1" outlineLevel="1">
      <c r="A246" s="2568"/>
      <c r="B246" s="2571"/>
      <c r="C246" s="2558"/>
      <c r="D246" s="762">
        <v>2022</v>
      </c>
      <c r="E246" s="763">
        <f t="shared" si="17"/>
        <v>35337.442999999999</v>
      </c>
      <c r="F246" s="764">
        <f>22000+1017.443+12000+13089.787+320-13089.787</f>
        <v>35337.442999999999</v>
      </c>
      <c r="G246" s="764">
        <v>0</v>
      </c>
      <c r="H246" s="764">
        <v>0</v>
      </c>
      <c r="I246" s="764">
        <v>0</v>
      </c>
      <c r="J246" s="2561"/>
      <c r="K246" s="2561"/>
    </row>
    <row r="247" spans="1:11" ht="16.5" customHeight="1" outlineLevel="1">
      <c r="A247" s="2568"/>
      <c r="B247" s="2571"/>
      <c r="C247" s="2558"/>
      <c r="D247" s="889">
        <v>2023</v>
      </c>
      <c r="E247" s="763">
        <f t="shared" si="17"/>
        <v>5000</v>
      </c>
      <c r="F247" s="764">
        <v>5000</v>
      </c>
      <c r="G247" s="764">
        <v>0</v>
      </c>
      <c r="H247" s="764">
        <v>0</v>
      </c>
      <c r="I247" s="764">
        <v>0</v>
      </c>
      <c r="J247" s="2561"/>
      <c r="K247" s="2561"/>
    </row>
    <row r="248" spans="1:11" ht="16.5" customHeight="1" outlineLevel="1">
      <c r="A248" s="2568"/>
      <c r="B248" s="2571"/>
      <c r="C248" s="2558"/>
      <c r="D248" s="762">
        <v>2024</v>
      </c>
      <c r="E248" s="763">
        <f t="shared" si="17"/>
        <v>0</v>
      </c>
      <c r="F248" s="764">
        <v>0</v>
      </c>
      <c r="G248" s="764">
        <v>0</v>
      </c>
      <c r="H248" s="764">
        <v>0</v>
      </c>
      <c r="I248" s="764">
        <v>0</v>
      </c>
      <c r="J248" s="2561"/>
      <c r="K248" s="2561"/>
    </row>
    <row r="249" spans="1:11" ht="16.5" customHeight="1" outlineLevel="1">
      <c r="A249" s="2569"/>
      <c r="B249" s="2572"/>
      <c r="C249" s="2559"/>
      <c r="D249" s="762">
        <v>2025</v>
      </c>
      <c r="E249" s="763">
        <f t="shared" si="17"/>
        <v>0</v>
      </c>
      <c r="F249" s="764">
        <v>0</v>
      </c>
      <c r="G249" s="764">
        <v>0</v>
      </c>
      <c r="H249" s="764">
        <v>0</v>
      </c>
      <c r="I249" s="764">
        <v>0</v>
      </c>
      <c r="J249" s="2562"/>
      <c r="K249" s="2562"/>
    </row>
    <row r="250" spans="1:11" ht="16.5" customHeight="1" outlineLevel="1">
      <c r="A250" s="2541" t="s">
        <v>2923</v>
      </c>
      <c r="B250" s="2579" t="s">
        <v>2924</v>
      </c>
      <c r="C250" s="2546" t="s">
        <v>2989</v>
      </c>
      <c r="D250" s="727" t="s">
        <v>8</v>
      </c>
      <c r="E250" s="726">
        <f t="shared" si="17"/>
        <v>534</v>
      </c>
      <c r="F250" s="726">
        <f>SUM(F251:F255)</f>
        <v>534</v>
      </c>
      <c r="G250" s="726">
        <f>SUM(G251:G255)</f>
        <v>0</v>
      </c>
      <c r="H250" s="726">
        <f>SUM(H251:H255)</f>
        <v>0</v>
      </c>
      <c r="I250" s="726">
        <f>SUM(I251:I255)</f>
        <v>0</v>
      </c>
      <c r="J250" s="2548" t="s">
        <v>3146</v>
      </c>
      <c r="K250" s="2548" t="s">
        <v>3145</v>
      </c>
    </row>
    <row r="251" spans="1:11" ht="16.5" customHeight="1" outlineLevel="1">
      <c r="A251" s="2542"/>
      <c r="B251" s="2545"/>
      <c r="C251" s="2547"/>
      <c r="D251" s="727">
        <v>2021</v>
      </c>
      <c r="E251" s="726">
        <f t="shared" si="17"/>
        <v>534</v>
      </c>
      <c r="F251" s="725">
        <v>534</v>
      </c>
      <c r="G251" s="725">
        <v>0</v>
      </c>
      <c r="H251" s="725">
        <v>0</v>
      </c>
      <c r="I251" s="725">
        <v>0</v>
      </c>
      <c r="J251" s="2549"/>
      <c r="K251" s="2549"/>
    </row>
    <row r="252" spans="1:11" ht="16.5" customHeight="1" outlineLevel="1">
      <c r="A252" s="2542"/>
      <c r="B252" s="2545"/>
      <c r="C252" s="2547"/>
      <c r="D252" s="727">
        <v>2022</v>
      </c>
      <c r="E252" s="726">
        <f t="shared" si="17"/>
        <v>0</v>
      </c>
      <c r="F252" s="725">
        <v>0</v>
      </c>
      <c r="G252" s="725">
        <v>0</v>
      </c>
      <c r="H252" s="725">
        <v>0</v>
      </c>
      <c r="I252" s="725">
        <v>0</v>
      </c>
      <c r="J252" s="2549"/>
      <c r="K252" s="2549"/>
    </row>
    <row r="253" spans="1:11" ht="16.5" customHeight="1" outlineLevel="1">
      <c r="A253" s="2542"/>
      <c r="B253" s="2545"/>
      <c r="C253" s="2547"/>
      <c r="D253" s="727">
        <v>2023</v>
      </c>
      <c r="E253" s="726">
        <f t="shared" si="17"/>
        <v>0</v>
      </c>
      <c r="F253" s="725">
        <v>0</v>
      </c>
      <c r="G253" s="725">
        <v>0</v>
      </c>
      <c r="H253" s="725">
        <v>0</v>
      </c>
      <c r="I253" s="725">
        <v>0</v>
      </c>
      <c r="J253" s="2549"/>
      <c r="K253" s="2549"/>
    </row>
    <row r="254" spans="1:11" ht="16.5" customHeight="1" outlineLevel="1">
      <c r="A254" s="2542"/>
      <c r="B254" s="2545"/>
      <c r="C254" s="2547"/>
      <c r="D254" s="727">
        <v>2024</v>
      </c>
      <c r="E254" s="726">
        <f t="shared" si="17"/>
        <v>0</v>
      </c>
      <c r="F254" s="725">
        <v>0</v>
      </c>
      <c r="G254" s="725">
        <v>0</v>
      </c>
      <c r="H254" s="725">
        <v>0</v>
      </c>
      <c r="I254" s="725">
        <v>0</v>
      </c>
      <c r="J254" s="2549"/>
      <c r="K254" s="2549"/>
    </row>
    <row r="255" spans="1:11" ht="16.5" customHeight="1" outlineLevel="1">
      <c r="A255" s="2543"/>
      <c r="B255" s="2518"/>
      <c r="C255" s="2520"/>
      <c r="D255" s="727">
        <v>2025</v>
      </c>
      <c r="E255" s="726">
        <f t="shared" si="17"/>
        <v>0</v>
      </c>
      <c r="F255" s="725">
        <v>0</v>
      </c>
      <c r="G255" s="725">
        <v>0</v>
      </c>
      <c r="H255" s="725">
        <v>0</v>
      </c>
      <c r="I255" s="725">
        <v>0</v>
      </c>
      <c r="J255" s="2522"/>
      <c r="K255" s="2522"/>
    </row>
    <row r="256" spans="1:11" ht="16.5" customHeight="1" outlineLevel="1">
      <c r="A256" s="2541" t="s">
        <v>2925</v>
      </c>
      <c r="B256" s="2579" t="s">
        <v>2926</v>
      </c>
      <c r="C256" s="2546" t="s">
        <v>2989</v>
      </c>
      <c r="D256" s="727" t="s">
        <v>8</v>
      </c>
      <c r="E256" s="726">
        <f t="shared" si="17"/>
        <v>194</v>
      </c>
      <c r="F256" s="726">
        <f>SUM(F257:F261)</f>
        <v>194</v>
      </c>
      <c r="G256" s="726">
        <f>SUM(G257:G261)</f>
        <v>0</v>
      </c>
      <c r="H256" s="726">
        <f>SUM(H257:H261)</f>
        <v>0</v>
      </c>
      <c r="I256" s="726">
        <f>SUM(I257:I261)</f>
        <v>0</v>
      </c>
      <c r="J256" s="2548" t="s">
        <v>3144</v>
      </c>
      <c r="K256" s="2548" t="s">
        <v>2799</v>
      </c>
    </row>
    <row r="257" spans="1:11" ht="16.5" customHeight="1" outlineLevel="1">
      <c r="A257" s="2542"/>
      <c r="B257" s="2545"/>
      <c r="C257" s="2547"/>
      <c r="D257" s="727">
        <v>2021</v>
      </c>
      <c r="E257" s="726">
        <f t="shared" si="17"/>
        <v>194</v>
      </c>
      <c r="F257" s="725">
        <v>194</v>
      </c>
      <c r="G257" s="725">
        <v>0</v>
      </c>
      <c r="H257" s="725">
        <v>0</v>
      </c>
      <c r="I257" s="725">
        <v>0</v>
      </c>
      <c r="J257" s="2549"/>
      <c r="K257" s="2549"/>
    </row>
    <row r="258" spans="1:11" ht="16.5" customHeight="1" outlineLevel="1">
      <c r="A258" s="2542"/>
      <c r="B258" s="2545"/>
      <c r="C258" s="2547"/>
      <c r="D258" s="727">
        <v>2022</v>
      </c>
      <c r="E258" s="726">
        <f t="shared" si="17"/>
        <v>0</v>
      </c>
      <c r="F258" s="725">
        <v>0</v>
      </c>
      <c r="G258" s="725">
        <v>0</v>
      </c>
      <c r="H258" s="725">
        <v>0</v>
      </c>
      <c r="I258" s="725">
        <v>0</v>
      </c>
      <c r="J258" s="2549"/>
      <c r="K258" s="2549"/>
    </row>
    <row r="259" spans="1:11" ht="16.5" customHeight="1" outlineLevel="1">
      <c r="A259" s="2542"/>
      <c r="B259" s="2545"/>
      <c r="C259" s="2547"/>
      <c r="D259" s="727">
        <v>2023</v>
      </c>
      <c r="E259" s="726">
        <f t="shared" si="17"/>
        <v>0</v>
      </c>
      <c r="F259" s="725">
        <v>0</v>
      </c>
      <c r="G259" s="725">
        <v>0</v>
      </c>
      <c r="H259" s="725">
        <v>0</v>
      </c>
      <c r="I259" s="725">
        <v>0</v>
      </c>
      <c r="J259" s="2549"/>
      <c r="K259" s="2549"/>
    </row>
    <row r="260" spans="1:11" ht="16.5" customHeight="1" outlineLevel="1">
      <c r="A260" s="2542"/>
      <c r="B260" s="2545"/>
      <c r="C260" s="2547"/>
      <c r="D260" s="727">
        <v>2024</v>
      </c>
      <c r="E260" s="726">
        <f t="shared" si="17"/>
        <v>0</v>
      </c>
      <c r="F260" s="725">
        <v>0</v>
      </c>
      <c r="G260" s="725">
        <v>0</v>
      </c>
      <c r="H260" s="725">
        <v>0</v>
      </c>
      <c r="I260" s="725">
        <v>0</v>
      </c>
      <c r="J260" s="2549"/>
      <c r="K260" s="2549"/>
    </row>
    <row r="261" spans="1:11" ht="16.5" customHeight="1" outlineLevel="1">
      <c r="A261" s="2543"/>
      <c r="B261" s="2518"/>
      <c r="C261" s="2520"/>
      <c r="D261" s="727">
        <v>2025</v>
      </c>
      <c r="E261" s="726">
        <f t="shared" si="17"/>
        <v>0</v>
      </c>
      <c r="F261" s="725">
        <v>0</v>
      </c>
      <c r="G261" s="725">
        <v>0</v>
      </c>
      <c r="H261" s="725">
        <v>0</v>
      </c>
      <c r="I261" s="725">
        <v>0</v>
      </c>
      <c r="J261" s="2522"/>
      <c r="K261" s="2522"/>
    </row>
    <row r="262" spans="1:11" ht="16.5" customHeight="1" outlineLevel="1">
      <c r="A262" s="2541" t="s">
        <v>2927</v>
      </c>
      <c r="B262" s="2544" t="s">
        <v>2928</v>
      </c>
      <c r="C262" s="2546" t="s">
        <v>3017</v>
      </c>
      <c r="D262" s="727" t="s">
        <v>8</v>
      </c>
      <c r="E262" s="726">
        <f t="shared" si="17"/>
        <v>900</v>
      </c>
      <c r="F262" s="726">
        <f>SUM(F263:F267)</f>
        <v>900</v>
      </c>
      <c r="G262" s="726">
        <f>SUM(G263:G267)</f>
        <v>0</v>
      </c>
      <c r="H262" s="726">
        <f>SUM(H263:H267)</f>
        <v>0</v>
      </c>
      <c r="I262" s="726">
        <f>SUM(I263:I267)</f>
        <v>0</v>
      </c>
      <c r="J262" s="2548" t="s">
        <v>3143</v>
      </c>
      <c r="K262" s="2548" t="s">
        <v>2799</v>
      </c>
    </row>
    <row r="263" spans="1:11" ht="16.5" customHeight="1" outlineLevel="1">
      <c r="A263" s="2542"/>
      <c r="B263" s="2545"/>
      <c r="C263" s="2547"/>
      <c r="D263" s="727">
        <v>2021</v>
      </c>
      <c r="E263" s="726">
        <f t="shared" si="17"/>
        <v>0</v>
      </c>
      <c r="F263" s="725">
        <v>0</v>
      </c>
      <c r="G263" s="725">
        <v>0</v>
      </c>
      <c r="H263" s="725">
        <v>0</v>
      </c>
      <c r="I263" s="725">
        <v>0</v>
      </c>
      <c r="J263" s="2549"/>
      <c r="K263" s="2549"/>
    </row>
    <row r="264" spans="1:11" ht="16.5" customHeight="1" outlineLevel="1">
      <c r="A264" s="2542"/>
      <c r="B264" s="2545"/>
      <c r="C264" s="2547"/>
      <c r="D264" s="727">
        <v>2022</v>
      </c>
      <c r="E264" s="726">
        <v>900</v>
      </c>
      <c r="F264" s="725">
        <v>900</v>
      </c>
      <c r="G264" s="725">
        <v>0</v>
      </c>
      <c r="H264" s="725">
        <v>0</v>
      </c>
      <c r="I264" s="725">
        <v>0</v>
      </c>
      <c r="J264" s="2549"/>
      <c r="K264" s="2549"/>
    </row>
    <row r="265" spans="1:11" ht="16.5" customHeight="1" outlineLevel="1">
      <c r="A265" s="2542"/>
      <c r="B265" s="2545"/>
      <c r="C265" s="2547"/>
      <c r="D265" s="727">
        <v>2023</v>
      </c>
      <c r="E265" s="726">
        <f t="shared" ref="E265:E303" si="18">SUM(F265:I265)</f>
        <v>0</v>
      </c>
      <c r="F265" s="725">
        <v>0</v>
      </c>
      <c r="G265" s="725">
        <v>0</v>
      </c>
      <c r="H265" s="725">
        <v>0</v>
      </c>
      <c r="I265" s="725">
        <v>0</v>
      </c>
      <c r="J265" s="2549"/>
      <c r="K265" s="2549"/>
    </row>
    <row r="266" spans="1:11" ht="16.5" customHeight="1" outlineLevel="1">
      <c r="A266" s="2542"/>
      <c r="B266" s="2545"/>
      <c r="C266" s="2547"/>
      <c r="D266" s="727">
        <v>2024</v>
      </c>
      <c r="E266" s="726">
        <f t="shared" si="18"/>
        <v>0</v>
      </c>
      <c r="F266" s="725">
        <v>0</v>
      </c>
      <c r="G266" s="725">
        <v>0</v>
      </c>
      <c r="H266" s="725">
        <v>0</v>
      </c>
      <c r="I266" s="725">
        <v>0</v>
      </c>
      <c r="J266" s="2549"/>
      <c r="K266" s="2549"/>
    </row>
    <row r="267" spans="1:11" ht="16.5" customHeight="1" outlineLevel="1">
      <c r="A267" s="2543"/>
      <c r="B267" s="2518"/>
      <c r="C267" s="2520"/>
      <c r="D267" s="727">
        <v>2025</v>
      </c>
      <c r="E267" s="726">
        <f t="shared" si="18"/>
        <v>0</v>
      </c>
      <c r="F267" s="725">
        <v>0</v>
      </c>
      <c r="G267" s="725">
        <v>0</v>
      </c>
      <c r="H267" s="725">
        <v>0</v>
      </c>
      <c r="I267" s="725">
        <v>0</v>
      </c>
      <c r="J267" s="2522"/>
      <c r="K267" s="2522"/>
    </row>
    <row r="268" spans="1:11" ht="16.5" customHeight="1" outlineLevel="1">
      <c r="A268" s="2567" t="s">
        <v>2929</v>
      </c>
      <c r="B268" s="2570" t="s">
        <v>2930</v>
      </c>
      <c r="C268" s="2557" t="s">
        <v>3017</v>
      </c>
      <c r="D268" s="762" t="s">
        <v>8</v>
      </c>
      <c r="E268" s="763">
        <f t="shared" si="18"/>
        <v>112593.42199999999</v>
      </c>
      <c r="F268" s="763">
        <f>SUM(F269:F273)</f>
        <v>112593.42199999999</v>
      </c>
      <c r="G268" s="763">
        <f>SUM(G269:G273)</f>
        <v>0</v>
      </c>
      <c r="H268" s="763">
        <f>SUM(H269:H273)</f>
        <v>0</v>
      </c>
      <c r="I268" s="763">
        <f>SUM(I269:I273)</f>
        <v>0</v>
      </c>
      <c r="J268" s="2566" t="s">
        <v>2930</v>
      </c>
      <c r="K268" s="2566" t="s">
        <v>3034</v>
      </c>
    </row>
    <row r="269" spans="1:11" ht="16.5" customHeight="1" outlineLevel="1">
      <c r="A269" s="2568"/>
      <c r="B269" s="2571"/>
      <c r="C269" s="2558"/>
      <c r="D269" s="762">
        <v>2021</v>
      </c>
      <c r="E269" s="763">
        <f t="shared" si="18"/>
        <v>0</v>
      </c>
      <c r="F269" s="764">
        <v>0</v>
      </c>
      <c r="G269" s="764">
        <v>0</v>
      </c>
      <c r="H269" s="764">
        <v>0</v>
      </c>
      <c r="I269" s="764">
        <v>0</v>
      </c>
      <c r="J269" s="2561"/>
      <c r="K269" s="2561"/>
    </row>
    <row r="270" spans="1:11" ht="16.5" customHeight="1" outlineLevel="1">
      <c r="A270" s="2568"/>
      <c r="B270" s="2571"/>
      <c r="C270" s="2558"/>
      <c r="D270" s="762">
        <v>2022</v>
      </c>
      <c r="E270" s="763">
        <f t="shared" si="18"/>
        <v>24779.228999999999</v>
      </c>
      <c r="F270" s="764">
        <v>24779.228999999999</v>
      </c>
      <c r="G270" s="764">
        <v>0</v>
      </c>
      <c r="H270" s="764">
        <v>0</v>
      </c>
      <c r="I270" s="764">
        <v>0</v>
      </c>
      <c r="J270" s="2561"/>
      <c r="K270" s="2561"/>
    </row>
    <row r="271" spans="1:11" ht="16.5" customHeight="1" outlineLevel="1">
      <c r="A271" s="2568"/>
      <c r="B271" s="2571"/>
      <c r="C271" s="2558"/>
      <c r="D271" s="889">
        <v>2023</v>
      </c>
      <c r="E271" s="881">
        <f t="shared" si="18"/>
        <v>30187.855</v>
      </c>
      <c r="F271" s="880">
        <f>25184.8+5003.055</f>
        <v>30187.855</v>
      </c>
      <c r="G271" s="764">
        <v>0</v>
      </c>
      <c r="H271" s="764">
        <v>0</v>
      </c>
      <c r="I271" s="764">
        <v>0</v>
      </c>
      <c r="J271" s="2561"/>
      <c r="K271" s="2561"/>
    </row>
    <row r="272" spans="1:11" ht="16.5" customHeight="1" outlineLevel="1">
      <c r="A272" s="2568"/>
      <c r="B272" s="2571"/>
      <c r="C272" s="2558"/>
      <c r="D272" s="762">
        <v>2024</v>
      </c>
      <c r="E272" s="763">
        <f t="shared" si="18"/>
        <v>28813.169000000002</v>
      </c>
      <c r="F272" s="764">
        <v>28813.169000000002</v>
      </c>
      <c r="G272" s="764">
        <v>0</v>
      </c>
      <c r="H272" s="764">
        <v>0</v>
      </c>
      <c r="I272" s="764">
        <v>0</v>
      </c>
      <c r="J272" s="2561"/>
      <c r="K272" s="2561"/>
    </row>
    <row r="273" spans="1:13" ht="16.5" customHeight="1" outlineLevel="1">
      <c r="A273" s="2569"/>
      <c r="B273" s="2572"/>
      <c r="C273" s="2559"/>
      <c r="D273" s="762">
        <v>2025</v>
      </c>
      <c r="E273" s="763">
        <f t="shared" si="18"/>
        <v>28813.169000000002</v>
      </c>
      <c r="F273" s="764">
        <v>28813.169000000002</v>
      </c>
      <c r="G273" s="764">
        <v>0</v>
      </c>
      <c r="H273" s="764">
        <v>0</v>
      </c>
      <c r="I273" s="764">
        <v>0</v>
      </c>
      <c r="J273" s="2562"/>
      <c r="K273" s="2562"/>
    </row>
    <row r="274" spans="1:13" ht="16.5" customHeight="1" outlineLevel="1">
      <c r="A274" s="2541" t="s">
        <v>2931</v>
      </c>
      <c r="B274" s="2544" t="s">
        <v>3142</v>
      </c>
      <c r="C274" s="2546">
        <v>2022</v>
      </c>
      <c r="D274" s="727" t="s">
        <v>8</v>
      </c>
      <c r="E274" s="726">
        <f t="shared" si="18"/>
        <v>0</v>
      </c>
      <c r="F274" s="726">
        <f>SUM(F275:F279)</f>
        <v>0</v>
      </c>
      <c r="G274" s="726">
        <f>SUM(G275:G279)</f>
        <v>0</v>
      </c>
      <c r="H274" s="726">
        <f>SUM(H275:H279)</f>
        <v>0</v>
      </c>
      <c r="I274" s="726">
        <f>SUM(I275:I279)</f>
        <v>0</v>
      </c>
      <c r="J274" s="2548" t="s">
        <v>3141</v>
      </c>
      <c r="K274" s="2548" t="s">
        <v>3140</v>
      </c>
    </row>
    <row r="275" spans="1:13" ht="16.5" customHeight="1" outlineLevel="1">
      <c r="A275" s="2542"/>
      <c r="B275" s="2545"/>
      <c r="C275" s="2547"/>
      <c r="D275" s="727">
        <v>2021</v>
      </c>
      <c r="E275" s="726">
        <f t="shared" si="18"/>
        <v>0</v>
      </c>
      <c r="F275" s="725">
        <v>0</v>
      </c>
      <c r="G275" s="725">
        <v>0</v>
      </c>
      <c r="H275" s="725">
        <v>0</v>
      </c>
      <c r="I275" s="725">
        <v>0</v>
      </c>
      <c r="J275" s="2549"/>
      <c r="K275" s="2549"/>
    </row>
    <row r="276" spans="1:13" ht="16.5" customHeight="1" outlineLevel="1">
      <c r="A276" s="2542"/>
      <c r="B276" s="2545"/>
      <c r="C276" s="2547"/>
      <c r="D276" s="727">
        <v>2022</v>
      </c>
      <c r="E276" s="726">
        <f t="shared" si="18"/>
        <v>0</v>
      </c>
      <c r="F276" s="725">
        <v>0</v>
      </c>
      <c r="G276" s="725">
        <v>0</v>
      </c>
      <c r="H276" s="725">
        <v>0</v>
      </c>
      <c r="I276" s="725">
        <v>0</v>
      </c>
      <c r="J276" s="2549"/>
      <c r="K276" s="2549"/>
    </row>
    <row r="277" spans="1:13" ht="16.5" customHeight="1" outlineLevel="1">
      <c r="A277" s="2542"/>
      <c r="B277" s="2545"/>
      <c r="C277" s="2547"/>
      <c r="D277" s="727">
        <v>2023</v>
      </c>
      <c r="E277" s="726">
        <f t="shared" si="18"/>
        <v>0</v>
      </c>
      <c r="F277" s="725">
        <v>0</v>
      </c>
      <c r="G277" s="725">
        <v>0</v>
      </c>
      <c r="H277" s="725">
        <v>0</v>
      </c>
      <c r="I277" s="725">
        <v>0</v>
      </c>
      <c r="J277" s="2549"/>
      <c r="K277" s="2549"/>
    </row>
    <row r="278" spans="1:13" ht="16.5" customHeight="1" outlineLevel="1">
      <c r="A278" s="2542"/>
      <c r="B278" s="2545"/>
      <c r="C278" s="2547"/>
      <c r="D278" s="727">
        <v>2024</v>
      </c>
      <c r="E278" s="726">
        <f t="shared" si="18"/>
        <v>0</v>
      </c>
      <c r="F278" s="725">
        <v>0</v>
      </c>
      <c r="G278" s="725">
        <v>0</v>
      </c>
      <c r="H278" s="725">
        <v>0</v>
      </c>
      <c r="I278" s="725">
        <v>0</v>
      </c>
      <c r="J278" s="2549"/>
      <c r="K278" s="2549"/>
    </row>
    <row r="279" spans="1:13" ht="16.5" customHeight="1" outlineLevel="1">
      <c r="A279" s="2543"/>
      <c r="B279" s="2518"/>
      <c r="C279" s="2520"/>
      <c r="D279" s="727">
        <v>2025</v>
      </c>
      <c r="E279" s="726">
        <f t="shared" si="18"/>
        <v>0</v>
      </c>
      <c r="F279" s="725">
        <v>0</v>
      </c>
      <c r="G279" s="725">
        <v>0</v>
      </c>
      <c r="H279" s="725">
        <v>0</v>
      </c>
      <c r="I279" s="725">
        <v>0</v>
      </c>
      <c r="J279" s="2522"/>
      <c r="K279" s="2522"/>
    </row>
    <row r="280" spans="1:13" ht="15.75" customHeight="1" outlineLevel="1">
      <c r="A280" s="2578" t="s">
        <v>2932</v>
      </c>
      <c r="B280" s="2519" t="s">
        <v>2933</v>
      </c>
      <c r="C280" s="2521">
        <v>2022</v>
      </c>
      <c r="D280" s="727" t="s">
        <v>8</v>
      </c>
      <c r="E280" s="726">
        <f t="shared" si="18"/>
        <v>17927.877</v>
      </c>
      <c r="F280" s="726">
        <f>SUM(F281:F285)</f>
        <v>17927.877</v>
      </c>
      <c r="G280" s="726">
        <f>SUM(G281:G285)</f>
        <v>0</v>
      </c>
      <c r="H280" s="726">
        <f>SUM(H281:H285)</f>
        <v>0</v>
      </c>
      <c r="I280" s="726">
        <f>SUM(I281:I285)</f>
        <v>0</v>
      </c>
      <c r="J280" s="2523" t="s">
        <v>3139</v>
      </c>
      <c r="K280" s="2523" t="s">
        <v>3138</v>
      </c>
    </row>
    <row r="281" spans="1:13" outlineLevel="1">
      <c r="A281" s="2578"/>
      <c r="B281" s="2519"/>
      <c r="C281" s="2521"/>
      <c r="D281" s="727">
        <v>2021</v>
      </c>
      <c r="E281" s="726">
        <f t="shared" si="18"/>
        <v>0</v>
      </c>
      <c r="F281" s="726">
        <v>0</v>
      </c>
      <c r="G281" s="725">
        <v>0</v>
      </c>
      <c r="H281" s="725">
        <v>0</v>
      </c>
      <c r="I281" s="725">
        <v>0</v>
      </c>
      <c r="J281" s="2523"/>
      <c r="K281" s="2523"/>
    </row>
    <row r="282" spans="1:13" outlineLevel="1">
      <c r="A282" s="2578"/>
      <c r="B282" s="2519"/>
      <c r="C282" s="2521"/>
      <c r="D282" s="727">
        <v>2022</v>
      </c>
      <c r="E282" s="726">
        <f t="shared" si="18"/>
        <v>17927.877</v>
      </c>
      <c r="F282" s="726">
        <v>17927.877</v>
      </c>
      <c r="G282" s="725">
        <v>0</v>
      </c>
      <c r="H282" s="725">
        <v>0</v>
      </c>
      <c r="I282" s="725">
        <v>0</v>
      </c>
      <c r="J282" s="2523"/>
      <c r="K282" s="2523"/>
    </row>
    <row r="283" spans="1:13" outlineLevel="1">
      <c r="A283" s="2578"/>
      <c r="B283" s="2519"/>
      <c r="C283" s="2521"/>
      <c r="D283" s="727">
        <v>2023</v>
      </c>
      <c r="E283" s="726">
        <f t="shared" si="18"/>
        <v>0</v>
      </c>
      <c r="F283" s="726">
        <v>0</v>
      </c>
      <c r="G283" s="725">
        <v>0</v>
      </c>
      <c r="H283" s="725">
        <v>0</v>
      </c>
      <c r="I283" s="725">
        <v>0</v>
      </c>
      <c r="J283" s="2523"/>
      <c r="K283" s="2523"/>
    </row>
    <row r="284" spans="1:13" outlineLevel="1">
      <c r="A284" s="2578"/>
      <c r="B284" s="2519"/>
      <c r="C284" s="2521"/>
      <c r="D284" s="727">
        <v>2024</v>
      </c>
      <c r="E284" s="726">
        <f t="shared" si="18"/>
        <v>0</v>
      </c>
      <c r="F284" s="726">
        <v>0</v>
      </c>
      <c r="G284" s="725">
        <v>0</v>
      </c>
      <c r="H284" s="725">
        <v>0</v>
      </c>
      <c r="I284" s="725">
        <v>0</v>
      </c>
      <c r="J284" s="2523"/>
      <c r="K284" s="2523"/>
    </row>
    <row r="285" spans="1:13" outlineLevel="1">
      <c r="A285" s="2578"/>
      <c r="B285" s="2519"/>
      <c r="C285" s="2521"/>
      <c r="D285" s="727">
        <v>2025</v>
      </c>
      <c r="E285" s="726">
        <f t="shared" si="18"/>
        <v>0</v>
      </c>
      <c r="F285" s="726">
        <v>0</v>
      </c>
      <c r="G285" s="725">
        <v>0</v>
      </c>
      <c r="H285" s="725">
        <v>0</v>
      </c>
      <c r="I285" s="725">
        <v>0</v>
      </c>
      <c r="J285" s="2523"/>
      <c r="K285" s="2523"/>
    </row>
    <row r="286" spans="1:13" ht="15.75" customHeight="1" outlineLevel="1">
      <c r="A286" s="2578" t="s">
        <v>2934</v>
      </c>
      <c r="B286" s="2519" t="s">
        <v>3137</v>
      </c>
      <c r="C286" s="2521">
        <v>2022</v>
      </c>
      <c r="D286" s="727" t="s">
        <v>8</v>
      </c>
      <c r="E286" s="726">
        <f t="shared" si="18"/>
        <v>82491</v>
      </c>
      <c r="F286" s="726">
        <f>SUM(F287:F291)</f>
        <v>82491</v>
      </c>
      <c r="G286" s="726">
        <f>SUM(G287:G291)</f>
        <v>0</v>
      </c>
      <c r="H286" s="726">
        <f>SUM(H287:H291)</f>
        <v>0</v>
      </c>
      <c r="I286" s="726">
        <f>SUM(I287:I291)</f>
        <v>0</v>
      </c>
      <c r="J286" s="2523" t="s">
        <v>3136</v>
      </c>
      <c r="K286" s="2523" t="s">
        <v>3034</v>
      </c>
    </row>
    <row r="287" spans="1:13" ht="15" customHeight="1" outlineLevel="1">
      <c r="A287" s="2578"/>
      <c r="B287" s="2519"/>
      <c r="C287" s="2521"/>
      <c r="D287" s="727">
        <v>2021</v>
      </c>
      <c r="E287" s="726">
        <f t="shared" si="18"/>
        <v>0</v>
      </c>
      <c r="F287" s="726">
        <v>0</v>
      </c>
      <c r="G287" s="725">
        <v>0</v>
      </c>
      <c r="H287" s="725">
        <v>0</v>
      </c>
      <c r="I287" s="725">
        <v>0</v>
      </c>
      <c r="J287" s="2523"/>
      <c r="K287" s="2523"/>
    </row>
    <row r="288" spans="1:13" ht="15" customHeight="1" outlineLevel="1">
      <c r="A288" s="2578"/>
      <c r="B288" s="2519"/>
      <c r="C288" s="2521"/>
      <c r="D288" s="727">
        <v>2022</v>
      </c>
      <c r="E288" s="726">
        <f t="shared" si="18"/>
        <v>82491</v>
      </c>
      <c r="F288" s="726">
        <f>56859.756+25631.244</f>
        <v>82491</v>
      </c>
      <c r="G288" s="725">
        <v>0</v>
      </c>
      <c r="H288" s="725">
        <v>0</v>
      </c>
      <c r="I288" s="725">
        <v>0</v>
      </c>
      <c r="J288" s="2523"/>
      <c r="K288" s="2523"/>
      <c r="M288" s="743"/>
    </row>
    <row r="289" spans="1:11" ht="15" customHeight="1" outlineLevel="1">
      <c r="A289" s="2578"/>
      <c r="B289" s="2519"/>
      <c r="C289" s="2521"/>
      <c r="D289" s="727">
        <v>2023</v>
      </c>
      <c r="E289" s="726">
        <f t="shared" si="18"/>
        <v>0</v>
      </c>
      <c r="F289" s="726">
        <v>0</v>
      </c>
      <c r="G289" s="725">
        <v>0</v>
      </c>
      <c r="H289" s="725">
        <v>0</v>
      </c>
      <c r="I289" s="725">
        <v>0</v>
      </c>
      <c r="J289" s="2523"/>
      <c r="K289" s="2523"/>
    </row>
    <row r="290" spans="1:11" ht="15" customHeight="1" outlineLevel="1">
      <c r="A290" s="2578"/>
      <c r="B290" s="2519"/>
      <c r="C290" s="2521"/>
      <c r="D290" s="727">
        <v>2024</v>
      </c>
      <c r="E290" s="726">
        <f t="shared" si="18"/>
        <v>0</v>
      </c>
      <c r="F290" s="726">
        <v>0</v>
      </c>
      <c r="G290" s="725">
        <v>0</v>
      </c>
      <c r="H290" s="725">
        <v>0</v>
      </c>
      <c r="I290" s="725">
        <v>0</v>
      </c>
      <c r="J290" s="2523"/>
      <c r="K290" s="2523"/>
    </row>
    <row r="291" spans="1:11" ht="15" customHeight="1" outlineLevel="1">
      <c r="A291" s="2578"/>
      <c r="B291" s="2519"/>
      <c r="C291" s="2521"/>
      <c r="D291" s="727">
        <v>2025</v>
      </c>
      <c r="E291" s="726">
        <f t="shared" si="18"/>
        <v>0</v>
      </c>
      <c r="F291" s="726">
        <v>0</v>
      </c>
      <c r="G291" s="725">
        <v>0</v>
      </c>
      <c r="H291" s="725">
        <v>0</v>
      </c>
      <c r="I291" s="725">
        <v>0</v>
      </c>
      <c r="J291" s="2523"/>
      <c r="K291" s="2523"/>
    </row>
    <row r="292" spans="1:11" outlineLevel="1">
      <c r="A292" s="2578" t="s">
        <v>2935</v>
      </c>
      <c r="B292" s="2519" t="s">
        <v>3135</v>
      </c>
      <c r="C292" s="2521">
        <v>2022</v>
      </c>
      <c r="D292" s="727" t="s">
        <v>8</v>
      </c>
      <c r="E292" s="726">
        <f t="shared" si="18"/>
        <v>0</v>
      </c>
      <c r="F292" s="726">
        <f>SUM(F293:F297)</f>
        <v>0</v>
      </c>
      <c r="G292" s="726">
        <f>SUM(G293:G297)</f>
        <v>0</v>
      </c>
      <c r="H292" s="726">
        <f>SUM(H293:H297)</f>
        <v>0</v>
      </c>
      <c r="I292" s="726">
        <f>SUM(I293:I297)</f>
        <v>0</v>
      </c>
      <c r="J292" s="2523" t="s">
        <v>3134</v>
      </c>
      <c r="K292" s="2523" t="s">
        <v>3034</v>
      </c>
    </row>
    <row r="293" spans="1:11" outlineLevel="1">
      <c r="A293" s="2578"/>
      <c r="B293" s="2519"/>
      <c r="C293" s="2521"/>
      <c r="D293" s="727">
        <v>2021</v>
      </c>
      <c r="E293" s="726">
        <f t="shared" si="18"/>
        <v>0</v>
      </c>
      <c r="F293" s="726">
        <v>0</v>
      </c>
      <c r="G293" s="725">
        <v>0</v>
      </c>
      <c r="H293" s="725">
        <v>0</v>
      </c>
      <c r="I293" s="725">
        <v>0</v>
      </c>
      <c r="J293" s="2523"/>
      <c r="K293" s="2523"/>
    </row>
    <row r="294" spans="1:11" outlineLevel="1">
      <c r="A294" s="2578"/>
      <c r="B294" s="2519"/>
      <c r="C294" s="2521"/>
      <c r="D294" s="727">
        <v>2022</v>
      </c>
      <c r="E294" s="726">
        <f t="shared" si="18"/>
        <v>0</v>
      </c>
      <c r="F294" s="726">
        <v>0</v>
      </c>
      <c r="G294" s="725">
        <v>0</v>
      </c>
      <c r="H294" s="725">
        <v>0</v>
      </c>
      <c r="I294" s="725">
        <v>0</v>
      </c>
      <c r="J294" s="2523"/>
      <c r="K294" s="2523"/>
    </row>
    <row r="295" spans="1:11" outlineLevel="1">
      <c r="A295" s="2578"/>
      <c r="B295" s="2519"/>
      <c r="C295" s="2521"/>
      <c r="D295" s="727">
        <v>2023</v>
      </c>
      <c r="E295" s="726">
        <f t="shared" si="18"/>
        <v>0</v>
      </c>
      <c r="F295" s="726">
        <v>0</v>
      </c>
      <c r="G295" s="725">
        <v>0</v>
      </c>
      <c r="H295" s="725">
        <v>0</v>
      </c>
      <c r="I295" s="725">
        <v>0</v>
      </c>
      <c r="J295" s="2523"/>
      <c r="K295" s="2523"/>
    </row>
    <row r="296" spans="1:11" outlineLevel="1">
      <c r="A296" s="2578"/>
      <c r="B296" s="2519"/>
      <c r="C296" s="2521"/>
      <c r="D296" s="727">
        <v>2024</v>
      </c>
      <c r="E296" s="726">
        <f t="shared" si="18"/>
        <v>0</v>
      </c>
      <c r="F296" s="726">
        <v>0</v>
      </c>
      <c r="G296" s="725">
        <v>0</v>
      </c>
      <c r="H296" s="725">
        <v>0</v>
      </c>
      <c r="I296" s="725">
        <v>0</v>
      </c>
      <c r="J296" s="2523"/>
      <c r="K296" s="2523"/>
    </row>
    <row r="297" spans="1:11" outlineLevel="1">
      <c r="A297" s="2578"/>
      <c r="B297" s="2519"/>
      <c r="C297" s="2521"/>
      <c r="D297" s="727">
        <v>2025</v>
      </c>
      <c r="E297" s="726">
        <f t="shared" si="18"/>
        <v>0</v>
      </c>
      <c r="F297" s="726">
        <v>0</v>
      </c>
      <c r="G297" s="725">
        <v>0</v>
      </c>
      <c r="H297" s="725">
        <v>0</v>
      </c>
      <c r="I297" s="725">
        <v>0</v>
      </c>
      <c r="J297" s="2523"/>
      <c r="K297" s="2523"/>
    </row>
    <row r="298" spans="1:11" outlineLevel="1">
      <c r="A298" s="2526" t="s">
        <v>3133</v>
      </c>
      <c r="B298" s="2565" t="s">
        <v>3132</v>
      </c>
      <c r="C298" s="2527">
        <v>2022</v>
      </c>
      <c r="D298" s="762" t="s">
        <v>8</v>
      </c>
      <c r="E298" s="763">
        <f t="shared" si="18"/>
        <v>7114.4989999999998</v>
      </c>
      <c r="F298" s="763">
        <f>SUM(F299:F303)</f>
        <v>7114.4989999999998</v>
      </c>
      <c r="G298" s="763">
        <f>SUM(G299:G303)</f>
        <v>0</v>
      </c>
      <c r="H298" s="763">
        <f>SUM(H299:H303)</f>
        <v>0</v>
      </c>
      <c r="I298" s="763">
        <f>SUM(I299:I303)</f>
        <v>0</v>
      </c>
      <c r="J298" s="2528" t="s">
        <v>3131</v>
      </c>
      <c r="K298" s="2528" t="s">
        <v>3034</v>
      </c>
    </row>
    <row r="299" spans="1:11" outlineLevel="1">
      <c r="A299" s="2526"/>
      <c r="B299" s="2565"/>
      <c r="C299" s="2527"/>
      <c r="D299" s="762">
        <v>2021</v>
      </c>
      <c r="E299" s="763">
        <f t="shared" si="18"/>
        <v>0</v>
      </c>
      <c r="F299" s="763">
        <v>0</v>
      </c>
      <c r="G299" s="764">
        <v>0</v>
      </c>
      <c r="H299" s="764">
        <v>0</v>
      </c>
      <c r="I299" s="764">
        <v>0</v>
      </c>
      <c r="J299" s="2528"/>
      <c r="K299" s="2528"/>
    </row>
    <row r="300" spans="1:11" outlineLevel="1">
      <c r="A300" s="2526"/>
      <c r="B300" s="2565"/>
      <c r="C300" s="2527"/>
      <c r="D300" s="762">
        <v>2022</v>
      </c>
      <c r="E300" s="763">
        <f t="shared" si="18"/>
        <v>3486.1039999999998</v>
      </c>
      <c r="F300" s="763">
        <f>1682.37+32.07+1771.664</f>
        <v>3486.1039999999998</v>
      </c>
      <c r="G300" s="764">
        <v>0</v>
      </c>
      <c r="H300" s="764">
        <v>0</v>
      </c>
      <c r="I300" s="764">
        <v>0</v>
      </c>
      <c r="J300" s="2528"/>
      <c r="K300" s="2528"/>
    </row>
    <row r="301" spans="1:11" outlineLevel="1">
      <c r="A301" s="2526"/>
      <c r="B301" s="2565"/>
      <c r="C301" s="2527"/>
      <c r="D301" s="889">
        <v>2023</v>
      </c>
      <c r="E301" s="763">
        <f t="shared" si="18"/>
        <v>3628.395</v>
      </c>
      <c r="F301" s="763">
        <v>3628.395</v>
      </c>
      <c r="G301" s="764">
        <v>0</v>
      </c>
      <c r="H301" s="764">
        <v>0</v>
      </c>
      <c r="I301" s="764">
        <v>0</v>
      </c>
      <c r="J301" s="2528"/>
      <c r="K301" s="2528"/>
    </row>
    <row r="302" spans="1:11" outlineLevel="1">
      <c r="A302" s="2526"/>
      <c r="B302" s="2565"/>
      <c r="C302" s="2527"/>
      <c r="D302" s="762">
        <v>2024</v>
      </c>
      <c r="E302" s="763">
        <f t="shared" si="18"/>
        <v>0</v>
      </c>
      <c r="F302" s="763">
        <v>0</v>
      </c>
      <c r="G302" s="764">
        <v>0</v>
      </c>
      <c r="H302" s="764">
        <v>0</v>
      </c>
      <c r="I302" s="764">
        <v>0</v>
      </c>
      <c r="J302" s="2528"/>
      <c r="K302" s="2528"/>
    </row>
    <row r="303" spans="1:11" outlineLevel="1">
      <c r="A303" s="2526"/>
      <c r="B303" s="2565"/>
      <c r="C303" s="2527"/>
      <c r="D303" s="762">
        <v>2025</v>
      </c>
      <c r="E303" s="763">
        <f t="shared" si="18"/>
        <v>0</v>
      </c>
      <c r="F303" s="763">
        <v>0</v>
      </c>
      <c r="G303" s="764">
        <v>0</v>
      </c>
      <c r="H303" s="764">
        <v>0</v>
      </c>
      <c r="I303" s="764">
        <v>0</v>
      </c>
      <c r="J303" s="2528"/>
      <c r="K303" s="2528"/>
    </row>
    <row r="304" spans="1:11" ht="20.100000000000001" customHeight="1" outlineLevel="1">
      <c r="A304" s="2567" t="s">
        <v>3130</v>
      </c>
      <c r="B304" s="2573" t="s">
        <v>3129</v>
      </c>
      <c r="C304" s="2557" t="s">
        <v>2989</v>
      </c>
      <c r="D304" s="762" t="s">
        <v>8</v>
      </c>
      <c r="E304" s="763">
        <f>SUM(E305:E309)</f>
        <v>16200.621999999999</v>
      </c>
      <c r="F304" s="764">
        <f>SUM(F305:F309)</f>
        <v>16200.621999999999</v>
      </c>
      <c r="G304" s="764">
        <f>SUM(G305:G309)</f>
        <v>0</v>
      </c>
      <c r="H304" s="764">
        <f>SUM(H305:H309)</f>
        <v>0</v>
      </c>
      <c r="I304" s="764">
        <f>SUM(I305:I309)</f>
        <v>0</v>
      </c>
      <c r="J304" s="2570" t="s">
        <v>3128</v>
      </c>
      <c r="K304" s="2566" t="s">
        <v>3127</v>
      </c>
    </row>
    <row r="305" spans="1:11" ht="20.100000000000001" customHeight="1" outlineLevel="1">
      <c r="A305" s="2568"/>
      <c r="B305" s="2571"/>
      <c r="C305" s="2558"/>
      <c r="D305" s="762">
        <v>2021</v>
      </c>
      <c r="E305" s="763">
        <f t="shared" ref="E305:E315" si="19">SUM(F305:I305)</f>
        <v>0</v>
      </c>
      <c r="F305" s="764">
        <v>0</v>
      </c>
      <c r="G305" s="764">
        <v>0</v>
      </c>
      <c r="H305" s="764">
        <v>0</v>
      </c>
      <c r="I305" s="764">
        <v>0</v>
      </c>
      <c r="J305" s="2571"/>
      <c r="K305" s="2561"/>
    </row>
    <row r="306" spans="1:11" ht="20.100000000000001" customHeight="1" outlineLevel="1">
      <c r="A306" s="2568"/>
      <c r="B306" s="2571"/>
      <c r="C306" s="2558"/>
      <c r="D306" s="762">
        <v>2022</v>
      </c>
      <c r="E306" s="763">
        <f t="shared" si="19"/>
        <v>0</v>
      </c>
      <c r="F306" s="764">
        <v>0</v>
      </c>
      <c r="G306" s="764">
        <v>0</v>
      </c>
      <c r="H306" s="764">
        <v>0</v>
      </c>
      <c r="I306" s="764">
        <v>0</v>
      </c>
      <c r="J306" s="2571"/>
      <c r="K306" s="2561"/>
    </row>
    <row r="307" spans="1:11" ht="20.100000000000001" customHeight="1" outlineLevel="1">
      <c r="A307" s="2568"/>
      <c r="B307" s="2571"/>
      <c r="C307" s="2558"/>
      <c r="D307" s="897">
        <v>2023</v>
      </c>
      <c r="E307" s="899">
        <f t="shared" si="19"/>
        <v>16200.621999999999</v>
      </c>
      <c r="F307" s="900">
        <v>16200.621999999999</v>
      </c>
      <c r="G307" s="764">
        <v>0</v>
      </c>
      <c r="H307" s="764">
        <v>0</v>
      </c>
      <c r="I307" s="764">
        <v>0</v>
      </c>
      <c r="J307" s="2571"/>
      <c r="K307" s="2561"/>
    </row>
    <row r="308" spans="1:11" ht="20.100000000000001" customHeight="1" outlineLevel="1">
      <c r="A308" s="2568"/>
      <c r="B308" s="2571"/>
      <c r="C308" s="2558"/>
      <c r="D308" s="762">
        <v>2024</v>
      </c>
      <c r="E308" s="763">
        <f t="shared" si="19"/>
        <v>0</v>
      </c>
      <c r="F308" s="764">
        <v>0</v>
      </c>
      <c r="G308" s="764">
        <v>0</v>
      </c>
      <c r="H308" s="764">
        <v>0</v>
      </c>
      <c r="I308" s="764">
        <v>0</v>
      </c>
      <c r="J308" s="2571"/>
      <c r="K308" s="2561"/>
    </row>
    <row r="309" spans="1:11" ht="20.100000000000001" customHeight="1" outlineLevel="1">
      <c r="A309" s="2569"/>
      <c r="B309" s="2572"/>
      <c r="C309" s="2559"/>
      <c r="D309" s="762">
        <v>2025</v>
      </c>
      <c r="E309" s="763">
        <f t="shared" si="19"/>
        <v>0</v>
      </c>
      <c r="F309" s="764">
        <v>0</v>
      </c>
      <c r="G309" s="764">
        <v>0</v>
      </c>
      <c r="H309" s="764">
        <v>0</v>
      </c>
      <c r="I309" s="764">
        <v>0</v>
      </c>
      <c r="J309" s="2572"/>
      <c r="K309" s="2562"/>
    </row>
    <row r="310" spans="1:11" ht="36.75" customHeight="1" outlineLevel="1">
      <c r="A310" s="2502" t="s">
        <v>3126</v>
      </c>
      <c r="B310" s="2503" t="s">
        <v>2936</v>
      </c>
      <c r="C310" s="2504" t="s">
        <v>2989</v>
      </c>
      <c r="D310" s="765" t="s">
        <v>8</v>
      </c>
      <c r="E310" s="766">
        <f t="shared" si="19"/>
        <v>305334.17021000001</v>
      </c>
      <c r="F310" s="766">
        <f>SUM(F311:F315)</f>
        <v>219800</v>
      </c>
      <c r="G310" s="766">
        <f>SUM(G311:G315)</f>
        <v>0</v>
      </c>
      <c r="H310" s="766">
        <f>SUM(H311:H315)</f>
        <v>85534.170209999997</v>
      </c>
      <c r="I310" s="766">
        <f>SUM(I311:I315)</f>
        <v>0</v>
      </c>
      <c r="J310" s="2505" t="s">
        <v>3125</v>
      </c>
      <c r="K310" s="2505" t="s">
        <v>2852</v>
      </c>
    </row>
    <row r="311" spans="1:11" ht="30.75" customHeight="1" outlineLevel="1">
      <c r="A311" s="2502"/>
      <c r="B311" s="2503"/>
      <c r="C311" s="2504"/>
      <c r="D311" s="765">
        <v>2021</v>
      </c>
      <c r="E311" s="766">
        <f t="shared" si="19"/>
        <v>54717.700210000003</v>
      </c>
      <c r="F311" s="766">
        <f t="shared" ref="F311:I315" si="20">F323+F317</f>
        <v>41400</v>
      </c>
      <c r="G311" s="766">
        <f t="shared" si="20"/>
        <v>0</v>
      </c>
      <c r="H311" s="766">
        <f t="shared" si="20"/>
        <v>13317.700210000001</v>
      </c>
      <c r="I311" s="766">
        <f t="shared" si="20"/>
        <v>0</v>
      </c>
      <c r="J311" s="2505"/>
      <c r="K311" s="2505"/>
    </row>
    <row r="312" spans="1:11" ht="40.5" customHeight="1" outlineLevel="1">
      <c r="A312" s="2502"/>
      <c r="B312" s="2503"/>
      <c r="C312" s="2504"/>
      <c r="D312" s="765">
        <v>2022</v>
      </c>
      <c r="E312" s="766">
        <f t="shared" si="19"/>
        <v>67577.179999999993</v>
      </c>
      <c r="F312" s="766">
        <f t="shared" si="20"/>
        <v>47800</v>
      </c>
      <c r="G312" s="766">
        <f t="shared" si="20"/>
        <v>0</v>
      </c>
      <c r="H312" s="766">
        <f t="shared" si="20"/>
        <v>19777.18</v>
      </c>
      <c r="I312" s="766">
        <f t="shared" si="20"/>
        <v>0</v>
      </c>
      <c r="J312" s="2505"/>
      <c r="K312" s="2505"/>
    </row>
    <row r="313" spans="1:11" ht="35.25" customHeight="1" outlineLevel="1">
      <c r="A313" s="2502"/>
      <c r="B313" s="2503"/>
      <c r="C313" s="2504"/>
      <c r="D313" s="811">
        <v>2023</v>
      </c>
      <c r="E313" s="812">
        <f t="shared" si="19"/>
        <v>67577.23</v>
      </c>
      <c r="F313" s="812">
        <f t="shared" si="20"/>
        <v>47800</v>
      </c>
      <c r="G313" s="812">
        <f t="shared" si="20"/>
        <v>0</v>
      </c>
      <c r="H313" s="812">
        <f t="shared" si="20"/>
        <v>19777.23</v>
      </c>
      <c r="I313" s="812">
        <f t="shared" si="20"/>
        <v>0</v>
      </c>
      <c r="J313" s="2505"/>
      <c r="K313" s="2505"/>
    </row>
    <row r="314" spans="1:11" ht="30" customHeight="1" outlineLevel="1">
      <c r="A314" s="2502"/>
      <c r="B314" s="2503"/>
      <c r="C314" s="2504"/>
      <c r="D314" s="765">
        <v>2024</v>
      </c>
      <c r="E314" s="766">
        <f t="shared" si="19"/>
        <v>57731.03</v>
      </c>
      <c r="F314" s="766">
        <f t="shared" si="20"/>
        <v>41400</v>
      </c>
      <c r="G314" s="766">
        <f t="shared" si="20"/>
        <v>0</v>
      </c>
      <c r="H314" s="766">
        <f t="shared" si="20"/>
        <v>16331.03</v>
      </c>
      <c r="I314" s="766">
        <f t="shared" si="20"/>
        <v>0</v>
      </c>
      <c r="J314" s="2505"/>
      <c r="K314" s="2505"/>
    </row>
    <row r="315" spans="1:11" ht="33.75" customHeight="1" outlineLevel="1">
      <c r="A315" s="2502"/>
      <c r="B315" s="2503"/>
      <c r="C315" s="2504"/>
      <c r="D315" s="765">
        <v>2025</v>
      </c>
      <c r="E315" s="766">
        <f t="shared" si="19"/>
        <v>57731.03</v>
      </c>
      <c r="F315" s="766">
        <f t="shared" si="20"/>
        <v>41400</v>
      </c>
      <c r="G315" s="766">
        <f t="shared" si="20"/>
        <v>0</v>
      </c>
      <c r="H315" s="766">
        <f t="shared" si="20"/>
        <v>16331.03</v>
      </c>
      <c r="I315" s="766">
        <f t="shared" si="20"/>
        <v>0</v>
      </c>
      <c r="J315" s="2505"/>
      <c r="K315" s="2505"/>
    </row>
    <row r="316" spans="1:11" ht="17.100000000000001" customHeight="1" outlineLevel="1">
      <c r="A316" s="2567" t="s">
        <v>3124</v>
      </c>
      <c r="B316" s="2570" t="s">
        <v>2937</v>
      </c>
      <c r="C316" s="2557">
        <v>2021</v>
      </c>
      <c r="D316" s="762" t="s">
        <v>8</v>
      </c>
      <c r="E316" s="763">
        <f>SUM(E317:E321)</f>
        <v>29493.268840000001</v>
      </c>
      <c r="F316" s="764">
        <f>SUM(F317:F321)</f>
        <v>19200</v>
      </c>
      <c r="G316" s="764">
        <f>SUM(G317:G321)</f>
        <v>0</v>
      </c>
      <c r="H316" s="764">
        <f>SUM(H317:H321)</f>
        <v>10293.268840000001</v>
      </c>
      <c r="I316" s="764">
        <f>SUM(I317:I321)</f>
        <v>0</v>
      </c>
      <c r="J316" s="2566" t="s">
        <v>2818</v>
      </c>
      <c r="K316" s="2566" t="s">
        <v>2852</v>
      </c>
    </row>
    <row r="317" spans="1:11" ht="27" customHeight="1" outlineLevel="1">
      <c r="A317" s="2568"/>
      <c r="B317" s="2571"/>
      <c r="C317" s="2558"/>
      <c r="D317" s="762">
        <v>2021</v>
      </c>
      <c r="E317" s="763">
        <f>SUM(F317:I317)</f>
        <v>9800.9188400000003</v>
      </c>
      <c r="F317" s="764">
        <v>6400</v>
      </c>
      <c r="G317" s="764">
        <v>0</v>
      </c>
      <c r="H317" s="764">
        <v>3400.9188399999998</v>
      </c>
      <c r="I317" s="764">
        <v>0</v>
      </c>
      <c r="J317" s="2561"/>
      <c r="K317" s="2561"/>
    </row>
    <row r="318" spans="1:11" ht="23.25" customHeight="1" outlineLevel="1">
      <c r="A318" s="2568"/>
      <c r="B318" s="2571"/>
      <c r="C318" s="2558"/>
      <c r="D318" s="762">
        <v>2022</v>
      </c>
      <c r="E318" s="763">
        <f>SUM(F318:I318)</f>
        <v>9846.15</v>
      </c>
      <c r="F318" s="764">
        <v>6400</v>
      </c>
      <c r="G318" s="764">
        <v>0</v>
      </c>
      <c r="H318" s="764">
        <v>3446.15</v>
      </c>
      <c r="I318" s="764">
        <v>0</v>
      </c>
      <c r="J318" s="2561"/>
      <c r="K318" s="2561"/>
    </row>
    <row r="319" spans="1:11" ht="25.5" customHeight="1" outlineLevel="1">
      <c r="A319" s="2568"/>
      <c r="B319" s="2571"/>
      <c r="C319" s="2558"/>
      <c r="D319" s="898">
        <v>2023</v>
      </c>
      <c r="E319" s="763">
        <f>SUM(F319:I319)</f>
        <v>9846.2000000000007</v>
      </c>
      <c r="F319" s="764">
        <v>6400</v>
      </c>
      <c r="G319" s="764">
        <v>0</v>
      </c>
      <c r="H319" s="764">
        <v>3446.2</v>
      </c>
      <c r="I319" s="764">
        <v>0</v>
      </c>
      <c r="J319" s="2561"/>
      <c r="K319" s="2561"/>
    </row>
    <row r="320" spans="1:11" ht="25.5" customHeight="1" outlineLevel="1">
      <c r="A320" s="2568"/>
      <c r="B320" s="2571"/>
      <c r="C320" s="2558"/>
      <c r="D320" s="762">
        <v>2024</v>
      </c>
      <c r="E320" s="763">
        <f>SUM(F320:I320)</f>
        <v>0</v>
      </c>
      <c r="F320" s="764">
        <v>0</v>
      </c>
      <c r="G320" s="764">
        <v>0</v>
      </c>
      <c r="H320" s="764">
        <v>0</v>
      </c>
      <c r="I320" s="764">
        <v>0</v>
      </c>
      <c r="J320" s="2561"/>
      <c r="K320" s="2561"/>
    </row>
    <row r="321" spans="1:11" ht="21.75" customHeight="1" outlineLevel="1">
      <c r="A321" s="2569"/>
      <c r="B321" s="2572"/>
      <c r="C321" s="2559"/>
      <c r="D321" s="762">
        <v>2025</v>
      </c>
      <c r="E321" s="763">
        <f>SUM(F321:I321)</f>
        <v>0</v>
      </c>
      <c r="F321" s="764">
        <v>0</v>
      </c>
      <c r="G321" s="764">
        <v>0</v>
      </c>
      <c r="H321" s="764">
        <v>0</v>
      </c>
      <c r="I321" s="764">
        <v>0</v>
      </c>
      <c r="J321" s="2562"/>
      <c r="K321" s="2562"/>
    </row>
    <row r="322" spans="1:11" ht="20.100000000000001" customHeight="1" outlineLevel="1">
      <c r="A322" s="2567" t="s">
        <v>3123</v>
      </c>
      <c r="B322" s="2570" t="s">
        <v>2819</v>
      </c>
      <c r="C322" s="2557" t="s">
        <v>2989</v>
      </c>
      <c r="D322" s="762" t="s">
        <v>8</v>
      </c>
      <c r="E322" s="763">
        <f>SUM(E323:E327)</f>
        <v>275840.90136999998</v>
      </c>
      <c r="F322" s="764">
        <f>SUM(F323:F327)</f>
        <v>200600</v>
      </c>
      <c r="G322" s="764">
        <f>SUM(G323:G327)</f>
        <v>0</v>
      </c>
      <c r="H322" s="764">
        <f>SUM(H323:H327)</f>
        <v>75240.901370000007</v>
      </c>
      <c r="I322" s="764">
        <f>SUM(I323:I327)</f>
        <v>0</v>
      </c>
      <c r="J322" s="2566" t="s">
        <v>2820</v>
      </c>
      <c r="K322" s="2566" t="s">
        <v>2852</v>
      </c>
    </row>
    <row r="323" spans="1:11" ht="20.100000000000001" customHeight="1" outlineLevel="1">
      <c r="A323" s="2568"/>
      <c r="B323" s="2571"/>
      <c r="C323" s="2558"/>
      <c r="D323" s="762">
        <v>2021</v>
      </c>
      <c r="E323" s="763">
        <f t="shared" ref="E323:E357" si="21">SUM(F323:I323)</f>
        <v>44916.781369999997</v>
      </c>
      <c r="F323" s="764">
        <v>35000</v>
      </c>
      <c r="G323" s="764">
        <v>0</v>
      </c>
      <c r="H323" s="764">
        <v>9916.7813700000006</v>
      </c>
      <c r="I323" s="764">
        <v>0</v>
      </c>
      <c r="J323" s="2561"/>
      <c r="K323" s="2561"/>
    </row>
    <row r="324" spans="1:11" ht="20.100000000000001" customHeight="1" outlineLevel="1">
      <c r="A324" s="2568"/>
      <c r="B324" s="2571"/>
      <c r="C324" s="2558"/>
      <c r="D324" s="762">
        <v>2022</v>
      </c>
      <c r="E324" s="763">
        <f t="shared" si="21"/>
        <v>57731.03</v>
      </c>
      <c r="F324" s="764">
        <v>41400</v>
      </c>
      <c r="G324" s="764">
        <v>0</v>
      </c>
      <c r="H324" s="764">
        <v>16331.03</v>
      </c>
      <c r="I324" s="764">
        <v>0</v>
      </c>
      <c r="J324" s="2561"/>
      <c r="K324" s="2561"/>
    </row>
    <row r="325" spans="1:11" ht="20.100000000000001" customHeight="1" outlineLevel="1">
      <c r="A325" s="2568"/>
      <c r="B325" s="2571"/>
      <c r="C325" s="2558"/>
      <c r="D325" s="898">
        <v>2023</v>
      </c>
      <c r="E325" s="763">
        <f t="shared" si="21"/>
        <v>57731.03</v>
      </c>
      <c r="F325" s="764">
        <v>41400</v>
      </c>
      <c r="G325" s="764">
        <v>0</v>
      </c>
      <c r="H325" s="764">
        <v>16331.03</v>
      </c>
      <c r="I325" s="764">
        <v>0</v>
      </c>
      <c r="J325" s="2561"/>
      <c r="K325" s="2561"/>
    </row>
    <row r="326" spans="1:11" ht="20.100000000000001" customHeight="1" outlineLevel="1">
      <c r="A326" s="2568"/>
      <c r="B326" s="2571"/>
      <c r="C326" s="2558"/>
      <c r="D326" s="762">
        <v>2024</v>
      </c>
      <c r="E326" s="763">
        <f t="shared" si="21"/>
        <v>57731.03</v>
      </c>
      <c r="F326" s="764">
        <v>41400</v>
      </c>
      <c r="G326" s="764">
        <v>0</v>
      </c>
      <c r="H326" s="764">
        <v>16331.03</v>
      </c>
      <c r="I326" s="764">
        <v>0</v>
      </c>
      <c r="J326" s="2561"/>
      <c r="K326" s="2561"/>
    </row>
    <row r="327" spans="1:11" ht="20.100000000000001" customHeight="1" outlineLevel="1">
      <c r="A327" s="2569"/>
      <c r="B327" s="2572"/>
      <c r="C327" s="2559"/>
      <c r="D327" s="762">
        <v>2025</v>
      </c>
      <c r="E327" s="763">
        <f t="shared" si="21"/>
        <v>57731.03</v>
      </c>
      <c r="F327" s="764">
        <v>41400</v>
      </c>
      <c r="G327" s="764">
        <v>0</v>
      </c>
      <c r="H327" s="764">
        <v>16331.03</v>
      </c>
      <c r="I327" s="764">
        <v>0</v>
      </c>
      <c r="J327" s="2562"/>
      <c r="K327" s="2562"/>
    </row>
    <row r="328" spans="1:11" ht="15.75" customHeight="1" outlineLevel="1">
      <c r="A328" s="2502" t="s">
        <v>3122</v>
      </c>
      <c r="B328" s="2503" t="s">
        <v>631</v>
      </c>
      <c r="C328" s="2504" t="s">
        <v>3115</v>
      </c>
      <c r="D328" s="765" t="s">
        <v>8</v>
      </c>
      <c r="E328" s="766">
        <f t="shared" si="21"/>
        <v>80813.917870000005</v>
      </c>
      <c r="F328" s="766">
        <f>SUM(F329:F333)</f>
        <v>9397.2178700000004</v>
      </c>
      <c r="G328" s="766">
        <f>SUM(G329:G333)</f>
        <v>71416.7</v>
      </c>
      <c r="H328" s="766">
        <f>SUM(H329:H333)</f>
        <v>0</v>
      </c>
      <c r="I328" s="766">
        <f>SUM(I329:I333)</f>
        <v>0</v>
      </c>
      <c r="J328" s="2505" t="s">
        <v>3121</v>
      </c>
      <c r="K328" s="2505" t="s">
        <v>3066</v>
      </c>
    </row>
    <row r="329" spans="1:11" outlineLevel="1">
      <c r="A329" s="2502"/>
      <c r="B329" s="2503"/>
      <c r="C329" s="2504"/>
      <c r="D329" s="765">
        <v>2021</v>
      </c>
      <c r="E329" s="766">
        <f t="shared" si="21"/>
        <v>27296.712679999997</v>
      </c>
      <c r="F329" s="768">
        <f t="shared" ref="F329:I333" si="22">F335+F341</f>
        <v>3105.6126800000002</v>
      </c>
      <c r="G329" s="768">
        <f t="shared" si="22"/>
        <v>24191.1</v>
      </c>
      <c r="H329" s="768">
        <f t="shared" si="22"/>
        <v>0</v>
      </c>
      <c r="I329" s="768">
        <f t="shared" si="22"/>
        <v>0</v>
      </c>
      <c r="J329" s="2505"/>
      <c r="K329" s="2505"/>
    </row>
    <row r="330" spans="1:11" outlineLevel="1">
      <c r="A330" s="2502"/>
      <c r="B330" s="2503"/>
      <c r="C330" s="2504"/>
      <c r="D330" s="765">
        <v>2022</v>
      </c>
      <c r="E330" s="766">
        <f t="shared" si="21"/>
        <v>18900.377</v>
      </c>
      <c r="F330" s="768">
        <f t="shared" si="22"/>
        <v>2711.0770000000002</v>
      </c>
      <c r="G330" s="768">
        <f t="shared" si="22"/>
        <v>16189.3</v>
      </c>
      <c r="H330" s="768">
        <f t="shared" si="22"/>
        <v>0</v>
      </c>
      <c r="I330" s="768">
        <f t="shared" si="22"/>
        <v>0</v>
      </c>
      <c r="J330" s="2505"/>
      <c r="K330" s="2505"/>
    </row>
    <row r="331" spans="1:11" outlineLevel="1">
      <c r="A331" s="2502"/>
      <c r="B331" s="2503"/>
      <c r="C331" s="2504"/>
      <c r="D331" s="811">
        <v>2023</v>
      </c>
      <c r="E331" s="812">
        <f t="shared" si="21"/>
        <v>11806.91419</v>
      </c>
      <c r="F331" s="813">
        <f t="shared" si="22"/>
        <v>708.41418999999996</v>
      </c>
      <c r="G331" s="813">
        <f t="shared" si="22"/>
        <v>11098.5</v>
      </c>
      <c r="H331" s="813">
        <f t="shared" si="22"/>
        <v>0</v>
      </c>
      <c r="I331" s="813">
        <f t="shared" si="22"/>
        <v>0</v>
      </c>
      <c r="J331" s="2505"/>
      <c r="K331" s="2505"/>
    </row>
    <row r="332" spans="1:11" outlineLevel="1">
      <c r="A332" s="2502"/>
      <c r="B332" s="2503"/>
      <c r="C332" s="2504"/>
      <c r="D332" s="765">
        <v>2024</v>
      </c>
      <c r="E332" s="766">
        <f t="shared" si="21"/>
        <v>22809.914000000001</v>
      </c>
      <c r="F332" s="768">
        <f t="shared" si="22"/>
        <v>2872.114</v>
      </c>
      <c r="G332" s="768">
        <f t="shared" si="22"/>
        <v>19937.8</v>
      </c>
      <c r="H332" s="768">
        <f t="shared" si="22"/>
        <v>0</v>
      </c>
      <c r="I332" s="768">
        <f t="shared" si="22"/>
        <v>0</v>
      </c>
      <c r="J332" s="2505"/>
      <c r="K332" s="2505"/>
    </row>
    <row r="333" spans="1:11" outlineLevel="1">
      <c r="A333" s="2502"/>
      <c r="B333" s="2503"/>
      <c r="C333" s="2504"/>
      <c r="D333" s="765">
        <v>2025</v>
      </c>
      <c r="E333" s="766">
        <f t="shared" si="21"/>
        <v>0</v>
      </c>
      <c r="F333" s="768">
        <f t="shared" si="22"/>
        <v>0</v>
      </c>
      <c r="G333" s="768">
        <f t="shared" si="22"/>
        <v>0</v>
      </c>
      <c r="H333" s="768">
        <f t="shared" si="22"/>
        <v>0</v>
      </c>
      <c r="I333" s="768">
        <f t="shared" si="22"/>
        <v>0</v>
      </c>
      <c r="J333" s="2505"/>
      <c r="K333" s="2505"/>
    </row>
    <row r="334" spans="1:11" ht="19.5" customHeight="1" outlineLevel="1">
      <c r="A334" s="2526" t="s">
        <v>3120</v>
      </c>
      <c r="B334" s="2565" t="s">
        <v>3119</v>
      </c>
      <c r="C334" s="2527" t="s">
        <v>3115</v>
      </c>
      <c r="D334" s="762" t="s">
        <v>8</v>
      </c>
      <c r="E334" s="763">
        <f t="shared" si="21"/>
        <v>56909.705319999994</v>
      </c>
      <c r="F334" s="763">
        <f>SUM(F335:F339)</f>
        <v>3414.5053199999998</v>
      </c>
      <c r="G334" s="763">
        <f>SUM(G335:G339)</f>
        <v>53495.199999999997</v>
      </c>
      <c r="H334" s="763">
        <f>SUM(H335:H339)</f>
        <v>0</v>
      </c>
      <c r="I334" s="763">
        <f>SUM(I335:I339)</f>
        <v>0</v>
      </c>
      <c r="J334" s="2528" t="s">
        <v>3118</v>
      </c>
      <c r="K334" s="2528" t="s">
        <v>2852</v>
      </c>
    </row>
    <row r="335" spans="1:11" ht="15" customHeight="1" outlineLevel="1">
      <c r="A335" s="2526"/>
      <c r="B335" s="2565"/>
      <c r="C335" s="2527"/>
      <c r="D335" s="762">
        <v>2021</v>
      </c>
      <c r="E335" s="763">
        <f t="shared" si="21"/>
        <v>20914.599999999999</v>
      </c>
      <c r="F335" s="763">
        <v>1254.8</v>
      </c>
      <c r="G335" s="764">
        <v>19659.8</v>
      </c>
      <c r="H335" s="764">
        <v>0</v>
      </c>
      <c r="I335" s="764">
        <v>0</v>
      </c>
      <c r="J335" s="2528"/>
      <c r="K335" s="2528"/>
    </row>
    <row r="336" spans="1:11" ht="16.5" customHeight="1" outlineLevel="1">
      <c r="A336" s="2526"/>
      <c r="B336" s="2565"/>
      <c r="C336" s="2527"/>
      <c r="D336" s="762">
        <v>2022</v>
      </c>
      <c r="E336" s="763">
        <f t="shared" si="21"/>
        <v>12043.617</v>
      </c>
      <c r="F336" s="763">
        <v>722.61699999999996</v>
      </c>
      <c r="G336" s="764">
        <v>11321</v>
      </c>
      <c r="H336" s="764">
        <v>0</v>
      </c>
      <c r="I336" s="764">
        <v>0</v>
      </c>
      <c r="J336" s="2528"/>
      <c r="K336" s="2528"/>
    </row>
    <row r="337" spans="1:11" ht="14.25" customHeight="1" outlineLevel="1">
      <c r="A337" s="2526"/>
      <c r="B337" s="2565"/>
      <c r="C337" s="2527"/>
      <c r="D337" s="903">
        <v>2023</v>
      </c>
      <c r="E337" s="914">
        <f t="shared" si="21"/>
        <v>7678.6163199999992</v>
      </c>
      <c r="F337" s="914">
        <f>938.361-477.64468</f>
        <v>460.71632</v>
      </c>
      <c r="G337" s="915">
        <v>7217.9</v>
      </c>
      <c r="H337" s="764">
        <v>0</v>
      </c>
      <c r="I337" s="764">
        <v>0</v>
      </c>
      <c r="J337" s="2528"/>
      <c r="K337" s="2528"/>
    </row>
    <row r="338" spans="1:11" ht="12.75" customHeight="1" outlineLevel="1">
      <c r="A338" s="2526"/>
      <c r="B338" s="2565"/>
      <c r="C338" s="2527"/>
      <c r="D338" s="762">
        <v>2024</v>
      </c>
      <c r="E338" s="763">
        <f t="shared" si="21"/>
        <v>16272.871999999999</v>
      </c>
      <c r="F338" s="763">
        <v>976.37199999999996</v>
      </c>
      <c r="G338" s="764">
        <v>15296.5</v>
      </c>
      <c r="H338" s="764">
        <v>0</v>
      </c>
      <c r="I338" s="764">
        <v>0</v>
      </c>
      <c r="J338" s="2528"/>
      <c r="K338" s="2528"/>
    </row>
    <row r="339" spans="1:11" ht="14.25" customHeight="1" outlineLevel="1">
      <c r="A339" s="2526"/>
      <c r="B339" s="2565"/>
      <c r="C339" s="2527"/>
      <c r="D339" s="762">
        <v>2025</v>
      </c>
      <c r="E339" s="763">
        <f t="shared" si="21"/>
        <v>0</v>
      </c>
      <c r="F339" s="763">
        <v>0</v>
      </c>
      <c r="G339" s="764">
        <v>0</v>
      </c>
      <c r="H339" s="764">
        <v>0</v>
      </c>
      <c r="I339" s="764">
        <v>0</v>
      </c>
      <c r="J339" s="2528"/>
      <c r="K339" s="2528"/>
    </row>
    <row r="340" spans="1:11" ht="15.95" customHeight="1">
      <c r="A340" s="2526" t="s">
        <v>3117</v>
      </c>
      <c r="B340" s="2565" t="s">
        <v>3116</v>
      </c>
      <c r="C340" s="2527" t="s">
        <v>3115</v>
      </c>
      <c r="D340" s="762" t="s">
        <v>8</v>
      </c>
      <c r="E340" s="763">
        <f t="shared" si="21"/>
        <v>23904.21255</v>
      </c>
      <c r="F340" s="763">
        <f>SUM(F341:F345)</f>
        <v>5982.7125500000002</v>
      </c>
      <c r="G340" s="763">
        <f>SUM(G341:G345)</f>
        <v>17921.5</v>
      </c>
      <c r="H340" s="763">
        <f>SUM(H341:H345)</f>
        <v>0</v>
      </c>
      <c r="I340" s="763">
        <f>SUM(I341:I345)</f>
        <v>0</v>
      </c>
      <c r="J340" s="2528" t="s">
        <v>3114</v>
      </c>
      <c r="K340" s="2528" t="s">
        <v>3066</v>
      </c>
    </row>
    <row r="341" spans="1:11" ht="15.95" customHeight="1">
      <c r="A341" s="2526"/>
      <c r="B341" s="2565"/>
      <c r="C341" s="2527"/>
      <c r="D341" s="762">
        <v>2021</v>
      </c>
      <c r="E341" s="763">
        <f t="shared" si="21"/>
        <v>6382.1126800000002</v>
      </c>
      <c r="F341" s="763">
        <v>1850.81268</v>
      </c>
      <c r="G341" s="764">
        <v>4531.3</v>
      </c>
      <c r="H341" s="764">
        <v>0</v>
      </c>
      <c r="I341" s="764">
        <v>0</v>
      </c>
      <c r="J341" s="2528"/>
      <c r="K341" s="2528"/>
    </row>
    <row r="342" spans="1:11" ht="15.95" customHeight="1">
      <c r="A342" s="2526"/>
      <c r="B342" s="2565"/>
      <c r="C342" s="2527"/>
      <c r="D342" s="762">
        <v>2022</v>
      </c>
      <c r="E342" s="763">
        <f t="shared" si="21"/>
        <v>6856.76</v>
      </c>
      <c r="F342" s="763">
        <v>1988.46</v>
      </c>
      <c r="G342" s="764">
        <v>4868.3</v>
      </c>
      <c r="H342" s="764">
        <v>0</v>
      </c>
      <c r="I342" s="764">
        <v>0</v>
      </c>
      <c r="J342" s="2528"/>
      <c r="K342" s="2528"/>
    </row>
    <row r="343" spans="1:11" ht="15.95" customHeight="1">
      <c r="A343" s="2526"/>
      <c r="B343" s="2565"/>
      <c r="C343" s="2527"/>
      <c r="D343" s="808">
        <v>2023</v>
      </c>
      <c r="E343" s="814">
        <f t="shared" si="21"/>
        <v>4128.2978700000003</v>
      </c>
      <c r="F343" s="814">
        <f>1812.41254-1564.71467</f>
        <v>247.69786999999997</v>
      </c>
      <c r="G343" s="815">
        <v>3880.6</v>
      </c>
      <c r="H343" s="810">
        <v>0</v>
      </c>
      <c r="I343" s="810">
        <v>0</v>
      </c>
      <c r="J343" s="2528"/>
      <c r="K343" s="2528"/>
    </row>
    <row r="344" spans="1:11" ht="15.95" customHeight="1">
      <c r="A344" s="2526"/>
      <c r="B344" s="2565"/>
      <c r="C344" s="2527"/>
      <c r="D344" s="762">
        <v>2024</v>
      </c>
      <c r="E344" s="763">
        <f t="shared" si="21"/>
        <v>6537.0420000000004</v>
      </c>
      <c r="F344" s="763">
        <v>1895.742</v>
      </c>
      <c r="G344" s="764">
        <v>4641.3</v>
      </c>
      <c r="H344" s="764">
        <v>0</v>
      </c>
      <c r="I344" s="764">
        <v>0</v>
      </c>
      <c r="J344" s="2528"/>
      <c r="K344" s="2528"/>
    </row>
    <row r="345" spans="1:11" ht="15.95" customHeight="1">
      <c r="A345" s="2526"/>
      <c r="B345" s="2565"/>
      <c r="C345" s="2527"/>
      <c r="D345" s="762">
        <v>2025</v>
      </c>
      <c r="E345" s="763">
        <f t="shared" si="21"/>
        <v>0</v>
      </c>
      <c r="F345" s="763">
        <v>0</v>
      </c>
      <c r="G345" s="764">
        <v>0</v>
      </c>
      <c r="H345" s="764">
        <v>0</v>
      </c>
      <c r="I345" s="764">
        <v>0</v>
      </c>
      <c r="J345" s="2528"/>
      <c r="K345" s="2528"/>
    </row>
    <row r="346" spans="1:11" ht="15" customHeight="1" outlineLevel="1">
      <c r="A346" s="2502" t="s">
        <v>688</v>
      </c>
      <c r="B346" s="2503" t="s">
        <v>77</v>
      </c>
      <c r="C346" s="2504" t="s">
        <v>2989</v>
      </c>
      <c r="D346" s="765" t="s">
        <v>8</v>
      </c>
      <c r="E346" s="766">
        <f t="shared" si="21"/>
        <v>3205350.5845547509</v>
      </c>
      <c r="F346" s="766">
        <f>SUM(F347:F351)</f>
        <v>2008360.1029300001</v>
      </c>
      <c r="G346" s="766">
        <f>SUM(G347:G351)</f>
        <v>1089688.432</v>
      </c>
      <c r="H346" s="766">
        <f>SUM(H347:H351)</f>
        <v>107302.04962475087</v>
      </c>
      <c r="I346" s="764">
        <v>0</v>
      </c>
      <c r="J346" s="2505"/>
      <c r="K346" s="2505" t="s">
        <v>3113</v>
      </c>
    </row>
    <row r="347" spans="1:11" outlineLevel="1">
      <c r="A347" s="2502"/>
      <c r="B347" s="2503"/>
      <c r="C347" s="2504"/>
      <c r="D347" s="765">
        <v>2021</v>
      </c>
      <c r="E347" s="766">
        <f t="shared" si="21"/>
        <v>542284.02945165033</v>
      </c>
      <c r="F347" s="766">
        <f t="shared" ref="F347:I351" si="23">F353+F473+F713+F677+F689</f>
        <v>254674.71701999998</v>
      </c>
      <c r="G347" s="766">
        <f t="shared" si="23"/>
        <v>257488.69899999999</v>
      </c>
      <c r="H347" s="766">
        <f t="shared" si="23"/>
        <v>30120.613431650385</v>
      </c>
      <c r="I347" s="766">
        <f t="shared" si="23"/>
        <v>0</v>
      </c>
      <c r="J347" s="2505"/>
      <c r="K347" s="2505"/>
    </row>
    <row r="348" spans="1:11" outlineLevel="1">
      <c r="A348" s="2502"/>
      <c r="B348" s="2503"/>
      <c r="C348" s="2504"/>
      <c r="D348" s="765">
        <v>2022</v>
      </c>
      <c r="E348" s="766">
        <f t="shared" si="21"/>
        <v>1321007.9192131003</v>
      </c>
      <c r="F348" s="766">
        <f t="shared" si="23"/>
        <v>1034922.16776</v>
      </c>
      <c r="G348" s="766">
        <f t="shared" si="23"/>
        <v>225488.99299999999</v>
      </c>
      <c r="H348" s="766">
        <f t="shared" si="23"/>
        <v>60596.75845310052</v>
      </c>
      <c r="I348" s="766">
        <f t="shared" si="23"/>
        <v>0</v>
      </c>
      <c r="J348" s="2505"/>
      <c r="K348" s="2505"/>
    </row>
    <row r="349" spans="1:11" outlineLevel="1">
      <c r="A349" s="2502"/>
      <c r="B349" s="2503"/>
      <c r="C349" s="2504"/>
      <c r="D349" s="811">
        <v>2023</v>
      </c>
      <c r="E349" s="812">
        <f t="shared" si="21"/>
        <v>563216.5448899999</v>
      </c>
      <c r="F349" s="812">
        <f t="shared" si="23"/>
        <v>132633.52715000001</v>
      </c>
      <c r="G349" s="812">
        <f t="shared" si="23"/>
        <v>424710.74</v>
      </c>
      <c r="H349" s="812">
        <f t="shared" si="23"/>
        <v>5872.277739999975</v>
      </c>
      <c r="I349" s="812">
        <f t="shared" si="23"/>
        <v>0</v>
      </c>
      <c r="J349" s="2505"/>
      <c r="K349" s="2505"/>
    </row>
    <row r="350" spans="1:11" outlineLevel="1">
      <c r="A350" s="2502"/>
      <c r="B350" s="2503"/>
      <c r="C350" s="2504"/>
      <c r="D350" s="765">
        <v>2024</v>
      </c>
      <c r="E350" s="766">
        <f t="shared" si="21"/>
        <v>611467.45400000003</v>
      </c>
      <c r="F350" s="766">
        <f t="shared" si="23"/>
        <v>522755.054</v>
      </c>
      <c r="G350" s="766">
        <f t="shared" si="23"/>
        <v>78000</v>
      </c>
      <c r="H350" s="766">
        <f t="shared" si="23"/>
        <v>10712.4</v>
      </c>
      <c r="I350" s="766">
        <f t="shared" si="23"/>
        <v>0</v>
      </c>
      <c r="J350" s="2505"/>
      <c r="K350" s="2505"/>
    </row>
    <row r="351" spans="1:11" outlineLevel="1">
      <c r="A351" s="2502"/>
      <c r="B351" s="2503"/>
      <c r="C351" s="2504"/>
      <c r="D351" s="765">
        <v>2025</v>
      </c>
      <c r="E351" s="766">
        <f t="shared" si="21"/>
        <v>167374.63699999999</v>
      </c>
      <c r="F351" s="766">
        <f t="shared" si="23"/>
        <v>63374.637000000002</v>
      </c>
      <c r="G351" s="766">
        <f t="shared" si="23"/>
        <v>104000</v>
      </c>
      <c r="H351" s="766">
        <f t="shared" si="23"/>
        <v>0</v>
      </c>
      <c r="I351" s="766">
        <f t="shared" si="23"/>
        <v>0</v>
      </c>
      <c r="J351" s="2505"/>
      <c r="K351" s="2505"/>
    </row>
    <row r="352" spans="1:11" ht="14.25" customHeight="1" outlineLevel="1">
      <c r="A352" s="2580" t="s">
        <v>3112</v>
      </c>
      <c r="B352" s="2581" t="s">
        <v>80</v>
      </c>
      <c r="C352" s="2582" t="s">
        <v>2989</v>
      </c>
      <c r="D352" s="730" t="s">
        <v>8</v>
      </c>
      <c r="E352" s="729">
        <f t="shared" si="21"/>
        <v>269420.94170292461</v>
      </c>
      <c r="F352" s="729">
        <f>SUM(F353:F357)</f>
        <v>227674.3248</v>
      </c>
      <c r="G352" s="729">
        <f>SUM(G353:G357)</f>
        <v>0</v>
      </c>
      <c r="H352" s="729">
        <f>SUM(H353:H357)</f>
        <v>41746.61690292463</v>
      </c>
      <c r="I352" s="725">
        <v>0</v>
      </c>
      <c r="J352" s="2583" t="s">
        <v>3111</v>
      </c>
      <c r="K352" s="2583" t="s">
        <v>3110</v>
      </c>
    </row>
    <row r="353" spans="1:12" ht="14.25" customHeight="1" outlineLevel="1">
      <c r="A353" s="2580"/>
      <c r="B353" s="2581"/>
      <c r="C353" s="2582"/>
      <c r="D353" s="730">
        <v>2021</v>
      </c>
      <c r="E353" s="729">
        <f t="shared" si="21"/>
        <v>69576.494685752899</v>
      </c>
      <c r="F353" s="729">
        <f>F359+F365+F371+F377+F383+F389+F395+F401+F407+F413+F419+F425+F431+F437+F443+F449+F455</f>
        <v>55989.257299999997</v>
      </c>
      <c r="G353" s="729">
        <f>G359+G365+G371+G377+G383+G389+G395+G401+G407+G413+G419+G425+G431+G437+G443+G449+G455</f>
        <v>0</v>
      </c>
      <c r="H353" s="729">
        <f>H359+H365+H371+H377+H383+H389+H395+H401+H407+H413+H419+H425+H431+H437+H443+H449+H455</f>
        <v>13587.237385752907</v>
      </c>
      <c r="I353" s="725">
        <v>0</v>
      </c>
      <c r="J353" s="2583"/>
      <c r="K353" s="2583"/>
    </row>
    <row r="354" spans="1:12" ht="14.25" customHeight="1" outlineLevel="1">
      <c r="A354" s="2580"/>
      <c r="B354" s="2581"/>
      <c r="C354" s="2582"/>
      <c r="D354" s="730">
        <v>2022</v>
      </c>
      <c r="E354" s="729">
        <f t="shared" si="21"/>
        <v>199844.44701717171</v>
      </c>
      <c r="F354" s="729">
        <f>F360+F366+F372+F378+F384+F390+F396+F402+F408+F414+F420+F426+F432+F438+F444+F450+F456+F462</f>
        <v>171685.0675</v>
      </c>
      <c r="G354" s="729">
        <f>G360+G366+G372+G378+G384+G390+G396+G402+G408+G414+G420+G426+G432+G438+G444+G450+G456</f>
        <v>0</v>
      </c>
      <c r="H354" s="729">
        <f>H360+H366+H372+H378+H384+H390+H396+H402+H408+H414+H420+H426+H432+H438+H444+H450+H456+H462</f>
        <v>28159.379517171721</v>
      </c>
      <c r="I354" s="725">
        <v>0</v>
      </c>
      <c r="J354" s="2583"/>
      <c r="K354" s="2583"/>
      <c r="L354" s="716" t="s">
        <v>3108</v>
      </c>
    </row>
    <row r="355" spans="1:12" ht="14.25" customHeight="1" outlineLevel="1">
      <c r="A355" s="2580"/>
      <c r="B355" s="2581"/>
      <c r="C355" s="2582"/>
      <c r="D355" s="730">
        <v>2023</v>
      </c>
      <c r="E355" s="729">
        <f t="shared" si="21"/>
        <v>0</v>
      </c>
      <c r="F355" s="729">
        <f>F361+F367+F373+F379+F385+F391+F397+F403+F409+F415+F421+F427+F433+F439+F445+F451+F457</f>
        <v>0</v>
      </c>
      <c r="G355" s="729">
        <f>G361+G367+G373+G379+G385+G391+G397+G403+G409+G415+G421+G427+G433+G439+G445+G451+G457+G469</f>
        <v>0</v>
      </c>
      <c r="H355" s="729">
        <f>H361+H367+H373+H379+H385+H391+H397+H403+H409+H415+H421+H427+H433+H439+H445+H451+H457</f>
        <v>0</v>
      </c>
      <c r="I355" s="725">
        <v>0</v>
      </c>
      <c r="J355" s="2583"/>
      <c r="K355" s="2583"/>
    </row>
    <row r="356" spans="1:12" ht="14.25" customHeight="1" outlineLevel="1">
      <c r="A356" s="2580"/>
      <c r="B356" s="2581"/>
      <c r="C356" s="2582"/>
      <c r="D356" s="730">
        <v>2024</v>
      </c>
      <c r="E356" s="729">
        <f t="shared" si="21"/>
        <v>0</v>
      </c>
      <c r="F356" s="729">
        <f>F362+F368+F374+F380+F386+F392+F398+F404+F410+F416+F422+F428+F434+F440+F446+F452+F458</f>
        <v>0</v>
      </c>
      <c r="G356" s="729">
        <f>G362+G368+G374+G380+G386+G392+G398+G404+G410+G416+G422+G428+G434+G440+G446+G452+G458</f>
        <v>0</v>
      </c>
      <c r="H356" s="729">
        <f>H362+H368+H374+H380+H386+H392+H398+H404+H410+H416+H422+H428+H434+H440+H446+H452+H458</f>
        <v>0</v>
      </c>
      <c r="I356" s="725">
        <v>0</v>
      </c>
      <c r="J356" s="2583"/>
      <c r="K356" s="2583"/>
    </row>
    <row r="357" spans="1:12" ht="14.25" customHeight="1" outlineLevel="1">
      <c r="A357" s="2580"/>
      <c r="B357" s="2581"/>
      <c r="C357" s="2582"/>
      <c r="D357" s="730">
        <v>2025</v>
      </c>
      <c r="E357" s="729">
        <f t="shared" si="21"/>
        <v>0</v>
      </c>
      <c r="F357" s="729">
        <f>F363+F369+F375+F381+F387+F393+F399+F405+F411+F417+F423+F429+F435+F441+F447+F453+F459</f>
        <v>0</v>
      </c>
      <c r="G357" s="729">
        <f>G363+G369+G375+G381+G387+G393+G399+G405+G411+G417+G423+G429+G435+G441+G447+G453+G459</f>
        <v>0</v>
      </c>
      <c r="H357" s="729">
        <f>H363+H369+H375+H381+H387+H393+H399+H405+H411+H417+H423+H429+H435+H441+H447+H453+H459</f>
        <v>0</v>
      </c>
      <c r="I357" s="725">
        <v>0</v>
      </c>
      <c r="J357" s="2583"/>
      <c r="K357" s="2583"/>
    </row>
    <row r="358" spans="1:12" ht="12" customHeight="1" outlineLevel="1">
      <c r="A358" s="2541" t="s">
        <v>3109</v>
      </c>
      <c r="B358" s="2544" t="s">
        <v>2823</v>
      </c>
      <c r="C358" s="2546" t="s">
        <v>3069</v>
      </c>
      <c r="D358" s="727" t="s">
        <v>8</v>
      </c>
      <c r="E358" s="726">
        <f>SUM(E359:E363)</f>
        <v>6584.2777657004835</v>
      </c>
      <c r="F358" s="726">
        <f>SUM(F359:F363)</f>
        <v>5451.7819900000004</v>
      </c>
      <c r="G358" s="726">
        <f>SUM(G359:G363)</f>
        <v>0</v>
      </c>
      <c r="H358" s="726">
        <f>SUM(H359:H363)</f>
        <v>1132.4957757004834</v>
      </c>
      <c r="I358" s="726">
        <f>SUM(I359:I363)</f>
        <v>0</v>
      </c>
      <c r="J358" s="2548" t="s">
        <v>2824</v>
      </c>
      <c r="K358" s="2548" t="s">
        <v>2993</v>
      </c>
    </row>
    <row r="359" spans="1:12" ht="12" customHeight="1" outlineLevel="1">
      <c r="A359" s="2542"/>
      <c r="B359" s="2545"/>
      <c r="C359" s="2547"/>
      <c r="D359" s="727">
        <v>2021</v>
      </c>
      <c r="E359" s="726">
        <f>SUM(F359:I359)</f>
        <v>6584.2777657004835</v>
      </c>
      <c r="F359" s="726">
        <v>5451.7819900000004</v>
      </c>
      <c r="G359" s="726">
        <v>0</v>
      </c>
      <c r="H359" s="726">
        <f>F359/82.8*17.2</f>
        <v>1132.4957757004834</v>
      </c>
      <c r="I359" s="726">
        <v>0</v>
      </c>
      <c r="J359" s="2549"/>
      <c r="K359" s="2549"/>
    </row>
    <row r="360" spans="1:12" ht="12" customHeight="1" outlineLevel="1">
      <c r="A360" s="2542"/>
      <c r="B360" s="2545"/>
      <c r="C360" s="2547"/>
      <c r="D360" s="727">
        <v>2022</v>
      </c>
      <c r="E360" s="726">
        <f>SUM(F360:I360)</f>
        <v>0</v>
      </c>
      <c r="F360" s="726">
        <v>0</v>
      </c>
      <c r="G360" s="726">
        <v>0</v>
      </c>
      <c r="H360" s="726">
        <v>0</v>
      </c>
      <c r="I360" s="726">
        <v>0</v>
      </c>
      <c r="J360" s="2549"/>
      <c r="K360" s="2549"/>
      <c r="L360" s="716" t="s">
        <v>3108</v>
      </c>
    </row>
    <row r="361" spans="1:12" ht="12" customHeight="1" outlineLevel="1">
      <c r="A361" s="2542"/>
      <c r="B361" s="2545"/>
      <c r="C361" s="2547"/>
      <c r="D361" s="727">
        <v>2023</v>
      </c>
      <c r="E361" s="726">
        <f>SUM(F361:I361)</f>
        <v>0</v>
      </c>
      <c r="F361" s="726">
        <v>0</v>
      </c>
      <c r="G361" s="726">
        <v>0</v>
      </c>
      <c r="H361" s="726">
        <v>0</v>
      </c>
      <c r="I361" s="726">
        <v>0</v>
      </c>
      <c r="J361" s="2549"/>
      <c r="K361" s="2549"/>
    </row>
    <row r="362" spans="1:12" ht="12" customHeight="1" outlineLevel="1">
      <c r="A362" s="2542"/>
      <c r="B362" s="2545"/>
      <c r="C362" s="2547"/>
      <c r="D362" s="727">
        <v>2024</v>
      </c>
      <c r="E362" s="726">
        <f>SUM(F362:I362)</f>
        <v>0</v>
      </c>
      <c r="F362" s="726">
        <v>0</v>
      </c>
      <c r="G362" s="726">
        <v>0</v>
      </c>
      <c r="H362" s="726">
        <v>0</v>
      </c>
      <c r="I362" s="726">
        <v>0</v>
      </c>
      <c r="J362" s="2549"/>
      <c r="K362" s="2549"/>
    </row>
    <row r="363" spans="1:12" ht="12" customHeight="1" outlineLevel="1">
      <c r="A363" s="2543"/>
      <c r="B363" s="2518"/>
      <c r="C363" s="2520"/>
      <c r="D363" s="727">
        <v>2025</v>
      </c>
      <c r="E363" s="726">
        <f>SUM(F363:I363)</f>
        <v>0</v>
      </c>
      <c r="F363" s="726">
        <v>0</v>
      </c>
      <c r="G363" s="726">
        <v>0</v>
      </c>
      <c r="H363" s="726">
        <v>0</v>
      </c>
      <c r="I363" s="726">
        <v>0</v>
      </c>
      <c r="J363" s="2522"/>
      <c r="K363" s="2522"/>
    </row>
    <row r="364" spans="1:12" ht="15" customHeight="1" outlineLevel="1">
      <c r="A364" s="2541" t="s">
        <v>3107</v>
      </c>
      <c r="B364" s="2544" t="s">
        <v>3106</v>
      </c>
      <c r="C364" s="2546">
        <v>2021</v>
      </c>
      <c r="D364" s="727" t="s">
        <v>8</v>
      </c>
      <c r="E364" s="726">
        <f>SUM(E365:E369)</f>
        <v>42104.816920052421</v>
      </c>
      <c r="F364" s="726">
        <f>SUM(F365:F369)</f>
        <v>32125.975309999998</v>
      </c>
      <c r="G364" s="726">
        <f>SUM(G365:G369)</f>
        <v>0</v>
      </c>
      <c r="H364" s="726">
        <f>SUM(H365:H369)</f>
        <v>9978.8416100524246</v>
      </c>
      <c r="I364" s="726">
        <f>SUM(I365:I369)</f>
        <v>0</v>
      </c>
      <c r="J364" s="2548" t="s">
        <v>2825</v>
      </c>
      <c r="K364" s="2548" t="s">
        <v>2993</v>
      </c>
    </row>
    <row r="365" spans="1:12" ht="15" customHeight="1" outlineLevel="1">
      <c r="A365" s="2542"/>
      <c r="B365" s="2545"/>
      <c r="C365" s="2547"/>
      <c r="D365" s="727">
        <v>2021</v>
      </c>
      <c r="E365" s="726">
        <f t="shared" ref="E365:E396" si="24">SUM(F365:I365)</f>
        <v>42104.816920052421</v>
      </c>
      <c r="F365" s="726">
        <f>32125975.31/1000</f>
        <v>32125.975309999998</v>
      </c>
      <c r="G365" s="726">
        <v>0</v>
      </c>
      <c r="H365" s="726">
        <f>F365/76.3*23.7</f>
        <v>9978.8416100524246</v>
      </c>
      <c r="I365" s="726">
        <v>0</v>
      </c>
      <c r="J365" s="2549"/>
      <c r="K365" s="2549"/>
    </row>
    <row r="366" spans="1:12" outlineLevel="1">
      <c r="A366" s="2542"/>
      <c r="B366" s="2545"/>
      <c r="C366" s="2547"/>
      <c r="D366" s="727">
        <v>2022</v>
      </c>
      <c r="E366" s="726">
        <f t="shared" si="24"/>
        <v>0</v>
      </c>
      <c r="F366" s="726">
        <v>0</v>
      </c>
      <c r="G366" s="726">
        <v>0</v>
      </c>
      <c r="H366" s="726">
        <v>0</v>
      </c>
      <c r="I366" s="726">
        <v>0</v>
      </c>
      <c r="J366" s="2549"/>
      <c r="K366" s="2549"/>
    </row>
    <row r="367" spans="1:12" outlineLevel="1">
      <c r="A367" s="2542"/>
      <c r="B367" s="2545"/>
      <c r="C367" s="2547"/>
      <c r="D367" s="727">
        <v>2023</v>
      </c>
      <c r="E367" s="726">
        <f t="shared" si="24"/>
        <v>0</v>
      </c>
      <c r="F367" s="726">
        <v>0</v>
      </c>
      <c r="G367" s="726">
        <v>0</v>
      </c>
      <c r="H367" s="726">
        <v>0</v>
      </c>
      <c r="I367" s="726">
        <v>0</v>
      </c>
      <c r="J367" s="2549"/>
      <c r="K367" s="2549"/>
    </row>
    <row r="368" spans="1:12" outlineLevel="1">
      <c r="A368" s="2542"/>
      <c r="B368" s="2545"/>
      <c r="C368" s="2547"/>
      <c r="D368" s="727">
        <v>2024</v>
      </c>
      <c r="E368" s="726">
        <f t="shared" si="24"/>
        <v>0</v>
      </c>
      <c r="F368" s="726">
        <v>0</v>
      </c>
      <c r="G368" s="726">
        <v>0</v>
      </c>
      <c r="H368" s="726">
        <v>0</v>
      </c>
      <c r="I368" s="726">
        <v>0</v>
      </c>
      <c r="J368" s="2549"/>
      <c r="K368" s="2549"/>
    </row>
    <row r="369" spans="1:12" ht="14.25" customHeight="1" outlineLevel="1">
      <c r="A369" s="2543"/>
      <c r="B369" s="2518"/>
      <c r="C369" s="2520"/>
      <c r="D369" s="727">
        <v>2025</v>
      </c>
      <c r="E369" s="726">
        <f t="shared" si="24"/>
        <v>0</v>
      </c>
      <c r="F369" s="726">
        <v>0</v>
      </c>
      <c r="G369" s="726">
        <v>0</v>
      </c>
      <c r="H369" s="726">
        <v>0</v>
      </c>
      <c r="I369" s="726">
        <v>0</v>
      </c>
      <c r="J369" s="2522"/>
      <c r="K369" s="2522"/>
    </row>
    <row r="370" spans="1:12" ht="18" customHeight="1" outlineLevel="1">
      <c r="A370" s="2541" t="s">
        <v>3105</v>
      </c>
      <c r="B370" s="2584" t="s">
        <v>3104</v>
      </c>
      <c r="C370" s="2546">
        <v>2021</v>
      </c>
      <c r="D370" s="727" t="s">
        <v>8</v>
      </c>
      <c r="E370" s="726">
        <f t="shared" si="24"/>
        <v>1505.5</v>
      </c>
      <c r="F370" s="726">
        <f>SUM(F371:F375)</f>
        <v>1505.5</v>
      </c>
      <c r="G370" s="726">
        <f>SUM(G371:G375)</f>
        <v>0</v>
      </c>
      <c r="H370" s="726">
        <f>SUM(H371:H375)</f>
        <v>0</v>
      </c>
      <c r="I370" s="726">
        <f>SUM(I371:I375)</f>
        <v>0</v>
      </c>
      <c r="J370" s="2548" t="s">
        <v>2857</v>
      </c>
      <c r="K370" s="2548" t="s">
        <v>2890</v>
      </c>
      <c r="L370" s="715"/>
    </row>
    <row r="371" spans="1:12" ht="16.5" customHeight="1" outlineLevel="1">
      <c r="A371" s="2542"/>
      <c r="B371" s="2585"/>
      <c r="C371" s="2547"/>
      <c r="D371" s="727">
        <v>2021</v>
      </c>
      <c r="E371" s="726">
        <f t="shared" si="24"/>
        <v>1505.5</v>
      </c>
      <c r="F371" s="740">
        <v>1505.5</v>
      </c>
      <c r="G371" s="741">
        <v>0</v>
      </c>
      <c r="H371" s="725">
        <v>0</v>
      </c>
      <c r="I371" s="739">
        <v>0</v>
      </c>
      <c r="J371" s="2549"/>
      <c r="K371" s="2549"/>
      <c r="L371" s="715"/>
    </row>
    <row r="372" spans="1:12" ht="15.75" customHeight="1" outlineLevel="1">
      <c r="A372" s="2542"/>
      <c r="B372" s="2585"/>
      <c r="C372" s="2547"/>
      <c r="D372" s="727">
        <v>2022</v>
      </c>
      <c r="E372" s="726">
        <f t="shared" si="24"/>
        <v>0</v>
      </c>
      <c r="F372" s="726">
        <v>0</v>
      </c>
      <c r="G372" s="739">
        <v>0</v>
      </c>
      <c r="H372" s="725">
        <v>0</v>
      </c>
      <c r="I372" s="739">
        <v>0</v>
      </c>
      <c r="J372" s="2549"/>
      <c r="K372" s="2549"/>
      <c r="L372" s="715"/>
    </row>
    <row r="373" spans="1:12" ht="14.25" customHeight="1" outlineLevel="1">
      <c r="A373" s="2542"/>
      <c r="B373" s="2585"/>
      <c r="C373" s="2547"/>
      <c r="D373" s="727">
        <v>2023</v>
      </c>
      <c r="E373" s="726">
        <f t="shared" si="24"/>
        <v>0</v>
      </c>
      <c r="F373" s="726">
        <v>0</v>
      </c>
      <c r="G373" s="739">
        <v>0</v>
      </c>
      <c r="H373" s="725">
        <v>0</v>
      </c>
      <c r="I373" s="739">
        <v>0</v>
      </c>
      <c r="J373" s="2549"/>
      <c r="K373" s="2549"/>
      <c r="L373" s="715"/>
    </row>
    <row r="374" spans="1:12" ht="15" customHeight="1" outlineLevel="1">
      <c r="A374" s="2542"/>
      <c r="B374" s="2585"/>
      <c r="C374" s="2547"/>
      <c r="D374" s="727">
        <v>2024</v>
      </c>
      <c r="E374" s="726">
        <f t="shared" si="24"/>
        <v>0</v>
      </c>
      <c r="F374" s="726">
        <v>0</v>
      </c>
      <c r="G374" s="739">
        <v>0</v>
      </c>
      <c r="H374" s="725">
        <v>0</v>
      </c>
      <c r="I374" s="739">
        <v>0</v>
      </c>
      <c r="J374" s="2549"/>
      <c r="K374" s="2549"/>
      <c r="L374" s="715"/>
    </row>
    <row r="375" spans="1:12" ht="15.75" customHeight="1" outlineLevel="1">
      <c r="A375" s="2543"/>
      <c r="B375" s="2586"/>
      <c r="C375" s="2520"/>
      <c r="D375" s="727">
        <v>2025</v>
      </c>
      <c r="E375" s="726">
        <f t="shared" si="24"/>
        <v>0</v>
      </c>
      <c r="F375" s="726">
        <v>0</v>
      </c>
      <c r="G375" s="739">
        <v>0</v>
      </c>
      <c r="H375" s="725">
        <v>0</v>
      </c>
      <c r="I375" s="739">
        <v>0</v>
      </c>
      <c r="J375" s="2522"/>
      <c r="K375" s="2522"/>
      <c r="L375" s="715"/>
    </row>
    <row r="376" spans="1:12" ht="15" customHeight="1" outlineLevel="1">
      <c r="A376" s="2541" t="s">
        <v>3103</v>
      </c>
      <c r="B376" s="2544" t="s">
        <v>2856</v>
      </c>
      <c r="C376" s="2546">
        <v>2021</v>
      </c>
      <c r="D376" s="727" t="s">
        <v>8</v>
      </c>
      <c r="E376" s="726">
        <f t="shared" si="24"/>
        <v>0</v>
      </c>
      <c r="F376" s="726">
        <f>SUM(F377:F381)</f>
        <v>0</v>
      </c>
      <c r="G376" s="726">
        <f>SUM(G377:G381)</f>
        <v>0</v>
      </c>
      <c r="H376" s="726">
        <f>SUM(H377:H381)</f>
        <v>0</v>
      </c>
      <c r="I376" s="726">
        <f>SUM(I377:I381)</f>
        <v>0</v>
      </c>
      <c r="J376" s="2548" t="s">
        <v>2858</v>
      </c>
      <c r="K376" s="2548" t="s">
        <v>2852</v>
      </c>
      <c r="L376" s="716" t="s">
        <v>3102</v>
      </c>
    </row>
    <row r="377" spans="1:12" ht="15" customHeight="1" outlineLevel="1">
      <c r="A377" s="2542"/>
      <c r="B377" s="2545"/>
      <c r="C377" s="2547"/>
      <c r="D377" s="727">
        <v>2021</v>
      </c>
      <c r="E377" s="726">
        <f t="shared" si="24"/>
        <v>0</v>
      </c>
      <c r="F377" s="726">
        <v>0</v>
      </c>
      <c r="G377" s="726">
        <v>0</v>
      </c>
      <c r="H377" s="726">
        <v>0</v>
      </c>
      <c r="I377" s="726">
        <v>0</v>
      </c>
      <c r="J377" s="2549"/>
      <c r="K377" s="2549"/>
    </row>
    <row r="378" spans="1:12" ht="15" customHeight="1" outlineLevel="1">
      <c r="A378" s="2542"/>
      <c r="B378" s="2545"/>
      <c r="C378" s="2547"/>
      <c r="D378" s="727">
        <v>2022</v>
      </c>
      <c r="E378" s="726">
        <f t="shared" si="24"/>
        <v>0</v>
      </c>
      <c r="F378" s="726">
        <v>0</v>
      </c>
      <c r="G378" s="726">
        <v>0</v>
      </c>
      <c r="H378" s="726">
        <v>0</v>
      </c>
      <c r="I378" s="726">
        <v>0</v>
      </c>
      <c r="J378" s="2549"/>
      <c r="K378" s="2549"/>
    </row>
    <row r="379" spans="1:12" ht="15" customHeight="1" outlineLevel="1">
      <c r="A379" s="2542"/>
      <c r="B379" s="2545"/>
      <c r="C379" s="2547"/>
      <c r="D379" s="727">
        <v>2023</v>
      </c>
      <c r="E379" s="726">
        <f t="shared" si="24"/>
        <v>0</v>
      </c>
      <c r="F379" s="726">
        <v>0</v>
      </c>
      <c r="G379" s="726">
        <v>0</v>
      </c>
      <c r="H379" s="726">
        <v>0</v>
      </c>
      <c r="I379" s="726">
        <v>0</v>
      </c>
      <c r="J379" s="2549"/>
      <c r="K379" s="2549"/>
    </row>
    <row r="380" spans="1:12" ht="15" customHeight="1" outlineLevel="1">
      <c r="A380" s="2542"/>
      <c r="B380" s="2545"/>
      <c r="C380" s="2547"/>
      <c r="D380" s="727">
        <v>2024</v>
      </c>
      <c r="E380" s="726">
        <f t="shared" si="24"/>
        <v>0</v>
      </c>
      <c r="F380" s="726">
        <v>0</v>
      </c>
      <c r="G380" s="726">
        <v>0</v>
      </c>
      <c r="H380" s="726">
        <v>0</v>
      </c>
      <c r="I380" s="726">
        <v>0</v>
      </c>
      <c r="J380" s="2549"/>
      <c r="K380" s="2549"/>
    </row>
    <row r="381" spans="1:12" ht="15" customHeight="1" outlineLevel="1">
      <c r="A381" s="2543"/>
      <c r="B381" s="2518"/>
      <c r="C381" s="2520"/>
      <c r="D381" s="727">
        <v>2025</v>
      </c>
      <c r="E381" s="726">
        <f t="shared" si="24"/>
        <v>0</v>
      </c>
      <c r="F381" s="726">
        <v>0</v>
      </c>
      <c r="G381" s="726">
        <v>0</v>
      </c>
      <c r="H381" s="726">
        <v>0</v>
      </c>
      <c r="I381" s="726">
        <v>0</v>
      </c>
      <c r="J381" s="2522"/>
      <c r="K381" s="2522"/>
    </row>
    <row r="382" spans="1:12" ht="15" customHeight="1" outlineLevel="1">
      <c r="A382" s="2578" t="s">
        <v>3101</v>
      </c>
      <c r="B382" s="2544" t="s">
        <v>2859</v>
      </c>
      <c r="C382" s="2521" t="s">
        <v>2999</v>
      </c>
      <c r="D382" s="727" t="s">
        <v>8</v>
      </c>
      <c r="E382" s="726">
        <f t="shared" si="24"/>
        <v>119225.81</v>
      </c>
      <c r="F382" s="726">
        <f>SUM(F383:F387)</f>
        <v>89555.157500000001</v>
      </c>
      <c r="G382" s="739">
        <f>SUM(G383:G387)</f>
        <v>0</v>
      </c>
      <c r="H382" s="725">
        <f>SUM(H383:H387)</f>
        <v>29670.652500000004</v>
      </c>
      <c r="I382" s="739">
        <f>SUM(I383:I387)</f>
        <v>0</v>
      </c>
      <c r="J382" s="2548" t="s">
        <v>3100</v>
      </c>
      <c r="K382" s="2548" t="s">
        <v>2993</v>
      </c>
    </row>
    <row r="383" spans="1:12" ht="15" customHeight="1" outlineLevel="1">
      <c r="A383" s="2578"/>
      <c r="B383" s="2545"/>
      <c r="C383" s="2521"/>
      <c r="D383" s="727">
        <v>2021</v>
      </c>
      <c r="E383" s="726">
        <f t="shared" si="24"/>
        <v>10446.799999999999</v>
      </c>
      <c r="F383" s="726">
        <v>7970.9</v>
      </c>
      <c r="G383" s="739">
        <v>0</v>
      </c>
      <c r="H383" s="725">
        <v>2475.9</v>
      </c>
      <c r="I383" s="739">
        <v>0</v>
      </c>
      <c r="J383" s="2549"/>
      <c r="K383" s="2549"/>
    </row>
    <row r="384" spans="1:12" ht="15" customHeight="1" outlineLevel="1">
      <c r="A384" s="2578"/>
      <c r="B384" s="2545"/>
      <c r="C384" s="2521"/>
      <c r="D384" s="727">
        <v>2022</v>
      </c>
      <c r="E384" s="726">
        <f t="shared" si="24"/>
        <v>108779.01000000001</v>
      </c>
      <c r="F384" s="726">
        <v>81584.257500000007</v>
      </c>
      <c r="G384" s="726">
        <v>0</v>
      </c>
      <c r="H384" s="726">
        <f>F384/75*25</f>
        <v>27194.752500000002</v>
      </c>
      <c r="I384" s="739">
        <v>0</v>
      </c>
      <c r="J384" s="2549"/>
      <c r="K384" s="2549"/>
    </row>
    <row r="385" spans="1:12" ht="15" customHeight="1" outlineLevel="1">
      <c r="A385" s="2578"/>
      <c r="B385" s="2545"/>
      <c r="C385" s="2521"/>
      <c r="D385" s="727">
        <v>2023</v>
      </c>
      <c r="E385" s="726">
        <f t="shared" si="24"/>
        <v>0</v>
      </c>
      <c r="F385" s="726">
        <v>0</v>
      </c>
      <c r="G385" s="726">
        <v>0</v>
      </c>
      <c r="H385" s="726">
        <v>0</v>
      </c>
      <c r="I385" s="739">
        <v>0</v>
      </c>
      <c r="J385" s="2549"/>
      <c r="K385" s="2549"/>
    </row>
    <row r="386" spans="1:12" ht="15" customHeight="1" outlineLevel="1">
      <c r="A386" s="2578"/>
      <c r="B386" s="2545"/>
      <c r="C386" s="2521"/>
      <c r="D386" s="727">
        <v>2024</v>
      </c>
      <c r="E386" s="726">
        <f t="shared" si="24"/>
        <v>0</v>
      </c>
      <c r="F386" s="726">
        <v>0</v>
      </c>
      <c r="G386" s="726">
        <v>0</v>
      </c>
      <c r="H386" s="726">
        <v>0</v>
      </c>
      <c r="I386" s="739">
        <v>0</v>
      </c>
      <c r="J386" s="2549"/>
      <c r="K386" s="2549"/>
    </row>
    <row r="387" spans="1:12" ht="15" customHeight="1" outlineLevel="1">
      <c r="A387" s="2578"/>
      <c r="B387" s="2518"/>
      <c r="C387" s="2521"/>
      <c r="D387" s="727">
        <v>2025</v>
      </c>
      <c r="E387" s="726">
        <f t="shared" si="24"/>
        <v>0</v>
      </c>
      <c r="F387" s="726">
        <v>0</v>
      </c>
      <c r="G387" s="726">
        <v>0</v>
      </c>
      <c r="H387" s="726">
        <v>0</v>
      </c>
      <c r="I387" s="739">
        <v>0</v>
      </c>
      <c r="J387" s="2522"/>
      <c r="K387" s="2522"/>
    </row>
    <row r="388" spans="1:12" ht="15" customHeight="1" outlineLevel="1">
      <c r="A388" s="2541" t="s">
        <v>3099</v>
      </c>
      <c r="B388" s="2544" t="s">
        <v>2938</v>
      </c>
      <c r="C388" s="2521">
        <v>2021</v>
      </c>
      <c r="D388" s="727" t="s">
        <v>8</v>
      </c>
      <c r="E388" s="726">
        <f t="shared" si="24"/>
        <v>8935.1</v>
      </c>
      <c r="F388" s="726">
        <f>SUM(F389:F393)</f>
        <v>8935.1</v>
      </c>
      <c r="G388" s="739">
        <f>SUM(G389:G393)</f>
        <v>0</v>
      </c>
      <c r="H388" s="725">
        <f>SUM(H389:H393)</f>
        <v>0</v>
      </c>
      <c r="I388" s="739">
        <f>SUM(I389:I393)</f>
        <v>0</v>
      </c>
      <c r="J388" s="2548" t="s">
        <v>3098</v>
      </c>
      <c r="K388" s="2548" t="s">
        <v>3052</v>
      </c>
      <c r="L388" s="2524" t="s">
        <v>3097</v>
      </c>
    </row>
    <row r="389" spans="1:12" ht="15" customHeight="1" outlineLevel="1">
      <c r="A389" s="2542"/>
      <c r="B389" s="2545"/>
      <c r="C389" s="2521"/>
      <c r="D389" s="727">
        <v>2021</v>
      </c>
      <c r="E389" s="726">
        <f t="shared" si="24"/>
        <v>8935.1</v>
      </c>
      <c r="F389" s="726">
        <v>8935.1</v>
      </c>
      <c r="G389" s="739">
        <v>0</v>
      </c>
      <c r="H389" s="725">
        <v>0</v>
      </c>
      <c r="I389" s="739">
        <v>0</v>
      </c>
      <c r="J389" s="2549"/>
      <c r="K389" s="2549"/>
      <c r="L389" s="2524"/>
    </row>
    <row r="390" spans="1:12" ht="15" customHeight="1" outlineLevel="1">
      <c r="A390" s="2542"/>
      <c r="B390" s="2545"/>
      <c r="C390" s="2521"/>
      <c r="D390" s="727">
        <v>2022</v>
      </c>
      <c r="E390" s="726">
        <f t="shared" si="24"/>
        <v>0</v>
      </c>
      <c r="F390" s="726">
        <v>0</v>
      </c>
      <c r="G390" s="726">
        <v>0</v>
      </c>
      <c r="H390" s="726">
        <v>0</v>
      </c>
      <c r="I390" s="739">
        <v>0</v>
      </c>
      <c r="J390" s="2549"/>
      <c r="K390" s="2549"/>
      <c r="L390" s="2524"/>
    </row>
    <row r="391" spans="1:12" ht="15" customHeight="1" outlineLevel="1">
      <c r="A391" s="2542"/>
      <c r="B391" s="2545"/>
      <c r="C391" s="2521"/>
      <c r="D391" s="727">
        <v>2023</v>
      </c>
      <c r="E391" s="726">
        <f t="shared" si="24"/>
        <v>0</v>
      </c>
      <c r="F391" s="726">
        <v>0</v>
      </c>
      <c r="G391" s="726">
        <v>0</v>
      </c>
      <c r="H391" s="726">
        <v>0</v>
      </c>
      <c r="I391" s="739">
        <v>0</v>
      </c>
      <c r="J391" s="2549"/>
      <c r="K391" s="2549"/>
      <c r="L391" s="2524"/>
    </row>
    <row r="392" spans="1:12" ht="15" customHeight="1" outlineLevel="1">
      <c r="A392" s="2542"/>
      <c r="B392" s="2545"/>
      <c r="C392" s="2521"/>
      <c r="D392" s="727">
        <v>2024</v>
      </c>
      <c r="E392" s="726">
        <f t="shared" si="24"/>
        <v>0</v>
      </c>
      <c r="F392" s="726">
        <v>0</v>
      </c>
      <c r="G392" s="726">
        <v>0</v>
      </c>
      <c r="H392" s="726">
        <v>0</v>
      </c>
      <c r="I392" s="739">
        <v>0</v>
      </c>
      <c r="J392" s="2549"/>
      <c r="K392" s="2549"/>
      <c r="L392" s="2524"/>
    </row>
    <row r="393" spans="1:12" ht="15" customHeight="1" outlineLevel="1">
      <c r="A393" s="2543"/>
      <c r="B393" s="2518"/>
      <c r="C393" s="2521"/>
      <c r="D393" s="727">
        <v>2025</v>
      </c>
      <c r="E393" s="726">
        <f t="shared" si="24"/>
        <v>0</v>
      </c>
      <c r="F393" s="726">
        <v>0</v>
      </c>
      <c r="G393" s="726">
        <v>0</v>
      </c>
      <c r="H393" s="726">
        <v>0</v>
      </c>
      <c r="I393" s="739">
        <v>0</v>
      </c>
      <c r="J393" s="2522"/>
      <c r="K393" s="2522"/>
      <c r="L393" s="2524"/>
    </row>
    <row r="394" spans="1:12" ht="15" customHeight="1" outlineLevel="1">
      <c r="A394" s="2541" t="s">
        <v>3096</v>
      </c>
      <c r="B394" s="2544" t="s">
        <v>2939</v>
      </c>
      <c r="C394" s="2521">
        <v>2022</v>
      </c>
      <c r="D394" s="727" t="s">
        <v>8</v>
      </c>
      <c r="E394" s="726">
        <f t="shared" si="24"/>
        <v>0</v>
      </c>
      <c r="F394" s="726">
        <f>SUM(F395:F399)</f>
        <v>0</v>
      </c>
      <c r="G394" s="726">
        <f>SUM(G395:G399)</f>
        <v>0</v>
      </c>
      <c r="H394" s="726">
        <f>SUM(H395:H399)</f>
        <v>0</v>
      </c>
      <c r="I394" s="726">
        <f>SUM(I395:I399)</f>
        <v>0</v>
      </c>
      <c r="J394" s="2548" t="s">
        <v>3095</v>
      </c>
      <c r="K394" s="2523" t="s">
        <v>2993</v>
      </c>
      <c r="L394" s="2524" t="s">
        <v>3081</v>
      </c>
    </row>
    <row r="395" spans="1:12" ht="15" customHeight="1" outlineLevel="1">
      <c r="A395" s="2542"/>
      <c r="B395" s="2545"/>
      <c r="C395" s="2521"/>
      <c r="D395" s="727">
        <v>2021</v>
      </c>
      <c r="E395" s="726">
        <f t="shared" si="24"/>
        <v>0</v>
      </c>
      <c r="F395" s="726">
        <v>0</v>
      </c>
      <c r="G395" s="726">
        <v>0</v>
      </c>
      <c r="H395" s="726">
        <v>0</v>
      </c>
      <c r="I395" s="726">
        <v>0</v>
      </c>
      <c r="J395" s="2549"/>
      <c r="K395" s="2523"/>
      <c r="L395" s="2524"/>
    </row>
    <row r="396" spans="1:12" ht="15" customHeight="1" outlineLevel="1">
      <c r="A396" s="2542"/>
      <c r="B396" s="2545"/>
      <c r="C396" s="2521"/>
      <c r="D396" s="727">
        <v>2022</v>
      </c>
      <c r="E396" s="726">
        <f t="shared" si="24"/>
        <v>0</v>
      </c>
      <c r="F396" s="726">
        <v>0</v>
      </c>
      <c r="G396" s="726">
        <v>0</v>
      </c>
      <c r="H396" s="726">
        <v>0</v>
      </c>
      <c r="I396" s="726">
        <v>0</v>
      </c>
      <c r="J396" s="2549"/>
      <c r="K396" s="2523"/>
      <c r="L396" s="2524"/>
    </row>
    <row r="397" spans="1:12" ht="15" customHeight="1" outlineLevel="1">
      <c r="A397" s="2542"/>
      <c r="B397" s="2545"/>
      <c r="C397" s="2521"/>
      <c r="D397" s="727">
        <v>2023</v>
      </c>
      <c r="E397" s="726">
        <f t="shared" ref="E397:E428" si="25">SUM(F397:I397)</f>
        <v>0</v>
      </c>
      <c r="F397" s="726">
        <v>0</v>
      </c>
      <c r="G397" s="726">
        <v>0</v>
      </c>
      <c r="H397" s="726">
        <v>0</v>
      </c>
      <c r="I397" s="726">
        <v>0</v>
      </c>
      <c r="J397" s="2549"/>
      <c r="K397" s="2523"/>
      <c r="L397" s="2524"/>
    </row>
    <row r="398" spans="1:12" ht="15" customHeight="1" outlineLevel="1">
      <c r="A398" s="2542"/>
      <c r="B398" s="2545"/>
      <c r="C398" s="2521"/>
      <c r="D398" s="727">
        <v>2024</v>
      </c>
      <c r="E398" s="726">
        <f t="shared" si="25"/>
        <v>0</v>
      </c>
      <c r="F398" s="726">
        <v>0</v>
      </c>
      <c r="G398" s="726">
        <v>0</v>
      </c>
      <c r="H398" s="726">
        <v>0</v>
      </c>
      <c r="I398" s="726">
        <v>0</v>
      </c>
      <c r="J398" s="2549"/>
      <c r="K398" s="2523"/>
      <c r="L398" s="2524"/>
    </row>
    <row r="399" spans="1:12" ht="15" customHeight="1" outlineLevel="1">
      <c r="A399" s="2543"/>
      <c r="B399" s="2518"/>
      <c r="C399" s="2521"/>
      <c r="D399" s="727">
        <v>2025</v>
      </c>
      <c r="E399" s="726">
        <f t="shared" si="25"/>
        <v>0</v>
      </c>
      <c r="F399" s="726">
        <v>0</v>
      </c>
      <c r="G399" s="726">
        <v>0</v>
      </c>
      <c r="H399" s="726">
        <v>0</v>
      </c>
      <c r="I399" s="726">
        <v>0</v>
      </c>
      <c r="J399" s="2549"/>
      <c r="K399" s="2523"/>
      <c r="L399" s="2524"/>
    </row>
    <row r="400" spans="1:12" ht="15" customHeight="1" outlineLevel="1">
      <c r="A400" s="2541" t="s">
        <v>3094</v>
      </c>
      <c r="B400" s="2544" t="s">
        <v>2940</v>
      </c>
      <c r="C400" s="2521">
        <v>2023</v>
      </c>
      <c r="D400" s="727" t="s">
        <v>8</v>
      </c>
      <c r="E400" s="726">
        <f t="shared" si="25"/>
        <v>0</v>
      </c>
      <c r="F400" s="726">
        <f>SUM(F401:F405)</f>
        <v>0</v>
      </c>
      <c r="G400" s="726">
        <f>SUM(G401:G405)</f>
        <v>0</v>
      </c>
      <c r="H400" s="726">
        <f>SUM(H401:H405)</f>
        <v>0</v>
      </c>
      <c r="I400" s="726">
        <f>SUM(I401:I405)</f>
        <v>0</v>
      </c>
      <c r="J400" s="2523" t="s">
        <v>3093</v>
      </c>
      <c r="K400" s="2523" t="s">
        <v>3077</v>
      </c>
      <c r="L400" s="2524" t="s">
        <v>3081</v>
      </c>
    </row>
    <row r="401" spans="1:12" ht="15" customHeight="1" outlineLevel="1">
      <c r="A401" s="2542"/>
      <c r="B401" s="2545"/>
      <c r="C401" s="2521"/>
      <c r="D401" s="727">
        <v>2021</v>
      </c>
      <c r="E401" s="726">
        <f t="shared" si="25"/>
        <v>0</v>
      </c>
      <c r="F401" s="726">
        <v>0</v>
      </c>
      <c r="G401" s="726">
        <v>0</v>
      </c>
      <c r="H401" s="726">
        <v>0</v>
      </c>
      <c r="I401" s="726">
        <v>0</v>
      </c>
      <c r="J401" s="2523"/>
      <c r="K401" s="2523"/>
      <c r="L401" s="2524"/>
    </row>
    <row r="402" spans="1:12" ht="15" customHeight="1" outlineLevel="1">
      <c r="A402" s="2542"/>
      <c r="B402" s="2545"/>
      <c r="C402" s="2521"/>
      <c r="D402" s="727">
        <v>2022</v>
      </c>
      <c r="E402" s="726">
        <f t="shared" si="25"/>
        <v>0</v>
      </c>
      <c r="F402" s="726">
        <v>0</v>
      </c>
      <c r="G402" s="726">
        <v>0</v>
      </c>
      <c r="H402" s="726">
        <v>0</v>
      </c>
      <c r="I402" s="726">
        <v>0</v>
      </c>
      <c r="J402" s="2523"/>
      <c r="K402" s="2523"/>
      <c r="L402" s="2524"/>
    </row>
    <row r="403" spans="1:12" ht="15" customHeight="1" outlineLevel="1">
      <c r="A403" s="2542"/>
      <c r="B403" s="2545"/>
      <c r="C403" s="2521"/>
      <c r="D403" s="727">
        <v>2023</v>
      </c>
      <c r="E403" s="726">
        <f t="shared" si="25"/>
        <v>0</v>
      </c>
      <c r="F403" s="726">
        <v>0</v>
      </c>
      <c r="G403" s="726">
        <v>0</v>
      </c>
      <c r="H403" s="726">
        <v>0</v>
      </c>
      <c r="I403" s="726">
        <v>0</v>
      </c>
      <c r="J403" s="2523"/>
      <c r="K403" s="2523"/>
      <c r="L403" s="2524"/>
    </row>
    <row r="404" spans="1:12" ht="15" customHeight="1" outlineLevel="1">
      <c r="A404" s="2542"/>
      <c r="B404" s="2545"/>
      <c r="C404" s="2521"/>
      <c r="D404" s="727">
        <v>2024</v>
      </c>
      <c r="E404" s="726">
        <f t="shared" si="25"/>
        <v>0</v>
      </c>
      <c r="F404" s="726">
        <v>0</v>
      </c>
      <c r="G404" s="726">
        <v>0</v>
      </c>
      <c r="H404" s="726">
        <v>0</v>
      </c>
      <c r="I404" s="726">
        <v>0</v>
      </c>
      <c r="J404" s="2523"/>
      <c r="K404" s="2523"/>
      <c r="L404" s="2524"/>
    </row>
    <row r="405" spans="1:12" ht="15" customHeight="1" outlineLevel="1">
      <c r="A405" s="2543"/>
      <c r="B405" s="2518"/>
      <c r="C405" s="2521"/>
      <c r="D405" s="727">
        <v>2025</v>
      </c>
      <c r="E405" s="726">
        <f t="shared" si="25"/>
        <v>0</v>
      </c>
      <c r="F405" s="726">
        <v>0</v>
      </c>
      <c r="G405" s="726">
        <v>0</v>
      </c>
      <c r="H405" s="726">
        <v>0</v>
      </c>
      <c r="I405" s="726">
        <v>0</v>
      </c>
      <c r="J405" s="2523"/>
      <c r="K405" s="2523"/>
      <c r="L405" s="2524"/>
    </row>
    <row r="406" spans="1:12" ht="15" customHeight="1" outlineLevel="1">
      <c r="A406" s="2541" t="s">
        <v>3092</v>
      </c>
      <c r="B406" s="2544" t="s">
        <v>2941</v>
      </c>
      <c r="C406" s="2521">
        <v>2022</v>
      </c>
      <c r="D406" s="727" t="s">
        <v>8</v>
      </c>
      <c r="E406" s="726">
        <f t="shared" si="25"/>
        <v>0</v>
      </c>
      <c r="F406" s="726">
        <f>SUM(F407:F411)</f>
        <v>0</v>
      </c>
      <c r="G406" s="726">
        <f>SUM(G407:G411)</f>
        <v>0</v>
      </c>
      <c r="H406" s="726">
        <f>SUM(H407:H411)</f>
        <v>0</v>
      </c>
      <c r="I406" s="726">
        <f>SUM(I407:I411)</f>
        <v>0</v>
      </c>
      <c r="J406" s="2523" t="s">
        <v>3091</v>
      </c>
      <c r="K406" s="2523" t="s">
        <v>3090</v>
      </c>
    </row>
    <row r="407" spans="1:12" ht="15" customHeight="1" outlineLevel="1">
      <c r="A407" s="2542"/>
      <c r="B407" s="2545"/>
      <c r="C407" s="2521"/>
      <c r="D407" s="727">
        <v>2021</v>
      </c>
      <c r="E407" s="726">
        <f t="shared" si="25"/>
        <v>0</v>
      </c>
      <c r="F407" s="726">
        <v>0</v>
      </c>
      <c r="G407" s="726">
        <v>0</v>
      </c>
      <c r="H407" s="726">
        <v>0</v>
      </c>
      <c r="I407" s="726">
        <v>0</v>
      </c>
      <c r="J407" s="2523"/>
      <c r="K407" s="2523"/>
    </row>
    <row r="408" spans="1:12" ht="15" customHeight="1" outlineLevel="1">
      <c r="A408" s="2542"/>
      <c r="B408" s="2545"/>
      <c r="C408" s="2521"/>
      <c r="D408" s="727">
        <v>2022</v>
      </c>
      <c r="E408" s="726">
        <f t="shared" si="25"/>
        <v>0</v>
      </c>
      <c r="F408" s="726">
        <f>6000-6000</f>
        <v>0</v>
      </c>
      <c r="G408" s="726">
        <v>0</v>
      </c>
      <c r="H408" s="726">
        <v>0</v>
      </c>
      <c r="I408" s="726">
        <v>0</v>
      </c>
      <c r="J408" s="2523"/>
      <c r="K408" s="2523"/>
    </row>
    <row r="409" spans="1:12" ht="15" customHeight="1" outlineLevel="1">
      <c r="A409" s="2542"/>
      <c r="B409" s="2545"/>
      <c r="C409" s="2521"/>
      <c r="D409" s="727">
        <v>2023</v>
      </c>
      <c r="E409" s="726">
        <f t="shared" si="25"/>
        <v>0</v>
      </c>
      <c r="F409" s="726">
        <v>0</v>
      </c>
      <c r="G409" s="726">
        <v>0</v>
      </c>
      <c r="H409" s="726">
        <v>0</v>
      </c>
      <c r="I409" s="726">
        <v>0</v>
      </c>
      <c r="J409" s="2523"/>
      <c r="K409" s="2523"/>
    </row>
    <row r="410" spans="1:12" ht="15" customHeight="1" outlineLevel="1">
      <c r="A410" s="2542"/>
      <c r="B410" s="2545"/>
      <c r="C410" s="2521"/>
      <c r="D410" s="727">
        <v>2024</v>
      </c>
      <c r="E410" s="726">
        <f t="shared" si="25"/>
        <v>0</v>
      </c>
      <c r="F410" s="726">
        <v>0</v>
      </c>
      <c r="G410" s="726">
        <v>0</v>
      </c>
      <c r="H410" s="726">
        <v>0</v>
      </c>
      <c r="I410" s="726">
        <v>0</v>
      </c>
      <c r="J410" s="2523"/>
      <c r="K410" s="2523"/>
    </row>
    <row r="411" spans="1:12" ht="15" customHeight="1" outlineLevel="1">
      <c r="A411" s="2543"/>
      <c r="B411" s="2518"/>
      <c r="C411" s="2521"/>
      <c r="D411" s="727">
        <v>2025</v>
      </c>
      <c r="E411" s="726">
        <f t="shared" si="25"/>
        <v>0</v>
      </c>
      <c r="F411" s="726">
        <v>0</v>
      </c>
      <c r="G411" s="726">
        <v>0</v>
      </c>
      <c r="H411" s="726">
        <v>0</v>
      </c>
      <c r="I411" s="726">
        <v>0</v>
      </c>
      <c r="J411" s="2523"/>
      <c r="K411" s="2523"/>
    </row>
    <row r="412" spans="1:12" ht="15" customHeight="1" outlineLevel="1">
      <c r="A412" s="2541" t="s">
        <v>3089</v>
      </c>
      <c r="B412" s="2544" t="s">
        <v>2942</v>
      </c>
      <c r="C412" s="2521">
        <v>2022</v>
      </c>
      <c r="D412" s="727" t="s">
        <v>8</v>
      </c>
      <c r="E412" s="726">
        <f t="shared" si="25"/>
        <v>5000</v>
      </c>
      <c r="F412" s="726">
        <f>SUM(F413:F417)</f>
        <v>4750</v>
      </c>
      <c r="G412" s="726">
        <f>SUM(G413:G417)</f>
        <v>0</v>
      </c>
      <c r="H412" s="726">
        <f>SUM(H413:H417)</f>
        <v>250</v>
      </c>
      <c r="I412" s="726">
        <f>SUM(I413:I417)</f>
        <v>0</v>
      </c>
      <c r="J412" s="2523" t="s">
        <v>3088</v>
      </c>
      <c r="K412" s="2523" t="s">
        <v>2993</v>
      </c>
    </row>
    <row r="413" spans="1:12" ht="15" customHeight="1" outlineLevel="1">
      <c r="A413" s="2542"/>
      <c r="B413" s="2545"/>
      <c r="C413" s="2521"/>
      <c r="D413" s="727">
        <v>2021</v>
      </c>
      <c r="E413" s="726">
        <f t="shared" si="25"/>
        <v>0</v>
      </c>
      <c r="F413" s="726">
        <v>0</v>
      </c>
      <c r="G413" s="726">
        <v>0</v>
      </c>
      <c r="H413" s="726">
        <v>0</v>
      </c>
      <c r="I413" s="726">
        <v>0</v>
      </c>
      <c r="J413" s="2523"/>
      <c r="K413" s="2523"/>
    </row>
    <row r="414" spans="1:12" ht="15" customHeight="1" outlineLevel="1">
      <c r="A414" s="2542"/>
      <c r="B414" s="2545"/>
      <c r="C414" s="2521"/>
      <c r="D414" s="727">
        <v>2022</v>
      </c>
      <c r="E414" s="726">
        <f t="shared" si="25"/>
        <v>5000</v>
      </c>
      <c r="F414" s="726">
        <f>4750000/1000</f>
        <v>4750</v>
      </c>
      <c r="G414" s="726">
        <v>0</v>
      </c>
      <c r="H414" s="726">
        <f>F414*5%/95%</f>
        <v>250</v>
      </c>
      <c r="I414" s="726">
        <v>0</v>
      </c>
      <c r="J414" s="2523"/>
      <c r="K414" s="2523"/>
    </row>
    <row r="415" spans="1:12" ht="15" customHeight="1" outlineLevel="1">
      <c r="A415" s="2542"/>
      <c r="B415" s="2545"/>
      <c r="C415" s="2521"/>
      <c r="D415" s="727">
        <v>2023</v>
      </c>
      <c r="E415" s="726">
        <f t="shared" si="25"/>
        <v>0</v>
      </c>
      <c r="F415" s="726">
        <v>0</v>
      </c>
      <c r="G415" s="726">
        <v>0</v>
      </c>
      <c r="H415" s="726">
        <v>0</v>
      </c>
      <c r="I415" s="726">
        <v>0</v>
      </c>
      <c r="J415" s="2523"/>
      <c r="K415" s="2523"/>
    </row>
    <row r="416" spans="1:12" ht="15" customHeight="1" outlineLevel="1">
      <c r="A416" s="2542"/>
      <c r="B416" s="2545"/>
      <c r="C416" s="2521"/>
      <c r="D416" s="727">
        <v>2024</v>
      </c>
      <c r="E416" s="726">
        <f t="shared" si="25"/>
        <v>0</v>
      </c>
      <c r="F416" s="726">
        <v>0</v>
      </c>
      <c r="G416" s="726">
        <v>0</v>
      </c>
      <c r="H416" s="726">
        <v>0</v>
      </c>
      <c r="I416" s="726">
        <v>0</v>
      </c>
      <c r="J416" s="2523"/>
      <c r="K416" s="2523"/>
    </row>
    <row r="417" spans="1:12" ht="15" customHeight="1" outlineLevel="1">
      <c r="A417" s="2543"/>
      <c r="B417" s="2545"/>
      <c r="C417" s="2521"/>
      <c r="D417" s="727">
        <v>2025</v>
      </c>
      <c r="E417" s="726">
        <f t="shared" si="25"/>
        <v>0</v>
      </c>
      <c r="F417" s="726">
        <v>0</v>
      </c>
      <c r="G417" s="726">
        <v>0</v>
      </c>
      <c r="H417" s="726">
        <v>0</v>
      </c>
      <c r="I417" s="726">
        <v>0</v>
      </c>
      <c r="J417" s="2523"/>
      <c r="K417" s="2523"/>
    </row>
    <row r="418" spans="1:12" ht="15" customHeight="1" outlineLevel="1">
      <c r="A418" s="2541" t="s">
        <v>3087</v>
      </c>
      <c r="B418" s="2544" t="s">
        <v>2943</v>
      </c>
      <c r="C418" s="2521">
        <v>2022</v>
      </c>
      <c r="D418" s="727" t="s">
        <v>8</v>
      </c>
      <c r="E418" s="726">
        <f t="shared" si="25"/>
        <v>0</v>
      </c>
      <c r="F418" s="726">
        <f>SUM(F419:F423)</f>
        <v>0</v>
      </c>
      <c r="G418" s="726">
        <f>SUM(G419:G423)</f>
        <v>0</v>
      </c>
      <c r="H418" s="726">
        <f>SUM(H419:H423)</f>
        <v>0</v>
      </c>
      <c r="I418" s="726">
        <f>SUM(I419:I423)</f>
        <v>0</v>
      </c>
      <c r="J418" s="2523" t="s">
        <v>3086</v>
      </c>
      <c r="K418" s="2523" t="s">
        <v>2993</v>
      </c>
    </row>
    <row r="419" spans="1:12" ht="15" customHeight="1" outlineLevel="1">
      <c r="A419" s="2542"/>
      <c r="B419" s="2545"/>
      <c r="C419" s="2521"/>
      <c r="D419" s="727">
        <v>2021</v>
      </c>
      <c r="E419" s="726">
        <f t="shared" si="25"/>
        <v>0</v>
      </c>
      <c r="F419" s="726">
        <v>0</v>
      </c>
      <c r="G419" s="726">
        <f t="shared" ref="G419:G424" si="26">SUM(G420:G424)</f>
        <v>0</v>
      </c>
      <c r="H419" s="726">
        <v>0</v>
      </c>
      <c r="I419" s="726">
        <f t="shared" ref="I419:I436" si="27">SUM(I420:I424)</f>
        <v>0</v>
      </c>
      <c r="J419" s="2523"/>
      <c r="K419" s="2523"/>
    </row>
    <row r="420" spans="1:12" ht="15" customHeight="1" outlineLevel="1">
      <c r="A420" s="2542"/>
      <c r="B420" s="2545"/>
      <c r="C420" s="2521"/>
      <c r="D420" s="727">
        <v>2022</v>
      </c>
      <c r="E420" s="726">
        <f t="shared" si="25"/>
        <v>0</v>
      </c>
      <c r="F420" s="726">
        <v>0</v>
      </c>
      <c r="G420" s="726">
        <f t="shared" si="26"/>
        <v>0</v>
      </c>
      <c r="H420" s="726">
        <v>0</v>
      </c>
      <c r="I420" s="726">
        <f t="shared" si="27"/>
        <v>0</v>
      </c>
      <c r="J420" s="2523"/>
      <c r="K420" s="2523"/>
    </row>
    <row r="421" spans="1:12" ht="15" customHeight="1" outlineLevel="1">
      <c r="A421" s="2542"/>
      <c r="B421" s="2545"/>
      <c r="C421" s="2521"/>
      <c r="D421" s="727">
        <v>2023</v>
      </c>
      <c r="E421" s="726">
        <f t="shared" si="25"/>
        <v>0</v>
      </c>
      <c r="F421" s="726">
        <v>0</v>
      </c>
      <c r="G421" s="726">
        <f t="shared" si="26"/>
        <v>0</v>
      </c>
      <c r="H421" s="726">
        <v>0</v>
      </c>
      <c r="I421" s="726">
        <f t="shared" si="27"/>
        <v>0</v>
      </c>
      <c r="J421" s="2523"/>
      <c r="K421" s="2523"/>
    </row>
    <row r="422" spans="1:12" ht="15" customHeight="1" outlineLevel="1">
      <c r="A422" s="2542"/>
      <c r="B422" s="2545"/>
      <c r="C422" s="2521"/>
      <c r="D422" s="727">
        <v>2024</v>
      </c>
      <c r="E422" s="726">
        <f t="shared" si="25"/>
        <v>0</v>
      </c>
      <c r="F422" s="726">
        <v>0</v>
      </c>
      <c r="G422" s="726">
        <f t="shared" si="26"/>
        <v>0</v>
      </c>
      <c r="H422" s="726">
        <v>0</v>
      </c>
      <c r="I422" s="726">
        <f t="shared" si="27"/>
        <v>0</v>
      </c>
      <c r="J422" s="2523"/>
      <c r="K422" s="2523"/>
    </row>
    <row r="423" spans="1:12" ht="15" customHeight="1" outlineLevel="1">
      <c r="A423" s="2543"/>
      <c r="B423" s="2545"/>
      <c r="C423" s="2521"/>
      <c r="D423" s="727">
        <v>2025</v>
      </c>
      <c r="E423" s="726">
        <f t="shared" si="25"/>
        <v>0</v>
      </c>
      <c r="F423" s="726">
        <v>0</v>
      </c>
      <c r="G423" s="726">
        <f t="shared" si="26"/>
        <v>0</v>
      </c>
      <c r="H423" s="726">
        <v>0</v>
      </c>
      <c r="I423" s="726">
        <f t="shared" si="27"/>
        <v>0</v>
      </c>
      <c r="J423" s="2523"/>
      <c r="K423" s="2523"/>
    </row>
    <row r="424" spans="1:12" ht="15" customHeight="1" outlineLevel="1">
      <c r="A424" s="2541" t="s">
        <v>3085</v>
      </c>
      <c r="B424" s="2544" t="s">
        <v>2944</v>
      </c>
      <c r="C424" s="2521">
        <v>2022</v>
      </c>
      <c r="D424" s="727" t="s">
        <v>8</v>
      </c>
      <c r="E424" s="726">
        <f t="shared" si="25"/>
        <v>6815.7889999999998</v>
      </c>
      <c r="F424" s="726">
        <f>SUM(F425:F429)</f>
        <v>6475</v>
      </c>
      <c r="G424" s="726">
        <f t="shared" si="26"/>
        <v>0</v>
      </c>
      <c r="H424" s="726">
        <f>SUM(H425:H429)</f>
        <v>340.78899999999999</v>
      </c>
      <c r="I424" s="726">
        <f t="shared" si="27"/>
        <v>0</v>
      </c>
      <c r="J424" s="2523" t="s">
        <v>3084</v>
      </c>
      <c r="K424" s="2523" t="s">
        <v>2993</v>
      </c>
    </row>
    <row r="425" spans="1:12" ht="15" customHeight="1" outlineLevel="1">
      <c r="A425" s="2542"/>
      <c r="B425" s="2545"/>
      <c r="C425" s="2521"/>
      <c r="D425" s="727">
        <v>2021</v>
      </c>
      <c r="E425" s="726">
        <f t="shared" si="25"/>
        <v>0</v>
      </c>
      <c r="F425" s="726">
        <v>0</v>
      </c>
      <c r="G425" s="726">
        <v>0</v>
      </c>
      <c r="H425" s="726">
        <v>0</v>
      </c>
      <c r="I425" s="726">
        <f t="shared" si="27"/>
        <v>0</v>
      </c>
      <c r="J425" s="2523"/>
      <c r="K425" s="2523"/>
    </row>
    <row r="426" spans="1:12" ht="15" customHeight="1" outlineLevel="1">
      <c r="A426" s="2542"/>
      <c r="B426" s="2545"/>
      <c r="C426" s="2521"/>
      <c r="D426" s="727">
        <v>2022</v>
      </c>
      <c r="E426" s="726">
        <f t="shared" si="25"/>
        <v>6815.7889999999998</v>
      </c>
      <c r="F426" s="726">
        <v>6475</v>
      </c>
      <c r="G426" s="726">
        <v>0</v>
      </c>
      <c r="H426" s="726">
        <v>340.78899999999999</v>
      </c>
      <c r="I426" s="726">
        <f t="shared" si="27"/>
        <v>0</v>
      </c>
      <c r="J426" s="2523"/>
      <c r="K426" s="2523"/>
    </row>
    <row r="427" spans="1:12" ht="15" customHeight="1" outlineLevel="1">
      <c r="A427" s="2542"/>
      <c r="B427" s="2545"/>
      <c r="C427" s="2521"/>
      <c r="D427" s="727">
        <v>2023</v>
      </c>
      <c r="E427" s="726">
        <f t="shared" si="25"/>
        <v>0</v>
      </c>
      <c r="F427" s="726">
        <v>0</v>
      </c>
      <c r="G427" s="726">
        <v>0</v>
      </c>
      <c r="H427" s="726">
        <v>0</v>
      </c>
      <c r="I427" s="726">
        <f t="shared" si="27"/>
        <v>0</v>
      </c>
      <c r="J427" s="2523"/>
      <c r="K427" s="2523"/>
    </row>
    <row r="428" spans="1:12" ht="15" customHeight="1" outlineLevel="1">
      <c r="A428" s="2542"/>
      <c r="B428" s="2545"/>
      <c r="C428" s="2521"/>
      <c r="D428" s="727">
        <v>2024</v>
      </c>
      <c r="E428" s="726">
        <f t="shared" si="25"/>
        <v>0</v>
      </c>
      <c r="F428" s="726">
        <v>0</v>
      </c>
      <c r="G428" s="726">
        <v>0</v>
      </c>
      <c r="H428" s="726">
        <v>0</v>
      </c>
      <c r="I428" s="726">
        <f t="shared" si="27"/>
        <v>0</v>
      </c>
      <c r="J428" s="2523"/>
      <c r="K428" s="2523"/>
    </row>
    <row r="429" spans="1:12" ht="15" customHeight="1" outlineLevel="1">
      <c r="A429" s="2543"/>
      <c r="B429" s="2545"/>
      <c r="C429" s="2521"/>
      <c r="D429" s="727">
        <v>2025</v>
      </c>
      <c r="E429" s="726">
        <f t="shared" ref="E429:E460" si="28">SUM(F429:I429)</f>
        <v>0</v>
      </c>
      <c r="F429" s="726">
        <v>0</v>
      </c>
      <c r="G429" s="726">
        <v>0</v>
      </c>
      <c r="H429" s="726">
        <v>0</v>
      </c>
      <c r="I429" s="726">
        <f t="shared" si="27"/>
        <v>0</v>
      </c>
      <c r="J429" s="2523"/>
      <c r="K429" s="2523"/>
    </row>
    <row r="430" spans="1:12" ht="15" customHeight="1" outlineLevel="1">
      <c r="A430" s="2541" t="s">
        <v>3083</v>
      </c>
      <c r="B430" s="2544" t="s">
        <v>2945</v>
      </c>
      <c r="C430" s="2521">
        <v>2022</v>
      </c>
      <c r="D430" s="727" t="s">
        <v>8</v>
      </c>
      <c r="E430" s="726">
        <f t="shared" si="28"/>
        <v>6717.1717171717173</v>
      </c>
      <c r="F430" s="726">
        <f>SUM(F431:F435)</f>
        <v>6650</v>
      </c>
      <c r="G430" s="726">
        <v>0</v>
      </c>
      <c r="H430" s="726">
        <f>SUM(H431:H435)</f>
        <v>67.171717171717177</v>
      </c>
      <c r="I430" s="726">
        <f t="shared" si="27"/>
        <v>0</v>
      </c>
      <c r="J430" s="2523" t="s">
        <v>3082</v>
      </c>
      <c r="K430" s="2523" t="s">
        <v>2993</v>
      </c>
      <c r="L430" s="2524" t="s">
        <v>3081</v>
      </c>
    </row>
    <row r="431" spans="1:12" ht="15" customHeight="1" outlineLevel="1">
      <c r="A431" s="2542"/>
      <c r="B431" s="2545"/>
      <c r="C431" s="2521"/>
      <c r="D431" s="727">
        <v>2021</v>
      </c>
      <c r="E431" s="726">
        <f t="shared" si="28"/>
        <v>0</v>
      </c>
      <c r="F431" s="726">
        <v>0</v>
      </c>
      <c r="G431" s="726">
        <v>0</v>
      </c>
      <c r="H431" s="726">
        <v>0</v>
      </c>
      <c r="I431" s="726">
        <f t="shared" si="27"/>
        <v>0</v>
      </c>
      <c r="J431" s="2523"/>
      <c r="K431" s="2523"/>
      <c r="L431" s="2524"/>
    </row>
    <row r="432" spans="1:12" ht="15" customHeight="1" outlineLevel="1">
      <c r="A432" s="2542"/>
      <c r="B432" s="2545"/>
      <c r="C432" s="2521"/>
      <c r="D432" s="727">
        <v>2022</v>
      </c>
      <c r="E432" s="726">
        <f t="shared" si="28"/>
        <v>6717.1717171717173</v>
      </c>
      <c r="F432" s="726">
        <v>6650</v>
      </c>
      <c r="G432" s="726">
        <v>0</v>
      </c>
      <c r="H432" s="726">
        <f>F432/99*1</f>
        <v>67.171717171717177</v>
      </c>
      <c r="I432" s="726">
        <f t="shared" si="27"/>
        <v>0</v>
      </c>
      <c r="J432" s="2523"/>
      <c r="K432" s="2523"/>
      <c r="L432" s="2524"/>
    </row>
    <row r="433" spans="1:12" ht="15" customHeight="1" outlineLevel="1">
      <c r="A433" s="2542"/>
      <c r="B433" s="2545"/>
      <c r="C433" s="2521"/>
      <c r="D433" s="727">
        <v>2023</v>
      </c>
      <c r="E433" s="726">
        <f t="shared" si="28"/>
        <v>0</v>
      </c>
      <c r="F433" s="726">
        <v>0</v>
      </c>
      <c r="G433" s="726">
        <v>0</v>
      </c>
      <c r="H433" s="726">
        <v>0</v>
      </c>
      <c r="I433" s="726">
        <f t="shared" si="27"/>
        <v>0</v>
      </c>
      <c r="J433" s="2523"/>
      <c r="K433" s="2523"/>
      <c r="L433" s="2524"/>
    </row>
    <row r="434" spans="1:12" ht="15" customHeight="1" outlineLevel="1">
      <c r="A434" s="2542"/>
      <c r="B434" s="2545"/>
      <c r="C434" s="2521"/>
      <c r="D434" s="727">
        <v>2024</v>
      </c>
      <c r="E434" s="726">
        <f t="shared" si="28"/>
        <v>0</v>
      </c>
      <c r="F434" s="726">
        <v>0</v>
      </c>
      <c r="G434" s="726">
        <v>0</v>
      </c>
      <c r="H434" s="726">
        <v>0</v>
      </c>
      <c r="I434" s="726">
        <f t="shared" si="27"/>
        <v>0</v>
      </c>
      <c r="J434" s="2523"/>
      <c r="K434" s="2523"/>
      <c r="L434" s="2524"/>
    </row>
    <row r="435" spans="1:12" ht="15" customHeight="1" outlineLevel="1">
      <c r="A435" s="2543"/>
      <c r="B435" s="2545"/>
      <c r="C435" s="2521"/>
      <c r="D435" s="727">
        <v>2025</v>
      </c>
      <c r="E435" s="726">
        <f t="shared" si="28"/>
        <v>0</v>
      </c>
      <c r="F435" s="726">
        <v>0</v>
      </c>
      <c r="G435" s="726">
        <v>0</v>
      </c>
      <c r="H435" s="726">
        <v>0</v>
      </c>
      <c r="I435" s="726">
        <f t="shared" si="27"/>
        <v>0</v>
      </c>
      <c r="J435" s="2523"/>
      <c r="K435" s="2523"/>
      <c r="L435" s="2524"/>
    </row>
    <row r="436" spans="1:12" ht="17.25" customHeight="1" outlineLevel="1">
      <c r="A436" s="2541" t="s">
        <v>3080</v>
      </c>
      <c r="B436" s="2544" t="s">
        <v>2946</v>
      </c>
      <c r="C436" s="2521">
        <v>2023</v>
      </c>
      <c r="D436" s="727" t="s">
        <v>8</v>
      </c>
      <c r="E436" s="726">
        <f t="shared" si="28"/>
        <v>0</v>
      </c>
      <c r="F436" s="726">
        <f>SUM(F437:F441)</f>
        <v>0</v>
      </c>
      <c r="G436" s="726">
        <v>0</v>
      </c>
      <c r="H436" s="726">
        <f>SUM(H437:H441)</f>
        <v>0</v>
      </c>
      <c r="I436" s="726">
        <f t="shared" si="27"/>
        <v>0</v>
      </c>
      <c r="J436" s="2523" t="s">
        <v>3079</v>
      </c>
      <c r="K436" s="2523" t="s">
        <v>3077</v>
      </c>
    </row>
    <row r="437" spans="1:12" ht="17.25" customHeight="1" outlineLevel="1">
      <c r="A437" s="2542"/>
      <c r="B437" s="2545"/>
      <c r="C437" s="2521"/>
      <c r="D437" s="727">
        <v>2021</v>
      </c>
      <c r="E437" s="726">
        <f t="shared" si="28"/>
        <v>0</v>
      </c>
      <c r="F437" s="726">
        <v>0</v>
      </c>
      <c r="G437" s="726">
        <v>0</v>
      </c>
      <c r="H437" s="726">
        <v>0</v>
      </c>
      <c r="I437" s="726">
        <v>0</v>
      </c>
      <c r="J437" s="2523"/>
      <c r="K437" s="2523"/>
    </row>
    <row r="438" spans="1:12" ht="17.25" customHeight="1" outlineLevel="1">
      <c r="A438" s="2542"/>
      <c r="B438" s="2545"/>
      <c r="C438" s="2521"/>
      <c r="D438" s="727">
        <v>2022</v>
      </c>
      <c r="E438" s="726">
        <f t="shared" si="28"/>
        <v>0</v>
      </c>
      <c r="F438" s="726">
        <v>0</v>
      </c>
      <c r="G438" s="726">
        <v>0</v>
      </c>
      <c r="H438" s="726">
        <v>0</v>
      </c>
      <c r="I438" s="726">
        <v>0</v>
      </c>
      <c r="J438" s="2523"/>
      <c r="K438" s="2523"/>
    </row>
    <row r="439" spans="1:12" ht="17.25" customHeight="1" outlineLevel="1">
      <c r="A439" s="2542"/>
      <c r="B439" s="2545"/>
      <c r="C439" s="2521"/>
      <c r="D439" s="727">
        <v>2023</v>
      </c>
      <c r="E439" s="726">
        <f t="shared" si="28"/>
        <v>0</v>
      </c>
      <c r="F439" s="726">
        <v>0</v>
      </c>
      <c r="G439" s="726">
        <v>0</v>
      </c>
      <c r="H439" s="726">
        <v>0</v>
      </c>
      <c r="I439" s="726">
        <v>0</v>
      </c>
      <c r="J439" s="2523"/>
      <c r="K439" s="2523"/>
    </row>
    <row r="440" spans="1:12" ht="17.25" customHeight="1" outlineLevel="1">
      <c r="A440" s="2542"/>
      <c r="B440" s="2545"/>
      <c r="C440" s="2521"/>
      <c r="D440" s="727">
        <v>2024</v>
      </c>
      <c r="E440" s="726">
        <f t="shared" si="28"/>
        <v>0</v>
      </c>
      <c r="F440" s="726">
        <v>0</v>
      </c>
      <c r="G440" s="726">
        <v>0</v>
      </c>
      <c r="H440" s="726">
        <v>0</v>
      </c>
      <c r="I440" s="726">
        <v>0</v>
      </c>
      <c r="J440" s="2523"/>
      <c r="K440" s="2523"/>
    </row>
    <row r="441" spans="1:12" ht="17.25" customHeight="1" outlineLevel="1">
      <c r="A441" s="2543"/>
      <c r="B441" s="2545"/>
      <c r="C441" s="2521"/>
      <c r="D441" s="727">
        <v>2025</v>
      </c>
      <c r="E441" s="726">
        <f t="shared" si="28"/>
        <v>0</v>
      </c>
      <c r="F441" s="726">
        <v>0</v>
      </c>
      <c r="G441" s="726">
        <v>0</v>
      </c>
      <c r="H441" s="726">
        <v>0</v>
      </c>
      <c r="I441" s="726">
        <v>0</v>
      </c>
      <c r="J441" s="2523"/>
      <c r="K441" s="2523"/>
    </row>
    <row r="442" spans="1:12" ht="15" customHeight="1" outlineLevel="1">
      <c r="A442" s="2541" t="s">
        <v>588</v>
      </c>
      <c r="B442" s="2519" t="s">
        <v>2947</v>
      </c>
      <c r="C442" s="2521">
        <v>2022</v>
      </c>
      <c r="D442" s="727" t="s">
        <v>8</v>
      </c>
      <c r="E442" s="726">
        <f t="shared" si="28"/>
        <v>0</v>
      </c>
      <c r="F442" s="726">
        <f>SUM(F443:F447)</f>
        <v>0</v>
      </c>
      <c r="G442" s="726">
        <f>SUM(G443:G447)</f>
        <v>0</v>
      </c>
      <c r="H442" s="726">
        <f>SUM(H443:H447)</f>
        <v>0</v>
      </c>
      <c r="I442" s="726">
        <f>SUM(I443:I447)</f>
        <v>0</v>
      </c>
      <c r="J442" s="2523" t="s">
        <v>3078</v>
      </c>
      <c r="K442" s="2523" t="s">
        <v>2993</v>
      </c>
      <c r="L442" s="2550"/>
    </row>
    <row r="443" spans="1:12" ht="15" customHeight="1" outlineLevel="1">
      <c r="A443" s="2542"/>
      <c r="B443" s="2519"/>
      <c r="C443" s="2521"/>
      <c r="D443" s="727">
        <v>2021</v>
      </c>
      <c r="E443" s="726">
        <f t="shared" si="28"/>
        <v>0</v>
      </c>
      <c r="F443" s="726">
        <v>0</v>
      </c>
      <c r="G443" s="726">
        <v>0</v>
      </c>
      <c r="H443" s="726">
        <v>0</v>
      </c>
      <c r="I443" s="726">
        <v>0</v>
      </c>
      <c r="J443" s="2523"/>
      <c r="K443" s="2523"/>
      <c r="L443" s="2550"/>
    </row>
    <row r="444" spans="1:12" ht="15" customHeight="1" outlineLevel="1">
      <c r="A444" s="2542"/>
      <c r="B444" s="2519"/>
      <c r="C444" s="2521"/>
      <c r="D444" s="727">
        <v>2022</v>
      </c>
      <c r="E444" s="726">
        <f t="shared" si="28"/>
        <v>0</v>
      </c>
      <c r="F444" s="726">
        <v>0</v>
      </c>
      <c r="G444" s="726">
        <v>0</v>
      </c>
      <c r="H444" s="726">
        <v>0</v>
      </c>
      <c r="I444" s="726">
        <v>0</v>
      </c>
      <c r="J444" s="2523"/>
      <c r="K444" s="2523"/>
      <c r="L444" s="2550"/>
    </row>
    <row r="445" spans="1:12" ht="15" customHeight="1" outlineLevel="1">
      <c r="A445" s="2542"/>
      <c r="B445" s="2519"/>
      <c r="C445" s="2521"/>
      <c r="D445" s="727">
        <v>2023</v>
      </c>
      <c r="E445" s="726">
        <f t="shared" si="28"/>
        <v>0</v>
      </c>
      <c r="F445" s="726">
        <v>0</v>
      </c>
      <c r="G445" s="726">
        <v>0</v>
      </c>
      <c r="H445" s="726">
        <v>0</v>
      </c>
      <c r="I445" s="726">
        <v>0</v>
      </c>
      <c r="J445" s="2523"/>
      <c r="K445" s="2523"/>
      <c r="L445" s="2550"/>
    </row>
    <row r="446" spans="1:12" ht="15" customHeight="1" outlineLevel="1">
      <c r="A446" s="2542"/>
      <c r="B446" s="2519"/>
      <c r="C446" s="2521"/>
      <c r="D446" s="727">
        <v>2024</v>
      </c>
      <c r="E446" s="726">
        <f t="shared" si="28"/>
        <v>0</v>
      </c>
      <c r="F446" s="726">
        <v>0</v>
      </c>
      <c r="G446" s="726">
        <v>0</v>
      </c>
      <c r="H446" s="726">
        <v>0</v>
      </c>
      <c r="I446" s="726">
        <v>0</v>
      </c>
      <c r="J446" s="2523"/>
      <c r="K446" s="2523"/>
      <c r="L446" s="2550"/>
    </row>
    <row r="447" spans="1:12" ht="15" customHeight="1" outlineLevel="1">
      <c r="A447" s="2543"/>
      <c r="B447" s="2519"/>
      <c r="C447" s="2521"/>
      <c r="D447" s="727">
        <v>2025</v>
      </c>
      <c r="E447" s="726">
        <f t="shared" si="28"/>
        <v>0</v>
      </c>
      <c r="F447" s="726">
        <v>0</v>
      </c>
      <c r="G447" s="726">
        <v>0</v>
      </c>
      <c r="H447" s="726">
        <v>0</v>
      </c>
      <c r="I447" s="726">
        <v>0</v>
      </c>
      <c r="J447" s="2523"/>
      <c r="K447" s="2523"/>
      <c r="L447" s="2550"/>
    </row>
    <row r="448" spans="1:12" ht="15" customHeight="1" outlineLevel="1">
      <c r="A448" s="2541" t="s">
        <v>592</v>
      </c>
      <c r="B448" s="2544" t="s">
        <v>2948</v>
      </c>
      <c r="C448" s="2521" t="s">
        <v>3042</v>
      </c>
      <c r="D448" s="727" t="s">
        <v>8</v>
      </c>
      <c r="E448" s="726">
        <f t="shared" si="28"/>
        <v>66399.149999999994</v>
      </c>
      <c r="F448" s="726">
        <f>SUM(F449:F453)</f>
        <v>66399.149999999994</v>
      </c>
      <c r="G448" s="726">
        <f>SUM(G449:G453)</f>
        <v>0</v>
      </c>
      <c r="H448" s="726">
        <f>SUM(H449:H453)</f>
        <v>0</v>
      </c>
      <c r="I448" s="726">
        <f>SUM(I449:I453)</f>
        <v>0</v>
      </c>
      <c r="J448" s="2523" t="s">
        <v>3041</v>
      </c>
      <c r="K448" s="2523" t="s">
        <v>3077</v>
      </c>
    </row>
    <row r="449" spans="1:12" ht="15" customHeight="1" outlineLevel="1">
      <c r="A449" s="2542"/>
      <c r="B449" s="2545"/>
      <c r="C449" s="2521"/>
      <c r="D449" s="727">
        <v>2021</v>
      </c>
      <c r="E449" s="726">
        <f t="shared" si="28"/>
        <v>0</v>
      </c>
      <c r="F449" s="726">
        <v>0</v>
      </c>
      <c r="G449" s="726">
        <v>0</v>
      </c>
      <c r="H449" s="726">
        <v>0</v>
      </c>
      <c r="I449" s="726">
        <v>0</v>
      </c>
      <c r="J449" s="2523"/>
      <c r="K449" s="2523"/>
    </row>
    <row r="450" spans="1:12" ht="15" customHeight="1" outlineLevel="1">
      <c r="A450" s="2542"/>
      <c r="B450" s="2545"/>
      <c r="C450" s="2521"/>
      <c r="D450" s="727">
        <v>2022</v>
      </c>
      <c r="E450" s="726">
        <f t="shared" si="28"/>
        <v>66399.149999999994</v>
      </c>
      <c r="F450" s="726">
        <f>200000-21582.6-112018.25</f>
        <v>66399.149999999994</v>
      </c>
      <c r="G450" s="726">
        <v>0</v>
      </c>
      <c r="H450" s="726">
        <v>0</v>
      </c>
      <c r="I450" s="726">
        <v>0</v>
      </c>
      <c r="J450" s="2523"/>
      <c r="K450" s="2523"/>
    </row>
    <row r="451" spans="1:12" ht="15" customHeight="1" outlineLevel="1">
      <c r="A451" s="2542"/>
      <c r="B451" s="2545"/>
      <c r="C451" s="2521"/>
      <c r="D451" s="727">
        <v>2023</v>
      </c>
      <c r="E451" s="726">
        <f t="shared" si="28"/>
        <v>0</v>
      </c>
      <c r="F451" s="726">
        <v>0</v>
      </c>
      <c r="G451" s="726">
        <v>0</v>
      </c>
      <c r="H451" s="726">
        <v>0</v>
      </c>
      <c r="I451" s="726">
        <v>0</v>
      </c>
      <c r="J451" s="2523"/>
      <c r="K451" s="2523"/>
    </row>
    <row r="452" spans="1:12" ht="15" customHeight="1" outlineLevel="1">
      <c r="A452" s="2542"/>
      <c r="B452" s="2545"/>
      <c r="C452" s="2521"/>
      <c r="D452" s="727">
        <v>2024</v>
      </c>
      <c r="E452" s="726">
        <f t="shared" si="28"/>
        <v>0</v>
      </c>
      <c r="F452" s="726">
        <v>0</v>
      </c>
      <c r="G452" s="726">
        <v>0</v>
      </c>
      <c r="H452" s="726">
        <v>0</v>
      </c>
      <c r="I452" s="726">
        <v>0</v>
      </c>
      <c r="J452" s="2523"/>
      <c r="K452" s="2523"/>
    </row>
    <row r="453" spans="1:12" ht="15" customHeight="1" outlineLevel="1">
      <c r="A453" s="2543"/>
      <c r="B453" s="2518"/>
      <c r="C453" s="2521"/>
      <c r="D453" s="727">
        <v>2025</v>
      </c>
      <c r="E453" s="726">
        <f t="shared" si="28"/>
        <v>0</v>
      </c>
      <c r="F453" s="726">
        <v>0</v>
      </c>
      <c r="G453" s="726">
        <v>0</v>
      </c>
      <c r="H453" s="726">
        <v>0</v>
      </c>
      <c r="I453" s="726">
        <v>0</v>
      </c>
      <c r="J453" s="2523"/>
      <c r="K453" s="2523"/>
    </row>
    <row r="454" spans="1:12" ht="15" customHeight="1" outlineLevel="1">
      <c r="A454" s="2541" t="s">
        <v>594</v>
      </c>
      <c r="B454" s="2544" t="s">
        <v>2949</v>
      </c>
      <c r="C454" s="2521">
        <v>2022</v>
      </c>
      <c r="D454" s="727" t="s">
        <v>8</v>
      </c>
      <c r="E454" s="736">
        <f t="shared" si="28"/>
        <v>0</v>
      </c>
      <c r="F454" s="726">
        <f>SUM(F455:F459)</f>
        <v>0</v>
      </c>
      <c r="G454" s="726">
        <f>SUM(G455:G459)</f>
        <v>0</v>
      </c>
      <c r="H454" s="726">
        <f>SUM(H455:H459)</f>
        <v>0</v>
      </c>
      <c r="I454" s="726">
        <f>SUM(I455:I459)</f>
        <v>0</v>
      </c>
      <c r="J454" s="2548" t="s">
        <v>3076</v>
      </c>
      <c r="K454" s="2548" t="s">
        <v>2993</v>
      </c>
    </row>
    <row r="455" spans="1:12" ht="15" customHeight="1" outlineLevel="1">
      <c r="A455" s="2542"/>
      <c r="B455" s="2545"/>
      <c r="C455" s="2521"/>
      <c r="D455" s="727">
        <v>2021</v>
      </c>
      <c r="E455" s="736">
        <f t="shared" si="28"/>
        <v>0</v>
      </c>
      <c r="F455" s="736">
        <v>0</v>
      </c>
      <c r="G455" s="736">
        <v>0</v>
      </c>
      <c r="H455" s="736">
        <v>0</v>
      </c>
      <c r="I455" s="726">
        <v>0</v>
      </c>
      <c r="J455" s="2549"/>
      <c r="K455" s="2549"/>
    </row>
    <row r="456" spans="1:12" ht="15" customHeight="1" outlineLevel="1">
      <c r="A456" s="2542"/>
      <c r="B456" s="2545"/>
      <c r="C456" s="2521"/>
      <c r="D456" s="727">
        <v>2022</v>
      </c>
      <c r="E456" s="736">
        <f t="shared" si="28"/>
        <v>0</v>
      </c>
      <c r="F456" s="736">
        <v>0</v>
      </c>
      <c r="G456" s="736">
        <v>0</v>
      </c>
      <c r="H456" s="736">
        <v>0</v>
      </c>
      <c r="I456" s="726">
        <v>0</v>
      </c>
      <c r="J456" s="2549"/>
      <c r="K456" s="2549"/>
    </row>
    <row r="457" spans="1:12" ht="15" customHeight="1" outlineLevel="1">
      <c r="A457" s="2542"/>
      <c r="B457" s="2545"/>
      <c r="C457" s="2521"/>
      <c r="D457" s="727">
        <v>2023</v>
      </c>
      <c r="E457" s="736">
        <f t="shared" si="28"/>
        <v>0</v>
      </c>
      <c r="F457" s="736">
        <v>0</v>
      </c>
      <c r="G457" s="736">
        <v>0</v>
      </c>
      <c r="H457" s="736">
        <v>0</v>
      </c>
      <c r="I457" s="726">
        <v>0</v>
      </c>
      <c r="J457" s="2549"/>
      <c r="K457" s="2549"/>
    </row>
    <row r="458" spans="1:12" ht="15" customHeight="1" outlineLevel="1">
      <c r="A458" s="2542"/>
      <c r="B458" s="2545"/>
      <c r="C458" s="2521"/>
      <c r="D458" s="727">
        <v>2024</v>
      </c>
      <c r="E458" s="736">
        <f t="shared" si="28"/>
        <v>0</v>
      </c>
      <c r="F458" s="736">
        <v>0</v>
      </c>
      <c r="G458" s="736">
        <v>0</v>
      </c>
      <c r="H458" s="736">
        <v>0</v>
      </c>
      <c r="I458" s="726">
        <v>0</v>
      </c>
      <c r="J458" s="2549"/>
      <c r="K458" s="2549"/>
    </row>
    <row r="459" spans="1:12" ht="15" customHeight="1" outlineLevel="1">
      <c r="A459" s="2543"/>
      <c r="B459" s="2518"/>
      <c r="C459" s="2521"/>
      <c r="D459" s="727">
        <v>2025</v>
      </c>
      <c r="E459" s="736">
        <f t="shared" si="28"/>
        <v>0</v>
      </c>
      <c r="F459" s="736">
        <v>0</v>
      </c>
      <c r="G459" s="736">
        <v>0</v>
      </c>
      <c r="H459" s="736">
        <v>0</v>
      </c>
      <c r="I459" s="726">
        <v>0</v>
      </c>
      <c r="J459" s="2522"/>
      <c r="K459" s="2522"/>
    </row>
    <row r="460" spans="1:12" ht="15" customHeight="1" outlineLevel="1">
      <c r="A460" s="2541" t="s">
        <v>596</v>
      </c>
      <c r="B460" s="2544" t="s">
        <v>3075</v>
      </c>
      <c r="C460" s="2521">
        <v>2022</v>
      </c>
      <c r="D460" s="727" t="s">
        <v>8</v>
      </c>
      <c r="E460" s="736">
        <f t="shared" si="28"/>
        <v>6133.3262999999997</v>
      </c>
      <c r="F460" s="726">
        <f>SUM(F461:F465)</f>
        <v>5826.66</v>
      </c>
      <c r="G460" s="736">
        <v>0</v>
      </c>
      <c r="H460" s="726">
        <f>SUM(H461:H465)</f>
        <v>306.66629999999998</v>
      </c>
      <c r="I460" s="726">
        <f>SUM(I461:I465)</f>
        <v>0</v>
      </c>
      <c r="J460" s="2548" t="s">
        <v>3074</v>
      </c>
      <c r="K460" s="2548" t="s">
        <v>2993</v>
      </c>
      <c r="L460" s="2550"/>
    </row>
    <row r="461" spans="1:12" outlineLevel="1">
      <c r="A461" s="2542"/>
      <c r="B461" s="2545"/>
      <c r="C461" s="2521"/>
      <c r="D461" s="727">
        <v>2021</v>
      </c>
      <c r="E461" s="736">
        <f t="shared" ref="E461:E492" si="29">SUM(F461:I461)</f>
        <v>0</v>
      </c>
      <c r="F461" s="736">
        <v>0</v>
      </c>
      <c r="G461" s="736">
        <v>0</v>
      </c>
      <c r="H461" s="736">
        <v>0</v>
      </c>
      <c r="I461" s="726">
        <v>0</v>
      </c>
      <c r="J461" s="2549"/>
      <c r="K461" s="2549"/>
      <c r="L461" s="2550"/>
    </row>
    <row r="462" spans="1:12" outlineLevel="1">
      <c r="A462" s="2542"/>
      <c r="B462" s="2545"/>
      <c r="C462" s="2521"/>
      <c r="D462" s="727">
        <v>2022</v>
      </c>
      <c r="E462" s="736">
        <f t="shared" si="29"/>
        <v>6133.3262999999997</v>
      </c>
      <c r="F462" s="736">
        <v>5826.66</v>
      </c>
      <c r="G462" s="736">
        <v>0</v>
      </c>
      <c r="H462" s="736">
        <v>306.66629999999998</v>
      </c>
      <c r="I462" s="726">
        <v>0</v>
      </c>
      <c r="J462" s="2549"/>
      <c r="K462" s="2549"/>
      <c r="L462" s="2550"/>
    </row>
    <row r="463" spans="1:12" outlineLevel="1">
      <c r="A463" s="2542"/>
      <c r="B463" s="2545"/>
      <c r="C463" s="2521"/>
      <c r="D463" s="727">
        <v>2023</v>
      </c>
      <c r="E463" s="736">
        <f t="shared" si="29"/>
        <v>0</v>
      </c>
      <c r="F463" s="736">
        <v>0</v>
      </c>
      <c r="G463" s="736">
        <v>0</v>
      </c>
      <c r="H463" s="736">
        <v>0</v>
      </c>
      <c r="I463" s="726">
        <v>0</v>
      </c>
      <c r="J463" s="2549"/>
      <c r="K463" s="2549"/>
    </row>
    <row r="464" spans="1:12" outlineLevel="1">
      <c r="A464" s="2542"/>
      <c r="B464" s="2545"/>
      <c r="C464" s="2521"/>
      <c r="D464" s="727">
        <v>2024</v>
      </c>
      <c r="E464" s="736">
        <f t="shared" si="29"/>
        <v>0</v>
      </c>
      <c r="F464" s="736">
        <v>0</v>
      </c>
      <c r="G464" s="736">
        <v>0</v>
      </c>
      <c r="H464" s="736">
        <v>0</v>
      </c>
      <c r="I464" s="726">
        <v>0</v>
      </c>
      <c r="J464" s="2549"/>
      <c r="K464" s="2549"/>
    </row>
    <row r="465" spans="1:11" outlineLevel="1">
      <c r="A465" s="2543"/>
      <c r="B465" s="2518"/>
      <c r="C465" s="2521"/>
      <c r="D465" s="727">
        <v>2025</v>
      </c>
      <c r="E465" s="736">
        <f t="shared" si="29"/>
        <v>0</v>
      </c>
      <c r="F465" s="736">
        <v>0</v>
      </c>
      <c r="G465" s="736">
        <v>0</v>
      </c>
      <c r="H465" s="736">
        <v>0</v>
      </c>
      <c r="I465" s="736">
        <v>0</v>
      </c>
      <c r="J465" s="2522"/>
      <c r="K465" s="2522"/>
    </row>
    <row r="466" spans="1:11" outlineLevel="1">
      <c r="A466" s="2541" t="s">
        <v>598</v>
      </c>
      <c r="B466" s="2544" t="s">
        <v>3073</v>
      </c>
      <c r="C466" s="2546">
        <v>2023</v>
      </c>
      <c r="D466" s="727" t="s">
        <v>8</v>
      </c>
      <c r="E466" s="736">
        <f t="shared" si="29"/>
        <v>0</v>
      </c>
      <c r="F466" s="736">
        <f>SUM(F467:F471)</f>
        <v>0</v>
      </c>
      <c r="G466" s="736">
        <f>SUM(G467:G471)</f>
        <v>0</v>
      </c>
      <c r="H466" s="736">
        <f>SUM(H467:H471)</f>
        <v>0</v>
      </c>
      <c r="I466" s="736">
        <f>SUM(I467:I471)</f>
        <v>0</v>
      </c>
      <c r="J466" s="2548" t="s">
        <v>3072</v>
      </c>
      <c r="K466" s="2548" t="s">
        <v>2799</v>
      </c>
    </row>
    <row r="467" spans="1:11" outlineLevel="1">
      <c r="A467" s="2542"/>
      <c r="B467" s="2545"/>
      <c r="C467" s="2547"/>
      <c r="D467" s="727">
        <v>2021</v>
      </c>
      <c r="E467" s="736">
        <f t="shared" si="29"/>
        <v>0</v>
      </c>
      <c r="F467" s="736">
        <v>0</v>
      </c>
      <c r="G467" s="736">
        <v>0</v>
      </c>
      <c r="H467" s="736">
        <v>0</v>
      </c>
      <c r="I467" s="736">
        <v>0</v>
      </c>
      <c r="J467" s="2549"/>
      <c r="K467" s="2549"/>
    </row>
    <row r="468" spans="1:11" outlineLevel="1">
      <c r="A468" s="2542"/>
      <c r="B468" s="2545"/>
      <c r="C468" s="2547"/>
      <c r="D468" s="727">
        <v>2022</v>
      </c>
      <c r="E468" s="736">
        <f t="shared" si="29"/>
        <v>0</v>
      </c>
      <c r="F468" s="736">
        <v>0</v>
      </c>
      <c r="G468" s="736">
        <v>0</v>
      </c>
      <c r="H468" s="736">
        <v>0</v>
      </c>
      <c r="I468" s="736">
        <v>0</v>
      </c>
      <c r="J468" s="2549"/>
      <c r="K468" s="2549"/>
    </row>
    <row r="469" spans="1:11" outlineLevel="1">
      <c r="A469" s="2542"/>
      <c r="B469" s="2545"/>
      <c r="C469" s="2547"/>
      <c r="D469" s="727">
        <v>2023</v>
      </c>
      <c r="E469" s="736">
        <f t="shared" si="29"/>
        <v>0</v>
      </c>
      <c r="F469" s="736">
        <v>0</v>
      </c>
      <c r="G469" s="736">
        <v>0</v>
      </c>
      <c r="H469" s="736">
        <v>0</v>
      </c>
      <c r="I469" s="736">
        <v>0</v>
      </c>
      <c r="J469" s="2549"/>
      <c r="K469" s="2549"/>
    </row>
    <row r="470" spans="1:11" outlineLevel="1">
      <c r="A470" s="2542"/>
      <c r="B470" s="2545"/>
      <c r="C470" s="2547"/>
      <c r="D470" s="727">
        <v>2024</v>
      </c>
      <c r="E470" s="736">
        <f t="shared" si="29"/>
        <v>0</v>
      </c>
      <c r="F470" s="736">
        <v>0</v>
      </c>
      <c r="G470" s="736">
        <v>0</v>
      </c>
      <c r="H470" s="736">
        <v>0</v>
      </c>
      <c r="I470" s="736">
        <v>0</v>
      </c>
      <c r="J470" s="2549"/>
      <c r="K470" s="2549"/>
    </row>
    <row r="471" spans="1:11" outlineLevel="1">
      <c r="A471" s="2543"/>
      <c r="B471" s="2518"/>
      <c r="C471" s="2520"/>
      <c r="D471" s="727">
        <v>2025</v>
      </c>
      <c r="E471" s="736">
        <f t="shared" si="29"/>
        <v>0</v>
      </c>
      <c r="F471" s="736">
        <v>0</v>
      </c>
      <c r="G471" s="736">
        <v>0</v>
      </c>
      <c r="H471" s="736">
        <v>0</v>
      </c>
      <c r="I471" s="736">
        <v>0</v>
      </c>
      <c r="J471" s="2522"/>
      <c r="K471" s="2522"/>
    </row>
    <row r="472" spans="1:11" ht="17.100000000000001" customHeight="1" outlineLevel="1">
      <c r="A472" s="2551" t="s">
        <v>3071</v>
      </c>
      <c r="B472" s="2554" t="s">
        <v>2720</v>
      </c>
      <c r="C472" s="2575" t="s">
        <v>2989</v>
      </c>
      <c r="D472" s="765" t="s">
        <v>8</v>
      </c>
      <c r="E472" s="766">
        <f t="shared" si="29"/>
        <v>704956.75476182625</v>
      </c>
      <c r="F472" s="766">
        <f>SUM(F473:F477)</f>
        <v>669971.96004999999</v>
      </c>
      <c r="G472" s="766">
        <f>SUM(G473:G477)</f>
        <v>0</v>
      </c>
      <c r="H472" s="766">
        <f>SUM(H473:H477)</f>
        <v>34984.794711826275</v>
      </c>
      <c r="I472" s="769">
        <f>SUM(I479:I483)</f>
        <v>0</v>
      </c>
      <c r="J472" s="2560" t="s">
        <v>2826</v>
      </c>
      <c r="K472" s="2560" t="s">
        <v>3070</v>
      </c>
    </row>
    <row r="473" spans="1:11" ht="17.100000000000001" customHeight="1" outlineLevel="1">
      <c r="A473" s="2552"/>
      <c r="B473" s="2555"/>
      <c r="C473" s="2576"/>
      <c r="D473" s="765">
        <v>2021</v>
      </c>
      <c r="E473" s="766">
        <f t="shared" si="29"/>
        <v>195224.35576589749</v>
      </c>
      <c r="F473" s="768">
        <f>SUM(F479+F485+F491+F497+F503+F509+F515+F521+F527+F533+F539+F545+F551+F557+F563+F569+F575+F581+F587+F593+F599+F605+F611+F617+F623+F629+F635+F641+F647)</f>
        <v>179524.59972</v>
      </c>
      <c r="G473" s="768">
        <f>SUM(G479+G485+G491+G497+G503+G509+G515+G521+G527+G533+G539+G545+G551+G557+G563+G569+G575+G581+G587+G593+G599+G605+G611+G617+G623+G629+G635+G641+G647)</f>
        <v>0</v>
      </c>
      <c r="H473" s="768">
        <f>SUM(H479+H485+H491+H497+H503+H509+H515+H521+H527+H533+H539+H545+H551+H557+H563+H569+H575+H581+H587+H593+H599+H605+H611+H617+H623+H629+H635+H641+H647)</f>
        <v>15699.756045897479</v>
      </c>
      <c r="I473" s="769">
        <f>SUM(I480:I484)</f>
        <v>0</v>
      </c>
      <c r="J473" s="2563"/>
      <c r="K473" s="2563"/>
    </row>
    <row r="474" spans="1:11" ht="17.100000000000001" customHeight="1" outlineLevel="1">
      <c r="A474" s="2552"/>
      <c r="B474" s="2555"/>
      <c r="C474" s="2576"/>
      <c r="D474" s="765">
        <v>2022</v>
      </c>
      <c r="E474" s="766">
        <f t="shared" si="29"/>
        <v>369218.75899592874</v>
      </c>
      <c r="F474" s="768">
        <f>SUM(F480+F486+F492+F498+F504+F510+F516+F522+F528+F534+F540+F546+F552+F558+F564+F570+F576+F582+F588+F594+F600+F606+F612+F618+F624+F630+F636+F642+F648+F654+F660+F666+F672)</f>
        <v>355399.40232999995</v>
      </c>
      <c r="G474" s="768">
        <f>SUM(G480+G486+G492+G498+G504+G510+G516+G522+G528+G534+G540+G546+G552+G558+G564+G570+G576+G582+G588+G594+G600+G606+G612+G618+G624+G630+G636+G642+G648)</f>
        <v>0</v>
      </c>
      <c r="H474" s="768">
        <f>SUM(H480+H486+H492+H498+H504+H510+H516+H522+H528+H534+H540+H546+H552+H558+H564+H570+H576+H582+H588+H594+H600+H606+H612+H618+H624+H630+H636+H642+H648+H654+H660+H666+H672)</f>
        <v>13819.356665928797</v>
      </c>
      <c r="I474" s="769">
        <f>SUM(I481:I485)</f>
        <v>0</v>
      </c>
      <c r="J474" s="2563"/>
      <c r="K474" s="2563"/>
    </row>
    <row r="475" spans="1:11" ht="17.100000000000001" customHeight="1" outlineLevel="1">
      <c r="A475" s="2552"/>
      <c r="B475" s="2555"/>
      <c r="C475" s="2576"/>
      <c r="D475" s="811">
        <v>2023</v>
      </c>
      <c r="E475" s="812">
        <f t="shared" si="29"/>
        <v>119713.64</v>
      </c>
      <c r="F475" s="813">
        <f>SUM(F481+F487+F493+F499+F505+F511+F517+F523+F529+F535+F541+F547+F553+F559+F565+F571+F577+F583+F589+F595+F601+F607+F613+F619+F625+F631+F637+F643+F649)</f>
        <v>114247.958</v>
      </c>
      <c r="G475" s="813">
        <f>SUM(G481+G487+G493+G499+G505+G511+G517+G523+G529+G535+G541+G547+G553+G559+G565+G571+G577+G583+G589+G595+G601+G607+G613+G619+G625+G631+G637+G643+G649)</f>
        <v>0</v>
      </c>
      <c r="H475" s="813">
        <f t="shared" ref="H475:I477" si="30">SUM(H481+H487+H493+H499+H505+H511+H517+H523+H529+H535+H541+H547+H553+H559+H565+H571+H577+H583+H589+H595+H601+H607+H613+H619+H625+H631+H637+H643+H649)</f>
        <v>5465.6819999999998</v>
      </c>
      <c r="I475" s="813">
        <f t="shared" si="30"/>
        <v>0</v>
      </c>
      <c r="J475" s="2563"/>
      <c r="K475" s="2563"/>
    </row>
    <row r="476" spans="1:11" outlineLevel="1">
      <c r="A476" s="2552"/>
      <c r="B476" s="2555"/>
      <c r="C476" s="2576"/>
      <c r="D476" s="765">
        <v>2024</v>
      </c>
      <c r="E476" s="766">
        <f t="shared" si="29"/>
        <v>10400</v>
      </c>
      <c r="F476" s="768">
        <f>SUM(F482+F488+F494+F500+F506+F512+F518+F524+F530+F536+F542+F548+F554+F560+F566+F572+F578+F584+F590+F596+F602+F608+F614+F620+F626+F632+F638+F644+F650)</f>
        <v>10400</v>
      </c>
      <c r="G476" s="768">
        <f>SUM(G482+G488+G494+G500+G506+G512+G518+G524+G530+G536+G542+G548+G554+G560+G566+G572+G578+G584+G590+G596+G602+G608+G614+G620+G626+G632+G638+G644+G650)</f>
        <v>0</v>
      </c>
      <c r="H476" s="768">
        <f t="shared" si="30"/>
        <v>0</v>
      </c>
      <c r="I476" s="768">
        <f t="shared" si="30"/>
        <v>0</v>
      </c>
      <c r="J476" s="2563"/>
      <c r="K476" s="2563"/>
    </row>
    <row r="477" spans="1:11" outlineLevel="1">
      <c r="A477" s="2553"/>
      <c r="B477" s="2556"/>
      <c r="C477" s="2577"/>
      <c r="D477" s="765">
        <v>2025</v>
      </c>
      <c r="E477" s="766">
        <f t="shared" si="29"/>
        <v>10400</v>
      </c>
      <c r="F477" s="768">
        <f>SUM(F483+F489+F495+F501+F507+F513+F519+F525+F531+F537+F543+F549+F555+F561+F567+F573+F579+F585+F591+F597+F603+F609+F615+F621+F627+F633+F639+F645+F651)</f>
        <v>10400</v>
      </c>
      <c r="G477" s="768">
        <f>SUM(G483+G489+G495+G501+G507+G513+G519+G525+G531+G537+G543+G549+G555+G561+G567+G573+G579+G585+G591+G597+G603+G609+G615+G621+G627+G633+G639+G645+G651)</f>
        <v>0</v>
      </c>
      <c r="H477" s="768">
        <f t="shared" si="30"/>
        <v>0</v>
      </c>
      <c r="I477" s="768">
        <f t="shared" si="30"/>
        <v>0</v>
      </c>
      <c r="J477" s="2564"/>
      <c r="K477" s="2564"/>
    </row>
    <row r="478" spans="1:11" ht="17.100000000000001" customHeight="1" outlineLevel="1">
      <c r="A478" s="2567" t="s">
        <v>602</v>
      </c>
      <c r="B478" s="2570" t="s">
        <v>2827</v>
      </c>
      <c r="C478" s="2557" t="s">
        <v>3069</v>
      </c>
      <c r="D478" s="762" t="s">
        <v>8</v>
      </c>
      <c r="E478" s="763">
        <f t="shared" si="29"/>
        <v>54408.455999999998</v>
      </c>
      <c r="F478" s="770">
        <f>SUM(F479:F483)</f>
        <v>50810.661</v>
      </c>
      <c r="G478" s="764">
        <f>SUM(G479:G483)</f>
        <v>0</v>
      </c>
      <c r="H478" s="764">
        <f>SUM(H479:H483)</f>
        <v>3597.7950000000001</v>
      </c>
      <c r="I478" s="764">
        <f>SUM(I479:I483)</f>
        <v>0</v>
      </c>
      <c r="J478" s="2566" t="s">
        <v>3068</v>
      </c>
      <c r="K478" s="2566" t="s">
        <v>3027</v>
      </c>
    </row>
    <row r="479" spans="1:11" ht="17.100000000000001" customHeight="1" outlineLevel="1">
      <c r="A479" s="2568"/>
      <c r="B479" s="2571"/>
      <c r="C479" s="2558"/>
      <c r="D479" s="762">
        <v>2021</v>
      </c>
      <c r="E479" s="763">
        <f t="shared" si="29"/>
        <v>27027.03</v>
      </c>
      <c r="F479" s="770">
        <v>25000</v>
      </c>
      <c r="G479" s="764">
        <v>0</v>
      </c>
      <c r="H479" s="764">
        <v>2027.03</v>
      </c>
      <c r="I479" s="764">
        <v>0</v>
      </c>
      <c r="J479" s="2561"/>
      <c r="K479" s="2561"/>
    </row>
    <row r="480" spans="1:11" ht="17.100000000000001" customHeight="1" outlineLevel="1">
      <c r="A480" s="2568"/>
      <c r="B480" s="2571"/>
      <c r="C480" s="2558"/>
      <c r="D480" s="762">
        <v>2022</v>
      </c>
      <c r="E480" s="763">
        <f t="shared" si="29"/>
        <v>8067.7860000000001</v>
      </c>
      <c r="F480" s="770">
        <v>7462.7030000000004</v>
      </c>
      <c r="G480" s="764">
        <v>0</v>
      </c>
      <c r="H480" s="764">
        <v>605.08299999999997</v>
      </c>
      <c r="I480" s="764">
        <v>0</v>
      </c>
      <c r="J480" s="2561"/>
      <c r="K480" s="2561"/>
    </row>
    <row r="481" spans="1:11" ht="17.100000000000001" customHeight="1" outlineLevel="1">
      <c r="A481" s="2568"/>
      <c r="B481" s="2571"/>
      <c r="C481" s="2558"/>
      <c r="D481" s="808">
        <v>2023</v>
      </c>
      <c r="E481" s="809">
        <f t="shared" si="29"/>
        <v>19313.64</v>
      </c>
      <c r="F481" s="816">
        <f>24463.944-6115.986</f>
        <v>18347.957999999999</v>
      </c>
      <c r="G481" s="810">
        <v>0</v>
      </c>
      <c r="H481" s="810">
        <v>965.68200000000002</v>
      </c>
      <c r="I481" s="810">
        <v>0</v>
      </c>
      <c r="J481" s="2561"/>
      <c r="K481" s="2561"/>
    </row>
    <row r="482" spans="1:11" outlineLevel="1">
      <c r="A482" s="2568"/>
      <c r="B482" s="2571"/>
      <c r="C482" s="2558"/>
      <c r="D482" s="762">
        <v>2024</v>
      </c>
      <c r="E482" s="763">
        <f t="shared" si="29"/>
        <v>0</v>
      </c>
      <c r="F482" s="770">
        <v>0</v>
      </c>
      <c r="G482" s="764">
        <v>0</v>
      </c>
      <c r="H482" s="764">
        <v>0</v>
      </c>
      <c r="I482" s="764">
        <f>'475ПП'!Q95</f>
        <v>0</v>
      </c>
      <c r="J482" s="2561"/>
      <c r="K482" s="2561"/>
    </row>
    <row r="483" spans="1:11" outlineLevel="1">
      <c r="A483" s="2569"/>
      <c r="B483" s="2572"/>
      <c r="C483" s="2559"/>
      <c r="D483" s="762">
        <v>2025</v>
      </c>
      <c r="E483" s="763">
        <f t="shared" si="29"/>
        <v>0</v>
      </c>
      <c r="F483" s="770">
        <v>0</v>
      </c>
      <c r="G483" s="764">
        <v>0</v>
      </c>
      <c r="H483" s="764">
        <v>0</v>
      </c>
      <c r="I483" s="764">
        <v>0</v>
      </c>
      <c r="J483" s="2562"/>
      <c r="K483" s="2562"/>
    </row>
    <row r="484" spans="1:11" ht="17.100000000000001" customHeight="1" outlineLevel="1">
      <c r="A484" s="2567" t="s">
        <v>2967</v>
      </c>
      <c r="B484" s="2570" t="s">
        <v>106</v>
      </c>
      <c r="C484" s="2557" t="s">
        <v>2989</v>
      </c>
      <c r="D484" s="762" t="s">
        <v>8</v>
      </c>
      <c r="E484" s="763">
        <f t="shared" si="29"/>
        <v>66479.56</v>
      </c>
      <c r="F484" s="763">
        <f>SUM(F485:F489)</f>
        <v>66479.56</v>
      </c>
      <c r="G484" s="763">
        <f>SUM(G485:G489)</f>
        <v>0</v>
      </c>
      <c r="H484" s="763">
        <f>SUM(H485:H489)</f>
        <v>0</v>
      </c>
      <c r="I484" s="763">
        <f>SUM(I485:I489)</f>
        <v>0</v>
      </c>
      <c r="J484" s="2566" t="s">
        <v>3067</v>
      </c>
      <c r="K484" s="2566" t="s">
        <v>3052</v>
      </c>
    </row>
    <row r="485" spans="1:11" ht="17.100000000000001" customHeight="1" outlineLevel="1">
      <c r="A485" s="2568"/>
      <c r="B485" s="2571"/>
      <c r="C485" s="2558"/>
      <c r="D485" s="762">
        <v>2021</v>
      </c>
      <c r="E485" s="763">
        <f t="shared" si="29"/>
        <v>6000</v>
      </c>
      <c r="F485" s="763">
        <v>6000</v>
      </c>
      <c r="G485" s="771">
        <v>0</v>
      </c>
      <c r="H485" s="764">
        <v>0</v>
      </c>
      <c r="I485" s="771">
        <v>0</v>
      </c>
      <c r="J485" s="2561"/>
      <c r="K485" s="2561"/>
    </row>
    <row r="486" spans="1:11" ht="17.100000000000001" customHeight="1" outlineLevel="1">
      <c r="A486" s="2568"/>
      <c r="B486" s="2571"/>
      <c r="C486" s="2558"/>
      <c r="D486" s="762">
        <v>2022</v>
      </c>
      <c r="E486" s="763">
        <f t="shared" si="29"/>
        <v>42479.56</v>
      </c>
      <c r="F486" s="763">
        <v>42479.56</v>
      </c>
      <c r="G486" s="771">
        <v>0</v>
      </c>
      <c r="H486" s="764">
        <v>0</v>
      </c>
      <c r="I486" s="771">
        <v>0</v>
      </c>
      <c r="J486" s="2561"/>
      <c r="K486" s="2561"/>
    </row>
    <row r="487" spans="1:11" ht="17.100000000000001" customHeight="1" outlineLevel="1">
      <c r="A487" s="2568"/>
      <c r="B487" s="2571"/>
      <c r="C487" s="2558"/>
      <c r="D487" s="808">
        <v>2023</v>
      </c>
      <c r="E487" s="809">
        <f t="shared" si="29"/>
        <v>6000</v>
      </c>
      <c r="F487" s="809">
        <v>6000</v>
      </c>
      <c r="G487" s="817">
        <v>0</v>
      </c>
      <c r="H487" s="810">
        <v>0</v>
      </c>
      <c r="I487" s="817">
        <v>0</v>
      </c>
      <c r="J487" s="2561"/>
      <c r="K487" s="2561"/>
    </row>
    <row r="488" spans="1:11" outlineLevel="1">
      <c r="A488" s="2568"/>
      <c r="B488" s="2571"/>
      <c r="C488" s="2558"/>
      <c r="D488" s="762">
        <v>2024</v>
      </c>
      <c r="E488" s="763">
        <f t="shared" si="29"/>
        <v>6000</v>
      </c>
      <c r="F488" s="763">
        <v>6000</v>
      </c>
      <c r="G488" s="771">
        <v>0</v>
      </c>
      <c r="H488" s="764">
        <v>0</v>
      </c>
      <c r="I488" s="771">
        <v>0</v>
      </c>
      <c r="J488" s="2561"/>
      <c r="K488" s="2561"/>
    </row>
    <row r="489" spans="1:11" outlineLevel="1">
      <c r="A489" s="2569"/>
      <c r="B489" s="2572"/>
      <c r="C489" s="2559"/>
      <c r="D489" s="762">
        <v>2025</v>
      </c>
      <c r="E489" s="763">
        <f t="shared" si="29"/>
        <v>6000</v>
      </c>
      <c r="F489" s="763">
        <v>6000</v>
      </c>
      <c r="G489" s="771">
        <v>0</v>
      </c>
      <c r="H489" s="764">
        <v>0</v>
      </c>
      <c r="I489" s="771">
        <v>0</v>
      </c>
      <c r="J489" s="2562"/>
      <c r="K489" s="2562"/>
    </row>
    <row r="490" spans="1:11" ht="17.100000000000001" customHeight="1" outlineLevel="1">
      <c r="A490" s="2541" t="s">
        <v>2968</v>
      </c>
      <c r="B490" s="2544" t="s">
        <v>2749</v>
      </c>
      <c r="C490" s="2546" t="s">
        <v>2999</v>
      </c>
      <c r="D490" s="727" t="s">
        <v>8</v>
      </c>
      <c r="E490" s="726">
        <f t="shared" si="29"/>
        <v>29876.245869999999</v>
      </c>
      <c r="F490" s="726">
        <f>SUM(F491:F495)</f>
        <v>29876.245869999999</v>
      </c>
      <c r="G490" s="726">
        <f>SUM(G491:G495)</f>
        <v>0</v>
      </c>
      <c r="H490" s="726">
        <f>SUM(H491:H495)</f>
        <v>0</v>
      </c>
      <c r="I490" s="726">
        <f>SUM(I491:I495)</f>
        <v>0</v>
      </c>
      <c r="J490" s="2548" t="s">
        <v>2829</v>
      </c>
      <c r="K490" s="2548" t="s">
        <v>3066</v>
      </c>
    </row>
    <row r="491" spans="1:11" ht="17.100000000000001" customHeight="1" outlineLevel="1">
      <c r="A491" s="2542"/>
      <c r="B491" s="2545"/>
      <c r="C491" s="2547"/>
      <c r="D491" s="727">
        <v>2021</v>
      </c>
      <c r="E491" s="726">
        <f t="shared" si="29"/>
        <v>3963.1770000000001</v>
      </c>
      <c r="F491" s="726">
        <f>3963177/1000</f>
        <v>3963.1770000000001</v>
      </c>
      <c r="G491" s="739">
        <v>0</v>
      </c>
      <c r="H491" s="725">
        <v>0</v>
      </c>
      <c r="I491" s="739">
        <v>0</v>
      </c>
      <c r="J491" s="2549"/>
      <c r="K491" s="2549"/>
    </row>
    <row r="492" spans="1:11" ht="17.100000000000001" customHeight="1" outlineLevel="1">
      <c r="A492" s="2542"/>
      <c r="B492" s="2545"/>
      <c r="C492" s="2547"/>
      <c r="D492" s="727">
        <v>2022</v>
      </c>
      <c r="E492" s="726">
        <f t="shared" si="29"/>
        <v>25913.068869999999</v>
      </c>
      <c r="F492" s="726">
        <f>32144.3+6312.158-13089.787+546.39787</f>
        <v>25913.068869999999</v>
      </c>
      <c r="G492" s="739">
        <v>0</v>
      </c>
      <c r="H492" s="725">
        <v>0</v>
      </c>
      <c r="I492" s="739">
        <v>0</v>
      </c>
      <c r="J492" s="2549"/>
      <c r="K492" s="2549"/>
    </row>
    <row r="493" spans="1:11" ht="17.100000000000001" customHeight="1" outlineLevel="1">
      <c r="A493" s="2542"/>
      <c r="B493" s="2545"/>
      <c r="C493" s="2547"/>
      <c r="D493" s="727">
        <v>2023</v>
      </c>
      <c r="E493" s="726">
        <f t="shared" ref="E493:E497" si="31">SUM(F493:I493)</f>
        <v>0</v>
      </c>
      <c r="F493" s="726">
        <v>0</v>
      </c>
      <c r="G493" s="739">
        <v>0</v>
      </c>
      <c r="H493" s="725">
        <v>0</v>
      </c>
      <c r="I493" s="739">
        <v>0</v>
      </c>
      <c r="J493" s="2549"/>
      <c r="K493" s="2549"/>
    </row>
    <row r="494" spans="1:11" outlineLevel="1">
      <c r="A494" s="2542"/>
      <c r="B494" s="2545"/>
      <c r="C494" s="2547"/>
      <c r="D494" s="727">
        <v>2024</v>
      </c>
      <c r="E494" s="726">
        <f t="shared" si="31"/>
        <v>0</v>
      </c>
      <c r="F494" s="726">
        <v>0</v>
      </c>
      <c r="G494" s="739">
        <v>0</v>
      </c>
      <c r="H494" s="725">
        <v>0</v>
      </c>
      <c r="I494" s="739">
        <v>0</v>
      </c>
      <c r="J494" s="2549"/>
      <c r="K494" s="2549"/>
    </row>
    <row r="495" spans="1:11" outlineLevel="1">
      <c r="A495" s="2543"/>
      <c r="B495" s="2518"/>
      <c r="C495" s="2520"/>
      <c r="D495" s="727">
        <v>2025</v>
      </c>
      <c r="E495" s="726">
        <f t="shared" si="31"/>
        <v>0</v>
      </c>
      <c r="F495" s="726">
        <v>0</v>
      </c>
      <c r="G495" s="739">
        <v>0</v>
      </c>
      <c r="H495" s="725">
        <v>0</v>
      </c>
      <c r="I495" s="739">
        <v>0</v>
      </c>
      <c r="J495" s="2522"/>
      <c r="K495" s="2522"/>
    </row>
    <row r="496" spans="1:11" ht="17.100000000000001" customHeight="1" outlineLevel="1">
      <c r="A496" s="2541" t="s">
        <v>2969</v>
      </c>
      <c r="B496" s="2544" t="s">
        <v>3065</v>
      </c>
      <c r="C496" s="2546">
        <v>2021</v>
      </c>
      <c r="D496" s="727" t="s">
        <v>8</v>
      </c>
      <c r="E496" s="726">
        <f t="shared" si="31"/>
        <v>22778.260870000002</v>
      </c>
      <c r="F496" s="726">
        <f>SUM(F497:F501)</f>
        <v>18860.400000000001</v>
      </c>
      <c r="G496" s="726">
        <f>SUM(G497:G501)</f>
        <v>0</v>
      </c>
      <c r="H496" s="726">
        <f>SUM(H497:H501)</f>
        <v>3917.86087</v>
      </c>
      <c r="I496" s="726">
        <f>SUM(I497:I501)</f>
        <v>0</v>
      </c>
      <c r="J496" s="2548" t="s">
        <v>2830</v>
      </c>
      <c r="K496" s="2548" t="s">
        <v>3027</v>
      </c>
    </row>
    <row r="497" spans="1:11" ht="17.100000000000001" customHeight="1" outlineLevel="1">
      <c r="A497" s="2542"/>
      <c r="B497" s="2545"/>
      <c r="C497" s="2547"/>
      <c r="D497" s="727">
        <v>2021</v>
      </c>
      <c r="E497" s="726">
        <f t="shared" si="31"/>
        <v>22778.260870000002</v>
      </c>
      <c r="F497" s="726">
        <v>18860.400000000001</v>
      </c>
      <c r="G497" s="739">
        <v>0</v>
      </c>
      <c r="H497" s="725">
        <v>3917.86087</v>
      </c>
      <c r="I497" s="739">
        <v>0</v>
      </c>
      <c r="J497" s="2549"/>
      <c r="K497" s="2549"/>
    </row>
    <row r="498" spans="1:11" ht="17.100000000000001" customHeight="1" outlineLevel="1">
      <c r="A498" s="2542"/>
      <c r="B498" s="2545"/>
      <c r="C498" s="2547"/>
      <c r="D498" s="727">
        <v>2022</v>
      </c>
      <c r="E498" s="726">
        <v>0</v>
      </c>
      <c r="F498" s="726">
        <v>0</v>
      </c>
      <c r="G498" s="739">
        <v>0</v>
      </c>
      <c r="H498" s="725">
        <v>0</v>
      </c>
      <c r="I498" s="739">
        <v>0</v>
      </c>
      <c r="J498" s="2549"/>
      <c r="K498" s="2549"/>
    </row>
    <row r="499" spans="1:11" ht="17.100000000000001" customHeight="1" outlineLevel="1">
      <c r="A499" s="2542"/>
      <c r="B499" s="2545"/>
      <c r="C499" s="2547"/>
      <c r="D499" s="727">
        <v>2023</v>
      </c>
      <c r="E499" s="726">
        <v>0</v>
      </c>
      <c r="F499" s="726">
        <v>0</v>
      </c>
      <c r="G499" s="739">
        <v>0</v>
      </c>
      <c r="H499" s="725">
        <v>0</v>
      </c>
      <c r="I499" s="739">
        <v>0</v>
      </c>
      <c r="J499" s="2549"/>
      <c r="K499" s="2549"/>
    </row>
    <row r="500" spans="1:11" outlineLevel="1">
      <c r="A500" s="2542"/>
      <c r="B500" s="2545"/>
      <c r="C500" s="2547"/>
      <c r="D500" s="727">
        <v>2024</v>
      </c>
      <c r="E500" s="726">
        <v>0</v>
      </c>
      <c r="F500" s="726">
        <v>0</v>
      </c>
      <c r="G500" s="739">
        <v>0</v>
      </c>
      <c r="H500" s="725">
        <v>0</v>
      </c>
      <c r="I500" s="739">
        <v>0</v>
      </c>
      <c r="J500" s="2549"/>
      <c r="K500" s="2549"/>
    </row>
    <row r="501" spans="1:11" outlineLevel="1">
      <c r="A501" s="2543"/>
      <c r="B501" s="2518"/>
      <c r="C501" s="2520"/>
      <c r="D501" s="727">
        <v>2025</v>
      </c>
      <c r="E501" s="726">
        <v>0</v>
      </c>
      <c r="F501" s="726">
        <v>0</v>
      </c>
      <c r="G501" s="739">
        <v>0</v>
      </c>
      <c r="H501" s="725">
        <v>0</v>
      </c>
      <c r="I501" s="739">
        <v>0</v>
      </c>
      <c r="J501" s="2522"/>
      <c r="K501" s="2522"/>
    </row>
    <row r="502" spans="1:11" ht="17.100000000000001" customHeight="1" outlineLevel="1">
      <c r="A502" s="2541" t="s">
        <v>2970</v>
      </c>
      <c r="B502" s="2544" t="s">
        <v>2831</v>
      </c>
      <c r="C502" s="2546">
        <v>2021</v>
      </c>
      <c r="D502" s="727" t="s">
        <v>8</v>
      </c>
      <c r="E502" s="726">
        <f>SUM(F502:I502)</f>
        <v>13210.697336842104</v>
      </c>
      <c r="F502" s="726">
        <f>SUM(F503:F507)</f>
        <v>12550.162469999999</v>
      </c>
      <c r="G502" s="726">
        <f>SUM(G503:G507)</f>
        <v>0</v>
      </c>
      <c r="H502" s="726">
        <f>SUM(H503:H507)</f>
        <v>660.5348668421052</v>
      </c>
      <c r="I502" s="726">
        <f>SUM(I503:I507)</f>
        <v>0</v>
      </c>
      <c r="J502" s="2548" t="s">
        <v>2832</v>
      </c>
      <c r="K502" s="2548" t="s">
        <v>2993</v>
      </c>
    </row>
    <row r="503" spans="1:11" ht="17.100000000000001" customHeight="1" outlineLevel="1">
      <c r="A503" s="2542"/>
      <c r="B503" s="2545"/>
      <c r="C503" s="2547"/>
      <c r="D503" s="727">
        <v>2021</v>
      </c>
      <c r="E503" s="726">
        <f>SUM(F503:I503)</f>
        <v>13210.697336842104</v>
      </c>
      <c r="F503" s="740">
        <v>12550.162469999999</v>
      </c>
      <c r="G503" s="739">
        <v>0</v>
      </c>
      <c r="H503" s="725">
        <f>F503/95*5</f>
        <v>660.5348668421052</v>
      </c>
      <c r="I503" s="739">
        <v>0</v>
      </c>
      <c r="J503" s="2549"/>
      <c r="K503" s="2549"/>
    </row>
    <row r="504" spans="1:11" ht="17.100000000000001" customHeight="1" outlineLevel="1">
      <c r="A504" s="2542"/>
      <c r="B504" s="2545"/>
      <c r="C504" s="2547"/>
      <c r="D504" s="727">
        <v>2022</v>
      </c>
      <c r="E504" s="726">
        <v>0</v>
      </c>
      <c r="F504" s="726">
        <v>0</v>
      </c>
      <c r="G504" s="739">
        <v>0</v>
      </c>
      <c r="H504" s="725">
        <v>0</v>
      </c>
      <c r="I504" s="739">
        <v>0</v>
      </c>
      <c r="J504" s="2549"/>
      <c r="K504" s="2549"/>
    </row>
    <row r="505" spans="1:11" ht="17.100000000000001" customHeight="1" outlineLevel="1">
      <c r="A505" s="2542"/>
      <c r="B505" s="2545"/>
      <c r="C505" s="2547"/>
      <c r="D505" s="727">
        <v>2023</v>
      </c>
      <c r="E505" s="726">
        <v>0</v>
      </c>
      <c r="F505" s="726">
        <v>0</v>
      </c>
      <c r="G505" s="739">
        <v>0</v>
      </c>
      <c r="H505" s="725">
        <v>0</v>
      </c>
      <c r="I505" s="739">
        <v>0</v>
      </c>
      <c r="J505" s="2549"/>
      <c r="K505" s="2549"/>
    </row>
    <row r="506" spans="1:11" outlineLevel="1">
      <c r="A506" s="2542"/>
      <c r="B506" s="2545"/>
      <c r="C506" s="2547"/>
      <c r="D506" s="727">
        <v>2024</v>
      </c>
      <c r="E506" s="726">
        <v>0</v>
      </c>
      <c r="F506" s="726">
        <v>0</v>
      </c>
      <c r="G506" s="739">
        <v>0</v>
      </c>
      <c r="H506" s="725">
        <v>0</v>
      </c>
      <c r="I506" s="739">
        <v>0</v>
      </c>
      <c r="J506" s="2549"/>
      <c r="K506" s="2549"/>
    </row>
    <row r="507" spans="1:11" outlineLevel="1">
      <c r="A507" s="2543"/>
      <c r="B507" s="2518"/>
      <c r="C507" s="2520"/>
      <c r="D507" s="727">
        <v>2025</v>
      </c>
      <c r="E507" s="726">
        <v>0</v>
      </c>
      <c r="F507" s="726">
        <v>0</v>
      </c>
      <c r="G507" s="739">
        <v>0</v>
      </c>
      <c r="H507" s="725">
        <v>0</v>
      </c>
      <c r="I507" s="739">
        <v>0</v>
      </c>
      <c r="J507" s="2522"/>
      <c r="K507" s="2522"/>
    </row>
    <row r="508" spans="1:11" ht="17.100000000000001" customHeight="1" outlineLevel="1">
      <c r="A508" s="2578" t="s">
        <v>2971</v>
      </c>
      <c r="B508" s="2519" t="s">
        <v>2833</v>
      </c>
      <c r="C508" s="2521">
        <v>2021</v>
      </c>
      <c r="D508" s="727" t="s">
        <v>8</v>
      </c>
      <c r="E508" s="726">
        <f>SUM(F508:I508)</f>
        <v>7451.59</v>
      </c>
      <c r="F508" s="726">
        <f>SUM(F509:F513)</f>
        <v>7079.0105000000003</v>
      </c>
      <c r="G508" s="726">
        <f>SUM(G509:G513)</f>
        <v>0</v>
      </c>
      <c r="H508" s="726">
        <f>SUM(H509:H513)</f>
        <v>372.5795</v>
      </c>
      <c r="I508" s="726">
        <f>SUM(I509:I513)</f>
        <v>0</v>
      </c>
      <c r="J508" s="2523" t="s">
        <v>2834</v>
      </c>
      <c r="K508" s="2548" t="s">
        <v>2993</v>
      </c>
    </row>
    <row r="509" spans="1:11" ht="17.100000000000001" customHeight="1" outlineLevel="1">
      <c r="A509" s="2578"/>
      <c r="B509" s="2519"/>
      <c r="C509" s="2521"/>
      <c r="D509" s="727">
        <v>2021</v>
      </c>
      <c r="E509" s="726">
        <f>SUM(F509:I509)</f>
        <v>7451.59</v>
      </c>
      <c r="F509" s="740">
        <v>7079.0105000000003</v>
      </c>
      <c r="G509" s="739">
        <v>0</v>
      </c>
      <c r="H509" s="725">
        <f>F509/95*5</f>
        <v>372.5795</v>
      </c>
      <c r="I509" s="739">
        <v>0</v>
      </c>
      <c r="J509" s="2523"/>
      <c r="K509" s="2549"/>
    </row>
    <row r="510" spans="1:11" ht="17.100000000000001" customHeight="1" outlineLevel="1">
      <c r="A510" s="2578"/>
      <c r="B510" s="2519"/>
      <c r="C510" s="2521"/>
      <c r="D510" s="727">
        <v>2022</v>
      </c>
      <c r="E510" s="726">
        <v>0</v>
      </c>
      <c r="F510" s="726">
        <v>0</v>
      </c>
      <c r="G510" s="739">
        <v>0</v>
      </c>
      <c r="H510" s="725">
        <v>0</v>
      </c>
      <c r="I510" s="739">
        <v>0</v>
      </c>
      <c r="J510" s="2523"/>
      <c r="K510" s="2549"/>
    </row>
    <row r="511" spans="1:11" ht="17.100000000000001" customHeight="1" outlineLevel="1">
      <c r="A511" s="2578"/>
      <c r="B511" s="2519"/>
      <c r="C511" s="2521"/>
      <c r="D511" s="727">
        <v>2023</v>
      </c>
      <c r="E511" s="726">
        <v>0</v>
      </c>
      <c r="F511" s="726">
        <v>0</v>
      </c>
      <c r="G511" s="739">
        <v>0</v>
      </c>
      <c r="H511" s="725">
        <v>0</v>
      </c>
      <c r="I511" s="739">
        <v>0</v>
      </c>
      <c r="J511" s="2523"/>
      <c r="K511" s="2549"/>
    </row>
    <row r="512" spans="1:11" outlineLevel="1">
      <c r="A512" s="2578"/>
      <c r="B512" s="2519"/>
      <c r="C512" s="2521"/>
      <c r="D512" s="727">
        <v>2024</v>
      </c>
      <c r="E512" s="726">
        <v>0</v>
      </c>
      <c r="F512" s="726">
        <v>0</v>
      </c>
      <c r="G512" s="739">
        <v>0</v>
      </c>
      <c r="H512" s="725">
        <v>0</v>
      </c>
      <c r="I512" s="739">
        <v>0</v>
      </c>
      <c r="J512" s="2523"/>
      <c r="K512" s="2549"/>
    </row>
    <row r="513" spans="1:12" outlineLevel="1">
      <c r="A513" s="2578"/>
      <c r="B513" s="2519"/>
      <c r="C513" s="2521"/>
      <c r="D513" s="727">
        <v>2025</v>
      </c>
      <c r="E513" s="726">
        <v>0</v>
      </c>
      <c r="F513" s="726">
        <v>0</v>
      </c>
      <c r="G513" s="739">
        <v>0</v>
      </c>
      <c r="H513" s="725">
        <v>0</v>
      </c>
      <c r="I513" s="739">
        <v>0</v>
      </c>
      <c r="J513" s="2523"/>
      <c r="K513" s="2522"/>
    </row>
    <row r="514" spans="1:12" ht="17.100000000000001" customHeight="1" outlineLevel="1">
      <c r="A514" s="2578" t="s">
        <v>2972</v>
      </c>
      <c r="B514" s="2519" t="s">
        <v>2836</v>
      </c>
      <c r="C514" s="2521">
        <v>2021</v>
      </c>
      <c r="D514" s="727" t="s">
        <v>8</v>
      </c>
      <c r="E514" s="726">
        <f>SUM(F514:I514)</f>
        <v>50013.516600000003</v>
      </c>
      <c r="F514" s="726">
        <f>SUM(F515:F519)</f>
        <v>47512.840770000003</v>
      </c>
      <c r="G514" s="726">
        <f>SUM(G515:G519)</f>
        <v>0</v>
      </c>
      <c r="H514" s="726">
        <f>SUM(H515:H519)</f>
        <v>2500.6758300000001</v>
      </c>
      <c r="I514" s="726">
        <f>SUM(I515:I519)</f>
        <v>0</v>
      </c>
      <c r="J514" s="2523" t="s">
        <v>2835</v>
      </c>
      <c r="K514" s="2548" t="s">
        <v>2993</v>
      </c>
    </row>
    <row r="515" spans="1:12" ht="17.100000000000001" customHeight="1" outlineLevel="1">
      <c r="A515" s="2578"/>
      <c r="B515" s="2519"/>
      <c r="C515" s="2521"/>
      <c r="D515" s="727">
        <v>2021</v>
      </c>
      <c r="E515" s="726">
        <f>SUM(F515:I515)</f>
        <v>50013.516600000003</v>
      </c>
      <c r="F515" s="740">
        <v>47512.840770000003</v>
      </c>
      <c r="G515" s="739">
        <v>0</v>
      </c>
      <c r="H515" s="725">
        <f>F515/95*5</f>
        <v>2500.6758300000001</v>
      </c>
      <c r="I515" s="739">
        <v>0</v>
      </c>
      <c r="J515" s="2523"/>
      <c r="K515" s="2549"/>
    </row>
    <row r="516" spans="1:12" ht="17.100000000000001" customHeight="1" outlineLevel="1">
      <c r="A516" s="2578"/>
      <c r="B516" s="2519"/>
      <c r="C516" s="2521"/>
      <c r="D516" s="727">
        <v>2022</v>
      </c>
      <c r="E516" s="726">
        <v>0</v>
      </c>
      <c r="F516" s="726">
        <v>0</v>
      </c>
      <c r="G516" s="739">
        <v>0</v>
      </c>
      <c r="H516" s="725">
        <v>0</v>
      </c>
      <c r="I516" s="739">
        <v>0</v>
      </c>
      <c r="J516" s="2523"/>
      <c r="K516" s="2549"/>
    </row>
    <row r="517" spans="1:12" ht="17.100000000000001" customHeight="1" outlineLevel="1">
      <c r="A517" s="2578"/>
      <c r="B517" s="2519"/>
      <c r="C517" s="2521"/>
      <c r="D517" s="727">
        <v>2023</v>
      </c>
      <c r="E517" s="726">
        <v>0</v>
      </c>
      <c r="F517" s="726">
        <v>0</v>
      </c>
      <c r="G517" s="739">
        <v>0</v>
      </c>
      <c r="H517" s="725">
        <v>0</v>
      </c>
      <c r="I517" s="739">
        <v>0</v>
      </c>
      <c r="J517" s="2523"/>
      <c r="K517" s="2549"/>
    </row>
    <row r="518" spans="1:12" outlineLevel="1">
      <c r="A518" s="2578"/>
      <c r="B518" s="2519"/>
      <c r="C518" s="2521"/>
      <c r="D518" s="727">
        <v>2024</v>
      </c>
      <c r="E518" s="726">
        <v>0</v>
      </c>
      <c r="F518" s="726">
        <v>0</v>
      </c>
      <c r="G518" s="739">
        <v>0</v>
      </c>
      <c r="H518" s="725">
        <v>0</v>
      </c>
      <c r="I518" s="739">
        <v>0</v>
      </c>
      <c r="J518" s="2523"/>
      <c r="K518" s="2549"/>
    </row>
    <row r="519" spans="1:12" ht="20.25" customHeight="1" outlineLevel="1">
      <c r="A519" s="2578"/>
      <c r="B519" s="2519"/>
      <c r="C519" s="2521"/>
      <c r="D519" s="727">
        <v>2025</v>
      </c>
      <c r="E519" s="726">
        <v>0</v>
      </c>
      <c r="F519" s="726">
        <v>0</v>
      </c>
      <c r="G519" s="739">
        <v>0</v>
      </c>
      <c r="H519" s="725">
        <v>0</v>
      </c>
      <c r="I519" s="739">
        <v>0</v>
      </c>
      <c r="J519" s="2523"/>
      <c r="K519" s="2522"/>
    </row>
    <row r="520" spans="1:12" ht="16.5" customHeight="1" outlineLevel="1">
      <c r="A520" s="2578" t="s">
        <v>2973</v>
      </c>
      <c r="B520" s="2519" t="s">
        <v>2862</v>
      </c>
      <c r="C520" s="2521">
        <v>2021</v>
      </c>
      <c r="D520" s="727" t="s">
        <v>8</v>
      </c>
      <c r="E520" s="726">
        <f>SUM(F520:I520)</f>
        <v>9928.3460643185299</v>
      </c>
      <c r="F520" s="726">
        <f>SUM(F521:F525)</f>
        <v>6483.2099799999996</v>
      </c>
      <c r="G520" s="726">
        <f>SUM(G521:G525)</f>
        <v>0</v>
      </c>
      <c r="H520" s="726">
        <f>SUM(H521:H525)</f>
        <v>3445.1360843185298</v>
      </c>
      <c r="I520" s="726">
        <f>SUM(I521:I525)</f>
        <v>0</v>
      </c>
      <c r="J520" s="2523" t="s">
        <v>2900</v>
      </c>
      <c r="K520" s="2548" t="s">
        <v>2993</v>
      </c>
      <c r="L520" s="715"/>
    </row>
    <row r="521" spans="1:12" ht="21.75" customHeight="1" outlineLevel="1">
      <c r="A521" s="2578"/>
      <c r="B521" s="2519"/>
      <c r="C521" s="2521"/>
      <c r="D521" s="727">
        <v>2021</v>
      </c>
      <c r="E521" s="726">
        <f>SUM(F521:I521)</f>
        <v>9928.3460643185299</v>
      </c>
      <c r="F521" s="740">
        <v>6483.2099799999996</v>
      </c>
      <c r="G521" s="739">
        <v>0</v>
      </c>
      <c r="H521" s="725">
        <f>F521/65.3*34.7</f>
        <v>3445.1360843185298</v>
      </c>
      <c r="I521" s="739">
        <v>0</v>
      </c>
      <c r="J521" s="2523"/>
      <c r="K521" s="2549"/>
      <c r="L521" s="715"/>
    </row>
    <row r="522" spans="1:12" ht="26.25" customHeight="1" outlineLevel="1">
      <c r="A522" s="2578"/>
      <c r="B522" s="2519"/>
      <c r="C522" s="2521"/>
      <c r="D522" s="727">
        <v>2022</v>
      </c>
      <c r="E522" s="726">
        <v>0</v>
      </c>
      <c r="F522" s="726">
        <v>0</v>
      </c>
      <c r="G522" s="739">
        <v>0</v>
      </c>
      <c r="H522" s="725">
        <v>0</v>
      </c>
      <c r="I522" s="739">
        <v>0</v>
      </c>
      <c r="J522" s="2523"/>
      <c r="K522" s="2549"/>
      <c r="L522" s="715"/>
    </row>
    <row r="523" spans="1:12" ht="20.25" customHeight="1" outlineLevel="1">
      <c r="A523" s="2578"/>
      <c r="B523" s="2519"/>
      <c r="C523" s="2521"/>
      <c r="D523" s="727">
        <v>2023</v>
      </c>
      <c r="E523" s="726">
        <v>0</v>
      </c>
      <c r="F523" s="726">
        <v>0</v>
      </c>
      <c r="G523" s="739">
        <v>0</v>
      </c>
      <c r="H523" s="725">
        <v>0</v>
      </c>
      <c r="I523" s="739">
        <v>0</v>
      </c>
      <c r="J523" s="2523"/>
      <c r="K523" s="2549"/>
      <c r="L523" s="715"/>
    </row>
    <row r="524" spans="1:12" ht="20.25" customHeight="1" outlineLevel="1">
      <c r="A524" s="2578"/>
      <c r="B524" s="2519"/>
      <c r="C524" s="2521"/>
      <c r="D524" s="727">
        <v>2024</v>
      </c>
      <c r="E524" s="726">
        <v>0</v>
      </c>
      <c r="F524" s="726">
        <v>0</v>
      </c>
      <c r="G524" s="739">
        <v>0</v>
      </c>
      <c r="H524" s="725">
        <v>0</v>
      </c>
      <c r="I524" s="739">
        <v>0</v>
      </c>
      <c r="J524" s="2523"/>
      <c r="K524" s="2549"/>
      <c r="L524" s="715"/>
    </row>
    <row r="525" spans="1:12" ht="18.75" customHeight="1" outlineLevel="1">
      <c r="A525" s="2578"/>
      <c r="B525" s="2519"/>
      <c r="C525" s="2521"/>
      <c r="D525" s="727">
        <v>2025</v>
      </c>
      <c r="E525" s="726">
        <v>0</v>
      </c>
      <c r="F525" s="726">
        <v>0</v>
      </c>
      <c r="G525" s="739">
        <v>0</v>
      </c>
      <c r="H525" s="725">
        <v>0</v>
      </c>
      <c r="I525" s="739">
        <v>0</v>
      </c>
      <c r="J525" s="2523"/>
      <c r="K525" s="2522"/>
      <c r="L525" s="715"/>
    </row>
    <row r="526" spans="1:12" ht="15" customHeight="1" outlineLevel="1">
      <c r="A526" s="2541" t="s">
        <v>2974</v>
      </c>
      <c r="B526" s="2544" t="s">
        <v>3064</v>
      </c>
      <c r="C526" s="2546">
        <v>2021</v>
      </c>
      <c r="D526" s="727" t="s">
        <v>8</v>
      </c>
      <c r="E526" s="726">
        <f>SUM(F526:I526)</f>
        <v>0</v>
      </c>
      <c r="F526" s="726">
        <f>SUM(F527:F531)</f>
        <v>0</v>
      </c>
      <c r="G526" s="726">
        <f>SUM(G527:G531)</f>
        <v>0</v>
      </c>
      <c r="H526" s="726">
        <f>SUM(H527:H531)</f>
        <v>0</v>
      </c>
      <c r="I526" s="726">
        <f>SUM(I527:I531)</f>
        <v>0</v>
      </c>
      <c r="J526" s="2548" t="s">
        <v>2837</v>
      </c>
      <c r="K526" s="2548" t="s">
        <v>2993</v>
      </c>
    </row>
    <row r="527" spans="1:12" ht="15" customHeight="1" outlineLevel="1">
      <c r="A527" s="2542"/>
      <c r="B527" s="2545"/>
      <c r="C527" s="2547"/>
      <c r="D527" s="727">
        <v>2021</v>
      </c>
      <c r="E527" s="726">
        <f>SUM(F527:I527)</f>
        <v>0</v>
      </c>
      <c r="F527" s="740">
        <v>0</v>
      </c>
      <c r="G527" s="739">
        <v>0</v>
      </c>
      <c r="H527" s="725">
        <f>F527/95*5</f>
        <v>0</v>
      </c>
      <c r="I527" s="739">
        <v>0</v>
      </c>
      <c r="J527" s="2549"/>
      <c r="K527" s="2549"/>
    </row>
    <row r="528" spans="1:12" ht="15" customHeight="1" outlineLevel="1">
      <c r="A528" s="2542"/>
      <c r="B528" s="2545"/>
      <c r="C528" s="2547"/>
      <c r="D528" s="727">
        <v>2022</v>
      </c>
      <c r="E528" s="726">
        <v>0</v>
      </c>
      <c r="F528" s="726">
        <v>0</v>
      </c>
      <c r="G528" s="739">
        <v>0</v>
      </c>
      <c r="H528" s="725">
        <v>0</v>
      </c>
      <c r="I528" s="739">
        <v>0</v>
      </c>
      <c r="J528" s="2549"/>
      <c r="K528" s="2549"/>
    </row>
    <row r="529" spans="1:12" ht="15" customHeight="1" outlineLevel="1">
      <c r="A529" s="2542"/>
      <c r="B529" s="2545"/>
      <c r="C529" s="2547"/>
      <c r="D529" s="727">
        <v>2023</v>
      </c>
      <c r="E529" s="726">
        <v>0</v>
      </c>
      <c r="F529" s="726">
        <v>0</v>
      </c>
      <c r="G529" s="739">
        <v>0</v>
      </c>
      <c r="H529" s="725">
        <v>0</v>
      </c>
      <c r="I529" s="739">
        <v>0</v>
      </c>
      <c r="J529" s="2549"/>
      <c r="K529" s="2549"/>
    </row>
    <row r="530" spans="1:12" ht="15" customHeight="1" outlineLevel="1">
      <c r="A530" s="2542"/>
      <c r="B530" s="2545"/>
      <c r="C530" s="2547"/>
      <c r="D530" s="727">
        <v>2024</v>
      </c>
      <c r="E530" s="726">
        <v>0</v>
      </c>
      <c r="F530" s="726">
        <v>0</v>
      </c>
      <c r="G530" s="739">
        <v>0</v>
      </c>
      <c r="H530" s="725">
        <v>0</v>
      </c>
      <c r="I530" s="739">
        <v>0</v>
      </c>
      <c r="J530" s="2549"/>
      <c r="K530" s="2549"/>
    </row>
    <row r="531" spans="1:12" ht="15" customHeight="1" outlineLevel="1">
      <c r="A531" s="2543"/>
      <c r="B531" s="2518"/>
      <c r="C531" s="2520"/>
      <c r="D531" s="727">
        <v>2025</v>
      </c>
      <c r="E531" s="726">
        <v>0</v>
      </c>
      <c r="F531" s="726">
        <v>0</v>
      </c>
      <c r="G531" s="739">
        <v>0</v>
      </c>
      <c r="H531" s="725">
        <v>0</v>
      </c>
      <c r="I531" s="739">
        <v>0</v>
      </c>
      <c r="J531" s="2522"/>
      <c r="K531" s="2522"/>
    </row>
    <row r="532" spans="1:12" ht="15" customHeight="1" outlineLevel="1">
      <c r="A532" s="2578" t="s">
        <v>2975</v>
      </c>
      <c r="B532" s="2519" t="s">
        <v>3063</v>
      </c>
      <c r="C532" s="2521">
        <v>2021</v>
      </c>
      <c r="D532" s="727" t="s">
        <v>8</v>
      </c>
      <c r="E532" s="726">
        <f>SUM(F532:I532)</f>
        <v>28829.676842105262</v>
      </c>
      <c r="F532" s="726">
        <f>SUM(F533:F537)</f>
        <v>27388.192999999999</v>
      </c>
      <c r="G532" s="726">
        <f>SUM(G533:G537)</f>
        <v>0</v>
      </c>
      <c r="H532" s="726">
        <f>SUM(H533:H537)</f>
        <v>1441.483842105263</v>
      </c>
      <c r="I532" s="726">
        <f>SUM(I533:I537)</f>
        <v>0</v>
      </c>
      <c r="J532" s="2523" t="s">
        <v>2838</v>
      </c>
      <c r="K532" s="2548" t="s">
        <v>2993</v>
      </c>
    </row>
    <row r="533" spans="1:12" ht="15" customHeight="1" outlineLevel="1">
      <c r="A533" s="2578"/>
      <c r="B533" s="2519"/>
      <c r="C533" s="2521"/>
      <c r="D533" s="727">
        <v>2021</v>
      </c>
      <c r="E533" s="726">
        <f>SUM(F533:I533)</f>
        <v>28829.676842105262</v>
      </c>
      <c r="F533" s="726">
        <v>27388.192999999999</v>
      </c>
      <c r="G533" s="739">
        <v>0</v>
      </c>
      <c r="H533" s="725">
        <f>F533/95*5</f>
        <v>1441.483842105263</v>
      </c>
      <c r="I533" s="739">
        <v>0</v>
      </c>
      <c r="J533" s="2523"/>
      <c r="K533" s="2549"/>
    </row>
    <row r="534" spans="1:12" ht="15" customHeight="1" outlineLevel="1">
      <c r="A534" s="2578"/>
      <c r="B534" s="2519"/>
      <c r="C534" s="2521"/>
      <c r="D534" s="727">
        <v>2022</v>
      </c>
      <c r="E534" s="726">
        <v>0</v>
      </c>
      <c r="F534" s="726">
        <v>0</v>
      </c>
      <c r="G534" s="739">
        <v>0</v>
      </c>
      <c r="H534" s="725">
        <v>0</v>
      </c>
      <c r="I534" s="739">
        <v>0</v>
      </c>
      <c r="J534" s="2523"/>
      <c r="K534" s="2549"/>
    </row>
    <row r="535" spans="1:12" ht="15" customHeight="1" outlineLevel="1">
      <c r="A535" s="2578"/>
      <c r="B535" s="2519"/>
      <c r="C535" s="2521"/>
      <c r="D535" s="727">
        <v>2023</v>
      </c>
      <c r="E535" s="726">
        <v>0</v>
      </c>
      <c r="F535" s="726">
        <v>0</v>
      </c>
      <c r="G535" s="739">
        <v>0</v>
      </c>
      <c r="H535" s="725">
        <v>0</v>
      </c>
      <c r="I535" s="739">
        <v>0</v>
      </c>
      <c r="J535" s="2523"/>
      <c r="K535" s="2549"/>
    </row>
    <row r="536" spans="1:12" ht="15" customHeight="1" outlineLevel="1">
      <c r="A536" s="2578"/>
      <c r="B536" s="2519"/>
      <c r="C536" s="2521"/>
      <c r="D536" s="727">
        <v>2024</v>
      </c>
      <c r="E536" s="726">
        <v>0</v>
      </c>
      <c r="F536" s="726">
        <v>0</v>
      </c>
      <c r="G536" s="739">
        <v>0</v>
      </c>
      <c r="H536" s="725">
        <v>0</v>
      </c>
      <c r="I536" s="739">
        <v>0</v>
      </c>
      <c r="J536" s="2523"/>
      <c r="K536" s="2549"/>
    </row>
    <row r="537" spans="1:12" ht="13.5" customHeight="1" outlineLevel="1">
      <c r="A537" s="2578"/>
      <c r="B537" s="2519"/>
      <c r="C537" s="2521"/>
      <c r="D537" s="727">
        <v>2025</v>
      </c>
      <c r="E537" s="726">
        <v>0</v>
      </c>
      <c r="F537" s="726">
        <v>0</v>
      </c>
      <c r="G537" s="739">
        <v>0</v>
      </c>
      <c r="H537" s="725">
        <v>0</v>
      </c>
      <c r="I537" s="739">
        <v>0</v>
      </c>
      <c r="J537" s="2523"/>
      <c r="K537" s="2522"/>
    </row>
    <row r="538" spans="1:12" ht="16.5" customHeight="1" outlineLevel="1">
      <c r="A538" s="2578" t="s">
        <v>2976</v>
      </c>
      <c r="B538" s="2544" t="s">
        <v>2860</v>
      </c>
      <c r="C538" s="2521" t="s">
        <v>2999</v>
      </c>
      <c r="D538" s="727" t="s">
        <v>8</v>
      </c>
      <c r="E538" s="737">
        <f t="shared" ref="E538:E601" si="32">SUM(F538:I538)</f>
        <v>4724.9217200000003</v>
      </c>
      <c r="F538" s="736">
        <f>SUM(F539:F543)</f>
        <v>4431.9217200000003</v>
      </c>
      <c r="G538" s="738">
        <f>SUM(G539:G543)</f>
        <v>0</v>
      </c>
      <c r="H538" s="738">
        <f>SUM(H539:H543)</f>
        <v>293</v>
      </c>
      <c r="I538" s="738">
        <f>SUM(I539:I543)</f>
        <v>0</v>
      </c>
      <c r="J538" s="2548" t="s">
        <v>3062</v>
      </c>
      <c r="K538" s="2548" t="s">
        <v>2993</v>
      </c>
      <c r="L538" s="715"/>
    </row>
    <row r="539" spans="1:12" s="732" customFormat="1" ht="15" customHeight="1" outlineLevel="1">
      <c r="A539" s="2578"/>
      <c r="B539" s="2545"/>
      <c r="C539" s="2521"/>
      <c r="D539" s="727">
        <v>2021</v>
      </c>
      <c r="E539" s="737">
        <f t="shared" si="32"/>
        <v>2270.6600000000003</v>
      </c>
      <c r="F539" s="736">
        <v>2100.36</v>
      </c>
      <c r="G539" s="726">
        <v>0</v>
      </c>
      <c r="H539" s="726">
        <v>170.3</v>
      </c>
      <c r="I539" s="726">
        <v>0</v>
      </c>
      <c r="J539" s="2549"/>
      <c r="K539" s="2549"/>
    </row>
    <row r="540" spans="1:12" s="732" customFormat="1" ht="18.75" customHeight="1" outlineLevel="1">
      <c r="A540" s="2578"/>
      <c r="B540" s="2545"/>
      <c r="C540" s="2521"/>
      <c r="D540" s="727">
        <v>2022</v>
      </c>
      <c r="E540" s="737">
        <f t="shared" si="32"/>
        <v>2454.26172</v>
      </c>
      <c r="F540" s="726">
        <v>2331.5617200000002</v>
      </c>
      <c r="G540" s="726">
        <v>0</v>
      </c>
      <c r="H540" s="726">
        <v>122.7</v>
      </c>
      <c r="I540" s="726">
        <v>0</v>
      </c>
      <c r="J540" s="2549"/>
      <c r="K540" s="2549"/>
    </row>
    <row r="541" spans="1:12" s="732" customFormat="1" ht="17.25" customHeight="1" outlineLevel="1">
      <c r="A541" s="2578"/>
      <c r="B541" s="2545"/>
      <c r="C541" s="2521"/>
      <c r="D541" s="727">
        <v>2023</v>
      </c>
      <c r="E541" s="737">
        <f t="shared" si="32"/>
        <v>0</v>
      </c>
      <c r="F541" s="726">
        <v>0</v>
      </c>
      <c r="G541" s="726">
        <v>0</v>
      </c>
      <c r="H541" s="726">
        <v>0</v>
      </c>
      <c r="I541" s="726">
        <v>0</v>
      </c>
      <c r="J541" s="2549"/>
      <c r="K541" s="2549"/>
    </row>
    <row r="542" spans="1:12" s="732" customFormat="1" ht="15" customHeight="1" outlineLevel="1">
      <c r="A542" s="2578"/>
      <c r="B542" s="2545"/>
      <c r="C542" s="2521"/>
      <c r="D542" s="727">
        <v>2024</v>
      </c>
      <c r="E542" s="737">
        <f t="shared" si="32"/>
        <v>0</v>
      </c>
      <c r="F542" s="726">
        <v>0</v>
      </c>
      <c r="G542" s="726">
        <v>0</v>
      </c>
      <c r="H542" s="726">
        <v>0</v>
      </c>
      <c r="I542" s="726">
        <v>0</v>
      </c>
      <c r="J542" s="2549"/>
      <c r="K542" s="2549"/>
    </row>
    <row r="543" spans="1:12" s="732" customFormat="1" ht="14.25" customHeight="1" outlineLevel="1">
      <c r="A543" s="2578"/>
      <c r="B543" s="2518"/>
      <c r="C543" s="2521"/>
      <c r="D543" s="727">
        <v>2025</v>
      </c>
      <c r="E543" s="737">
        <f t="shared" si="32"/>
        <v>0</v>
      </c>
      <c r="F543" s="726">
        <v>0</v>
      </c>
      <c r="G543" s="726">
        <v>0</v>
      </c>
      <c r="H543" s="726">
        <v>0</v>
      </c>
      <c r="I543" s="726">
        <v>0</v>
      </c>
      <c r="J543" s="2522"/>
      <c r="K543" s="2522"/>
    </row>
    <row r="544" spans="1:12" s="732" customFormat="1" ht="12.75" customHeight="1" outlineLevel="1">
      <c r="A544" s="2578" t="s">
        <v>2977</v>
      </c>
      <c r="B544" s="2544" t="s">
        <v>3061</v>
      </c>
      <c r="C544" s="2521">
        <v>2021</v>
      </c>
      <c r="D544" s="727" t="s">
        <v>8</v>
      </c>
      <c r="E544" s="737">
        <f t="shared" si="32"/>
        <v>0</v>
      </c>
      <c r="F544" s="726">
        <v>0</v>
      </c>
      <c r="G544" s="726">
        <v>0</v>
      </c>
      <c r="H544" s="726">
        <v>0</v>
      </c>
      <c r="I544" s="726">
        <v>0</v>
      </c>
      <c r="J544" s="2548" t="s">
        <v>3060</v>
      </c>
      <c r="K544" s="2548" t="s">
        <v>168</v>
      </c>
      <c r="L544" s="734"/>
    </row>
    <row r="545" spans="1:12" s="732" customFormat="1" ht="12.75" customHeight="1" outlineLevel="1">
      <c r="A545" s="2578"/>
      <c r="B545" s="2545"/>
      <c r="C545" s="2521"/>
      <c r="D545" s="727">
        <v>2021</v>
      </c>
      <c r="E545" s="737">
        <f t="shared" si="32"/>
        <v>0</v>
      </c>
      <c r="F545" s="726">
        <v>0</v>
      </c>
      <c r="G545" s="726">
        <v>0</v>
      </c>
      <c r="H545" s="726">
        <v>0</v>
      </c>
      <c r="I545" s="726">
        <v>0</v>
      </c>
      <c r="J545" s="2549"/>
      <c r="K545" s="2549"/>
      <c r="L545" s="734"/>
    </row>
    <row r="546" spans="1:12" s="732" customFormat="1" ht="12.75" customHeight="1" outlineLevel="1">
      <c r="A546" s="2578"/>
      <c r="B546" s="2545"/>
      <c r="C546" s="2521"/>
      <c r="D546" s="727">
        <v>2022</v>
      </c>
      <c r="E546" s="737">
        <f t="shared" si="32"/>
        <v>0</v>
      </c>
      <c r="F546" s="726">
        <v>0</v>
      </c>
      <c r="G546" s="726">
        <v>0</v>
      </c>
      <c r="H546" s="726">
        <v>0</v>
      </c>
      <c r="I546" s="726">
        <v>0</v>
      </c>
      <c r="J546" s="2549"/>
      <c r="K546" s="2549"/>
      <c r="L546" s="734"/>
    </row>
    <row r="547" spans="1:12" s="732" customFormat="1" ht="12.75" customHeight="1" outlineLevel="1">
      <c r="A547" s="2578"/>
      <c r="B547" s="2545"/>
      <c r="C547" s="2521"/>
      <c r="D547" s="727">
        <v>2023</v>
      </c>
      <c r="E547" s="737">
        <f t="shared" si="32"/>
        <v>0</v>
      </c>
      <c r="F547" s="726">
        <v>0</v>
      </c>
      <c r="G547" s="726">
        <v>0</v>
      </c>
      <c r="H547" s="726">
        <v>0</v>
      </c>
      <c r="I547" s="726">
        <v>0</v>
      </c>
      <c r="J547" s="2549"/>
      <c r="K547" s="2549"/>
      <c r="L547" s="734"/>
    </row>
    <row r="548" spans="1:12" s="732" customFormat="1" ht="12.75" customHeight="1" outlineLevel="1">
      <c r="A548" s="2578"/>
      <c r="B548" s="2545"/>
      <c r="C548" s="2521"/>
      <c r="D548" s="727">
        <v>2024</v>
      </c>
      <c r="E548" s="737">
        <f t="shared" si="32"/>
        <v>0</v>
      </c>
      <c r="F548" s="726">
        <v>0</v>
      </c>
      <c r="G548" s="726">
        <v>0</v>
      </c>
      <c r="H548" s="726">
        <v>0</v>
      </c>
      <c r="I548" s="726">
        <v>0</v>
      </c>
      <c r="J548" s="2549"/>
      <c r="K548" s="2549"/>
      <c r="L548" s="734"/>
    </row>
    <row r="549" spans="1:12" s="732" customFormat="1" ht="12.75" customHeight="1" outlineLevel="1">
      <c r="A549" s="2578"/>
      <c r="B549" s="2518"/>
      <c r="C549" s="2521"/>
      <c r="D549" s="727">
        <v>2025</v>
      </c>
      <c r="E549" s="737">
        <f t="shared" si="32"/>
        <v>0</v>
      </c>
      <c r="F549" s="726">
        <v>0</v>
      </c>
      <c r="G549" s="726">
        <v>0</v>
      </c>
      <c r="H549" s="726">
        <v>0</v>
      </c>
      <c r="I549" s="726">
        <v>0</v>
      </c>
      <c r="J549" s="2522"/>
      <c r="K549" s="2522"/>
      <c r="L549" s="734"/>
    </row>
    <row r="550" spans="1:12" s="732" customFormat="1" ht="12.75" customHeight="1" outlineLevel="1">
      <c r="A550" s="2541" t="s">
        <v>2978</v>
      </c>
      <c r="B550" s="2544" t="s">
        <v>2861</v>
      </c>
      <c r="C550" s="2521">
        <v>2021</v>
      </c>
      <c r="D550" s="727" t="s">
        <v>8</v>
      </c>
      <c r="E550" s="737">
        <f t="shared" si="32"/>
        <v>468.3</v>
      </c>
      <c r="F550" s="737">
        <f>SUM(F551:F555)</f>
        <v>468.3</v>
      </c>
      <c r="G550" s="737">
        <f>SUM(G551:G555)</f>
        <v>0</v>
      </c>
      <c r="H550" s="737">
        <f>SUM(H551:H555)</f>
        <v>0</v>
      </c>
      <c r="I550" s="737">
        <f>SUM(I551:I555)</f>
        <v>0</v>
      </c>
      <c r="J550" s="2548" t="s">
        <v>3059</v>
      </c>
      <c r="K550" s="2548" t="s">
        <v>3034</v>
      </c>
      <c r="L550" s="734"/>
    </row>
    <row r="551" spans="1:12" s="732" customFormat="1" ht="12.75" customHeight="1" outlineLevel="1">
      <c r="A551" s="2542"/>
      <c r="B551" s="2545"/>
      <c r="C551" s="2521"/>
      <c r="D551" s="727">
        <v>2021</v>
      </c>
      <c r="E551" s="737">
        <f t="shared" si="32"/>
        <v>468.3</v>
      </c>
      <c r="F551" s="737">
        <v>468.3</v>
      </c>
      <c r="G551" s="737">
        <v>0</v>
      </c>
      <c r="H551" s="737">
        <v>0</v>
      </c>
      <c r="I551" s="737">
        <v>0</v>
      </c>
      <c r="J551" s="2549"/>
      <c r="K551" s="2549"/>
      <c r="L551" s="734"/>
    </row>
    <row r="552" spans="1:12" s="732" customFormat="1" ht="12.75" customHeight="1" outlineLevel="1">
      <c r="A552" s="2542"/>
      <c r="B552" s="2545"/>
      <c r="C552" s="2521"/>
      <c r="D552" s="727">
        <v>2022</v>
      </c>
      <c r="E552" s="737">
        <f t="shared" si="32"/>
        <v>0</v>
      </c>
      <c r="F552" s="737">
        <v>0</v>
      </c>
      <c r="G552" s="737">
        <v>0</v>
      </c>
      <c r="H552" s="737">
        <v>0</v>
      </c>
      <c r="I552" s="737">
        <v>0</v>
      </c>
      <c r="J552" s="2549"/>
      <c r="K552" s="2549"/>
      <c r="L552" s="734"/>
    </row>
    <row r="553" spans="1:12" s="732" customFormat="1" ht="12.75" customHeight="1" outlineLevel="1">
      <c r="A553" s="2542"/>
      <c r="B553" s="2545"/>
      <c r="C553" s="2521"/>
      <c r="D553" s="727">
        <v>2023</v>
      </c>
      <c r="E553" s="737">
        <f t="shared" si="32"/>
        <v>0</v>
      </c>
      <c r="F553" s="737">
        <v>0</v>
      </c>
      <c r="G553" s="737">
        <v>0</v>
      </c>
      <c r="H553" s="737">
        <v>0</v>
      </c>
      <c r="I553" s="737">
        <v>0</v>
      </c>
      <c r="J553" s="2549"/>
      <c r="K553" s="2549"/>
      <c r="L553" s="734"/>
    </row>
    <row r="554" spans="1:12" s="732" customFormat="1" ht="12.75" customHeight="1" outlineLevel="1">
      <c r="A554" s="2542"/>
      <c r="B554" s="2545"/>
      <c r="C554" s="2521"/>
      <c r="D554" s="727">
        <v>2024</v>
      </c>
      <c r="E554" s="737">
        <f t="shared" si="32"/>
        <v>0</v>
      </c>
      <c r="F554" s="737">
        <v>0</v>
      </c>
      <c r="G554" s="737">
        <v>0</v>
      </c>
      <c r="H554" s="737">
        <v>0</v>
      </c>
      <c r="I554" s="737">
        <v>0</v>
      </c>
      <c r="J554" s="2549"/>
      <c r="K554" s="2549"/>
      <c r="L554" s="734"/>
    </row>
    <row r="555" spans="1:12" s="732" customFormat="1" ht="12.75" customHeight="1" outlineLevel="1">
      <c r="A555" s="2543"/>
      <c r="B555" s="2518"/>
      <c r="C555" s="2521"/>
      <c r="D555" s="727">
        <v>2025</v>
      </c>
      <c r="E555" s="737">
        <f t="shared" si="32"/>
        <v>0</v>
      </c>
      <c r="F555" s="737">
        <v>0</v>
      </c>
      <c r="G555" s="737">
        <v>0</v>
      </c>
      <c r="H555" s="737">
        <v>0</v>
      </c>
      <c r="I555" s="737">
        <v>0</v>
      </c>
      <c r="J555" s="2522"/>
      <c r="K555" s="2522"/>
      <c r="L555" s="734"/>
    </row>
    <row r="556" spans="1:12" s="732" customFormat="1" ht="18" customHeight="1" outlineLevel="1">
      <c r="A556" s="2541" t="s">
        <v>250</v>
      </c>
      <c r="B556" s="2544" t="s">
        <v>2950</v>
      </c>
      <c r="C556" s="2521">
        <v>2021</v>
      </c>
      <c r="D556" s="727" t="s">
        <v>8</v>
      </c>
      <c r="E556" s="737">
        <f t="shared" si="32"/>
        <v>8226.4694736842102</v>
      </c>
      <c r="F556" s="737">
        <f>SUM(F557:F561)</f>
        <v>7815.1459999999997</v>
      </c>
      <c r="G556" s="737">
        <f>SUM(G557:G561)</f>
        <v>0</v>
      </c>
      <c r="H556" s="737">
        <f>SUM(H557:H561)</f>
        <v>411.32347368421051</v>
      </c>
      <c r="I556" s="737">
        <f>SUM(I557:I561)</f>
        <v>0</v>
      </c>
      <c r="J556" s="2548" t="s">
        <v>3058</v>
      </c>
      <c r="K556" s="2548" t="s">
        <v>2993</v>
      </c>
      <c r="L556" s="734"/>
    </row>
    <row r="557" spans="1:12" s="732" customFormat="1" ht="18" customHeight="1" outlineLevel="1">
      <c r="A557" s="2542"/>
      <c r="B557" s="2545"/>
      <c r="C557" s="2521"/>
      <c r="D557" s="727">
        <v>2021</v>
      </c>
      <c r="E557" s="737">
        <f t="shared" si="32"/>
        <v>8226.4694736842102</v>
      </c>
      <c r="F557" s="737">
        <v>7815.1459999999997</v>
      </c>
      <c r="G557" s="737">
        <v>0</v>
      </c>
      <c r="H557" s="737">
        <f>F557/95*5</f>
        <v>411.32347368421051</v>
      </c>
      <c r="I557" s="737">
        <v>0</v>
      </c>
      <c r="J557" s="2549"/>
      <c r="K557" s="2549"/>
      <c r="L557" s="734"/>
    </row>
    <row r="558" spans="1:12" s="732" customFormat="1" ht="18" customHeight="1" outlineLevel="1">
      <c r="A558" s="2542"/>
      <c r="B558" s="2545"/>
      <c r="C558" s="2521"/>
      <c r="D558" s="727">
        <v>2022</v>
      </c>
      <c r="E558" s="737">
        <f t="shared" si="32"/>
        <v>0</v>
      </c>
      <c r="F558" s="737">
        <v>0</v>
      </c>
      <c r="G558" s="737">
        <v>0</v>
      </c>
      <c r="H558" s="737">
        <f>F558/95*5</f>
        <v>0</v>
      </c>
      <c r="I558" s="737">
        <v>0</v>
      </c>
      <c r="J558" s="2549"/>
      <c r="K558" s="2549"/>
      <c r="L558" s="734"/>
    </row>
    <row r="559" spans="1:12" s="732" customFormat="1" ht="18" customHeight="1" outlineLevel="1">
      <c r="A559" s="2542"/>
      <c r="B559" s="2545"/>
      <c r="C559" s="2521"/>
      <c r="D559" s="727">
        <v>2023</v>
      </c>
      <c r="E559" s="737">
        <f t="shared" si="32"/>
        <v>0</v>
      </c>
      <c r="F559" s="737">
        <v>0</v>
      </c>
      <c r="G559" s="737">
        <v>0</v>
      </c>
      <c r="H559" s="737">
        <v>0</v>
      </c>
      <c r="I559" s="737">
        <v>0</v>
      </c>
      <c r="J559" s="2549"/>
      <c r="K559" s="2549"/>
      <c r="L559" s="734"/>
    </row>
    <row r="560" spans="1:12" s="732" customFormat="1" ht="18" customHeight="1" outlineLevel="1">
      <c r="A560" s="2542"/>
      <c r="B560" s="2545"/>
      <c r="C560" s="2521"/>
      <c r="D560" s="727">
        <v>2024</v>
      </c>
      <c r="E560" s="737">
        <f t="shared" si="32"/>
        <v>0</v>
      </c>
      <c r="F560" s="737">
        <v>0</v>
      </c>
      <c r="G560" s="737">
        <v>0</v>
      </c>
      <c r="H560" s="737">
        <v>0</v>
      </c>
      <c r="I560" s="737">
        <v>0</v>
      </c>
      <c r="J560" s="2549"/>
      <c r="K560" s="2549"/>
      <c r="L560" s="734"/>
    </row>
    <row r="561" spans="1:12" s="732" customFormat="1" ht="18" customHeight="1" outlineLevel="1">
      <c r="A561" s="2543"/>
      <c r="B561" s="2518"/>
      <c r="C561" s="2521"/>
      <c r="D561" s="727">
        <v>2025</v>
      </c>
      <c r="E561" s="737">
        <f t="shared" si="32"/>
        <v>0</v>
      </c>
      <c r="F561" s="737">
        <v>0</v>
      </c>
      <c r="G561" s="737">
        <v>0</v>
      </c>
      <c r="H561" s="737">
        <v>0</v>
      </c>
      <c r="I561" s="737">
        <v>0</v>
      </c>
      <c r="J561" s="2522"/>
      <c r="K561" s="2522"/>
      <c r="L561" s="734"/>
    </row>
    <row r="562" spans="1:12" s="732" customFormat="1" ht="18" customHeight="1" outlineLevel="1">
      <c r="A562" s="2541" t="s">
        <v>2979</v>
      </c>
      <c r="B562" s="2544" t="s">
        <v>2951</v>
      </c>
      <c r="C562" s="2521">
        <v>2021</v>
      </c>
      <c r="D562" s="727" t="s">
        <v>8</v>
      </c>
      <c r="E562" s="736">
        <f t="shared" si="32"/>
        <v>15056.631578947368</v>
      </c>
      <c r="F562" s="736">
        <f>SUM(F563:F567)</f>
        <v>14303.8</v>
      </c>
      <c r="G562" s="736">
        <f>SUM(G563:G567)</f>
        <v>0</v>
      </c>
      <c r="H562" s="736">
        <f>SUM(H563:H567)</f>
        <v>752.83157894736837</v>
      </c>
      <c r="I562" s="737">
        <v>0</v>
      </c>
      <c r="J562" s="2548" t="s">
        <v>3057</v>
      </c>
      <c r="K562" s="2548" t="s">
        <v>2993</v>
      </c>
      <c r="L562" s="734"/>
    </row>
    <row r="563" spans="1:12" s="732" customFormat="1" ht="18" customHeight="1" outlineLevel="1">
      <c r="A563" s="2542"/>
      <c r="B563" s="2545"/>
      <c r="C563" s="2521"/>
      <c r="D563" s="727">
        <v>2021</v>
      </c>
      <c r="E563" s="736">
        <f t="shared" si="32"/>
        <v>15056.631578947368</v>
      </c>
      <c r="F563" s="736">
        <v>14303.8</v>
      </c>
      <c r="G563" s="736">
        <v>0</v>
      </c>
      <c r="H563" s="725">
        <f>F563/95*5</f>
        <v>752.83157894736837</v>
      </c>
      <c r="I563" s="737">
        <v>0</v>
      </c>
      <c r="J563" s="2549"/>
      <c r="K563" s="2549"/>
      <c r="L563" s="734"/>
    </row>
    <row r="564" spans="1:12" s="732" customFormat="1" ht="18" customHeight="1" outlineLevel="1">
      <c r="A564" s="2542"/>
      <c r="B564" s="2545"/>
      <c r="C564" s="2521"/>
      <c r="D564" s="727">
        <v>2022</v>
      </c>
      <c r="E564" s="736">
        <f t="shared" si="32"/>
        <v>0</v>
      </c>
      <c r="F564" s="736">
        <v>0</v>
      </c>
      <c r="G564" s="736">
        <v>0</v>
      </c>
      <c r="H564" s="736">
        <v>0</v>
      </c>
      <c r="I564" s="736">
        <v>0</v>
      </c>
      <c r="J564" s="2549"/>
      <c r="K564" s="2549"/>
      <c r="L564" s="734"/>
    </row>
    <row r="565" spans="1:12" s="732" customFormat="1" ht="18" customHeight="1" outlineLevel="1">
      <c r="A565" s="2542"/>
      <c r="B565" s="2545"/>
      <c r="C565" s="2521"/>
      <c r="D565" s="727">
        <v>2023</v>
      </c>
      <c r="E565" s="736">
        <f t="shared" si="32"/>
        <v>0</v>
      </c>
      <c r="F565" s="736">
        <v>0</v>
      </c>
      <c r="G565" s="736">
        <v>0</v>
      </c>
      <c r="H565" s="736">
        <v>0</v>
      </c>
      <c r="I565" s="736">
        <v>0</v>
      </c>
      <c r="J565" s="2549"/>
      <c r="K565" s="2549"/>
      <c r="L565" s="734"/>
    </row>
    <row r="566" spans="1:12" s="732" customFormat="1" ht="18" customHeight="1" outlineLevel="1">
      <c r="A566" s="2542"/>
      <c r="B566" s="2545"/>
      <c r="C566" s="2521"/>
      <c r="D566" s="727">
        <v>2024</v>
      </c>
      <c r="E566" s="736">
        <f t="shared" si="32"/>
        <v>0</v>
      </c>
      <c r="F566" s="736">
        <v>0</v>
      </c>
      <c r="G566" s="736">
        <v>0</v>
      </c>
      <c r="H566" s="736">
        <v>0</v>
      </c>
      <c r="I566" s="736">
        <v>0</v>
      </c>
      <c r="J566" s="2549"/>
      <c r="K566" s="2549"/>
      <c r="L566" s="734"/>
    </row>
    <row r="567" spans="1:12" s="732" customFormat="1" ht="18" customHeight="1" outlineLevel="1">
      <c r="A567" s="2543"/>
      <c r="B567" s="2518"/>
      <c r="C567" s="2521"/>
      <c r="D567" s="727">
        <v>2025</v>
      </c>
      <c r="E567" s="736">
        <f t="shared" si="32"/>
        <v>0</v>
      </c>
      <c r="F567" s="736">
        <v>0</v>
      </c>
      <c r="G567" s="736">
        <v>0</v>
      </c>
      <c r="H567" s="736">
        <v>0</v>
      </c>
      <c r="I567" s="736">
        <v>0</v>
      </c>
      <c r="J567" s="2522"/>
      <c r="K567" s="2522"/>
      <c r="L567" s="734"/>
    </row>
    <row r="568" spans="1:12" s="732" customFormat="1" ht="12.75" customHeight="1" outlineLevel="1">
      <c r="A568" s="2541" t="s">
        <v>257</v>
      </c>
      <c r="B568" s="2544" t="s">
        <v>2952</v>
      </c>
      <c r="C568" s="2521">
        <v>2022</v>
      </c>
      <c r="D568" s="727" t="s">
        <v>8</v>
      </c>
      <c r="E568" s="736">
        <f t="shared" si="32"/>
        <v>20912.768100000001</v>
      </c>
      <c r="F568" s="736">
        <f>SUM(F569:F573)</f>
        <v>20912.768100000001</v>
      </c>
      <c r="G568" s="736">
        <f>SUM(G569:G573)</f>
        <v>0</v>
      </c>
      <c r="H568" s="736">
        <f>SUM(H569:H573)</f>
        <v>0</v>
      </c>
      <c r="I568" s="736">
        <f>SUM(I569:I573)</f>
        <v>0</v>
      </c>
      <c r="J568" s="2548" t="s">
        <v>3056</v>
      </c>
      <c r="K568" s="2523" t="s">
        <v>3055</v>
      </c>
      <c r="L568" s="734"/>
    </row>
    <row r="569" spans="1:12" s="732" customFormat="1" ht="12.75" customHeight="1" outlineLevel="1">
      <c r="A569" s="2542"/>
      <c r="B569" s="2545"/>
      <c r="C569" s="2521"/>
      <c r="D569" s="727">
        <v>2021</v>
      </c>
      <c r="E569" s="736">
        <f t="shared" si="32"/>
        <v>0</v>
      </c>
      <c r="F569" s="736">
        <v>0</v>
      </c>
      <c r="G569" s="736">
        <v>0</v>
      </c>
      <c r="H569" s="736">
        <v>0</v>
      </c>
      <c r="I569" s="736">
        <v>0</v>
      </c>
      <c r="J569" s="2549"/>
      <c r="K569" s="2523"/>
      <c r="L569" s="734"/>
    </row>
    <row r="570" spans="1:12" s="732" customFormat="1" ht="12.75" customHeight="1" outlineLevel="1">
      <c r="A570" s="2542"/>
      <c r="B570" s="2545"/>
      <c r="C570" s="2521"/>
      <c r="D570" s="727">
        <v>2022</v>
      </c>
      <c r="E570" s="736">
        <f t="shared" si="32"/>
        <v>20912.768100000001</v>
      </c>
      <c r="F570" s="736">
        <v>20912.768100000001</v>
      </c>
      <c r="G570" s="736">
        <v>0</v>
      </c>
      <c r="H570" s="736">
        <v>0</v>
      </c>
      <c r="I570" s="736">
        <v>0</v>
      </c>
      <c r="J570" s="2549"/>
      <c r="K570" s="2523"/>
      <c r="L570" s="734"/>
    </row>
    <row r="571" spans="1:12" s="732" customFormat="1" ht="12.75" customHeight="1" outlineLevel="1">
      <c r="A571" s="2542"/>
      <c r="B571" s="2545"/>
      <c r="C571" s="2521"/>
      <c r="D571" s="727">
        <v>2023</v>
      </c>
      <c r="E571" s="736">
        <f t="shared" si="32"/>
        <v>0</v>
      </c>
      <c r="F571" s="736">
        <v>0</v>
      </c>
      <c r="G571" s="736">
        <v>0</v>
      </c>
      <c r="H571" s="736">
        <v>0</v>
      </c>
      <c r="I571" s="736">
        <v>0</v>
      </c>
      <c r="J571" s="2549"/>
      <c r="K571" s="2523"/>
      <c r="L571" s="734"/>
    </row>
    <row r="572" spans="1:12" s="732" customFormat="1" ht="12.75" customHeight="1" outlineLevel="1">
      <c r="A572" s="2542"/>
      <c r="B572" s="2545"/>
      <c r="C572" s="2521"/>
      <c r="D572" s="727">
        <v>2024</v>
      </c>
      <c r="E572" s="736">
        <f t="shared" si="32"/>
        <v>0</v>
      </c>
      <c r="F572" s="736">
        <v>0</v>
      </c>
      <c r="G572" s="736">
        <v>0</v>
      </c>
      <c r="H572" s="736">
        <v>0</v>
      </c>
      <c r="I572" s="736">
        <v>0</v>
      </c>
      <c r="J572" s="2549"/>
      <c r="K572" s="2523"/>
      <c r="L572" s="734"/>
    </row>
    <row r="573" spans="1:12" s="732" customFormat="1" ht="12.75" customHeight="1" outlineLevel="1">
      <c r="A573" s="2543"/>
      <c r="B573" s="2518"/>
      <c r="C573" s="2521"/>
      <c r="D573" s="727">
        <v>2025</v>
      </c>
      <c r="E573" s="736">
        <f t="shared" si="32"/>
        <v>0</v>
      </c>
      <c r="F573" s="736">
        <v>0</v>
      </c>
      <c r="G573" s="736">
        <v>0</v>
      </c>
      <c r="H573" s="736">
        <v>0</v>
      </c>
      <c r="I573" s="736">
        <v>0</v>
      </c>
      <c r="J573" s="2522"/>
      <c r="K573" s="2523"/>
      <c r="L573" s="734"/>
    </row>
    <row r="574" spans="1:12" s="732" customFormat="1" ht="12.75" customHeight="1" outlineLevel="1">
      <c r="A574" s="2567" t="s">
        <v>260</v>
      </c>
      <c r="B574" s="2570" t="s">
        <v>2953</v>
      </c>
      <c r="C574" s="2527" t="s">
        <v>3042</v>
      </c>
      <c r="D574" s="762" t="s">
        <v>8</v>
      </c>
      <c r="E574" s="769">
        <f t="shared" si="32"/>
        <v>150000</v>
      </c>
      <c r="F574" s="769">
        <f>SUM(F575:F579)</f>
        <v>142500</v>
      </c>
      <c r="G574" s="769">
        <f>SUM(G575:G579)</f>
        <v>0</v>
      </c>
      <c r="H574" s="769">
        <f>SUM(H575:H579)</f>
        <v>7500</v>
      </c>
      <c r="I574" s="769">
        <f>SUM(I575:I579)</f>
        <v>0</v>
      </c>
      <c r="J574" s="2566" t="s">
        <v>3054</v>
      </c>
      <c r="K574" s="2566" t="s">
        <v>2993</v>
      </c>
      <c r="L574" s="734"/>
    </row>
    <row r="575" spans="1:12" s="732" customFormat="1" ht="12.75" customHeight="1" outlineLevel="1">
      <c r="A575" s="2568"/>
      <c r="B575" s="2571"/>
      <c r="C575" s="2527"/>
      <c r="D575" s="762">
        <v>2021</v>
      </c>
      <c r="E575" s="769">
        <f t="shared" si="32"/>
        <v>0</v>
      </c>
      <c r="F575" s="769">
        <v>0</v>
      </c>
      <c r="G575" s="769">
        <v>0</v>
      </c>
      <c r="H575" s="769">
        <v>0</v>
      </c>
      <c r="I575" s="769">
        <v>0</v>
      </c>
      <c r="J575" s="2561"/>
      <c r="K575" s="2561"/>
      <c r="L575" s="734"/>
    </row>
    <row r="576" spans="1:12" s="732" customFormat="1" ht="12.75" customHeight="1" outlineLevel="1">
      <c r="A576" s="2568"/>
      <c r="B576" s="2571"/>
      <c r="C576" s="2527"/>
      <c r="D576" s="762">
        <v>2022</v>
      </c>
      <c r="E576" s="769">
        <f t="shared" si="32"/>
        <v>70000</v>
      </c>
      <c r="F576" s="769">
        <v>66500</v>
      </c>
      <c r="G576" s="769">
        <v>0</v>
      </c>
      <c r="H576" s="769">
        <v>3500</v>
      </c>
      <c r="I576" s="769">
        <v>0</v>
      </c>
      <c r="J576" s="2561"/>
      <c r="K576" s="2561"/>
      <c r="L576" s="734"/>
    </row>
    <row r="577" spans="1:12" s="732" customFormat="1" ht="12.75" customHeight="1" outlineLevel="1">
      <c r="A577" s="2568"/>
      <c r="B577" s="2571"/>
      <c r="C577" s="2527"/>
      <c r="D577" s="808">
        <v>2023</v>
      </c>
      <c r="E577" s="818">
        <f t="shared" si="32"/>
        <v>80000</v>
      </c>
      <c r="F577" s="818">
        <v>76000</v>
      </c>
      <c r="G577" s="818">
        <v>0</v>
      </c>
      <c r="H577" s="818">
        <v>4000</v>
      </c>
      <c r="I577" s="818">
        <v>0</v>
      </c>
      <c r="J577" s="2561"/>
      <c r="K577" s="2561"/>
      <c r="L577" s="734"/>
    </row>
    <row r="578" spans="1:12" s="732" customFormat="1" ht="12.75" customHeight="1" outlineLevel="1">
      <c r="A578" s="2568"/>
      <c r="B578" s="2571"/>
      <c r="C578" s="2527"/>
      <c r="D578" s="762">
        <v>2024</v>
      </c>
      <c r="E578" s="769">
        <f t="shared" si="32"/>
        <v>0</v>
      </c>
      <c r="F578" s="769">
        <v>0</v>
      </c>
      <c r="G578" s="769">
        <v>0</v>
      </c>
      <c r="H578" s="769">
        <v>0</v>
      </c>
      <c r="I578" s="769">
        <v>0</v>
      </c>
      <c r="J578" s="2561"/>
      <c r="K578" s="2561"/>
      <c r="L578" s="734"/>
    </row>
    <row r="579" spans="1:12" s="732" customFormat="1" ht="12.75" outlineLevel="1">
      <c r="A579" s="2569"/>
      <c r="B579" s="2572"/>
      <c r="C579" s="2527"/>
      <c r="D579" s="762">
        <v>2025</v>
      </c>
      <c r="E579" s="769">
        <f t="shared" si="32"/>
        <v>0</v>
      </c>
      <c r="F579" s="769">
        <v>0</v>
      </c>
      <c r="G579" s="769">
        <v>0</v>
      </c>
      <c r="H579" s="769">
        <v>0</v>
      </c>
      <c r="I579" s="769">
        <v>0</v>
      </c>
      <c r="J579" s="2562"/>
      <c r="K579" s="2562"/>
      <c r="L579" s="734"/>
    </row>
    <row r="580" spans="1:12" s="732" customFormat="1" ht="14.25" customHeight="1" outlineLevel="1">
      <c r="A580" s="2567" t="s">
        <v>2981</v>
      </c>
      <c r="B580" s="2570" t="s">
        <v>2954</v>
      </c>
      <c r="C580" s="2527" t="s">
        <v>3017</v>
      </c>
      <c r="D580" s="762" t="s">
        <v>8</v>
      </c>
      <c r="E580" s="769">
        <f t="shared" si="32"/>
        <v>17600</v>
      </c>
      <c r="F580" s="769">
        <f>SUM(F581:F585)</f>
        <v>17600</v>
      </c>
      <c r="G580" s="769">
        <f>SUM(G581:G585)</f>
        <v>0</v>
      </c>
      <c r="H580" s="769">
        <f>SUM(H581:H585)</f>
        <v>0</v>
      </c>
      <c r="I580" s="769">
        <f>SUM(I581:I585)</f>
        <v>0</v>
      </c>
      <c r="J580" s="2566" t="s">
        <v>3053</v>
      </c>
      <c r="K580" s="2566" t="s">
        <v>3052</v>
      </c>
      <c r="L580" s="734"/>
    </row>
    <row r="581" spans="1:12" s="732" customFormat="1" ht="12.75" customHeight="1" outlineLevel="1">
      <c r="A581" s="2568"/>
      <c r="B581" s="2571"/>
      <c r="C581" s="2527"/>
      <c r="D581" s="762">
        <v>2021</v>
      </c>
      <c r="E581" s="769">
        <f t="shared" si="32"/>
        <v>0</v>
      </c>
      <c r="F581" s="769">
        <v>0</v>
      </c>
      <c r="G581" s="769">
        <v>0</v>
      </c>
      <c r="H581" s="769">
        <v>0</v>
      </c>
      <c r="I581" s="769">
        <v>0</v>
      </c>
      <c r="J581" s="2561"/>
      <c r="K581" s="2561"/>
      <c r="L581" s="734"/>
    </row>
    <row r="582" spans="1:12" s="732" customFormat="1" ht="14.25" customHeight="1" outlineLevel="1">
      <c r="A582" s="2568"/>
      <c r="B582" s="2571"/>
      <c r="C582" s="2527"/>
      <c r="D582" s="762">
        <v>2022</v>
      </c>
      <c r="E582" s="769">
        <f t="shared" si="32"/>
        <v>4400</v>
      </c>
      <c r="F582" s="769">
        <v>4400</v>
      </c>
      <c r="G582" s="769">
        <v>0</v>
      </c>
      <c r="H582" s="769">
        <v>0</v>
      </c>
      <c r="I582" s="769">
        <v>0</v>
      </c>
      <c r="J582" s="2561"/>
      <c r="K582" s="2561"/>
      <c r="L582" s="734"/>
    </row>
    <row r="583" spans="1:12" s="732" customFormat="1" ht="14.25" customHeight="1" outlineLevel="1">
      <c r="A583" s="2568"/>
      <c r="B583" s="2571"/>
      <c r="C583" s="2527"/>
      <c r="D583" s="901">
        <v>2023</v>
      </c>
      <c r="E583" s="769">
        <f t="shared" si="32"/>
        <v>4400</v>
      </c>
      <c r="F583" s="769">
        <v>4400</v>
      </c>
      <c r="G583" s="769">
        <v>0</v>
      </c>
      <c r="H583" s="769">
        <v>0</v>
      </c>
      <c r="I583" s="769">
        <v>0</v>
      </c>
      <c r="J583" s="2561"/>
      <c r="K583" s="2561"/>
      <c r="L583" s="734"/>
    </row>
    <row r="584" spans="1:12" s="732" customFormat="1" ht="12" customHeight="1" outlineLevel="1">
      <c r="A584" s="2568"/>
      <c r="B584" s="2571"/>
      <c r="C584" s="2527"/>
      <c r="D584" s="762">
        <v>2024</v>
      </c>
      <c r="E584" s="769">
        <f t="shared" si="32"/>
        <v>4400</v>
      </c>
      <c r="F584" s="769">
        <v>4400</v>
      </c>
      <c r="G584" s="769">
        <v>0</v>
      </c>
      <c r="H584" s="769">
        <v>0</v>
      </c>
      <c r="I584" s="769">
        <v>0</v>
      </c>
      <c r="J584" s="2561"/>
      <c r="K584" s="2561"/>
      <c r="L584" s="734"/>
    </row>
    <row r="585" spans="1:12" s="732" customFormat="1" ht="15" customHeight="1" outlineLevel="1">
      <c r="A585" s="2569"/>
      <c r="B585" s="2572"/>
      <c r="C585" s="2527"/>
      <c r="D585" s="762">
        <v>2025</v>
      </c>
      <c r="E585" s="769">
        <f t="shared" si="32"/>
        <v>4400</v>
      </c>
      <c r="F585" s="769">
        <v>4400</v>
      </c>
      <c r="G585" s="769">
        <v>0</v>
      </c>
      <c r="H585" s="769">
        <v>0</v>
      </c>
      <c r="I585" s="769">
        <v>0</v>
      </c>
      <c r="J585" s="2562"/>
      <c r="K585" s="2562"/>
      <c r="L585" s="734"/>
    </row>
    <row r="586" spans="1:12" s="732" customFormat="1" ht="12.75" customHeight="1" outlineLevel="1">
      <c r="A586" s="2541" t="s">
        <v>2982</v>
      </c>
      <c r="B586" s="2544" t="s">
        <v>3051</v>
      </c>
      <c r="C586" s="2521">
        <v>2022</v>
      </c>
      <c r="D586" s="727" t="s">
        <v>8</v>
      </c>
      <c r="E586" s="736">
        <f t="shared" si="32"/>
        <v>65500</v>
      </c>
      <c r="F586" s="736">
        <f>SUM(F587:F591)</f>
        <v>62225</v>
      </c>
      <c r="G586" s="736">
        <f>SUM(G587:G591)</f>
        <v>0</v>
      </c>
      <c r="H586" s="736">
        <f>SUM(H587:H591)</f>
        <v>3275</v>
      </c>
      <c r="I586" s="736">
        <f>SUM(I587:I591)</f>
        <v>0</v>
      </c>
      <c r="J586" s="2548" t="s">
        <v>3050</v>
      </c>
      <c r="K586" s="2548" t="s">
        <v>2993</v>
      </c>
      <c r="L586" s="734"/>
    </row>
    <row r="587" spans="1:12" s="732" customFormat="1" ht="12.75" customHeight="1" outlineLevel="1">
      <c r="A587" s="2542"/>
      <c r="B587" s="2545"/>
      <c r="C587" s="2521"/>
      <c r="D587" s="727">
        <v>2021</v>
      </c>
      <c r="E587" s="736">
        <f t="shared" si="32"/>
        <v>0</v>
      </c>
      <c r="F587" s="736">
        <v>0</v>
      </c>
      <c r="G587" s="736">
        <v>0</v>
      </c>
      <c r="H587" s="736">
        <v>0</v>
      </c>
      <c r="I587" s="736">
        <v>0</v>
      </c>
      <c r="J587" s="2549"/>
      <c r="K587" s="2549"/>
      <c r="L587" s="734"/>
    </row>
    <row r="588" spans="1:12" s="732" customFormat="1" ht="12.75" customHeight="1" outlineLevel="1">
      <c r="A588" s="2542"/>
      <c r="B588" s="2545"/>
      <c r="C588" s="2521"/>
      <c r="D588" s="727">
        <v>2022</v>
      </c>
      <c r="E588" s="736">
        <f t="shared" si="32"/>
        <v>65500</v>
      </c>
      <c r="F588" s="736">
        <v>62225</v>
      </c>
      <c r="G588" s="736">
        <v>0</v>
      </c>
      <c r="H588" s="736">
        <v>3275</v>
      </c>
      <c r="I588" s="736">
        <v>0</v>
      </c>
      <c r="J588" s="2549"/>
      <c r="K588" s="2549"/>
      <c r="L588" s="734"/>
    </row>
    <row r="589" spans="1:12" s="732" customFormat="1" ht="12.75" customHeight="1" outlineLevel="1">
      <c r="A589" s="2542"/>
      <c r="B589" s="2545"/>
      <c r="C589" s="2521"/>
      <c r="D589" s="727">
        <v>2023</v>
      </c>
      <c r="E589" s="736">
        <f t="shared" si="32"/>
        <v>0</v>
      </c>
      <c r="F589" s="736">
        <v>0</v>
      </c>
      <c r="G589" s="736">
        <v>0</v>
      </c>
      <c r="H589" s="736">
        <v>0</v>
      </c>
      <c r="I589" s="736">
        <v>0</v>
      </c>
      <c r="J589" s="2549"/>
      <c r="K589" s="2549"/>
      <c r="L589" s="734"/>
    </row>
    <row r="590" spans="1:12" s="732" customFormat="1" ht="12.75" customHeight="1" outlineLevel="1">
      <c r="A590" s="2542"/>
      <c r="B590" s="2545"/>
      <c r="C590" s="2521"/>
      <c r="D590" s="727">
        <v>2024</v>
      </c>
      <c r="E590" s="736">
        <f t="shared" si="32"/>
        <v>0</v>
      </c>
      <c r="F590" s="736">
        <v>0</v>
      </c>
      <c r="G590" s="736">
        <v>0</v>
      </c>
      <c r="H590" s="736">
        <v>0</v>
      </c>
      <c r="I590" s="736">
        <v>0</v>
      </c>
      <c r="J590" s="2549"/>
      <c r="K590" s="2549"/>
      <c r="L590" s="734"/>
    </row>
    <row r="591" spans="1:12" s="732" customFormat="1" ht="12.75" customHeight="1" outlineLevel="1">
      <c r="A591" s="2543"/>
      <c r="B591" s="2518"/>
      <c r="C591" s="2521"/>
      <c r="D591" s="727">
        <v>2025</v>
      </c>
      <c r="E591" s="736">
        <f t="shared" si="32"/>
        <v>0</v>
      </c>
      <c r="F591" s="736">
        <v>0</v>
      </c>
      <c r="G591" s="736">
        <v>0</v>
      </c>
      <c r="H591" s="736">
        <v>0</v>
      </c>
      <c r="I591" s="736">
        <v>0</v>
      </c>
      <c r="J591" s="2522"/>
      <c r="K591" s="2522"/>
      <c r="L591" s="734"/>
    </row>
    <row r="592" spans="1:12" s="732" customFormat="1" ht="12.75" customHeight="1" outlineLevel="1">
      <c r="A592" s="2541" t="s">
        <v>2983</v>
      </c>
      <c r="B592" s="2544" t="s">
        <v>2955</v>
      </c>
      <c r="C592" s="2521">
        <v>2022</v>
      </c>
      <c r="D592" s="727" t="s">
        <v>8</v>
      </c>
      <c r="E592" s="736">
        <f t="shared" si="32"/>
        <v>3010.9325454545456</v>
      </c>
      <c r="F592" s="736">
        <f>SUM(F593:F597)</f>
        <v>2980.8232200000002</v>
      </c>
      <c r="G592" s="736">
        <f>SUM(G593:G597)</f>
        <v>0</v>
      </c>
      <c r="H592" s="736">
        <f>SUM(H593:H597)</f>
        <v>30.109325454545456</v>
      </c>
      <c r="I592" s="736">
        <f>SUM(I593:I597)</f>
        <v>0</v>
      </c>
      <c r="J592" s="2548" t="s">
        <v>3049</v>
      </c>
      <c r="K592" s="2548" t="s">
        <v>2993</v>
      </c>
      <c r="L592" s="734"/>
    </row>
    <row r="593" spans="1:12" s="732" customFormat="1" ht="12.75" customHeight="1" outlineLevel="1">
      <c r="A593" s="2542"/>
      <c r="B593" s="2545"/>
      <c r="C593" s="2521"/>
      <c r="D593" s="727">
        <v>2021</v>
      </c>
      <c r="E593" s="736">
        <f t="shared" si="32"/>
        <v>0</v>
      </c>
      <c r="F593" s="736"/>
      <c r="G593" s="736">
        <f t="shared" ref="G593:G624" si="33">SUM(G594:G598)</f>
        <v>0</v>
      </c>
      <c r="H593" s="736"/>
      <c r="I593" s="736">
        <f t="shared" ref="I593:I622" si="34">SUM(I594:I598)</f>
        <v>0</v>
      </c>
      <c r="J593" s="2549"/>
      <c r="K593" s="2549"/>
      <c r="L593" s="734"/>
    </row>
    <row r="594" spans="1:12" s="732" customFormat="1" ht="12.75" customHeight="1" outlineLevel="1">
      <c r="A594" s="2542"/>
      <c r="B594" s="2545"/>
      <c r="C594" s="2521"/>
      <c r="D594" s="727">
        <v>2022</v>
      </c>
      <c r="E594" s="736">
        <f t="shared" si="32"/>
        <v>3010.9325454545456</v>
      </c>
      <c r="F594" s="736">
        <v>2980.8232200000002</v>
      </c>
      <c r="G594" s="736">
        <f t="shared" si="33"/>
        <v>0</v>
      </c>
      <c r="H594" s="737">
        <f>F594/99*1</f>
        <v>30.109325454545456</v>
      </c>
      <c r="I594" s="736">
        <f t="shared" si="34"/>
        <v>0</v>
      </c>
      <c r="J594" s="2549"/>
      <c r="K594" s="2549"/>
      <c r="L594" s="734"/>
    </row>
    <row r="595" spans="1:12" s="732" customFormat="1" ht="12.75" customHeight="1" outlineLevel="1">
      <c r="A595" s="2542"/>
      <c r="B595" s="2545"/>
      <c r="C595" s="2521"/>
      <c r="D595" s="727">
        <v>2023</v>
      </c>
      <c r="E595" s="736">
        <f t="shared" si="32"/>
        <v>0</v>
      </c>
      <c r="F595" s="736"/>
      <c r="G595" s="736">
        <f t="shared" si="33"/>
        <v>0</v>
      </c>
      <c r="H595" s="736"/>
      <c r="I595" s="736">
        <f t="shared" si="34"/>
        <v>0</v>
      </c>
      <c r="J595" s="2549"/>
      <c r="K595" s="2549"/>
      <c r="L595" s="734"/>
    </row>
    <row r="596" spans="1:12" s="732" customFormat="1" ht="12.75" customHeight="1" outlineLevel="1">
      <c r="A596" s="2542"/>
      <c r="B596" s="2545"/>
      <c r="C596" s="2521"/>
      <c r="D596" s="727">
        <v>2024</v>
      </c>
      <c r="E596" s="736">
        <f t="shared" si="32"/>
        <v>0</v>
      </c>
      <c r="F596" s="736"/>
      <c r="G596" s="736">
        <f t="shared" si="33"/>
        <v>0</v>
      </c>
      <c r="H596" s="736"/>
      <c r="I596" s="736">
        <f t="shared" si="34"/>
        <v>0</v>
      </c>
      <c r="J596" s="2549"/>
      <c r="K596" s="2549"/>
      <c r="L596" s="734"/>
    </row>
    <row r="597" spans="1:12" s="732" customFormat="1" ht="12.75" customHeight="1" outlineLevel="1">
      <c r="A597" s="2543"/>
      <c r="B597" s="2518"/>
      <c r="C597" s="2521"/>
      <c r="D597" s="727">
        <v>2025</v>
      </c>
      <c r="E597" s="736">
        <f t="shared" si="32"/>
        <v>0</v>
      </c>
      <c r="F597" s="736"/>
      <c r="G597" s="736">
        <f t="shared" si="33"/>
        <v>0</v>
      </c>
      <c r="H597" s="736"/>
      <c r="I597" s="736">
        <f t="shared" si="34"/>
        <v>0</v>
      </c>
      <c r="J597" s="2522"/>
      <c r="K597" s="2522"/>
      <c r="L597" s="734"/>
    </row>
    <row r="598" spans="1:12" s="732" customFormat="1" ht="12.75" customHeight="1" outlineLevel="1">
      <c r="A598" s="2541" t="s">
        <v>2984</v>
      </c>
      <c r="B598" s="2544" t="s">
        <v>2956</v>
      </c>
      <c r="C598" s="2521">
        <v>2022</v>
      </c>
      <c r="D598" s="727" t="s">
        <v>8</v>
      </c>
      <c r="E598" s="736">
        <f t="shared" si="32"/>
        <v>9956.0763399999996</v>
      </c>
      <c r="F598" s="736">
        <f>SUM(F599:F603)</f>
        <v>9458.2733399999997</v>
      </c>
      <c r="G598" s="736">
        <f t="shared" si="33"/>
        <v>0</v>
      </c>
      <c r="H598" s="736">
        <f>SUM(H599:H603)</f>
        <v>497.803</v>
      </c>
      <c r="I598" s="736">
        <f t="shared" si="34"/>
        <v>0</v>
      </c>
      <c r="J598" s="2548" t="s">
        <v>3048</v>
      </c>
      <c r="K598" s="2548" t="s">
        <v>2993</v>
      </c>
      <c r="L598" s="734"/>
    </row>
    <row r="599" spans="1:12" s="732" customFormat="1" ht="12.75" customHeight="1" outlineLevel="1">
      <c r="A599" s="2542"/>
      <c r="B599" s="2545"/>
      <c r="C599" s="2521"/>
      <c r="D599" s="727">
        <v>2021</v>
      </c>
      <c r="E599" s="736">
        <f t="shared" si="32"/>
        <v>0</v>
      </c>
      <c r="F599" s="736">
        <v>0</v>
      </c>
      <c r="G599" s="736">
        <f t="shared" si="33"/>
        <v>0</v>
      </c>
      <c r="H599" s="736">
        <v>0</v>
      </c>
      <c r="I599" s="736">
        <f t="shared" si="34"/>
        <v>0</v>
      </c>
      <c r="J599" s="2549"/>
      <c r="K599" s="2549"/>
      <c r="L599" s="734"/>
    </row>
    <row r="600" spans="1:12" s="732" customFormat="1" ht="12.75" customHeight="1" outlineLevel="1">
      <c r="A600" s="2542"/>
      <c r="B600" s="2545"/>
      <c r="C600" s="2521"/>
      <c r="D600" s="727">
        <v>2022</v>
      </c>
      <c r="E600" s="736">
        <f t="shared" si="32"/>
        <v>9956.0763399999996</v>
      </c>
      <c r="F600" s="736">
        <v>9458.2733399999997</v>
      </c>
      <c r="G600" s="736">
        <f t="shared" si="33"/>
        <v>0</v>
      </c>
      <c r="H600" s="736">
        <v>497.803</v>
      </c>
      <c r="I600" s="736">
        <f t="shared" si="34"/>
        <v>0</v>
      </c>
      <c r="J600" s="2549"/>
      <c r="K600" s="2549"/>
      <c r="L600" s="734"/>
    </row>
    <row r="601" spans="1:12" s="732" customFormat="1" ht="12.75" customHeight="1" outlineLevel="1">
      <c r="A601" s="2542"/>
      <c r="B601" s="2545"/>
      <c r="C601" s="2521"/>
      <c r="D601" s="727">
        <v>2023</v>
      </c>
      <c r="E601" s="736">
        <f t="shared" si="32"/>
        <v>0</v>
      </c>
      <c r="F601" s="736">
        <v>0</v>
      </c>
      <c r="G601" s="736">
        <f t="shared" si="33"/>
        <v>0</v>
      </c>
      <c r="H601" s="736">
        <v>0</v>
      </c>
      <c r="I601" s="736">
        <f t="shared" si="34"/>
        <v>0</v>
      </c>
      <c r="J601" s="2549"/>
      <c r="K601" s="2549"/>
      <c r="L601" s="734"/>
    </row>
    <row r="602" spans="1:12" s="732" customFormat="1" ht="12.75" customHeight="1" outlineLevel="1">
      <c r="A602" s="2542"/>
      <c r="B602" s="2545"/>
      <c r="C602" s="2521"/>
      <c r="D602" s="727">
        <v>2024</v>
      </c>
      <c r="E602" s="736">
        <f t="shared" ref="E602:E665" si="35">SUM(F602:I602)</f>
        <v>0</v>
      </c>
      <c r="F602" s="736">
        <v>0</v>
      </c>
      <c r="G602" s="736">
        <f t="shared" si="33"/>
        <v>0</v>
      </c>
      <c r="H602" s="736">
        <v>0</v>
      </c>
      <c r="I602" s="736">
        <f t="shared" si="34"/>
        <v>0</v>
      </c>
      <c r="J602" s="2549"/>
      <c r="K602" s="2549"/>
      <c r="L602" s="734"/>
    </row>
    <row r="603" spans="1:12" s="732" customFormat="1" ht="12.75" customHeight="1" outlineLevel="1">
      <c r="A603" s="2543"/>
      <c r="B603" s="2518"/>
      <c r="C603" s="2521"/>
      <c r="D603" s="727">
        <v>2025</v>
      </c>
      <c r="E603" s="736">
        <f t="shared" si="35"/>
        <v>0</v>
      </c>
      <c r="F603" s="736">
        <v>0</v>
      </c>
      <c r="G603" s="736">
        <f t="shared" si="33"/>
        <v>0</v>
      </c>
      <c r="H603" s="736">
        <v>0</v>
      </c>
      <c r="I603" s="736">
        <f t="shared" si="34"/>
        <v>0</v>
      </c>
      <c r="J603" s="2522"/>
      <c r="K603" s="2522"/>
      <c r="L603" s="734"/>
    </row>
    <row r="604" spans="1:12" s="732" customFormat="1" ht="12.75" customHeight="1" outlineLevel="1">
      <c r="A604" s="2541" t="s">
        <v>603</v>
      </c>
      <c r="B604" s="2544" t="s">
        <v>2957</v>
      </c>
      <c r="C604" s="2521">
        <v>2022</v>
      </c>
      <c r="D604" s="727" t="s">
        <v>8</v>
      </c>
      <c r="E604" s="736">
        <f t="shared" si="35"/>
        <v>3320.7358421052631</v>
      </c>
      <c r="F604" s="736">
        <f>SUM(F605:F609)</f>
        <v>3154.6990500000002</v>
      </c>
      <c r="G604" s="736">
        <f t="shared" si="33"/>
        <v>0</v>
      </c>
      <c r="H604" s="736">
        <f>SUM(H605:H609)</f>
        <v>166.03679210526315</v>
      </c>
      <c r="I604" s="736">
        <f t="shared" si="34"/>
        <v>0</v>
      </c>
      <c r="J604" s="2548" t="s">
        <v>3047</v>
      </c>
      <c r="K604" s="2548" t="s">
        <v>2993</v>
      </c>
      <c r="L604" s="734"/>
    </row>
    <row r="605" spans="1:12" s="732" customFormat="1" ht="12.75" customHeight="1" outlineLevel="1">
      <c r="A605" s="2542"/>
      <c r="B605" s="2545"/>
      <c r="C605" s="2521"/>
      <c r="D605" s="727">
        <v>2021</v>
      </c>
      <c r="E605" s="736">
        <f t="shared" si="35"/>
        <v>0</v>
      </c>
      <c r="F605" s="736">
        <v>0</v>
      </c>
      <c r="G605" s="736">
        <f t="shared" si="33"/>
        <v>0</v>
      </c>
      <c r="H605" s="736">
        <v>0</v>
      </c>
      <c r="I605" s="736">
        <f t="shared" si="34"/>
        <v>0</v>
      </c>
      <c r="J605" s="2549"/>
      <c r="K605" s="2549"/>
      <c r="L605" s="734"/>
    </row>
    <row r="606" spans="1:12" s="732" customFormat="1" ht="12.75" customHeight="1" outlineLevel="1">
      <c r="A606" s="2542"/>
      <c r="B606" s="2545"/>
      <c r="C606" s="2521"/>
      <c r="D606" s="727">
        <v>2022</v>
      </c>
      <c r="E606" s="736">
        <f t="shared" si="35"/>
        <v>3320.7358421052631</v>
      </c>
      <c r="F606" s="736">
        <v>3154.6990500000002</v>
      </c>
      <c r="G606" s="736">
        <f t="shared" si="33"/>
        <v>0</v>
      </c>
      <c r="H606" s="737">
        <f>F606/95*5</f>
        <v>166.03679210526315</v>
      </c>
      <c r="I606" s="736">
        <f t="shared" si="34"/>
        <v>0</v>
      </c>
      <c r="J606" s="2549"/>
      <c r="K606" s="2549"/>
      <c r="L606" s="734"/>
    </row>
    <row r="607" spans="1:12" s="732" customFormat="1" ht="12.75" customHeight="1" outlineLevel="1">
      <c r="A607" s="2542"/>
      <c r="B607" s="2545"/>
      <c r="C607" s="2521"/>
      <c r="D607" s="727">
        <v>2023</v>
      </c>
      <c r="E607" s="736">
        <f t="shared" si="35"/>
        <v>0</v>
      </c>
      <c r="F607" s="736">
        <v>0</v>
      </c>
      <c r="G607" s="736">
        <f t="shared" si="33"/>
        <v>0</v>
      </c>
      <c r="H607" s="736">
        <v>0</v>
      </c>
      <c r="I607" s="736">
        <f t="shared" si="34"/>
        <v>0</v>
      </c>
      <c r="J607" s="2549"/>
      <c r="K607" s="2549"/>
      <c r="L607" s="734"/>
    </row>
    <row r="608" spans="1:12" s="732" customFormat="1" ht="12.75" customHeight="1" outlineLevel="1">
      <c r="A608" s="2542"/>
      <c r="B608" s="2545"/>
      <c r="C608" s="2521"/>
      <c r="D608" s="727">
        <v>2024</v>
      </c>
      <c r="E608" s="736">
        <f t="shared" si="35"/>
        <v>0</v>
      </c>
      <c r="F608" s="736">
        <v>0</v>
      </c>
      <c r="G608" s="736">
        <f t="shared" si="33"/>
        <v>0</v>
      </c>
      <c r="H608" s="736">
        <v>0</v>
      </c>
      <c r="I608" s="736">
        <f t="shared" si="34"/>
        <v>0</v>
      </c>
      <c r="J608" s="2549"/>
      <c r="K608" s="2549"/>
      <c r="L608" s="734"/>
    </row>
    <row r="609" spans="1:12" s="732" customFormat="1" ht="12.75" customHeight="1" outlineLevel="1">
      <c r="A609" s="2543"/>
      <c r="B609" s="2518"/>
      <c r="C609" s="2521"/>
      <c r="D609" s="727">
        <v>2025</v>
      </c>
      <c r="E609" s="736">
        <f t="shared" si="35"/>
        <v>0</v>
      </c>
      <c r="F609" s="736">
        <v>0</v>
      </c>
      <c r="G609" s="736">
        <f t="shared" si="33"/>
        <v>0</v>
      </c>
      <c r="H609" s="736">
        <v>0</v>
      </c>
      <c r="I609" s="736">
        <f t="shared" si="34"/>
        <v>0</v>
      </c>
      <c r="J609" s="2522"/>
      <c r="K609" s="2522"/>
      <c r="L609" s="734"/>
    </row>
    <row r="610" spans="1:12" s="732" customFormat="1" ht="12.75" customHeight="1" outlineLevel="1">
      <c r="A610" s="2541" t="s">
        <v>606</v>
      </c>
      <c r="B610" s="2544" t="s">
        <v>2958</v>
      </c>
      <c r="C610" s="2521">
        <v>2022</v>
      </c>
      <c r="D610" s="727" t="s">
        <v>8</v>
      </c>
      <c r="E610" s="736">
        <f t="shared" si="35"/>
        <v>17129.317905263157</v>
      </c>
      <c r="F610" s="736">
        <f>SUM(F611:F615)</f>
        <v>16272.852010000001</v>
      </c>
      <c r="G610" s="736">
        <f t="shared" si="33"/>
        <v>0</v>
      </c>
      <c r="H610" s="736">
        <f>SUM(H611:H615)</f>
        <v>856.4658952631579</v>
      </c>
      <c r="I610" s="736">
        <f t="shared" si="34"/>
        <v>0</v>
      </c>
      <c r="J610" s="2548" t="s">
        <v>3046</v>
      </c>
      <c r="K610" s="2548" t="s">
        <v>2993</v>
      </c>
      <c r="L610" s="734"/>
    </row>
    <row r="611" spans="1:12" s="732" customFormat="1" ht="12.75" customHeight="1" outlineLevel="1">
      <c r="A611" s="2542"/>
      <c r="B611" s="2545"/>
      <c r="C611" s="2521"/>
      <c r="D611" s="727">
        <v>2021</v>
      </c>
      <c r="E611" s="736">
        <f t="shared" si="35"/>
        <v>0</v>
      </c>
      <c r="F611" s="736">
        <v>0</v>
      </c>
      <c r="G611" s="736">
        <f t="shared" si="33"/>
        <v>0</v>
      </c>
      <c r="H611" s="736">
        <v>0</v>
      </c>
      <c r="I611" s="736">
        <f t="shared" si="34"/>
        <v>0</v>
      </c>
      <c r="J611" s="2549"/>
      <c r="K611" s="2549"/>
      <c r="L611" s="734"/>
    </row>
    <row r="612" spans="1:12" s="732" customFormat="1" ht="12.75" customHeight="1" outlineLevel="1">
      <c r="A612" s="2542"/>
      <c r="B612" s="2545"/>
      <c r="C612" s="2521"/>
      <c r="D612" s="727">
        <v>2022</v>
      </c>
      <c r="E612" s="736">
        <f t="shared" si="35"/>
        <v>17129.317905263157</v>
      </c>
      <c r="F612" s="736">
        <v>16272.852010000001</v>
      </c>
      <c r="G612" s="736">
        <f t="shared" si="33"/>
        <v>0</v>
      </c>
      <c r="H612" s="736">
        <f>F612/95*5</f>
        <v>856.4658952631579</v>
      </c>
      <c r="I612" s="736">
        <f t="shared" si="34"/>
        <v>0</v>
      </c>
      <c r="J612" s="2549"/>
      <c r="K612" s="2549"/>
      <c r="L612" s="734"/>
    </row>
    <row r="613" spans="1:12" s="732" customFormat="1" ht="12.75" customHeight="1" outlineLevel="1">
      <c r="A613" s="2542"/>
      <c r="B613" s="2545"/>
      <c r="C613" s="2521"/>
      <c r="D613" s="727">
        <v>2023</v>
      </c>
      <c r="E613" s="736">
        <f t="shared" si="35"/>
        <v>0</v>
      </c>
      <c r="F613" s="736">
        <v>0</v>
      </c>
      <c r="G613" s="736">
        <f t="shared" si="33"/>
        <v>0</v>
      </c>
      <c r="H613" s="736">
        <v>0</v>
      </c>
      <c r="I613" s="736">
        <f t="shared" si="34"/>
        <v>0</v>
      </c>
      <c r="J613" s="2549"/>
      <c r="K613" s="2549"/>
      <c r="L613" s="734"/>
    </row>
    <row r="614" spans="1:12" s="732" customFormat="1" ht="12.75" customHeight="1" outlineLevel="1">
      <c r="A614" s="2542"/>
      <c r="B614" s="2545"/>
      <c r="C614" s="2521"/>
      <c r="D614" s="727">
        <v>2024</v>
      </c>
      <c r="E614" s="736">
        <f t="shared" si="35"/>
        <v>0</v>
      </c>
      <c r="F614" s="736">
        <v>0</v>
      </c>
      <c r="G614" s="736">
        <f t="shared" si="33"/>
        <v>0</v>
      </c>
      <c r="H614" s="736">
        <v>0</v>
      </c>
      <c r="I614" s="736">
        <f t="shared" si="34"/>
        <v>0</v>
      </c>
      <c r="J614" s="2549"/>
      <c r="K614" s="2549"/>
      <c r="L614" s="734"/>
    </row>
    <row r="615" spans="1:12" s="732" customFormat="1" ht="12.75" customHeight="1" outlineLevel="1">
      <c r="A615" s="2543"/>
      <c r="B615" s="2518"/>
      <c r="C615" s="2521"/>
      <c r="D615" s="727">
        <v>2025</v>
      </c>
      <c r="E615" s="736">
        <f t="shared" si="35"/>
        <v>0</v>
      </c>
      <c r="F615" s="736">
        <v>0</v>
      </c>
      <c r="G615" s="736">
        <f t="shared" si="33"/>
        <v>0</v>
      </c>
      <c r="H615" s="736">
        <v>0</v>
      </c>
      <c r="I615" s="736">
        <f t="shared" si="34"/>
        <v>0</v>
      </c>
      <c r="J615" s="2522"/>
      <c r="K615" s="2522"/>
      <c r="L615" s="734"/>
    </row>
    <row r="616" spans="1:12" s="732" customFormat="1" ht="12.75" customHeight="1" outlineLevel="1">
      <c r="A616" s="2541" t="s">
        <v>609</v>
      </c>
      <c r="B616" s="2544" t="s">
        <v>2959</v>
      </c>
      <c r="C616" s="2521">
        <v>2022</v>
      </c>
      <c r="D616" s="727" t="s">
        <v>8</v>
      </c>
      <c r="E616" s="736">
        <f t="shared" si="35"/>
        <v>5286.9536799999996</v>
      </c>
      <c r="F616" s="736">
        <f>SUM(F617:F621)</f>
        <v>5022.6066799999999</v>
      </c>
      <c r="G616" s="736">
        <f t="shared" si="33"/>
        <v>0</v>
      </c>
      <c r="H616" s="736">
        <f>SUM(H617:H621)</f>
        <v>264.34699999999998</v>
      </c>
      <c r="I616" s="736">
        <f t="shared" si="34"/>
        <v>0</v>
      </c>
      <c r="J616" s="2548" t="s">
        <v>3045</v>
      </c>
      <c r="K616" s="2548" t="s">
        <v>2993</v>
      </c>
      <c r="L616" s="734"/>
    </row>
    <row r="617" spans="1:12" s="732" customFormat="1" ht="12.75" customHeight="1" outlineLevel="1">
      <c r="A617" s="2542"/>
      <c r="B617" s="2545"/>
      <c r="C617" s="2521"/>
      <c r="D617" s="727">
        <v>2021</v>
      </c>
      <c r="E617" s="736">
        <f t="shared" si="35"/>
        <v>0</v>
      </c>
      <c r="F617" s="736">
        <v>0</v>
      </c>
      <c r="G617" s="736">
        <f t="shared" si="33"/>
        <v>0</v>
      </c>
      <c r="H617" s="736">
        <v>0</v>
      </c>
      <c r="I617" s="736">
        <f t="shared" si="34"/>
        <v>0</v>
      </c>
      <c r="J617" s="2549"/>
      <c r="K617" s="2549"/>
      <c r="L617" s="734"/>
    </row>
    <row r="618" spans="1:12" s="732" customFormat="1" ht="12.75" customHeight="1" outlineLevel="1">
      <c r="A618" s="2542"/>
      <c r="B618" s="2545"/>
      <c r="C618" s="2521"/>
      <c r="D618" s="727">
        <v>2022</v>
      </c>
      <c r="E618" s="736">
        <f t="shared" si="35"/>
        <v>5286.9536799999996</v>
      </c>
      <c r="F618" s="736">
        <v>5022.6066799999999</v>
      </c>
      <c r="G618" s="736">
        <f t="shared" si="33"/>
        <v>0</v>
      </c>
      <c r="H618" s="736">
        <v>264.34699999999998</v>
      </c>
      <c r="I618" s="736">
        <f t="shared" si="34"/>
        <v>0</v>
      </c>
      <c r="J618" s="2549"/>
      <c r="K618" s="2549"/>
      <c r="L618" s="734"/>
    </row>
    <row r="619" spans="1:12" s="732" customFormat="1" ht="12.75" customHeight="1" outlineLevel="1">
      <c r="A619" s="2542"/>
      <c r="B619" s="2545"/>
      <c r="C619" s="2521"/>
      <c r="D619" s="727">
        <v>2023</v>
      </c>
      <c r="E619" s="736">
        <f t="shared" si="35"/>
        <v>0</v>
      </c>
      <c r="F619" s="736">
        <v>0</v>
      </c>
      <c r="G619" s="736">
        <f t="shared" si="33"/>
        <v>0</v>
      </c>
      <c r="H619" s="736">
        <v>0</v>
      </c>
      <c r="I619" s="736">
        <f t="shared" si="34"/>
        <v>0</v>
      </c>
      <c r="J619" s="2549"/>
      <c r="K619" s="2549"/>
      <c r="L619" s="734"/>
    </row>
    <row r="620" spans="1:12" s="732" customFormat="1" ht="12.75" customHeight="1" outlineLevel="1">
      <c r="A620" s="2542"/>
      <c r="B620" s="2545"/>
      <c r="C620" s="2521"/>
      <c r="D620" s="727">
        <v>2024</v>
      </c>
      <c r="E620" s="736">
        <f t="shared" si="35"/>
        <v>0</v>
      </c>
      <c r="F620" s="736">
        <v>0</v>
      </c>
      <c r="G620" s="736">
        <f t="shared" si="33"/>
        <v>0</v>
      </c>
      <c r="H620" s="736">
        <v>0</v>
      </c>
      <c r="I620" s="736">
        <f t="shared" si="34"/>
        <v>0</v>
      </c>
      <c r="J620" s="2549"/>
      <c r="K620" s="2549"/>
      <c r="L620" s="734"/>
    </row>
    <row r="621" spans="1:12" s="732" customFormat="1" ht="12.75" customHeight="1" outlineLevel="1">
      <c r="A621" s="2543"/>
      <c r="B621" s="2518"/>
      <c r="C621" s="2521"/>
      <c r="D621" s="727">
        <v>2025</v>
      </c>
      <c r="E621" s="736">
        <f t="shared" si="35"/>
        <v>0</v>
      </c>
      <c r="F621" s="736">
        <v>0</v>
      </c>
      <c r="G621" s="736">
        <f t="shared" si="33"/>
        <v>0</v>
      </c>
      <c r="H621" s="736">
        <v>0</v>
      </c>
      <c r="I621" s="736">
        <f t="shared" si="34"/>
        <v>0</v>
      </c>
      <c r="J621" s="2522"/>
      <c r="K621" s="2522"/>
      <c r="L621" s="734"/>
    </row>
    <row r="622" spans="1:12" s="732" customFormat="1" ht="12.75" customHeight="1" outlineLevel="1">
      <c r="A622" s="2541" t="s">
        <v>611</v>
      </c>
      <c r="B622" s="2544" t="s">
        <v>2960</v>
      </c>
      <c r="C622" s="2521">
        <v>2022</v>
      </c>
      <c r="D622" s="727" t="s">
        <v>8</v>
      </c>
      <c r="E622" s="736">
        <f t="shared" si="35"/>
        <v>2973.9789052631577</v>
      </c>
      <c r="F622" s="736">
        <f>SUM(F623:F627)</f>
        <v>2825.2799599999998</v>
      </c>
      <c r="G622" s="736">
        <f t="shared" si="33"/>
        <v>0</v>
      </c>
      <c r="H622" s="736">
        <f>SUM(H623:H627)</f>
        <v>148.69894526315787</v>
      </c>
      <c r="I622" s="736">
        <f t="shared" si="34"/>
        <v>0</v>
      </c>
      <c r="J622" s="2548" t="s">
        <v>3044</v>
      </c>
      <c r="K622" s="2548" t="s">
        <v>2993</v>
      </c>
      <c r="L622" s="734"/>
    </row>
    <row r="623" spans="1:12" s="732" customFormat="1" ht="12.75" customHeight="1" outlineLevel="1">
      <c r="A623" s="2542"/>
      <c r="B623" s="2545"/>
      <c r="C623" s="2521"/>
      <c r="D623" s="727">
        <v>2021</v>
      </c>
      <c r="E623" s="736">
        <f t="shared" si="35"/>
        <v>0</v>
      </c>
      <c r="F623" s="736">
        <v>0</v>
      </c>
      <c r="G623" s="736">
        <f t="shared" si="33"/>
        <v>0</v>
      </c>
      <c r="H623" s="736">
        <v>0</v>
      </c>
      <c r="I623" s="736">
        <v>0</v>
      </c>
      <c r="J623" s="2549"/>
      <c r="K623" s="2549"/>
      <c r="L623" s="734"/>
    </row>
    <row r="624" spans="1:12" s="732" customFormat="1" ht="12.75" customHeight="1" outlineLevel="1">
      <c r="A624" s="2542"/>
      <c r="B624" s="2545"/>
      <c r="C624" s="2521"/>
      <c r="D624" s="727">
        <v>2022</v>
      </c>
      <c r="E624" s="736">
        <f t="shared" si="35"/>
        <v>2973.9789052631577</v>
      </c>
      <c r="F624" s="736">
        <v>2825.2799599999998</v>
      </c>
      <c r="G624" s="736">
        <f t="shared" si="33"/>
        <v>0</v>
      </c>
      <c r="H624" s="736">
        <f>F624/95*5</f>
        <v>148.69894526315787</v>
      </c>
      <c r="I624" s="736">
        <v>0</v>
      </c>
      <c r="J624" s="2549"/>
      <c r="K624" s="2549"/>
      <c r="L624" s="734"/>
    </row>
    <row r="625" spans="1:12" s="732" customFormat="1" ht="12.75" customHeight="1" outlineLevel="1">
      <c r="A625" s="2542"/>
      <c r="B625" s="2545"/>
      <c r="C625" s="2521"/>
      <c r="D625" s="727">
        <v>2023</v>
      </c>
      <c r="E625" s="736">
        <f t="shared" si="35"/>
        <v>0</v>
      </c>
      <c r="F625" s="736">
        <v>0</v>
      </c>
      <c r="G625" s="736">
        <v>0</v>
      </c>
      <c r="H625" s="736">
        <v>0</v>
      </c>
      <c r="I625" s="736">
        <v>0</v>
      </c>
      <c r="J625" s="2549"/>
      <c r="K625" s="2549"/>
      <c r="L625" s="734"/>
    </row>
    <row r="626" spans="1:12" s="732" customFormat="1" ht="12.75" customHeight="1" outlineLevel="1">
      <c r="A626" s="2542"/>
      <c r="B626" s="2545"/>
      <c r="C626" s="2521"/>
      <c r="D626" s="727">
        <v>2024</v>
      </c>
      <c r="E626" s="736">
        <f t="shared" si="35"/>
        <v>0</v>
      </c>
      <c r="F626" s="736">
        <v>0</v>
      </c>
      <c r="G626" s="736">
        <v>0</v>
      </c>
      <c r="H626" s="736">
        <v>0</v>
      </c>
      <c r="I626" s="736">
        <v>0</v>
      </c>
      <c r="J626" s="2549"/>
      <c r="K626" s="2549"/>
      <c r="L626" s="734"/>
    </row>
    <row r="627" spans="1:12" s="732" customFormat="1" ht="12.75" customHeight="1" outlineLevel="1">
      <c r="A627" s="2543"/>
      <c r="B627" s="2518"/>
      <c r="C627" s="2521"/>
      <c r="D627" s="727">
        <v>2025</v>
      </c>
      <c r="E627" s="736">
        <f t="shared" si="35"/>
        <v>0</v>
      </c>
      <c r="F627" s="736">
        <v>0</v>
      </c>
      <c r="G627" s="736">
        <v>0</v>
      </c>
      <c r="H627" s="736">
        <v>0</v>
      </c>
      <c r="I627" s="736">
        <v>0</v>
      </c>
      <c r="J627" s="2522"/>
      <c r="K627" s="2522"/>
      <c r="L627" s="734"/>
    </row>
    <row r="628" spans="1:12" s="732" customFormat="1" ht="12.75" customHeight="1" outlineLevel="1">
      <c r="A628" s="2567" t="s">
        <v>613</v>
      </c>
      <c r="B628" s="2570" t="s">
        <v>2961</v>
      </c>
      <c r="C628" s="2527" t="s">
        <v>3042</v>
      </c>
      <c r="D628" s="762" t="s">
        <v>8</v>
      </c>
      <c r="E628" s="769">
        <f t="shared" si="35"/>
        <v>26151.575000000001</v>
      </c>
      <c r="F628" s="769">
        <f>SUM(F629:F633)</f>
        <v>24843.99625</v>
      </c>
      <c r="G628" s="769">
        <f>SUM(G629:G633)</f>
        <v>0</v>
      </c>
      <c r="H628" s="769">
        <f>SUM(H629:H633)</f>
        <v>1307.5787500000001</v>
      </c>
      <c r="I628" s="769">
        <f>SUM(I629:I633)</f>
        <v>0</v>
      </c>
      <c r="J628" s="2566" t="s">
        <v>3043</v>
      </c>
      <c r="K628" s="2566" t="s">
        <v>2993</v>
      </c>
      <c r="L628" s="734"/>
    </row>
    <row r="629" spans="1:12" s="732" customFormat="1" ht="12.75" customHeight="1" outlineLevel="1">
      <c r="A629" s="2568"/>
      <c r="B629" s="2571"/>
      <c r="C629" s="2527"/>
      <c r="D629" s="762">
        <v>2021</v>
      </c>
      <c r="E629" s="769">
        <f t="shared" si="35"/>
        <v>0</v>
      </c>
      <c r="F629" s="769">
        <v>0</v>
      </c>
      <c r="G629" s="769">
        <v>0</v>
      </c>
      <c r="H629" s="769">
        <v>0</v>
      </c>
      <c r="I629" s="769">
        <f>SUM(I630:I633)</f>
        <v>0</v>
      </c>
      <c r="J629" s="2561"/>
      <c r="K629" s="2561"/>
      <c r="L629" s="734"/>
    </row>
    <row r="630" spans="1:12" s="732" customFormat="1" ht="12.75" customHeight="1" outlineLevel="1">
      <c r="A630" s="2568"/>
      <c r="B630" s="2571"/>
      <c r="C630" s="2527"/>
      <c r="D630" s="762">
        <v>2022</v>
      </c>
      <c r="E630" s="769">
        <f t="shared" si="35"/>
        <v>16151.575000000001</v>
      </c>
      <c r="F630" s="769">
        <v>15343.99625</v>
      </c>
      <c r="G630" s="769">
        <v>0</v>
      </c>
      <c r="H630" s="769">
        <f>F630*5/95</f>
        <v>807.57875000000001</v>
      </c>
      <c r="I630" s="769">
        <f>SUM(I631:I633)</f>
        <v>0</v>
      </c>
      <c r="J630" s="2561"/>
      <c r="K630" s="2561"/>
      <c r="L630" s="734"/>
    </row>
    <row r="631" spans="1:12" s="732" customFormat="1" ht="12.75" customHeight="1" outlineLevel="1">
      <c r="A631" s="2568"/>
      <c r="B631" s="2571"/>
      <c r="C631" s="2527"/>
      <c r="D631" s="808">
        <v>2023</v>
      </c>
      <c r="E631" s="818">
        <f t="shared" si="35"/>
        <v>10000</v>
      </c>
      <c r="F631" s="818">
        <v>9500</v>
      </c>
      <c r="G631" s="818">
        <v>0</v>
      </c>
      <c r="H631" s="818">
        <v>500</v>
      </c>
      <c r="I631" s="818">
        <f>SUM(I632:I633)</f>
        <v>0</v>
      </c>
      <c r="J631" s="2561"/>
      <c r="K631" s="2561"/>
      <c r="L631" s="734"/>
    </row>
    <row r="632" spans="1:12" s="732" customFormat="1" ht="12.75" customHeight="1" outlineLevel="1">
      <c r="A632" s="2568"/>
      <c r="B632" s="2571"/>
      <c r="C632" s="2527"/>
      <c r="D632" s="762">
        <v>2024</v>
      </c>
      <c r="E632" s="769">
        <f t="shared" si="35"/>
        <v>0</v>
      </c>
      <c r="F632" s="769">
        <v>0</v>
      </c>
      <c r="G632" s="769">
        <v>0</v>
      </c>
      <c r="H632" s="769">
        <v>0</v>
      </c>
      <c r="I632" s="769">
        <v>0</v>
      </c>
      <c r="J632" s="2561"/>
      <c r="K632" s="2561"/>
      <c r="L632" s="734"/>
    </row>
    <row r="633" spans="1:12" s="732" customFormat="1" ht="12.75" customHeight="1" outlineLevel="1">
      <c r="A633" s="2569"/>
      <c r="B633" s="2572"/>
      <c r="C633" s="2527"/>
      <c r="D633" s="762">
        <v>2025</v>
      </c>
      <c r="E633" s="769">
        <f t="shared" si="35"/>
        <v>0</v>
      </c>
      <c r="F633" s="769">
        <v>0</v>
      </c>
      <c r="G633" s="769">
        <v>0</v>
      </c>
      <c r="H633" s="769">
        <v>0</v>
      </c>
      <c r="I633" s="769">
        <v>0</v>
      </c>
      <c r="J633" s="2562"/>
      <c r="K633" s="2562"/>
      <c r="L633" s="734"/>
    </row>
    <row r="634" spans="1:12" s="732" customFormat="1" ht="12.75" customHeight="1" outlineLevel="1">
      <c r="A634" s="2541" t="s">
        <v>615</v>
      </c>
      <c r="B634" s="2519" t="s">
        <v>2962</v>
      </c>
      <c r="C634" s="2521" t="s">
        <v>3042</v>
      </c>
      <c r="D634" s="727" t="s">
        <v>8</v>
      </c>
      <c r="E634" s="736">
        <f t="shared" si="35"/>
        <v>11287.552299999999</v>
      </c>
      <c r="F634" s="736">
        <f>SUM(F635:F639)</f>
        <v>11287.552299999999</v>
      </c>
      <c r="G634" s="736">
        <f>SUM(G635:G639)</f>
        <v>0</v>
      </c>
      <c r="H634" s="736">
        <f>SUM(H635:H639)</f>
        <v>0</v>
      </c>
      <c r="I634" s="736">
        <f>SUM(I635:I639)</f>
        <v>0</v>
      </c>
      <c r="J634" s="2523" t="s">
        <v>3041</v>
      </c>
      <c r="K634" s="2548" t="s">
        <v>3040</v>
      </c>
      <c r="L634" s="734"/>
    </row>
    <row r="635" spans="1:12" s="732" customFormat="1" ht="12.75" customHeight="1" outlineLevel="1">
      <c r="A635" s="2542"/>
      <c r="B635" s="2519"/>
      <c r="C635" s="2521"/>
      <c r="D635" s="727">
        <v>2021</v>
      </c>
      <c r="E635" s="736">
        <f t="shared" si="35"/>
        <v>0</v>
      </c>
      <c r="F635" s="736">
        <v>0</v>
      </c>
      <c r="G635" s="736">
        <v>0</v>
      </c>
      <c r="H635" s="736">
        <v>0</v>
      </c>
      <c r="I635" s="736">
        <v>0</v>
      </c>
      <c r="J635" s="2523"/>
      <c r="K635" s="2549"/>
      <c r="L635" s="734"/>
    </row>
    <row r="636" spans="1:12" s="732" customFormat="1" ht="12.75" customHeight="1" outlineLevel="1">
      <c r="A636" s="2542"/>
      <c r="B636" s="2519"/>
      <c r="C636" s="2521"/>
      <c r="D636" s="727">
        <v>2022</v>
      </c>
      <c r="E636" s="736">
        <f t="shared" si="35"/>
        <v>11287.552299999999</v>
      </c>
      <c r="F636" s="736">
        <v>11287.552299999999</v>
      </c>
      <c r="G636" s="736">
        <v>0</v>
      </c>
      <c r="H636" s="736">
        <v>0</v>
      </c>
      <c r="I636" s="736">
        <v>0</v>
      </c>
      <c r="J636" s="2523"/>
      <c r="K636" s="2549"/>
      <c r="L636" s="734"/>
    </row>
    <row r="637" spans="1:12" s="732" customFormat="1" ht="12.75" customHeight="1" outlineLevel="1">
      <c r="A637" s="2542"/>
      <c r="B637" s="2519"/>
      <c r="C637" s="2521"/>
      <c r="D637" s="727">
        <v>2023</v>
      </c>
      <c r="E637" s="736">
        <f t="shared" si="35"/>
        <v>0</v>
      </c>
      <c r="F637" s="736">
        <v>0</v>
      </c>
      <c r="G637" s="736">
        <v>0</v>
      </c>
      <c r="H637" s="736">
        <v>0</v>
      </c>
      <c r="I637" s="736">
        <v>0</v>
      </c>
      <c r="J637" s="2523"/>
      <c r="K637" s="2549"/>
      <c r="L637" s="734"/>
    </row>
    <row r="638" spans="1:12" s="732" customFormat="1" ht="12.75" customHeight="1" outlineLevel="1">
      <c r="A638" s="2542"/>
      <c r="B638" s="2519"/>
      <c r="C638" s="2521"/>
      <c r="D638" s="727">
        <v>2024</v>
      </c>
      <c r="E638" s="736">
        <f t="shared" si="35"/>
        <v>0</v>
      </c>
      <c r="F638" s="736">
        <v>0</v>
      </c>
      <c r="G638" s="736">
        <v>0</v>
      </c>
      <c r="H638" s="736">
        <v>0</v>
      </c>
      <c r="I638" s="736">
        <v>0</v>
      </c>
      <c r="J638" s="2523"/>
      <c r="K638" s="2549"/>
      <c r="L638" s="734"/>
    </row>
    <row r="639" spans="1:12" s="732" customFormat="1" ht="12.75" customHeight="1" outlineLevel="1">
      <c r="A639" s="2543"/>
      <c r="B639" s="2519"/>
      <c r="C639" s="2521"/>
      <c r="D639" s="727">
        <v>2025</v>
      </c>
      <c r="E639" s="736">
        <f t="shared" si="35"/>
        <v>0</v>
      </c>
      <c r="F639" s="736">
        <v>0</v>
      </c>
      <c r="G639" s="736">
        <v>0</v>
      </c>
      <c r="H639" s="736">
        <v>0</v>
      </c>
      <c r="I639" s="736">
        <v>0</v>
      </c>
      <c r="J639" s="2523"/>
      <c r="K639" s="2522"/>
      <c r="L639" s="734"/>
    </row>
    <row r="640" spans="1:12" s="732" customFormat="1" ht="12.75" customHeight="1" outlineLevel="1">
      <c r="A640" s="2541" t="s">
        <v>3039</v>
      </c>
      <c r="B640" s="2544" t="s">
        <v>3038</v>
      </c>
      <c r="C640" s="2521">
        <v>2022</v>
      </c>
      <c r="D640" s="727" t="s">
        <v>8</v>
      </c>
      <c r="E640" s="736">
        <f t="shared" si="35"/>
        <v>2900</v>
      </c>
      <c r="F640" s="736">
        <f>SUM(F641:F645)</f>
        <v>2900</v>
      </c>
      <c r="G640" s="736">
        <f>SUM(G641:G645)</f>
        <v>0</v>
      </c>
      <c r="H640" s="736">
        <f>SUM(H641:H645)</f>
        <v>0</v>
      </c>
      <c r="I640" s="736">
        <f>SUM(I641:I645)</f>
        <v>0</v>
      </c>
      <c r="J640" s="2548" t="s">
        <v>3037</v>
      </c>
      <c r="K640" s="2548" t="s">
        <v>3034</v>
      </c>
      <c r="L640" s="734"/>
    </row>
    <row r="641" spans="1:12" s="732" customFormat="1" ht="12.75" customHeight="1" outlineLevel="1">
      <c r="A641" s="2542"/>
      <c r="B641" s="2545"/>
      <c r="C641" s="2521"/>
      <c r="D641" s="727">
        <v>2021</v>
      </c>
      <c r="E641" s="736">
        <f t="shared" si="35"/>
        <v>0</v>
      </c>
      <c r="F641" s="736">
        <v>0</v>
      </c>
      <c r="G641" s="736">
        <v>0</v>
      </c>
      <c r="H641" s="736">
        <v>0</v>
      </c>
      <c r="I641" s="736">
        <v>0</v>
      </c>
      <c r="J641" s="2549"/>
      <c r="K641" s="2549"/>
      <c r="L641" s="734"/>
    </row>
    <row r="642" spans="1:12" s="732" customFormat="1" ht="12.75" customHeight="1" outlineLevel="1">
      <c r="A642" s="2542"/>
      <c r="B642" s="2545"/>
      <c r="C642" s="2521"/>
      <c r="D642" s="727">
        <v>2022</v>
      </c>
      <c r="E642" s="736">
        <f t="shared" si="35"/>
        <v>2900</v>
      </c>
      <c r="F642" s="736">
        <v>2900</v>
      </c>
      <c r="G642" s="736">
        <v>0</v>
      </c>
      <c r="H642" s="736">
        <v>0</v>
      </c>
      <c r="I642" s="736">
        <v>0</v>
      </c>
      <c r="J642" s="2549"/>
      <c r="K642" s="2549"/>
      <c r="L642" s="734"/>
    </row>
    <row r="643" spans="1:12" s="732" customFormat="1" ht="12.75" customHeight="1" outlineLevel="1">
      <c r="A643" s="2542"/>
      <c r="B643" s="2545"/>
      <c r="C643" s="2521"/>
      <c r="D643" s="727">
        <v>2023</v>
      </c>
      <c r="E643" s="736">
        <f t="shared" si="35"/>
        <v>0</v>
      </c>
      <c r="F643" s="736">
        <v>0</v>
      </c>
      <c r="G643" s="736">
        <v>0</v>
      </c>
      <c r="H643" s="736">
        <v>0</v>
      </c>
      <c r="I643" s="736">
        <v>0</v>
      </c>
      <c r="J643" s="2549"/>
      <c r="K643" s="2549"/>
      <c r="L643" s="734"/>
    </row>
    <row r="644" spans="1:12" s="732" customFormat="1" ht="12.75" customHeight="1" outlineLevel="1">
      <c r="A644" s="2542"/>
      <c r="B644" s="2545"/>
      <c r="C644" s="2521"/>
      <c r="D644" s="727">
        <v>2024</v>
      </c>
      <c r="E644" s="736">
        <f t="shared" si="35"/>
        <v>0</v>
      </c>
      <c r="F644" s="736">
        <v>0</v>
      </c>
      <c r="G644" s="736">
        <v>0</v>
      </c>
      <c r="H644" s="736">
        <v>0</v>
      </c>
      <c r="I644" s="736">
        <v>0</v>
      </c>
      <c r="J644" s="2549"/>
      <c r="K644" s="2549"/>
      <c r="L644" s="734"/>
    </row>
    <row r="645" spans="1:12" s="732" customFormat="1" ht="12.75" customHeight="1" outlineLevel="1">
      <c r="A645" s="2543"/>
      <c r="B645" s="2518"/>
      <c r="C645" s="2521"/>
      <c r="D645" s="727">
        <v>2025</v>
      </c>
      <c r="E645" s="736">
        <f t="shared" si="35"/>
        <v>0</v>
      </c>
      <c r="F645" s="736">
        <v>0</v>
      </c>
      <c r="G645" s="736">
        <v>0</v>
      </c>
      <c r="H645" s="736">
        <v>0</v>
      </c>
      <c r="I645" s="736">
        <v>0</v>
      </c>
      <c r="J645" s="2522"/>
      <c r="K645" s="2522"/>
      <c r="L645" s="734"/>
    </row>
    <row r="646" spans="1:12" s="732" customFormat="1" ht="12.75" customHeight="1" outlineLevel="1">
      <c r="A646" s="2541" t="s">
        <v>3036</v>
      </c>
      <c r="B646" s="2544" t="s">
        <v>2963</v>
      </c>
      <c r="C646" s="2521">
        <v>2022</v>
      </c>
      <c r="D646" s="727" t="s">
        <v>8</v>
      </c>
      <c r="E646" s="736">
        <f t="shared" si="35"/>
        <v>0</v>
      </c>
      <c r="F646" s="736">
        <f>SUM(F647:F651)</f>
        <v>0</v>
      </c>
      <c r="G646" s="736">
        <f>SUM(G647:G651)</f>
        <v>0</v>
      </c>
      <c r="H646" s="736">
        <f>SUM(H647:H651)</f>
        <v>0</v>
      </c>
      <c r="I646" s="736">
        <f>SUM(I647:I651)</f>
        <v>0</v>
      </c>
      <c r="J646" s="2548" t="s">
        <v>3035</v>
      </c>
      <c r="K646" s="2548" t="s">
        <v>3034</v>
      </c>
      <c r="L646" s="734"/>
    </row>
    <row r="647" spans="1:12" s="732" customFormat="1" ht="12.75" customHeight="1" outlineLevel="1">
      <c r="A647" s="2542"/>
      <c r="B647" s="2545"/>
      <c r="C647" s="2521"/>
      <c r="D647" s="727">
        <v>2021</v>
      </c>
      <c r="E647" s="736">
        <f t="shared" si="35"/>
        <v>0</v>
      </c>
      <c r="F647" s="736">
        <v>0</v>
      </c>
      <c r="G647" s="736">
        <v>0</v>
      </c>
      <c r="H647" s="736">
        <v>0</v>
      </c>
      <c r="I647" s="736">
        <v>0</v>
      </c>
      <c r="J647" s="2549"/>
      <c r="K647" s="2549"/>
      <c r="L647" s="734"/>
    </row>
    <row r="648" spans="1:12" s="732" customFormat="1" ht="12.75" customHeight="1" outlineLevel="1">
      <c r="A648" s="2542"/>
      <c r="B648" s="2545"/>
      <c r="C648" s="2521"/>
      <c r="D648" s="727">
        <v>2022</v>
      </c>
      <c r="E648" s="736">
        <f t="shared" si="35"/>
        <v>0</v>
      </c>
      <c r="F648" s="736">
        <v>0</v>
      </c>
      <c r="G648" s="736">
        <v>0</v>
      </c>
      <c r="H648" s="736">
        <v>0</v>
      </c>
      <c r="I648" s="736">
        <v>0</v>
      </c>
      <c r="J648" s="2549"/>
      <c r="K648" s="2549"/>
      <c r="L648" s="734"/>
    </row>
    <row r="649" spans="1:12" s="732" customFormat="1" ht="12.75" customHeight="1" outlineLevel="1">
      <c r="A649" s="2542"/>
      <c r="B649" s="2545"/>
      <c r="C649" s="2521"/>
      <c r="D649" s="727">
        <v>2023</v>
      </c>
      <c r="E649" s="736">
        <f t="shared" si="35"/>
        <v>0</v>
      </c>
      <c r="F649" s="736">
        <v>0</v>
      </c>
      <c r="G649" s="736">
        <v>0</v>
      </c>
      <c r="H649" s="736">
        <v>0</v>
      </c>
      <c r="I649" s="736">
        <v>0</v>
      </c>
      <c r="J649" s="2549"/>
      <c r="K649" s="2549"/>
      <c r="L649" s="734"/>
    </row>
    <row r="650" spans="1:12" s="732" customFormat="1" ht="12.75" customHeight="1" outlineLevel="1">
      <c r="A650" s="2542"/>
      <c r="B650" s="2545"/>
      <c r="C650" s="2521"/>
      <c r="D650" s="727">
        <v>2024</v>
      </c>
      <c r="E650" s="736">
        <f t="shared" si="35"/>
        <v>0</v>
      </c>
      <c r="F650" s="736">
        <v>0</v>
      </c>
      <c r="G650" s="736">
        <v>0</v>
      </c>
      <c r="H650" s="736">
        <v>0</v>
      </c>
      <c r="I650" s="736">
        <v>0</v>
      </c>
      <c r="J650" s="2549"/>
      <c r="K650" s="2549"/>
      <c r="L650" s="734"/>
    </row>
    <row r="651" spans="1:12" s="732" customFormat="1" ht="12.75" customHeight="1" outlineLevel="1">
      <c r="A651" s="2543"/>
      <c r="B651" s="2518"/>
      <c r="C651" s="2521"/>
      <c r="D651" s="727">
        <v>2025</v>
      </c>
      <c r="E651" s="736">
        <f t="shared" si="35"/>
        <v>0</v>
      </c>
      <c r="F651" s="736">
        <v>0</v>
      </c>
      <c r="G651" s="736">
        <v>0</v>
      </c>
      <c r="H651" s="736">
        <v>0</v>
      </c>
      <c r="I651" s="736">
        <v>0</v>
      </c>
      <c r="J651" s="2522"/>
      <c r="K651" s="2522"/>
      <c r="L651" s="734"/>
    </row>
    <row r="652" spans="1:12" s="732" customFormat="1" ht="15.75" customHeight="1" outlineLevel="1">
      <c r="A652" s="2541" t="s">
        <v>3033</v>
      </c>
      <c r="B652" s="2548" t="s">
        <v>3032</v>
      </c>
      <c r="C652" s="2546">
        <v>2022</v>
      </c>
      <c r="D652" s="727" t="s">
        <v>8</v>
      </c>
      <c r="E652" s="736">
        <f t="shared" si="35"/>
        <v>964.12733015494632</v>
      </c>
      <c r="F652" s="736">
        <f>SUM(F653:F657)</f>
        <v>808.90282999999999</v>
      </c>
      <c r="G652" s="736">
        <f>SUM(G653:G657)</f>
        <v>0</v>
      </c>
      <c r="H652" s="736">
        <f>SUM(H653:H657)</f>
        <v>155.22450015494636</v>
      </c>
      <c r="I652" s="736">
        <f>SUM(I653:I657)</f>
        <v>0</v>
      </c>
      <c r="J652" s="2548" t="s">
        <v>3031</v>
      </c>
      <c r="K652" s="2548" t="s">
        <v>3027</v>
      </c>
      <c r="L652" s="734"/>
    </row>
    <row r="653" spans="1:12" s="732" customFormat="1" ht="15.75" customHeight="1" outlineLevel="1">
      <c r="A653" s="2542"/>
      <c r="B653" s="2549"/>
      <c r="C653" s="2547"/>
      <c r="D653" s="727">
        <v>2021</v>
      </c>
      <c r="E653" s="736">
        <f t="shared" si="35"/>
        <v>0</v>
      </c>
      <c r="F653" s="736">
        <v>0</v>
      </c>
      <c r="G653" s="736">
        <v>0</v>
      </c>
      <c r="H653" s="736">
        <v>0</v>
      </c>
      <c r="I653" s="736">
        <v>0</v>
      </c>
      <c r="J653" s="2549"/>
      <c r="K653" s="2549"/>
      <c r="L653" s="734"/>
    </row>
    <row r="654" spans="1:12" s="732" customFormat="1" ht="19.5" customHeight="1" outlineLevel="1">
      <c r="A654" s="2542"/>
      <c r="B654" s="2549"/>
      <c r="C654" s="2547"/>
      <c r="D654" s="727">
        <v>2022</v>
      </c>
      <c r="E654" s="736">
        <f t="shared" si="35"/>
        <v>964.12733015494632</v>
      </c>
      <c r="F654" s="736">
        <f>808.944-0.04117</f>
        <v>808.90282999999999</v>
      </c>
      <c r="G654" s="736">
        <v>0</v>
      </c>
      <c r="H654" s="736">
        <f>F654*16.1/83.9</f>
        <v>155.22450015494636</v>
      </c>
      <c r="I654" s="736">
        <v>0</v>
      </c>
      <c r="J654" s="2549"/>
      <c r="K654" s="2549"/>
      <c r="L654" s="734"/>
    </row>
    <row r="655" spans="1:12" s="732" customFormat="1" ht="18" customHeight="1" outlineLevel="1">
      <c r="A655" s="2542"/>
      <c r="B655" s="2549"/>
      <c r="C655" s="2547"/>
      <c r="D655" s="727">
        <v>2023</v>
      </c>
      <c r="E655" s="736">
        <f t="shared" si="35"/>
        <v>0</v>
      </c>
      <c r="F655" s="736">
        <v>0</v>
      </c>
      <c r="G655" s="736">
        <v>0</v>
      </c>
      <c r="H655" s="736">
        <v>0</v>
      </c>
      <c r="I655" s="736">
        <v>0</v>
      </c>
      <c r="J655" s="2549"/>
      <c r="K655" s="2549"/>
      <c r="L655" s="734"/>
    </row>
    <row r="656" spans="1:12" s="732" customFormat="1" ht="16.5" customHeight="1" outlineLevel="1">
      <c r="A656" s="2542"/>
      <c r="B656" s="2549"/>
      <c r="C656" s="2547"/>
      <c r="D656" s="727">
        <v>2024</v>
      </c>
      <c r="E656" s="736">
        <f t="shared" si="35"/>
        <v>0</v>
      </c>
      <c r="F656" s="736">
        <v>0</v>
      </c>
      <c r="G656" s="736">
        <v>0</v>
      </c>
      <c r="H656" s="736">
        <v>0</v>
      </c>
      <c r="I656" s="736">
        <v>0</v>
      </c>
      <c r="J656" s="2549"/>
      <c r="K656" s="2549"/>
      <c r="L656" s="734"/>
    </row>
    <row r="657" spans="1:12" s="732" customFormat="1" ht="16.5" customHeight="1" outlineLevel="1">
      <c r="A657" s="2543"/>
      <c r="B657" s="2522"/>
      <c r="C657" s="2520"/>
      <c r="D657" s="727">
        <v>2025</v>
      </c>
      <c r="E657" s="736">
        <f t="shared" si="35"/>
        <v>0</v>
      </c>
      <c r="F657" s="736">
        <v>0</v>
      </c>
      <c r="G657" s="736">
        <v>0</v>
      </c>
      <c r="H657" s="736">
        <v>0</v>
      </c>
      <c r="I657" s="736">
        <v>0</v>
      </c>
      <c r="J657" s="2522"/>
      <c r="K657" s="2522"/>
      <c r="L657" s="734"/>
    </row>
    <row r="658" spans="1:12" s="732" customFormat="1" ht="11.25" customHeight="1" outlineLevel="1">
      <c r="A658" s="2541" t="s">
        <v>3030</v>
      </c>
      <c r="B658" s="2548" t="s">
        <v>3029</v>
      </c>
      <c r="C658" s="2546">
        <v>2022</v>
      </c>
      <c r="D658" s="727" t="s">
        <v>8</v>
      </c>
      <c r="E658" s="736">
        <f t="shared" si="35"/>
        <v>5088.3444576877237</v>
      </c>
      <c r="F658" s="736">
        <f>SUM(F659:F663)</f>
        <v>4269.1210000000001</v>
      </c>
      <c r="G658" s="736">
        <f>SUM(G659:G663)</f>
        <v>0</v>
      </c>
      <c r="H658" s="736">
        <f>SUM(H659:H663)</f>
        <v>819.22345768772345</v>
      </c>
      <c r="I658" s="736">
        <f>SUM(I659:I663)</f>
        <v>0</v>
      </c>
      <c r="J658" s="2548" t="s">
        <v>3028</v>
      </c>
      <c r="K658" s="2548" t="s">
        <v>3027</v>
      </c>
      <c r="L658" s="734"/>
    </row>
    <row r="659" spans="1:12" s="732" customFormat="1" ht="11.25" customHeight="1" outlineLevel="1">
      <c r="A659" s="2542"/>
      <c r="B659" s="2549"/>
      <c r="C659" s="2547"/>
      <c r="D659" s="727">
        <v>2021</v>
      </c>
      <c r="E659" s="736">
        <f t="shared" si="35"/>
        <v>0</v>
      </c>
      <c r="F659" s="736">
        <v>0</v>
      </c>
      <c r="G659" s="736">
        <v>0</v>
      </c>
      <c r="H659" s="736">
        <v>0</v>
      </c>
      <c r="I659" s="736">
        <v>0</v>
      </c>
      <c r="J659" s="2549"/>
      <c r="K659" s="2549"/>
      <c r="L659" s="734"/>
    </row>
    <row r="660" spans="1:12" s="732" customFormat="1" ht="11.25" customHeight="1" outlineLevel="1">
      <c r="A660" s="2542"/>
      <c r="B660" s="2549"/>
      <c r="C660" s="2547"/>
      <c r="D660" s="727">
        <v>2022</v>
      </c>
      <c r="E660" s="736">
        <f t="shared" si="35"/>
        <v>5088.3444576877237</v>
      </c>
      <c r="F660" s="736">
        <f>4677.411-408.29</f>
        <v>4269.1210000000001</v>
      </c>
      <c r="G660" s="736">
        <v>0</v>
      </c>
      <c r="H660" s="736">
        <f>F660*16.1/83.9</f>
        <v>819.22345768772345</v>
      </c>
      <c r="I660" s="736">
        <v>0</v>
      </c>
      <c r="J660" s="2549"/>
      <c r="K660" s="2549"/>
      <c r="L660" s="734"/>
    </row>
    <row r="661" spans="1:12" s="732" customFormat="1" ht="11.25" customHeight="1" outlineLevel="1">
      <c r="A661" s="2542"/>
      <c r="B661" s="2549"/>
      <c r="C661" s="2547"/>
      <c r="D661" s="727">
        <v>2023</v>
      </c>
      <c r="E661" s="736">
        <f t="shared" si="35"/>
        <v>0</v>
      </c>
      <c r="F661" s="736">
        <v>0</v>
      </c>
      <c r="G661" s="736">
        <v>0</v>
      </c>
      <c r="H661" s="736">
        <v>0</v>
      </c>
      <c r="I661" s="736">
        <v>0</v>
      </c>
      <c r="J661" s="2549"/>
      <c r="K661" s="2549"/>
      <c r="L661" s="734"/>
    </row>
    <row r="662" spans="1:12" s="732" customFormat="1" ht="11.25" customHeight="1" outlineLevel="1">
      <c r="A662" s="2542"/>
      <c r="B662" s="2549"/>
      <c r="C662" s="2547"/>
      <c r="D662" s="727">
        <v>2024</v>
      </c>
      <c r="E662" s="736">
        <f t="shared" si="35"/>
        <v>0</v>
      </c>
      <c r="F662" s="736">
        <v>0</v>
      </c>
      <c r="G662" s="736">
        <v>0</v>
      </c>
      <c r="H662" s="736">
        <v>0</v>
      </c>
      <c r="I662" s="736">
        <v>0</v>
      </c>
      <c r="J662" s="2549"/>
      <c r="K662" s="2549"/>
      <c r="L662" s="734"/>
    </row>
    <row r="663" spans="1:12" s="732" customFormat="1" ht="11.25" customHeight="1" outlineLevel="1">
      <c r="A663" s="2543"/>
      <c r="B663" s="2522"/>
      <c r="C663" s="2520"/>
      <c r="D663" s="727">
        <v>2025</v>
      </c>
      <c r="E663" s="736">
        <f t="shared" si="35"/>
        <v>0</v>
      </c>
      <c r="F663" s="736">
        <v>0</v>
      </c>
      <c r="G663" s="736">
        <v>0</v>
      </c>
      <c r="H663" s="736">
        <v>0</v>
      </c>
      <c r="I663" s="736">
        <v>0</v>
      </c>
      <c r="J663" s="2522"/>
      <c r="K663" s="2522"/>
      <c r="L663" s="734"/>
    </row>
    <row r="664" spans="1:12" s="732" customFormat="1" ht="11.25" customHeight="1" outlineLevel="1">
      <c r="A664" s="2541" t="s">
        <v>3026</v>
      </c>
      <c r="B664" s="2544" t="s">
        <v>3025</v>
      </c>
      <c r="C664" s="2521">
        <v>2022</v>
      </c>
      <c r="D664" s="727" t="s">
        <v>8</v>
      </c>
      <c r="E664" s="736">
        <f t="shared" si="35"/>
        <v>35550</v>
      </c>
      <c r="F664" s="736">
        <f>SUM(F665:F669)</f>
        <v>33772.5</v>
      </c>
      <c r="G664" s="736">
        <v>0</v>
      </c>
      <c r="H664" s="736">
        <f>SUM(H665:H669)</f>
        <v>1777.5</v>
      </c>
      <c r="I664" s="736">
        <v>0</v>
      </c>
      <c r="J664" s="2523" t="s">
        <v>3024</v>
      </c>
      <c r="K664" s="2523" t="s">
        <v>3020</v>
      </c>
      <c r="L664" s="734"/>
    </row>
    <row r="665" spans="1:12" s="732" customFormat="1" ht="11.25" customHeight="1" outlineLevel="1">
      <c r="A665" s="2542"/>
      <c r="B665" s="2545"/>
      <c r="C665" s="2521"/>
      <c r="D665" s="727">
        <v>2021</v>
      </c>
      <c r="E665" s="736">
        <f t="shared" si="35"/>
        <v>0</v>
      </c>
      <c r="F665" s="736">
        <v>0</v>
      </c>
      <c r="G665" s="736">
        <v>0</v>
      </c>
      <c r="H665" s="736">
        <v>0</v>
      </c>
      <c r="I665" s="736">
        <v>0</v>
      </c>
      <c r="J665" s="2523"/>
      <c r="K665" s="2523"/>
      <c r="L665" s="734"/>
    </row>
    <row r="666" spans="1:12" s="732" customFormat="1" ht="11.25" customHeight="1" outlineLevel="1">
      <c r="A666" s="2542"/>
      <c r="B666" s="2545"/>
      <c r="C666" s="2521"/>
      <c r="D666" s="727">
        <v>2022</v>
      </c>
      <c r="E666" s="736">
        <f t="shared" ref="E666:E729" si="36">SUM(F666:I666)</f>
        <v>35550</v>
      </c>
      <c r="F666" s="736">
        <v>33772.5</v>
      </c>
      <c r="G666" s="736">
        <v>0</v>
      </c>
      <c r="H666" s="736">
        <f>F666*5/95</f>
        <v>1777.5</v>
      </c>
      <c r="I666" s="736">
        <v>0</v>
      </c>
      <c r="J666" s="2523"/>
      <c r="K666" s="2523"/>
      <c r="L666" s="734"/>
    </row>
    <row r="667" spans="1:12" s="732" customFormat="1" ht="11.25" customHeight="1" outlineLevel="1">
      <c r="A667" s="2542"/>
      <c r="B667" s="2545"/>
      <c r="C667" s="2521"/>
      <c r="D667" s="727">
        <v>2023</v>
      </c>
      <c r="E667" s="736">
        <f t="shared" si="36"/>
        <v>0</v>
      </c>
      <c r="F667" s="736">
        <v>0</v>
      </c>
      <c r="G667" s="736">
        <v>0</v>
      </c>
      <c r="H667" s="736">
        <v>0</v>
      </c>
      <c r="I667" s="736">
        <v>0</v>
      </c>
      <c r="J667" s="2523"/>
      <c r="K667" s="2523"/>
      <c r="L667" s="734"/>
    </row>
    <row r="668" spans="1:12" s="732" customFormat="1" ht="11.25" customHeight="1" outlineLevel="1">
      <c r="A668" s="2542"/>
      <c r="B668" s="2545"/>
      <c r="C668" s="2521"/>
      <c r="D668" s="727">
        <v>2024</v>
      </c>
      <c r="E668" s="736">
        <f t="shared" si="36"/>
        <v>0</v>
      </c>
      <c r="F668" s="736">
        <v>0</v>
      </c>
      <c r="G668" s="736">
        <v>0</v>
      </c>
      <c r="H668" s="736">
        <v>0</v>
      </c>
      <c r="I668" s="736">
        <v>0</v>
      </c>
      <c r="J668" s="2523"/>
      <c r="K668" s="2523"/>
      <c r="L668" s="734"/>
    </row>
    <row r="669" spans="1:12" s="732" customFormat="1" ht="11.25" customHeight="1" outlineLevel="1">
      <c r="A669" s="2543"/>
      <c r="B669" s="2518"/>
      <c r="C669" s="2521"/>
      <c r="D669" s="727">
        <v>2025</v>
      </c>
      <c r="E669" s="736">
        <f t="shared" si="36"/>
        <v>0</v>
      </c>
      <c r="F669" s="736">
        <v>0</v>
      </c>
      <c r="G669" s="736">
        <v>0</v>
      </c>
      <c r="H669" s="736">
        <v>0</v>
      </c>
      <c r="I669" s="736">
        <v>0</v>
      </c>
      <c r="J669" s="2523"/>
      <c r="K669" s="2523"/>
      <c r="L669" s="734"/>
    </row>
    <row r="670" spans="1:12" s="732" customFormat="1" ht="11.25" customHeight="1" outlineLevel="1">
      <c r="A670" s="2541" t="s">
        <v>3023</v>
      </c>
      <c r="B670" s="2544" t="s">
        <v>3022</v>
      </c>
      <c r="C670" s="2521">
        <v>2022</v>
      </c>
      <c r="D670" s="727" t="s">
        <v>8</v>
      </c>
      <c r="E670" s="736">
        <f t="shared" si="36"/>
        <v>15871.72</v>
      </c>
      <c r="F670" s="736">
        <f>SUM(F671:F675)</f>
        <v>15078.134</v>
      </c>
      <c r="G670" s="736">
        <v>0</v>
      </c>
      <c r="H670" s="736">
        <f>SUM(H671:H675)</f>
        <v>793.58600000000001</v>
      </c>
      <c r="I670" s="736">
        <v>0</v>
      </c>
      <c r="J670" s="2523" t="s">
        <v>3021</v>
      </c>
      <c r="K670" s="2523" t="s">
        <v>3020</v>
      </c>
      <c r="L670" s="734"/>
    </row>
    <row r="671" spans="1:12" s="732" customFormat="1" ht="11.25" customHeight="1" outlineLevel="1">
      <c r="A671" s="2542"/>
      <c r="B671" s="2545"/>
      <c r="C671" s="2521"/>
      <c r="D671" s="727">
        <v>2021</v>
      </c>
      <c r="E671" s="736">
        <f t="shared" si="36"/>
        <v>0</v>
      </c>
      <c r="F671" s="736">
        <f>SUM(G671:J671)</f>
        <v>0</v>
      </c>
      <c r="G671" s="736">
        <v>0</v>
      </c>
      <c r="H671" s="736">
        <v>0</v>
      </c>
      <c r="I671" s="736">
        <v>0</v>
      </c>
      <c r="J671" s="2523"/>
      <c r="K671" s="2523"/>
      <c r="L671" s="734"/>
    </row>
    <row r="672" spans="1:12" s="732" customFormat="1" ht="11.25" customHeight="1" outlineLevel="1">
      <c r="A672" s="2542"/>
      <c r="B672" s="2545"/>
      <c r="C672" s="2521"/>
      <c r="D672" s="727">
        <v>2022</v>
      </c>
      <c r="E672" s="736">
        <f t="shared" si="36"/>
        <v>15871.72</v>
      </c>
      <c r="F672" s="736">
        <v>15078.134</v>
      </c>
      <c r="G672" s="736">
        <v>0</v>
      </c>
      <c r="H672" s="736">
        <f>F672*5/95</f>
        <v>793.58600000000001</v>
      </c>
      <c r="I672" s="736">
        <v>0</v>
      </c>
      <c r="J672" s="2523"/>
      <c r="K672" s="2523"/>
      <c r="L672" s="734"/>
    </row>
    <row r="673" spans="1:12" s="732" customFormat="1" ht="11.25" customHeight="1" outlineLevel="1">
      <c r="A673" s="2542"/>
      <c r="B673" s="2545"/>
      <c r="C673" s="2521"/>
      <c r="D673" s="727">
        <v>2023</v>
      </c>
      <c r="E673" s="736">
        <f t="shared" si="36"/>
        <v>0</v>
      </c>
      <c r="F673" s="736">
        <f>SUM(G673:J673)</f>
        <v>0</v>
      </c>
      <c r="G673" s="736">
        <v>0</v>
      </c>
      <c r="H673" s="736">
        <v>0</v>
      </c>
      <c r="I673" s="736">
        <v>0</v>
      </c>
      <c r="J673" s="2523"/>
      <c r="K673" s="2523"/>
      <c r="L673" s="734"/>
    </row>
    <row r="674" spans="1:12" s="732" customFormat="1" ht="11.25" customHeight="1" outlineLevel="1">
      <c r="A674" s="2542"/>
      <c r="B674" s="2545"/>
      <c r="C674" s="2521"/>
      <c r="D674" s="727">
        <v>2024</v>
      </c>
      <c r="E674" s="736">
        <f t="shared" si="36"/>
        <v>0</v>
      </c>
      <c r="F674" s="736">
        <f>SUM(G674:J674)</f>
        <v>0</v>
      </c>
      <c r="G674" s="736">
        <v>0</v>
      </c>
      <c r="H674" s="736">
        <v>0</v>
      </c>
      <c r="I674" s="736">
        <v>0</v>
      </c>
      <c r="J674" s="2523"/>
      <c r="K674" s="2523"/>
      <c r="L674" s="734"/>
    </row>
    <row r="675" spans="1:12" s="732" customFormat="1" ht="11.25" customHeight="1" outlineLevel="1">
      <c r="A675" s="2543"/>
      <c r="B675" s="2518"/>
      <c r="C675" s="2521"/>
      <c r="D675" s="727">
        <v>2025</v>
      </c>
      <c r="E675" s="736">
        <f t="shared" si="36"/>
        <v>0</v>
      </c>
      <c r="F675" s="736">
        <f>SUM(G675:J675)</f>
        <v>0</v>
      </c>
      <c r="G675" s="736">
        <v>0</v>
      </c>
      <c r="H675" s="736">
        <v>0</v>
      </c>
      <c r="I675" s="736">
        <v>0</v>
      </c>
      <c r="J675" s="2523"/>
      <c r="K675" s="2523"/>
      <c r="L675" s="734"/>
    </row>
    <row r="676" spans="1:12" s="732" customFormat="1" ht="12.75" customHeight="1" outlineLevel="1">
      <c r="A676" s="2529" t="s">
        <v>3019</v>
      </c>
      <c r="B676" s="2532" t="s">
        <v>2964</v>
      </c>
      <c r="C676" s="2535" t="s">
        <v>3017</v>
      </c>
      <c r="D676" s="727" t="s">
        <v>8</v>
      </c>
      <c r="E676" s="729">
        <f t="shared" si="36"/>
        <v>328021.95</v>
      </c>
      <c r="F676" s="729">
        <f>SUM(F677:F681)</f>
        <v>98140.857000000004</v>
      </c>
      <c r="G676" s="729">
        <f>SUM(G677:G681)</f>
        <v>229881.09299999999</v>
      </c>
      <c r="H676" s="729">
        <f>SUM(H677:H681)</f>
        <v>0</v>
      </c>
      <c r="I676" s="729">
        <f>SUM(I677:I681)</f>
        <v>0</v>
      </c>
      <c r="J676" s="2583" t="s">
        <v>2822</v>
      </c>
      <c r="K676" s="2583" t="s">
        <v>2799</v>
      </c>
      <c r="L676" s="734"/>
    </row>
    <row r="677" spans="1:12" s="732" customFormat="1" ht="12.75" customHeight="1" outlineLevel="1">
      <c r="A677" s="2530"/>
      <c r="B677" s="2533"/>
      <c r="C677" s="2536"/>
      <c r="D677" s="727">
        <v>2021</v>
      </c>
      <c r="E677" s="729">
        <f t="shared" si="36"/>
        <v>0</v>
      </c>
      <c r="F677" s="735">
        <f t="shared" ref="F677:I681" si="37">F683</f>
        <v>0</v>
      </c>
      <c r="G677" s="735">
        <f t="shared" si="37"/>
        <v>0</v>
      </c>
      <c r="H677" s="735">
        <f t="shared" si="37"/>
        <v>0</v>
      </c>
      <c r="I677" s="735">
        <f t="shared" si="37"/>
        <v>0</v>
      </c>
      <c r="J677" s="2583"/>
      <c r="K677" s="2583"/>
      <c r="L677" s="734"/>
    </row>
    <row r="678" spans="1:12" s="732" customFormat="1" ht="12.75" customHeight="1" outlineLevel="1">
      <c r="A678" s="2530"/>
      <c r="B678" s="2533"/>
      <c r="C678" s="2536"/>
      <c r="D678" s="727">
        <v>2022</v>
      </c>
      <c r="E678" s="729">
        <f t="shared" si="36"/>
        <v>67438.159</v>
      </c>
      <c r="F678" s="735">
        <f t="shared" si="37"/>
        <v>19557.065999999999</v>
      </c>
      <c r="G678" s="735">
        <f t="shared" si="37"/>
        <v>47881.093000000001</v>
      </c>
      <c r="H678" s="735">
        <f t="shared" si="37"/>
        <v>0</v>
      </c>
      <c r="I678" s="735">
        <f t="shared" si="37"/>
        <v>0</v>
      </c>
      <c r="J678" s="2583"/>
      <c r="K678" s="2583"/>
      <c r="L678" s="734"/>
    </row>
    <row r="679" spans="1:12" s="732" customFormat="1" ht="12.75" customHeight="1" outlineLevel="1">
      <c r="A679" s="2530"/>
      <c r="B679" s="2533"/>
      <c r="C679" s="2536"/>
      <c r="D679" s="727">
        <v>2023</v>
      </c>
      <c r="E679" s="729">
        <f t="shared" si="36"/>
        <v>0</v>
      </c>
      <c r="F679" s="735">
        <f t="shared" si="37"/>
        <v>0</v>
      </c>
      <c r="G679" s="735">
        <f t="shared" si="37"/>
        <v>0</v>
      </c>
      <c r="H679" s="735">
        <f t="shared" si="37"/>
        <v>0</v>
      </c>
      <c r="I679" s="735">
        <f t="shared" si="37"/>
        <v>0</v>
      </c>
      <c r="J679" s="2583"/>
      <c r="K679" s="2583"/>
      <c r="L679" s="734"/>
    </row>
    <row r="680" spans="1:12" s="732" customFormat="1" ht="12.75" customHeight="1" outlineLevel="1">
      <c r="A680" s="2530"/>
      <c r="B680" s="2533"/>
      <c r="C680" s="2536"/>
      <c r="D680" s="727">
        <v>2024</v>
      </c>
      <c r="E680" s="729">
        <f t="shared" si="36"/>
        <v>109859.15399999999</v>
      </c>
      <c r="F680" s="735">
        <f t="shared" si="37"/>
        <v>31859.153999999999</v>
      </c>
      <c r="G680" s="735">
        <f t="shared" si="37"/>
        <v>78000</v>
      </c>
      <c r="H680" s="735">
        <f t="shared" si="37"/>
        <v>0</v>
      </c>
      <c r="I680" s="735">
        <f t="shared" si="37"/>
        <v>0</v>
      </c>
      <c r="J680" s="2583"/>
      <c r="K680" s="2583"/>
      <c r="L680" s="734"/>
    </row>
    <row r="681" spans="1:12" s="732" customFormat="1" ht="12.75" customHeight="1" outlineLevel="1">
      <c r="A681" s="2531"/>
      <c r="B681" s="2534"/>
      <c r="C681" s="2537"/>
      <c r="D681" s="727">
        <v>2025</v>
      </c>
      <c r="E681" s="729">
        <f t="shared" si="36"/>
        <v>150724.63699999999</v>
      </c>
      <c r="F681" s="735">
        <f t="shared" si="37"/>
        <v>46724.637000000002</v>
      </c>
      <c r="G681" s="735">
        <f t="shared" si="37"/>
        <v>104000</v>
      </c>
      <c r="H681" s="735">
        <f t="shared" si="37"/>
        <v>0</v>
      </c>
      <c r="I681" s="735">
        <f t="shared" si="37"/>
        <v>0</v>
      </c>
      <c r="J681" s="2583"/>
      <c r="K681" s="2583"/>
      <c r="L681" s="734"/>
    </row>
    <row r="682" spans="1:12" s="732" customFormat="1" ht="12.75" customHeight="1" outlineLevel="1">
      <c r="A682" s="2578" t="s">
        <v>2965</v>
      </c>
      <c r="B682" s="2544" t="s">
        <v>3018</v>
      </c>
      <c r="C682" s="2521" t="s">
        <v>3017</v>
      </c>
      <c r="D682" s="727" t="s">
        <v>8</v>
      </c>
      <c r="E682" s="726">
        <f t="shared" si="36"/>
        <v>328021.95</v>
      </c>
      <c r="F682" s="726">
        <f>SUM(F683:F687)</f>
        <v>98140.857000000004</v>
      </c>
      <c r="G682" s="726">
        <f>SUM(G683:G687)</f>
        <v>229881.09299999999</v>
      </c>
      <c r="H682" s="726">
        <f>SUM(H683:H687)</f>
        <v>0</v>
      </c>
      <c r="I682" s="726">
        <f>SUM(I683:I687)</f>
        <v>0</v>
      </c>
      <c r="J682" s="2548" t="s">
        <v>3016</v>
      </c>
      <c r="K682" s="2523" t="s">
        <v>2799</v>
      </c>
      <c r="L682" s="734"/>
    </row>
    <row r="683" spans="1:12" s="732" customFormat="1" ht="12.75" outlineLevel="1">
      <c r="A683" s="2578"/>
      <c r="B683" s="2545"/>
      <c r="C683" s="2521"/>
      <c r="D683" s="727">
        <v>2021</v>
      </c>
      <c r="E683" s="726">
        <f t="shared" si="36"/>
        <v>0</v>
      </c>
      <c r="F683" s="725">
        <v>0</v>
      </c>
      <c r="G683" s="725">
        <v>0</v>
      </c>
      <c r="H683" s="725">
        <v>0</v>
      </c>
      <c r="I683" s="725">
        <v>0</v>
      </c>
      <c r="J683" s="2549"/>
      <c r="K683" s="2523"/>
      <c r="L683" s="734"/>
    </row>
    <row r="684" spans="1:12" s="732" customFormat="1" ht="12.75" outlineLevel="1">
      <c r="A684" s="2578"/>
      <c r="B684" s="2545"/>
      <c r="C684" s="2521"/>
      <c r="D684" s="727">
        <v>2022</v>
      </c>
      <c r="E684" s="726">
        <f t="shared" si="36"/>
        <v>67438.159</v>
      </c>
      <c r="F684" s="725">
        <v>19557.065999999999</v>
      </c>
      <c r="G684" s="725">
        <v>47881.093000000001</v>
      </c>
      <c r="H684" s="725">
        <v>0</v>
      </c>
      <c r="I684" s="725">
        <v>0</v>
      </c>
      <c r="J684" s="2549"/>
      <c r="K684" s="2523"/>
      <c r="L684" s="734"/>
    </row>
    <row r="685" spans="1:12" s="732" customFormat="1" ht="12.75" outlineLevel="1">
      <c r="A685" s="2578"/>
      <c r="B685" s="2545"/>
      <c r="C685" s="2521"/>
      <c r="D685" s="727">
        <v>2023</v>
      </c>
      <c r="E685" s="726">
        <f t="shared" si="36"/>
        <v>0</v>
      </c>
      <c r="F685" s="725">
        <v>0</v>
      </c>
      <c r="G685" s="725">
        <v>0</v>
      </c>
      <c r="H685" s="725">
        <v>0</v>
      </c>
      <c r="I685" s="725">
        <v>0</v>
      </c>
      <c r="J685" s="2549"/>
      <c r="K685" s="2523"/>
      <c r="L685" s="734"/>
    </row>
    <row r="686" spans="1:12" s="732" customFormat="1" ht="12.75" outlineLevel="1">
      <c r="A686" s="2578"/>
      <c r="B686" s="2545"/>
      <c r="C686" s="2521"/>
      <c r="D686" s="727">
        <v>2024</v>
      </c>
      <c r="E686" s="726">
        <f t="shared" si="36"/>
        <v>109859.15399999999</v>
      </c>
      <c r="F686" s="725">
        <v>31859.153999999999</v>
      </c>
      <c r="G686" s="725">
        <v>78000</v>
      </c>
      <c r="H686" s="725">
        <v>0</v>
      </c>
      <c r="I686" s="725">
        <v>0</v>
      </c>
      <c r="J686" s="2549"/>
      <c r="K686" s="2523"/>
      <c r="L686" s="734"/>
    </row>
    <row r="687" spans="1:12" s="732" customFormat="1" ht="12.75" outlineLevel="1">
      <c r="A687" s="2578"/>
      <c r="B687" s="2518"/>
      <c r="C687" s="2521"/>
      <c r="D687" s="727">
        <v>2025</v>
      </c>
      <c r="E687" s="726">
        <f t="shared" si="36"/>
        <v>150724.63699999999</v>
      </c>
      <c r="F687" s="726">
        <v>46724.637000000002</v>
      </c>
      <c r="G687" s="726">
        <v>104000</v>
      </c>
      <c r="H687" s="726">
        <f>SUM(I681:L681)</f>
        <v>0</v>
      </c>
      <c r="I687" s="726">
        <f>SUM(J681:L681)</f>
        <v>0</v>
      </c>
      <c r="J687" s="2522"/>
      <c r="K687" s="2523"/>
      <c r="L687" s="734"/>
    </row>
    <row r="688" spans="1:12" s="732" customFormat="1" ht="12.75" outlineLevel="1">
      <c r="A688" s="2551" t="s">
        <v>3015</v>
      </c>
      <c r="B688" s="2554" t="s">
        <v>3014</v>
      </c>
      <c r="C688" s="2575" t="s">
        <v>2995</v>
      </c>
      <c r="D688" s="762" t="s">
        <v>8</v>
      </c>
      <c r="E688" s="766">
        <f t="shared" si="36"/>
        <v>574740.04</v>
      </c>
      <c r="F688" s="766">
        <f>SUM(F689:F693)</f>
        <v>277420.3</v>
      </c>
      <c r="G688" s="766">
        <f>SUM(G689:G693)</f>
        <v>297319.74</v>
      </c>
      <c r="H688" s="766">
        <f>SUM(H689:H693)</f>
        <v>0</v>
      </c>
      <c r="I688" s="766">
        <f>SUM(I689:I693)</f>
        <v>0</v>
      </c>
      <c r="J688" s="2505" t="s">
        <v>3013</v>
      </c>
      <c r="K688" s="2505" t="s">
        <v>3012</v>
      </c>
      <c r="L688" s="734"/>
    </row>
    <row r="689" spans="1:14" s="732" customFormat="1" ht="12.75" outlineLevel="1">
      <c r="A689" s="2552"/>
      <c r="B689" s="2555"/>
      <c r="C689" s="2576"/>
      <c r="D689" s="762">
        <v>2021</v>
      </c>
      <c r="E689" s="766">
        <f t="shared" si="36"/>
        <v>0</v>
      </c>
      <c r="F689" s="772">
        <f t="shared" ref="F689:I693" si="38">F695+F701+F707</f>
        <v>0</v>
      </c>
      <c r="G689" s="772">
        <f t="shared" si="38"/>
        <v>0</v>
      </c>
      <c r="H689" s="772">
        <f t="shared" si="38"/>
        <v>0</v>
      </c>
      <c r="I689" s="772">
        <f t="shared" si="38"/>
        <v>0</v>
      </c>
      <c r="J689" s="2505"/>
      <c r="K689" s="2505"/>
      <c r="L689" s="734"/>
    </row>
    <row r="690" spans="1:14" s="732" customFormat="1" ht="12.75" outlineLevel="1">
      <c r="A690" s="2552"/>
      <c r="B690" s="2555"/>
      <c r="C690" s="2576"/>
      <c r="D690" s="762">
        <v>2022</v>
      </c>
      <c r="E690" s="766">
        <f t="shared" si="36"/>
        <v>0</v>
      </c>
      <c r="F690" s="772">
        <f t="shared" si="38"/>
        <v>0</v>
      </c>
      <c r="G690" s="772">
        <f t="shared" si="38"/>
        <v>0</v>
      </c>
      <c r="H690" s="772">
        <f t="shared" si="38"/>
        <v>0</v>
      </c>
      <c r="I690" s="772">
        <f t="shared" si="38"/>
        <v>0</v>
      </c>
      <c r="J690" s="2505"/>
      <c r="K690" s="2505"/>
      <c r="L690" s="734"/>
    </row>
    <row r="691" spans="1:14" s="732" customFormat="1" ht="12.75" outlineLevel="1">
      <c r="A691" s="2552"/>
      <c r="B691" s="2555"/>
      <c r="C691" s="2576"/>
      <c r="D691" s="808">
        <v>2023</v>
      </c>
      <c r="E691" s="812">
        <f t="shared" si="36"/>
        <v>304029.74</v>
      </c>
      <c r="F691" s="819">
        <f t="shared" si="38"/>
        <v>6710</v>
      </c>
      <c r="G691" s="819">
        <f t="shared" si="38"/>
        <v>297319.74</v>
      </c>
      <c r="H691" s="819">
        <f t="shared" si="38"/>
        <v>0</v>
      </c>
      <c r="I691" s="819">
        <f t="shared" si="38"/>
        <v>0</v>
      </c>
      <c r="J691" s="2505"/>
      <c r="K691" s="2505"/>
      <c r="L691" s="734"/>
    </row>
    <row r="692" spans="1:14" s="732" customFormat="1" ht="12.75" outlineLevel="1">
      <c r="A692" s="2552"/>
      <c r="B692" s="2555"/>
      <c r="C692" s="2576"/>
      <c r="D692" s="762">
        <v>2024</v>
      </c>
      <c r="E692" s="766">
        <f t="shared" si="36"/>
        <v>270710.3</v>
      </c>
      <c r="F692" s="772">
        <f t="shared" si="38"/>
        <v>270710.3</v>
      </c>
      <c r="G692" s="772">
        <f t="shared" si="38"/>
        <v>0</v>
      </c>
      <c r="H692" s="772">
        <f t="shared" si="38"/>
        <v>0</v>
      </c>
      <c r="I692" s="772">
        <f t="shared" si="38"/>
        <v>0</v>
      </c>
      <c r="J692" s="2505"/>
      <c r="K692" s="2505"/>
      <c r="L692" s="734"/>
    </row>
    <row r="693" spans="1:14" s="732" customFormat="1" ht="12.75" outlineLevel="1">
      <c r="A693" s="2553"/>
      <c r="B693" s="2556"/>
      <c r="C693" s="2577"/>
      <c r="D693" s="762">
        <v>2025</v>
      </c>
      <c r="E693" s="766">
        <f t="shared" si="36"/>
        <v>0</v>
      </c>
      <c r="F693" s="772">
        <f t="shared" si="38"/>
        <v>0</v>
      </c>
      <c r="G693" s="772">
        <f t="shared" si="38"/>
        <v>0</v>
      </c>
      <c r="H693" s="772">
        <f t="shared" si="38"/>
        <v>0</v>
      </c>
      <c r="I693" s="772">
        <f t="shared" si="38"/>
        <v>0</v>
      </c>
      <c r="J693" s="2505"/>
      <c r="K693" s="2505"/>
      <c r="L693" s="734"/>
    </row>
    <row r="694" spans="1:14" s="732" customFormat="1" ht="12.75" outlineLevel="1">
      <c r="A694" s="2526" t="s">
        <v>2772</v>
      </c>
      <c r="B694" s="2570" t="s">
        <v>2823</v>
      </c>
      <c r="C694" s="2527" t="s">
        <v>2995</v>
      </c>
      <c r="D694" s="762" t="s">
        <v>8</v>
      </c>
      <c r="E694" s="763">
        <f t="shared" si="36"/>
        <v>457896.93</v>
      </c>
      <c r="F694" s="763">
        <f>SUM(F695:F699)</f>
        <v>277420.3</v>
      </c>
      <c r="G694" s="763">
        <f>SUM(G695:G699)</f>
        <v>180476.63</v>
      </c>
      <c r="H694" s="763">
        <f>SUM(H695:H699)</f>
        <v>0</v>
      </c>
      <c r="I694" s="763">
        <f>SUM(I695:I699)</f>
        <v>0</v>
      </c>
      <c r="J694" s="2570" t="s">
        <v>3007</v>
      </c>
      <c r="K694" s="2528" t="s">
        <v>3011</v>
      </c>
      <c r="L694" s="734"/>
    </row>
    <row r="695" spans="1:14" s="732" customFormat="1" ht="12.75" outlineLevel="1">
      <c r="A695" s="2526"/>
      <c r="B695" s="2571"/>
      <c r="C695" s="2527"/>
      <c r="D695" s="762">
        <v>2021</v>
      </c>
      <c r="E695" s="763">
        <f t="shared" si="36"/>
        <v>0</v>
      </c>
      <c r="F695" s="764">
        <v>0</v>
      </c>
      <c r="G695" s="764">
        <v>0</v>
      </c>
      <c r="H695" s="764">
        <v>0</v>
      </c>
      <c r="I695" s="764">
        <v>0</v>
      </c>
      <c r="J695" s="2571"/>
      <c r="K695" s="2528"/>
      <c r="L695" s="734"/>
    </row>
    <row r="696" spans="1:14" s="732" customFormat="1" ht="12.75" outlineLevel="1">
      <c r="A696" s="2526"/>
      <c r="B696" s="2571"/>
      <c r="C696" s="2527"/>
      <c r="D696" s="762">
        <v>2022</v>
      </c>
      <c r="E696" s="763">
        <f t="shared" si="36"/>
        <v>0</v>
      </c>
      <c r="F696" s="764">
        <v>0</v>
      </c>
      <c r="G696" s="764">
        <v>0</v>
      </c>
      <c r="H696" s="764">
        <v>0</v>
      </c>
      <c r="I696" s="764">
        <v>0</v>
      </c>
      <c r="J696" s="2571"/>
      <c r="K696" s="2528"/>
      <c r="L696" s="734"/>
    </row>
    <row r="697" spans="1:14" s="732" customFormat="1" ht="12.75" outlineLevel="1">
      <c r="A697" s="2526"/>
      <c r="B697" s="2571"/>
      <c r="C697" s="2527"/>
      <c r="D697" s="901">
        <v>2023</v>
      </c>
      <c r="E697" s="763">
        <f t="shared" si="36"/>
        <v>187186.63</v>
      </c>
      <c r="F697" s="764">
        <v>6710</v>
      </c>
      <c r="G697" s="764">
        <v>180476.63</v>
      </c>
      <c r="H697" s="764">
        <v>0</v>
      </c>
      <c r="I697" s="764">
        <v>0</v>
      </c>
      <c r="J697" s="2571"/>
      <c r="K697" s="2528"/>
      <c r="L697" s="734"/>
    </row>
    <row r="698" spans="1:14" s="732" customFormat="1" ht="12.75" outlineLevel="1">
      <c r="A698" s="2526"/>
      <c r="B698" s="2571"/>
      <c r="C698" s="2527"/>
      <c r="D698" s="762">
        <v>2024</v>
      </c>
      <c r="E698" s="763">
        <f t="shared" si="36"/>
        <v>270710.3</v>
      </c>
      <c r="F698" s="764">
        <v>270710.3</v>
      </c>
      <c r="G698" s="764">
        <v>0</v>
      </c>
      <c r="H698" s="764">
        <v>0</v>
      </c>
      <c r="I698" s="764">
        <v>0</v>
      </c>
      <c r="J698" s="2571"/>
      <c r="K698" s="2528"/>
      <c r="L698" s="734"/>
    </row>
    <row r="699" spans="1:14" s="732" customFormat="1" ht="12.75" outlineLevel="1">
      <c r="A699" s="2526"/>
      <c r="B699" s="2572"/>
      <c r="C699" s="2527"/>
      <c r="D699" s="762">
        <v>2025</v>
      </c>
      <c r="E699" s="763">
        <f t="shared" si="36"/>
        <v>0</v>
      </c>
      <c r="F699" s="764">
        <v>0</v>
      </c>
      <c r="G699" s="764">
        <v>0</v>
      </c>
      <c r="H699" s="763">
        <f>SUM(I693:L693)</f>
        <v>0</v>
      </c>
      <c r="I699" s="763">
        <f>SUM(J693:L693)</f>
        <v>0</v>
      </c>
      <c r="J699" s="2572"/>
      <c r="K699" s="2528"/>
      <c r="L699" s="734"/>
    </row>
    <row r="700" spans="1:14" s="732" customFormat="1" ht="12.75" customHeight="1" outlineLevel="1">
      <c r="A700" s="2567" t="s">
        <v>2775</v>
      </c>
      <c r="B700" s="2570" t="s">
        <v>3010</v>
      </c>
      <c r="C700" s="2557">
        <v>2023</v>
      </c>
      <c r="D700" s="762" t="s">
        <v>8</v>
      </c>
      <c r="E700" s="763">
        <f t="shared" si="36"/>
        <v>65440</v>
      </c>
      <c r="F700" s="763">
        <f>SUM(F701:F705)</f>
        <v>0</v>
      </c>
      <c r="G700" s="763">
        <f>SUM(G701:G705)</f>
        <v>65440</v>
      </c>
      <c r="H700" s="763">
        <f>SUM(H701:H705)</f>
        <v>0</v>
      </c>
      <c r="I700" s="763">
        <f>SUM(I701:I705)</f>
        <v>0</v>
      </c>
      <c r="J700" s="2570" t="s">
        <v>3007</v>
      </c>
      <c r="K700" s="2589" t="s">
        <v>3009</v>
      </c>
      <c r="L700" s="734"/>
      <c r="N700" s="733"/>
    </row>
    <row r="701" spans="1:14" s="732" customFormat="1" ht="12.75" customHeight="1" outlineLevel="1">
      <c r="A701" s="2568"/>
      <c r="B701" s="2587"/>
      <c r="C701" s="2558"/>
      <c r="D701" s="762">
        <v>2021</v>
      </c>
      <c r="E701" s="763">
        <f t="shared" si="36"/>
        <v>0</v>
      </c>
      <c r="F701" s="764">
        <v>0</v>
      </c>
      <c r="G701" s="764">
        <v>0</v>
      </c>
      <c r="H701" s="764">
        <v>0</v>
      </c>
      <c r="I701" s="764">
        <v>0</v>
      </c>
      <c r="J701" s="2571"/>
      <c r="K701" s="2528"/>
      <c r="L701" s="734"/>
      <c r="N701" s="733"/>
    </row>
    <row r="702" spans="1:14" s="732" customFormat="1" ht="12.75" customHeight="1" outlineLevel="1">
      <c r="A702" s="2568"/>
      <c r="B702" s="2587"/>
      <c r="C702" s="2558"/>
      <c r="D702" s="762">
        <v>2022</v>
      </c>
      <c r="E702" s="763">
        <f t="shared" si="36"/>
        <v>0</v>
      </c>
      <c r="F702" s="764">
        <v>0</v>
      </c>
      <c r="G702" s="764">
        <v>0</v>
      </c>
      <c r="H702" s="764">
        <v>0</v>
      </c>
      <c r="I702" s="764">
        <v>0</v>
      </c>
      <c r="J702" s="2571"/>
      <c r="K702" s="2528"/>
      <c r="L702" s="734"/>
      <c r="N702" s="733"/>
    </row>
    <row r="703" spans="1:14" s="732" customFormat="1" ht="12.75" customHeight="1" outlineLevel="1">
      <c r="A703" s="2568"/>
      <c r="B703" s="2587"/>
      <c r="C703" s="2558"/>
      <c r="D703" s="901">
        <v>2023</v>
      </c>
      <c r="E703" s="763">
        <f t="shared" si="36"/>
        <v>65440</v>
      </c>
      <c r="F703" s="764">
        <v>0</v>
      </c>
      <c r="G703" s="764">
        <v>65440</v>
      </c>
      <c r="H703" s="764">
        <v>0</v>
      </c>
      <c r="I703" s="764">
        <v>0</v>
      </c>
      <c r="J703" s="2571"/>
      <c r="K703" s="2528"/>
      <c r="L703" s="734"/>
      <c r="N703" s="733"/>
    </row>
    <row r="704" spans="1:14" s="732" customFormat="1" ht="12.75" customHeight="1" outlineLevel="1">
      <c r="A704" s="2568"/>
      <c r="B704" s="2587"/>
      <c r="C704" s="2558"/>
      <c r="D704" s="762">
        <v>2024</v>
      </c>
      <c r="E704" s="763">
        <f t="shared" si="36"/>
        <v>0</v>
      </c>
      <c r="F704" s="764">
        <v>0</v>
      </c>
      <c r="G704" s="764">
        <v>0</v>
      </c>
      <c r="H704" s="764">
        <v>0</v>
      </c>
      <c r="I704" s="764">
        <v>0</v>
      </c>
      <c r="J704" s="2571"/>
      <c r="K704" s="2528"/>
      <c r="L704" s="734"/>
      <c r="N704" s="733"/>
    </row>
    <row r="705" spans="1:14" s="732" customFormat="1" ht="12.75" customHeight="1" outlineLevel="1">
      <c r="A705" s="2569"/>
      <c r="B705" s="2588"/>
      <c r="C705" s="2559"/>
      <c r="D705" s="762">
        <v>2025</v>
      </c>
      <c r="E705" s="763">
        <f t="shared" si="36"/>
        <v>0</v>
      </c>
      <c r="F705" s="764">
        <v>0</v>
      </c>
      <c r="G705" s="764">
        <v>0</v>
      </c>
      <c r="H705" s="763">
        <f>SUM(I699:L699)</f>
        <v>0</v>
      </c>
      <c r="I705" s="763">
        <f>SUM(J699:L699)</f>
        <v>0</v>
      </c>
      <c r="J705" s="2572"/>
      <c r="K705" s="2528"/>
      <c r="L705" s="734"/>
      <c r="N705" s="733"/>
    </row>
    <row r="706" spans="1:14" s="732" customFormat="1" ht="12.75" customHeight="1" outlineLevel="1">
      <c r="A706" s="2526" t="s">
        <v>641</v>
      </c>
      <c r="B706" s="2570" t="s">
        <v>3008</v>
      </c>
      <c r="C706" s="2557">
        <v>2023</v>
      </c>
      <c r="D706" s="762" t="s">
        <v>8</v>
      </c>
      <c r="E706" s="763">
        <f t="shared" si="36"/>
        <v>51403.11</v>
      </c>
      <c r="F706" s="763">
        <f>SUM(F707:F711)</f>
        <v>0</v>
      </c>
      <c r="G706" s="763">
        <f>SUM(G707:G711)</f>
        <v>51403.11</v>
      </c>
      <c r="H706" s="763">
        <f>SUM(H707:H711)</f>
        <v>0</v>
      </c>
      <c r="I706" s="763">
        <f>SUM(I707:I711)</f>
        <v>0</v>
      </c>
      <c r="J706" s="2570" t="s">
        <v>3007</v>
      </c>
      <c r="K706" s="2589" t="s">
        <v>3006</v>
      </c>
      <c r="L706" s="734"/>
      <c r="N706" s="733"/>
    </row>
    <row r="707" spans="1:14" s="732" customFormat="1" ht="12.75" outlineLevel="1">
      <c r="A707" s="2526"/>
      <c r="B707" s="2571"/>
      <c r="C707" s="2558"/>
      <c r="D707" s="762">
        <v>2021</v>
      </c>
      <c r="E707" s="763">
        <f t="shared" si="36"/>
        <v>0</v>
      </c>
      <c r="F707" s="764">
        <v>0</v>
      </c>
      <c r="G707" s="764">
        <v>0</v>
      </c>
      <c r="H707" s="764">
        <v>0</v>
      </c>
      <c r="I707" s="764">
        <v>0</v>
      </c>
      <c r="J707" s="2571"/>
      <c r="K707" s="2528"/>
      <c r="L707" s="734"/>
      <c r="N707" s="733"/>
    </row>
    <row r="708" spans="1:14" s="732" customFormat="1" ht="12.75" outlineLevel="1">
      <c r="A708" s="2526"/>
      <c r="B708" s="2571"/>
      <c r="C708" s="2558"/>
      <c r="D708" s="762">
        <v>2022</v>
      </c>
      <c r="E708" s="763">
        <f t="shared" si="36"/>
        <v>0</v>
      </c>
      <c r="F708" s="764">
        <v>0</v>
      </c>
      <c r="G708" s="764">
        <v>0</v>
      </c>
      <c r="H708" s="764">
        <v>0</v>
      </c>
      <c r="I708" s="764">
        <v>0</v>
      </c>
      <c r="J708" s="2571"/>
      <c r="K708" s="2528"/>
      <c r="L708" s="734"/>
      <c r="N708" s="733"/>
    </row>
    <row r="709" spans="1:14" s="732" customFormat="1" ht="12.75" outlineLevel="1">
      <c r="A709" s="2526"/>
      <c r="B709" s="2571"/>
      <c r="C709" s="2558"/>
      <c r="D709" s="901">
        <v>2023</v>
      </c>
      <c r="E709" s="763">
        <f t="shared" si="36"/>
        <v>51403.11</v>
      </c>
      <c r="F709" s="764">
        <v>0</v>
      </c>
      <c r="G709" s="764">
        <v>51403.11</v>
      </c>
      <c r="H709" s="764">
        <v>0</v>
      </c>
      <c r="I709" s="764">
        <v>0</v>
      </c>
      <c r="J709" s="2571"/>
      <c r="K709" s="2528"/>
      <c r="L709" s="734"/>
      <c r="N709" s="733"/>
    </row>
    <row r="710" spans="1:14" s="732" customFormat="1" ht="12.75" outlineLevel="1">
      <c r="A710" s="2526"/>
      <c r="B710" s="2571"/>
      <c r="C710" s="2558"/>
      <c r="D710" s="762">
        <v>2024</v>
      </c>
      <c r="E710" s="763">
        <f t="shared" si="36"/>
        <v>0</v>
      </c>
      <c r="F710" s="764">
        <v>0</v>
      </c>
      <c r="G710" s="764">
        <v>0</v>
      </c>
      <c r="H710" s="764">
        <v>0</v>
      </c>
      <c r="I710" s="764">
        <v>0</v>
      </c>
      <c r="J710" s="2571"/>
      <c r="K710" s="2528"/>
      <c r="L710" s="734"/>
      <c r="N710" s="733"/>
    </row>
    <row r="711" spans="1:14" s="732" customFormat="1" ht="12.75" outlineLevel="1">
      <c r="A711" s="2526"/>
      <c r="B711" s="2572"/>
      <c r="C711" s="2559"/>
      <c r="D711" s="762">
        <v>2025</v>
      </c>
      <c r="E711" s="763">
        <f t="shared" si="36"/>
        <v>0</v>
      </c>
      <c r="F711" s="764">
        <v>0</v>
      </c>
      <c r="G711" s="764">
        <v>0</v>
      </c>
      <c r="H711" s="763">
        <f>SUM(I705:L705)</f>
        <v>0</v>
      </c>
      <c r="I711" s="763">
        <f>SUM(J705:L705)</f>
        <v>0</v>
      </c>
      <c r="J711" s="2572"/>
      <c r="K711" s="2528"/>
      <c r="L711" s="734"/>
      <c r="N711" s="733"/>
    </row>
    <row r="712" spans="1:14">
      <c r="A712" s="2551" t="s">
        <v>2884</v>
      </c>
      <c r="B712" s="2554" t="s">
        <v>631</v>
      </c>
      <c r="C712" s="2575" t="s">
        <v>2989</v>
      </c>
      <c r="D712" s="762" t="s">
        <v>8</v>
      </c>
      <c r="E712" s="766">
        <f t="shared" si="36"/>
        <v>1328210.8980899998</v>
      </c>
      <c r="F712" s="766">
        <f>SUM(F713:F717)</f>
        <v>735152.66107999999</v>
      </c>
      <c r="G712" s="766">
        <f>SUM(G713:G717)</f>
        <v>562487.59899999993</v>
      </c>
      <c r="H712" s="766">
        <f>SUM(H713:H717)</f>
        <v>30570.638009999973</v>
      </c>
      <c r="I712" s="766">
        <f>SUM(I713:I717)</f>
        <v>0</v>
      </c>
      <c r="J712" s="2505" t="s">
        <v>2822</v>
      </c>
      <c r="K712" s="2505" t="s">
        <v>3005</v>
      </c>
    </row>
    <row r="713" spans="1:14" ht="14.25" customHeight="1">
      <c r="A713" s="2552"/>
      <c r="B713" s="2555"/>
      <c r="C713" s="2576"/>
      <c r="D713" s="762">
        <v>2021</v>
      </c>
      <c r="E713" s="766">
        <f t="shared" si="36"/>
        <v>277483.179</v>
      </c>
      <c r="F713" s="766">
        <f t="shared" ref="F713:I717" si="39">F719+F725+F731+F737</f>
        <v>19160.86</v>
      </c>
      <c r="G713" s="766">
        <f t="shared" si="39"/>
        <v>257488.69899999999</v>
      </c>
      <c r="H713" s="766">
        <f t="shared" si="39"/>
        <v>833.61999999999989</v>
      </c>
      <c r="I713" s="766">
        <f t="shared" si="39"/>
        <v>0</v>
      </c>
      <c r="J713" s="2505"/>
      <c r="K713" s="2505"/>
    </row>
    <row r="714" spans="1:14">
      <c r="A714" s="2552"/>
      <c r="B714" s="2555"/>
      <c r="C714" s="2576"/>
      <c r="D714" s="762">
        <v>2022</v>
      </c>
      <c r="E714" s="766">
        <f t="shared" si="36"/>
        <v>684506.5541999999</v>
      </c>
      <c r="F714" s="766">
        <f t="shared" si="39"/>
        <v>488280.63192999997</v>
      </c>
      <c r="G714" s="766">
        <f t="shared" si="39"/>
        <v>177607.9</v>
      </c>
      <c r="H714" s="766">
        <f t="shared" si="39"/>
        <v>18618.022270000001</v>
      </c>
      <c r="I714" s="766">
        <f t="shared" si="39"/>
        <v>0</v>
      </c>
      <c r="J714" s="2505"/>
      <c r="K714" s="2505"/>
    </row>
    <row r="715" spans="1:14">
      <c r="A715" s="2552"/>
      <c r="B715" s="2555"/>
      <c r="C715" s="2576"/>
      <c r="D715" s="808">
        <v>2023</v>
      </c>
      <c r="E715" s="812">
        <f t="shared" si="36"/>
        <v>139473.16488999996</v>
      </c>
      <c r="F715" s="812">
        <f t="shared" si="39"/>
        <v>11675.569150000007</v>
      </c>
      <c r="G715" s="812">
        <f t="shared" si="39"/>
        <v>127391</v>
      </c>
      <c r="H715" s="812">
        <f t="shared" si="39"/>
        <v>406.59573999997519</v>
      </c>
      <c r="I715" s="812">
        <f t="shared" si="39"/>
        <v>0</v>
      </c>
      <c r="J715" s="2505"/>
      <c r="K715" s="2505"/>
    </row>
    <row r="716" spans="1:14">
      <c r="A716" s="2552"/>
      <c r="B716" s="2555"/>
      <c r="C716" s="2576"/>
      <c r="D716" s="762">
        <v>2024</v>
      </c>
      <c r="E716" s="766">
        <f t="shared" si="36"/>
        <v>220498</v>
      </c>
      <c r="F716" s="766">
        <f t="shared" si="39"/>
        <v>209785.60000000001</v>
      </c>
      <c r="G716" s="766">
        <f t="shared" si="39"/>
        <v>0</v>
      </c>
      <c r="H716" s="766">
        <f t="shared" si="39"/>
        <v>10712.4</v>
      </c>
      <c r="I716" s="766">
        <f t="shared" si="39"/>
        <v>0</v>
      </c>
      <c r="J716" s="2505"/>
      <c r="K716" s="2505"/>
    </row>
    <row r="717" spans="1:14">
      <c r="A717" s="2553"/>
      <c r="B717" s="2556"/>
      <c r="C717" s="2577"/>
      <c r="D717" s="762">
        <v>2025</v>
      </c>
      <c r="E717" s="766">
        <f t="shared" si="36"/>
        <v>6250</v>
      </c>
      <c r="F717" s="766">
        <f t="shared" si="39"/>
        <v>6250</v>
      </c>
      <c r="G717" s="766">
        <f t="shared" si="39"/>
        <v>0</v>
      </c>
      <c r="H717" s="766">
        <f t="shared" si="39"/>
        <v>0</v>
      </c>
      <c r="I717" s="766">
        <f t="shared" si="39"/>
        <v>0</v>
      </c>
      <c r="J717" s="2505"/>
      <c r="K717" s="2505"/>
    </row>
    <row r="718" spans="1:14" ht="21" customHeight="1">
      <c r="A718" s="2526" t="s">
        <v>3004</v>
      </c>
      <c r="B718" s="2565" t="s">
        <v>215</v>
      </c>
      <c r="C718" s="2527" t="s">
        <v>2989</v>
      </c>
      <c r="D718" s="762" t="s">
        <v>8</v>
      </c>
      <c r="E718" s="763">
        <f t="shared" si="36"/>
        <v>25746.25</v>
      </c>
      <c r="F718" s="763">
        <f>SUM(F719:F723)</f>
        <v>25746.25</v>
      </c>
      <c r="G718" s="763">
        <f>SUM(G719:G723)</f>
        <v>0</v>
      </c>
      <c r="H718" s="763">
        <f>SUM(H719:H723)</f>
        <v>0</v>
      </c>
      <c r="I718" s="763">
        <f>SUM(I719:I723)</f>
        <v>0</v>
      </c>
      <c r="J718" s="2528" t="s">
        <v>3003</v>
      </c>
      <c r="K718" s="2528" t="s">
        <v>2799</v>
      </c>
      <c r="L718" s="2590" t="s">
        <v>3002</v>
      </c>
    </row>
    <row r="719" spans="1:14" ht="21" customHeight="1">
      <c r="A719" s="2526"/>
      <c r="B719" s="2565"/>
      <c r="C719" s="2527"/>
      <c r="D719" s="762">
        <v>2021</v>
      </c>
      <c r="E719" s="763">
        <f t="shared" si="36"/>
        <v>3320.7</v>
      </c>
      <c r="F719" s="764">
        <v>3320.7</v>
      </c>
      <c r="G719" s="764">
        <v>0</v>
      </c>
      <c r="H719" s="764">
        <v>0</v>
      </c>
      <c r="I719" s="764">
        <v>0</v>
      </c>
      <c r="J719" s="2528"/>
      <c r="K719" s="2528"/>
      <c r="L719" s="2590"/>
    </row>
    <row r="720" spans="1:14" ht="21" customHeight="1">
      <c r="A720" s="2526"/>
      <c r="B720" s="2565"/>
      <c r="C720" s="2527"/>
      <c r="D720" s="762">
        <v>2022</v>
      </c>
      <c r="E720" s="763">
        <f t="shared" si="36"/>
        <v>5975.3</v>
      </c>
      <c r="F720" s="763">
        <v>5975.3</v>
      </c>
      <c r="G720" s="764">
        <v>0</v>
      </c>
      <c r="H720" s="764">
        <v>0</v>
      </c>
      <c r="I720" s="764">
        <v>0</v>
      </c>
      <c r="J720" s="2528"/>
      <c r="K720" s="2528"/>
      <c r="L720" s="2590"/>
    </row>
    <row r="721" spans="1:12" ht="21" customHeight="1">
      <c r="A721" s="2526"/>
      <c r="B721" s="2565"/>
      <c r="C721" s="2527"/>
      <c r="D721" s="903">
        <v>2023</v>
      </c>
      <c r="E721" s="763">
        <f t="shared" si="36"/>
        <v>3950.25</v>
      </c>
      <c r="F721" s="763">
        <f>6250-2299.75</f>
        <v>3950.25</v>
      </c>
      <c r="G721" s="764">
        <v>0</v>
      </c>
      <c r="H721" s="764">
        <v>0</v>
      </c>
      <c r="I721" s="764">
        <v>0</v>
      </c>
      <c r="J721" s="2528"/>
      <c r="K721" s="2528"/>
      <c r="L721" s="2590"/>
    </row>
    <row r="722" spans="1:12" ht="21" customHeight="1">
      <c r="A722" s="2526"/>
      <c r="B722" s="2565"/>
      <c r="C722" s="2527"/>
      <c r="D722" s="762">
        <v>2024</v>
      </c>
      <c r="E722" s="763">
        <f t="shared" si="36"/>
        <v>6250</v>
      </c>
      <c r="F722" s="763">
        <v>6250</v>
      </c>
      <c r="G722" s="764">
        <v>0</v>
      </c>
      <c r="H722" s="764">
        <v>0</v>
      </c>
      <c r="I722" s="764">
        <v>0</v>
      </c>
      <c r="J722" s="2528"/>
      <c r="K722" s="2528"/>
      <c r="L722" s="2590"/>
    </row>
    <row r="723" spans="1:12" ht="21" customHeight="1">
      <c r="A723" s="2526"/>
      <c r="B723" s="2565"/>
      <c r="C723" s="2527"/>
      <c r="D723" s="762">
        <v>2025</v>
      </c>
      <c r="E723" s="763">
        <f t="shared" si="36"/>
        <v>6250</v>
      </c>
      <c r="F723" s="764">
        <v>6250</v>
      </c>
      <c r="G723" s="764">
        <v>0</v>
      </c>
      <c r="H723" s="764">
        <v>0</v>
      </c>
      <c r="I723" s="764">
        <v>0</v>
      </c>
      <c r="J723" s="2528"/>
      <c r="K723" s="2528"/>
      <c r="L723" s="2590"/>
    </row>
    <row r="724" spans="1:12" ht="20.25" customHeight="1">
      <c r="A724" s="2578" t="s">
        <v>3001</v>
      </c>
      <c r="B724" s="2519" t="s">
        <v>2839</v>
      </c>
      <c r="C724" s="2521" t="s">
        <v>2999</v>
      </c>
      <c r="D724" s="727" t="s">
        <v>8</v>
      </c>
      <c r="E724" s="726">
        <f t="shared" si="36"/>
        <v>447152.68754999997</v>
      </c>
      <c r="F724" s="726">
        <f>SUM(F725:F729)</f>
        <v>316032.67813999997</v>
      </c>
      <c r="G724" s="726">
        <f>SUM(G725:G729)</f>
        <v>121253.24804000001</v>
      </c>
      <c r="H724" s="726">
        <f>SUM(H725:H729)</f>
        <v>9866.7613700000002</v>
      </c>
      <c r="I724" s="726">
        <f>SUM(I725:I729)</f>
        <v>0</v>
      </c>
      <c r="J724" s="2523" t="s">
        <v>3000</v>
      </c>
      <c r="K724" s="2523" t="s">
        <v>2993</v>
      </c>
      <c r="L724" s="2550"/>
    </row>
    <row r="725" spans="1:12" ht="20.25" customHeight="1">
      <c r="A725" s="2578"/>
      <c r="B725" s="2519"/>
      <c r="C725" s="2521"/>
      <c r="D725" s="727">
        <v>2021</v>
      </c>
      <c r="E725" s="726">
        <f t="shared" si="36"/>
        <v>94469.148000000001</v>
      </c>
      <c r="F725" s="725">
        <v>5458.1030000000001</v>
      </c>
      <c r="G725" s="725">
        <v>88723.845000000001</v>
      </c>
      <c r="H725" s="725">
        <v>287.2</v>
      </c>
      <c r="I725" s="725">
        <v>0</v>
      </c>
      <c r="J725" s="2523"/>
      <c r="K725" s="2523"/>
      <c r="L725" s="2550"/>
    </row>
    <row r="726" spans="1:12" ht="20.25" customHeight="1">
      <c r="A726" s="2578"/>
      <c r="B726" s="2519"/>
      <c r="C726" s="2521"/>
      <c r="D726" s="727">
        <v>2022</v>
      </c>
      <c r="E726" s="726">
        <f t="shared" si="36"/>
        <v>352683.53954999999</v>
      </c>
      <c r="F726" s="725">
        <v>310574.57513999997</v>
      </c>
      <c r="G726" s="725">
        <v>32529.403040000001</v>
      </c>
      <c r="H726" s="725">
        <v>9579.5613699999994</v>
      </c>
      <c r="I726" s="725">
        <v>0</v>
      </c>
      <c r="J726" s="2523"/>
      <c r="K726" s="2523"/>
      <c r="L726" s="2550"/>
    </row>
    <row r="727" spans="1:12" ht="20.25" customHeight="1">
      <c r="A727" s="2578"/>
      <c r="B727" s="2519"/>
      <c r="C727" s="2521"/>
      <c r="D727" s="727">
        <v>2023</v>
      </c>
      <c r="E727" s="726">
        <f t="shared" si="36"/>
        <v>0</v>
      </c>
      <c r="F727" s="725">
        <v>0</v>
      </c>
      <c r="G727" s="725">
        <v>0</v>
      </c>
      <c r="H727" s="725">
        <v>0</v>
      </c>
      <c r="I727" s="725">
        <v>0</v>
      </c>
      <c r="J727" s="2523"/>
      <c r="K727" s="2523"/>
      <c r="L727" s="2550"/>
    </row>
    <row r="728" spans="1:12" ht="20.25" customHeight="1">
      <c r="A728" s="2578"/>
      <c r="B728" s="2519"/>
      <c r="C728" s="2521"/>
      <c r="D728" s="727">
        <v>2024</v>
      </c>
      <c r="E728" s="726">
        <f t="shared" si="36"/>
        <v>0</v>
      </c>
      <c r="F728" s="725">
        <v>0</v>
      </c>
      <c r="G728" s="725">
        <v>0</v>
      </c>
      <c r="H728" s="725">
        <v>0</v>
      </c>
      <c r="I728" s="725">
        <v>0</v>
      </c>
      <c r="J728" s="2523"/>
      <c r="K728" s="2523"/>
      <c r="L728" s="2550"/>
    </row>
    <row r="729" spans="1:12" ht="20.25" customHeight="1">
      <c r="A729" s="2578"/>
      <c r="B729" s="2519"/>
      <c r="C729" s="2521"/>
      <c r="D729" s="727">
        <v>2025</v>
      </c>
      <c r="E729" s="726">
        <f t="shared" si="36"/>
        <v>0</v>
      </c>
      <c r="F729" s="731">
        <v>0</v>
      </c>
      <c r="G729" s="725">
        <v>0</v>
      </c>
      <c r="H729" s="725">
        <v>0</v>
      </c>
      <c r="I729" s="725">
        <v>0</v>
      </c>
      <c r="J729" s="2523"/>
      <c r="K729" s="2523"/>
      <c r="L729" s="2550"/>
    </row>
    <row r="730" spans="1:12" ht="15" customHeight="1">
      <c r="A730" s="2578" t="s">
        <v>2886</v>
      </c>
      <c r="B730" s="2519" t="s">
        <v>2841</v>
      </c>
      <c r="C730" s="2521" t="s">
        <v>2999</v>
      </c>
      <c r="D730" s="727" t="s">
        <v>8</v>
      </c>
      <c r="E730" s="726">
        <f t="shared" ref="E730:E759" si="40">SUM(F730:I730)</f>
        <v>508717.68395999999</v>
      </c>
      <c r="F730" s="726">
        <v>242209.413</v>
      </c>
      <c r="G730" s="726">
        <v>253746.75095999998</v>
      </c>
      <c r="H730" s="726">
        <v>12761.52</v>
      </c>
      <c r="I730" s="726">
        <f>SUM(I731:I735)</f>
        <v>0</v>
      </c>
      <c r="J730" s="2523" t="s">
        <v>2998</v>
      </c>
      <c r="K730" s="2523" t="s">
        <v>2993</v>
      </c>
    </row>
    <row r="731" spans="1:12">
      <c r="A731" s="2578"/>
      <c r="B731" s="2519"/>
      <c r="C731" s="2521"/>
      <c r="D731" s="727">
        <v>2021</v>
      </c>
      <c r="E731" s="726">
        <f t="shared" si="40"/>
        <v>179693.33100000001</v>
      </c>
      <c r="F731" s="725">
        <v>10382.057000000001</v>
      </c>
      <c r="G731" s="725">
        <v>168764.85399999999</v>
      </c>
      <c r="H731" s="725">
        <v>546.41999999999996</v>
      </c>
      <c r="I731" s="725">
        <v>0</v>
      </c>
      <c r="J731" s="2523"/>
      <c r="K731" s="2523"/>
    </row>
    <row r="732" spans="1:12">
      <c r="A732" s="2578"/>
      <c r="B732" s="2519"/>
      <c r="C732" s="2521"/>
      <c r="D732" s="727">
        <v>2022</v>
      </c>
      <c r="E732" s="726">
        <f t="shared" si="40"/>
        <v>325847.71465000004</v>
      </c>
      <c r="F732" s="725">
        <v>171730.75679000001</v>
      </c>
      <c r="G732" s="725">
        <v>145078.49695999999</v>
      </c>
      <c r="H732" s="725">
        <v>9038.4609</v>
      </c>
      <c r="I732" s="725">
        <v>0</v>
      </c>
      <c r="J732" s="2523"/>
      <c r="K732" s="2523"/>
    </row>
    <row r="733" spans="1:12">
      <c r="A733" s="2578"/>
      <c r="B733" s="2519"/>
      <c r="C733" s="2521"/>
      <c r="D733" s="727">
        <v>2023</v>
      </c>
      <c r="E733" s="726">
        <f t="shared" si="40"/>
        <v>0</v>
      </c>
      <c r="F733" s="725">
        <v>0</v>
      </c>
      <c r="G733" s="725">
        <v>0</v>
      </c>
      <c r="H733" s="725">
        <v>0</v>
      </c>
      <c r="I733" s="725">
        <v>0</v>
      </c>
      <c r="J733" s="2523"/>
      <c r="K733" s="2523"/>
    </row>
    <row r="734" spans="1:12">
      <c r="A734" s="2578"/>
      <c r="B734" s="2519"/>
      <c r="C734" s="2521"/>
      <c r="D734" s="727">
        <v>2024</v>
      </c>
      <c r="E734" s="726">
        <f t="shared" si="40"/>
        <v>0</v>
      </c>
      <c r="F734" s="725">
        <v>0</v>
      </c>
      <c r="G734" s="725">
        <v>0</v>
      </c>
      <c r="H734" s="725">
        <v>0</v>
      </c>
      <c r="I734" s="725">
        <v>0</v>
      </c>
      <c r="J734" s="2523"/>
      <c r="K734" s="2523"/>
    </row>
    <row r="735" spans="1:12">
      <c r="A735" s="2578"/>
      <c r="B735" s="2519"/>
      <c r="C735" s="2521"/>
      <c r="D735" s="727">
        <v>2025</v>
      </c>
      <c r="E735" s="726">
        <f t="shared" si="40"/>
        <v>0</v>
      </c>
      <c r="F735" s="731">
        <v>0</v>
      </c>
      <c r="G735" s="725">
        <v>0</v>
      </c>
      <c r="H735" s="725">
        <v>0</v>
      </c>
      <c r="I735" s="725">
        <v>0</v>
      </c>
      <c r="J735" s="2523"/>
      <c r="K735" s="2523"/>
    </row>
    <row r="736" spans="1:12">
      <c r="A736" s="2526" t="s">
        <v>2997</v>
      </c>
      <c r="B736" s="2565" t="s">
        <v>2996</v>
      </c>
      <c r="C736" s="2527" t="s">
        <v>2995</v>
      </c>
      <c r="D736" s="762" t="s">
        <v>8</v>
      </c>
      <c r="E736" s="763">
        <f t="shared" si="40"/>
        <v>349770.91488999996</v>
      </c>
      <c r="F736" s="763">
        <f>SUM(F737:F741)</f>
        <v>211260.91915</v>
      </c>
      <c r="G736" s="763">
        <f>SUM(G737:G741)</f>
        <v>127391</v>
      </c>
      <c r="H736" s="763">
        <f>SUM(H737:H741)</f>
        <v>11118.995739999975</v>
      </c>
      <c r="I736" s="763">
        <f>SUM(I737:I741)</f>
        <v>0</v>
      </c>
      <c r="J736" s="2528" t="s">
        <v>2994</v>
      </c>
      <c r="K736" s="2528" t="s">
        <v>2993</v>
      </c>
    </row>
    <row r="737" spans="1:13">
      <c r="A737" s="2526"/>
      <c r="B737" s="2565"/>
      <c r="C737" s="2527"/>
      <c r="D737" s="762">
        <v>2021</v>
      </c>
      <c r="E737" s="763">
        <f t="shared" si="40"/>
        <v>0</v>
      </c>
      <c r="F737" s="764">
        <v>0</v>
      </c>
      <c r="G737" s="764">
        <v>0</v>
      </c>
      <c r="H737" s="773">
        <v>0</v>
      </c>
      <c r="I737" s="764">
        <v>0</v>
      </c>
      <c r="J737" s="2528"/>
      <c r="K737" s="2528"/>
    </row>
    <row r="738" spans="1:13">
      <c r="A738" s="2526"/>
      <c r="B738" s="2565"/>
      <c r="C738" s="2527"/>
      <c r="D738" s="762">
        <v>2022</v>
      </c>
      <c r="E738" s="763">
        <f t="shared" si="40"/>
        <v>0</v>
      </c>
      <c r="F738" s="764">
        <v>0</v>
      </c>
      <c r="G738" s="764">
        <v>0</v>
      </c>
      <c r="H738" s="764">
        <v>0</v>
      </c>
      <c r="I738" s="764">
        <v>0</v>
      </c>
      <c r="J738" s="2528"/>
      <c r="K738" s="2528"/>
    </row>
    <row r="739" spans="1:13">
      <c r="A739" s="2526"/>
      <c r="B739" s="2565"/>
      <c r="C739" s="2527"/>
      <c r="D739" s="903">
        <v>2023</v>
      </c>
      <c r="E739" s="763">
        <f t="shared" si="40"/>
        <v>135522.91488999996</v>
      </c>
      <c r="F739" s="764">
        <f>(135116319.15-127391000)/1000</f>
        <v>7725.3191500000057</v>
      </c>
      <c r="G739" s="764">
        <v>127391</v>
      </c>
      <c r="H739" s="764">
        <f>135522914.89/1000-F739-G739</f>
        <v>406.59573999997519</v>
      </c>
      <c r="I739" s="764">
        <v>0</v>
      </c>
      <c r="J739" s="2528"/>
      <c r="K739" s="2528"/>
    </row>
    <row r="740" spans="1:13">
      <c r="A740" s="2526"/>
      <c r="B740" s="2565"/>
      <c r="C740" s="2527"/>
      <c r="D740" s="762">
        <v>2024</v>
      </c>
      <c r="E740" s="763">
        <f t="shared" si="40"/>
        <v>214248</v>
      </c>
      <c r="F740" s="764">
        <v>203535.6</v>
      </c>
      <c r="G740" s="764">
        <v>0</v>
      </c>
      <c r="H740" s="764">
        <v>10712.4</v>
      </c>
      <c r="I740" s="764">
        <v>0</v>
      </c>
      <c r="J740" s="2528"/>
      <c r="K740" s="2528"/>
    </row>
    <row r="741" spans="1:13">
      <c r="A741" s="2526"/>
      <c r="B741" s="2565"/>
      <c r="C741" s="2527"/>
      <c r="D741" s="762">
        <v>2025</v>
      </c>
      <c r="E741" s="763">
        <f t="shared" si="40"/>
        <v>0</v>
      </c>
      <c r="F741" s="764">
        <v>0</v>
      </c>
      <c r="G741" s="764">
        <v>0</v>
      </c>
      <c r="H741" s="764">
        <v>0</v>
      </c>
      <c r="I741" s="764">
        <v>0</v>
      </c>
      <c r="J741" s="2528"/>
      <c r="K741" s="2528"/>
    </row>
    <row r="742" spans="1:13" ht="15" customHeight="1">
      <c r="A742" s="2502" t="s">
        <v>689</v>
      </c>
      <c r="B742" s="2503" t="s">
        <v>2794</v>
      </c>
      <c r="C742" s="2504" t="s">
        <v>2989</v>
      </c>
      <c r="D742" s="765" t="s">
        <v>8</v>
      </c>
      <c r="E742" s="766">
        <f t="shared" si="40"/>
        <v>254013.038</v>
      </c>
      <c r="F742" s="766">
        <f>SUM(F743:F747)</f>
        <v>254013.038</v>
      </c>
      <c r="G742" s="768">
        <f>SUM(G743:G747)</f>
        <v>0</v>
      </c>
      <c r="H742" s="768">
        <f>SUM(H743:H747)</f>
        <v>0</v>
      </c>
      <c r="I742" s="768">
        <f>SUM(I743:I747)</f>
        <v>0</v>
      </c>
      <c r="J742" s="2591"/>
      <c r="K742" s="2505" t="s">
        <v>2799</v>
      </c>
    </row>
    <row r="743" spans="1:13">
      <c r="A743" s="2502"/>
      <c r="B743" s="2503"/>
      <c r="C743" s="2504"/>
      <c r="D743" s="765">
        <v>2021</v>
      </c>
      <c r="E743" s="766">
        <f t="shared" si="40"/>
        <v>40456.699999999997</v>
      </c>
      <c r="F743" s="768">
        <f t="shared" ref="F743:I747" si="41">F749</f>
        <v>40456.699999999997</v>
      </c>
      <c r="G743" s="768">
        <f t="shared" si="41"/>
        <v>0</v>
      </c>
      <c r="H743" s="768">
        <f t="shared" si="41"/>
        <v>0</v>
      </c>
      <c r="I743" s="768">
        <f t="shared" si="41"/>
        <v>0</v>
      </c>
      <c r="J743" s="2591"/>
      <c r="K743" s="2505"/>
    </row>
    <row r="744" spans="1:13">
      <c r="A744" s="2502"/>
      <c r="B744" s="2503"/>
      <c r="C744" s="2504"/>
      <c r="D744" s="765">
        <v>2022</v>
      </c>
      <c r="E744" s="766">
        <f t="shared" si="40"/>
        <v>50867.625999999997</v>
      </c>
      <c r="F744" s="768">
        <f t="shared" si="41"/>
        <v>50867.625999999997</v>
      </c>
      <c r="G744" s="768">
        <f t="shared" si="41"/>
        <v>0</v>
      </c>
      <c r="H744" s="768">
        <f t="shared" si="41"/>
        <v>0</v>
      </c>
      <c r="I744" s="768">
        <f t="shared" si="41"/>
        <v>0</v>
      </c>
      <c r="J744" s="2591"/>
      <c r="K744" s="2505"/>
    </row>
    <row r="745" spans="1:13">
      <c r="A745" s="2502"/>
      <c r="B745" s="2503"/>
      <c r="C745" s="2504"/>
      <c r="D745" s="904">
        <v>2023</v>
      </c>
      <c r="E745" s="812">
        <f t="shared" si="40"/>
        <v>54125.195</v>
      </c>
      <c r="F745" s="813">
        <f t="shared" si="41"/>
        <v>54125.195</v>
      </c>
      <c r="G745" s="813">
        <f t="shared" si="41"/>
        <v>0</v>
      </c>
      <c r="H745" s="813">
        <f t="shared" si="41"/>
        <v>0</v>
      </c>
      <c r="I745" s="813">
        <f t="shared" si="41"/>
        <v>0</v>
      </c>
      <c r="J745" s="2591"/>
      <c r="K745" s="2505"/>
    </row>
    <row r="746" spans="1:13">
      <c r="A746" s="2502"/>
      <c r="B746" s="2503"/>
      <c r="C746" s="2504"/>
      <c r="D746" s="904">
        <v>2024</v>
      </c>
      <c r="E746" s="766">
        <f t="shared" si="40"/>
        <v>54249.398000000001</v>
      </c>
      <c r="F746" s="768">
        <f t="shared" si="41"/>
        <v>54249.398000000001</v>
      </c>
      <c r="G746" s="768">
        <f t="shared" si="41"/>
        <v>0</v>
      </c>
      <c r="H746" s="768">
        <f t="shared" si="41"/>
        <v>0</v>
      </c>
      <c r="I746" s="768">
        <f t="shared" si="41"/>
        <v>0</v>
      </c>
      <c r="J746" s="2591"/>
      <c r="K746" s="2505"/>
    </row>
    <row r="747" spans="1:13" ht="19.5" customHeight="1">
      <c r="A747" s="2502"/>
      <c r="B747" s="2503"/>
      <c r="C747" s="2504"/>
      <c r="D747" s="904">
        <v>2025</v>
      </c>
      <c r="E747" s="766">
        <f t="shared" si="40"/>
        <v>54314.118999999999</v>
      </c>
      <c r="F747" s="768">
        <f t="shared" si="41"/>
        <v>54314.118999999999</v>
      </c>
      <c r="G747" s="768">
        <f t="shared" si="41"/>
        <v>0</v>
      </c>
      <c r="H747" s="768">
        <f t="shared" si="41"/>
        <v>0</v>
      </c>
      <c r="I747" s="768">
        <f t="shared" si="41"/>
        <v>0</v>
      </c>
      <c r="J747" s="2591"/>
      <c r="K747" s="2505"/>
    </row>
    <row r="748" spans="1:13">
      <c r="A748" s="2502" t="s">
        <v>2992</v>
      </c>
      <c r="B748" s="2503" t="s">
        <v>132</v>
      </c>
      <c r="C748" s="2504" t="s">
        <v>2989</v>
      </c>
      <c r="D748" s="904" t="s">
        <v>8</v>
      </c>
      <c r="E748" s="766">
        <f t="shared" si="40"/>
        <v>254013.038</v>
      </c>
      <c r="F748" s="766">
        <f>SUM(F749:F753)</f>
        <v>254013.038</v>
      </c>
      <c r="G748" s="766">
        <f>SUM(G749:G753)</f>
        <v>0</v>
      </c>
      <c r="H748" s="766">
        <f>SUM(H749:H753)</f>
        <v>0</v>
      </c>
      <c r="I748" s="766">
        <f>SUM(I749:I753)</f>
        <v>0</v>
      </c>
      <c r="J748" s="2505" t="s">
        <v>2991</v>
      </c>
      <c r="K748" s="2505" t="s">
        <v>2799</v>
      </c>
    </row>
    <row r="749" spans="1:13">
      <c r="A749" s="2502"/>
      <c r="B749" s="2503"/>
      <c r="C749" s="2504"/>
      <c r="D749" s="904">
        <v>2021</v>
      </c>
      <c r="E749" s="766">
        <f t="shared" si="40"/>
        <v>40456.699999999997</v>
      </c>
      <c r="F749" s="768">
        <f t="shared" ref="F749:I753" si="42">F755</f>
        <v>40456.699999999997</v>
      </c>
      <c r="G749" s="768">
        <f t="shared" si="42"/>
        <v>0</v>
      </c>
      <c r="H749" s="768">
        <f t="shared" si="42"/>
        <v>0</v>
      </c>
      <c r="I749" s="768">
        <f t="shared" si="42"/>
        <v>0</v>
      </c>
      <c r="J749" s="2505"/>
      <c r="K749" s="2505"/>
    </row>
    <row r="750" spans="1:13" s="716" customFormat="1">
      <c r="A750" s="2502"/>
      <c r="B750" s="2503"/>
      <c r="C750" s="2504"/>
      <c r="D750" s="904">
        <v>2022</v>
      </c>
      <c r="E750" s="766">
        <f t="shared" si="40"/>
        <v>50867.625999999997</v>
      </c>
      <c r="F750" s="768">
        <f t="shared" si="42"/>
        <v>50867.625999999997</v>
      </c>
      <c r="G750" s="768">
        <f t="shared" si="42"/>
        <v>0</v>
      </c>
      <c r="H750" s="768">
        <f t="shared" si="42"/>
        <v>0</v>
      </c>
      <c r="I750" s="768">
        <f t="shared" si="42"/>
        <v>0</v>
      </c>
      <c r="J750" s="2505"/>
      <c r="K750" s="2505"/>
      <c r="M750" s="715"/>
    </row>
    <row r="751" spans="1:13" s="716" customFormat="1">
      <c r="A751" s="2502"/>
      <c r="B751" s="2503"/>
      <c r="C751" s="2504"/>
      <c r="D751" s="811">
        <v>2023</v>
      </c>
      <c r="E751" s="812">
        <f t="shared" si="40"/>
        <v>54125.195</v>
      </c>
      <c r="F751" s="813">
        <f t="shared" si="42"/>
        <v>54125.195</v>
      </c>
      <c r="G751" s="813">
        <f t="shared" si="42"/>
        <v>0</v>
      </c>
      <c r="H751" s="813">
        <f t="shared" si="42"/>
        <v>0</v>
      </c>
      <c r="I751" s="813">
        <f t="shared" si="42"/>
        <v>0</v>
      </c>
      <c r="J751" s="2505"/>
      <c r="K751" s="2505"/>
      <c r="M751" s="715"/>
    </row>
    <row r="752" spans="1:13" s="716" customFormat="1">
      <c r="A752" s="2502"/>
      <c r="B752" s="2503"/>
      <c r="C752" s="2504"/>
      <c r="D752" s="904">
        <v>2024</v>
      </c>
      <c r="E752" s="766">
        <f t="shared" si="40"/>
        <v>54249.398000000001</v>
      </c>
      <c r="F752" s="768">
        <f t="shared" si="42"/>
        <v>54249.398000000001</v>
      </c>
      <c r="G752" s="768">
        <f t="shared" si="42"/>
        <v>0</v>
      </c>
      <c r="H752" s="768">
        <f t="shared" si="42"/>
        <v>0</v>
      </c>
      <c r="I752" s="768">
        <f t="shared" si="42"/>
        <v>0</v>
      </c>
      <c r="J752" s="2505"/>
      <c r="K752" s="2505"/>
      <c r="M752" s="715"/>
    </row>
    <row r="753" spans="1:13" s="716" customFormat="1">
      <c r="A753" s="2502"/>
      <c r="B753" s="2503"/>
      <c r="C753" s="2504"/>
      <c r="D753" s="765">
        <v>2025</v>
      </c>
      <c r="E753" s="766">
        <f t="shared" si="40"/>
        <v>54314.118999999999</v>
      </c>
      <c r="F753" s="768">
        <f t="shared" si="42"/>
        <v>54314.118999999999</v>
      </c>
      <c r="G753" s="768">
        <f t="shared" si="42"/>
        <v>0</v>
      </c>
      <c r="H753" s="768">
        <f t="shared" si="42"/>
        <v>0</v>
      </c>
      <c r="I753" s="768">
        <f t="shared" si="42"/>
        <v>0</v>
      </c>
      <c r="J753" s="2505"/>
      <c r="K753" s="2505"/>
      <c r="M753" s="715"/>
    </row>
    <row r="754" spans="1:13" s="716" customFormat="1">
      <c r="A754" s="2526" t="s">
        <v>2990</v>
      </c>
      <c r="B754" s="2565" t="s">
        <v>2843</v>
      </c>
      <c r="C754" s="2527" t="s">
        <v>2989</v>
      </c>
      <c r="D754" s="762" t="s">
        <v>8</v>
      </c>
      <c r="E754" s="763">
        <f t="shared" si="40"/>
        <v>254013.038</v>
      </c>
      <c r="F754" s="763">
        <f>SUM(F755:F759)</f>
        <v>254013.038</v>
      </c>
      <c r="G754" s="764">
        <f>SUM(G755:G759)</f>
        <v>0</v>
      </c>
      <c r="H754" s="764">
        <f>SUM(H755:H759)</f>
        <v>0</v>
      </c>
      <c r="I754" s="764">
        <f>SUM(I755:I759)</f>
        <v>0</v>
      </c>
      <c r="J754" s="2528" t="s">
        <v>2842</v>
      </c>
      <c r="K754" s="2528" t="s">
        <v>2799</v>
      </c>
      <c r="M754" s="715"/>
    </row>
    <row r="755" spans="1:13" s="716" customFormat="1">
      <c r="A755" s="2526"/>
      <c r="B755" s="2565"/>
      <c r="C755" s="2527"/>
      <c r="D755" s="762">
        <v>2021</v>
      </c>
      <c r="E755" s="763">
        <f t="shared" si="40"/>
        <v>40456.699999999997</v>
      </c>
      <c r="F755" s="764">
        <v>40456.699999999997</v>
      </c>
      <c r="G755" s="764">
        <v>0</v>
      </c>
      <c r="H755" s="764">
        <v>0</v>
      </c>
      <c r="I755" s="764">
        <v>0</v>
      </c>
      <c r="J755" s="2528"/>
      <c r="K755" s="2528"/>
      <c r="M755" s="715"/>
    </row>
    <row r="756" spans="1:13" s="716" customFormat="1">
      <c r="A756" s="2526"/>
      <c r="B756" s="2565"/>
      <c r="C756" s="2527"/>
      <c r="D756" s="762">
        <v>2022</v>
      </c>
      <c r="E756" s="763">
        <f t="shared" si="40"/>
        <v>50867.625999999997</v>
      </c>
      <c r="F756" s="764">
        <v>50867.625999999997</v>
      </c>
      <c r="G756" s="764">
        <v>0</v>
      </c>
      <c r="H756" s="764">
        <v>0</v>
      </c>
      <c r="I756" s="764">
        <v>0</v>
      </c>
      <c r="J756" s="2528"/>
      <c r="K756" s="2528"/>
      <c r="M756" s="715"/>
    </row>
    <row r="757" spans="1:13" s="716" customFormat="1">
      <c r="A757" s="2526"/>
      <c r="B757" s="2565"/>
      <c r="C757" s="2527"/>
      <c r="D757" s="808">
        <v>2023</v>
      </c>
      <c r="E757" s="809">
        <f t="shared" si="40"/>
        <v>54125.195</v>
      </c>
      <c r="F757" s="810">
        <v>54125.195</v>
      </c>
      <c r="G757" s="810">
        <v>0</v>
      </c>
      <c r="H757" s="810">
        <v>0</v>
      </c>
      <c r="I757" s="810">
        <v>0</v>
      </c>
      <c r="J757" s="2528"/>
      <c r="K757" s="2528"/>
      <c r="M757" s="715"/>
    </row>
    <row r="758" spans="1:13" s="716" customFormat="1">
      <c r="A758" s="2526"/>
      <c r="B758" s="2565"/>
      <c r="C758" s="2527"/>
      <c r="D758" s="762">
        <v>2024</v>
      </c>
      <c r="E758" s="763">
        <f t="shared" si="40"/>
        <v>54249.398000000001</v>
      </c>
      <c r="F758" s="764">
        <v>54249.398000000001</v>
      </c>
      <c r="G758" s="764">
        <v>0</v>
      </c>
      <c r="H758" s="764">
        <v>0</v>
      </c>
      <c r="I758" s="764">
        <v>0</v>
      </c>
      <c r="J758" s="2528"/>
      <c r="K758" s="2528"/>
      <c r="M758" s="715"/>
    </row>
    <row r="759" spans="1:13" s="716" customFormat="1">
      <c r="A759" s="2526"/>
      <c r="B759" s="2565"/>
      <c r="C759" s="2527"/>
      <c r="D759" s="762">
        <v>2025</v>
      </c>
      <c r="E759" s="763">
        <f t="shared" si="40"/>
        <v>54314.118999999999</v>
      </c>
      <c r="F759" s="764">
        <v>54314.118999999999</v>
      </c>
      <c r="G759" s="764">
        <v>0</v>
      </c>
      <c r="H759" s="764">
        <v>0</v>
      </c>
      <c r="I759" s="764">
        <v>0</v>
      </c>
      <c r="J759" s="2528"/>
      <c r="K759" s="2528"/>
      <c r="M759" s="715"/>
    </row>
  </sheetData>
  <autoFilter ref="A9:L759"/>
  <mergeCells count="646">
    <mergeCell ref="A754:A759"/>
    <mergeCell ref="B754:B759"/>
    <mergeCell ref="C754:C759"/>
    <mergeCell ref="J754:J759"/>
    <mergeCell ref="K754:K759"/>
    <mergeCell ref="A742:A747"/>
    <mergeCell ref="B742:B747"/>
    <mergeCell ref="C742:C747"/>
    <mergeCell ref="J742:J747"/>
    <mergeCell ref="K742:K747"/>
    <mergeCell ref="A748:A753"/>
    <mergeCell ref="B748:B753"/>
    <mergeCell ref="C748:C753"/>
    <mergeCell ref="J748:J753"/>
    <mergeCell ref="K748:K753"/>
    <mergeCell ref="A730:A735"/>
    <mergeCell ref="B730:B735"/>
    <mergeCell ref="C730:C735"/>
    <mergeCell ref="J730:J735"/>
    <mergeCell ref="K730:K735"/>
    <mergeCell ref="A736:A741"/>
    <mergeCell ref="B736:B741"/>
    <mergeCell ref="C736:C741"/>
    <mergeCell ref="J736:J741"/>
    <mergeCell ref="K736:K741"/>
    <mergeCell ref="L718:L723"/>
    <mergeCell ref="A724:A729"/>
    <mergeCell ref="B724:B729"/>
    <mergeCell ref="C724:C729"/>
    <mergeCell ref="J724:J729"/>
    <mergeCell ref="K724:K729"/>
    <mergeCell ref="L724:L729"/>
    <mergeCell ref="A712:A717"/>
    <mergeCell ref="B712:B717"/>
    <mergeCell ref="C712:C717"/>
    <mergeCell ref="J712:J717"/>
    <mergeCell ref="K712:K717"/>
    <mergeCell ref="A718:A723"/>
    <mergeCell ref="B718:B723"/>
    <mergeCell ref="C718:C723"/>
    <mergeCell ref="J718:J723"/>
    <mergeCell ref="K718:K723"/>
    <mergeCell ref="A700:A705"/>
    <mergeCell ref="B700:B705"/>
    <mergeCell ref="C700:C705"/>
    <mergeCell ref="J700:J705"/>
    <mergeCell ref="K700:K705"/>
    <mergeCell ref="A706:A711"/>
    <mergeCell ref="B706:B711"/>
    <mergeCell ref="C706:C711"/>
    <mergeCell ref="J706:J711"/>
    <mergeCell ref="K706:K711"/>
    <mergeCell ref="A688:A693"/>
    <mergeCell ref="B688:B693"/>
    <mergeCell ref="C688:C693"/>
    <mergeCell ref="J688:J693"/>
    <mergeCell ref="K688:K693"/>
    <mergeCell ref="A694:A699"/>
    <mergeCell ref="B694:B699"/>
    <mergeCell ref="C694:C699"/>
    <mergeCell ref="J694:J699"/>
    <mergeCell ref="K694:K699"/>
    <mergeCell ref="A676:A681"/>
    <mergeCell ref="B676:B681"/>
    <mergeCell ref="C676:C681"/>
    <mergeCell ref="J676:J681"/>
    <mergeCell ref="K676:K681"/>
    <mergeCell ref="A682:A687"/>
    <mergeCell ref="B682:B687"/>
    <mergeCell ref="C682:C687"/>
    <mergeCell ref="J682:J687"/>
    <mergeCell ref="K682:K687"/>
    <mergeCell ref="A664:A669"/>
    <mergeCell ref="B664:B669"/>
    <mergeCell ref="C664:C669"/>
    <mergeCell ref="J664:J669"/>
    <mergeCell ref="K664:K669"/>
    <mergeCell ref="A670:A675"/>
    <mergeCell ref="B670:B675"/>
    <mergeCell ref="C670:C675"/>
    <mergeCell ref="J670:J675"/>
    <mergeCell ref="K670:K675"/>
    <mergeCell ref="A652:A657"/>
    <mergeCell ref="B652:B657"/>
    <mergeCell ref="C652:C657"/>
    <mergeCell ref="J652:J657"/>
    <mergeCell ref="K652:K657"/>
    <mergeCell ref="A658:A663"/>
    <mergeCell ref="B658:B663"/>
    <mergeCell ref="C658:C663"/>
    <mergeCell ref="J658:J663"/>
    <mergeCell ref="K658:K663"/>
    <mergeCell ref="A640:A645"/>
    <mergeCell ref="B640:B645"/>
    <mergeCell ref="C640:C645"/>
    <mergeCell ref="J640:J645"/>
    <mergeCell ref="K640:K645"/>
    <mergeCell ref="A646:A651"/>
    <mergeCell ref="B646:B651"/>
    <mergeCell ref="C646:C651"/>
    <mergeCell ref="J646:J651"/>
    <mergeCell ref="K646:K651"/>
    <mergeCell ref="A628:A633"/>
    <mergeCell ref="B628:B633"/>
    <mergeCell ref="C628:C633"/>
    <mergeCell ref="J628:J633"/>
    <mergeCell ref="K628:K633"/>
    <mergeCell ref="A634:A639"/>
    <mergeCell ref="B634:B639"/>
    <mergeCell ref="C634:C639"/>
    <mergeCell ref="J634:J639"/>
    <mergeCell ref="K634:K639"/>
    <mergeCell ref="A616:A621"/>
    <mergeCell ref="B616:B621"/>
    <mergeCell ref="C616:C621"/>
    <mergeCell ref="J616:J621"/>
    <mergeCell ref="K616:K621"/>
    <mergeCell ref="A622:A627"/>
    <mergeCell ref="B622:B627"/>
    <mergeCell ref="C622:C627"/>
    <mergeCell ref="J622:J627"/>
    <mergeCell ref="K622:K627"/>
    <mergeCell ref="A604:A609"/>
    <mergeCell ref="B604:B609"/>
    <mergeCell ref="C604:C609"/>
    <mergeCell ref="J604:J609"/>
    <mergeCell ref="K604:K609"/>
    <mergeCell ref="A610:A615"/>
    <mergeCell ref="B610:B615"/>
    <mergeCell ref="C610:C615"/>
    <mergeCell ref="J610:J615"/>
    <mergeCell ref="K610:K615"/>
    <mergeCell ref="A592:A597"/>
    <mergeCell ref="B592:B597"/>
    <mergeCell ref="C592:C597"/>
    <mergeCell ref="J592:J597"/>
    <mergeCell ref="K592:K597"/>
    <mergeCell ref="A598:A603"/>
    <mergeCell ref="B598:B603"/>
    <mergeCell ref="C598:C603"/>
    <mergeCell ref="J598:J603"/>
    <mergeCell ref="K598:K603"/>
    <mergeCell ref="A580:A585"/>
    <mergeCell ref="B580:B585"/>
    <mergeCell ref="C580:C585"/>
    <mergeCell ref="J580:J585"/>
    <mergeCell ref="K580:K585"/>
    <mergeCell ref="A586:A591"/>
    <mergeCell ref="B586:B591"/>
    <mergeCell ref="C586:C591"/>
    <mergeCell ref="J586:J591"/>
    <mergeCell ref="K586:K591"/>
    <mergeCell ref="A568:A573"/>
    <mergeCell ref="B568:B573"/>
    <mergeCell ref="C568:C573"/>
    <mergeCell ref="J568:J573"/>
    <mergeCell ref="K568:K573"/>
    <mergeCell ref="A574:A579"/>
    <mergeCell ref="B574:B579"/>
    <mergeCell ref="C574:C579"/>
    <mergeCell ref="J574:J579"/>
    <mergeCell ref="K574:K579"/>
    <mergeCell ref="A556:A561"/>
    <mergeCell ref="B556:B561"/>
    <mergeCell ref="C556:C561"/>
    <mergeCell ref="J556:J561"/>
    <mergeCell ref="K556:K561"/>
    <mergeCell ref="A562:A567"/>
    <mergeCell ref="B562:B567"/>
    <mergeCell ref="C562:C567"/>
    <mergeCell ref="J562:J567"/>
    <mergeCell ref="K562:K567"/>
    <mergeCell ref="A544:A549"/>
    <mergeCell ref="B544:B549"/>
    <mergeCell ref="C544:C549"/>
    <mergeCell ref="J544:J549"/>
    <mergeCell ref="K544:K549"/>
    <mergeCell ref="A550:A555"/>
    <mergeCell ref="B550:B555"/>
    <mergeCell ref="C550:C555"/>
    <mergeCell ref="J550:J555"/>
    <mergeCell ref="K550:K555"/>
    <mergeCell ref="A532:A537"/>
    <mergeCell ref="B532:B537"/>
    <mergeCell ref="C532:C537"/>
    <mergeCell ref="J532:J537"/>
    <mergeCell ref="K532:K537"/>
    <mergeCell ref="A538:A543"/>
    <mergeCell ref="B538:B543"/>
    <mergeCell ref="C538:C543"/>
    <mergeCell ref="J538:J543"/>
    <mergeCell ref="K538:K543"/>
    <mergeCell ref="A520:A525"/>
    <mergeCell ref="B520:B525"/>
    <mergeCell ref="C520:C525"/>
    <mergeCell ref="J520:J525"/>
    <mergeCell ref="K520:K525"/>
    <mergeCell ref="A526:A531"/>
    <mergeCell ref="B526:B531"/>
    <mergeCell ref="C526:C531"/>
    <mergeCell ref="J526:J531"/>
    <mergeCell ref="K526:K531"/>
    <mergeCell ref="A508:A513"/>
    <mergeCell ref="B508:B513"/>
    <mergeCell ref="C508:C513"/>
    <mergeCell ref="J508:J513"/>
    <mergeCell ref="K508:K513"/>
    <mergeCell ref="A514:A519"/>
    <mergeCell ref="B514:B519"/>
    <mergeCell ref="C514:C519"/>
    <mergeCell ref="J514:J519"/>
    <mergeCell ref="K514:K519"/>
    <mergeCell ref="A496:A501"/>
    <mergeCell ref="B496:B501"/>
    <mergeCell ref="C496:C501"/>
    <mergeCell ref="J496:J501"/>
    <mergeCell ref="K496:K501"/>
    <mergeCell ref="A502:A507"/>
    <mergeCell ref="B502:B507"/>
    <mergeCell ref="C502:C507"/>
    <mergeCell ref="J502:J507"/>
    <mergeCell ref="K502:K507"/>
    <mergeCell ref="A484:A489"/>
    <mergeCell ref="B484:B489"/>
    <mergeCell ref="C484:C489"/>
    <mergeCell ref="J484:J489"/>
    <mergeCell ref="K484:K489"/>
    <mergeCell ref="A490:A495"/>
    <mergeCell ref="B490:B495"/>
    <mergeCell ref="C490:C495"/>
    <mergeCell ref="J490:J495"/>
    <mergeCell ref="K490:K495"/>
    <mergeCell ref="A472:A477"/>
    <mergeCell ref="B472:B477"/>
    <mergeCell ref="C472:C477"/>
    <mergeCell ref="J472:J477"/>
    <mergeCell ref="K472:K477"/>
    <mergeCell ref="A478:A483"/>
    <mergeCell ref="B478:B483"/>
    <mergeCell ref="C478:C483"/>
    <mergeCell ref="A460:A465"/>
    <mergeCell ref="B460:B465"/>
    <mergeCell ref="C460:C465"/>
    <mergeCell ref="J460:J465"/>
    <mergeCell ref="K460:K465"/>
    <mergeCell ref="J478:J483"/>
    <mergeCell ref="K478:K483"/>
    <mergeCell ref="L460:L462"/>
    <mergeCell ref="A466:A471"/>
    <mergeCell ref="B466:B471"/>
    <mergeCell ref="C466:C471"/>
    <mergeCell ref="J466:J471"/>
    <mergeCell ref="K466:K471"/>
    <mergeCell ref="A448:A453"/>
    <mergeCell ref="B448:B453"/>
    <mergeCell ref="C448:C453"/>
    <mergeCell ref="J448:J453"/>
    <mergeCell ref="K448:K453"/>
    <mergeCell ref="A454:A459"/>
    <mergeCell ref="B454:B459"/>
    <mergeCell ref="C454:C459"/>
    <mergeCell ref="J454:J459"/>
    <mergeCell ref="K454:K459"/>
    <mergeCell ref="L430:L435"/>
    <mergeCell ref="A436:A441"/>
    <mergeCell ref="B436:B441"/>
    <mergeCell ref="C436:C441"/>
    <mergeCell ref="J436:J441"/>
    <mergeCell ref="K436:K441"/>
    <mergeCell ref="A442:A447"/>
    <mergeCell ref="B442:B447"/>
    <mergeCell ref="C442:C447"/>
    <mergeCell ref="J442:J447"/>
    <mergeCell ref="K442:K447"/>
    <mergeCell ref="L442:L447"/>
    <mergeCell ref="A424:A429"/>
    <mergeCell ref="B424:B429"/>
    <mergeCell ref="C424:C429"/>
    <mergeCell ref="J424:J429"/>
    <mergeCell ref="K424:K429"/>
    <mergeCell ref="A430:A435"/>
    <mergeCell ref="B430:B435"/>
    <mergeCell ref="C430:C435"/>
    <mergeCell ref="J430:J435"/>
    <mergeCell ref="K430:K435"/>
    <mergeCell ref="A412:A417"/>
    <mergeCell ref="B412:B417"/>
    <mergeCell ref="C412:C417"/>
    <mergeCell ref="J412:J417"/>
    <mergeCell ref="K412:K417"/>
    <mergeCell ref="A418:A423"/>
    <mergeCell ref="B418:B423"/>
    <mergeCell ref="C418:C423"/>
    <mergeCell ref="J418:J423"/>
    <mergeCell ref="K418:K423"/>
    <mergeCell ref="A400:A405"/>
    <mergeCell ref="B400:B405"/>
    <mergeCell ref="C400:C405"/>
    <mergeCell ref="J400:J405"/>
    <mergeCell ref="K400:K405"/>
    <mergeCell ref="L400:L405"/>
    <mergeCell ref="A406:A411"/>
    <mergeCell ref="B406:B411"/>
    <mergeCell ref="C406:C411"/>
    <mergeCell ref="J406:J411"/>
    <mergeCell ref="K406:K411"/>
    <mergeCell ref="A388:A393"/>
    <mergeCell ref="B388:B393"/>
    <mergeCell ref="C388:C393"/>
    <mergeCell ref="J388:J393"/>
    <mergeCell ref="K388:K393"/>
    <mergeCell ref="L388:L393"/>
    <mergeCell ref="A394:A399"/>
    <mergeCell ref="B394:B399"/>
    <mergeCell ref="C394:C399"/>
    <mergeCell ref="J394:J399"/>
    <mergeCell ref="K394:K399"/>
    <mergeCell ref="L394:L399"/>
    <mergeCell ref="A376:A381"/>
    <mergeCell ref="B376:B381"/>
    <mergeCell ref="C376:C381"/>
    <mergeCell ref="J376:J381"/>
    <mergeCell ref="K376:K381"/>
    <mergeCell ref="A382:A387"/>
    <mergeCell ref="B382:B387"/>
    <mergeCell ref="C382:C387"/>
    <mergeCell ref="J382:J387"/>
    <mergeCell ref="K382:K387"/>
    <mergeCell ref="A364:A369"/>
    <mergeCell ref="B364:B369"/>
    <mergeCell ref="C364:C369"/>
    <mergeCell ref="J364:J369"/>
    <mergeCell ref="K364:K369"/>
    <mergeCell ref="A370:A375"/>
    <mergeCell ref="B370:B375"/>
    <mergeCell ref="C370:C375"/>
    <mergeCell ref="J370:J375"/>
    <mergeCell ref="K370:K375"/>
    <mergeCell ref="A352:A357"/>
    <mergeCell ref="B352:B357"/>
    <mergeCell ref="C352:C357"/>
    <mergeCell ref="J352:J357"/>
    <mergeCell ref="K352:K357"/>
    <mergeCell ref="A358:A363"/>
    <mergeCell ref="B358:B363"/>
    <mergeCell ref="C358:C363"/>
    <mergeCell ref="J358:J363"/>
    <mergeCell ref="K358:K363"/>
    <mergeCell ref="A340:A345"/>
    <mergeCell ref="B340:B345"/>
    <mergeCell ref="C340:C345"/>
    <mergeCell ref="J340:J345"/>
    <mergeCell ref="K340:K345"/>
    <mergeCell ref="A346:A351"/>
    <mergeCell ref="B346:B351"/>
    <mergeCell ref="C346:C351"/>
    <mergeCell ref="J346:J351"/>
    <mergeCell ref="K346:K351"/>
    <mergeCell ref="A328:A333"/>
    <mergeCell ref="B328:B333"/>
    <mergeCell ref="C328:C333"/>
    <mergeCell ref="J328:J333"/>
    <mergeCell ref="K328:K333"/>
    <mergeCell ref="A334:A339"/>
    <mergeCell ref="B334:B339"/>
    <mergeCell ref="C334:C339"/>
    <mergeCell ref="J334:J339"/>
    <mergeCell ref="K334:K339"/>
    <mergeCell ref="A316:A321"/>
    <mergeCell ref="B316:B321"/>
    <mergeCell ref="C316:C321"/>
    <mergeCell ref="J316:J321"/>
    <mergeCell ref="K316:K321"/>
    <mergeCell ref="A322:A327"/>
    <mergeCell ref="B322:B327"/>
    <mergeCell ref="C322:C327"/>
    <mergeCell ref="J322:J327"/>
    <mergeCell ref="K322:K327"/>
    <mergeCell ref="A304:A309"/>
    <mergeCell ref="B304:B309"/>
    <mergeCell ref="C304:C309"/>
    <mergeCell ref="J304:J309"/>
    <mergeCell ref="K304:K309"/>
    <mergeCell ref="A310:A315"/>
    <mergeCell ref="B310:B315"/>
    <mergeCell ref="C310:C315"/>
    <mergeCell ref="J310:J315"/>
    <mergeCell ref="K310:K315"/>
    <mergeCell ref="A292:A297"/>
    <mergeCell ref="B292:B297"/>
    <mergeCell ref="C292:C297"/>
    <mergeCell ref="J292:J297"/>
    <mergeCell ref="K292:K297"/>
    <mergeCell ref="A298:A303"/>
    <mergeCell ref="B298:B303"/>
    <mergeCell ref="C298:C303"/>
    <mergeCell ref="J298:J303"/>
    <mergeCell ref="K298:K303"/>
    <mergeCell ref="A280:A285"/>
    <mergeCell ref="B280:B285"/>
    <mergeCell ref="C280:C285"/>
    <mergeCell ref="J280:J285"/>
    <mergeCell ref="K280:K285"/>
    <mergeCell ref="A286:A291"/>
    <mergeCell ref="B286:B291"/>
    <mergeCell ref="C286:C291"/>
    <mergeCell ref="J286:J291"/>
    <mergeCell ref="K286:K291"/>
    <mergeCell ref="A268:A273"/>
    <mergeCell ref="B268:B273"/>
    <mergeCell ref="C268:C273"/>
    <mergeCell ref="J268:J273"/>
    <mergeCell ref="K268:K273"/>
    <mergeCell ref="A274:A279"/>
    <mergeCell ref="B274:B279"/>
    <mergeCell ref="C274:C279"/>
    <mergeCell ref="J274:J279"/>
    <mergeCell ref="K274:K279"/>
    <mergeCell ref="A256:A261"/>
    <mergeCell ref="B256:B261"/>
    <mergeCell ref="C256:C261"/>
    <mergeCell ref="J256:J261"/>
    <mergeCell ref="K256:K261"/>
    <mergeCell ref="A262:A267"/>
    <mergeCell ref="B262:B267"/>
    <mergeCell ref="C262:C267"/>
    <mergeCell ref="J262:J267"/>
    <mergeCell ref="K262:K267"/>
    <mergeCell ref="A244:A249"/>
    <mergeCell ref="B244:B249"/>
    <mergeCell ref="C244:C249"/>
    <mergeCell ref="J244:J249"/>
    <mergeCell ref="K244:K249"/>
    <mergeCell ref="A250:A255"/>
    <mergeCell ref="B250:B255"/>
    <mergeCell ref="C250:C255"/>
    <mergeCell ref="J250:J255"/>
    <mergeCell ref="K250:K255"/>
    <mergeCell ref="A232:A237"/>
    <mergeCell ref="B232:B237"/>
    <mergeCell ref="C232:C237"/>
    <mergeCell ref="J232:J237"/>
    <mergeCell ref="K232:K237"/>
    <mergeCell ref="A238:A243"/>
    <mergeCell ref="B238:B243"/>
    <mergeCell ref="C238:C243"/>
    <mergeCell ref="J238:J243"/>
    <mergeCell ref="K238:K243"/>
    <mergeCell ref="A220:A225"/>
    <mergeCell ref="B220:B225"/>
    <mergeCell ref="C220:C225"/>
    <mergeCell ref="J220:J225"/>
    <mergeCell ref="K220:K225"/>
    <mergeCell ref="A226:A231"/>
    <mergeCell ref="B226:B231"/>
    <mergeCell ref="C226:C231"/>
    <mergeCell ref="J226:J231"/>
    <mergeCell ref="K226:K231"/>
    <mergeCell ref="A208:A213"/>
    <mergeCell ref="B208:B213"/>
    <mergeCell ref="C208:C213"/>
    <mergeCell ref="J208:J213"/>
    <mergeCell ref="K208:K213"/>
    <mergeCell ref="A214:A219"/>
    <mergeCell ref="B214:B219"/>
    <mergeCell ref="C214:C219"/>
    <mergeCell ref="J214:J219"/>
    <mergeCell ref="K214:K219"/>
    <mergeCell ref="A196:A201"/>
    <mergeCell ref="B196:B201"/>
    <mergeCell ref="C196:C201"/>
    <mergeCell ref="J196:J201"/>
    <mergeCell ref="K196:K201"/>
    <mergeCell ref="A202:A207"/>
    <mergeCell ref="B202:B207"/>
    <mergeCell ref="C202:C207"/>
    <mergeCell ref="J202:J207"/>
    <mergeCell ref="K202:K207"/>
    <mergeCell ref="L178:L183"/>
    <mergeCell ref="A184:A189"/>
    <mergeCell ref="B184:B189"/>
    <mergeCell ref="C184:C189"/>
    <mergeCell ref="J184:J189"/>
    <mergeCell ref="K184:K189"/>
    <mergeCell ref="L184:L189"/>
    <mergeCell ref="A190:A195"/>
    <mergeCell ref="B190:B195"/>
    <mergeCell ref="C190:C195"/>
    <mergeCell ref="J190:J195"/>
    <mergeCell ref="K190:K195"/>
    <mergeCell ref="A172:A177"/>
    <mergeCell ref="B172:B177"/>
    <mergeCell ref="C172:C177"/>
    <mergeCell ref="J172:J177"/>
    <mergeCell ref="K172:K177"/>
    <mergeCell ref="A178:A183"/>
    <mergeCell ref="B178:B183"/>
    <mergeCell ref="C178:C183"/>
    <mergeCell ref="J178:J183"/>
    <mergeCell ref="K178:K183"/>
    <mergeCell ref="L154:L159"/>
    <mergeCell ref="A160:A165"/>
    <mergeCell ref="B160:B165"/>
    <mergeCell ref="C160:C165"/>
    <mergeCell ref="J160:J165"/>
    <mergeCell ref="K160:K165"/>
    <mergeCell ref="A166:A171"/>
    <mergeCell ref="B166:B171"/>
    <mergeCell ref="C166:C171"/>
    <mergeCell ref="J166:J171"/>
    <mergeCell ref="K166:K171"/>
    <mergeCell ref="A148:A153"/>
    <mergeCell ref="B148:B153"/>
    <mergeCell ref="C148:C153"/>
    <mergeCell ref="J148:J153"/>
    <mergeCell ref="K148:K153"/>
    <mergeCell ref="A154:A159"/>
    <mergeCell ref="B154:B159"/>
    <mergeCell ref="C154:C159"/>
    <mergeCell ref="J154:J159"/>
    <mergeCell ref="K154:K159"/>
    <mergeCell ref="A136:A141"/>
    <mergeCell ref="B136:B141"/>
    <mergeCell ref="C136:C141"/>
    <mergeCell ref="J136:J141"/>
    <mergeCell ref="K136:K141"/>
    <mergeCell ref="A142:A147"/>
    <mergeCell ref="B142:B147"/>
    <mergeCell ref="C142:C147"/>
    <mergeCell ref="J142:J147"/>
    <mergeCell ref="K142:K147"/>
    <mergeCell ref="A124:A129"/>
    <mergeCell ref="B124:B129"/>
    <mergeCell ref="C124:C129"/>
    <mergeCell ref="J124:J129"/>
    <mergeCell ref="K124:K129"/>
    <mergeCell ref="A130:A135"/>
    <mergeCell ref="B130:B135"/>
    <mergeCell ref="C130:C135"/>
    <mergeCell ref="J130:J135"/>
    <mergeCell ref="K130:K135"/>
    <mergeCell ref="A112:A117"/>
    <mergeCell ref="B112:B117"/>
    <mergeCell ref="C112:C117"/>
    <mergeCell ref="J112:J117"/>
    <mergeCell ref="K112:K117"/>
    <mergeCell ref="A118:A123"/>
    <mergeCell ref="B118:B123"/>
    <mergeCell ref="C118:C123"/>
    <mergeCell ref="J118:J123"/>
    <mergeCell ref="K118:K123"/>
    <mergeCell ref="A100:A105"/>
    <mergeCell ref="B100:B105"/>
    <mergeCell ref="C100:C105"/>
    <mergeCell ref="J100:J105"/>
    <mergeCell ref="K100:K105"/>
    <mergeCell ref="A106:A111"/>
    <mergeCell ref="B106:B111"/>
    <mergeCell ref="C106:C111"/>
    <mergeCell ref="J106:J111"/>
    <mergeCell ref="K106:K111"/>
    <mergeCell ref="A88:A93"/>
    <mergeCell ref="B88:B93"/>
    <mergeCell ref="C88:C93"/>
    <mergeCell ref="J88:J93"/>
    <mergeCell ref="K88:K93"/>
    <mergeCell ref="A94:A99"/>
    <mergeCell ref="B94:B99"/>
    <mergeCell ref="C94:C99"/>
    <mergeCell ref="J94:J99"/>
    <mergeCell ref="K94:K99"/>
    <mergeCell ref="A76:A81"/>
    <mergeCell ref="B76:B81"/>
    <mergeCell ref="C76:C81"/>
    <mergeCell ref="J76:J81"/>
    <mergeCell ref="K76:K81"/>
    <mergeCell ref="A82:A87"/>
    <mergeCell ref="B82:B87"/>
    <mergeCell ref="C82:C87"/>
    <mergeCell ref="J82:J87"/>
    <mergeCell ref="K82:K87"/>
    <mergeCell ref="A64:A69"/>
    <mergeCell ref="B64:B69"/>
    <mergeCell ref="C64:C69"/>
    <mergeCell ref="J64:J69"/>
    <mergeCell ref="K64:K69"/>
    <mergeCell ref="A70:A75"/>
    <mergeCell ref="B70:B75"/>
    <mergeCell ref="C70:C75"/>
    <mergeCell ref="J70:J75"/>
    <mergeCell ref="K70:K75"/>
    <mergeCell ref="L46:L51"/>
    <mergeCell ref="A52:A57"/>
    <mergeCell ref="B52:B57"/>
    <mergeCell ref="C52:C57"/>
    <mergeCell ref="J52:J57"/>
    <mergeCell ref="K52:K57"/>
    <mergeCell ref="A58:A63"/>
    <mergeCell ref="B58:B63"/>
    <mergeCell ref="C58:C63"/>
    <mergeCell ref="J58:J63"/>
    <mergeCell ref="K58:K63"/>
    <mergeCell ref="A40:A45"/>
    <mergeCell ref="B40:B45"/>
    <mergeCell ref="C40:C45"/>
    <mergeCell ref="J40:J45"/>
    <mergeCell ref="K40:K45"/>
    <mergeCell ref="A46:A51"/>
    <mergeCell ref="B46:B51"/>
    <mergeCell ref="C46:C51"/>
    <mergeCell ref="J46:J51"/>
    <mergeCell ref="K46:K51"/>
    <mergeCell ref="L34:L39"/>
    <mergeCell ref="A16:A21"/>
    <mergeCell ref="B16:B21"/>
    <mergeCell ref="C16:C21"/>
    <mergeCell ref="J16:J21"/>
    <mergeCell ref="K16:K21"/>
    <mergeCell ref="L28:L33"/>
    <mergeCell ref="A22:A27"/>
    <mergeCell ref="B22:B27"/>
    <mergeCell ref="C22:C27"/>
    <mergeCell ref="J22:J27"/>
    <mergeCell ref="K22:K27"/>
    <mergeCell ref="A28:A33"/>
    <mergeCell ref="B28:B33"/>
    <mergeCell ref="C28:C33"/>
    <mergeCell ref="J28:J33"/>
    <mergeCell ref="K28:K33"/>
    <mergeCell ref="A34:A39"/>
    <mergeCell ref="B34:B39"/>
    <mergeCell ref="C34:C39"/>
    <mergeCell ref="J34:J39"/>
    <mergeCell ref="K34:K39"/>
    <mergeCell ref="A10:A15"/>
    <mergeCell ref="B10:B15"/>
    <mergeCell ref="C10:C15"/>
    <mergeCell ref="J10:J15"/>
    <mergeCell ref="K10:K15"/>
    <mergeCell ref="A6:K7"/>
    <mergeCell ref="A8:A9"/>
    <mergeCell ref="B8:B9"/>
    <mergeCell ref="C8:C9"/>
    <mergeCell ref="D8:I8"/>
    <mergeCell ref="J8:J9"/>
    <mergeCell ref="K8:K9"/>
  </mergeCells>
  <pageMargins left="0.11811023622047245" right="0.11811023622047245" top="0.15748031496062992" bottom="0.15748031496062992" header="0.11811023622047245" footer="0.11811023622047245"/>
  <pageSetup paperSize="9" scale="65" firstPageNumber="4294967295" fitToHeight="0" orientation="landscape"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M126"/>
  <sheetViews>
    <sheetView showGridLines="0" zoomScale="90" zoomScaleNormal="90" workbookViewId="0">
      <pane ySplit="5" topLeftCell="A61" activePane="bottomLeft" state="frozen"/>
      <selection activeCell="D13" sqref="A13:XFD13"/>
      <selection pane="bottomLeft" activeCell="D13" sqref="A13:XFD13"/>
    </sheetView>
  </sheetViews>
  <sheetFormatPr defaultColWidth="9.140625" defaultRowHeight="15" outlineLevelRow="4"/>
  <cols>
    <col min="1" max="1" width="40.5703125" style="830" customWidth="1"/>
    <col min="2" max="2" width="14.7109375" style="830" customWidth="1"/>
    <col min="3" max="3" width="10.7109375" style="830" customWidth="1"/>
    <col min="4" max="4" width="40.5703125" style="830" customWidth="1"/>
    <col min="5" max="5" width="10.7109375" style="830" customWidth="1"/>
    <col min="6" max="6" width="40.5703125" style="830" customWidth="1"/>
    <col min="7" max="7" width="6.7109375" style="830" customWidth="1"/>
    <col min="8" max="12" width="17.7109375" style="830" customWidth="1"/>
    <col min="13" max="13" width="20.5703125" style="830" customWidth="1"/>
    <col min="14" max="16384" width="9.140625" style="830"/>
  </cols>
  <sheetData>
    <row r="1" spans="1:13" ht="15.95" customHeight="1">
      <c r="A1" s="2385" t="s">
        <v>3365</v>
      </c>
      <c r="B1" s="2386"/>
      <c r="C1" s="2386"/>
      <c r="D1" s="2386"/>
      <c r="E1" s="2386"/>
      <c r="F1" s="2386"/>
      <c r="G1" s="2386"/>
      <c r="H1" s="2386"/>
      <c r="I1" s="2386"/>
      <c r="J1" s="2386"/>
      <c r="K1" s="2386"/>
      <c r="L1" s="2386"/>
      <c r="M1" s="2386"/>
    </row>
    <row r="2" spans="1:13" ht="15.95" customHeight="1">
      <c r="A2" s="2385" t="s">
        <v>3364</v>
      </c>
      <c r="B2" s="2386"/>
      <c r="C2" s="2386"/>
      <c r="D2" s="2386"/>
      <c r="E2" s="2386"/>
      <c r="F2" s="2386"/>
      <c r="G2" s="2386"/>
      <c r="H2" s="2386"/>
      <c r="I2" s="2386"/>
      <c r="J2" s="2386"/>
      <c r="K2" s="2386"/>
      <c r="L2" s="2386"/>
      <c r="M2" s="2386"/>
    </row>
    <row r="3" spans="1:13" ht="15.2" customHeight="1">
      <c r="A3" s="2592" t="s">
        <v>3363</v>
      </c>
      <c r="B3" s="2593"/>
      <c r="C3" s="2593"/>
      <c r="D3" s="2593"/>
      <c r="E3" s="2593"/>
      <c r="F3" s="2593"/>
      <c r="G3" s="2593"/>
      <c r="H3" s="2593"/>
      <c r="I3" s="2593"/>
      <c r="J3" s="2593"/>
      <c r="K3" s="2593"/>
      <c r="L3" s="2593"/>
      <c r="M3" s="2593"/>
    </row>
    <row r="4" spans="1:13" ht="38.25">
      <c r="A4" s="455" t="s">
        <v>677</v>
      </c>
      <c r="B4" s="456" t="s">
        <v>678</v>
      </c>
      <c r="C4" s="456" t="s">
        <v>3362</v>
      </c>
      <c r="D4" s="456" t="s">
        <v>3361</v>
      </c>
      <c r="E4" s="456" t="s">
        <v>139</v>
      </c>
      <c r="F4" s="456" t="s">
        <v>3360</v>
      </c>
      <c r="G4" s="456" t="s">
        <v>680</v>
      </c>
      <c r="H4" s="456" t="s">
        <v>681</v>
      </c>
      <c r="I4" s="456" t="s">
        <v>682</v>
      </c>
      <c r="J4" s="456" t="s">
        <v>683</v>
      </c>
      <c r="K4" s="456" t="s">
        <v>684</v>
      </c>
      <c r="L4" s="456" t="s">
        <v>3370</v>
      </c>
      <c r="M4" s="457" t="s">
        <v>685</v>
      </c>
    </row>
    <row r="5" spans="1:13">
      <c r="A5" s="458" t="s">
        <v>687</v>
      </c>
      <c r="B5" s="459" t="s">
        <v>485</v>
      </c>
      <c r="C5" s="459" t="s">
        <v>688</v>
      </c>
      <c r="D5" s="459" t="s">
        <v>689</v>
      </c>
      <c r="E5" s="459" t="s">
        <v>690</v>
      </c>
      <c r="F5" s="459" t="s">
        <v>691</v>
      </c>
      <c r="G5" s="459" t="s">
        <v>692</v>
      </c>
      <c r="H5" s="459" t="s">
        <v>693</v>
      </c>
      <c r="I5" s="459" t="s">
        <v>694</v>
      </c>
      <c r="J5" s="459" t="s">
        <v>695</v>
      </c>
      <c r="K5" s="459" t="s">
        <v>3359</v>
      </c>
      <c r="L5" s="459"/>
      <c r="M5" s="460" t="s">
        <v>3358</v>
      </c>
    </row>
    <row r="6" spans="1:13" ht="30.75" thickBot="1">
      <c r="A6" s="854" t="s">
        <v>3357</v>
      </c>
      <c r="B6" s="853" t="s">
        <v>3356</v>
      </c>
      <c r="C6" s="853"/>
      <c r="D6" s="463"/>
      <c r="E6" s="853"/>
      <c r="F6" s="463"/>
      <c r="G6" s="853"/>
      <c r="H6" s="852">
        <v>1455562833.0699999</v>
      </c>
      <c r="I6" s="852">
        <v>1381565313.22</v>
      </c>
      <c r="J6" s="852">
        <v>776645696.17999995</v>
      </c>
      <c r="K6" s="852">
        <v>771365598.07000005</v>
      </c>
      <c r="L6" s="852"/>
      <c r="M6" s="465">
        <v>52.99</v>
      </c>
    </row>
    <row r="7" spans="1:13" ht="51" outlineLevel="1">
      <c r="A7" s="851" t="s">
        <v>3355</v>
      </c>
      <c r="B7" s="467" t="s">
        <v>3354</v>
      </c>
      <c r="C7" s="467"/>
      <c r="D7" s="468"/>
      <c r="E7" s="467"/>
      <c r="F7" s="468"/>
      <c r="G7" s="467"/>
      <c r="H7" s="469">
        <v>252122326.41</v>
      </c>
      <c r="I7" s="469">
        <v>252039748.59999999</v>
      </c>
      <c r="J7" s="469">
        <v>152189130.43000001</v>
      </c>
      <c r="K7" s="469">
        <v>148147386.61000001</v>
      </c>
      <c r="L7" s="469"/>
      <c r="M7" s="470">
        <v>58.76</v>
      </c>
    </row>
    <row r="8" spans="1:13" ht="63.75" outlineLevel="2">
      <c r="A8" s="850" t="s">
        <v>3353</v>
      </c>
      <c r="B8" s="472" t="s">
        <v>3352</v>
      </c>
      <c r="C8" s="472"/>
      <c r="D8" s="473"/>
      <c r="E8" s="472"/>
      <c r="F8" s="473"/>
      <c r="G8" s="472"/>
      <c r="H8" s="474">
        <v>243265034.91999999</v>
      </c>
      <c r="I8" s="474">
        <v>243182957.11000001</v>
      </c>
      <c r="J8" s="474">
        <v>148018776.88</v>
      </c>
      <c r="K8" s="474">
        <v>143992633.06</v>
      </c>
      <c r="L8" s="474"/>
      <c r="M8" s="475">
        <v>59.19</v>
      </c>
    </row>
    <row r="9" spans="1:13" ht="25.5" outlineLevel="3">
      <c r="A9" s="833" t="s">
        <v>713</v>
      </c>
      <c r="B9" s="477" t="s">
        <v>3351</v>
      </c>
      <c r="C9" s="477"/>
      <c r="D9" s="478"/>
      <c r="E9" s="477"/>
      <c r="F9" s="478"/>
      <c r="G9" s="477"/>
      <c r="H9" s="855">
        <v>1140698.5</v>
      </c>
      <c r="I9" s="855">
        <v>1058620.69</v>
      </c>
      <c r="J9" s="855">
        <v>758620.69</v>
      </c>
      <c r="K9" s="855">
        <v>758620.69</v>
      </c>
      <c r="L9" s="855"/>
      <c r="M9" s="480">
        <v>66.5</v>
      </c>
    </row>
    <row r="10" spans="1:13" ht="25.5" outlineLevel="4">
      <c r="A10" s="832" t="s">
        <v>713</v>
      </c>
      <c r="B10" s="482" t="s">
        <v>3351</v>
      </c>
      <c r="C10" s="482"/>
      <c r="D10" s="831"/>
      <c r="E10" s="482"/>
      <c r="F10" s="831" t="s">
        <v>3240</v>
      </c>
      <c r="G10" s="482" t="s">
        <v>717</v>
      </c>
      <c r="H10" s="484">
        <v>0</v>
      </c>
      <c r="I10" s="484">
        <v>0</v>
      </c>
      <c r="J10" s="484">
        <v>0</v>
      </c>
      <c r="K10" s="484">
        <v>-158620.69</v>
      </c>
      <c r="L10" s="484"/>
      <c r="M10" s="480"/>
    </row>
    <row r="11" spans="1:13" ht="51" outlineLevel="4">
      <c r="A11" s="832" t="s">
        <v>713</v>
      </c>
      <c r="B11" s="482" t="s">
        <v>3351</v>
      </c>
      <c r="C11" s="1185" t="s">
        <v>3340</v>
      </c>
      <c r="D11" s="872" t="s">
        <v>3339</v>
      </c>
      <c r="E11" s="482"/>
      <c r="F11" s="831" t="s">
        <v>3240</v>
      </c>
      <c r="G11" s="482" t="s">
        <v>717</v>
      </c>
      <c r="H11" s="484">
        <v>0</v>
      </c>
      <c r="I11" s="484">
        <v>0</v>
      </c>
      <c r="J11" s="484">
        <v>0</v>
      </c>
      <c r="K11" s="484">
        <v>917241.38</v>
      </c>
      <c r="L11" s="484"/>
      <c r="M11" s="480"/>
    </row>
    <row r="12" spans="1:13" ht="51" outlineLevel="4">
      <c r="A12" s="864" t="s">
        <v>713</v>
      </c>
      <c r="B12" s="865" t="s">
        <v>3351</v>
      </c>
      <c r="C12" s="1186" t="s">
        <v>3340</v>
      </c>
      <c r="D12" s="866" t="s">
        <v>3339</v>
      </c>
      <c r="E12" s="865" t="s">
        <v>3241</v>
      </c>
      <c r="F12" s="866" t="s">
        <v>3240</v>
      </c>
      <c r="G12" s="865" t="s">
        <v>717</v>
      </c>
      <c r="H12" s="859">
        <v>1140698.5</v>
      </c>
      <c r="I12" s="859">
        <v>1058620.69</v>
      </c>
      <c r="J12" s="859">
        <v>758620.69</v>
      </c>
      <c r="K12" s="859">
        <v>0</v>
      </c>
      <c r="L12" s="886"/>
      <c r="M12" s="480">
        <v>0</v>
      </c>
    </row>
    <row r="13" spans="1:13" ht="51" outlineLevel="3">
      <c r="A13" s="867" t="s">
        <v>3350</v>
      </c>
      <c r="B13" s="868" t="s">
        <v>3349</v>
      </c>
      <c r="C13" s="868"/>
      <c r="D13" s="869"/>
      <c r="E13" s="868"/>
      <c r="F13" s="869"/>
      <c r="G13" s="868"/>
      <c r="H13" s="860">
        <v>56948036.420000002</v>
      </c>
      <c r="I13" s="860">
        <v>56948036.420000002</v>
      </c>
      <c r="J13" s="860">
        <v>31479533.699999999</v>
      </c>
      <c r="K13" s="917">
        <v>31479533.699999999</v>
      </c>
      <c r="L13" s="918">
        <v>31479.5337</v>
      </c>
      <c r="M13" s="858">
        <v>55.28</v>
      </c>
    </row>
    <row r="14" spans="1:13" ht="63.75" outlineLevel="4">
      <c r="A14" s="832" t="s">
        <v>3350</v>
      </c>
      <c r="B14" s="482" t="s">
        <v>3349</v>
      </c>
      <c r="C14" s="482" t="s">
        <v>3348</v>
      </c>
      <c r="D14" s="831" t="s">
        <v>3347</v>
      </c>
      <c r="E14" s="482"/>
      <c r="F14" s="831" t="s">
        <v>3240</v>
      </c>
      <c r="G14" s="482" t="s">
        <v>717</v>
      </c>
      <c r="H14" s="856">
        <v>0</v>
      </c>
      <c r="I14" s="856">
        <v>0</v>
      </c>
      <c r="J14" s="856">
        <v>0</v>
      </c>
      <c r="K14" s="856">
        <v>31479533.699999999</v>
      </c>
      <c r="L14" s="856"/>
      <c r="M14" s="480"/>
    </row>
    <row r="15" spans="1:13" ht="63.75" outlineLevel="4">
      <c r="A15" s="864" t="s">
        <v>3350</v>
      </c>
      <c r="B15" s="865" t="s">
        <v>3349</v>
      </c>
      <c r="C15" s="865" t="s">
        <v>3348</v>
      </c>
      <c r="D15" s="866" t="s">
        <v>3347</v>
      </c>
      <c r="E15" s="865" t="s">
        <v>3241</v>
      </c>
      <c r="F15" s="866" t="s">
        <v>3240</v>
      </c>
      <c r="G15" s="865" t="s">
        <v>717</v>
      </c>
      <c r="H15" s="870">
        <v>56948036.420000002</v>
      </c>
      <c r="I15" s="870">
        <v>56948036.420000002</v>
      </c>
      <c r="J15" s="870">
        <v>31479533.699999999</v>
      </c>
      <c r="K15" s="870">
        <v>0</v>
      </c>
      <c r="L15" s="888"/>
      <c r="M15" s="480">
        <v>0</v>
      </c>
    </row>
    <row r="16" spans="1:13" ht="38.25" outlineLevel="3">
      <c r="A16" s="867" t="s">
        <v>3346</v>
      </c>
      <c r="B16" s="868" t="s">
        <v>3345</v>
      </c>
      <c r="C16" s="868"/>
      <c r="D16" s="869"/>
      <c r="E16" s="868"/>
      <c r="F16" s="869"/>
      <c r="G16" s="868"/>
      <c r="H16" s="860">
        <v>14000000</v>
      </c>
      <c r="I16" s="860">
        <v>14000000</v>
      </c>
      <c r="J16" s="860">
        <v>0</v>
      </c>
      <c r="K16" s="860">
        <v>0</v>
      </c>
      <c r="L16" s="887"/>
      <c r="M16" s="858">
        <v>0</v>
      </c>
    </row>
    <row r="17" spans="1:13" ht="38.25" outlineLevel="4">
      <c r="A17" s="832" t="s">
        <v>3346</v>
      </c>
      <c r="B17" s="482" t="s">
        <v>3345</v>
      </c>
      <c r="C17" s="482" t="s">
        <v>3344</v>
      </c>
      <c r="D17" s="831" t="s">
        <v>3343</v>
      </c>
      <c r="E17" s="482" t="s">
        <v>3241</v>
      </c>
      <c r="F17" s="831" t="s">
        <v>3240</v>
      </c>
      <c r="G17" s="482" t="s">
        <v>717</v>
      </c>
      <c r="H17" s="484">
        <v>14000000</v>
      </c>
      <c r="I17" s="484">
        <v>14000000</v>
      </c>
      <c r="J17" s="484">
        <v>0</v>
      </c>
      <c r="K17" s="484">
        <v>0</v>
      </c>
      <c r="L17" s="484"/>
      <c r="M17" s="480">
        <v>0</v>
      </c>
    </row>
    <row r="18" spans="1:13" ht="51" outlineLevel="3">
      <c r="A18" s="861" t="s">
        <v>3342</v>
      </c>
      <c r="B18" s="862" t="s">
        <v>3341</v>
      </c>
      <c r="C18" s="862"/>
      <c r="D18" s="863"/>
      <c r="E18" s="862"/>
      <c r="F18" s="863"/>
      <c r="G18" s="862"/>
      <c r="H18" s="857">
        <v>1176300</v>
      </c>
      <c r="I18" s="857">
        <v>1176300</v>
      </c>
      <c r="J18" s="857">
        <v>1176300</v>
      </c>
      <c r="K18" s="916">
        <v>1176300</v>
      </c>
      <c r="L18" s="916">
        <v>1176.3</v>
      </c>
      <c r="M18" s="480">
        <v>100</v>
      </c>
    </row>
    <row r="19" spans="1:13" ht="51" outlineLevel="4">
      <c r="A19" s="832" t="s">
        <v>3342</v>
      </c>
      <c r="B19" s="482" t="s">
        <v>3341</v>
      </c>
      <c r="C19" s="1185" t="s">
        <v>3340</v>
      </c>
      <c r="D19" s="831" t="s">
        <v>3339</v>
      </c>
      <c r="E19" s="482"/>
      <c r="F19" s="831" t="s">
        <v>3240</v>
      </c>
      <c r="G19" s="482" t="s">
        <v>717</v>
      </c>
      <c r="H19" s="484">
        <v>0</v>
      </c>
      <c r="I19" s="484">
        <v>0</v>
      </c>
      <c r="J19" s="484">
        <v>0</v>
      </c>
      <c r="K19" s="484">
        <v>1176300</v>
      </c>
      <c r="L19" s="484"/>
      <c r="M19" s="480"/>
    </row>
    <row r="20" spans="1:13" ht="51" outlineLevel="4">
      <c r="A20" s="832" t="s">
        <v>3342</v>
      </c>
      <c r="B20" s="482" t="s">
        <v>3341</v>
      </c>
      <c r="C20" s="1185" t="s">
        <v>3340</v>
      </c>
      <c r="D20" s="831" t="s">
        <v>3339</v>
      </c>
      <c r="E20" s="482" t="s">
        <v>3241</v>
      </c>
      <c r="F20" s="831" t="s">
        <v>3240</v>
      </c>
      <c r="G20" s="482" t="s">
        <v>717</v>
      </c>
      <c r="H20" s="484">
        <v>1176300</v>
      </c>
      <c r="I20" s="484">
        <v>1176300</v>
      </c>
      <c r="J20" s="484">
        <v>1176300</v>
      </c>
      <c r="K20" s="484">
        <v>0</v>
      </c>
      <c r="L20" s="484"/>
      <c r="M20" s="480">
        <v>0</v>
      </c>
    </row>
    <row r="21" spans="1:13" ht="51" outlineLevel="3">
      <c r="A21" s="861" t="s">
        <v>3338</v>
      </c>
      <c r="B21" s="862" t="s">
        <v>3337</v>
      </c>
      <c r="C21" s="862"/>
      <c r="D21" s="863"/>
      <c r="E21" s="862"/>
      <c r="F21" s="863"/>
      <c r="G21" s="862"/>
      <c r="H21" s="857">
        <v>40000000</v>
      </c>
      <c r="I21" s="857">
        <v>40000000</v>
      </c>
      <c r="J21" s="857">
        <v>25440000</v>
      </c>
      <c r="K21" s="916">
        <v>25440000</v>
      </c>
      <c r="L21" s="916">
        <v>25440</v>
      </c>
      <c r="M21" s="480">
        <v>63.6</v>
      </c>
    </row>
    <row r="22" spans="1:13" ht="63.75" outlineLevel="4">
      <c r="A22" s="832" t="s">
        <v>3338</v>
      </c>
      <c r="B22" s="482" t="s">
        <v>3337</v>
      </c>
      <c r="C22" s="482" t="s">
        <v>3336</v>
      </c>
      <c r="D22" s="831" t="s">
        <v>3335</v>
      </c>
      <c r="E22" s="482"/>
      <c r="F22" s="831" t="s">
        <v>3240</v>
      </c>
      <c r="G22" s="482" t="s">
        <v>717</v>
      </c>
      <c r="H22" s="484">
        <v>0</v>
      </c>
      <c r="I22" s="484">
        <v>0</v>
      </c>
      <c r="J22" s="484">
        <v>0</v>
      </c>
      <c r="K22" s="484">
        <v>25440000</v>
      </c>
      <c r="L22" s="484"/>
      <c r="M22" s="480"/>
    </row>
    <row r="23" spans="1:13" ht="63.75" outlineLevel="4">
      <c r="A23" s="832" t="s">
        <v>3338</v>
      </c>
      <c r="B23" s="482" t="s">
        <v>3337</v>
      </c>
      <c r="C23" s="482" t="s">
        <v>3336</v>
      </c>
      <c r="D23" s="831" t="s">
        <v>3335</v>
      </c>
      <c r="E23" s="482" t="s">
        <v>3241</v>
      </c>
      <c r="F23" s="831" t="s">
        <v>3240</v>
      </c>
      <c r="G23" s="482" t="s">
        <v>717</v>
      </c>
      <c r="H23" s="484">
        <v>40000000</v>
      </c>
      <c r="I23" s="484">
        <v>40000000</v>
      </c>
      <c r="J23" s="484">
        <v>25440000</v>
      </c>
      <c r="K23" s="484">
        <v>0</v>
      </c>
      <c r="L23" s="484"/>
      <c r="M23" s="480">
        <v>0</v>
      </c>
    </row>
    <row r="24" spans="1:13" ht="51" outlineLevel="3">
      <c r="A24" s="861" t="s">
        <v>3334</v>
      </c>
      <c r="B24" s="862" t="s">
        <v>3333</v>
      </c>
      <c r="C24" s="862"/>
      <c r="D24" s="863"/>
      <c r="E24" s="862"/>
      <c r="F24" s="863"/>
      <c r="G24" s="862"/>
      <c r="H24" s="857">
        <v>20000000</v>
      </c>
      <c r="I24" s="857">
        <v>20000000</v>
      </c>
      <c r="J24" s="857">
        <v>10000000</v>
      </c>
      <c r="K24" s="916">
        <v>10000000</v>
      </c>
      <c r="L24" s="916">
        <v>10000</v>
      </c>
      <c r="M24" s="480">
        <v>50</v>
      </c>
    </row>
    <row r="25" spans="1:13" ht="63.75" outlineLevel="4">
      <c r="A25" s="832" t="s">
        <v>3334</v>
      </c>
      <c r="B25" s="482" t="s">
        <v>3333</v>
      </c>
      <c r="C25" s="482" t="s">
        <v>3332</v>
      </c>
      <c r="D25" s="831" t="s">
        <v>3331</v>
      </c>
      <c r="E25" s="482"/>
      <c r="F25" s="831" t="s">
        <v>3240</v>
      </c>
      <c r="G25" s="482" t="s">
        <v>717</v>
      </c>
      <c r="H25" s="484">
        <v>0</v>
      </c>
      <c r="I25" s="484">
        <v>0</v>
      </c>
      <c r="J25" s="484">
        <v>0</v>
      </c>
      <c r="K25" s="484">
        <v>10000000</v>
      </c>
      <c r="L25" s="484"/>
      <c r="M25" s="480"/>
    </row>
    <row r="26" spans="1:13" ht="63.75" outlineLevel="4">
      <c r="A26" s="832" t="s">
        <v>3334</v>
      </c>
      <c r="B26" s="482" t="s">
        <v>3333</v>
      </c>
      <c r="C26" s="482" t="s">
        <v>3332</v>
      </c>
      <c r="D26" s="831" t="s">
        <v>3331</v>
      </c>
      <c r="E26" s="482" t="s">
        <v>3241</v>
      </c>
      <c r="F26" s="831" t="s">
        <v>3240</v>
      </c>
      <c r="G26" s="482" t="s">
        <v>717</v>
      </c>
      <c r="H26" s="484">
        <v>20000000</v>
      </c>
      <c r="I26" s="484">
        <v>20000000</v>
      </c>
      <c r="J26" s="484">
        <v>10000000</v>
      </c>
      <c r="K26" s="484">
        <v>0</v>
      </c>
      <c r="L26" s="484"/>
      <c r="M26" s="480">
        <v>0</v>
      </c>
    </row>
    <row r="27" spans="1:13" ht="51" outlineLevel="3">
      <c r="A27" s="861" t="s">
        <v>3330</v>
      </c>
      <c r="B27" s="862" t="s">
        <v>3329</v>
      </c>
      <c r="C27" s="862"/>
      <c r="D27" s="863"/>
      <c r="E27" s="862"/>
      <c r="F27" s="863"/>
      <c r="G27" s="862"/>
      <c r="H27" s="857">
        <v>40000000</v>
      </c>
      <c r="I27" s="857">
        <v>40000000</v>
      </c>
      <c r="J27" s="857">
        <v>40000000</v>
      </c>
      <c r="K27" s="916">
        <v>40000000</v>
      </c>
      <c r="L27" s="916">
        <v>40000</v>
      </c>
      <c r="M27" s="480">
        <v>100</v>
      </c>
    </row>
    <row r="28" spans="1:13" ht="63.75" outlineLevel="4">
      <c r="A28" s="832" t="s">
        <v>3330</v>
      </c>
      <c r="B28" s="482" t="s">
        <v>3329</v>
      </c>
      <c r="C28" s="482" t="s">
        <v>3328</v>
      </c>
      <c r="D28" s="831" t="s">
        <v>3327</v>
      </c>
      <c r="E28" s="482"/>
      <c r="F28" s="831" t="s">
        <v>3240</v>
      </c>
      <c r="G28" s="482" t="s">
        <v>717</v>
      </c>
      <c r="H28" s="484">
        <v>0</v>
      </c>
      <c r="I28" s="484">
        <v>0</v>
      </c>
      <c r="J28" s="484">
        <v>0</v>
      </c>
      <c r="K28" s="484">
        <v>40000000</v>
      </c>
      <c r="L28" s="484"/>
      <c r="M28" s="480"/>
    </row>
    <row r="29" spans="1:13" ht="63.75" outlineLevel="4">
      <c r="A29" s="832" t="s">
        <v>3330</v>
      </c>
      <c r="B29" s="482" t="s">
        <v>3329</v>
      </c>
      <c r="C29" s="482" t="s">
        <v>3328</v>
      </c>
      <c r="D29" s="831" t="s">
        <v>3327</v>
      </c>
      <c r="E29" s="482" t="s">
        <v>3241</v>
      </c>
      <c r="F29" s="831" t="s">
        <v>3240</v>
      </c>
      <c r="G29" s="482" t="s">
        <v>717</v>
      </c>
      <c r="H29" s="484">
        <v>40000000</v>
      </c>
      <c r="I29" s="484">
        <v>40000000</v>
      </c>
      <c r="J29" s="484">
        <v>40000000</v>
      </c>
      <c r="K29" s="484">
        <v>0</v>
      </c>
      <c r="L29" s="484"/>
      <c r="M29" s="480">
        <v>0</v>
      </c>
    </row>
    <row r="30" spans="1:13" ht="51" outlineLevel="3">
      <c r="A30" s="861" t="s">
        <v>3326</v>
      </c>
      <c r="B30" s="862" t="s">
        <v>3325</v>
      </c>
      <c r="C30" s="862"/>
      <c r="D30" s="863"/>
      <c r="E30" s="862"/>
      <c r="F30" s="863"/>
      <c r="G30" s="862"/>
      <c r="H30" s="857">
        <v>26000000</v>
      </c>
      <c r="I30" s="857">
        <v>26000000</v>
      </c>
      <c r="J30" s="857">
        <v>22500000</v>
      </c>
      <c r="K30" s="916">
        <v>22500000</v>
      </c>
      <c r="L30" s="916">
        <v>22500</v>
      </c>
      <c r="M30" s="480">
        <v>86.54</v>
      </c>
    </row>
    <row r="31" spans="1:13" ht="63.75" outlineLevel="4">
      <c r="A31" s="832" t="s">
        <v>3326</v>
      </c>
      <c r="B31" s="482" t="s">
        <v>3325</v>
      </c>
      <c r="C31" s="482" t="s">
        <v>3324</v>
      </c>
      <c r="D31" s="831" t="s">
        <v>2905</v>
      </c>
      <c r="E31" s="482"/>
      <c r="F31" s="831" t="s">
        <v>3240</v>
      </c>
      <c r="G31" s="482" t="s">
        <v>717</v>
      </c>
      <c r="H31" s="484">
        <v>0</v>
      </c>
      <c r="I31" s="484">
        <v>0</v>
      </c>
      <c r="J31" s="484">
        <v>0</v>
      </c>
      <c r="K31" s="484">
        <v>22500000</v>
      </c>
      <c r="L31" s="484"/>
      <c r="M31" s="480"/>
    </row>
    <row r="32" spans="1:13" ht="63.75" outlineLevel="4">
      <c r="A32" s="832" t="s">
        <v>3326</v>
      </c>
      <c r="B32" s="482" t="s">
        <v>3325</v>
      </c>
      <c r="C32" s="482" t="s">
        <v>3324</v>
      </c>
      <c r="D32" s="831" t="s">
        <v>2905</v>
      </c>
      <c r="E32" s="482" t="s">
        <v>3241</v>
      </c>
      <c r="F32" s="831" t="s">
        <v>3240</v>
      </c>
      <c r="G32" s="482" t="s">
        <v>717</v>
      </c>
      <c r="H32" s="484">
        <v>26000000</v>
      </c>
      <c r="I32" s="484">
        <v>26000000</v>
      </c>
      <c r="J32" s="484">
        <v>22500000</v>
      </c>
      <c r="K32" s="484">
        <v>0</v>
      </c>
      <c r="L32" s="484"/>
      <c r="M32" s="480">
        <v>0</v>
      </c>
    </row>
    <row r="33" spans="1:13" ht="38.25" outlineLevel="3">
      <c r="A33" s="861" t="s">
        <v>3323</v>
      </c>
      <c r="B33" s="862" t="s">
        <v>3322</v>
      </c>
      <c r="C33" s="862"/>
      <c r="D33" s="863"/>
      <c r="E33" s="862"/>
      <c r="F33" s="863"/>
      <c r="G33" s="862"/>
      <c r="H33" s="857">
        <v>9000000</v>
      </c>
      <c r="I33" s="857">
        <v>9000000</v>
      </c>
      <c r="J33" s="857">
        <v>290995</v>
      </c>
      <c r="K33" s="857">
        <v>0</v>
      </c>
      <c r="L33" s="857"/>
      <c r="M33" s="480">
        <v>0</v>
      </c>
    </row>
    <row r="34" spans="1:13" ht="38.25" outlineLevel="4">
      <c r="A34" s="832" t="s">
        <v>3323</v>
      </c>
      <c r="B34" s="482" t="s">
        <v>3322</v>
      </c>
      <c r="C34" s="482" t="s">
        <v>3321</v>
      </c>
      <c r="D34" s="831" t="s">
        <v>3320</v>
      </c>
      <c r="E34" s="482" t="s">
        <v>3241</v>
      </c>
      <c r="F34" s="831" t="s">
        <v>3240</v>
      </c>
      <c r="G34" s="482" t="s">
        <v>717</v>
      </c>
      <c r="H34" s="484">
        <v>9000000</v>
      </c>
      <c r="I34" s="484">
        <v>9000000</v>
      </c>
      <c r="J34" s="484">
        <v>290995</v>
      </c>
      <c r="K34" s="484">
        <v>0</v>
      </c>
      <c r="L34" s="484"/>
      <c r="M34" s="480">
        <v>0</v>
      </c>
    </row>
    <row r="35" spans="1:13" ht="38.25" outlineLevel="3">
      <c r="A35" s="861" t="s">
        <v>3319</v>
      </c>
      <c r="B35" s="862" t="s">
        <v>3318</v>
      </c>
      <c r="C35" s="862"/>
      <c r="D35" s="863"/>
      <c r="E35" s="862"/>
      <c r="F35" s="863"/>
      <c r="G35" s="862"/>
      <c r="H35" s="857">
        <v>35000000</v>
      </c>
      <c r="I35" s="857">
        <v>35000000</v>
      </c>
      <c r="J35" s="857">
        <v>16373327.49</v>
      </c>
      <c r="K35" s="857">
        <v>12638178.67</v>
      </c>
      <c r="L35" s="857">
        <v>12638.178669999999</v>
      </c>
      <c r="M35" s="480">
        <v>36.11</v>
      </c>
    </row>
    <row r="36" spans="1:13" ht="38.25" outlineLevel="4">
      <c r="A36" s="832" t="s">
        <v>3319</v>
      </c>
      <c r="B36" s="482" t="s">
        <v>3318</v>
      </c>
      <c r="C36" s="482"/>
      <c r="D36" s="831"/>
      <c r="E36" s="482"/>
      <c r="F36" s="831" t="s">
        <v>3240</v>
      </c>
      <c r="G36" s="482" t="s">
        <v>717</v>
      </c>
      <c r="H36" s="484">
        <v>0</v>
      </c>
      <c r="I36" s="484">
        <v>0</v>
      </c>
      <c r="J36" s="484">
        <v>0</v>
      </c>
      <c r="K36" s="484">
        <v>2108435.69</v>
      </c>
      <c r="L36" s="484"/>
      <c r="M36" s="480"/>
    </row>
    <row r="37" spans="1:13" ht="38.25" outlineLevel="4">
      <c r="A37" s="832" t="s">
        <v>3319</v>
      </c>
      <c r="B37" s="482" t="s">
        <v>3318</v>
      </c>
      <c r="C37" s="482" t="s">
        <v>3317</v>
      </c>
      <c r="D37" s="831" t="s">
        <v>3192</v>
      </c>
      <c r="E37" s="482"/>
      <c r="F37" s="831" t="s">
        <v>3240</v>
      </c>
      <c r="G37" s="482" t="s">
        <v>717</v>
      </c>
      <c r="H37" s="484">
        <v>0</v>
      </c>
      <c r="I37" s="484">
        <v>0</v>
      </c>
      <c r="J37" s="484">
        <v>0</v>
      </c>
      <c r="K37" s="484">
        <v>10529742.98</v>
      </c>
      <c r="L37" s="484"/>
      <c r="M37" s="480"/>
    </row>
    <row r="38" spans="1:13" ht="38.25" outlineLevel="4">
      <c r="A38" s="832" t="s">
        <v>3319</v>
      </c>
      <c r="B38" s="482" t="s">
        <v>3318</v>
      </c>
      <c r="C38" s="482" t="s">
        <v>3317</v>
      </c>
      <c r="D38" s="831" t="s">
        <v>3192</v>
      </c>
      <c r="E38" s="482" t="s">
        <v>3241</v>
      </c>
      <c r="F38" s="831" t="s">
        <v>3240</v>
      </c>
      <c r="G38" s="482" t="s">
        <v>717</v>
      </c>
      <c r="H38" s="484">
        <v>35000000</v>
      </c>
      <c r="I38" s="484">
        <v>35000000</v>
      </c>
      <c r="J38" s="484">
        <v>16373327.49</v>
      </c>
      <c r="K38" s="484">
        <v>0</v>
      </c>
      <c r="L38" s="484"/>
      <c r="M38" s="480">
        <v>0</v>
      </c>
    </row>
    <row r="39" spans="1:13" ht="25.5" outlineLevel="2">
      <c r="A39" s="850" t="s">
        <v>3256</v>
      </c>
      <c r="B39" s="472" t="s">
        <v>3316</v>
      </c>
      <c r="C39" s="472"/>
      <c r="D39" s="473"/>
      <c r="E39" s="472"/>
      <c r="F39" s="473"/>
      <c r="G39" s="472"/>
      <c r="H39" s="474">
        <v>8857291.4900000002</v>
      </c>
      <c r="I39" s="474">
        <v>8856791.4900000002</v>
      </c>
      <c r="J39" s="474">
        <v>4170353.55</v>
      </c>
      <c r="K39" s="474">
        <v>4154753.55</v>
      </c>
      <c r="L39" s="474"/>
      <c r="M39" s="475">
        <v>46.91</v>
      </c>
    </row>
    <row r="40" spans="1:13" ht="25.5" outlineLevel="3">
      <c r="A40" s="833" t="s">
        <v>713</v>
      </c>
      <c r="B40" s="477" t="s">
        <v>3313</v>
      </c>
      <c r="C40" s="477"/>
      <c r="D40" s="478"/>
      <c r="E40" s="477"/>
      <c r="F40" s="478"/>
      <c r="G40" s="477"/>
      <c r="H40" s="479">
        <v>7159100</v>
      </c>
      <c r="I40" s="479">
        <v>7158600</v>
      </c>
      <c r="J40" s="479">
        <v>2983511.55</v>
      </c>
      <c r="K40" s="479">
        <v>2967911.55</v>
      </c>
      <c r="L40" s="479"/>
      <c r="M40" s="480">
        <v>41.46</v>
      </c>
    </row>
    <row r="41" spans="1:13" ht="25.5" outlineLevel="4">
      <c r="A41" s="832" t="s">
        <v>713</v>
      </c>
      <c r="B41" s="482" t="s">
        <v>3313</v>
      </c>
      <c r="C41" s="482" t="s">
        <v>3315</v>
      </c>
      <c r="D41" s="871" t="s">
        <v>3314</v>
      </c>
      <c r="E41" s="873" t="s">
        <v>3241</v>
      </c>
      <c r="F41" s="871" t="s">
        <v>3240</v>
      </c>
      <c r="G41" s="873" t="s">
        <v>717</v>
      </c>
      <c r="H41" s="874">
        <v>3159100</v>
      </c>
      <c r="I41" s="874">
        <v>3158600</v>
      </c>
      <c r="J41" s="874">
        <v>0</v>
      </c>
      <c r="K41" s="874">
        <v>0</v>
      </c>
      <c r="L41" s="874">
        <v>0</v>
      </c>
      <c r="M41" s="480">
        <v>0</v>
      </c>
    </row>
    <row r="42" spans="1:13" ht="89.25" outlineLevel="4">
      <c r="A42" s="832" t="s">
        <v>713</v>
      </c>
      <c r="B42" s="482" t="s">
        <v>3313</v>
      </c>
      <c r="C42" s="482" t="s">
        <v>3312</v>
      </c>
      <c r="D42" s="831" t="s">
        <v>3178</v>
      </c>
      <c r="E42" s="482"/>
      <c r="F42" s="831" t="s">
        <v>3240</v>
      </c>
      <c r="G42" s="482" t="s">
        <v>717</v>
      </c>
      <c r="H42" s="484">
        <v>0</v>
      </c>
      <c r="I42" s="484">
        <v>0</v>
      </c>
      <c r="J42" s="484">
        <v>0</v>
      </c>
      <c r="K42" s="484">
        <v>2967911.55</v>
      </c>
      <c r="L42" s="919">
        <v>2967.9115499999998</v>
      </c>
      <c r="M42" s="480"/>
    </row>
    <row r="43" spans="1:13" ht="89.25" outlineLevel="4">
      <c r="A43" s="832" t="s">
        <v>713</v>
      </c>
      <c r="B43" s="482" t="s">
        <v>3313</v>
      </c>
      <c r="C43" s="482" t="s">
        <v>3312</v>
      </c>
      <c r="D43" s="871" t="s">
        <v>3178</v>
      </c>
      <c r="E43" s="873" t="s">
        <v>3241</v>
      </c>
      <c r="F43" s="871" t="s">
        <v>3240</v>
      </c>
      <c r="G43" s="873" t="s">
        <v>717</v>
      </c>
      <c r="H43" s="874">
        <v>4000000</v>
      </c>
      <c r="I43" s="874">
        <v>4000000</v>
      </c>
      <c r="J43" s="874">
        <v>2983511.55</v>
      </c>
      <c r="K43" s="874">
        <v>0</v>
      </c>
      <c r="L43" s="874"/>
      <c r="M43" s="480">
        <v>0</v>
      </c>
    </row>
    <row r="44" spans="1:13" ht="38.25" outlineLevel="3">
      <c r="A44" s="861" t="s">
        <v>577</v>
      </c>
      <c r="B44" s="862" t="s">
        <v>3311</v>
      </c>
      <c r="C44" s="862"/>
      <c r="D44" s="863"/>
      <c r="E44" s="862"/>
      <c r="F44" s="863"/>
      <c r="G44" s="862"/>
      <c r="H44" s="857">
        <v>1698191.49</v>
      </c>
      <c r="I44" s="857">
        <v>1698191.49</v>
      </c>
      <c r="J44" s="857">
        <v>1186842</v>
      </c>
      <c r="K44" s="857">
        <v>1186842</v>
      </c>
      <c r="L44" s="857">
        <v>1186.8420000000001</v>
      </c>
      <c r="M44" s="480">
        <v>69.89</v>
      </c>
    </row>
    <row r="45" spans="1:13" ht="38.25" outlineLevel="4">
      <c r="A45" s="832" t="s">
        <v>577</v>
      </c>
      <c r="B45" s="482" t="s">
        <v>3311</v>
      </c>
      <c r="C45" s="482" t="s">
        <v>3310</v>
      </c>
      <c r="D45" s="831" t="s">
        <v>655</v>
      </c>
      <c r="E45" s="482"/>
      <c r="F45" s="831" t="s">
        <v>3240</v>
      </c>
      <c r="G45" s="482" t="s">
        <v>717</v>
      </c>
      <c r="H45" s="484">
        <v>0</v>
      </c>
      <c r="I45" s="484">
        <v>0</v>
      </c>
      <c r="J45" s="484">
        <v>0</v>
      </c>
      <c r="K45" s="874">
        <v>1186842</v>
      </c>
      <c r="L45" s="484"/>
      <c r="M45" s="480"/>
    </row>
    <row r="46" spans="1:13" ht="38.25" outlineLevel="4">
      <c r="A46" s="832" t="s">
        <v>577</v>
      </c>
      <c r="B46" s="482" t="s">
        <v>3311</v>
      </c>
      <c r="C46" s="482" t="s">
        <v>3310</v>
      </c>
      <c r="D46" s="831" t="s">
        <v>655</v>
      </c>
      <c r="E46" s="482" t="s">
        <v>3257</v>
      </c>
      <c r="F46" s="831" t="s">
        <v>3240</v>
      </c>
      <c r="G46" s="482" t="s">
        <v>717</v>
      </c>
      <c r="H46" s="484">
        <v>1596300</v>
      </c>
      <c r="I46" s="484">
        <v>1596300</v>
      </c>
      <c r="J46" s="874">
        <v>1115631.48</v>
      </c>
      <c r="K46" s="874">
        <v>-71210.52</v>
      </c>
      <c r="L46" s="484"/>
      <c r="M46" s="480">
        <v>-4.46</v>
      </c>
    </row>
    <row r="47" spans="1:13" ht="38.25" outlineLevel="4">
      <c r="A47" s="832" t="s">
        <v>577</v>
      </c>
      <c r="B47" s="482" t="s">
        <v>3311</v>
      </c>
      <c r="C47" s="482" t="s">
        <v>3310</v>
      </c>
      <c r="D47" s="831" t="s">
        <v>655</v>
      </c>
      <c r="E47" s="482" t="s">
        <v>3241</v>
      </c>
      <c r="F47" s="831" t="s">
        <v>3240</v>
      </c>
      <c r="G47" s="482" t="s">
        <v>717</v>
      </c>
      <c r="H47" s="484">
        <v>101891.49</v>
      </c>
      <c r="I47" s="484">
        <v>101891.49</v>
      </c>
      <c r="J47" s="874">
        <v>71210.52</v>
      </c>
      <c r="K47" s="874">
        <v>71210.52</v>
      </c>
      <c r="L47" s="484"/>
      <c r="M47" s="480">
        <v>69.89</v>
      </c>
    </row>
    <row r="48" spans="1:13" ht="76.5" outlineLevel="1">
      <c r="A48" s="851" t="s">
        <v>3309</v>
      </c>
      <c r="B48" s="467" t="s">
        <v>3308</v>
      </c>
      <c r="C48" s="467"/>
      <c r="D48" s="468"/>
      <c r="E48" s="467"/>
      <c r="F48" s="468"/>
      <c r="G48" s="467"/>
      <c r="H48" s="469">
        <v>1052072796.35</v>
      </c>
      <c r="I48" s="469">
        <v>1052072796.35</v>
      </c>
      <c r="J48" s="469">
        <v>601299462.60000002</v>
      </c>
      <c r="K48" s="469">
        <v>600443165.10000002</v>
      </c>
      <c r="L48" s="469"/>
      <c r="M48" s="470">
        <v>57.07</v>
      </c>
    </row>
    <row r="49" spans="1:13" ht="89.25" outlineLevel="2">
      <c r="A49" s="850" t="s">
        <v>3307</v>
      </c>
      <c r="B49" s="472" t="s">
        <v>3306</v>
      </c>
      <c r="C49" s="472"/>
      <c r="D49" s="473"/>
      <c r="E49" s="472"/>
      <c r="F49" s="473"/>
      <c r="G49" s="472"/>
      <c r="H49" s="474">
        <v>998865881.46000004</v>
      </c>
      <c r="I49" s="474">
        <v>998865881.46000004</v>
      </c>
      <c r="J49" s="474">
        <v>569586053.55999994</v>
      </c>
      <c r="K49" s="474">
        <v>569586053.55999994</v>
      </c>
      <c r="L49" s="474"/>
      <c r="M49" s="475">
        <v>57.02</v>
      </c>
    </row>
    <row r="50" spans="1:13" ht="76.5" outlineLevel="3">
      <c r="A50" s="875" t="s">
        <v>702</v>
      </c>
      <c r="B50" s="876" t="s">
        <v>3299</v>
      </c>
      <c r="C50" s="876"/>
      <c r="D50" s="877"/>
      <c r="E50" s="876"/>
      <c r="F50" s="877"/>
      <c r="G50" s="876"/>
      <c r="H50" s="855">
        <v>933568812.90999997</v>
      </c>
      <c r="I50" s="855">
        <v>933568812.90999997</v>
      </c>
      <c r="J50" s="855">
        <v>507221611.37</v>
      </c>
      <c r="K50" s="855">
        <v>507221611.37</v>
      </c>
      <c r="L50" s="855"/>
      <c r="M50" s="480">
        <v>54.33</v>
      </c>
    </row>
    <row r="51" spans="1:13" ht="76.5" outlineLevel="4">
      <c r="A51" s="832" t="s">
        <v>702</v>
      </c>
      <c r="B51" s="482" t="s">
        <v>3299</v>
      </c>
      <c r="C51" s="482" t="s">
        <v>3305</v>
      </c>
      <c r="D51" s="831" t="s">
        <v>3166</v>
      </c>
      <c r="E51" s="482"/>
      <c r="F51" s="831" t="s">
        <v>3240</v>
      </c>
      <c r="G51" s="482" t="s">
        <v>717</v>
      </c>
      <c r="H51" s="484">
        <v>0</v>
      </c>
      <c r="I51" s="484">
        <v>0</v>
      </c>
      <c r="J51" s="484">
        <v>0</v>
      </c>
      <c r="K51" s="874">
        <v>30921</v>
      </c>
      <c r="L51" s="874"/>
      <c r="M51" s="480"/>
    </row>
    <row r="52" spans="1:13" ht="76.5" outlineLevel="4">
      <c r="A52" s="878" t="s">
        <v>702</v>
      </c>
      <c r="B52" s="873" t="s">
        <v>3299</v>
      </c>
      <c r="C52" s="873" t="s">
        <v>3305</v>
      </c>
      <c r="D52" s="871" t="s">
        <v>3166</v>
      </c>
      <c r="E52" s="873" t="s">
        <v>3241</v>
      </c>
      <c r="F52" s="871" t="s">
        <v>3240</v>
      </c>
      <c r="G52" s="873" t="s">
        <v>717</v>
      </c>
      <c r="H52" s="874">
        <v>32070</v>
      </c>
      <c r="I52" s="874">
        <v>32070</v>
      </c>
      <c r="J52" s="874">
        <v>30921</v>
      </c>
      <c r="K52" s="874">
        <v>0</v>
      </c>
      <c r="L52" s="874"/>
      <c r="M52" s="480">
        <v>0</v>
      </c>
    </row>
    <row r="53" spans="1:13" ht="76.5" outlineLevel="4">
      <c r="A53" s="832" t="s">
        <v>702</v>
      </c>
      <c r="B53" s="482" t="s">
        <v>3299</v>
      </c>
      <c r="C53" s="482" t="s">
        <v>3304</v>
      </c>
      <c r="D53" s="831" t="s">
        <v>2930</v>
      </c>
      <c r="E53" s="482"/>
      <c r="F53" s="831" t="s">
        <v>3240</v>
      </c>
      <c r="G53" s="482" t="s">
        <v>717</v>
      </c>
      <c r="H53" s="484">
        <v>0</v>
      </c>
      <c r="I53" s="484">
        <v>0</v>
      </c>
      <c r="J53" s="484">
        <v>0</v>
      </c>
      <c r="K53" s="874">
        <v>30187829.370000001</v>
      </c>
      <c r="L53" s="874"/>
      <c r="M53" s="480"/>
    </row>
    <row r="54" spans="1:13" ht="76.5" outlineLevel="4">
      <c r="A54" s="878" t="s">
        <v>702</v>
      </c>
      <c r="B54" s="873" t="s">
        <v>3299</v>
      </c>
      <c r="C54" s="873" t="s">
        <v>3304</v>
      </c>
      <c r="D54" s="871" t="s">
        <v>2930</v>
      </c>
      <c r="E54" s="873" t="s">
        <v>3241</v>
      </c>
      <c r="F54" s="871" t="s">
        <v>3240</v>
      </c>
      <c r="G54" s="873" t="s">
        <v>717</v>
      </c>
      <c r="H54" s="874">
        <v>30187829.370000001</v>
      </c>
      <c r="I54" s="874">
        <v>30187829.370000001</v>
      </c>
      <c r="J54" s="874">
        <v>30187829.370000001</v>
      </c>
      <c r="K54" s="874">
        <v>0</v>
      </c>
      <c r="L54" s="874"/>
      <c r="M54" s="480">
        <v>0</v>
      </c>
    </row>
    <row r="55" spans="1:13" ht="76.5" outlineLevel="4">
      <c r="A55" s="878" t="s">
        <v>702</v>
      </c>
      <c r="B55" s="873" t="s">
        <v>3299</v>
      </c>
      <c r="C55" s="873" t="s">
        <v>3303</v>
      </c>
      <c r="D55" s="871" t="s">
        <v>2922</v>
      </c>
      <c r="E55" s="873" t="s">
        <v>3241</v>
      </c>
      <c r="F55" s="871" t="s">
        <v>3240</v>
      </c>
      <c r="G55" s="873" t="s">
        <v>717</v>
      </c>
      <c r="H55" s="874">
        <v>5000000</v>
      </c>
      <c r="I55" s="874">
        <v>5000000</v>
      </c>
      <c r="J55" s="874">
        <v>0</v>
      </c>
      <c r="K55" s="874">
        <v>0</v>
      </c>
      <c r="L55" s="874"/>
      <c r="M55" s="480">
        <v>0</v>
      </c>
    </row>
    <row r="56" spans="1:13" ht="76.5" outlineLevel="4">
      <c r="A56" s="832" t="s">
        <v>702</v>
      </c>
      <c r="B56" s="482" t="s">
        <v>3299</v>
      </c>
      <c r="C56" s="482" t="s">
        <v>3302</v>
      </c>
      <c r="D56" s="831" t="s">
        <v>3301</v>
      </c>
      <c r="E56" s="482" t="s">
        <v>3241</v>
      </c>
      <c r="F56" s="831" t="s">
        <v>3240</v>
      </c>
      <c r="G56" s="482" t="s">
        <v>717</v>
      </c>
      <c r="H56" s="484">
        <v>3628395</v>
      </c>
      <c r="I56" s="484">
        <v>3628395</v>
      </c>
      <c r="J56" s="484">
        <v>0</v>
      </c>
      <c r="K56" s="484">
        <v>0</v>
      </c>
      <c r="L56" s="484"/>
      <c r="M56" s="480">
        <v>0</v>
      </c>
    </row>
    <row r="57" spans="1:13" ht="89.25" outlineLevel="4">
      <c r="A57" s="832" t="s">
        <v>702</v>
      </c>
      <c r="B57" s="482" t="s">
        <v>3299</v>
      </c>
      <c r="C57" s="482" t="s">
        <v>3300</v>
      </c>
      <c r="D57" s="831" t="s">
        <v>3129</v>
      </c>
      <c r="E57" s="482"/>
      <c r="F57" s="831" t="s">
        <v>3240</v>
      </c>
      <c r="G57" s="482" t="s">
        <v>717</v>
      </c>
      <c r="H57" s="484">
        <v>0</v>
      </c>
      <c r="I57" s="484">
        <v>0</v>
      </c>
      <c r="J57" s="484">
        <v>0</v>
      </c>
      <c r="K57" s="874">
        <v>839000</v>
      </c>
      <c r="L57" s="874"/>
      <c r="M57" s="480"/>
    </row>
    <row r="58" spans="1:13" ht="89.25" outlineLevel="4">
      <c r="A58" s="878" t="s">
        <v>702</v>
      </c>
      <c r="B58" s="873" t="s">
        <v>3299</v>
      </c>
      <c r="C58" s="873" t="s">
        <v>3300</v>
      </c>
      <c r="D58" s="871" t="s">
        <v>3129</v>
      </c>
      <c r="E58" s="873" t="s">
        <v>3241</v>
      </c>
      <c r="F58" s="871" t="s">
        <v>3240</v>
      </c>
      <c r="G58" s="873" t="s">
        <v>717</v>
      </c>
      <c r="H58" s="874">
        <v>16200622.199999999</v>
      </c>
      <c r="I58" s="874">
        <v>16200622.199999999</v>
      </c>
      <c r="J58" s="874">
        <v>839000</v>
      </c>
      <c r="K58" s="874">
        <v>0</v>
      </c>
      <c r="L58" s="874"/>
      <c r="M58" s="480">
        <v>0</v>
      </c>
    </row>
    <row r="59" spans="1:13" ht="76.5" outlineLevel="4">
      <c r="A59" s="832" t="s">
        <v>702</v>
      </c>
      <c r="B59" s="482" t="s">
        <v>3299</v>
      </c>
      <c r="C59" s="482" t="s">
        <v>3298</v>
      </c>
      <c r="D59" s="831" t="s">
        <v>22</v>
      </c>
      <c r="E59" s="482"/>
      <c r="F59" s="831" t="s">
        <v>3240</v>
      </c>
      <c r="G59" s="482" t="s">
        <v>717</v>
      </c>
      <c r="H59" s="484">
        <v>0</v>
      </c>
      <c r="I59" s="484">
        <v>0</v>
      </c>
      <c r="J59" s="484">
        <v>0</v>
      </c>
      <c r="K59" s="874">
        <v>476163861</v>
      </c>
      <c r="L59" s="874"/>
      <c r="M59" s="480"/>
    </row>
    <row r="60" spans="1:13" ht="76.5" outlineLevel="4">
      <c r="A60" s="878" t="s">
        <v>702</v>
      </c>
      <c r="B60" s="873" t="s">
        <v>3299</v>
      </c>
      <c r="C60" s="873" t="s">
        <v>3298</v>
      </c>
      <c r="D60" s="871" t="s">
        <v>22</v>
      </c>
      <c r="E60" s="873" t="s">
        <v>3241</v>
      </c>
      <c r="F60" s="871" t="s">
        <v>3240</v>
      </c>
      <c r="G60" s="873" t="s">
        <v>717</v>
      </c>
      <c r="H60" s="874">
        <v>878519896.34000003</v>
      </c>
      <c r="I60" s="874">
        <v>878519896.34000003</v>
      </c>
      <c r="J60" s="874">
        <v>476163861</v>
      </c>
      <c r="K60" s="874">
        <v>0</v>
      </c>
      <c r="L60" s="874"/>
      <c r="M60" s="480">
        <v>0</v>
      </c>
    </row>
    <row r="61" spans="1:13" ht="63.75" outlineLevel="3">
      <c r="A61" s="833" t="s">
        <v>62</v>
      </c>
      <c r="B61" s="477" t="s">
        <v>3297</v>
      </c>
      <c r="C61" s="477"/>
      <c r="D61" s="478"/>
      <c r="E61" s="477"/>
      <c r="F61" s="478"/>
      <c r="G61" s="477"/>
      <c r="H61" s="479">
        <v>3561300</v>
      </c>
      <c r="I61" s="479">
        <v>3561300</v>
      </c>
      <c r="J61" s="479">
        <v>2612000</v>
      </c>
      <c r="K61" s="479">
        <v>2612000</v>
      </c>
      <c r="L61" s="479"/>
      <c r="M61" s="480">
        <v>73.34</v>
      </c>
    </row>
    <row r="62" spans="1:13" ht="63.75" outlineLevel="4">
      <c r="A62" s="832" t="s">
        <v>62</v>
      </c>
      <c r="B62" s="482" t="s">
        <v>3297</v>
      </c>
      <c r="C62" s="482" t="s">
        <v>3296</v>
      </c>
      <c r="D62" s="831" t="s">
        <v>62</v>
      </c>
      <c r="E62" s="482"/>
      <c r="F62" s="831" t="s">
        <v>3240</v>
      </c>
      <c r="G62" s="482" t="s">
        <v>717</v>
      </c>
      <c r="H62" s="484">
        <v>0</v>
      </c>
      <c r="I62" s="484">
        <v>0</v>
      </c>
      <c r="J62" s="484">
        <v>0</v>
      </c>
      <c r="K62" s="874">
        <v>2612000</v>
      </c>
      <c r="L62" s="874"/>
      <c r="M62" s="480"/>
    </row>
    <row r="63" spans="1:13" ht="63.75" outlineLevel="4">
      <c r="A63" s="878" t="s">
        <v>62</v>
      </c>
      <c r="B63" s="873" t="s">
        <v>3297</v>
      </c>
      <c r="C63" s="873" t="s">
        <v>3296</v>
      </c>
      <c r="D63" s="871" t="s">
        <v>62</v>
      </c>
      <c r="E63" s="873" t="s">
        <v>3241</v>
      </c>
      <c r="F63" s="871" t="s">
        <v>3240</v>
      </c>
      <c r="G63" s="873" t="s">
        <v>717</v>
      </c>
      <c r="H63" s="874">
        <v>3561300</v>
      </c>
      <c r="I63" s="874">
        <v>3561300</v>
      </c>
      <c r="J63" s="874">
        <v>2612000</v>
      </c>
      <c r="K63" s="874">
        <v>0</v>
      </c>
      <c r="L63" s="874"/>
      <c r="M63" s="480">
        <v>0</v>
      </c>
    </row>
    <row r="64" spans="1:13" ht="76.5" outlineLevel="3">
      <c r="A64" s="833" t="s">
        <v>156</v>
      </c>
      <c r="B64" s="477" t="s">
        <v>3295</v>
      </c>
      <c r="C64" s="477"/>
      <c r="D64" s="478"/>
      <c r="E64" s="477"/>
      <c r="F64" s="478"/>
      <c r="G64" s="477"/>
      <c r="H64" s="479">
        <v>134432.19</v>
      </c>
      <c r="I64" s="479">
        <v>134432.19</v>
      </c>
      <c r="J64" s="479">
        <v>134432.19</v>
      </c>
      <c r="K64" s="479">
        <v>134432.19</v>
      </c>
      <c r="L64" s="479">
        <v>134.43218999999999</v>
      </c>
      <c r="M64" s="480">
        <v>100</v>
      </c>
    </row>
    <row r="65" spans="1:13" ht="76.5" outlineLevel="4">
      <c r="A65" s="832" t="s">
        <v>156</v>
      </c>
      <c r="B65" s="482" t="s">
        <v>3295</v>
      </c>
      <c r="C65" s="482" t="s">
        <v>3294</v>
      </c>
      <c r="D65" s="831" t="s">
        <v>156</v>
      </c>
      <c r="E65" s="482"/>
      <c r="F65" s="831" t="s">
        <v>3240</v>
      </c>
      <c r="G65" s="482" t="s">
        <v>717</v>
      </c>
      <c r="H65" s="484">
        <v>0</v>
      </c>
      <c r="I65" s="484">
        <v>0</v>
      </c>
      <c r="J65" s="484">
        <v>0</v>
      </c>
      <c r="K65" s="484">
        <v>134432.19</v>
      </c>
      <c r="L65" s="484"/>
      <c r="M65" s="480"/>
    </row>
    <row r="66" spans="1:13" ht="76.5" outlineLevel="4">
      <c r="A66" s="832" t="s">
        <v>156</v>
      </c>
      <c r="B66" s="482" t="s">
        <v>3295</v>
      </c>
      <c r="C66" s="482" t="s">
        <v>3294</v>
      </c>
      <c r="D66" s="831" t="s">
        <v>156</v>
      </c>
      <c r="E66" s="482" t="s">
        <v>3241</v>
      </c>
      <c r="F66" s="831" t="s">
        <v>3240</v>
      </c>
      <c r="G66" s="482" t="s">
        <v>717</v>
      </c>
      <c r="H66" s="484">
        <v>134432.19</v>
      </c>
      <c r="I66" s="484">
        <v>134432.19</v>
      </c>
      <c r="J66" s="484">
        <v>134432.19</v>
      </c>
      <c r="K66" s="484">
        <v>0</v>
      </c>
      <c r="L66" s="484"/>
      <c r="M66" s="480">
        <v>0</v>
      </c>
    </row>
    <row r="67" spans="1:13" ht="25.5" outlineLevel="3">
      <c r="A67" s="833" t="s">
        <v>713</v>
      </c>
      <c r="B67" s="477" t="s">
        <v>3291</v>
      </c>
      <c r="C67" s="477"/>
      <c r="D67" s="478"/>
      <c r="E67" s="477"/>
      <c r="F67" s="478"/>
      <c r="G67" s="477"/>
      <c r="H67" s="479">
        <v>61601336.359999999</v>
      </c>
      <c r="I67" s="479">
        <v>61601336.359999999</v>
      </c>
      <c r="J67" s="479">
        <v>59618010</v>
      </c>
      <c r="K67" s="479">
        <v>59618010</v>
      </c>
      <c r="L67" s="479"/>
      <c r="M67" s="480">
        <v>96.78</v>
      </c>
    </row>
    <row r="68" spans="1:13" ht="102" outlineLevel="4">
      <c r="A68" s="832" t="s">
        <v>713</v>
      </c>
      <c r="B68" s="482" t="s">
        <v>3291</v>
      </c>
      <c r="C68" s="482" t="s">
        <v>3293</v>
      </c>
      <c r="D68" s="831" t="s">
        <v>3292</v>
      </c>
      <c r="E68" s="482"/>
      <c r="F68" s="831" t="s">
        <v>3240</v>
      </c>
      <c r="G68" s="482" t="s">
        <v>717</v>
      </c>
      <c r="H68" s="484">
        <v>0</v>
      </c>
      <c r="I68" s="484">
        <v>0</v>
      </c>
      <c r="J68" s="484">
        <v>0</v>
      </c>
      <c r="K68" s="1189">
        <v>59400000</v>
      </c>
      <c r="L68" s="484"/>
      <c r="M68" s="480"/>
    </row>
    <row r="69" spans="1:13" ht="102" outlineLevel="4">
      <c r="A69" s="832" t="s">
        <v>713</v>
      </c>
      <c r="B69" s="482" t="s">
        <v>3291</v>
      </c>
      <c r="C69" s="482" t="s">
        <v>3293</v>
      </c>
      <c r="D69" s="831" t="s">
        <v>3292</v>
      </c>
      <c r="E69" s="482" t="s">
        <v>3241</v>
      </c>
      <c r="F69" s="831" t="s">
        <v>3240</v>
      </c>
      <c r="G69" s="482" t="s">
        <v>717</v>
      </c>
      <c r="H69" s="484">
        <v>59494678.659999996</v>
      </c>
      <c r="I69" s="484">
        <v>59494678.659999996</v>
      </c>
      <c r="J69" s="484">
        <v>59400000</v>
      </c>
      <c r="K69" s="484">
        <v>0</v>
      </c>
      <c r="L69" s="484"/>
      <c r="M69" s="480">
        <v>0</v>
      </c>
    </row>
    <row r="70" spans="1:13" ht="51" outlineLevel="4">
      <c r="A70" s="832" t="s">
        <v>713</v>
      </c>
      <c r="B70" s="482" t="s">
        <v>3291</v>
      </c>
      <c r="C70" s="482" t="s">
        <v>3290</v>
      </c>
      <c r="D70" s="831" t="s">
        <v>50</v>
      </c>
      <c r="E70" s="482"/>
      <c r="F70" s="831" t="s">
        <v>3240</v>
      </c>
      <c r="G70" s="482" t="s">
        <v>717</v>
      </c>
      <c r="H70" s="484">
        <v>0</v>
      </c>
      <c r="I70" s="484">
        <v>0</v>
      </c>
      <c r="J70" s="484">
        <v>0</v>
      </c>
      <c r="K70" s="1189">
        <v>218010</v>
      </c>
      <c r="L70" s="484"/>
      <c r="M70" s="480"/>
    </row>
    <row r="71" spans="1:13" ht="51" outlineLevel="4">
      <c r="A71" s="832" t="s">
        <v>713</v>
      </c>
      <c r="B71" s="482" t="s">
        <v>3291</v>
      </c>
      <c r="C71" s="482" t="s">
        <v>3290</v>
      </c>
      <c r="D71" s="831" t="s">
        <v>50</v>
      </c>
      <c r="E71" s="482" t="s">
        <v>3241</v>
      </c>
      <c r="F71" s="831" t="s">
        <v>3240</v>
      </c>
      <c r="G71" s="482" t="s">
        <v>717</v>
      </c>
      <c r="H71" s="484">
        <v>2106657.7000000002</v>
      </c>
      <c r="I71" s="484">
        <v>2106657.7000000002</v>
      </c>
      <c r="J71" s="484">
        <v>218010</v>
      </c>
      <c r="K71" s="484">
        <v>0</v>
      </c>
      <c r="L71" s="484"/>
      <c r="M71" s="480">
        <v>0</v>
      </c>
    </row>
    <row r="72" spans="1:13" ht="76.5" outlineLevel="2">
      <c r="A72" s="850" t="s">
        <v>3289</v>
      </c>
      <c r="B72" s="472" t="s">
        <v>3288</v>
      </c>
      <c r="C72" s="472"/>
      <c r="D72" s="473"/>
      <c r="E72" s="472"/>
      <c r="F72" s="473"/>
      <c r="G72" s="472"/>
      <c r="H72" s="474">
        <v>41400000</v>
      </c>
      <c r="I72" s="474">
        <v>41400000</v>
      </c>
      <c r="J72" s="474">
        <v>23540197.649999999</v>
      </c>
      <c r="K72" s="474">
        <v>22683900.149999999</v>
      </c>
      <c r="L72" s="474"/>
      <c r="M72" s="475">
        <v>54.79</v>
      </c>
    </row>
    <row r="73" spans="1:13" ht="76.5" outlineLevel="3">
      <c r="A73" s="833" t="s">
        <v>1324</v>
      </c>
      <c r="B73" s="477" t="s">
        <v>3287</v>
      </c>
      <c r="C73" s="477"/>
      <c r="D73" s="478"/>
      <c r="E73" s="477"/>
      <c r="F73" s="478"/>
      <c r="G73" s="477"/>
      <c r="H73" s="479">
        <v>41400000</v>
      </c>
      <c r="I73" s="479">
        <v>41400000</v>
      </c>
      <c r="J73" s="479">
        <v>23540197.649999999</v>
      </c>
      <c r="K73" s="857">
        <v>22683900.149999999</v>
      </c>
      <c r="L73" s="857">
        <v>22683.900150000001</v>
      </c>
      <c r="M73" s="480">
        <v>54.79</v>
      </c>
    </row>
    <row r="74" spans="1:13" ht="76.5" outlineLevel="4">
      <c r="A74" s="832" t="s">
        <v>1324</v>
      </c>
      <c r="B74" s="482" t="s">
        <v>3287</v>
      </c>
      <c r="C74" s="482"/>
      <c r="D74" s="831"/>
      <c r="E74" s="482"/>
      <c r="F74" s="831" t="s">
        <v>3240</v>
      </c>
      <c r="G74" s="482" t="s">
        <v>717</v>
      </c>
      <c r="H74" s="484">
        <v>0</v>
      </c>
      <c r="I74" s="484">
        <v>0</v>
      </c>
      <c r="J74" s="484">
        <v>0</v>
      </c>
      <c r="K74" s="484">
        <v>7696910.4000000004</v>
      </c>
      <c r="L74" s="484"/>
      <c r="M74" s="480"/>
    </row>
    <row r="75" spans="1:13" ht="89.25" outlineLevel="4">
      <c r="A75" s="832" t="s">
        <v>1324</v>
      </c>
      <c r="B75" s="482" t="s">
        <v>3287</v>
      </c>
      <c r="C75" s="482" t="s">
        <v>3286</v>
      </c>
      <c r="D75" s="831" t="s">
        <v>2819</v>
      </c>
      <c r="E75" s="482"/>
      <c r="F75" s="831" t="s">
        <v>3240</v>
      </c>
      <c r="G75" s="482" t="s">
        <v>717</v>
      </c>
      <c r="H75" s="484">
        <v>0</v>
      </c>
      <c r="I75" s="484">
        <v>0</v>
      </c>
      <c r="J75" s="484">
        <v>0</v>
      </c>
      <c r="K75" s="484">
        <v>14986989.75</v>
      </c>
      <c r="L75" s="484"/>
      <c r="M75" s="480"/>
    </row>
    <row r="76" spans="1:13" ht="89.25" outlineLevel="4">
      <c r="A76" s="832" t="s">
        <v>1324</v>
      </c>
      <c r="B76" s="482" t="s">
        <v>3287</v>
      </c>
      <c r="C76" s="482" t="s">
        <v>3286</v>
      </c>
      <c r="D76" s="831" t="s">
        <v>2819</v>
      </c>
      <c r="E76" s="482" t="s">
        <v>3241</v>
      </c>
      <c r="F76" s="831" t="s">
        <v>3240</v>
      </c>
      <c r="G76" s="482" t="s">
        <v>717</v>
      </c>
      <c r="H76" s="484">
        <v>41400000</v>
      </c>
      <c r="I76" s="484">
        <v>41400000</v>
      </c>
      <c r="J76" s="484">
        <v>23540197.649999999</v>
      </c>
      <c r="K76" s="484">
        <v>0</v>
      </c>
      <c r="L76" s="484"/>
      <c r="M76" s="480">
        <v>0</v>
      </c>
    </row>
    <row r="77" spans="1:13" ht="25.5" outlineLevel="2">
      <c r="A77" s="850" t="s">
        <v>3256</v>
      </c>
      <c r="B77" s="472" t="s">
        <v>3285</v>
      </c>
      <c r="C77" s="472"/>
      <c r="D77" s="473"/>
      <c r="E77" s="472"/>
      <c r="F77" s="473"/>
      <c r="G77" s="472"/>
      <c r="H77" s="474">
        <v>11806914.890000001</v>
      </c>
      <c r="I77" s="474">
        <v>11806914.890000001</v>
      </c>
      <c r="J77" s="474">
        <v>8173211.3899999997</v>
      </c>
      <c r="K77" s="474">
        <v>8173211.3899999997</v>
      </c>
      <c r="L77" s="474"/>
      <c r="M77" s="475">
        <v>69.22</v>
      </c>
    </row>
    <row r="78" spans="1:13" ht="25.5" outlineLevel="3">
      <c r="A78" s="833" t="s">
        <v>3284</v>
      </c>
      <c r="B78" s="477" t="s">
        <v>3283</v>
      </c>
      <c r="C78" s="477"/>
      <c r="D78" s="478"/>
      <c r="E78" s="477"/>
      <c r="F78" s="478"/>
      <c r="G78" s="477"/>
      <c r="H78" s="479">
        <v>4128297.87</v>
      </c>
      <c r="I78" s="479">
        <v>4128297.87</v>
      </c>
      <c r="J78" s="479">
        <v>498761</v>
      </c>
      <c r="K78" s="479">
        <v>498761</v>
      </c>
      <c r="L78" s="479"/>
      <c r="M78" s="480">
        <v>12.08</v>
      </c>
    </row>
    <row r="79" spans="1:13" ht="63.75" outlineLevel="4">
      <c r="A79" s="832" t="s">
        <v>3284</v>
      </c>
      <c r="B79" s="482" t="s">
        <v>3283</v>
      </c>
      <c r="C79" s="482" t="s">
        <v>3282</v>
      </c>
      <c r="D79" s="831" t="s">
        <v>3116</v>
      </c>
      <c r="E79" s="482"/>
      <c r="F79" s="831" t="s">
        <v>3240</v>
      </c>
      <c r="G79" s="482" t="s">
        <v>717</v>
      </c>
      <c r="H79" s="484">
        <v>0</v>
      </c>
      <c r="I79" s="484">
        <v>0</v>
      </c>
      <c r="J79" s="484">
        <v>0</v>
      </c>
      <c r="K79" s="484">
        <v>498761</v>
      </c>
      <c r="L79" s="484"/>
      <c r="M79" s="480"/>
    </row>
    <row r="80" spans="1:13" ht="63.75" outlineLevel="4">
      <c r="A80" s="832" t="s">
        <v>3284</v>
      </c>
      <c r="B80" s="482" t="s">
        <v>3283</v>
      </c>
      <c r="C80" s="482" t="s">
        <v>3282</v>
      </c>
      <c r="D80" s="831" t="s">
        <v>3116</v>
      </c>
      <c r="E80" s="482" t="s">
        <v>3257</v>
      </c>
      <c r="F80" s="831" t="s">
        <v>3240</v>
      </c>
      <c r="G80" s="482" t="s">
        <v>717</v>
      </c>
      <c r="H80" s="484">
        <v>3880600</v>
      </c>
      <c r="I80" s="484">
        <v>3880600</v>
      </c>
      <c r="J80" s="484">
        <v>468835.34</v>
      </c>
      <c r="K80" s="484">
        <v>-29925.66</v>
      </c>
      <c r="L80" s="484"/>
      <c r="M80" s="480">
        <v>-0.77</v>
      </c>
    </row>
    <row r="81" spans="1:13" ht="63.75" outlineLevel="4">
      <c r="A81" s="832" t="s">
        <v>3284</v>
      </c>
      <c r="B81" s="482" t="s">
        <v>3283</v>
      </c>
      <c r="C81" s="482" t="s">
        <v>3282</v>
      </c>
      <c r="D81" s="831" t="s">
        <v>3116</v>
      </c>
      <c r="E81" s="482" t="s">
        <v>3241</v>
      </c>
      <c r="F81" s="831" t="s">
        <v>3240</v>
      </c>
      <c r="G81" s="482" t="s">
        <v>717</v>
      </c>
      <c r="H81" s="484">
        <v>247697.87</v>
      </c>
      <c r="I81" s="484">
        <v>247697.87</v>
      </c>
      <c r="J81" s="484">
        <v>29925.66</v>
      </c>
      <c r="K81" s="484">
        <v>29925.66</v>
      </c>
      <c r="L81" s="484"/>
      <c r="M81" s="480">
        <v>12.08</v>
      </c>
    </row>
    <row r="82" spans="1:13" ht="102" outlineLevel="3">
      <c r="A82" s="833" t="s">
        <v>3281</v>
      </c>
      <c r="B82" s="477" t="s">
        <v>3280</v>
      </c>
      <c r="C82" s="477"/>
      <c r="D82" s="478"/>
      <c r="E82" s="477"/>
      <c r="F82" s="478"/>
      <c r="G82" s="477"/>
      <c r="H82" s="479">
        <v>7678617.0199999996</v>
      </c>
      <c r="I82" s="479">
        <v>7678617.0199999996</v>
      </c>
      <c r="J82" s="479">
        <v>7674450.3899999997</v>
      </c>
      <c r="K82" s="479">
        <v>7674450.3899999997</v>
      </c>
      <c r="L82" s="479"/>
      <c r="M82" s="480">
        <v>99.95</v>
      </c>
    </row>
    <row r="83" spans="1:13" ht="102" outlineLevel="4">
      <c r="A83" s="832" t="s">
        <v>3281</v>
      </c>
      <c r="B83" s="482" t="s">
        <v>3280</v>
      </c>
      <c r="C83" s="482" t="s">
        <v>3279</v>
      </c>
      <c r="D83" s="831" t="s">
        <v>3119</v>
      </c>
      <c r="E83" s="482"/>
      <c r="F83" s="831" t="s">
        <v>3240</v>
      </c>
      <c r="G83" s="482" t="s">
        <v>717</v>
      </c>
      <c r="H83" s="484">
        <v>0</v>
      </c>
      <c r="I83" s="484">
        <v>0</v>
      </c>
      <c r="J83" s="484">
        <v>0</v>
      </c>
      <c r="K83" s="484">
        <v>7674450.3899999997</v>
      </c>
      <c r="L83" s="484"/>
      <c r="M83" s="480"/>
    </row>
    <row r="84" spans="1:13" ht="102" outlineLevel="4">
      <c r="A84" s="832" t="s">
        <v>3281</v>
      </c>
      <c r="B84" s="482" t="s">
        <v>3280</v>
      </c>
      <c r="C84" s="482" t="s">
        <v>3279</v>
      </c>
      <c r="D84" s="831" t="s">
        <v>3119</v>
      </c>
      <c r="E84" s="482" t="s">
        <v>3257</v>
      </c>
      <c r="F84" s="831" t="s">
        <v>3240</v>
      </c>
      <c r="G84" s="482" t="s">
        <v>717</v>
      </c>
      <c r="H84" s="484">
        <v>7217900</v>
      </c>
      <c r="I84" s="484">
        <v>7217900</v>
      </c>
      <c r="J84" s="874">
        <v>7213983.3600000003</v>
      </c>
      <c r="K84" s="484">
        <v>-460467.02</v>
      </c>
      <c r="L84" s="484"/>
      <c r="M84" s="480">
        <v>-6.38</v>
      </c>
    </row>
    <row r="85" spans="1:13" ht="102" outlineLevel="4">
      <c r="A85" s="832" t="s">
        <v>3281</v>
      </c>
      <c r="B85" s="482" t="s">
        <v>3280</v>
      </c>
      <c r="C85" s="482" t="s">
        <v>3279</v>
      </c>
      <c r="D85" s="831" t="s">
        <v>3119</v>
      </c>
      <c r="E85" s="482" t="s">
        <v>3241</v>
      </c>
      <c r="F85" s="831" t="s">
        <v>3240</v>
      </c>
      <c r="G85" s="482" t="s">
        <v>717</v>
      </c>
      <c r="H85" s="484">
        <v>460717.02</v>
      </c>
      <c r="I85" s="484">
        <v>460717.02</v>
      </c>
      <c r="J85" s="484">
        <v>460467.03</v>
      </c>
      <c r="K85" s="874">
        <v>460467.02</v>
      </c>
      <c r="L85" s="874"/>
      <c r="M85" s="480">
        <v>99.95</v>
      </c>
    </row>
    <row r="86" spans="1:13" ht="25.5" outlineLevel="1">
      <c r="A86" s="851" t="s">
        <v>1326</v>
      </c>
      <c r="B86" s="467" t="s">
        <v>3278</v>
      </c>
      <c r="C86" s="467"/>
      <c r="D86" s="468"/>
      <c r="E86" s="467"/>
      <c r="F86" s="468"/>
      <c r="G86" s="467"/>
      <c r="H86" s="469">
        <v>97242515.299999997</v>
      </c>
      <c r="I86" s="469">
        <v>29323428.829999998</v>
      </c>
      <c r="J86" s="469">
        <v>0</v>
      </c>
      <c r="K86" s="469">
        <v>0</v>
      </c>
      <c r="L86" s="469"/>
      <c r="M86" s="470">
        <v>0</v>
      </c>
    </row>
    <row r="87" spans="1:13" ht="63.75" outlineLevel="2">
      <c r="A87" s="850" t="s">
        <v>1334</v>
      </c>
      <c r="B87" s="472" t="s">
        <v>3277</v>
      </c>
      <c r="C87" s="472"/>
      <c r="D87" s="473"/>
      <c r="E87" s="472"/>
      <c r="F87" s="473"/>
      <c r="G87" s="472"/>
      <c r="H87" s="474">
        <v>34863944.170000002</v>
      </c>
      <c r="I87" s="474">
        <v>18347957.699999999</v>
      </c>
      <c r="J87" s="474">
        <v>0</v>
      </c>
      <c r="K87" s="474">
        <v>0</v>
      </c>
      <c r="L87" s="474"/>
      <c r="M87" s="475">
        <v>0</v>
      </c>
    </row>
    <row r="88" spans="1:13" ht="25.5" outlineLevel="3">
      <c r="A88" s="833" t="s">
        <v>3274</v>
      </c>
      <c r="B88" s="477" t="s">
        <v>3276</v>
      </c>
      <c r="C88" s="477"/>
      <c r="D88" s="478"/>
      <c r="E88" s="477"/>
      <c r="F88" s="478"/>
      <c r="G88" s="477"/>
      <c r="H88" s="479">
        <v>4400000</v>
      </c>
      <c r="I88" s="479">
        <v>0</v>
      </c>
      <c r="J88" s="479">
        <v>0</v>
      </c>
      <c r="K88" s="479">
        <v>0</v>
      </c>
      <c r="L88" s="479"/>
      <c r="M88" s="480">
        <v>0</v>
      </c>
    </row>
    <row r="89" spans="1:13" ht="25.5" outlineLevel="4">
      <c r="A89" s="832" t="s">
        <v>3274</v>
      </c>
      <c r="B89" s="482" t="s">
        <v>3276</v>
      </c>
      <c r="C89" s="482" t="s">
        <v>3275</v>
      </c>
      <c r="D89" s="831" t="s">
        <v>3274</v>
      </c>
      <c r="E89" s="482" t="s">
        <v>3241</v>
      </c>
      <c r="F89" s="831" t="s">
        <v>3240</v>
      </c>
      <c r="G89" s="482" t="s">
        <v>717</v>
      </c>
      <c r="H89" s="484">
        <v>4400000</v>
      </c>
      <c r="I89" s="484">
        <v>0</v>
      </c>
      <c r="J89" s="484">
        <v>0</v>
      </c>
      <c r="K89" s="484">
        <v>0</v>
      </c>
      <c r="L89" s="484"/>
      <c r="M89" s="480">
        <v>0</v>
      </c>
    </row>
    <row r="90" spans="1:13" ht="38.25" outlineLevel="3">
      <c r="A90" s="833" t="s">
        <v>3273</v>
      </c>
      <c r="B90" s="477" t="s">
        <v>3272</v>
      </c>
      <c r="C90" s="477"/>
      <c r="D90" s="478"/>
      <c r="E90" s="477"/>
      <c r="F90" s="478"/>
      <c r="G90" s="477"/>
      <c r="H90" s="479">
        <v>6000000</v>
      </c>
      <c r="I90" s="479">
        <v>0</v>
      </c>
      <c r="J90" s="479">
        <v>0</v>
      </c>
      <c r="K90" s="479">
        <v>0</v>
      </c>
      <c r="L90" s="479"/>
      <c r="M90" s="480">
        <v>0</v>
      </c>
    </row>
    <row r="91" spans="1:13" ht="38.25" outlineLevel="4">
      <c r="A91" s="832" t="s">
        <v>3273</v>
      </c>
      <c r="B91" s="482" t="s">
        <v>3272</v>
      </c>
      <c r="C91" s="482" t="s">
        <v>3271</v>
      </c>
      <c r="D91" s="831" t="s">
        <v>3270</v>
      </c>
      <c r="E91" s="482" t="s">
        <v>3241</v>
      </c>
      <c r="F91" s="831" t="s">
        <v>3240</v>
      </c>
      <c r="G91" s="482" t="s">
        <v>717</v>
      </c>
      <c r="H91" s="484">
        <v>6000000</v>
      </c>
      <c r="I91" s="484">
        <v>0</v>
      </c>
      <c r="J91" s="484">
        <v>0</v>
      </c>
      <c r="K91" s="484">
        <v>0</v>
      </c>
      <c r="L91" s="484"/>
      <c r="M91" s="480">
        <v>0</v>
      </c>
    </row>
    <row r="92" spans="1:13" ht="51" outlineLevel="3">
      <c r="A92" s="833" t="s">
        <v>1338</v>
      </c>
      <c r="B92" s="477" t="s">
        <v>3269</v>
      </c>
      <c r="C92" s="477"/>
      <c r="D92" s="478"/>
      <c r="E92" s="477"/>
      <c r="F92" s="478"/>
      <c r="G92" s="477"/>
      <c r="H92" s="1159">
        <v>24463944.170000002</v>
      </c>
      <c r="I92" s="1159">
        <v>18347957.699999999</v>
      </c>
      <c r="J92" s="479">
        <v>0</v>
      </c>
      <c r="K92" s="479">
        <v>0</v>
      </c>
      <c r="L92" s="479"/>
      <c r="M92" s="480">
        <v>0</v>
      </c>
    </row>
    <row r="93" spans="1:13" ht="51" outlineLevel="4">
      <c r="A93" s="832" t="s">
        <v>1338</v>
      </c>
      <c r="B93" s="482" t="s">
        <v>3269</v>
      </c>
      <c r="C93" s="482" t="s">
        <v>3268</v>
      </c>
      <c r="D93" s="831" t="s">
        <v>670</v>
      </c>
      <c r="E93" s="482" t="s">
        <v>3241</v>
      </c>
      <c r="F93" s="831" t="s">
        <v>3240</v>
      </c>
      <c r="G93" s="482" t="s">
        <v>717</v>
      </c>
      <c r="H93" s="1160">
        <v>24463944.170000002</v>
      </c>
      <c r="I93" s="1160">
        <v>18347957.699999999</v>
      </c>
      <c r="J93" s="484">
        <v>0</v>
      </c>
      <c r="K93" s="484">
        <v>0</v>
      </c>
      <c r="L93" s="484"/>
      <c r="M93" s="480">
        <v>0</v>
      </c>
    </row>
    <row r="94" spans="1:13" ht="63.75" outlineLevel="2">
      <c r="A94" s="839" t="s">
        <v>3267</v>
      </c>
      <c r="B94" s="837" t="s">
        <v>3266</v>
      </c>
      <c r="C94" s="837"/>
      <c r="D94" s="838"/>
      <c r="E94" s="837"/>
      <c r="F94" s="838"/>
      <c r="G94" s="837"/>
      <c r="H94" s="836">
        <v>7025221.1299999999</v>
      </c>
      <c r="I94" s="836">
        <v>7025221.1299999999</v>
      </c>
      <c r="J94" s="836">
        <v>0</v>
      </c>
      <c r="K94" s="836">
        <v>0</v>
      </c>
      <c r="L94" s="836"/>
      <c r="M94" s="835">
        <v>0</v>
      </c>
    </row>
    <row r="95" spans="1:13" ht="51" outlineLevel="3">
      <c r="A95" s="833" t="s">
        <v>3265</v>
      </c>
      <c r="B95" s="477" t="s">
        <v>3264</v>
      </c>
      <c r="C95" s="477"/>
      <c r="D95" s="478"/>
      <c r="E95" s="477"/>
      <c r="F95" s="478"/>
      <c r="G95" s="477"/>
      <c r="H95" s="479">
        <v>7025221.1299999999</v>
      </c>
      <c r="I95" s="479">
        <v>7025221.1299999999</v>
      </c>
      <c r="J95" s="479">
        <v>0</v>
      </c>
      <c r="K95" s="479">
        <v>0</v>
      </c>
      <c r="L95" s="479"/>
      <c r="M95" s="480">
        <v>0</v>
      </c>
    </row>
    <row r="96" spans="1:13" ht="51" outlineLevel="4">
      <c r="A96" s="832" t="s">
        <v>3265</v>
      </c>
      <c r="B96" s="482" t="s">
        <v>3264</v>
      </c>
      <c r="C96" s="482" t="s">
        <v>3263</v>
      </c>
      <c r="D96" s="831" t="s">
        <v>3018</v>
      </c>
      <c r="E96" s="482" t="s">
        <v>3257</v>
      </c>
      <c r="F96" s="831" t="s">
        <v>3240</v>
      </c>
      <c r="G96" s="482" t="s">
        <v>717</v>
      </c>
      <c r="H96" s="484">
        <v>4987900</v>
      </c>
      <c r="I96" s="484">
        <v>4987900</v>
      </c>
      <c r="J96" s="484">
        <v>0</v>
      </c>
      <c r="K96" s="484">
        <v>0</v>
      </c>
      <c r="L96" s="484"/>
      <c r="M96" s="480">
        <v>0</v>
      </c>
    </row>
    <row r="97" spans="1:13" ht="51" outlineLevel="4">
      <c r="A97" s="832" t="s">
        <v>3265</v>
      </c>
      <c r="B97" s="482" t="s">
        <v>3264</v>
      </c>
      <c r="C97" s="482" t="s">
        <v>3263</v>
      </c>
      <c r="D97" s="831" t="s">
        <v>3018</v>
      </c>
      <c r="E97" s="482" t="s">
        <v>3241</v>
      </c>
      <c r="F97" s="831" t="s">
        <v>3240</v>
      </c>
      <c r="G97" s="482" t="s">
        <v>717</v>
      </c>
      <c r="H97" s="484">
        <v>2037321.13</v>
      </c>
      <c r="I97" s="484">
        <v>2037321.13</v>
      </c>
      <c r="J97" s="484">
        <v>0</v>
      </c>
      <c r="K97" s="484">
        <v>0</v>
      </c>
      <c r="L97" s="484"/>
      <c r="M97" s="480">
        <v>0</v>
      </c>
    </row>
    <row r="98" spans="1:13" ht="51" outlineLevel="2">
      <c r="A98" s="850" t="s">
        <v>3262</v>
      </c>
      <c r="B98" s="472" t="s">
        <v>3261</v>
      </c>
      <c r="C98" s="472"/>
      <c r="D98" s="473"/>
      <c r="E98" s="472"/>
      <c r="F98" s="473"/>
      <c r="G98" s="472"/>
      <c r="H98" s="474">
        <v>51403100</v>
      </c>
      <c r="I98" s="474">
        <v>0</v>
      </c>
      <c r="J98" s="474">
        <v>0</v>
      </c>
      <c r="K98" s="474">
        <v>0</v>
      </c>
      <c r="L98" s="474"/>
      <c r="M98" s="475">
        <v>0</v>
      </c>
    </row>
    <row r="99" spans="1:13" ht="63.75" outlineLevel="3">
      <c r="A99" s="833" t="s">
        <v>3260</v>
      </c>
      <c r="B99" s="477" t="s">
        <v>3259</v>
      </c>
      <c r="C99" s="477"/>
      <c r="D99" s="478"/>
      <c r="E99" s="477"/>
      <c r="F99" s="478"/>
      <c r="G99" s="477"/>
      <c r="H99" s="479">
        <v>51403100</v>
      </c>
      <c r="I99" s="479">
        <v>0</v>
      </c>
      <c r="J99" s="479">
        <v>0</v>
      </c>
      <c r="K99" s="479">
        <v>0</v>
      </c>
      <c r="L99" s="479"/>
      <c r="M99" s="480">
        <v>0</v>
      </c>
    </row>
    <row r="100" spans="1:13" ht="63.75" outlineLevel="4">
      <c r="A100" s="832" t="s">
        <v>3260</v>
      </c>
      <c r="B100" s="482" t="s">
        <v>3259</v>
      </c>
      <c r="C100" s="482" t="s">
        <v>3258</v>
      </c>
      <c r="D100" s="831" t="s">
        <v>3010</v>
      </c>
      <c r="E100" s="482" t="s">
        <v>3257</v>
      </c>
      <c r="F100" s="831" t="s">
        <v>3240</v>
      </c>
      <c r="G100" s="482" t="s">
        <v>717</v>
      </c>
      <c r="H100" s="484">
        <v>51403100</v>
      </c>
      <c r="I100" s="484">
        <v>0</v>
      </c>
      <c r="J100" s="484">
        <v>0</v>
      </c>
      <c r="K100" s="484">
        <v>0</v>
      </c>
      <c r="L100" s="484"/>
      <c r="M100" s="480">
        <v>0</v>
      </c>
    </row>
    <row r="101" spans="1:13" ht="25.5" outlineLevel="2">
      <c r="A101" s="850" t="s">
        <v>3256</v>
      </c>
      <c r="B101" s="472" t="s">
        <v>3255</v>
      </c>
      <c r="C101" s="472"/>
      <c r="D101" s="473"/>
      <c r="E101" s="472"/>
      <c r="F101" s="473"/>
      <c r="G101" s="472"/>
      <c r="H101" s="474">
        <v>3950250</v>
      </c>
      <c r="I101" s="474">
        <v>3950250</v>
      </c>
      <c r="J101" s="474">
        <v>0</v>
      </c>
      <c r="K101" s="474">
        <v>0</v>
      </c>
      <c r="L101" s="474"/>
      <c r="M101" s="475">
        <v>0</v>
      </c>
    </row>
    <row r="102" spans="1:13" ht="25.5" outlineLevel="3">
      <c r="A102" s="833" t="s">
        <v>713</v>
      </c>
      <c r="B102" s="477" t="s">
        <v>3254</v>
      </c>
      <c r="C102" s="477"/>
      <c r="D102" s="478"/>
      <c r="E102" s="477"/>
      <c r="F102" s="478"/>
      <c r="G102" s="477"/>
      <c r="H102" s="479">
        <v>3950250</v>
      </c>
      <c r="I102" s="479">
        <v>3950250</v>
      </c>
      <c r="J102" s="479">
        <v>0</v>
      </c>
      <c r="K102" s="479">
        <v>0</v>
      </c>
      <c r="L102" s="479"/>
      <c r="M102" s="480">
        <v>0</v>
      </c>
    </row>
    <row r="103" spans="1:13" ht="25.5" outlineLevel="4">
      <c r="A103" s="832" t="s">
        <v>713</v>
      </c>
      <c r="B103" s="482" t="s">
        <v>3254</v>
      </c>
      <c r="C103" s="482" t="s">
        <v>3253</v>
      </c>
      <c r="D103" s="831" t="s">
        <v>3252</v>
      </c>
      <c r="E103" s="482" t="s">
        <v>3241</v>
      </c>
      <c r="F103" s="831" t="s">
        <v>3240</v>
      </c>
      <c r="G103" s="482" t="s">
        <v>717</v>
      </c>
      <c r="H103" s="484">
        <v>3950250</v>
      </c>
      <c r="I103" s="484">
        <v>3950250</v>
      </c>
      <c r="J103" s="484">
        <v>0</v>
      </c>
      <c r="K103" s="484">
        <v>0</v>
      </c>
      <c r="L103" s="484"/>
      <c r="M103" s="480">
        <v>0</v>
      </c>
    </row>
    <row r="104" spans="1:13" ht="38.25" outlineLevel="1">
      <c r="A104" s="851" t="s">
        <v>1019</v>
      </c>
      <c r="B104" s="467" t="s">
        <v>3251</v>
      </c>
      <c r="C104" s="467"/>
      <c r="D104" s="468"/>
      <c r="E104" s="467"/>
      <c r="F104" s="468"/>
      <c r="G104" s="467"/>
      <c r="H104" s="469">
        <v>54125195.009999998</v>
      </c>
      <c r="I104" s="469">
        <v>48129339.439999998</v>
      </c>
      <c r="J104" s="469">
        <v>23157103.149999999</v>
      </c>
      <c r="K104" s="469">
        <v>22775046.359999999</v>
      </c>
      <c r="L104" s="469"/>
      <c r="M104" s="470">
        <v>42.08</v>
      </c>
    </row>
    <row r="105" spans="1:13" ht="51" outlineLevel="2">
      <c r="A105" s="850" t="s">
        <v>1346</v>
      </c>
      <c r="B105" s="472" t="s">
        <v>3250</v>
      </c>
      <c r="C105" s="472"/>
      <c r="D105" s="473"/>
      <c r="E105" s="472"/>
      <c r="F105" s="473"/>
      <c r="G105" s="472"/>
      <c r="H105" s="474">
        <v>54125195.009999998</v>
      </c>
      <c r="I105" s="474">
        <v>48129339.439999998</v>
      </c>
      <c r="J105" s="474">
        <v>23157103.149999999</v>
      </c>
      <c r="K105" s="1161">
        <v>22775046.359999999</v>
      </c>
      <c r="L105" s="474">
        <v>22775.04636</v>
      </c>
      <c r="M105" s="475">
        <v>42.08</v>
      </c>
    </row>
    <row r="106" spans="1:13" ht="25.5" outlineLevel="3">
      <c r="A106" s="833" t="s">
        <v>873</v>
      </c>
      <c r="B106" s="477" t="s">
        <v>3249</v>
      </c>
      <c r="C106" s="477"/>
      <c r="D106" s="478"/>
      <c r="E106" s="477"/>
      <c r="F106" s="478"/>
      <c r="G106" s="477"/>
      <c r="H106" s="479">
        <v>48788951.729999997</v>
      </c>
      <c r="I106" s="479">
        <v>42793096.159999996</v>
      </c>
      <c r="J106" s="479">
        <v>21387000</v>
      </c>
      <c r="K106" s="479">
        <v>21050765.949999999</v>
      </c>
      <c r="L106" s="479"/>
      <c r="M106" s="480">
        <v>43.15</v>
      </c>
    </row>
    <row r="107" spans="1:13" ht="25.5" outlineLevel="4">
      <c r="A107" s="832" t="s">
        <v>873</v>
      </c>
      <c r="B107" s="482" t="s">
        <v>3249</v>
      </c>
      <c r="C107" s="482"/>
      <c r="D107" s="831"/>
      <c r="E107" s="482"/>
      <c r="F107" s="831" t="s">
        <v>3240</v>
      </c>
      <c r="G107" s="482" t="s">
        <v>717</v>
      </c>
      <c r="H107" s="484">
        <v>0</v>
      </c>
      <c r="I107" s="484">
        <v>0</v>
      </c>
      <c r="J107" s="484">
        <v>0</v>
      </c>
      <c r="K107" s="484">
        <v>-35288.699999999997</v>
      </c>
      <c r="L107" s="484"/>
      <c r="M107" s="480"/>
    </row>
    <row r="108" spans="1:13" ht="38.25" outlineLevel="4">
      <c r="A108" s="832" t="s">
        <v>873</v>
      </c>
      <c r="B108" s="482" t="s">
        <v>3249</v>
      </c>
      <c r="C108" s="482" t="s">
        <v>3246</v>
      </c>
      <c r="D108" s="831" t="s">
        <v>3245</v>
      </c>
      <c r="E108" s="482"/>
      <c r="F108" s="831" t="s">
        <v>3240</v>
      </c>
      <c r="G108" s="482" t="s">
        <v>717</v>
      </c>
      <c r="H108" s="484">
        <v>0</v>
      </c>
      <c r="I108" s="484">
        <v>0</v>
      </c>
      <c r="J108" s="484">
        <v>0</v>
      </c>
      <c r="K108" s="484">
        <v>21086054.649999999</v>
      </c>
      <c r="L108" s="484"/>
      <c r="M108" s="480"/>
    </row>
    <row r="109" spans="1:13" ht="38.25" outlineLevel="4">
      <c r="A109" s="832" t="s">
        <v>873</v>
      </c>
      <c r="B109" s="482" t="s">
        <v>3249</v>
      </c>
      <c r="C109" s="482" t="s">
        <v>3246</v>
      </c>
      <c r="D109" s="831" t="s">
        <v>3245</v>
      </c>
      <c r="E109" s="482" t="s">
        <v>3241</v>
      </c>
      <c r="F109" s="831" t="s">
        <v>3240</v>
      </c>
      <c r="G109" s="482" t="s">
        <v>717</v>
      </c>
      <c r="H109" s="484">
        <v>48788951.729999997</v>
      </c>
      <c r="I109" s="484">
        <v>42793096.159999996</v>
      </c>
      <c r="J109" s="484">
        <v>21387000</v>
      </c>
      <c r="K109" s="484">
        <v>0</v>
      </c>
      <c r="L109" s="484"/>
      <c r="M109" s="480">
        <v>0</v>
      </c>
    </row>
    <row r="110" spans="1:13" ht="38.25" outlineLevel="3">
      <c r="A110" s="833" t="s">
        <v>854</v>
      </c>
      <c r="B110" s="477" t="s">
        <v>3248</v>
      </c>
      <c r="C110" s="477"/>
      <c r="D110" s="478"/>
      <c r="E110" s="477"/>
      <c r="F110" s="478"/>
      <c r="G110" s="477"/>
      <c r="H110" s="479">
        <v>4957943.28</v>
      </c>
      <c r="I110" s="479">
        <v>4957943.28</v>
      </c>
      <c r="J110" s="479">
        <v>1750620.55</v>
      </c>
      <c r="K110" s="479">
        <v>1704797.81</v>
      </c>
      <c r="L110" s="479"/>
      <c r="M110" s="480">
        <v>34.39</v>
      </c>
    </row>
    <row r="111" spans="1:13" ht="38.25" outlineLevel="4">
      <c r="A111" s="832" t="s">
        <v>854</v>
      </c>
      <c r="B111" s="482" t="s">
        <v>3248</v>
      </c>
      <c r="C111" s="482" t="s">
        <v>3246</v>
      </c>
      <c r="D111" s="831" t="s">
        <v>3245</v>
      </c>
      <c r="E111" s="482"/>
      <c r="F111" s="831" t="s">
        <v>3240</v>
      </c>
      <c r="G111" s="482" t="s">
        <v>717</v>
      </c>
      <c r="H111" s="484">
        <v>0</v>
      </c>
      <c r="I111" s="484">
        <v>0</v>
      </c>
      <c r="J111" s="484">
        <v>0</v>
      </c>
      <c r="K111" s="484">
        <v>1704797.81</v>
      </c>
      <c r="L111" s="484"/>
      <c r="M111" s="480"/>
    </row>
    <row r="112" spans="1:13" ht="38.25" outlineLevel="4">
      <c r="A112" s="832" t="s">
        <v>854</v>
      </c>
      <c r="B112" s="482" t="s">
        <v>3248</v>
      </c>
      <c r="C112" s="482" t="s">
        <v>3246</v>
      </c>
      <c r="D112" s="831" t="s">
        <v>3245</v>
      </c>
      <c r="E112" s="482" t="s">
        <v>3241</v>
      </c>
      <c r="F112" s="831" t="s">
        <v>3240</v>
      </c>
      <c r="G112" s="482" t="s">
        <v>717</v>
      </c>
      <c r="H112" s="484">
        <v>4957943.28</v>
      </c>
      <c r="I112" s="484">
        <v>4957943.28</v>
      </c>
      <c r="J112" s="484">
        <v>1750620.55</v>
      </c>
      <c r="K112" s="484">
        <v>0</v>
      </c>
      <c r="L112" s="484"/>
      <c r="M112" s="480">
        <v>0</v>
      </c>
    </row>
    <row r="113" spans="1:13" ht="63.75" outlineLevel="3">
      <c r="A113" s="833" t="s">
        <v>62</v>
      </c>
      <c r="B113" s="477" t="s">
        <v>3247</v>
      </c>
      <c r="C113" s="477"/>
      <c r="D113" s="478"/>
      <c r="E113" s="477"/>
      <c r="F113" s="478"/>
      <c r="G113" s="477"/>
      <c r="H113" s="479">
        <v>378300</v>
      </c>
      <c r="I113" s="479">
        <v>378300</v>
      </c>
      <c r="J113" s="479">
        <v>19482.599999999999</v>
      </c>
      <c r="K113" s="479">
        <v>19482.599999999999</v>
      </c>
      <c r="L113" s="479"/>
      <c r="M113" s="480">
        <v>5.15</v>
      </c>
    </row>
    <row r="114" spans="1:13" ht="63.75" outlineLevel="4">
      <c r="A114" s="832" t="s">
        <v>62</v>
      </c>
      <c r="B114" s="482" t="s">
        <v>3247</v>
      </c>
      <c r="C114" s="482" t="s">
        <v>3246</v>
      </c>
      <c r="D114" s="831" t="s">
        <v>3245</v>
      </c>
      <c r="E114" s="482"/>
      <c r="F114" s="831" t="s">
        <v>3240</v>
      </c>
      <c r="G114" s="482" t="s">
        <v>717</v>
      </c>
      <c r="H114" s="484">
        <v>0</v>
      </c>
      <c r="I114" s="484">
        <v>0</v>
      </c>
      <c r="J114" s="484">
        <v>0</v>
      </c>
      <c r="K114" s="484">
        <v>19482.599999999999</v>
      </c>
      <c r="L114" s="484"/>
      <c r="M114" s="480"/>
    </row>
    <row r="115" spans="1:13" ht="63.75" outlineLevel="4">
      <c r="A115" s="832" t="s">
        <v>62</v>
      </c>
      <c r="B115" s="482" t="s">
        <v>3247</v>
      </c>
      <c r="C115" s="482" t="s">
        <v>3246</v>
      </c>
      <c r="D115" s="831" t="s">
        <v>3245</v>
      </c>
      <c r="E115" s="482" t="s">
        <v>3241</v>
      </c>
      <c r="F115" s="831" t="s">
        <v>3240</v>
      </c>
      <c r="G115" s="482" t="s">
        <v>717</v>
      </c>
      <c r="H115" s="484">
        <v>378300</v>
      </c>
      <c r="I115" s="484">
        <v>378300</v>
      </c>
      <c r="J115" s="484">
        <v>19482.599999999999</v>
      </c>
      <c r="K115" s="484">
        <v>0</v>
      </c>
      <c r="L115" s="484"/>
      <c r="M115" s="480">
        <v>0</v>
      </c>
    </row>
    <row r="116" spans="1:13" s="834" customFormat="1" ht="15.75" thickBot="1">
      <c r="A116" s="849" t="s">
        <v>2414</v>
      </c>
      <c r="B116" s="847" t="s">
        <v>2415</v>
      </c>
      <c r="C116" s="847"/>
      <c r="D116" s="848"/>
      <c r="E116" s="847"/>
      <c r="F116" s="848"/>
      <c r="G116" s="847"/>
      <c r="H116" s="846">
        <v>45945.88</v>
      </c>
      <c r="I116" s="846">
        <v>45945.88</v>
      </c>
      <c r="J116" s="846">
        <v>45945.88</v>
      </c>
      <c r="K116" s="846">
        <v>45945.88</v>
      </c>
      <c r="L116" s="846"/>
      <c r="M116" s="845">
        <v>100</v>
      </c>
    </row>
    <row r="117" spans="1:13" s="834" customFormat="1" outlineLevel="1">
      <c r="A117" s="844" t="s">
        <v>2468</v>
      </c>
      <c r="B117" s="842" t="s">
        <v>2469</v>
      </c>
      <c r="C117" s="842"/>
      <c r="D117" s="843"/>
      <c r="E117" s="842"/>
      <c r="F117" s="843"/>
      <c r="G117" s="842"/>
      <c r="H117" s="841">
        <v>45945.88</v>
      </c>
      <c r="I117" s="841">
        <v>45945.88</v>
      </c>
      <c r="J117" s="841">
        <v>45945.88</v>
      </c>
      <c r="K117" s="841">
        <v>45945.88</v>
      </c>
      <c r="L117" s="841"/>
      <c r="M117" s="840">
        <v>100</v>
      </c>
    </row>
    <row r="118" spans="1:13" s="834" customFormat="1" outlineLevel="2">
      <c r="A118" s="839" t="s">
        <v>2468</v>
      </c>
      <c r="B118" s="837" t="s">
        <v>2469</v>
      </c>
      <c r="C118" s="837"/>
      <c r="D118" s="838"/>
      <c r="E118" s="837"/>
      <c r="F118" s="838"/>
      <c r="G118" s="837"/>
      <c r="H118" s="836">
        <v>45945.88</v>
      </c>
      <c r="I118" s="836">
        <v>45945.88</v>
      </c>
      <c r="J118" s="836">
        <v>45945.88</v>
      </c>
      <c r="K118" s="836">
        <v>45945.88</v>
      </c>
      <c r="L118" s="836"/>
      <c r="M118" s="835">
        <v>100</v>
      </c>
    </row>
    <row r="119" spans="1:13" ht="89.25" outlineLevel="3">
      <c r="A119" s="833" t="s">
        <v>3244</v>
      </c>
      <c r="B119" s="477" t="s">
        <v>2471</v>
      </c>
      <c r="C119" s="477"/>
      <c r="D119" s="478"/>
      <c r="E119" s="477"/>
      <c r="F119" s="478"/>
      <c r="G119" s="477"/>
      <c r="H119" s="479">
        <v>45945.88</v>
      </c>
      <c r="I119" s="479">
        <v>45945.88</v>
      </c>
      <c r="J119" s="479">
        <v>45945.88</v>
      </c>
      <c r="K119" s="479">
        <v>45945.88</v>
      </c>
      <c r="L119" s="479"/>
      <c r="M119" s="480">
        <v>100</v>
      </c>
    </row>
    <row r="120" spans="1:13" ht="89.25" outlineLevel="4">
      <c r="A120" s="832" t="s">
        <v>3244</v>
      </c>
      <c r="B120" s="482" t="s">
        <v>2471</v>
      </c>
      <c r="C120" s="482"/>
      <c r="D120" s="831"/>
      <c r="E120" s="482"/>
      <c r="F120" s="831" t="s">
        <v>3240</v>
      </c>
      <c r="G120" s="482" t="s">
        <v>717</v>
      </c>
      <c r="H120" s="484">
        <v>0</v>
      </c>
      <c r="I120" s="484">
        <v>0</v>
      </c>
      <c r="J120" s="484">
        <v>0</v>
      </c>
      <c r="K120" s="484">
        <v>35288.699999999997</v>
      </c>
      <c r="L120" s="484"/>
      <c r="M120" s="480"/>
    </row>
    <row r="121" spans="1:13" ht="89.25" outlineLevel="4">
      <c r="A121" s="832" t="s">
        <v>3244</v>
      </c>
      <c r="B121" s="482" t="s">
        <v>2471</v>
      </c>
      <c r="C121" s="482" t="s">
        <v>3243</v>
      </c>
      <c r="D121" s="831" t="s">
        <v>3242</v>
      </c>
      <c r="E121" s="482"/>
      <c r="F121" s="831" t="s">
        <v>3240</v>
      </c>
      <c r="G121" s="482" t="s">
        <v>717</v>
      </c>
      <c r="H121" s="484">
        <v>0</v>
      </c>
      <c r="I121" s="484">
        <v>0</v>
      </c>
      <c r="J121" s="484">
        <v>0</v>
      </c>
      <c r="K121" s="484">
        <v>10657.18</v>
      </c>
      <c r="L121" s="484"/>
      <c r="M121" s="480"/>
    </row>
    <row r="122" spans="1:13" ht="89.25" outlineLevel="4">
      <c r="A122" s="832" t="s">
        <v>3244</v>
      </c>
      <c r="B122" s="482" t="s">
        <v>2471</v>
      </c>
      <c r="C122" s="482" t="s">
        <v>3243</v>
      </c>
      <c r="D122" s="831" t="s">
        <v>3242</v>
      </c>
      <c r="E122" s="482" t="s">
        <v>3241</v>
      </c>
      <c r="F122" s="831" t="s">
        <v>3240</v>
      </c>
      <c r="G122" s="482" t="s">
        <v>717</v>
      </c>
      <c r="H122" s="484">
        <v>45945.88</v>
      </c>
      <c r="I122" s="484">
        <v>45945.88</v>
      </c>
      <c r="J122" s="484">
        <v>45945.88</v>
      </c>
      <c r="K122" s="484">
        <v>0</v>
      </c>
      <c r="L122" s="484"/>
      <c r="M122" s="480">
        <v>0</v>
      </c>
    </row>
    <row r="123" spans="1:13" ht="15.75" collapsed="1" thickBot="1">
      <c r="A123" s="486"/>
      <c r="B123" s="487"/>
      <c r="C123" s="487"/>
      <c r="D123" s="487"/>
      <c r="E123" s="487"/>
      <c r="F123" s="487"/>
      <c r="G123" s="487"/>
      <c r="H123" s="487"/>
      <c r="I123" s="487"/>
      <c r="J123" s="487"/>
      <c r="K123" s="487"/>
      <c r="L123" s="487"/>
      <c r="M123" s="488"/>
    </row>
    <row r="124" spans="1:13" ht="15.75" thickBot="1">
      <c r="A124" s="489" t="s">
        <v>2525</v>
      </c>
      <c r="B124" s="490"/>
      <c r="C124" s="490"/>
      <c r="D124" s="490"/>
      <c r="E124" s="490"/>
      <c r="F124" s="490"/>
      <c r="G124" s="490"/>
      <c r="H124" s="491">
        <v>1455608778.95</v>
      </c>
      <c r="I124" s="491">
        <v>1381611259.0999999</v>
      </c>
      <c r="J124" s="491">
        <v>776691642.05999994</v>
      </c>
      <c r="K124" s="491">
        <v>771411543.95000005</v>
      </c>
      <c r="L124" s="491"/>
      <c r="M124" s="492"/>
    </row>
    <row r="125" spans="1:13">
      <c r="A125" s="493"/>
      <c r="B125" s="493"/>
      <c r="C125" s="493"/>
      <c r="D125" s="493"/>
      <c r="E125" s="493"/>
      <c r="F125" s="493"/>
      <c r="G125" s="493"/>
      <c r="H125" s="493"/>
      <c r="I125" s="493"/>
      <c r="J125" s="493"/>
      <c r="K125" s="493"/>
      <c r="L125" s="493"/>
      <c r="M125" s="493"/>
    </row>
    <row r="126" spans="1:13">
      <c r="A126" s="2594"/>
      <c r="B126" s="2595"/>
      <c r="C126" s="2595"/>
      <c r="D126" s="2595"/>
      <c r="E126" s="2595"/>
      <c r="F126" s="2595"/>
      <c r="G126" s="2595"/>
      <c r="H126" s="2595"/>
      <c r="I126" s="2595"/>
      <c r="J126" s="2595"/>
      <c r="K126" s="2595"/>
      <c r="L126" s="2595"/>
      <c r="M126" s="2595"/>
    </row>
  </sheetData>
  <autoFilter ref="A4:M122"/>
  <mergeCells count="4">
    <mergeCell ref="A1:M1"/>
    <mergeCell ref="A2:M2"/>
    <mergeCell ref="A3:M3"/>
    <mergeCell ref="A126:M126"/>
  </mergeCells>
  <pageMargins left="0.7" right="0.7" top="0.75" bottom="0.75" header="0.3" footer="0.3"/>
  <pageSetup paperSize="9"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66FF"/>
    <outlinePr summaryBelow="0"/>
    <pageSetUpPr fitToPage="1"/>
  </sheetPr>
  <dimension ref="A1:M1595"/>
  <sheetViews>
    <sheetView zoomScale="90" zoomScaleNormal="90" zoomScaleSheetLayoutView="85" workbookViewId="0">
      <pane xSplit="2" ySplit="3" topLeftCell="C4" activePane="bottomRight" state="frozen"/>
      <selection pane="topRight" activeCell="C1" sqref="C1"/>
      <selection pane="bottomLeft" activeCell="A4" sqref="A4"/>
      <selection pane="bottomRight" activeCell="G202" sqref="G202"/>
    </sheetView>
  </sheetViews>
  <sheetFormatPr defaultColWidth="9.140625" defaultRowHeight="15.75"/>
  <cols>
    <col min="1" max="1" width="11.85546875" style="10" customWidth="1"/>
    <col min="2" max="2" width="67.5703125" style="111" customWidth="1"/>
    <col min="3" max="3" width="7.85546875" style="68" customWidth="1"/>
    <col min="4" max="4" width="14.28515625" style="375" customWidth="1"/>
    <col min="5" max="5" width="14.42578125" style="661" customWidth="1"/>
    <col min="6" max="6" width="14.42578125" style="112" customWidth="1"/>
    <col min="7" max="7" width="12.85546875" style="68" customWidth="1"/>
    <col min="8" max="8" width="54.140625" style="603" customWidth="1"/>
    <col min="9" max="9" width="42.7109375" style="882" customWidth="1"/>
    <col min="10" max="10" width="12.28515625" style="883" customWidth="1"/>
    <col min="11" max="11" width="42.28515625" style="884" customWidth="1"/>
    <col min="12" max="12" width="40" style="884" customWidth="1"/>
    <col min="13" max="13" width="9.140625" style="68"/>
    <col min="14" max="16384" width="9.140625" style="36"/>
  </cols>
  <sheetData>
    <row r="1" spans="1:13" ht="15">
      <c r="A1" s="2214" t="s">
        <v>2988</v>
      </c>
      <c r="B1" s="2214"/>
      <c r="C1" s="2214"/>
      <c r="D1" s="2214"/>
      <c r="E1" s="2214"/>
      <c r="F1" s="2214"/>
      <c r="G1" s="2214"/>
      <c r="H1" s="2214"/>
      <c r="I1" s="2214"/>
      <c r="J1" s="2214"/>
      <c r="K1" s="2214"/>
      <c r="L1" s="2214"/>
      <c r="M1" s="2214"/>
    </row>
    <row r="2" spans="1:13" ht="27.75" customHeight="1">
      <c r="A2" s="2029" t="s">
        <v>1</v>
      </c>
      <c r="B2" s="2154" t="s">
        <v>137</v>
      </c>
      <c r="C2" s="2230" t="s">
        <v>4</v>
      </c>
      <c r="D2" s="2230"/>
      <c r="E2" s="2230"/>
      <c r="F2" s="2230"/>
      <c r="G2" s="2230"/>
      <c r="H2" s="2231" t="s">
        <v>138</v>
      </c>
      <c r="I2" s="2232"/>
      <c r="J2" s="2233"/>
      <c r="K2" s="2045" t="s">
        <v>6</v>
      </c>
      <c r="L2" s="2169" t="s">
        <v>272</v>
      </c>
      <c r="M2" s="2221" t="s">
        <v>146</v>
      </c>
    </row>
    <row r="3" spans="1:13" ht="63">
      <c r="A3" s="2030"/>
      <c r="B3" s="2155"/>
      <c r="C3" s="105" t="s">
        <v>139</v>
      </c>
      <c r="D3" s="106" t="s">
        <v>140</v>
      </c>
      <c r="E3" s="106" t="s">
        <v>147</v>
      </c>
      <c r="F3" s="373" t="s">
        <v>141</v>
      </c>
      <c r="G3" s="66" t="s">
        <v>148</v>
      </c>
      <c r="H3" s="602" t="s">
        <v>142</v>
      </c>
      <c r="I3" s="923" t="s">
        <v>143</v>
      </c>
      <c r="J3" s="923" t="s">
        <v>144</v>
      </c>
      <c r="K3" s="2022"/>
      <c r="L3" s="2171"/>
      <c r="M3" s="2222"/>
    </row>
    <row r="4" spans="1:13" hidden="1">
      <c r="A4" s="2139"/>
      <c r="B4" s="2120" t="s">
        <v>2909</v>
      </c>
      <c r="C4" s="776" t="s">
        <v>8</v>
      </c>
      <c r="D4" s="777"/>
      <c r="E4" s="777"/>
      <c r="F4" s="777"/>
      <c r="G4" s="778" t="e">
        <f>F4/D4</f>
        <v>#DIV/0!</v>
      </c>
      <c r="H4" s="2867"/>
      <c r="I4" s="779" t="s">
        <v>267</v>
      </c>
      <c r="J4" s="780"/>
      <c r="K4" s="2060" t="s">
        <v>2894</v>
      </c>
      <c r="L4" s="2066"/>
      <c r="M4" s="2041">
        <v>823</v>
      </c>
    </row>
    <row r="5" spans="1:13" hidden="1">
      <c r="A5" s="2140"/>
      <c r="B5" s="2865"/>
      <c r="C5" s="776" t="s">
        <v>9</v>
      </c>
      <c r="D5" s="777"/>
      <c r="E5" s="777"/>
      <c r="F5" s="777"/>
      <c r="G5" s="778" t="e">
        <f t="shared" ref="G5:G25" si="0">F5/D5</f>
        <v>#DIV/0!</v>
      </c>
      <c r="H5" s="2868"/>
      <c r="I5" s="779" t="s">
        <v>268</v>
      </c>
      <c r="J5" s="780"/>
      <c r="K5" s="2061"/>
      <c r="L5" s="2066"/>
      <c r="M5" s="2042"/>
    </row>
    <row r="6" spans="1:13" hidden="1">
      <c r="A6" s="2140"/>
      <c r="B6" s="2865"/>
      <c r="C6" s="776" t="s">
        <v>10</v>
      </c>
      <c r="D6" s="777"/>
      <c r="E6" s="777"/>
      <c r="F6" s="777"/>
      <c r="G6" s="778" t="e">
        <f t="shared" si="0"/>
        <v>#DIV/0!</v>
      </c>
      <c r="H6" s="2868"/>
      <c r="I6" s="779" t="s">
        <v>269</v>
      </c>
      <c r="J6" s="780"/>
      <c r="K6" s="2061"/>
      <c r="L6" s="2066"/>
      <c r="M6" s="2042"/>
    </row>
    <row r="7" spans="1:13" hidden="1">
      <c r="A7" s="2140"/>
      <c r="B7" s="2865"/>
      <c r="C7" s="776" t="s">
        <v>11</v>
      </c>
      <c r="D7" s="781"/>
      <c r="E7" s="781"/>
      <c r="F7" s="781"/>
      <c r="G7" s="778" t="e">
        <f t="shared" si="0"/>
        <v>#DIV/0!</v>
      </c>
      <c r="H7" s="2868"/>
      <c r="I7" s="779" t="s">
        <v>270</v>
      </c>
      <c r="J7" s="780"/>
      <c r="K7" s="2061"/>
      <c r="L7" s="2066"/>
      <c r="M7" s="2042"/>
    </row>
    <row r="8" spans="1:13" hidden="1">
      <c r="A8" s="2141"/>
      <c r="B8" s="2866"/>
      <c r="C8" s="776" t="s">
        <v>12</v>
      </c>
      <c r="D8" s="781"/>
      <c r="E8" s="781"/>
      <c r="F8" s="781"/>
      <c r="G8" s="778">
        <v>0</v>
      </c>
      <c r="H8" s="2869"/>
      <c r="I8" s="779" t="s">
        <v>271</v>
      </c>
      <c r="J8" s="782" t="e">
        <f>(J5+0.5*J6)/J4</f>
        <v>#DIV/0!</v>
      </c>
      <c r="K8" s="2062"/>
      <c r="L8" s="2066"/>
      <c r="M8" s="2043"/>
    </row>
    <row r="9" spans="1:13" hidden="1">
      <c r="A9" s="2139"/>
      <c r="B9" s="2120" t="s">
        <v>2796</v>
      </c>
      <c r="C9" s="776" t="s">
        <v>8</v>
      </c>
      <c r="D9" s="781"/>
      <c r="E9" s="783"/>
      <c r="F9" s="783"/>
      <c r="G9" s="778" t="e">
        <f t="shared" si="0"/>
        <v>#DIV/0!</v>
      </c>
      <c r="H9" s="2867"/>
      <c r="I9" s="779" t="s">
        <v>267</v>
      </c>
      <c r="J9" s="784"/>
      <c r="K9" s="2060" t="s">
        <v>2797</v>
      </c>
      <c r="L9" s="2066"/>
      <c r="M9" s="2041">
        <v>823</v>
      </c>
    </row>
    <row r="10" spans="1:13" hidden="1">
      <c r="A10" s="2140"/>
      <c r="B10" s="2865"/>
      <c r="C10" s="776" t="s">
        <v>9</v>
      </c>
      <c r="D10" s="781"/>
      <c r="E10" s="777"/>
      <c r="F10" s="777"/>
      <c r="G10" s="778" t="e">
        <f t="shared" si="0"/>
        <v>#DIV/0!</v>
      </c>
      <c r="H10" s="2868"/>
      <c r="I10" s="779" t="s">
        <v>268</v>
      </c>
      <c r="J10" s="784"/>
      <c r="K10" s="2061"/>
      <c r="L10" s="2066"/>
      <c r="M10" s="2042"/>
    </row>
    <row r="11" spans="1:13" hidden="1">
      <c r="A11" s="2140"/>
      <c r="B11" s="2865"/>
      <c r="C11" s="776" t="s">
        <v>10</v>
      </c>
      <c r="D11" s="781"/>
      <c r="E11" s="777"/>
      <c r="F11" s="777"/>
      <c r="G11" s="778" t="e">
        <f t="shared" si="0"/>
        <v>#DIV/0!</v>
      </c>
      <c r="H11" s="2868"/>
      <c r="I11" s="779" t="s">
        <v>269</v>
      </c>
      <c r="J11" s="784"/>
      <c r="K11" s="2061"/>
      <c r="L11" s="2066"/>
      <c r="M11" s="2042"/>
    </row>
    <row r="12" spans="1:13" hidden="1">
      <c r="A12" s="2140"/>
      <c r="B12" s="2865"/>
      <c r="C12" s="776" t="s">
        <v>11</v>
      </c>
      <c r="D12" s="781"/>
      <c r="E12" s="777"/>
      <c r="F12" s="777"/>
      <c r="G12" s="778" t="e">
        <f t="shared" si="0"/>
        <v>#DIV/0!</v>
      </c>
      <c r="H12" s="2868"/>
      <c r="I12" s="779" t="s">
        <v>270</v>
      </c>
      <c r="J12" s="784"/>
      <c r="K12" s="2061"/>
      <c r="L12" s="2066"/>
      <c r="M12" s="2042"/>
    </row>
    <row r="13" spans="1:13" hidden="1">
      <c r="A13" s="2141"/>
      <c r="B13" s="2866"/>
      <c r="C13" s="776" t="s">
        <v>12</v>
      </c>
      <c r="D13" s="781"/>
      <c r="E13" s="777"/>
      <c r="F13" s="777"/>
      <c r="G13" s="778">
        <v>0</v>
      </c>
      <c r="H13" s="2869"/>
      <c r="I13" s="779" t="s">
        <v>271</v>
      </c>
      <c r="J13" s="785" t="e">
        <f>(J10+0.5*J11)/J9</f>
        <v>#DIV/0!</v>
      </c>
      <c r="K13" s="2061"/>
      <c r="L13" s="2066"/>
      <c r="M13" s="2043"/>
    </row>
    <row r="14" spans="1:13">
      <c r="A14" s="2850"/>
      <c r="B14" s="2853" t="s">
        <v>653</v>
      </c>
      <c r="C14" s="755" t="s">
        <v>8</v>
      </c>
      <c r="D14" s="756">
        <f>D15+D16+D17+D18</f>
        <v>196683.10595999999</v>
      </c>
      <c r="E14" s="756">
        <f>E15+E16+E17+E18</f>
        <v>98341.552979999993</v>
      </c>
      <c r="F14" s="756">
        <f>F15+F16+F17+F18</f>
        <v>98341.552979999993</v>
      </c>
      <c r="G14" s="757">
        <f t="shared" si="0"/>
        <v>0.5</v>
      </c>
      <c r="H14" s="2856"/>
      <c r="I14" s="758" t="s">
        <v>267</v>
      </c>
      <c r="J14" s="759"/>
      <c r="K14" s="2859" t="str">
        <f>'[7]Пр ГП 19-20'!$K$11</f>
        <v>Министерство строительства МО</v>
      </c>
      <c r="L14" s="2861"/>
      <c r="M14" s="2862">
        <v>823</v>
      </c>
    </row>
    <row r="15" spans="1:13">
      <c r="A15" s="2851"/>
      <c r="B15" s="2854"/>
      <c r="C15" s="755" t="s">
        <v>9</v>
      </c>
      <c r="D15" s="760">
        <f>E15+F15</f>
        <v>65827.496620000005</v>
      </c>
      <c r="E15" s="760">
        <f>E200+E210+E220+E225+E230+E245</f>
        <v>32913.748310000003</v>
      </c>
      <c r="F15" s="760">
        <f>F200+F210+F220+F225+F230+F245</f>
        <v>32913.748310000003</v>
      </c>
      <c r="G15" s="757">
        <f t="shared" si="0"/>
        <v>0.5</v>
      </c>
      <c r="H15" s="2857"/>
      <c r="I15" s="758" t="s">
        <v>268</v>
      </c>
      <c r="J15" s="759">
        <v>0</v>
      </c>
      <c r="K15" s="2860"/>
      <c r="L15" s="2861"/>
      <c r="M15" s="2863"/>
    </row>
    <row r="16" spans="1:13">
      <c r="A16" s="2851"/>
      <c r="B16" s="2854"/>
      <c r="C16" s="755" t="s">
        <v>10</v>
      </c>
      <c r="D16" s="760">
        <f t="shared" ref="D16:D18" si="1">E16+F16</f>
        <v>127391</v>
      </c>
      <c r="E16" s="760">
        <f t="shared" ref="E16:F18" si="2">E201+E211+E221+E226+E231+E246</f>
        <v>63695.5</v>
      </c>
      <c r="F16" s="760">
        <f t="shared" si="2"/>
        <v>63695.5</v>
      </c>
      <c r="G16" s="757">
        <f t="shared" si="0"/>
        <v>0.5</v>
      </c>
      <c r="H16" s="2857"/>
      <c r="I16" s="758" t="s">
        <v>269</v>
      </c>
      <c r="J16" s="759"/>
      <c r="K16" s="2860"/>
      <c r="L16" s="2861"/>
      <c r="M16" s="2863"/>
    </row>
    <row r="17" spans="1:13">
      <c r="A17" s="2851"/>
      <c r="B17" s="2854"/>
      <c r="C17" s="755" t="s">
        <v>11</v>
      </c>
      <c r="D17" s="760">
        <f t="shared" si="1"/>
        <v>3464.60934</v>
      </c>
      <c r="E17" s="760">
        <f t="shared" si="2"/>
        <v>1732.30467</v>
      </c>
      <c r="F17" s="760">
        <f t="shared" si="2"/>
        <v>1732.30467</v>
      </c>
      <c r="G17" s="757">
        <f t="shared" si="0"/>
        <v>0.5</v>
      </c>
      <c r="H17" s="2857"/>
      <c r="I17" s="758" t="s">
        <v>270</v>
      </c>
      <c r="J17" s="759"/>
      <c r="K17" s="2860"/>
      <c r="L17" s="2861"/>
      <c r="M17" s="2863"/>
    </row>
    <row r="18" spans="1:13">
      <c r="A18" s="2852"/>
      <c r="B18" s="2855"/>
      <c r="C18" s="755" t="s">
        <v>12</v>
      </c>
      <c r="D18" s="760">
        <f t="shared" si="1"/>
        <v>0</v>
      </c>
      <c r="E18" s="760">
        <f t="shared" si="2"/>
        <v>0</v>
      </c>
      <c r="F18" s="760">
        <f t="shared" si="2"/>
        <v>0</v>
      </c>
      <c r="G18" s="757">
        <v>0</v>
      </c>
      <c r="H18" s="2858"/>
      <c r="I18" s="758" t="s">
        <v>271</v>
      </c>
      <c r="J18" s="761" t="e">
        <f>(J15+0.5*J16)/J14</f>
        <v>#DIV/0!</v>
      </c>
      <c r="K18" s="2860"/>
      <c r="L18" s="2861"/>
      <c r="M18" s="2864"/>
    </row>
    <row r="19" spans="1:13" hidden="1">
      <c r="A19" s="2840" t="s">
        <v>16</v>
      </c>
      <c r="B19" s="2843" t="s">
        <v>2910</v>
      </c>
      <c r="C19" s="685" t="s">
        <v>8</v>
      </c>
      <c r="D19" s="686">
        <v>301285.35900000005</v>
      </c>
      <c r="E19" s="686">
        <v>204100.538</v>
      </c>
      <c r="F19" s="686">
        <v>204100.53999999998</v>
      </c>
      <c r="G19" s="708">
        <f t="shared" si="0"/>
        <v>0.67743265280939169</v>
      </c>
      <c r="H19" s="2846"/>
      <c r="I19" s="711" t="s">
        <v>267</v>
      </c>
      <c r="J19" s="712"/>
      <c r="K19" s="2848" t="s">
        <v>2986</v>
      </c>
      <c r="L19" s="2848"/>
      <c r="M19" s="2627">
        <v>823</v>
      </c>
    </row>
    <row r="20" spans="1:13" hidden="1">
      <c r="A20" s="2841"/>
      <c r="B20" s="2844"/>
      <c r="C20" s="685" t="s">
        <v>9</v>
      </c>
      <c r="D20" s="709">
        <v>298917.65900000004</v>
      </c>
      <c r="E20" s="709">
        <v>204100.538</v>
      </c>
      <c r="F20" s="709">
        <v>204100.53999999998</v>
      </c>
      <c r="G20" s="708">
        <f t="shared" si="0"/>
        <v>0.68279853616811559</v>
      </c>
      <c r="H20" s="2847"/>
      <c r="I20" s="711" t="s">
        <v>268</v>
      </c>
      <c r="J20" s="712"/>
      <c r="K20" s="2849"/>
      <c r="L20" s="2849"/>
      <c r="M20" s="2628"/>
    </row>
    <row r="21" spans="1:13" hidden="1">
      <c r="A21" s="2841"/>
      <c r="B21" s="2844"/>
      <c r="C21" s="685" t="s">
        <v>10</v>
      </c>
      <c r="D21" s="709">
        <v>2367.6999999999998</v>
      </c>
      <c r="E21" s="709">
        <v>0</v>
      </c>
      <c r="F21" s="709">
        <v>0</v>
      </c>
      <c r="G21" s="708">
        <f t="shared" si="0"/>
        <v>0</v>
      </c>
      <c r="H21" s="2847"/>
      <c r="I21" s="711" t="s">
        <v>269</v>
      </c>
      <c r="J21" s="712">
        <v>0</v>
      </c>
      <c r="K21" s="2849"/>
      <c r="L21" s="2849"/>
      <c r="M21" s="2628"/>
    </row>
    <row r="22" spans="1:13" hidden="1">
      <c r="A22" s="2841"/>
      <c r="B22" s="2844"/>
      <c r="C22" s="685" t="s">
        <v>11</v>
      </c>
      <c r="D22" s="709">
        <v>0</v>
      </c>
      <c r="E22" s="709">
        <v>0</v>
      </c>
      <c r="F22" s="709">
        <v>0</v>
      </c>
      <c r="G22" s="708">
        <v>0</v>
      </c>
      <c r="H22" s="2847"/>
      <c r="I22" s="711" t="s">
        <v>270</v>
      </c>
      <c r="J22" s="712"/>
      <c r="K22" s="2849"/>
      <c r="L22" s="2849"/>
      <c r="M22" s="2628"/>
    </row>
    <row r="23" spans="1:13" hidden="1">
      <c r="A23" s="2842"/>
      <c r="B23" s="2845"/>
      <c r="C23" s="685" t="s">
        <v>12</v>
      </c>
      <c r="D23" s="709">
        <v>0</v>
      </c>
      <c r="E23" s="709">
        <v>0</v>
      </c>
      <c r="F23" s="709">
        <v>0</v>
      </c>
      <c r="G23" s="708">
        <v>0</v>
      </c>
      <c r="H23" s="2847"/>
      <c r="I23" s="713" t="s">
        <v>271</v>
      </c>
      <c r="J23" s="714" t="e">
        <f>(J20+0.5*J21)/J19</f>
        <v>#DIV/0!</v>
      </c>
      <c r="K23" s="2849"/>
      <c r="L23" s="2849"/>
      <c r="M23" s="2628"/>
    </row>
    <row r="24" spans="1:13" s="372" customFormat="1" hidden="1">
      <c r="A24" s="2649" t="s">
        <v>173</v>
      </c>
      <c r="B24" s="2837" t="s">
        <v>2911</v>
      </c>
      <c r="C24" s="820" t="s">
        <v>8</v>
      </c>
      <c r="D24" s="829">
        <f>SUM(D25:D28)</f>
        <v>256885.25702999998</v>
      </c>
      <c r="E24" s="679">
        <v>200756.26800000001</v>
      </c>
      <c r="F24" s="679">
        <v>200756.27</v>
      </c>
      <c r="G24" s="680">
        <f>F24/D24</f>
        <v>0.78150171917633615</v>
      </c>
      <c r="H24" s="2606"/>
      <c r="I24" s="649" t="s">
        <v>267</v>
      </c>
      <c r="J24" s="672"/>
      <c r="K24" s="2609" t="s">
        <v>2798</v>
      </c>
      <c r="L24" s="2609"/>
      <c r="M24" s="2612">
        <v>823</v>
      </c>
    </row>
    <row r="25" spans="1:13" s="372" customFormat="1" hidden="1">
      <c r="A25" s="2650"/>
      <c r="B25" s="2838"/>
      <c r="C25" s="820" t="s">
        <v>9</v>
      </c>
      <c r="D25" s="885">
        <f>SUM(D30,D35,D40,D45,D50,D55,D60,D65,D70)</f>
        <v>244399.46568999998</v>
      </c>
      <c r="E25" s="681">
        <v>200756.26800000001</v>
      </c>
      <c r="F25" s="681">
        <v>200756.27</v>
      </c>
      <c r="G25" s="680">
        <f t="shared" si="0"/>
        <v>0.82142679581240297</v>
      </c>
      <c r="H25" s="2607"/>
      <c r="I25" s="649" t="s">
        <v>268</v>
      </c>
      <c r="J25" s="650"/>
      <c r="K25" s="2610"/>
      <c r="L25" s="2610"/>
      <c r="M25" s="2613"/>
    </row>
    <row r="26" spans="1:13" s="372" customFormat="1" hidden="1">
      <c r="A26" s="2650"/>
      <c r="B26" s="2838"/>
      <c r="C26" s="820" t="s">
        <v>10</v>
      </c>
      <c r="D26" s="885">
        <f>SUM(D31,D36,D41,D46,D51,D56,D61,D66,D71)</f>
        <v>0</v>
      </c>
      <c r="E26" s="679">
        <v>0</v>
      </c>
      <c r="F26" s="679">
        <v>0</v>
      </c>
      <c r="G26" s="680">
        <v>0</v>
      </c>
      <c r="H26" s="2607"/>
      <c r="I26" s="649" t="s">
        <v>269</v>
      </c>
      <c r="J26" s="650"/>
      <c r="K26" s="2610"/>
      <c r="L26" s="2610"/>
      <c r="M26" s="2613"/>
    </row>
    <row r="27" spans="1:13" s="372" customFormat="1" hidden="1">
      <c r="A27" s="2650"/>
      <c r="B27" s="2838"/>
      <c r="C27" s="820" t="s">
        <v>11</v>
      </c>
      <c r="D27" s="885">
        <f>SUM(D32,D37,D42,D47,D52,D62,D67,D72)</f>
        <v>12485.79134</v>
      </c>
      <c r="E27" s="679">
        <v>0</v>
      </c>
      <c r="F27" s="679">
        <v>0</v>
      </c>
      <c r="G27" s="680">
        <v>0</v>
      </c>
      <c r="H27" s="2607"/>
      <c r="I27" s="649" t="s">
        <v>270</v>
      </c>
      <c r="J27" s="650"/>
      <c r="K27" s="2610"/>
      <c r="L27" s="2610"/>
      <c r="M27" s="2613"/>
    </row>
    <row r="28" spans="1:13" s="372" customFormat="1" hidden="1">
      <c r="A28" s="2651"/>
      <c r="B28" s="2839"/>
      <c r="C28" s="820" t="s">
        <v>12</v>
      </c>
      <c r="D28" s="885">
        <v>0</v>
      </c>
      <c r="E28" s="679">
        <v>0</v>
      </c>
      <c r="F28" s="679">
        <v>0</v>
      </c>
      <c r="G28" s="680">
        <v>0</v>
      </c>
      <c r="H28" s="2608"/>
      <c r="I28" s="653" t="s">
        <v>271</v>
      </c>
      <c r="J28" s="654" t="e">
        <f>(J25+0.5*J26)/J24</f>
        <v>#DIV/0!</v>
      </c>
      <c r="K28" s="2610"/>
      <c r="L28" s="2610"/>
      <c r="M28" s="2613"/>
    </row>
    <row r="29" spans="1:13" s="372" customFormat="1" ht="15" hidden="1">
      <c r="A29" s="2649" t="s">
        <v>33</v>
      </c>
      <c r="B29" s="2734" t="s">
        <v>2805</v>
      </c>
      <c r="C29" s="799" t="s">
        <v>8</v>
      </c>
      <c r="D29" s="800">
        <f>SUM(D30:D33)</f>
        <v>40000</v>
      </c>
      <c r="E29" s="800">
        <f>SUM(E30:E33)</f>
        <v>40000</v>
      </c>
      <c r="F29" s="924">
        <f>SUM(F30:F33)</f>
        <v>0</v>
      </c>
      <c r="G29" s="67">
        <f t="shared" ref="G29:G30" si="3">F29/D29</f>
        <v>0</v>
      </c>
      <c r="H29" s="2737" t="s">
        <v>2897</v>
      </c>
      <c r="I29" s="2834" t="s">
        <v>2864</v>
      </c>
      <c r="J29" s="2046"/>
      <c r="K29" s="2693" t="s">
        <v>2844</v>
      </c>
      <c r="L29" s="2771"/>
      <c r="M29" s="920"/>
    </row>
    <row r="30" spans="1:13" s="372" customFormat="1" ht="30" hidden="1" customHeight="1">
      <c r="A30" s="2832"/>
      <c r="B30" s="2820"/>
      <c r="C30" s="801" t="s">
        <v>9</v>
      </c>
      <c r="D30" s="802">
        <f>'[8]475ПП'!F61</f>
        <v>40000</v>
      </c>
      <c r="E30" s="802">
        <f>[8]Документ!L27</f>
        <v>40000</v>
      </c>
      <c r="F30" s="656">
        <v>0</v>
      </c>
      <c r="G30" s="67">
        <f t="shared" si="3"/>
        <v>0</v>
      </c>
      <c r="H30" s="2822"/>
      <c r="I30" s="2835"/>
      <c r="J30" s="2743"/>
      <c r="K30" s="2741"/>
      <c r="L30" s="2824"/>
      <c r="M30" s="921">
        <v>823</v>
      </c>
    </row>
    <row r="31" spans="1:13" s="372" customFormat="1" ht="29.25" hidden="1" customHeight="1">
      <c r="A31" s="2832"/>
      <c r="B31" s="2820"/>
      <c r="C31" s="801" t="s">
        <v>10</v>
      </c>
      <c r="D31" s="802">
        <f>'[8]475ПП'!G61</f>
        <v>0</v>
      </c>
      <c r="E31" s="802">
        <v>0</v>
      </c>
      <c r="F31" s="802">
        <v>0</v>
      </c>
      <c r="G31" s="805">
        <v>0</v>
      </c>
      <c r="H31" s="2822"/>
      <c r="I31" s="2835"/>
      <c r="J31" s="2743"/>
      <c r="K31" s="2741"/>
      <c r="L31" s="2824"/>
      <c r="M31" s="921"/>
    </row>
    <row r="32" spans="1:13" s="372" customFormat="1" ht="31.5" hidden="1" customHeight="1">
      <c r="A32" s="2832"/>
      <c r="B32" s="2820"/>
      <c r="C32" s="801" t="s">
        <v>11</v>
      </c>
      <c r="D32" s="802">
        <f>'[8]475ПП'!H61</f>
        <v>0</v>
      </c>
      <c r="E32" s="802">
        <v>0</v>
      </c>
      <c r="F32" s="802">
        <v>0</v>
      </c>
      <c r="G32" s="805">
        <v>0</v>
      </c>
      <c r="H32" s="2822"/>
      <c r="I32" s="2835"/>
      <c r="J32" s="2743"/>
      <c r="K32" s="2741"/>
      <c r="L32" s="2824"/>
      <c r="M32" s="921"/>
    </row>
    <row r="33" spans="1:13" s="372" customFormat="1" ht="25.5" hidden="1" customHeight="1">
      <c r="A33" s="2833"/>
      <c r="B33" s="2821"/>
      <c r="C33" s="803" t="s">
        <v>12</v>
      </c>
      <c r="D33" s="804">
        <f>'[8]475ПП'!I61</f>
        <v>0</v>
      </c>
      <c r="E33" s="804">
        <v>0</v>
      </c>
      <c r="F33" s="804">
        <v>0</v>
      </c>
      <c r="G33" s="806">
        <v>0</v>
      </c>
      <c r="H33" s="2823"/>
      <c r="I33" s="2836"/>
      <c r="J33" s="2744"/>
      <c r="K33" s="2742"/>
      <c r="L33" s="2825"/>
      <c r="M33" s="922"/>
    </row>
    <row r="34" spans="1:13" s="372" customFormat="1" ht="35.25" hidden="1" customHeight="1">
      <c r="A34" s="2649" t="s">
        <v>193</v>
      </c>
      <c r="B34" s="2734" t="s">
        <v>3371</v>
      </c>
      <c r="C34" s="801" t="s">
        <v>8</v>
      </c>
      <c r="D34" s="807">
        <v>40000</v>
      </c>
      <c r="E34" s="925">
        <f>SUM(E35:E38)</f>
        <v>0</v>
      </c>
      <c r="F34" s="925">
        <f>SUM(F35:F38)</f>
        <v>0</v>
      </c>
      <c r="G34" s="926">
        <f t="shared" ref="G34:G35" si="4">F34/D34</f>
        <v>0</v>
      </c>
      <c r="H34" s="2826" t="s">
        <v>2809</v>
      </c>
      <c r="I34" s="2829" t="s">
        <v>2865</v>
      </c>
      <c r="J34" s="2046"/>
      <c r="K34" s="2693" t="s">
        <v>2844</v>
      </c>
      <c r="L34" s="2052" t="s">
        <v>2866</v>
      </c>
      <c r="M34" s="2262">
        <v>823</v>
      </c>
    </row>
    <row r="35" spans="1:13" s="372" customFormat="1" ht="31.5" hidden="1" customHeight="1">
      <c r="A35" s="2650"/>
      <c r="B35" s="2759"/>
      <c r="C35" s="801" t="s">
        <v>9</v>
      </c>
      <c r="D35" s="804">
        <f>'[8]475ПП'!F73</f>
        <v>40000</v>
      </c>
      <c r="E35" s="927"/>
      <c r="F35" s="927"/>
      <c r="G35" s="926">
        <f t="shared" si="4"/>
        <v>0</v>
      </c>
      <c r="H35" s="2827"/>
      <c r="I35" s="2830"/>
      <c r="J35" s="2743"/>
      <c r="K35" s="2741"/>
      <c r="L35" s="2830"/>
      <c r="M35" s="2263"/>
    </row>
    <row r="36" spans="1:13" s="372" customFormat="1" ht="22.5" hidden="1" customHeight="1">
      <c r="A36" s="2650"/>
      <c r="B36" s="2759"/>
      <c r="C36" s="801" t="s">
        <v>10</v>
      </c>
      <c r="D36" s="804">
        <f>'[8]475ПП'!G73</f>
        <v>0</v>
      </c>
      <c r="E36" s="804">
        <v>0</v>
      </c>
      <c r="F36" s="804">
        <v>0</v>
      </c>
      <c r="G36" s="806">
        <v>0</v>
      </c>
      <c r="H36" s="2827"/>
      <c r="I36" s="2830"/>
      <c r="J36" s="2743"/>
      <c r="K36" s="2741"/>
      <c r="L36" s="2830"/>
      <c r="M36" s="2263"/>
    </row>
    <row r="37" spans="1:13" s="372" customFormat="1" ht="23.25" hidden="1" customHeight="1">
      <c r="A37" s="2650"/>
      <c r="B37" s="2759"/>
      <c r="C37" s="801" t="s">
        <v>11</v>
      </c>
      <c r="D37" s="804">
        <f>'[8]475ПП'!H73</f>
        <v>0</v>
      </c>
      <c r="E37" s="804">
        <v>0</v>
      </c>
      <c r="F37" s="804">
        <v>0</v>
      </c>
      <c r="G37" s="806">
        <v>0</v>
      </c>
      <c r="H37" s="2827"/>
      <c r="I37" s="2830"/>
      <c r="J37" s="2743"/>
      <c r="K37" s="2741"/>
      <c r="L37" s="2830"/>
      <c r="M37" s="2263"/>
    </row>
    <row r="38" spans="1:13" s="372" customFormat="1" ht="15" hidden="1">
      <c r="A38" s="2651"/>
      <c r="B38" s="2760"/>
      <c r="C38" s="801" t="s">
        <v>12</v>
      </c>
      <c r="D38" s="804">
        <f>'[8]475ПП'!I73</f>
        <v>0</v>
      </c>
      <c r="E38" s="804">
        <v>0</v>
      </c>
      <c r="F38" s="804">
        <v>0</v>
      </c>
      <c r="G38" s="806">
        <v>0</v>
      </c>
      <c r="H38" s="2828"/>
      <c r="I38" s="2831"/>
      <c r="J38" s="2744"/>
      <c r="K38" s="2742"/>
      <c r="L38" s="2831"/>
      <c r="M38" s="2264"/>
    </row>
    <row r="39" spans="1:13" s="376" customFormat="1" ht="21.75" hidden="1" customHeight="1">
      <c r="A39" s="2726" t="s">
        <v>2806</v>
      </c>
      <c r="B39" s="2729" t="s">
        <v>2807</v>
      </c>
      <c r="C39" s="823" t="s">
        <v>8</v>
      </c>
      <c r="D39" s="821">
        <f>SUM(D40:D43)</f>
        <v>2451.4306900000001</v>
      </c>
      <c r="E39" s="662">
        <f>SUM(E40:E43)</f>
        <v>0</v>
      </c>
      <c r="F39" s="662">
        <f>SUM(F40:F43)</f>
        <v>0</v>
      </c>
      <c r="G39" s="67">
        <f t="shared" ref="G39:G45" si="5">F39/D39</f>
        <v>0</v>
      </c>
      <c r="H39" s="2807" t="s">
        <v>2810</v>
      </c>
      <c r="I39" s="2052" t="s">
        <v>3387</v>
      </c>
      <c r="J39" s="2046"/>
      <c r="K39" s="2798" t="s">
        <v>2844</v>
      </c>
      <c r="L39" s="2052" t="s">
        <v>2898</v>
      </c>
      <c r="M39" s="2262">
        <v>823</v>
      </c>
    </row>
    <row r="40" spans="1:13" s="376" customFormat="1" ht="21.75" hidden="1" customHeight="1">
      <c r="A40" s="2727"/>
      <c r="B40" s="2730"/>
      <c r="C40" s="820" t="s">
        <v>9</v>
      </c>
      <c r="D40" s="804">
        <f>'[8]475ПП'!F79</f>
        <v>2451.4306900000001</v>
      </c>
      <c r="E40" s="664"/>
      <c r="F40" s="664"/>
      <c r="G40" s="67">
        <f t="shared" si="5"/>
        <v>0</v>
      </c>
      <c r="H40" s="2808"/>
      <c r="I40" s="2053"/>
      <c r="J40" s="2743"/>
      <c r="K40" s="2799"/>
      <c r="L40" s="2053"/>
      <c r="M40" s="2263"/>
    </row>
    <row r="41" spans="1:13" s="376" customFormat="1" ht="23.25" hidden="1" customHeight="1">
      <c r="A41" s="2727"/>
      <c r="B41" s="2730"/>
      <c r="C41" s="820" t="s">
        <v>10</v>
      </c>
      <c r="D41" s="822">
        <f>'[8]475ПП'!G79</f>
        <v>0</v>
      </c>
      <c r="E41" s="824">
        <v>0</v>
      </c>
      <c r="F41" s="824">
        <v>0</v>
      </c>
      <c r="G41" s="805">
        <v>0</v>
      </c>
      <c r="H41" s="2808"/>
      <c r="I41" s="2053"/>
      <c r="J41" s="2743"/>
      <c r="K41" s="2799"/>
      <c r="L41" s="2053"/>
      <c r="M41" s="2263"/>
    </row>
    <row r="42" spans="1:13" s="376" customFormat="1" ht="22.5" hidden="1" customHeight="1">
      <c r="A42" s="2727"/>
      <c r="B42" s="2730"/>
      <c r="C42" s="820" t="s">
        <v>11</v>
      </c>
      <c r="D42" s="822">
        <f>'[8]475ПП'!H79</f>
        <v>0</v>
      </c>
      <c r="E42" s="824">
        <v>0</v>
      </c>
      <c r="F42" s="824">
        <v>0</v>
      </c>
      <c r="G42" s="805">
        <v>0</v>
      </c>
      <c r="H42" s="2808"/>
      <c r="I42" s="2053"/>
      <c r="J42" s="2743"/>
      <c r="K42" s="2799"/>
      <c r="L42" s="2053"/>
      <c r="M42" s="2263"/>
    </row>
    <row r="43" spans="1:13" s="376" customFormat="1" ht="15" hidden="1">
      <c r="A43" s="2728"/>
      <c r="B43" s="2731"/>
      <c r="C43" s="820" t="s">
        <v>12</v>
      </c>
      <c r="D43" s="822">
        <f>'[8]475ПП'!I79</f>
        <v>0</v>
      </c>
      <c r="E43" s="824">
        <v>0</v>
      </c>
      <c r="F43" s="824">
        <v>0</v>
      </c>
      <c r="G43" s="805">
        <v>0</v>
      </c>
      <c r="H43" s="2809"/>
      <c r="I43" s="2054"/>
      <c r="J43" s="2744"/>
      <c r="K43" s="2799"/>
      <c r="L43" s="2054"/>
      <c r="M43" s="2264"/>
    </row>
    <row r="44" spans="1:13" s="376" customFormat="1" ht="15" hidden="1">
      <c r="A44" s="2726" t="s">
        <v>2808</v>
      </c>
      <c r="B44" s="2729" t="s">
        <v>2902</v>
      </c>
      <c r="C44" s="823" t="s">
        <v>8</v>
      </c>
      <c r="D44" s="825">
        <f>SUM(D45:D48)</f>
        <v>57948.035000000003</v>
      </c>
      <c r="E44" s="928">
        <f>SUM(E45:E48)</f>
        <v>0</v>
      </c>
      <c r="F44" s="928">
        <f>SUM(F45:F48)</f>
        <v>0</v>
      </c>
      <c r="G44" s="67">
        <f t="shared" si="5"/>
        <v>0</v>
      </c>
      <c r="H44" s="2807" t="s">
        <v>2811</v>
      </c>
      <c r="I44" s="2771" t="s">
        <v>2867</v>
      </c>
      <c r="J44" s="2046"/>
      <c r="K44" s="2798" t="s">
        <v>2799</v>
      </c>
      <c r="L44" s="2146"/>
      <c r="M44" s="2262">
        <v>823</v>
      </c>
    </row>
    <row r="45" spans="1:13" s="376" customFormat="1" ht="15" hidden="1">
      <c r="A45" s="2727"/>
      <c r="B45" s="2820"/>
      <c r="C45" s="820" t="s">
        <v>9</v>
      </c>
      <c r="D45" s="824">
        <f>'[8]475ПП'!F85</f>
        <v>57948.035000000003</v>
      </c>
      <c r="E45" s="108"/>
      <c r="F45" s="108"/>
      <c r="G45" s="67">
        <f t="shared" si="5"/>
        <v>0</v>
      </c>
      <c r="H45" s="2822"/>
      <c r="I45" s="2824"/>
      <c r="J45" s="2743"/>
      <c r="K45" s="2799"/>
      <c r="L45" s="2147"/>
      <c r="M45" s="2263"/>
    </row>
    <row r="46" spans="1:13" s="376" customFormat="1" ht="15" hidden="1">
      <c r="A46" s="2727"/>
      <c r="B46" s="2820"/>
      <c r="C46" s="820" t="s">
        <v>10</v>
      </c>
      <c r="D46" s="822">
        <f>'[8]475ПП'!G85</f>
        <v>0</v>
      </c>
      <c r="E46" s="824">
        <v>0</v>
      </c>
      <c r="F46" s="824">
        <v>0</v>
      </c>
      <c r="G46" s="805">
        <v>0</v>
      </c>
      <c r="H46" s="2822"/>
      <c r="I46" s="2824"/>
      <c r="J46" s="2743"/>
      <c r="K46" s="2799"/>
      <c r="L46" s="2147"/>
      <c r="M46" s="2263"/>
    </row>
    <row r="47" spans="1:13" s="376" customFormat="1" ht="15" hidden="1">
      <c r="A47" s="2727"/>
      <c r="B47" s="2820"/>
      <c r="C47" s="820" t="s">
        <v>11</v>
      </c>
      <c r="D47" s="822">
        <f>'[8]475ПП'!H85</f>
        <v>0</v>
      </c>
      <c r="E47" s="824">
        <v>0</v>
      </c>
      <c r="F47" s="824">
        <v>0</v>
      </c>
      <c r="G47" s="805">
        <v>0</v>
      </c>
      <c r="H47" s="2822"/>
      <c r="I47" s="2824"/>
      <c r="J47" s="2743"/>
      <c r="K47" s="2799"/>
      <c r="L47" s="2147"/>
      <c r="M47" s="2263"/>
    </row>
    <row r="48" spans="1:13" s="376" customFormat="1" ht="42" hidden="1" customHeight="1">
      <c r="A48" s="2728"/>
      <c r="B48" s="2821"/>
      <c r="C48" s="820" t="s">
        <v>12</v>
      </c>
      <c r="D48" s="822">
        <f>'[8]475ПП'!I85</f>
        <v>0</v>
      </c>
      <c r="E48" s="824">
        <v>0</v>
      </c>
      <c r="F48" s="824">
        <v>0</v>
      </c>
      <c r="G48" s="805">
        <v>0</v>
      </c>
      <c r="H48" s="2823"/>
      <c r="I48" s="2825"/>
      <c r="J48" s="2744"/>
      <c r="K48" s="2800"/>
      <c r="L48" s="2223"/>
      <c r="M48" s="2263"/>
    </row>
    <row r="49" spans="1:13" s="376" customFormat="1" ht="15" hidden="1">
      <c r="A49" s="2670" t="s">
        <v>2908</v>
      </c>
      <c r="B49" s="2795" t="s">
        <v>2903</v>
      </c>
      <c r="C49" s="823" t="s">
        <v>8</v>
      </c>
      <c r="D49" s="829">
        <f>SUM(D50:D53)</f>
        <v>20000</v>
      </c>
      <c r="E49" s="929">
        <f>SUM(E50:E53)</f>
        <v>0</v>
      </c>
      <c r="F49" s="929">
        <f>SUM(F50:F53)</f>
        <v>0</v>
      </c>
      <c r="G49" s="657">
        <f t="shared" ref="G49:G63" si="6">F49/D49</f>
        <v>0</v>
      </c>
      <c r="H49" s="2805" t="s">
        <v>2897</v>
      </c>
      <c r="I49" s="2817"/>
      <c r="J49" s="2817"/>
      <c r="K49" s="2798" t="s">
        <v>2799</v>
      </c>
      <c r="L49" s="2045"/>
      <c r="M49" s="2262">
        <v>823</v>
      </c>
    </row>
    <row r="50" spans="1:13" s="376" customFormat="1" ht="15" hidden="1">
      <c r="A50" s="2671"/>
      <c r="B50" s="2796"/>
      <c r="C50" s="820" t="s">
        <v>9</v>
      </c>
      <c r="D50" s="826">
        <f>'[8]475ПП'!F91</f>
        <v>20000</v>
      </c>
      <c r="E50" s="658">
        <v>0</v>
      </c>
      <c r="F50" s="658">
        <v>0</v>
      </c>
      <c r="G50" s="657">
        <f t="shared" si="6"/>
        <v>0</v>
      </c>
      <c r="H50" s="2819"/>
      <c r="I50" s="2743"/>
      <c r="J50" s="2743"/>
      <c r="K50" s="2799"/>
      <c r="L50" s="2021"/>
      <c r="M50" s="2263"/>
    </row>
    <row r="51" spans="1:13" s="376" customFormat="1" ht="15" hidden="1">
      <c r="A51" s="2671"/>
      <c r="B51" s="2796"/>
      <c r="C51" s="820" t="s">
        <v>10</v>
      </c>
      <c r="D51" s="826">
        <f>'[8]475ПП'!G91</f>
        <v>0</v>
      </c>
      <c r="E51" s="827">
        <v>0</v>
      </c>
      <c r="F51" s="827">
        <v>0</v>
      </c>
      <c r="G51" s="828" t="e">
        <f t="shared" si="6"/>
        <v>#DIV/0!</v>
      </c>
      <c r="H51" s="2819"/>
      <c r="I51" s="2743"/>
      <c r="J51" s="2743"/>
      <c r="K51" s="2799"/>
      <c r="L51" s="2021"/>
      <c r="M51" s="2263"/>
    </row>
    <row r="52" spans="1:13" s="376" customFormat="1" ht="15" hidden="1">
      <c r="A52" s="2671"/>
      <c r="B52" s="2796"/>
      <c r="C52" s="820" t="s">
        <v>11</v>
      </c>
      <c r="D52" s="826">
        <f>'[8]475ПП'!H91</f>
        <v>0</v>
      </c>
      <c r="E52" s="827">
        <v>0</v>
      </c>
      <c r="F52" s="827">
        <v>0</v>
      </c>
      <c r="G52" s="828" t="e">
        <f t="shared" si="6"/>
        <v>#DIV/0!</v>
      </c>
      <c r="H52" s="2819"/>
      <c r="I52" s="2743"/>
      <c r="J52" s="2743"/>
      <c r="K52" s="2799"/>
      <c r="L52" s="2021"/>
      <c r="M52" s="2263"/>
    </row>
    <row r="53" spans="1:13" s="376" customFormat="1" ht="45.75" hidden="1" customHeight="1">
      <c r="A53" s="2672"/>
      <c r="B53" s="2797"/>
      <c r="C53" s="820" t="s">
        <v>12</v>
      </c>
      <c r="D53" s="826">
        <f>'[8]475ПП'!I91</f>
        <v>0</v>
      </c>
      <c r="E53" s="827">
        <v>0</v>
      </c>
      <c r="F53" s="827">
        <v>0</v>
      </c>
      <c r="G53" s="828" t="e">
        <f t="shared" si="6"/>
        <v>#DIV/0!</v>
      </c>
      <c r="H53" s="2819"/>
      <c r="I53" s="2744"/>
      <c r="J53" s="2744"/>
      <c r="K53" s="2800"/>
      <c r="L53" s="2022"/>
      <c r="M53" s="2263"/>
    </row>
    <row r="54" spans="1:13" s="376" customFormat="1" ht="32.25" hidden="1" customHeight="1">
      <c r="A54" s="2670" t="s">
        <v>2913</v>
      </c>
      <c r="B54" s="2795" t="s">
        <v>2905</v>
      </c>
      <c r="C54" s="823" t="s">
        <v>8</v>
      </c>
      <c r="D54" s="822">
        <f>SUM(D55:D58)</f>
        <v>26000</v>
      </c>
      <c r="E54" s="108">
        <f>SUM(E55:E58)</f>
        <v>0</v>
      </c>
      <c r="F54" s="108">
        <f>SUM(F55:F58)</f>
        <v>0</v>
      </c>
      <c r="G54" s="67">
        <f t="shared" si="6"/>
        <v>0</v>
      </c>
      <c r="H54" s="2814" t="s">
        <v>3196</v>
      </c>
      <c r="I54" s="2817"/>
      <c r="J54" s="2817"/>
      <c r="K54" s="2798" t="s">
        <v>2799</v>
      </c>
      <c r="L54" s="2055"/>
      <c r="M54" s="2818">
        <v>823</v>
      </c>
    </row>
    <row r="55" spans="1:13" s="376" customFormat="1" ht="25.5" hidden="1" customHeight="1">
      <c r="A55" s="2671"/>
      <c r="B55" s="2796"/>
      <c r="C55" s="820" t="s">
        <v>9</v>
      </c>
      <c r="D55" s="822">
        <f>'[8]475ПП'!F109</f>
        <v>26000</v>
      </c>
      <c r="E55" s="108">
        <v>0</v>
      </c>
      <c r="F55" s="108">
        <v>0</v>
      </c>
      <c r="G55" s="67">
        <f t="shared" si="6"/>
        <v>0</v>
      </c>
      <c r="H55" s="2815"/>
      <c r="I55" s="2743"/>
      <c r="J55" s="2743"/>
      <c r="K55" s="2799"/>
      <c r="L55" s="2055"/>
      <c r="M55" s="2818"/>
    </row>
    <row r="56" spans="1:13" s="376" customFormat="1" ht="15" hidden="1">
      <c r="A56" s="2671"/>
      <c r="B56" s="2796"/>
      <c r="C56" s="820" t="s">
        <v>10</v>
      </c>
      <c r="D56" s="822">
        <f>'[8]475ПП'!G109</f>
        <v>0</v>
      </c>
      <c r="E56" s="824">
        <v>0</v>
      </c>
      <c r="F56" s="824">
        <v>0</v>
      </c>
      <c r="G56" s="805" t="e">
        <f t="shared" si="6"/>
        <v>#DIV/0!</v>
      </c>
      <c r="H56" s="2815"/>
      <c r="I56" s="2743"/>
      <c r="J56" s="2743"/>
      <c r="K56" s="2799"/>
      <c r="L56" s="2055"/>
      <c r="M56" s="2818"/>
    </row>
    <row r="57" spans="1:13" s="376" customFormat="1" ht="21" hidden="1" customHeight="1">
      <c r="A57" s="2671"/>
      <c r="B57" s="2796"/>
      <c r="C57" s="820" t="s">
        <v>11</v>
      </c>
      <c r="D57" s="822">
        <f>'[8]475ПП'!H109</f>
        <v>0</v>
      </c>
      <c r="E57" s="824">
        <v>0</v>
      </c>
      <c r="F57" s="824">
        <v>0</v>
      </c>
      <c r="G57" s="805" t="e">
        <f t="shared" si="6"/>
        <v>#DIV/0!</v>
      </c>
      <c r="H57" s="2815"/>
      <c r="I57" s="2743"/>
      <c r="J57" s="2743"/>
      <c r="K57" s="2799"/>
      <c r="L57" s="2055"/>
      <c r="M57" s="2818"/>
    </row>
    <row r="58" spans="1:13" s="376" customFormat="1" ht="15" hidden="1">
      <c r="A58" s="2672"/>
      <c r="B58" s="2797"/>
      <c r="C58" s="820" t="s">
        <v>12</v>
      </c>
      <c r="D58" s="822">
        <f>'[8]475ПП'!I109</f>
        <v>0</v>
      </c>
      <c r="E58" s="824">
        <v>0</v>
      </c>
      <c r="F58" s="824">
        <v>0</v>
      </c>
      <c r="G58" s="805" t="e">
        <f t="shared" si="6"/>
        <v>#DIV/0!</v>
      </c>
      <c r="H58" s="2816"/>
      <c r="I58" s="2744"/>
      <c r="J58" s="2744"/>
      <c r="K58" s="2800"/>
      <c r="L58" s="2055"/>
      <c r="M58" s="2818"/>
    </row>
    <row r="59" spans="1:13" s="376" customFormat="1" ht="24.75" hidden="1" customHeight="1">
      <c r="A59" s="2670" t="s">
        <v>3195</v>
      </c>
      <c r="B59" s="2795" t="s">
        <v>3194</v>
      </c>
      <c r="C59" s="823" t="s">
        <v>8</v>
      </c>
      <c r="D59" s="822">
        <f>SUM(D60:D63)</f>
        <v>14210.526320000001</v>
      </c>
      <c r="E59" s="108">
        <f>SUM(E60:E63)</f>
        <v>0</v>
      </c>
      <c r="F59" s="108">
        <f>SUM(F60:F63)</f>
        <v>0</v>
      </c>
      <c r="G59" s="67">
        <f t="shared" si="6"/>
        <v>0</v>
      </c>
      <c r="H59" s="2814" t="s">
        <v>3367</v>
      </c>
      <c r="I59" s="2817"/>
      <c r="J59" s="2817"/>
      <c r="K59" s="2798" t="s">
        <v>2852</v>
      </c>
      <c r="L59" s="2693"/>
      <c r="M59" s="2818">
        <v>823</v>
      </c>
    </row>
    <row r="60" spans="1:13" s="376" customFormat="1" ht="15" hidden="1">
      <c r="A60" s="2671"/>
      <c r="B60" s="2796"/>
      <c r="C60" s="820" t="s">
        <v>9</v>
      </c>
      <c r="D60" s="822">
        <f>'[8]475ПП'!F127</f>
        <v>9000</v>
      </c>
      <c r="E60" s="108"/>
      <c r="F60" s="108"/>
      <c r="G60" s="67">
        <f t="shared" si="6"/>
        <v>0</v>
      </c>
      <c r="H60" s="2815"/>
      <c r="I60" s="2743"/>
      <c r="J60" s="2743"/>
      <c r="K60" s="2799"/>
      <c r="L60" s="2694"/>
      <c r="M60" s="2818"/>
    </row>
    <row r="61" spans="1:13" s="376" customFormat="1" ht="15" hidden="1">
      <c r="A61" s="2671"/>
      <c r="B61" s="2796"/>
      <c r="C61" s="820" t="s">
        <v>10</v>
      </c>
      <c r="D61" s="822">
        <f>'[8]475ПП'!G127</f>
        <v>0</v>
      </c>
      <c r="E61" s="108"/>
      <c r="F61" s="108"/>
      <c r="G61" s="67" t="e">
        <f t="shared" si="6"/>
        <v>#DIV/0!</v>
      </c>
      <c r="H61" s="2815"/>
      <c r="I61" s="2743"/>
      <c r="J61" s="2743"/>
      <c r="K61" s="2799"/>
      <c r="L61" s="2694"/>
      <c r="M61" s="2818"/>
    </row>
    <row r="62" spans="1:13" s="376" customFormat="1" ht="15" hidden="1">
      <c r="A62" s="2671"/>
      <c r="B62" s="2796"/>
      <c r="C62" s="820" t="s">
        <v>11</v>
      </c>
      <c r="D62" s="822">
        <f>'[8]475ПП'!H127</f>
        <v>5210.5263199999999</v>
      </c>
      <c r="E62" s="108"/>
      <c r="F62" s="108"/>
      <c r="G62" s="67">
        <f t="shared" si="6"/>
        <v>0</v>
      </c>
      <c r="H62" s="2815"/>
      <c r="I62" s="2743"/>
      <c r="J62" s="2743"/>
      <c r="K62" s="2799"/>
      <c r="L62" s="2694"/>
      <c r="M62" s="2818"/>
    </row>
    <row r="63" spans="1:13" s="376" customFormat="1" ht="15" hidden="1">
      <c r="A63" s="2672"/>
      <c r="B63" s="2797"/>
      <c r="C63" s="820" t="s">
        <v>12</v>
      </c>
      <c r="D63" s="822">
        <f>'[8]475ПП'!I127</f>
        <v>0</v>
      </c>
      <c r="E63" s="108"/>
      <c r="F63" s="108"/>
      <c r="G63" s="67" t="e">
        <f t="shared" si="6"/>
        <v>#DIV/0!</v>
      </c>
      <c r="H63" s="2816"/>
      <c r="I63" s="2744"/>
      <c r="J63" s="2744"/>
      <c r="K63" s="2800"/>
      <c r="L63" s="2695"/>
      <c r="M63" s="2818"/>
    </row>
    <row r="64" spans="1:13" s="376" customFormat="1" ht="15" hidden="1" customHeight="1">
      <c r="A64" s="2670" t="s">
        <v>3193</v>
      </c>
      <c r="B64" s="2795" t="s">
        <v>3192</v>
      </c>
      <c r="C64" s="823" t="s">
        <v>8</v>
      </c>
      <c r="D64" s="822">
        <f>SUM(D65:D68)</f>
        <v>42275.265019999999</v>
      </c>
      <c r="E64" s="108">
        <f>SUM(E65:E68)</f>
        <v>0</v>
      </c>
      <c r="F64" s="108">
        <f>SUM(F65:F68)</f>
        <v>0</v>
      </c>
      <c r="G64" s="67">
        <v>1</v>
      </c>
      <c r="H64" s="2814" t="s">
        <v>3368</v>
      </c>
      <c r="I64" s="2740" t="s">
        <v>3372</v>
      </c>
      <c r="J64" s="2690"/>
      <c r="K64" s="2798" t="s">
        <v>2852</v>
      </c>
      <c r="L64" s="2813"/>
      <c r="M64" s="2262">
        <v>823</v>
      </c>
    </row>
    <row r="65" spans="1:13" s="376" customFormat="1" ht="15" hidden="1" customHeight="1">
      <c r="A65" s="2671"/>
      <c r="B65" s="2796"/>
      <c r="C65" s="820" t="s">
        <v>9</v>
      </c>
      <c r="D65" s="822">
        <f>'[8]475ПП'!F133</f>
        <v>35000</v>
      </c>
      <c r="E65" s="108"/>
      <c r="F65" s="108"/>
      <c r="G65" s="67">
        <v>1</v>
      </c>
      <c r="H65" s="2815"/>
      <c r="I65" s="2741"/>
      <c r="J65" s="2691"/>
      <c r="K65" s="2799"/>
      <c r="L65" s="2813"/>
      <c r="M65" s="2263"/>
    </row>
    <row r="66" spans="1:13" s="376" customFormat="1" ht="15" hidden="1" customHeight="1">
      <c r="A66" s="2671"/>
      <c r="B66" s="2796"/>
      <c r="C66" s="820" t="s">
        <v>10</v>
      </c>
      <c r="D66" s="822">
        <f>'[8]475ПП'!G133</f>
        <v>0</v>
      </c>
      <c r="E66" s="108"/>
      <c r="F66" s="108"/>
      <c r="G66" s="67">
        <v>0</v>
      </c>
      <c r="H66" s="2815"/>
      <c r="I66" s="2741"/>
      <c r="J66" s="2691"/>
      <c r="K66" s="2799"/>
      <c r="L66" s="2813"/>
      <c r="M66" s="2263"/>
    </row>
    <row r="67" spans="1:13" s="376" customFormat="1" ht="15" hidden="1" customHeight="1">
      <c r="A67" s="2671"/>
      <c r="B67" s="2796"/>
      <c r="C67" s="820" t="s">
        <v>11</v>
      </c>
      <c r="D67" s="822">
        <f>'[8]475ПП'!H133</f>
        <v>7275.2650199999998</v>
      </c>
      <c r="E67" s="108"/>
      <c r="F67" s="108"/>
      <c r="G67" s="67">
        <v>0</v>
      </c>
      <c r="H67" s="2815"/>
      <c r="I67" s="2741"/>
      <c r="J67" s="2691"/>
      <c r="K67" s="2799"/>
      <c r="L67" s="2813"/>
      <c r="M67" s="2263"/>
    </row>
    <row r="68" spans="1:13" s="376" customFormat="1" ht="15" hidden="1" customHeight="1">
      <c r="A68" s="2672"/>
      <c r="B68" s="2797"/>
      <c r="C68" s="820" t="s">
        <v>12</v>
      </c>
      <c r="D68" s="822">
        <f>'[8]475ПП'!I133</f>
        <v>0</v>
      </c>
      <c r="E68" s="108"/>
      <c r="F68" s="108"/>
      <c r="G68" s="67">
        <v>0</v>
      </c>
      <c r="H68" s="2816"/>
      <c r="I68" s="2742"/>
      <c r="J68" s="2692"/>
      <c r="K68" s="2800"/>
      <c r="L68" s="2813"/>
      <c r="M68" s="2263"/>
    </row>
    <row r="69" spans="1:13" s="376" customFormat="1" ht="15" hidden="1">
      <c r="A69" s="2670" t="s">
        <v>3190</v>
      </c>
      <c r="B69" s="2795" t="s">
        <v>3189</v>
      </c>
      <c r="C69" s="823" t="s">
        <v>8</v>
      </c>
      <c r="D69" s="822">
        <f>SUM(D70:D73)</f>
        <v>14000</v>
      </c>
      <c r="E69" s="108">
        <f>SUM(E70:E73)</f>
        <v>0</v>
      </c>
      <c r="F69" s="108">
        <f>SUM(F70:F73)</f>
        <v>0</v>
      </c>
      <c r="G69" s="108">
        <v>0</v>
      </c>
      <c r="H69" s="2814" t="s">
        <v>3187</v>
      </c>
      <c r="I69" s="2817"/>
      <c r="J69" s="2817"/>
      <c r="K69" s="2798" t="s">
        <v>2799</v>
      </c>
      <c r="L69" s="2045"/>
      <c r="M69" s="2262">
        <v>823</v>
      </c>
    </row>
    <row r="70" spans="1:13" s="376" customFormat="1" ht="15" hidden="1">
      <c r="A70" s="2671"/>
      <c r="B70" s="2796"/>
      <c r="C70" s="820" t="s">
        <v>9</v>
      </c>
      <c r="D70" s="822">
        <f>'[8]475ПП'!F139</f>
        <v>14000</v>
      </c>
      <c r="E70" s="108"/>
      <c r="F70" s="108"/>
      <c r="G70" s="108">
        <v>0</v>
      </c>
      <c r="H70" s="2815"/>
      <c r="I70" s="2743"/>
      <c r="J70" s="2743"/>
      <c r="K70" s="2799"/>
      <c r="L70" s="2021"/>
      <c r="M70" s="2263"/>
    </row>
    <row r="71" spans="1:13" s="376" customFormat="1" ht="15" hidden="1">
      <c r="A71" s="2671"/>
      <c r="B71" s="2796"/>
      <c r="C71" s="820" t="s">
        <v>10</v>
      </c>
      <c r="D71" s="822">
        <f>'[8]475ПП'!G139</f>
        <v>0</v>
      </c>
      <c r="E71" s="108"/>
      <c r="F71" s="108"/>
      <c r="G71" s="108">
        <v>0</v>
      </c>
      <c r="H71" s="2815"/>
      <c r="I71" s="2743"/>
      <c r="J71" s="2743"/>
      <c r="K71" s="2799"/>
      <c r="L71" s="2021"/>
      <c r="M71" s="2263"/>
    </row>
    <row r="72" spans="1:13" s="376" customFormat="1" ht="15" hidden="1">
      <c r="A72" s="2671"/>
      <c r="B72" s="2796"/>
      <c r="C72" s="820" t="s">
        <v>11</v>
      </c>
      <c r="D72" s="822">
        <f>'[8]475ПП'!H139</f>
        <v>0</v>
      </c>
      <c r="E72" s="108"/>
      <c r="F72" s="108"/>
      <c r="G72" s="67">
        <v>0</v>
      </c>
      <c r="H72" s="2815"/>
      <c r="I72" s="2743"/>
      <c r="J72" s="2743"/>
      <c r="K72" s="2799"/>
      <c r="L72" s="2021"/>
      <c r="M72" s="2263"/>
    </row>
    <row r="73" spans="1:13" s="376" customFormat="1" ht="15" hidden="1">
      <c r="A73" s="2672"/>
      <c r="B73" s="2797"/>
      <c r="C73" s="820" t="s">
        <v>12</v>
      </c>
      <c r="D73" s="822">
        <f>'[8]475ПП'!I139</f>
        <v>0</v>
      </c>
      <c r="E73" s="108"/>
      <c r="F73" s="108"/>
      <c r="G73" s="67">
        <v>0</v>
      </c>
      <c r="H73" s="2816"/>
      <c r="I73" s="2744"/>
      <c r="J73" s="2744"/>
      <c r="K73" s="2800"/>
      <c r="L73" s="2022"/>
      <c r="M73" s="2263"/>
    </row>
    <row r="74" spans="1:13" s="372" customFormat="1" hidden="1">
      <c r="A74" s="2661" t="s">
        <v>3236</v>
      </c>
      <c r="B74" s="2603" t="s">
        <v>2870</v>
      </c>
      <c r="C74" s="682" t="s">
        <v>8</v>
      </c>
      <c r="D74" s="930">
        <v>9977.9589999999989</v>
      </c>
      <c r="E74" s="683">
        <v>3344.27</v>
      </c>
      <c r="F74" s="683">
        <v>3344.27</v>
      </c>
      <c r="G74" s="680">
        <f t="shared" ref="G74:G76" si="7">F74/D74</f>
        <v>0.33516573880489992</v>
      </c>
      <c r="H74" s="2667" t="s">
        <v>2812</v>
      </c>
      <c r="I74" s="649" t="s">
        <v>267</v>
      </c>
      <c r="J74" s="650"/>
      <c r="K74" s="2609" t="s">
        <v>2798</v>
      </c>
      <c r="L74" s="2609"/>
      <c r="M74" s="2612">
        <v>823</v>
      </c>
    </row>
    <row r="75" spans="1:13" s="372" customFormat="1" hidden="1">
      <c r="A75" s="2662"/>
      <c r="B75" s="2604"/>
      <c r="C75" s="682" t="s">
        <v>9</v>
      </c>
      <c r="D75" s="684">
        <v>7610.259</v>
      </c>
      <c r="E75" s="684">
        <v>3344.27</v>
      </c>
      <c r="F75" s="684">
        <v>3344.27</v>
      </c>
      <c r="G75" s="680">
        <f t="shared" si="7"/>
        <v>0.43944233698222362</v>
      </c>
      <c r="H75" s="2668"/>
      <c r="I75" s="649" t="s">
        <v>268</v>
      </c>
      <c r="J75" s="650"/>
      <c r="K75" s="2610"/>
      <c r="L75" s="2610"/>
      <c r="M75" s="2613"/>
    </row>
    <row r="76" spans="1:13" s="372" customFormat="1" hidden="1">
      <c r="A76" s="2662"/>
      <c r="B76" s="2604"/>
      <c r="C76" s="682" t="s">
        <v>10</v>
      </c>
      <c r="D76" s="684">
        <v>2367.6999999999998</v>
      </c>
      <c r="E76" s="684">
        <v>0</v>
      </c>
      <c r="F76" s="684">
        <v>0</v>
      </c>
      <c r="G76" s="680">
        <f t="shared" si="7"/>
        <v>0</v>
      </c>
      <c r="H76" s="2668"/>
      <c r="I76" s="649" t="s">
        <v>269</v>
      </c>
      <c r="J76" s="650"/>
      <c r="K76" s="2610"/>
      <c r="L76" s="2610"/>
      <c r="M76" s="2613"/>
    </row>
    <row r="77" spans="1:13" s="372" customFormat="1" hidden="1">
      <c r="A77" s="2662"/>
      <c r="B77" s="2604"/>
      <c r="C77" s="682" t="s">
        <v>11</v>
      </c>
      <c r="D77" s="684">
        <v>0</v>
      </c>
      <c r="E77" s="684">
        <v>0</v>
      </c>
      <c r="F77" s="684">
        <v>0</v>
      </c>
      <c r="G77" s="680">
        <v>0</v>
      </c>
      <c r="H77" s="2668"/>
      <c r="I77" s="649" t="s">
        <v>270</v>
      </c>
      <c r="J77" s="650"/>
      <c r="K77" s="2610"/>
      <c r="L77" s="2610"/>
      <c r="M77" s="2613"/>
    </row>
    <row r="78" spans="1:13" s="372" customFormat="1" hidden="1">
      <c r="A78" s="2663"/>
      <c r="B78" s="2605"/>
      <c r="C78" s="682" t="s">
        <v>12</v>
      </c>
      <c r="D78" s="684">
        <v>0</v>
      </c>
      <c r="E78" s="684">
        <v>0</v>
      </c>
      <c r="F78" s="684">
        <v>0</v>
      </c>
      <c r="G78" s="680">
        <v>0</v>
      </c>
      <c r="H78" s="2669"/>
      <c r="I78" s="649" t="s">
        <v>271</v>
      </c>
      <c r="J78" s="652" t="e">
        <f>(J75+0.5*J76)/J74</f>
        <v>#DIV/0!</v>
      </c>
      <c r="K78" s="2610"/>
      <c r="L78" s="2610"/>
      <c r="M78" s="2614"/>
    </row>
    <row r="79" spans="1:13" s="376" customFormat="1" ht="15" hidden="1" customHeight="1">
      <c r="A79" s="2726" t="s">
        <v>3237</v>
      </c>
      <c r="B79" s="2792" t="s">
        <v>655</v>
      </c>
      <c r="C79" s="820" t="s">
        <v>8</v>
      </c>
      <c r="D79" s="821">
        <f>SUM(D80:D83)</f>
        <v>1698.1914899999999</v>
      </c>
      <c r="E79" s="107">
        <v>0</v>
      </c>
      <c r="F79" s="662">
        <v>0</v>
      </c>
      <c r="G79" s="67">
        <f t="shared" ref="G79" si="8">F79/D79</f>
        <v>0</v>
      </c>
      <c r="H79" s="2807" t="s">
        <v>3369</v>
      </c>
      <c r="I79" s="2798" t="s">
        <v>3373</v>
      </c>
      <c r="J79" s="2810"/>
      <c r="K79" s="2798" t="s">
        <v>2799</v>
      </c>
      <c r="L79" s="2801"/>
      <c r="M79" s="2262">
        <v>823</v>
      </c>
    </row>
    <row r="80" spans="1:13" s="376" customFormat="1" ht="15" hidden="1" customHeight="1">
      <c r="A80" s="2727"/>
      <c r="B80" s="2793"/>
      <c r="C80" s="820" t="s">
        <v>9</v>
      </c>
      <c r="D80" s="802">
        <f>'[8]475ПП'!F151</f>
        <v>101.89149</v>
      </c>
      <c r="E80" s="656">
        <v>0</v>
      </c>
      <c r="F80" s="667">
        <v>0</v>
      </c>
      <c r="G80" s="67">
        <f>F80/D80</f>
        <v>0</v>
      </c>
      <c r="H80" s="2808"/>
      <c r="I80" s="2799"/>
      <c r="J80" s="2811"/>
      <c r="K80" s="2799"/>
      <c r="L80" s="2802"/>
      <c r="M80" s="2263"/>
    </row>
    <row r="81" spans="1:13" s="376" customFormat="1" ht="15" hidden="1" customHeight="1">
      <c r="A81" s="2727"/>
      <c r="B81" s="2793"/>
      <c r="C81" s="820" t="s">
        <v>10</v>
      </c>
      <c r="D81" s="822">
        <f>'[8]475ПП'!G151</f>
        <v>1596.3</v>
      </c>
      <c r="E81" s="655">
        <v>0</v>
      </c>
      <c r="F81" s="663">
        <v>0</v>
      </c>
      <c r="G81" s="67">
        <v>0</v>
      </c>
      <c r="H81" s="2808"/>
      <c r="I81" s="2799"/>
      <c r="J81" s="2811"/>
      <c r="K81" s="2799"/>
      <c r="L81" s="2802"/>
      <c r="M81" s="2263"/>
    </row>
    <row r="82" spans="1:13" s="376" customFormat="1" ht="15" hidden="1" customHeight="1">
      <c r="A82" s="2727"/>
      <c r="B82" s="2793"/>
      <c r="C82" s="820" t="s">
        <v>11</v>
      </c>
      <c r="D82" s="822">
        <f>'[8]475ПП'!H151</f>
        <v>0</v>
      </c>
      <c r="E82" s="824">
        <v>0</v>
      </c>
      <c r="F82" s="824">
        <v>0</v>
      </c>
      <c r="G82" s="805">
        <v>0</v>
      </c>
      <c r="H82" s="2808"/>
      <c r="I82" s="2799"/>
      <c r="J82" s="2811"/>
      <c r="K82" s="2799"/>
      <c r="L82" s="2802"/>
      <c r="M82" s="2263"/>
    </row>
    <row r="83" spans="1:13" s="376" customFormat="1" ht="15" hidden="1" customHeight="1">
      <c r="A83" s="2728"/>
      <c r="B83" s="2794"/>
      <c r="C83" s="820" t="s">
        <v>12</v>
      </c>
      <c r="D83" s="822">
        <f>'[8]475ПП'!I151</f>
        <v>0</v>
      </c>
      <c r="E83" s="824">
        <v>0</v>
      </c>
      <c r="F83" s="824">
        <v>0</v>
      </c>
      <c r="G83" s="805">
        <v>0</v>
      </c>
      <c r="H83" s="2809"/>
      <c r="I83" s="2800"/>
      <c r="J83" s="2812"/>
      <c r="K83" s="2800"/>
      <c r="L83" s="2803"/>
      <c r="M83" s="2264"/>
    </row>
    <row r="84" spans="1:13" s="376" customFormat="1" ht="15" hidden="1">
      <c r="A84" s="2726" t="s">
        <v>3238</v>
      </c>
      <c r="B84" s="2804" t="s">
        <v>3374</v>
      </c>
      <c r="C84" s="820" t="s">
        <v>8</v>
      </c>
      <c r="D84" s="822">
        <f>SUM(D85:D88)</f>
        <v>3159.1</v>
      </c>
      <c r="E84" s="108">
        <f>SUM(E85:E88)</f>
        <v>0</v>
      </c>
      <c r="F84" s="108">
        <f>SUM(F85:F88)</f>
        <v>0</v>
      </c>
      <c r="G84" s="67">
        <f t="shared" ref="G84" si="9">F84/D84</f>
        <v>0</v>
      </c>
      <c r="H84" s="2805" t="str">
        <f>'[7]Пр ГП 19-20'!$J$41</f>
        <v xml:space="preserve">Обучение плаванию ежегодно не менее 500 человек </v>
      </c>
      <c r="I84" s="2798" t="s">
        <v>3375</v>
      </c>
      <c r="J84" s="2044"/>
      <c r="K84" s="2806" t="s">
        <v>2799</v>
      </c>
      <c r="L84" s="2771" t="s">
        <v>2868</v>
      </c>
      <c r="M84" s="2262">
        <v>823</v>
      </c>
    </row>
    <row r="85" spans="1:13" s="376" customFormat="1" ht="15" hidden="1">
      <c r="A85" s="2727"/>
      <c r="B85" s="2804"/>
      <c r="C85" s="820" t="s">
        <v>9</v>
      </c>
      <c r="D85" s="822">
        <f>'[8]475ПП'!F157</f>
        <v>3159.1</v>
      </c>
      <c r="E85" s="108">
        <v>0</v>
      </c>
      <c r="F85" s="108">
        <v>0</v>
      </c>
      <c r="G85" s="67">
        <f>F85/D85</f>
        <v>0</v>
      </c>
      <c r="H85" s="2805"/>
      <c r="I85" s="2799"/>
      <c r="J85" s="2027"/>
      <c r="K85" s="2806"/>
      <c r="L85" s="2772"/>
      <c r="M85" s="2263"/>
    </row>
    <row r="86" spans="1:13" s="376" customFormat="1" ht="15" hidden="1">
      <c r="A86" s="2727"/>
      <c r="B86" s="2804"/>
      <c r="C86" s="820" t="s">
        <v>10</v>
      </c>
      <c r="D86" s="822">
        <v>0</v>
      </c>
      <c r="E86" s="824">
        <v>0</v>
      </c>
      <c r="F86" s="824">
        <v>0</v>
      </c>
      <c r="G86" s="805">
        <v>0</v>
      </c>
      <c r="H86" s="2805"/>
      <c r="I86" s="2799"/>
      <c r="J86" s="2027"/>
      <c r="K86" s="2806"/>
      <c r="L86" s="2772"/>
      <c r="M86" s="2263"/>
    </row>
    <row r="87" spans="1:13" s="376" customFormat="1" ht="15" hidden="1">
      <c r="A87" s="2727"/>
      <c r="B87" s="2804"/>
      <c r="C87" s="820" t="s">
        <v>11</v>
      </c>
      <c r="D87" s="822">
        <v>0</v>
      </c>
      <c r="E87" s="824">
        <v>0</v>
      </c>
      <c r="F87" s="824">
        <v>0</v>
      </c>
      <c r="G87" s="805">
        <v>0</v>
      </c>
      <c r="H87" s="2805"/>
      <c r="I87" s="2799"/>
      <c r="J87" s="2027"/>
      <c r="K87" s="2806"/>
      <c r="L87" s="2772"/>
      <c r="M87" s="2263"/>
    </row>
    <row r="88" spans="1:13" s="376" customFormat="1" ht="15" hidden="1">
      <c r="A88" s="2728"/>
      <c r="B88" s="2804"/>
      <c r="C88" s="820" t="s">
        <v>12</v>
      </c>
      <c r="D88" s="822">
        <v>0</v>
      </c>
      <c r="E88" s="824">
        <v>0</v>
      </c>
      <c r="F88" s="824">
        <v>0</v>
      </c>
      <c r="G88" s="805">
        <v>0</v>
      </c>
      <c r="H88" s="2805"/>
      <c r="I88" s="2800"/>
      <c r="J88" s="2028"/>
      <c r="K88" s="2806"/>
      <c r="L88" s="2773"/>
      <c r="M88" s="2264"/>
    </row>
    <row r="89" spans="1:13" s="376" customFormat="1" ht="28.5" hidden="1" customHeight="1">
      <c r="A89" s="2726" t="s">
        <v>3239</v>
      </c>
      <c r="B89" s="2792" t="s">
        <v>2847</v>
      </c>
      <c r="C89" s="820" t="s">
        <v>8</v>
      </c>
      <c r="D89" s="822">
        <f>SUM(D90:D93)</f>
        <v>4000</v>
      </c>
      <c r="E89" s="108">
        <f>SUM(E90:E93)</f>
        <v>0</v>
      </c>
      <c r="F89" s="108">
        <f>SUM(F90:F93)</f>
        <v>0</v>
      </c>
      <c r="G89" s="67">
        <f>F89/D89</f>
        <v>0</v>
      </c>
      <c r="H89" s="2795" t="s">
        <v>2851</v>
      </c>
      <c r="I89" s="2693" t="s">
        <v>3376</v>
      </c>
      <c r="J89" s="2044"/>
      <c r="K89" s="2798" t="s">
        <v>2799</v>
      </c>
      <c r="L89" s="2771" t="s">
        <v>2868</v>
      </c>
      <c r="M89" s="2262">
        <v>823</v>
      </c>
    </row>
    <row r="90" spans="1:13" s="376" customFormat="1" ht="23.25" hidden="1" customHeight="1">
      <c r="A90" s="2727"/>
      <c r="B90" s="2793"/>
      <c r="C90" s="820" t="s">
        <v>9</v>
      </c>
      <c r="D90" s="822">
        <f>'[8]475ПП'!F163</f>
        <v>4000</v>
      </c>
      <c r="E90" s="108">
        <v>0</v>
      </c>
      <c r="F90" s="108">
        <v>0</v>
      </c>
      <c r="G90" s="67">
        <f>F90/D90</f>
        <v>0</v>
      </c>
      <c r="H90" s="2796"/>
      <c r="I90" s="2694"/>
      <c r="J90" s="2027"/>
      <c r="K90" s="2799"/>
      <c r="L90" s="2772"/>
      <c r="M90" s="2263"/>
    </row>
    <row r="91" spans="1:13" s="376" customFormat="1" ht="24.75" hidden="1" customHeight="1">
      <c r="A91" s="2727"/>
      <c r="B91" s="2793"/>
      <c r="C91" s="820" t="s">
        <v>10</v>
      </c>
      <c r="D91" s="822">
        <v>0</v>
      </c>
      <c r="E91" s="824">
        <v>0</v>
      </c>
      <c r="F91" s="824">
        <v>0</v>
      </c>
      <c r="G91" s="805">
        <v>0</v>
      </c>
      <c r="H91" s="2796"/>
      <c r="I91" s="2694"/>
      <c r="J91" s="2027"/>
      <c r="K91" s="2799"/>
      <c r="L91" s="2772"/>
      <c r="M91" s="2263"/>
    </row>
    <row r="92" spans="1:13" s="376" customFormat="1" ht="25.5" hidden="1" customHeight="1">
      <c r="A92" s="2727"/>
      <c r="B92" s="2793"/>
      <c r="C92" s="820" t="s">
        <v>11</v>
      </c>
      <c r="D92" s="822">
        <v>0</v>
      </c>
      <c r="E92" s="824">
        <v>0</v>
      </c>
      <c r="F92" s="824">
        <v>0</v>
      </c>
      <c r="G92" s="805">
        <v>0</v>
      </c>
      <c r="H92" s="2796"/>
      <c r="I92" s="2694"/>
      <c r="J92" s="2027"/>
      <c r="K92" s="2799"/>
      <c r="L92" s="2772"/>
      <c r="M92" s="2263"/>
    </row>
    <row r="93" spans="1:13" s="376" customFormat="1" ht="24" hidden="1" customHeight="1">
      <c r="A93" s="2728"/>
      <c r="B93" s="2794"/>
      <c r="C93" s="820" t="s">
        <v>12</v>
      </c>
      <c r="D93" s="822">
        <v>0</v>
      </c>
      <c r="E93" s="824">
        <v>0</v>
      </c>
      <c r="F93" s="824">
        <v>0</v>
      </c>
      <c r="G93" s="805">
        <v>0</v>
      </c>
      <c r="H93" s="2797"/>
      <c r="I93" s="2695"/>
      <c r="J93" s="2028"/>
      <c r="K93" s="2800"/>
      <c r="L93" s="2773"/>
      <c r="M93" s="2264"/>
    </row>
    <row r="94" spans="1:13" s="372" customFormat="1" hidden="1">
      <c r="A94" s="2649" t="s">
        <v>40</v>
      </c>
      <c r="B94" s="2789" t="s">
        <v>2916</v>
      </c>
      <c r="C94" s="687" t="s">
        <v>8</v>
      </c>
      <c r="D94" s="688">
        <v>1184376.5</v>
      </c>
      <c r="E94" s="688">
        <v>523163.39000000007</v>
      </c>
      <c r="F94" s="688">
        <v>523163.39199999999</v>
      </c>
      <c r="G94" s="689">
        <f>F94/D94</f>
        <v>0.44172051032758586</v>
      </c>
      <c r="H94" s="2713"/>
      <c r="I94" s="649" t="s">
        <v>267</v>
      </c>
      <c r="J94" s="672"/>
      <c r="K94" s="2624" t="s">
        <v>2800</v>
      </c>
      <c r="L94" s="2624"/>
      <c r="M94" s="2627">
        <v>823</v>
      </c>
    </row>
    <row r="95" spans="1:13" s="372" customFormat="1" hidden="1">
      <c r="A95" s="2650"/>
      <c r="B95" s="2790"/>
      <c r="C95" s="687" t="s">
        <v>9</v>
      </c>
      <c r="D95" s="688">
        <v>1148410</v>
      </c>
      <c r="E95" s="688">
        <v>505863.34800000006</v>
      </c>
      <c r="F95" s="688">
        <v>505863.35000000003</v>
      </c>
      <c r="G95" s="689">
        <f>F95/D95</f>
        <v>0.44049019949321239</v>
      </c>
      <c r="H95" s="2714"/>
      <c r="I95" s="649" t="s">
        <v>268</v>
      </c>
      <c r="J95" s="650">
        <v>0</v>
      </c>
      <c r="K95" s="2625"/>
      <c r="L95" s="2625"/>
      <c r="M95" s="2628"/>
    </row>
    <row r="96" spans="1:13" s="372" customFormat="1" hidden="1">
      <c r="A96" s="2650"/>
      <c r="B96" s="2790"/>
      <c r="C96" s="687" t="s">
        <v>10</v>
      </c>
      <c r="D96" s="688">
        <v>16189.3</v>
      </c>
      <c r="E96" s="688">
        <v>9541.1219999999994</v>
      </c>
      <c r="F96" s="688">
        <v>9541.1219999999994</v>
      </c>
      <c r="G96" s="689">
        <f t="shared" ref="G96:G157" si="10">F96/D96</f>
        <v>0.58934740847349787</v>
      </c>
      <c r="H96" s="2714"/>
      <c r="I96" s="649" t="s">
        <v>269</v>
      </c>
      <c r="J96" s="650"/>
      <c r="K96" s="2625"/>
      <c r="L96" s="2625"/>
      <c r="M96" s="2628"/>
    </row>
    <row r="97" spans="1:13" s="372" customFormat="1" hidden="1">
      <c r="A97" s="2650"/>
      <c r="B97" s="2790"/>
      <c r="C97" s="687" t="s">
        <v>11</v>
      </c>
      <c r="D97" s="688">
        <v>19777.2</v>
      </c>
      <c r="E97" s="688">
        <v>7758.92</v>
      </c>
      <c r="F97" s="688">
        <v>7758.92</v>
      </c>
      <c r="G97" s="689">
        <v>0</v>
      </c>
      <c r="H97" s="2714"/>
      <c r="I97" s="649" t="s">
        <v>270</v>
      </c>
      <c r="J97" s="650">
        <v>0</v>
      </c>
      <c r="K97" s="2625"/>
      <c r="L97" s="2625"/>
      <c r="M97" s="2628"/>
    </row>
    <row r="98" spans="1:13" s="372" customFormat="1" hidden="1">
      <c r="A98" s="2651"/>
      <c r="B98" s="2791"/>
      <c r="C98" s="687" t="s">
        <v>12</v>
      </c>
      <c r="D98" s="688">
        <v>0</v>
      </c>
      <c r="E98" s="688">
        <v>0</v>
      </c>
      <c r="F98" s="690">
        <v>0</v>
      </c>
      <c r="G98" s="691">
        <v>0</v>
      </c>
      <c r="H98" s="2715"/>
      <c r="I98" s="649" t="s">
        <v>271</v>
      </c>
      <c r="J98" s="652" t="e">
        <f>(J95+0.5*J96)/J94</f>
        <v>#DIV/0!</v>
      </c>
      <c r="K98" s="2625"/>
      <c r="L98" s="2625"/>
      <c r="M98" s="2629"/>
    </row>
    <row r="99" spans="1:13" s="372" customFormat="1" hidden="1">
      <c r="A99" s="2783" t="s">
        <v>2845</v>
      </c>
      <c r="B99" s="2603" t="s">
        <v>2917</v>
      </c>
      <c r="C99" s="682" t="s">
        <v>8</v>
      </c>
      <c r="D99" s="683">
        <v>1097898.8999999999</v>
      </c>
      <c r="E99" s="683">
        <v>485247.74000000005</v>
      </c>
      <c r="F99" s="683">
        <v>485247.74000000005</v>
      </c>
      <c r="G99" s="680">
        <f>F99/D99</f>
        <v>0.44197852825975148</v>
      </c>
      <c r="H99" s="2788" t="s">
        <v>2896</v>
      </c>
      <c r="I99" s="649" t="s">
        <v>267</v>
      </c>
      <c r="J99" s="650"/>
      <c r="K99" s="2751" t="s">
        <v>2889</v>
      </c>
      <c r="L99" s="2609"/>
      <c r="M99" s="2612">
        <v>823</v>
      </c>
    </row>
    <row r="100" spans="1:13" s="372" customFormat="1" hidden="1">
      <c r="A100" s="2784"/>
      <c r="B100" s="2786"/>
      <c r="C100" s="682" t="s">
        <v>9</v>
      </c>
      <c r="D100" s="683">
        <v>1097898.8999999999</v>
      </c>
      <c r="E100" s="683">
        <v>485247.74000000005</v>
      </c>
      <c r="F100" s="683">
        <v>485247.74000000005</v>
      </c>
      <c r="G100" s="680">
        <f>F100/D100</f>
        <v>0.44197852825975148</v>
      </c>
      <c r="H100" s="2786"/>
      <c r="I100" s="649" t="s">
        <v>268</v>
      </c>
      <c r="J100" s="650"/>
      <c r="K100" s="2751"/>
      <c r="L100" s="2610"/>
      <c r="M100" s="2613"/>
    </row>
    <row r="101" spans="1:13" s="372" customFormat="1" hidden="1">
      <c r="A101" s="2784"/>
      <c r="B101" s="2786"/>
      <c r="C101" s="682" t="s">
        <v>10</v>
      </c>
      <c r="D101" s="683">
        <v>0</v>
      </c>
      <c r="E101" s="683">
        <v>0</v>
      </c>
      <c r="F101" s="683">
        <v>0</v>
      </c>
      <c r="G101" s="680">
        <v>0</v>
      </c>
      <c r="H101" s="2786"/>
      <c r="I101" s="649" t="s">
        <v>269</v>
      </c>
      <c r="J101" s="650"/>
      <c r="K101" s="2751"/>
      <c r="L101" s="2610"/>
      <c r="M101" s="2613"/>
    </row>
    <row r="102" spans="1:13" s="372" customFormat="1" hidden="1">
      <c r="A102" s="2784"/>
      <c r="B102" s="2786"/>
      <c r="C102" s="682" t="s">
        <v>11</v>
      </c>
      <c r="D102" s="683">
        <v>0</v>
      </c>
      <c r="E102" s="683">
        <v>0</v>
      </c>
      <c r="F102" s="683">
        <v>0</v>
      </c>
      <c r="G102" s="680">
        <v>0</v>
      </c>
      <c r="H102" s="2786"/>
      <c r="I102" s="649" t="s">
        <v>270</v>
      </c>
      <c r="J102" s="650"/>
      <c r="K102" s="2751"/>
      <c r="L102" s="2610"/>
      <c r="M102" s="2613"/>
    </row>
    <row r="103" spans="1:13" s="372" customFormat="1" hidden="1">
      <c r="A103" s="2785"/>
      <c r="B103" s="2787"/>
      <c r="C103" s="682" t="s">
        <v>12</v>
      </c>
      <c r="D103" s="683">
        <v>0</v>
      </c>
      <c r="E103" s="683">
        <v>0</v>
      </c>
      <c r="F103" s="683">
        <v>0</v>
      </c>
      <c r="G103" s="680">
        <v>0</v>
      </c>
      <c r="H103" s="2787"/>
      <c r="I103" s="649" t="s">
        <v>271</v>
      </c>
      <c r="J103" s="652" t="e">
        <f>(J100+0.5*J101)/J99</f>
        <v>#DIV/0!</v>
      </c>
      <c r="K103" s="2751"/>
      <c r="L103" s="2611"/>
      <c r="M103" s="2614"/>
    </row>
    <row r="104" spans="1:13" s="372" customFormat="1" ht="15" hidden="1">
      <c r="A104" s="2649" t="s">
        <v>43</v>
      </c>
      <c r="B104" s="2765" t="s">
        <v>50</v>
      </c>
      <c r="C104" s="801" t="s">
        <v>8</v>
      </c>
      <c r="D104" s="829">
        <f>SUM(D105:D108)</f>
        <v>2106.6570000000002</v>
      </c>
      <c r="E104" s="107">
        <f>SUM(E105:E108)</f>
        <v>0</v>
      </c>
      <c r="F104" s="107">
        <f>SUM(F105:F108)</f>
        <v>0</v>
      </c>
      <c r="G104" s="710">
        <f t="shared" ref="G104" si="11">F104/D104</f>
        <v>0</v>
      </c>
      <c r="H104" s="2768" t="str">
        <f>'[7]Пр ГП 19-20'!$J$59</f>
        <v>Ежегодная организация и проведение церемонии награждения спортсменов, тренеров, ветеранов спорта и физкультурного актива  Мурманской области с количеством награжденных не менее 3 человек, с участием в церемонии не менее 60 человек</v>
      </c>
      <c r="I104" s="2777"/>
      <c r="J104" s="2044"/>
      <c r="K104" s="2780" t="s">
        <v>2848</v>
      </c>
      <c r="L104" s="2774" t="s">
        <v>2987</v>
      </c>
      <c r="M104" s="2063">
        <v>823</v>
      </c>
    </row>
    <row r="105" spans="1:13" s="372" customFormat="1" ht="15" hidden="1">
      <c r="A105" s="2650"/>
      <c r="B105" s="2766"/>
      <c r="C105" s="801" t="s">
        <v>9</v>
      </c>
      <c r="D105" s="890">
        <f>'[8]475ПП'!F187</f>
        <v>2106.6570000000002</v>
      </c>
      <c r="E105" s="655"/>
      <c r="F105" s="655"/>
      <c r="G105" s="710">
        <f t="shared" si="10"/>
        <v>0</v>
      </c>
      <c r="H105" s="2769"/>
      <c r="I105" s="2778"/>
      <c r="J105" s="2027"/>
      <c r="K105" s="2781"/>
      <c r="L105" s="2775"/>
      <c r="M105" s="2064"/>
    </row>
    <row r="106" spans="1:13" s="372" customFormat="1" ht="15" hidden="1">
      <c r="A106" s="2650"/>
      <c r="B106" s="2766"/>
      <c r="C106" s="801" t="s">
        <v>10</v>
      </c>
      <c r="D106" s="822">
        <v>0</v>
      </c>
      <c r="E106" s="822">
        <v>0</v>
      </c>
      <c r="F106" s="822">
        <v>0</v>
      </c>
      <c r="G106" s="891">
        <v>0</v>
      </c>
      <c r="H106" s="2769"/>
      <c r="I106" s="2778"/>
      <c r="J106" s="2027"/>
      <c r="K106" s="2781"/>
      <c r="L106" s="2775"/>
      <c r="M106" s="2064"/>
    </row>
    <row r="107" spans="1:13" s="372" customFormat="1" ht="15" hidden="1">
      <c r="A107" s="2650"/>
      <c r="B107" s="2766"/>
      <c r="C107" s="801" t="s">
        <v>11</v>
      </c>
      <c r="D107" s="822">
        <v>0</v>
      </c>
      <c r="E107" s="822">
        <v>0</v>
      </c>
      <c r="F107" s="822">
        <v>0</v>
      </c>
      <c r="G107" s="891">
        <v>0</v>
      </c>
      <c r="H107" s="2769"/>
      <c r="I107" s="2778"/>
      <c r="J107" s="2027"/>
      <c r="K107" s="2781"/>
      <c r="L107" s="2775"/>
      <c r="M107" s="2064"/>
    </row>
    <row r="108" spans="1:13" s="372" customFormat="1" ht="15" hidden="1">
      <c r="A108" s="2651"/>
      <c r="B108" s="2767"/>
      <c r="C108" s="801" t="s">
        <v>12</v>
      </c>
      <c r="D108" s="822">
        <v>0</v>
      </c>
      <c r="E108" s="822">
        <v>0</v>
      </c>
      <c r="F108" s="822">
        <v>0</v>
      </c>
      <c r="G108" s="891">
        <v>0</v>
      </c>
      <c r="H108" s="2770"/>
      <c r="I108" s="2779"/>
      <c r="J108" s="2028"/>
      <c r="K108" s="2782"/>
      <c r="L108" s="2776"/>
      <c r="M108" s="2065"/>
    </row>
    <row r="109" spans="1:13" s="372" customFormat="1" ht="22.5" hidden="1" customHeight="1">
      <c r="A109" s="2649" t="s">
        <v>196</v>
      </c>
      <c r="B109" s="2765" t="s">
        <v>2918</v>
      </c>
      <c r="C109" s="801" t="s">
        <v>8</v>
      </c>
      <c r="D109" s="821">
        <f>SUM(D110:D113)</f>
        <v>59494.678659999998</v>
      </c>
      <c r="E109" s="107">
        <f>SUM(E110:E113)</f>
        <v>0</v>
      </c>
      <c r="F109" s="107">
        <f>SUM(F110:F113)</f>
        <v>0</v>
      </c>
      <c r="G109" s="710">
        <f t="shared" si="10"/>
        <v>0</v>
      </c>
      <c r="H109" s="2768" t="s">
        <v>2849</v>
      </c>
      <c r="I109" s="2169" t="s">
        <v>2871</v>
      </c>
      <c r="J109" s="2044"/>
      <c r="K109" s="2693" t="s">
        <v>2799</v>
      </c>
      <c r="L109" s="2052"/>
      <c r="M109" s="2063">
        <v>823</v>
      </c>
    </row>
    <row r="110" spans="1:13" s="372" customFormat="1" ht="23.25" hidden="1" customHeight="1">
      <c r="A110" s="2650"/>
      <c r="B110" s="2766"/>
      <c r="C110" s="801" t="s">
        <v>9</v>
      </c>
      <c r="D110" s="890">
        <f>'[8]475ПП'!F193</f>
        <v>59494.678659999998</v>
      </c>
      <c r="E110" s="110">
        <v>0</v>
      </c>
      <c r="F110" s="110">
        <v>0</v>
      </c>
      <c r="G110" s="710">
        <f t="shared" si="10"/>
        <v>0</v>
      </c>
      <c r="H110" s="2769"/>
      <c r="I110" s="2183"/>
      <c r="J110" s="2027"/>
      <c r="K110" s="2694"/>
      <c r="L110" s="2053"/>
      <c r="M110" s="2064"/>
    </row>
    <row r="111" spans="1:13" s="372" customFormat="1" ht="24" hidden="1" customHeight="1">
      <c r="A111" s="2650"/>
      <c r="B111" s="2766"/>
      <c r="C111" s="801" t="s">
        <v>10</v>
      </c>
      <c r="D111" s="822">
        <v>0</v>
      </c>
      <c r="E111" s="822">
        <v>0</v>
      </c>
      <c r="F111" s="822">
        <v>0</v>
      </c>
      <c r="G111" s="891">
        <v>0</v>
      </c>
      <c r="H111" s="2769"/>
      <c r="I111" s="2183"/>
      <c r="J111" s="2027"/>
      <c r="K111" s="2694"/>
      <c r="L111" s="2053"/>
      <c r="M111" s="2064"/>
    </row>
    <row r="112" spans="1:13" s="372" customFormat="1" ht="24" hidden="1" customHeight="1">
      <c r="A112" s="2650"/>
      <c r="B112" s="2766"/>
      <c r="C112" s="801" t="s">
        <v>11</v>
      </c>
      <c r="D112" s="822">
        <v>0</v>
      </c>
      <c r="E112" s="822">
        <v>0</v>
      </c>
      <c r="F112" s="822">
        <v>0</v>
      </c>
      <c r="G112" s="891">
        <v>0</v>
      </c>
      <c r="H112" s="2769"/>
      <c r="I112" s="2183"/>
      <c r="J112" s="2027"/>
      <c r="K112" s="2694"/>
      <c r="L112" s="2053"/>
      <c r="M112" s="2064"/>
    </row>
    <row r="113" spans="1:13" s="372" customFormat="1" ht="25.5" hidden="1" customHeight="1">
      <c r="A113" s="2651"/>
      <c r="B113" s="2767"/>
      <c r="C113" s="801" t="s">
        <v>12</v>
      </c>
      <c r="D113" s="822">
        <v>0</v>
      </c>
      <c r="E113" s="822">
        <v>0</v>
      </c>
      <c r="F113" s="822">
        <v>0</v>
      </c>
      <c r="G113" s="891">
        <v>0</v>
      </c>
      <c r="H113" s="2770"/>
      <c r="I113" s="2184"/>
      <c r="J113" s="2028"/>
      <c r="K113" s="2694"/>
      <c r="L113" s="2054"/>
      <c r="M113" s="2065"/>
    </row>
    <row r="114" spans="1:13" s="372" customFormat="1" ht="15" hidden="1">
      <c r="A114" s="2649" t="s">
        <v>197</v>
      </c>
      <c r="B114" s="2765" t="s">
        <v>152</v>
      </c>
      <c r="C114" s="801" t="s">
        <v>8</v>
      </c>
      <c r="D114" s="821">
        <f>SUM(D115:D118)</f>
        <v>32.07</v>
      </c>
      <c r="E114" s="107">
        <f>SUM(E115:E118)</f>
        <v>0</v>
      </c>
      <c r="F114" s="107">
        <f>SUM(F115:F118)</f>
        <v>0</v>
      </c>
      <c r="G114" s="710">
        <v>0</v>
      </c>
      <c r="H114" s="2768" t="s">
        <v>2813</v>
      </c>
      <c r="I114" s="2146" t="s">
        <v>2846</v>
      </c>
      <c r="J114" s="2044"/>
      <c r="K114" s="2055" t="s">
        <v>2814</v>
      </c>
      <c r="L114" s="2052" t="s">
        <v>2869</v>
      </c>
      <c r="M114" s="2063">
        <v>823</v>
      </c>
    </row>
    <row r="115" spans="1:13" s="372" customFormat="1" ht="15" hidden="1">
      <c r="A115" s="2650"/>
      <c r="B115" s="2766"/>
      <c r="C115" s="801" t="s">
        <v>9</v>
      </c>
      <c r="D115" s="890">
        <f>'[8]475ПП'!F199</f>
        <v>32.07</v>
      </c>
      <c r="E115" s="655">
        <v>0</v>
      </c>
      <c r="F115" s="655">
        <v>0</v>
      </c>
      <c r="G115" s="710">
        <f t="shared" si="10"/>
        <v>0</v>
      </c>
      <c r="H115" s="2769"/>
      <c r="I115" s="2147"/>
      <c r="J115" s="2027"/>
      <c r="K115" s="2055"/>
      <c r="L115" s="2053"/>
      <c r="M115" s="2064"/>
    </row>
    <row r="116" spans="1:13" s="372" customFormat="1" ht="15" hidden="1">
      <c r="A116" s="2650"/>
      <c r="B116" s="2766"/>
      <c r="C116" s="801" t="s">
        <v>10</v>
      </c>
      <c r="D116" s="822">
        <v>0</v>
      </c>
      <c r="E116" s="822">
        <v>0</v>
      </c>
      <c r="F116" s="822">
        <v>0</v>
      </c>
      <c r="G116" s="891">
        <v>0</v>
      </c>
      <c r="H116" s="2769"/>
      <c r="I116" s="2147"/>
      <c r="J116" s="2027"/>
      <c r="K116" s="2055"/>
      <c r="L116" s="2053"/>
      <c r="M116" s="2064"/>
    </row>
    <row r="117" spans="1:13" s="372" customFormat="1" ht="15" hidden="1">
      <c r="A117" s="2650"/>
      <c r="B117" s="2766"/>
      <c r="C117" s="801" t="s">
        <v>11</v>
      </c>
      <c r="D117" s="822">
        <v>0</v>
      </c>
      <c r="E117" s="822">
        <v>0</v>
      </c>
      <c r="F117" s="822">
        <v>0</v>
      </c>
      <c r="G117" s="891">
        <v>0</v>
      </c>
      <c r="H117" s="2769"/>
      <c r="I117" s="2147"/>
      <c r="J117" s="2027"/>
      <c r="K117" s="2055"/>
      <c r="L117" s="2053"/>
      <c r="M117" s="2064"/>
    </row>
    <row r="118" spans="1:13" s="372" customFormat="1" ht="27.75" hidden="1" customHeight="1">
      <c r="A118" s="2651"/>
      <c r="B118" s="2767"/>
      <c r="C118" s="801" t="s">
        <v>12</v>
      </c>
      <c r="D118" s="822">
        <v>0</v>
      </c>
      <c r="E118" s="822">
        <v>0</v>
      </c>
      <c r="F118" s="822">
        <v>0</v>
      </c>
      <c r="G118" s="891">
        <v>0</v>
      </c>
      <c r="H118" s="2770"/>
      <c r="I118" s="2223"/>
      <c r="J118" s="2028"/>
      <c r="K118" s="2055"/>
      <c r="L118" s="2054"/>
      <c r="M118" s="2065"/>
    </row>
    <row r="119" spans="1:13" s="372" customFormat="1" ht="15" hidden="1">
      <c r="A119" s="2649" t="s">
        <v>198</v>
      </c>
      <c r="B119" s="2765" t="s">
        <v>22</v>
      </c>
      <c r="C119" s="801" t="s">
        <v>8</v>
      </c>
      <c r="D119" s="821">
        <f>SUM(D120:D123)</f>
        <v>878519.89599999995</v>
      </c>
      <c r="E119" s="655">
        <f>SUM(E120:E123)</f>
        <v>0</v>
      </c>
      <c r="F119" s="655">
        <f>SUM(F120:F123)</f>
        <v>0</v>
      </c>
      <c r="G119" s="710">
        <f t="shared" si="10"/>
        <v>0</v>
      </c>
      <c r="H119" s="2768" t="s">
        <v>2815</v>
      </c>
      <c r="I119" s="2771" t="s">
        <v>2985</v>
      </c>
      <c r="J119" s="2044"/>
      <c r="K119" s="2045" t="s">
        <v>2814</v>
      </c>
      <c r="L119" s="2052" t="s">
        <v>2869</v>
      </c>
      <c r="M119" s="2063">
        <v>823</v>
      </c>
    </row>
    <row r="120" spans="1:13" s="372" customFormat="1" ht="15" hidden="1">
      <c r="A120" s="2650"/>
      <c r="B120" s="2766"/>
      <c r="C120" s="801" t="s">
        <v>9</v>
      </c>
      <c r="D120" s="890">
        <f>'[8]475ПП'!F205</f>
        <v>878519.89599999995</v>
      </c>
      <c r="E120" s="655">
        <v>0</v>
      </c>
      <c r="F120" s="655">
        <v>0</v>
      </c>
      <c r="G120" s="710">
        <f t="shared" si="10"/>
        <v>0</v>
      </c>
      <c r="H120" s="2769"/>
      <c r="I120" s="2772"/>
      <c r="J120" s="2027"/>
      <c r="K120" s="2021"/>
      <c r="L120" s="2053"/>
      <c r="M120" s="2064"/>
    </row>
    <row r="121" spans="1:13" s="372" customFormat="1" ht="15" hidden="1">
      <c r="A121" s="2650"/>
      <c r="B121" s="2766"/>
      <c r="C121" s="801" t="s">
        <v>10</v>
      </c>
      <c r="D121" s="822">
        <v>0</v>
      </c>
      <c r="E121" s="822">
        <v>0</v>
      </c>
      <c r="F121" s="822">
        <v>0</v>
      </c>
      <c r="G121" s="891">
        <v>0</v>
      </c>
      <c r="H121" s="2769"/>
      <c r="I121" s="2772"/>
      <c r="J121" s="2027"/>
      <c r="K121" s="2021"/>
      <c r="L121" s="2053"/>
      <c r="M121" s="2064"/>
    </row>
    <row r="122" spans="1:13" s="372" customFormat="1" ht="15" hidden="1">
      <c r="A122" s="2650"/>
      <c r="B122" s="2766"/>
      <c r="C122" s="801" t="s">
        <v>11</v>
      </c>
      <c r="D122" s="822">
        <v>0</v>
      </c>
      <c r="E122" s="822">
        <v>0</v>
      </c>
      <c r="F122" s="822">
        <v>0</v>
      </c>
      <c r="G122" s="891">
        <v>0</v>
      </c>
      <c r="H122" s="2769"/>
      <c r="I122" s="2772"/>
      <c r="J122" s="2027"/>
      <c r="K122" s="2021"/>
      <c r="L122" s="2053"/>
      <c r="M122" s="2064"/>
    </row>
    <row r="123" spans="1:13" s="372" customFormat="1" ht="25.5" hidden="1" customHeight="1">
      <c r="A123" s="2651"/>
      <c r="B123" s="2767"/>
      <c r="C123" s="801" t="s">
        <v>12</v>
      </c>
      <c r="D123" s="822">
        <v>0</v>
      </c>
      <c r="E123" s="822">
        <v>0</v>
      </c>
      <c r="F123" s="822">
        <v>0</v>
      </c>
      <c r="G123" s="891">
        <v>0</v>
      </c>
      <c r="H123" s="2770"/>
      <c r="I123" s="2773"/>
      <c r="J123" s="2028"/>
      <c r="K123" s="2021"/>
      <c r="L123" s="2054"/>
      <c r="M123" s="2065"/>
    </row>
    <row r="124" spans="1:13" s="372" customFormat="1" ht="15" hidden="1">
      <c r="A124" s="2649" t="s">
        <v>199</v>
      </c>
      <c r="B124" s="2765" t="s">
        <v>2872</v>
      </c>
      <c r="C124" s="801" t="s">
        <v>8</v>
      </c>
      <c r="D124" s="821">
        <f>SUM(D125:D128)</f>
        <v>3561.3</v>
      </c>
      <c r="E124" s="107">
        <f>SUM(E125:E128)</f>
        <v>0</v>
      </c>
      <c r="F124" s="107">
        <f>SUM(F125:F128)</f>
        <v>0</v>
      </c>
      <c r="G124" s="710">
        <f t="shared" si="10"/>
        <v>0</v>
      </c>
      <c r="H124" s="2737" t="s">
        <v>3377</v>
      </c>
      <c r="I124" s="2052" t="s">
        <v>3378</v>
      </c>
      <c r="J124" s="2044"/>
      <c r="K124" s="2045" t="s">
        <v>2814</v>
      </c>
      <c r="L124" s="2052" t="s">
        <v>2869</v>
      </c>
      <c r="M124" s="2063">
        <v>823</v>
      </c>
    </row>
    <row r="125" spans="1:13" s="372" customFormat="1" ht="15" hidden="1">
      <c r="A125" s="2650"/>
      <c r="B125" s="2766"/>
      <c r="C125" s="801" t="s">
        <v>9</v>
      </c>
      <c r="D125" s="890">
        <f>'[8]475ПП'!F211</f>
        <v>3561.3</v>
      </c>
      <c r="E125" s="655">
        <v>0</v>
      </c>
      <c r="F125" s="655">
        <v>0</v>
      </c>
      <c r="G125" s="710">
        <f t="shared" si="10"/>
        <v>0</v>
      </c>
      <c r="H125" s="2738"/>
      <c r="I125" s="2053"/>
      <c r="J125" s="2027"/>
      <c r="K125" s="2021"/>
      <c r="L125" s="2053"/>
      <c r="M125" s="2064"/>
    </row>
    <row r="126" spans="1:13" s="372" customFormat="1" ht="15" hidden="1">
      <c r="A126" s="2650"/>
      <c r="B126" s="2766"/>
      <c r="C126" s="801" t="s">
        <v>10</v>
      </c>
      <c r="D126" s="822">
        <v>0</v>
      </c>
      <c r="E126" s="822">
        <v>0</v>
      </c>
      <c r="F126" s="822">
        <v>0</v>
      </c>
      <c r="G126" s="891">
        <v>0</v>
      </c>
      <c r="H126" s="2738"/>
      <c r="I126" s="2053"/>
      <c r="J126" s="2027"/>
      <c r="K126" s="2021"/>
      <c r="L126" s="2053"/>
      <c r="M126" s="2064"/>
    </row>
    <row r="127" spans="1:13" s="372" customFormat="1" ht="15" hidden="1">
      <c r="A127" s="2650"/>
      <c r="B127" s="2766"/>
      <c r="C127" s="801" t="s">
        <v>11</v>
      </c>
      <c r="D127" s="822">
        <v>0</v>
      </c>
      <c r="E127" s="822">
        <v>0</v>
      </c>
      <c r="F127" s="822">
        <v>0</v>
      </c>
      <c r="G127" s="891">
        <v>0</v>
      </c>
      <c r="H127" s="2738"/>
      <c r="I127" s="2053"/>
      <c r="J127" s="2027"/>
      <c r="K127" s="2021"/>
      <c r="L127" s="2053"/>
      <c r="M127" s="2064"/>
    </row>
    <row r="128" spans="1:13" s="372" customFormat="1" ht="20.25" hidden="1" customHeight="1">
      <c r="A128" s="2651"/>
      <c r="B128" s="2767"/>
      <c r="C128" s="801" t="s">
        <v>12</v>
      </c>
      <c r="D128" s="822">
        <v>0</v>
      </c>
      <c r="E128" s="822">
        <v>0</v>
      </c>
      <c r="F128" s="822">
        <v>0</v>
      </c>
      <c r="G128" s="891">
        <v>0</v>
      </c>
      <c r="H128" s="2739"/>
      <c r="I128" s="2054"/>
      <c r="J128" s="2028"/>
      <c r="K128" s="2021"/>
      <c r="L128" s="2054"/>
      <c r="M128" s="2065"/>
    </row>
    <row r="129" spans="1:13" ht="15" hidden="1">
      <c r="A129" s="2764" t="s">
        <v>2921</v>
      </c>
      <c r="B129" s="2761" t="s">
        <v>2922</v>
      </c>
      <c r="C129" s="892" t="s">
        <v>8</v>
      </c>
      <c r="D129" s="893">
        <f>SUM(D130:D133)</f>
        <v>5000</v>
      </c>
      <c r="E129" s="668">
        <f>SUM(E130:E133)</f>
        <v>0</v>
      </c>
      <c r="F129" s="668">
        <f>SUM(F130:F133)</f>
        <v>0</v>
      </c>
      <c r="G129" s="896">
        <f t="shared" ref="G129:G130" si="12">F129/D129</f>
        <v>0</v>
      </c>
      <c r="H129" s="2049"/>
      <c r="I129" s="2045"/>
      <c r="J129" s="2044"/>
      <c r="K129" s="2056"/>
      <c r="L129" s="2045"/>
      <c r="M129" s="2063">
        <v>823</v>
      </c>
    </row>
    <row r="130" spans="1:13" ht="15" hidden="1">
      <c r="A130" s="2764"/>
      <c r="B130" s="2762"/>
      <c r="C130" s="892" t="s">
        <v>9</v>
      </c>
      <c r="D130" s="893">
        <f>'[8]475ПП'!F247</f>
        <v>5000</v>
      </c>
      <c r="E130" s="668">
        <v>0</v>
      </c>
      <c r="F130" s="668">
        <v>0</v>
      </c>
      <c r="G130" s="896">
        <f t="shared" si="12"/>
        <v>0</v>
      </c>
      <c r="H130" s="2190"/>
      <c r="I130" s="2743"/>
      <c r="J130" s="2743"/>
      <c r="K130" s="2743"/>
      <c r="L130" s="2743"/>
      <c r="M130" s="2064"/>
    </row>
    <row r="131" spans="1:13" ht="15" hidden="1">
      <c r="A131" s="2764"/>
      <c r="B131" s="2762"/>
      <c r="C131" s="892" t="s">
        <v>10</v>
      </c>
      <c r="D131" s="893">
        <v>0</v>
      </c>
      <c r="E131" s="894">
        <v>0</v>
      </c>
      <c r="F131" s="894">
        <v>0</v>
      </c>
      <c r="G131" s="895">
        <v>0</v>
      </c>
      <c r="H131" s="2190"/>
      <c r="I131" s="2743"/>
      <c r="J131" s="2743"/>
      <c r="K131" s="2743"/>
      <c r="L131" s="2743"/>
      <c r="M131" s="2064"/>
    </row>
    <row r="132" spans="1:13" ht="15" hidden="1">
      <c r="A132" s="2764"/>
      <c r="B132" s="2762"/>
      <c r="C132" s="892" t="s">
        <v>11</v>
      </c>
      <c r="D132" s="893">
        <v>0</v>
      </c>
      <c r="E132" s="894">
        <v>0</v>
      </c>
      <c r="F132" s="894">
        <v>0</v>
      </c>
      <c r="G132" s="895">
        <v>0</v>
      </c>
      <c r="H132" s="2190"/>
      <c r="I132" s="2743"/>
      <c r="J132" s="2743"/>
      <c r="K132" s="2743"/>
      <c r="L132" s="2743"/>
      <c r="M132" s="2064"/>
    </row>
    <row r="133" spans="1:13" ht="15" hidden="1">
      <c r="A133" s="2764"/>
      <c r="B133" s="2763"/>
      <c r="C133" s="892" t="s">
        <v>12</v>
      </c>
      <c r="D133" s="893">
        <v>0</v>
      </c>
      <c r="E133" s="894">
        <v>0</v>
      </c>
      <c r="F133" s="894">
        <v>0</v>
      </c>
      <c r="G133" s="895">
        <v>0</v>
      </c>
      <c r="H133" s="2191"/>
      <c r="I133" s="2744"/>
      <c r="J133" s="2744"/>
      <c r="K133" s="2744"/>
      <c r="L133" s="2744"/>
      <c r="M133" s="2065"/>
    </row>
    <row r="134" spans="1:13" ht="15" hidden="1">
      <c r="A134" s="2753" t="s">
        <v>2929</v>
      </c>
      <c r="B134" s="2761" t="s">
        <v>2930</v>
      </c>
      <c r="C134" s="892" t="s">
        <v>8</v>
      </c>
      <c r="D134" s="893">
        <f>SUM(D135:D138)</f>
        <v>30187.855</v>
      </c>
      <c r="E134" s="706">
        <f>SUM(E135:E138)</f>
        <v>0</v>
      </c>
      <c r="F134" s="706">
        <f>SUM(F135:F138)</f>
        <v>0</v>
      </c>
      <c r="G134" s="707">
        <f t="shared" ref="G134:G135" si="13">F134/D134</f>
        <v>0</v>
      </c>
      <c r="H134" s="2049"/>
      <c r="I134" s="2045"/>
      <c r="J134" s="2044"/>
      <c r="K134" s="2056"/>
      <c r="L134" s="2045"/>
      <c r="M134" s="2063">
        <v>823</v>
      </c>
    </row>
    <row r="135" spans="1:13" ht="15" hidden="1">
      <c r="A135" s="2754"/>
      <c r="B135" s="2762"/>
      <c r="C135" s="892" t="s">
        <v>9</v>
      </c>
      <c r="D135" s="893">
        <f>'[8]475ПП'!F271</f>
        <v>30187.855</v>
      </c>
      <c r="E135" s="706">
        <v>0</v>
      </c>
      <c r="F135" s="706">
        <v>0</v>
      </c>
      <c r="G135" s="707">
        <f t="shared" si="13"/>
        <v>0</v>
      </c>
      <c r="H135" s="2190"/>
      <c r="I135" s="2743"/>
      <c r="J135" s="2743"/>
      <c r="K135" s="2743"/>
      <c r="L135" s="2743"/>
      <c r="M135" s="2064"/>
    </row>
    <row r="136" spans="1:13" ht="15" hidden="1">
      <c r="A136" s="2754"/>
      <c r="B136" s="2762"/>
      <c r="C136" s="892" t="s">
        <v>10</v>
      </c>
      <c r="D136" s="893">
        <v>0</v>
      </c>
      <c r="E136" s="894">
        <v>0</v>
      </c>
      <c r="F136" s="894">
        <v>0</v>
      </c>
      <c r="G136" s="895">
        <v>0</v>
      </c>
      <c r="H136" s="2190"/>
      <c r="I136" s="2743"/>
      <c r="J136" s="2743"/>
      <c r="K136" s="2743"/>
      <c r="L136" s="2743"/>
      <c r="M136" s="2064"/>
    </row>
    <row r="137" spans="1:13" ht="15" hidden="1">
      <c r="A137" s="2754"/>
      <c r="B137" s="2762"/>
      <c r="C137" s="892" t="s">
        <v>11</v>
      </c>
      <c r="D137" s="893">
        <v>0</v>
      </c>
      <c r="E137" s="894">
        <v>0</v>
      </c>
      <c r="F137" s="894">
        <v>0</v>
      </c>
      <c r="G137" s="895">
        <v>0</v>
      </c>
      <c r="H137" s="2190"/>
      <c r="I137" s="2743"/>
      <c r="J137" s="2743"/>
      <c r="K137" s="2743"/>
      <c r="L137" s="2743"/>
      <c r="M137" s="2064"/>
    </row>
    <row r="138" spans="1:13" ht="15" hidden="1">
      <c r="A138" s="2755"/>
      <c r="B138" s="2763"/>
      <c r="C138" s="892" t="s">
        <v>12</v>
      </c>
      <c r="D138" s="893">
        <v>0</v>
      </c>
      <c r="E138" s="894">
        <v>0</v>
      </c>
      <c r="F138" s="894">
        <v>0</v>
      </c>
      <c r="G138" s="895">
        <v>0</v>
      </c>
      <c r="H138" s="2191"/>
      <c r="I138" s="2744"/>
      <c r="J138" s="2744"/>
      <c r="K138" s="2744"/>
      <c r="L138" s="2744"/>
      <c r="M138" s="2065"/>
    </row>
    <row r="139" spans="1:13" ht="15" hidden="1">
      <c r="A139" s="2753" t="s">
        <v>3133</v>
      </c>
      <c r="B139" s="2761" t="s">
        <v>3379</v>
      </c>
      <c r="C139" s="892" t="s">
        <v>8</v>
      </c>
      <c r="D139" s="893">
        <f>SUM(D140:D143)</f>
        <v>3628.395</v>
      </c>
      <c r="E139" s="706">
        <f>SUM(E140:E143)</f>
        <v>0</v>
      </c>
      <c r="F139" s="706">
        <f>SUM(F140:F143)</f>
        <v>0</v>
      </c>
      <c r="G139" s="707">
        <f t="shared" ref="G139:G140" si="14">F139/D139</f>
        <v>0</v>
      </c>
      <c r="H139" s="2049"/>
      <c r="I139" s="2045"/>
      <c r="J139" s="2044"/>
      <c r="K139" s="2056"/>
      <c r="L139" s="2045"/>
      <c r="M139" s="2063">
        <v>823</v>
      </c>
    </row>
    <row r="140" spans="1:13" ht="15" hidden="1">
      <c r="A140" s="2754"/>
      <c r="B140" s="2762"/>
      <c r="C140" s="892" t="s">
        <v>9</v>
      </c>
      <c r="D140" s="893">
        <f>'[8]475ПП'!F301</f>
        <v>3628.395</v>
      </c>
      <c r="E140" s="706">
        <v>0</v>
      </c>
      <c r="F140" s="706">
        <v>0</v>
      </c>
      <c r="G140" s="707">
        <f t="shared" si="14"/>
        <v>0</v>
      </c>
      <c r="H140" s="2190"/>
      <c r="I140" s="2743"/>
      <c r="J140" s="2743"/>
      <c r="K140" s="2743"/>
      <c r="L140" s="2743"/>
      <c r="M140" s="2064"/>
    </row>
    <row r="141" spans="1:13" ht="15" hidden="1">
      <c r="A141" s="2754"/>
      <c r="B141" s="2762"/>
      <c r="C141" s="892" t="s">
        <v>10</v>
      </c>
      <c r="D141" s="893">
        <f>'[8]475ПП'!G301</f>
        <v>0</v>
      </c>
      <c r="E141" s="894">
        <v>0</v>
      </c>
      <c r="F141" s="894">
        <v>0</v>
      </c>
      <c r="G141" s="895">
        <v>0</v>
      </c>
      <c r="H141" s="2190"/>
      <c r="I141" s="2743"/>
      <c r="J141" s="2743"/>
      <c r="K141" s="2743"/>
      <c r="L141" s="2743"/>
      <c r="M141" s="2064"/>
    </row>
    <row r="142" spans="1:13" ht="15" hidden="1">
      <c r="A142" s="2754"/>
      <c r="B142" s="2762"/>
      <c r="C142" s="892" t="s">
        <v>11</v>
      </c>
      <c r="D142" s="893">
        <f>'[8]475ПП'!H301</f>
        <v>0</v>
      </c>
      <c r="E142" s="894">
        <v>0</v>
      </c>
      <c r="F142" s="894">
        <v>0</v>
      </c>
      <c r="G142" s="895">
        <v>0</v>
      </c>
      <c r="H142" s="2190"/>
      <c r="I142" s="2743"/>
      <c r="J142" s="2743"/>
      <c r="K142" s="2743"/>
      <c r="L142" s="2743"/>
      <c r="M142" s="2064"/>
    </row>
    <row r="143" spans="1:13" ht="15" hidden="1">
      <c r="A143" s="2755"/>
      <c r="B143" s="2763"/>
      <c r="C143" s="892" t="s">
        <v>12</v>
      </c>
      <c r="D143" s="893">
        <f>'[8]475ПП'!I301</f>
        <v>0</v>
      </c>
      <c r="E143" s="894">
        <v>0</v>
      </c>
      <c r="F143" s="894">
        <v>0</v>
      </c>
      <c r="G143" s="895">
        <v>0</v>
      </c>
      <c r="H143" s="2191"/>
      <c r="I143" s="2744"/>
      <c r="J143" s="2744"/>
      <c r="K143" s="2744"/>
      <c r="L143" s="2744"/>
      <c r="M143" s="2065"/>
    </row>
    <row r="144" spans="1:13" ht="22.5" hidden="1" customHeight="1">
      <c r="A144" s="2753" t="s">
        <v>3130</v>
      </c>
      <c r="B144" s="2756" t="s">
        <v>3129</v>
      </c>
      <c r="C144" s="892" t="s">
        <v>8</v>
      </c>
      <c r="D144" s="893">
        <f>SUM(D145:D148)</f>
        <v>16200.621999999999</v>
      </c>
      <c r="E144" s="706">
        <f>SUM(E145:E148)</f>
        <v>0</v>
      </c>
      <c r="F144" s="706">
        <f>SUM(F145:F148)</f>
        <v>0</v>
      </c>
      <c r="G144" s="707">
        <f t="shared" ref="G144:G148" si="15">F144/D144</f>
        <v>0</v>
      </c>
      <c r="H144" s="2737" t="s">
        <v>3128</v>
      </c>
      <c r="I144" s="2045"/>
      <c r="J144" s="2044"/>
      <c r="K144" s="2056"/>
      <c r="L144" s="2045"/>
      <c r="M144" s="2063">
        <v>823</v>
      </c>
    </row>
    <row r="145" spans="1:13" ht="23.25" hidden="1" customHeight="1">
      <c r="A145" s="2754"/>
      <c r="B145" s="2757"/>
      <c r="C145" s="892" t="s">
        <v>9</v>
      </c>
      <c r="D145" s="893">
        <f>'[8]475ПП'!F307</f>
        <v>16200.621999999999</v>
      </c>
      <c r="E145" s="706">
        <v>0</v>
      </c>
      <c r="F145" s="706">
        <v>0</v>
      </c>
      <c r="G145" s="707">
        <f t="shared" si="15"/>
        <v>0</v>
      </c>
      <c r="H145" s="2759"/>
      <c r="I145" s="2743"/>
      <c r="J145" s="2743"/>
      <c r="K145" s="2743"/>
      <c r="L145" s="2743"/>
      <c r="M145" s="2064"/>
    </row>
    <row r="146" spans="1:13" ht="21" hidden="1" customHeight="1">
      <c r="A146" s="2754"/>
      <c r="B146" s="2757"/>
      <c r="C146" s="892" t="s">
        <v>10</v>
      </c>
      <c r="D146" s="893">
        <f>'[8]475ПП'!G307</f>
        <v>0</v>
      </c>
      <c r="E146" s="894">
        <v>0</v>
      </c>
      <c r="F146" s="894">
        <v>0</v>
      </c>
      <c r="G146" s="895" t="e">
        <f t="shared" si="15"/>
        <v>#DIV/0!</v>
      </c>
      <c r="H146" s="2759"/>
      <c r="I146" s="2743"/>
      <c r="J146" s="2743"/>
      <c r="K146" s="2743"/>
      <c r="L146" s="2743"/>
      <c r="M146" s="2064"/>
    </row>
    <row r="147" spans="1:13" ht="22.5" hidden="1" customHeight="1">
      <c r="A147" s="2754"/>
      <c r="B147" s="2757"/>
      <c r="C147" s="892" t="s">
        <v>11</v>
      </c>
      <c r="D147" s="893">
        <f>'[8]475ПП'!H307</f>
        <v>0</v>
      </c>
      <c r="E147" s="894">
        <v>0</v>
      </c>
      <c r="F147" s="894">
        <v>0</v>
      </c>
      <c r="G147" s="895" t="e">
        <f t="shared" si="15"/>
        <v>#DIV/0!</v>
      </c>
      <c r="H147" s="2759"/>
      <c r="I147" s="2743"/>
      <c r="J147" s="2743"/>
      <c r="K147" s="2743"/>
      <c r="L147" s="2743"/>
      <c r="M147" s="2064"/>
    </row>
    <row r="148" spans="1:13" ht="23.25" hidden="1" customHeight="1">
      <c r="A148" s="2755"/>
      <c r="B148" s="2758"/>
      <c r="C148" s="892" t="s">
        <v>12</v>
      </c>
      <c r="D148" s="893">
        <f>'[8]475ПП'!I307</f>
        <v>0</v>
      </c>
      <c r="E148" s="894">
        <v>0</v>
      </c>
      <c r="F148" s="894">
        <v>0</v>
      </c>
      <c r="G148" s="895" t="e">
        <f t="shared" si="15"/>
        <v>#DIV/0!</v>
      </c>
      <c r="H148" s="2760"/>
      <c r="I148" s="2744"/>
      <c r="J148" s="2744"/>
      <c r="K148" s="2744"/>
      <c r="L148" s="2744"/>
      <c r="M148" s="2065"/>
    </row>
    <row r="149" spans="1:13" s="372" customFormat="1" ht="25.5" hidden="1" customHeight="1">
      <c r="A149" s="2649" t="s">
        <v>175</v>
      </c>
      <c r="B149" s="2745" t="s">
        <v>2936</v>
      </c>
      <c r="C149" s="682" t="s">
        <v>8</v>
      </c>
      <c r="D149" s="702">
        <v>67577.2</v>
      </c>
      <c r="E149" s="698">
        <v>27156.22</v>
      </c>
      <c r="F149" s="698">
        <v>27156.22</v>
      </c>
      <c r="G149" s="680">
        <f t="shared" si="10"/>
        <v>0.40185476758433319</v>
      </c>
      <c r="H149" s="2748" t="s">
        <v>2817</v>
      </c>
      <c r="I149" s="649" t="s">
        <v>267</v>
      </c>
      <c r="J149" s="650"/>
      <c r="K149" s="2751" t="s">
        <v>2801</v>
      </c>
      <c r="L149" s="2752"/>
      <c r="M149" s="2612">
        <v>823</v>
      </c>
    </row>
    <row r="150" spans="1:13" s="372" customFormat="1" ht="24.75" hidden="1" customHeight="1">
      <c r="A150" s="2650"/>
      <c r="B150" s="2746"/>
      <c r="C150" s="682" t="s">
        <v>9</v>
      </c>
      <c r="D150" s="684">
        <v>47800</v>
      </c>
      <c r="E150" s="684">
        <v>19397.3</v>
      </c>
      <c r="F150" s="684">
        <v>19397.3</v>
      </c>
      <c r="G150" s="680">
        <f t="shared" si="10"/>
        <v>0.4058012552301255</v>
      </c>
      <c r="H150" s="2749"/>
      <c r="I150" s="649" t="s">
        <v>268</v>
      </c>
      <c r="J150" s="650"/>
      <c r="K150" s="2751"/>
      <c r="L150" s="2752"/>
      <c r="M150" s="2613"/>
    </row>
    <row r="151" spans="1:13" s="372" customFormat="1" ht="22.5" hidden="1" customHeight="1">
      <c r="A151" s="2650"/>
      <c r="B151" s="2746"/>
      <c r="C151" s="682" t="s">
        <v>10</v>
      </c>
      <c r="D151" s="684">
        <v>0</v>
      </c>
      <c r="E151" s="684">
        <v>0</v>
      </c>
      <c r="F151" s="684">
        <v>0</v>
      </c>
      <c r="G151" s="680">
        <v>0</v>
      </c>
      <c r="H151" s="2749"/>
      <c r="I151" s="649" t="s">
        <v>269</v>
      </c>
      <c r="J151" s="650"/>
      <c r="K151" s="2751"/>
      <c r="L151" s="2752"/>
      <c r="M151" s="2613"/>
    </row>
    <row r="152" spans="1:13" s="372" customFormat="1" ht="23.25" hidden="1" customHeight="1">
      <c r="A152" s="2650"/>
      <c r="B152" s="2746"/>
      <c r="C152" s="682" t="s">
        <v>11</v>
      </c>
      <c r="D152" s="684">
        <v>19777.2</v>
      </c>
      <c r="E152" s="684">
        <v>7758.92</v>
      </c>
      <c r="F152" s="684">
        <v>7758.92</v>
      </c>
      <c r="G152" s="680">
        <f t="shared" si="10"/>
        <v>0.39231640474890278</v>
      </c>
      <c r="H152" s="2749"/>
      <c r="I152" s="649" t="s">
        <v>270</v>
      </c>
      <c r="J152" s="650"/>
      <c r="K152" s="2751"/>
      <c r="L152" s="2752"/>
      <c r="M152" s="2613"/>
    </row>
    <row r="153" spans="1:13" s="372" customFormat="1" ht="22.5" hidden="1" customHeight="1">
      <c r="A153" s="2651"/>
      <c r="B153" s="2747"/>
      <c r="C153" s="682" t="s">
        <v>12</v>
      </c>
      <c r="D153" s="684">
        <v>0</v>
      </c>
      <c r="E153" s="684">
        <v>0</v>
      </c>
      <c r="F153" s="684">
        <v>0</v>
      </c>
      <c r="G153" s="680">
        <v>0</v>
      </c>
      <c r="H153" s="2750"/>
      <c r="I153" s="649" t="s">
        <v>271</v>
      </c>
      <c r="J153" s="652" t="e">
        <f>(J150+0.5*J151)/J149</f>
        <v>#DIV/0!</v>
      </c>
      <c r="K153" s="2751"/>
      <c r="L153" s="2752"/>
      <c r="M153" s="2614"/>
    </row>
    <row r="154" spans="1:13" s="372" customFormat="1" ht="15" hidden="1">
      <c r="A154" s="2649" t="s">
        <v>58</v>
      </c>
      <c r="B154" s="2734" t="s">
        <v>2937</v>
      </c>
      <c r="C154" s="801" t="s">
        <v>8</v>
      </c>
      <c r="D154" s="829">
        <f>SUM(D155:D158)</f>
        <v>9846.2000000000007</v>
      </c>
      <c r="E154" s="107">
        <f>SUM(E155:E158)</f>
        <v>0</v>
      </c>
      <c r="F154" s="107">
        <f>SUM(F155:F158)</f>
        <v>0</v>
      </c>
      <c r="G154" s="67">
        <f t="shared" si="10"/>
        <v>0</v>
      </c>
      <c r="H154" s="2737" t="s">
        <v>2818</v>
      </c>
      <c r="I154" s="2148" t="s">
        <v>2899</v>
      </c>
      <c r="J154" s="2044"/>
      <c r="K154" s="2740" t="s">
        <v>2852</v>
      </c>
      <c r="L154" s="2295"/>
      <c r="M154" s="2063">
        <v>823</v>
      </c>
    </row>
    <row r="155" spans="1:13" s="372" customFormat="1" ht="15" hidden="1">
      <c r="A155" s="2650"/>
      <c r="B155" s="2735"/>
      <c r="C155" s="801" t="s">
        <v>9</v>
      </c>
      <c r="D155" s="902">
        <f>'[8]475ПП'!F319</f>
        <v>6400</v>
      </c>
      <c r="E155" s="108">
        <v>0</v>
      </c>
      <c r="F155" s="108">
        <v>0</v>
      </c>
      <c r="G155" s="67">
        <f t="shared" si="10"/>
        <v>0</v>
      </c>
      <c r="H155" s="2738"/>
      <c r="I155" s="2149" t="s">
        <v>268</v>
      </c>
      <c r="J155" s="2027"/>
      <c r="K155" s="2741"/>
      <c r="L155" s="2296"/>
      <c r="M155" s="2064"/>
    </row>
    <row r="156" spans="1:13" s="372" customFormat="1" ht="19.5" hidden="1" customHeight="1">
      <c r="A156" s="2650"/>
      <c r="B156" s="2735"/>
      <c r="C156" s="801" t="s">
        <v>10</v>
      </c>
      <c r="D156" s="822">
        <f>'[8]475ПП'!G319</f>
        <v>0</v>
      </c>
      <c r="E156" s="824">
        <v>0</v>
      </c>
      <c r="F156" s="824">
        <v>0</v>
      </c>
      <c r="G156" s="805">
        <v>0</v>
      </c>
      <c r="H156" s="2738"/>
      <c r="I156" s="2149" t="s">
        <v>269</v>
      </c>
      <c r="J156" s="2027"/>
      <c r="K156" s="2741"/>
      <c r="L156" s="2296"/>
      <c r="M156" s="2064"/>
    </row>
    <row r="157" spans="1:13" s="372" customFormat="1" ht="21.75" hidden="1" customHeight="1">
      <c r="A157" s="2650"/>
      <c r="B157" s="2735"/>
      <c r="C157" s="801" t="s">
        <v>11</v>
      </c>
      <c r="D157" s="822">
        <f>'[8]475ПП'!H319</f>
        <v>3446.2</v>
      </c>
      <c r="E157" s="108">
        <v>0</v>
      </c>
      <c r="F157" s="108">
        <v>0</v>
      </c>
      <c r="G157" s="67">
        <f t="shared" si="10"/>
        <v>0</v>
      </c>
      <c r="H157" s="2738"/>
      <c r="I157" s="2149" t="s">
        <v>270</v>
      </c>
      <c r="J157" s="2027"/>
      <c r="K157" s="2741"/>
      <c r="L157" s="2296"/>
      <c r="M157" s="2064"/>
    </row>
    <row r="158" spans="1:13" s="372" customFormat="1" ht="22.5" hidden="1" customHeight="1">
      <c r="A158" s="2651"/>
      <c r="B158" s="2736"/>
      <c r="C158" s="801" t="s">
        <v>12</v>
      </c>
      <c r="D158" s="822">
        <f>'[8]475ПП'!I319</f>
        <v>0</v>
      </c>
      <c r="E158" s="824">
        <v>0</v>
      </c>
      <c r="F158" s="824">
        <v>0</v>
      </c>
      <c r="G158" s="805">
        <v>0</v>
      </c>
      <c r="H158" s="2739"/>
      <c r="I158" s="2150" t="s">
        <v>271</v>
      </c>
      <c r="J158" s="2028"/>
      <c r="K158" s="2742"/>
      <c r="L158" s="2297"/>
      <c r="M158" s="2065"/>
    </row>
    <row r="159" spans="1:13" s="372" customFormat="1" ht="21.75" hidden="1" customHeight="1">
      <c r="A159" s="2726" t="s">
        <v>67</v>
      </c>
      <c r="B159" s="2729" t="s">
        <v>2819</v>
      </c>
      <c r="C159" s="820" t="s">
        <v>8</v>
      </c>
      <c r="D159" s="829">
        <v>57731</v>
      </c>
      <c r="E159" s="107">
        <f>SUM(E160:E163)</f>
        <v>0</v>
      </c>
      <c r="F159" s="107">
        <f>SUM(F160:F163)</f>
        <v>0</v>
      </c>
      <c r="G159" s="67">
        <f t="shared" ref="G159:G162" si="16">F159/D159</f>
        <v>0</v>
      </c>
      <c r="H159" s="2049" t="s">
        <v>2820</v>
      </c>
      <c r="I159" s="2148" t="s">
        <v>2874</v>
      </c>
      <c r="J159" s="2044"/>
      <c r="K159" s="2045" t="s">
        <v>2799</v>
      </c>
      <c r="L159" s="2295" t="s">
        <v>2873</v>
      </c>
      <c r="M159" s="2063">
        <v>823</v>
      </c>
    </row>
    <row r="160" spans="1:13" s="372" customFormat="1" ht="23.25" hidden="1" customHeight="1">
      <c r="A160" s="2727"/>
      <c r="B160" s="2730"/>
      <c r="C160" s="820" t="s">
        <v>9</v>
      </c>
      <c r="D160" s="890">
        <f>'[8]475ПП'!F325</f>
        <v>41400</v>
      </c>
      <c r="E160" s="108">
        <v>0</v>
      </c>
      <c r="F160" s="108">
        <v>0</v>
      </c>
      <c r="G160" s="67">
        <f t="shared" si="16"/>
        <v>0</v>
      </c>
      <c r="H160" s="2050"/>
      <c r="I160" s="2149" t="s">
        <v>268</v>
      </c>
      <c r="J160" s="2027"/>
      <c r="K160" s="2021"/>
      <c r="L160" s="2732"/>
      <c r="M160" s="2064"/>
    </row>
    <row r="161" spans="1:13" s="372" customFormat="1" ht="24" hidden="1" customHeight="1">
      <c r="A161" s="2727"/>
      <c r="B161" s="2730"/>
      <c r="C161" s="820" t="s">
        <v>10</v>
      </c>
      <c r="D161" s="826">
        <f>'[8]475ПП'!G325</f>
        <v>0</v>
      </c>
      <c r="E161" s="824">
        <v>0</v>
      </c>
      <c r="F161" s="824">
        <v>0</v>
      </c>
      <c r="G161" s="805">
        <v>0</v>
      </c>
      <c r="H161" s="2050"/>
      <c r="I161" s="2149" t="s">
        <v>269</v>
      </c>
      <c r="J161" s="2027"/>
      <c r="K161" s="2021"/>
      <c r="L161" s="2732"/>
      <c r="M161" s="2064"/>
    </row>
    <row r="162" spans="1:13" s="372" customFormat="1" ht="24" hidden="1" customHeight="1">
      <c r="A162" s="2727"/>
      <c r="B162" s="2730"/>
      <c r="C162" s="820" t="s">
        <v>11</v>
      </c>
      <c r="D162" s="826">
        <f>'[8]475ПП'!H325</f>
        <v>16331.03</v>
      </c>
      <c r="E162" s="664">
        <v>0</v>
      </c>
      <c r="F162" s="664">
        <v>0</v>
      </c>
      <c r="G162" s="67">
        <f t="shared" si="16"/>
        <v>0</v>
      </c>
      <c r="H162" s="2050"/>
      <c r="I162" s="2149" t="s">
        <v>270</v>
      </c>
      <c r="J162" s="2027"/>
      <c r="K162" s="2021"/>
      <c r="L162" s="2732"/>
      <c r="M162" s="2064"/>
    </row>
    <row r="163" spans="1:13" s="372" customFormat="1" ht="23.25" hidden="1" customHeight="1">
      <c r="A163" s="2728"/>
      <c r="B163" s="2731"/>
      <c r="C163" s="820" t="s">
        <v>12</v>
      </c>
      <c r="D163" s="826">
        <f>'[8]475ПП'!I325</f>
        <v>0</v>
      </c>
      <c r="E163" s="824">
        <v>0</v>
      </c>
      <c r="F163" s="824">
        <v>0</v>
      </c>
      <c r="G163" s="805">
        <v>0</v>
      </c>
      <c r="H163" s="2051"/>
      <c r="I163" s="2150" t="s">
        <v>271</v>
      </c>
      <c r="J163" s="2028"/>
      <c r="K163" s="2022"/>
      <c r="L163" s="2733"/>
      <c r="M163" s="2065"/>
    </row>
    <row r="164" spans="1:13" s="372" customFormat="1" hidden="1">
      <c r="A164" s="2661" t="s">
        <v>2876</v>
      </c>
      <c r="B164" s="2720" t="s">
        <v>2875</v>
      </c>
      <c r="C164" s="682" t="s">
        <v>8</v>
      </c>
      <c r="D164" s="698">
        <v>18900.399999999998</v>
      </c>
      <c r="E164" s="698">
        <v>10759.43</v>
      </c>
      <c r="F164" s="698">
        <v>10759.431999999999</v>
      </c>
      <c r="G164" s="680">
        <f>F164/D164</f>
        <v>0.5692700683583416</v>
      </c>
      <c r="H164" s="2667" t="s">
        <v>2821</v>
      </c>
      <c r="I164" s="703" t="s">
        <v>267</v>
      </c>
      <c r="J164" s="704"/>
      <c r="K164" s="2609" t="s">
        <v>2802</v>
      </c>
      <c r="L164" s="2723"/>
      <c r="M164" s="2612">
        <v>823</v>
      </c>
    </row>
    <row r="165" spans="1:13" s="372" customFormat="1" hidden="1">
      <c r="A165" s="2662"/>
      <c r="B165" s="2721"/>
      <c r="C165" s="682" t="s">
        <v>9</v>
      </c>
      <c r="D165" s="698">
        <v>2711.1</v>
      </c>
      <c r="E165" s="698">
        <v>1218.308</v>
      </c>
      <c r="F165" s="698">
        <v>1218.31</v>
      </c>
      <c r="G165" s="680">
        <f t="shared" ref="G165:G166" si="17">F165/D165</f>
        <v>0.44937848105934858</v>
      </c>
      <c r="H165" s="2668"/>
      <c r="I165" s="703" t="s">
        <v>268</v>
      </c>
      <c r="J165" s="704"/>
      <c r="K165" s="2610"/>
      <c r="L165" s="2724"/>
      <c r="M165" s="2613"/>
    </row>
    <row r="166" spans="1:13" s="372" customFormat="1" hidden="1">
      <c r="A166" s="2662"/>
      <c r="B166" s="2721"/>
      <c r="C166" s="682" t="s">
        <v>10</v>
      </c>
      <c r="D166" s="698">
        <v>16189.3</v>
      </c>
      <c r="E166" s="698">
        <v>9541.1219999999994</v>
      </c>
      <c r="F166" s="698">
        <v>9541.1219999999994</v>
      </c>
      <c r="G166" s="680">
        <f t="shared" si="17"/>
        <v>0.58934740847349787</v>
      </c>
      <c r="H166" s="2668"/>
      <c r="I166" s="703" t="s">
        <v>269</v>
      </c>
      <c r="J166" s="704"/>
      <c r="K166" s="2610"/>
      <c r="L166" s="2724"/>
      <c r="M166" s="2613"/>
    </row>
    <row r="167" spans="1:13" s="372" customFormat="1" hidden="1">
      <c r="A167" s="2662"/>
      <c r="B167" s="2721"/>
      <c r="C167" s="682" t="s">
        <v>11</v>
      </c>
      <c r="D167" s="698">
        <v>0</v>
      </c>
      <c r="E167" s="698">
        <v>0</v>
      </c>
      <c r="F167" s="698">
        <v>0</v>
      </c>
      <c r="G167" s="680">
        <v>0</v>
      </c>
      <c r="H167" s="2668"/>
      <c r="I167" s="703" t="s">
        <v>270</v>
      </c>
      <c r="J167" s="704"/>
      <c r="K167" s="2610"/>
      <c r="L167" s="2724"/>
      <c r="M167" s="2613"/>
    </row>
    <row r="168" spans="1:13" s="372" customFormat="1" hidden="1">
      <c r="A168" s="2663"/>
      <c r="B168" s="2722"/>
      <c r="C168" s="682" t="s">
        <v>12</v>
      </c>
      <c r="D168" s="698">
        <v>0</v>
      </c>
      <c r="E168" s="698">
        <v>0</v>
      </c>
      <c r="F168" s="698">
        <v>0</v>
      </c>
      <c r="G168" s="680">
        <v>0</v>
      </c>
      <c r="H168" s="2669"/>
      <c r="I168" s="703" t="s">
        <v>271</v>
      </c>
      <c r="J168" s="705" t="e">
        <f>(J165+0.5*J166)/J164</f>
        <v>#DIV/0!</v>
      </c>
      <c r="K168" s="2611"/>
      <c r="L168" s="2725"/>
      <c r="M168" s="2614"/>
    </row>
    <row r="169" spans="1:13" s="372" customFormat="1" ht="15" hidden="1">
      <c r="A169" s="2719" t="s">
        <v>2877</v>
      </c>
      <c r="B169" s="2032" t="s">
        <v>666</v>
      </c>
      <c r="C169" s="931" t="s">
        <v>8</v>
      </c>
      <c r="D169" s="662">
        <v>12043.6</v>
      </c>
      <c r="E169" s="107">
        <v>8269.23</v>
      </c>
      <c r="F169" s="107">
        <v>8269.23</v>
      </c>
      <c r="G169" s="67">
        <f>F169/D169</f>
        <v>0.68660782490285288</v>
      </c>
      <c r="H169" s="2049" t="s">
        <v>2881</v>
      </c>
      <c r="I169" s="2148" t="s">
        <v>2880</v>
      </c>
      <c r="J169" s="2044"/>
      <c r="K169" s="2045" t="s">
        <v>2850</v>
      </c>
      <c r="L169" s="2295" t="s">
        <v>2879</v>
      </c>
      <c r="M169" s="2063">
        <v>823</v>
      </c>
    </row>
    <row r="170" spans="1:13" s="372" customFormat="1" ht="15" hidden="1">
      <c r="A170" s="2650"/>
      <c r="B170" s="2033"/>
      <c r="C170" s="931" t="s">
        <v>9</v>
      </c>
      <c r="D170" s="656">
        <v>722.6</v>
      </c>
      <c r="E170" s="108">
        <v>496.15</v>
      </c>
      <c r="F170" s="108">
        <v>496.15</v>
      </c>
      <c r="G170" s="67">
        <f t="shared" ref="G170" si="18">F170/D170</f>
        <v>0.68661776916689721</v>
      </c>
      <c r="H170" s="2050"/>
      <c r="I170" s="2149"/>
      <c r="J170" s="2027"/>
      <c r="K170" s="2021"/>
      <c r="L170" s="2296"/>
      <c r="M170" s="2064"/>
    </row>
    <row r="171" spans="1:13" s="372" customFormat="1" ht="15" hidden="1">
      <c r="A171" s="2650"/>
      <c r="B171" s="2033"/>
      <c r="C171" s="931" t="s">
        <v>10</v>
      </c>
      <c r="D171" s="655">
        <v>11321</v>
      </c>
      <c r="E171" s="108">
        <v>7773.08</v>
      </c>
      <c r="F171" s="108">
        <v>7773.08</v>
      </c>
      <c r="G171" s="67">
        <v>0</v>
      </c>
      <c r="H171" s="2050"/>
      <c r="I171" s="2149"/>
      <c r="J171" s="2027"/>
      <c r="K171" s="2021"/>
      <c r="L171" s="2296"/>
      <c r="M171" s="2064"/>
    </row>
    <row r="172" spans="1:13" s="372" customFormat="1" ht="15" hidden="1">
      <c r="A172" s="2650"/>
      <c r="B172" s="2033"/>
      <c r="C172" s="931" t="s">
        <v>11</v>
      </c>
      <c r="D172" s="655">
        <v>0</v>
      </c>
      <c r="E172" s="108">
        <v>0</v>
      </c>
      <c r="F172" s="108">
        <v>0</v>
      </c>
      <c r="G172" s="67">
        <v>0</v>
      </c>
      <c r="H172" s="2050"/>
      <c r="I172" s="2149"/>
      <c r="J172" s="2027"/>
      <c r="K172" s="2021"/>
      <c r="L172" s="2296"/>
      <c r="M172" s="2064"/>
    </row>
    <row r="173" spans="1:13" s="372" customFormat="1" ht="15" hidden="1">
      <c r="A173" s="2651"/>
      <c r="B173" s="2034"/>
      <c r="C173" s="931" t="s">
        <v>12</v>
      </c>
      <c r="D173" s="655">
        <v>0</v>
      </c>
      <c r="E173" s="108">
        <v>0</v>
      </c>
      <c r="F173" s="108">
        <v>0</v>
      </c>
      <c r="G173" s="67">
        <v>0</v>
      </c>
      <c r="H173" s="2051"/>
      <c r="I173" s="2150"/>
      <c r="J173" s="2028"/>
      <c r="K173" s="2022"/>
      <c r="L173" s="2297"/>
      <c r="M173" s="2065"/>
    </row>
    <row r="174" spans="1:13" s="372" customFormat="1" ht="15" hidden="1">
      <c r="A174" s="2719" t="s">
        <v>2878</v>
      </c>
      <c r="B174" s="2032" t="s">
        <v>3380</v>
      </c>
      <c r="C174" s="931" t="s">
        <v>8</v>
      </c>
      <c r="D174" s="107">
        <v>6856.8</v>
      </c>
      <c r="E174" s="107">
        <v>2490.1999999999998</v>
      </c>
      <c r="F174" s="107">
        <v>2490.2019999999998</v>
      </c>
      <c r="G174" s="67">
        <v>1</v>
      </c>
      <c r="H174" s="2049" t="s">
        <v>2882</v>
      </c>
      <c r="I174" s="2052" t="s">
        <v>2883</v>
      </c>
      <c r="J174" s="2044"/>
      <c r="K174" s="2045" t="str">
        <f>'[7]Пр ГП 19-20'!$K$107</f>
        <v>ГАУМО "ЦСП"</v>
      </c>
      <c r="L174" s="2295"/>
      <c r="M174" s="2063">
        <v>823</v>
      </c>
    </row>
    <row r="175" spans="1:13" s="372" customFormat="1" hidden="1">
      <c r="A175" s="2650"/>
      <c r="B175" s="2033"/>
      <c r="C175" s="931" t="s">
        <v>9</v>
      </c>
      <c r="D175" s="659">
        <v>1988.5</v>
      </c>
      <c r="E175" s="659">
        <v>722.15800000000002</v>
      </c>
      <c r="F175" s="659">
        <v>722.16</v>
      </c>
      <c r="G175" s="67">
        <f t="shared" ref="G175" si="19">F175/D175</f>
        <v>0.3631682172491828</v>
      </c>
      <c r="H175" s="2050"/>
      <c r="I175" s="2053"/>
      <c r="J175" s="2027"/>
      <c r="K175" s="2021"/>
      <c r="L175" s="2296"/>
      <c r="M175" s="2064"/>
    </row>
    <row r="176" spans="1:13" s="372" customFormat="1" ht="15" hidden="1">
      <c r="A176" s="2650"/>
      <c r="B176" s="2033"/>
      <c r="C176" s="931" t="s">
        <v>10</v>
      </c>
      <c r="D176" s="109">
        <v>4868.3</v>
      </c>
      <c r="E176" s="109">
        <v>1768.0419999999999</v>
      </c>
      <c r="F176" s="109">
        <v>1768.0419999999999</v>
      </c>
      <c r="G176" s="67">
        <v>1</v>
      </c>
      <c r="H176" s="2050"/>
      <c r="I176" s="2053"/>
      <c r="J176" s="2027"/>
      <c r="K176" s="2021"/>
      <c r="L176" s="2296"/>
      <c r="M176" s="2064"/>
    </row>
    <row r="177" spans="1:13" s="372" customFormat="1" ht="15" hidden="1">
      <c r="A177" s="2650"/>
      <c r="B177" s="2033"/>
      <c r="C177" s="931" t="s">
        <v>11</v>
      </c>
      <c r="D177" s="655">
        <v>0</v>
      </c>
      <c r="E177" s="108">
        <v>0</v>
      </c>
      <c r="F177" s="108">
        <v>0</v>
      </c>
      <c r="G177" s="67">
        <v>0</v>
      </c>
      <c r="H177" s="2050"/>
      <c r="I177" s="2053"/>
      <c r="J177" s="2027"/>
      <c r="K177" s="2021"/>
      <c r="L177" s="2296"/>
      <c r="M177" s="2064"/>
    </row>
    <row r="178" spans="1:13" s="372" customFormat="1" ht="15" hidden="1">
      <c r="A178" s="2651"/>
      <c r="B178" s="2034"/>
      <c r="C178" s="931" t="s">
        <v>12</v>
      </c>
      <c r="D178" s="655">
        <v>0</v>
      </c>
      <c r="E178" s="108">
        <v>0</v>
      </c>
      <c r="F178" s="108">
        <v>0</v>
      </c>
      <c r="G178" s="67">
        <v>0</v>
      </c>
      <c r="H178" s="2051"/>
      <c r="I178" s="2054"/>
      <c r="J178" s="2028"/>
      <c r="K178" s="2022"/>
      <c r="L178" s="2297"/>
      <c r="M178" s="2065"/>
    </row>
    <row r="179" spans="1:13" hidden="1">
      <c r="A179" s="2710" t="s">
        <v>76</v>
      </c>
      <c r="B179" s="2615" t="s">
        <v>77</v>
      </c>
      <c r="C179" s="692" t="s">
        <v>8</v>
      </c>
      <c r="D179" s="693">
        <v>1568217.496</v>
      </c>
      <c r="E179" s="693">
        <v>197969.39247368422</v>
      </c>
      <c r="F179" s="693">
        <v>187845.70299999998</v>
      </c>
      <c r="G179" s="691">
        <f t="shared" ref="G179:G182" si="20">F179/D179</f>
        <v>0.11978294049080038</v>
      </c>
      <c r="H179" s="2713"/>
      <c r="I179" s="649" t="s">
        <v>267</v>
      </c>
      <c r="J179" s="677"/>
      <c r="K179" s="2624" t="s">
        <v>2895</v>
      </c>
      <c r="L179" s="2716"/>
      <c r="M179" s="2627" t="s">
        <v>150</v>
      </c>
    </row>
    <row r="180" spans="1:13" hidden="1">
      <c r="A180" s="2711"/>
      <c r="B180" s="2616"/>
      <c r="C180" s="692" t="s">
        <v>9</v>
      </c>
      <c r="D180" s="694">
        <v>1307935.3959999999</v>
      </c>
      <c r="E180" s="694">
        <v>91679.103000000003</v>
      </c>
      <c r="F180" s="694">
        <v>91176.192999999999</v>
      </c>
      <c r="G180" s="691">
        <f t="shared" si="20"/>
        <v>6.9710012649585026E-2</v>
      </c>
      <c r="H180" s="2714"/>
      <c r="I180" s="649" t="s">
        <v>268</v>
      </c>
      <c r="J180" s="677"/>
      <c r="K180" s="2625"/>
      <c r="L180" s="2717"/>
      <c r="M180" s="2628"/>
    </row>
    <row r="181" spans="1:13" hidden="1">
      <c r="A181" s="2711"/>
      <c r="B181" s="2616"/>
      <c r="C181" s="692" t="s">
        <v>10</v>
      </c>
      <c r="D181" s="694">
        <v>169511.3</v>
      </c>
      <c r="E181" s="695">
        <v>95029.402999999991</v>
      </c>
      <c r="F181" s="695">
        <v>95029.402999999991</v>
      </c>
      <c r="G181" s="691">
        <v>0</v>
      </c>
      <c r="H181" s="2714"/>
      <c r="I181" s="649" t="s">
        <v>269</v>
      </c>
      <c r="J181" s="677"/>
      <c r="K181" s="2625"/>
      <c r="L181" s="2717"/>
      <c r="M181" s="2628"/>
    </row>
    <row r="182" spans="1:13" hidden="1">
      <c r="A182" s="2711"/>
      <c r="B182" s="2616"/>
      <c r="C182" s="692" t="s">
        <v>11</v>
      </c>
      <c r="D182" s="694">
        <v>90770.8</v>
      </c>
      <c r="E182" s="695">
        <v>11260.88647368421</v>
      </c>
      <c r="F182" s="695">
        <v>1640.107</v>
      </c>
      <c r="G182" s="691">
        <f t="shared" si="20"/>
        <v>1.8068663050232012E-2</v>
      </c>
      <c r="H182" s="2714"/>
      <c r="I182" s="649" t="s">
        <v>270</v>
      </c>
      <c r="J182" s="677"/>
      <c r="K182" s="2625"/>
      <c r="L182" s="2717"/>
      <c r="M182" s="2628"/>
    </row>
    <row r="183" spans="1:13" hidden="1">
      <c r="A183" s="2712"/>
      <c r="B183" s="2617"/>
      <c r="C183" s="692" t="s">
        <v>12</v>
      </c>
      <c r="D183" s="695">
        <v>0</v>
      </c>
      <c r="E183" s="695">
        <v>0</v>
      </c>
      <c r="F183" s="695">
        <v>0</v>
      </c>
      <c r="G183" s="691">
        <v>0</v>
      </c>
      <c r="H183" s="2715"/>
      <c r="I183" s="649" t="s">
        <v>271</v>
      </c>
      <c r="J183" s="652" t="e">
        <f>(J180+0.5*J181)/J179</f>
        <v>#DIV/0!</v>
      </c>
      <c r="K183" s="2626"/>
      <c r="L183" s="2718"/>
      <c r="M183" s="2629"/>
    </row>
    <row r="184" spans="1:13" hidden="1">
      <c r="A184" s="2649" t="s">
        <v>178</v>
      </c>
      <c r="B184" s="2603" t="s">
        <v>2720</v>
      </c>
      <c r="C184" s="682" t="s">
        <v>8</v>
      </c>
      <c r="D184" s="679">
        <v>333355.40000000002</v>
      </c>
      <c r="E184" s="702">
        <v>670.55</v>
      </c>
      <c r="F184" s="702">
        <v>0</v>
      </c>
      <c r="G184" s="680">
        <f t="shared" ref="G184:G190" si="21">F184/D184</f>
        <v>0</v>
      </c>
      <c r="H184" s="2707" t="s">
        <v>2826</v>
      </c>
      <c r="I184" s="649" t="s">
        <v>267</v>
      </c>
      <c r="J184" s="672"/>
      <c r="K184" s="2609" t="str">
        <f>'[7]Пр ГП 19-20'!$K$167</f>
        <v>Министерство строительства МО, администрации муниципальных образований</v>
      </c>
      <c r="L184" s="2609"/>
      <c r="M184" s="2612">
        <v>823</v>
      </c>
    </row>
    <row r="185" spans="1:13" hidden="1">
      <c r="A185" s="2650"/>
      <c r="B185" s="2604"/>
      <c r="C185" s="682" t="s">
        <v>9</v>
      </c>
      <c r="D185" s="702">
        <v>323025.10000000003</v>
      </c>
      <c r="E185" s="702">
        <v>502.91</v>
      </c>
      <c r="F185" s="702">
        <v>0</v>
      </c>
      <c r="G185" s="680">
        <f t="shared" si="21"/>
        <v>0</v>
      </c>
      <c r="H185" s="2708"/>
      <c r="I185" s="649" t="s">
        <v>268</v>
      </c>
      <c r="J185" s="672"/>
      <c r="K185" s="2610"/>
      <c r="L185" s="2610"/>
      <c r="M185" s="2613"/>
    </row>
    <row r="186" spans="1:13" hidden="1">
      <c r="A186" s="2650"/>
      <c r="B186" s="2604"/>
      <c r="C186" s="682" t="s">
        <v>10</v>
      </c>
      <c r="D186" s="702">
        <v>0</v>
      </c>
      <c r="E186" s="702">
        <v>0</v>
      </c>
      <c r="F186" s="702">
        <v>0</v>
      </c>
      <c r="G186" s="680">
        <v>0</v>
      </c>
      <c r="H186" s="2708"/>
      <c r="I186" s="649" t="s">
        <v>269</v>
      </c>
      <c r="J186" s="672"/>
      <c r="K186" s="2610"/>
      <c r="L186" s="2610"/>
      <c r="M186" s="2613"/>
    </row>
    <row r="187" spans="1:13" hidden="1">
      <c r="A187" s="2650"/>
      <c r="B187" s="2604"/>
      <c r="C187" s="682" t="s">
        <v>11</v>
      </c>
      <c r="D187" s="702">
        <v>10330.300000000001</v>
      </c>
      <c r="E187" s="702">
        <v>167.64</v>
      </c>
      <c r="F187" s="702">
        <v>0</v>
      </c>
      <c r="G187" s="680">
        <f>F187/D187</f>
        <v>0</v>
      </c>
      <c r="H187" s="2708"/>
      <c r="I187" s="649" t="s">
        <v>270</v>
      </c>
      <c r="J187" s="672"/>
      <c r="K187" s="2610"/>
      <c r="L187" s="2610"/>
      <c r="M187" s="2613"/>
    </row>
    <row r="188" spans="1:13" hidden="1">
      <c r="A188" s="2651"/>
      <c r="B188" s="2605"/>
      <c r="C188" s="682" t="s">
        <v>12</v>
      </c>
      <c r="D188" s="702">
        <v>0</v>
      </c>
      <c r="E188" s="702">
        <v>0</v>
      </c>
      <c r="F188" s="702">
        <v>0</v>
      </c>
      <c r="G188" s="680">
        <v>0</v>
      </c>
      <c r="H188" s="2709"/>
      <c r="I188" s="649" t="s">
        <v>271</v>
      </c>
      <c r="J188" s="652" t="e">
        <f>(J185+0.5*J186)/J184</f>
        <v>#DIV/0!</v>
      </c>
      <c r="K188" s="2611"/>
      <c r="L188" s="2611"/>
      <c r="M188" s="2614"/>
    </row>
    <row r="189" spans="1:13" s="372" customFormat="1" ht="15" hidden="1">
      <c r="A189" s="2670" t="s">
        <v>602</v>
      </c>
      <c r="B189" s="2701" t="s">
        <v>2827</v>
      </c>
      <c r="C189" s="932" t="s">
        <v>8</v>
      </c>
      <c r="D189" s="109">
        <v>8067.8</v>
      </c>
      <c r="E189" s="109">
        <v>0</v>
      </c>
      <c r="F189" s="666">
        <v>0</v>
      </c>
      <c r="G189" s="657">
        <f t="shared" si="21"/>
        <v>0</v>
      </c>
      <c r="H189" s="2097" t="s">
        <v>2828</v>
      </c>
      <c r="I189" s="2146" t="s">
        <v>2891</v>
      </c>
      <c r="J189" s="2704"/>
      <c r="K189" s="2045" t="s">
        <v>3027</v>
      </c>
      <c r="L189" s="2148" t="s">
        <v>2892</v>
      </c>
      <c r="M189" s="2063">
        <v>823</v>
      </c>
    </row>
    <row r="190" spans="1:13" s="372" customFormat="1" ht="15" hidden="1">
      <c r="A190" s="2671"/>
      <c r="B190" s="2702"/>
      <c r="C190" s="932" t="s">
        <v>9</v>
      </c>
      <c r="D190" s="109">
        <v>7462.7</v>
      </c>
      <c r="E190" s="658">
        <v>0</v>
      </c>
      <c r="F190" s="665">
        <v>0</v>
      </c>
      <c r="G190" s="657">
        <f t="shared" si="21"/>
        <v>0</v>
      </c>
      <c r="H190" s="2018"/>
      <c r="I190" s="2147"/>
      <c r="J190" s="2705"/>
      <c r="K190" s="2021"/>
      <c r="L190" s="2149"/>
      <c r="M190" s="2064"/>
    </row>
    <row r="191" spans="1:13" s="372" customFormat="1" ht="15" hidden="1">
      <c r="A191" s="2671"/>
      <c r="B191" s="2702"/>
      <c r="C191" s="932" t="s">
        <v>10</v>
      </c>
      <c r="D191" s="109">
        <v>0</v>
      </c>
      <c r="E191" s="658">
        <v>0</v>
      </c>
      <c r="F191" s="665">
        <v>0</v>
      </c>
      <c r="G191" s="657">
        <v>0</v>
      </c>
      <c r="H191" s="2018"/>
      <c r="I191" s="2147"/>
      <c r="J191" s="2705"/>
      <c r="K191" s="2021"/>
      <c r="L191" s="2149"/>
      <c r="M191" s="2064"/>
    </row>
    <row r="192" spans="1:13" s="372" customFormat="1" ht="15" hidden="1">
      <c r="A192" s="2671"/>
      <c r="B192" s="2702"/>
      <c r="C192" s="932" t="s">
        <v>11</v>
      </c>
      <c r="D192" s="109">
        <v>605.1</v>
      </c>
      <c r="E192" s="658">
        <v>0</v>
      </c>
      <c r="F192" s="665">
        <v>0</v>
      </c>
      <c r="G192" s="657">
        <f>F192/D192</f>
        <v>0</v>
      </c>
      <c r="H192" s="2018"/>
      <c r="I192" s="2147"/>
      <c r="J192" s="2705"/>
      <c r="K192" s="2021"/>
      <c r="L192" s="2149"/>
      <c r="M192" s="2064"/>
    </row>
    <row r="193" spans="1:13" s="372" customFormat="1" ht="15" hidden="1">
      <c r="A193" s="2672"/>
      <c r="B193" s="2703"/>
      <c r="C193" s="932" t="s">
        <v>12</v>
      </c>
      <c r="D193" s="109">
        <v>0</v>
      </c>
      <c r="E193" s="658">
        <v>0</v>
      </c>
      <c r="F193" s="658">
        <v>0</v>
      </c>
      <c r="G193" s="657">
        <v>0</v>
      </c>
      <c r="H193" s="2019"/>
      <c r="I193" s="2223"/>
      <c r="J193" s="2706"/>
      <c r="K193" s="2022"/>
      <c r="L193" s="2150"/>
      <c r="M193" s="2065"/>
    </row>
    <row r="194" spans="1:13" s="104" customFormat="1" ht="15" hidden="1">
      <c r="A194" s="2670" t="s">
        <v>2967</v>
      </c>
      <c r="B194" s="2076" t="s">
        <v>106</v>
      </c>
      <c r="C194" s="933" t="s">
        <v>8</v>
      </c>
      <c r="D194" s="934">
        <v>42479.6</v>
      </c>
      <c r="E194" s="665">
        <v>0</v>
      </c>
      <c r="F194" s="658">
        <v>0</v>
      </c>
      <c r="G194" s="657">
        <v>0</v>
      </c>
      <c r="H194" s="2097"/>
      <c r="I194" s="2045"/>
      <c r="J194" s="2044"/>
      <c r="K194" s="2045" t="s">
        <v>3052</v>
      </c>
      <c r="L194" s="2045"/>
      <c r="M194" s="2063">
        <v>823</v>
      </c>
    </row>
    <row r="195" spans="1:13" s="104" customFormat="1" ht="15" hidden="1">
      <c r="A195" s="2671"/>
      <c r="B195" s="2015"/>
      <c r="C195" s="932" t="s">
        <v>9</v>
      </c>
      <c r="D195" s="935">
        <v>42479.6</v>
      </c>
      <c r="E195" s="665">
        <v>0</v>
      </c>
      <c r="F195" s="658">
        <v>0</v>
      </c>
      <c r="G195" s="657">
        <v>0</v>
      </c>
      <c r="H195" s="2018"/>
      <c r="I195" s="2021"/>
      <c r="J195" s="2027"/>
      <c r="K195" s="2021"/>
      <c r="L195" s="2021"/>
      <c r="M195" s="2064"/>
    </row>
    <row r="196" spans="1:13" s="104" customFormat="1" ht="15" hidden="1">
      <c r="A196" s="2671"/>
      <c r="B196" s="2015"/>
      <c r="C196" s="932" t="s">
        <v>10</v>
      </c>
      <c r="D196" s="935">
        <v>0</v>
      </c>
      <c r="E196" s="665">
        <v>0</v>
      </c>
      <c r="F196" s="658">
        <v>0</v>
      </c>
      <c r="G196" s="657">
        <v>0</v>
      </c>
      <c r="H196" s="2018"/>
      <c r="I196" s="2021"/>
      <c r="J196" s="2027"/>
      <c r="K196" s="2021"/>
      <c r="L196" s="2021"/>
      <c r="M196" s="2064"/>
    </row>
    <row r="197" spans="1:13" s="104" customFormat="1" ht="15" hidden="1">
      <c r="A197" s="2671"/>
      <c r="B197" s="2015"/>
      <c r="C197" s="932" t="s">
        <v>11</v>
      </c>
      <c r="D197" s="935">
        <v>0</v>
      </c>
      <c r="E197" s="665">
        <v>0</v>
      </c>
      <c r="F197" s="658">
        <v>0</v>
      </c>
      <c r="G197" s="657">
        <v>0</v>
      </c>
      <c r="H197" s="2018"/>
      <c r="I197" s="2021"/>
      <c r="J197" s="2027"/>
      <c r="K197" s="2021"/>
      <c r="L197" s="2021"/>
      <c r="M197" s="2064"/>
    </row>
    <row r="198" spans="1:13" s="104" customFormat="1" ht="15" hidden="1">
      <c r="A198" s="2672"/>
      <c r="B198" s="2016"/>
      <c r="C198" s="932" t="s">
        <v>12</v>
      </c>
      <c r="D198" s="935">
        <v>0</v>
      </c>
      <c r="E198" s="665">
        <v>0</v>
      </c>
      <c r="F198" s="658">
        <v>0</v>
      </c>
      <c r="G198" s="657">
        <v>0</v>
      </c>
      <c r="H198" s="2019"/>
      <c r="I198" s="2022"/>
      <c r="J198" s="2028"/>
      <c r="K198" s="2022"/>
      <c r="L198" s="2022"/>
      <c r="M198" s="2065"/>
    </row>
    <row r="199" spans="1:13" s="372" customFormat="1" ht="15">
      <c r="A199" s="2670" t="s">
        <v>2980</v>
      </c>
      <c r="B199" s="2696" t="s">
        <v>2953</v>
      </c>
      <c r="C199" s="786" t="s">
        <v>8</v>
      </c>
      <c r="D199" s="795">
        <f>SUM(D200:D203)</f>
        <v>80000</v>
      </c>
      <c r="E199" s="796">
        <f>SUM(E200:E203)</f>
        <v>30580.093399999998</v>
      </c>
      <c r="F199" s="796">
        <f>SUM(F200:F203)</f>
        <v>30580.093399999998</v>
      </c>
      <c r="G199" s="797">
        <f>F199/D199</f>
        <v>0.38225116749999999</v>
      </c>
      <c r="H199" s="2697" t="s">
        <v>3054</v>
      </c>
      <c r="I199" s="2680" t="s">
        <v>3388</v>
      </c>
      <c r="J199" s="2698" t="s">
        <v>3389</v>
      </c>
      <c r="K199" s="2648" t="s">
        <v>168</v>
      </c>
      <c r="L199" s="2630" t="s">
        <v>3390</v>
      </c>
      <c r="M199" s="2686">
        <v>807</v>
      </c>
    </row>
    <row r="200" spans="1:13" s="372" customFormat="1" ht="15">
      <c r="A200" s="2671"/>
      <c r="B200" s="2696"/>
      <c r="C200" s="786" t="s">
        <v>9</v>
      </c>
      <c r="D200" s="795">
        <f>'[8]475ПП'!F577</f>
        <v>76000</v>
      </c>
      <c r="E200" s="798">
        <v>29051.088729999999</v>
      </c>
      <c r="F200" s="798">
        <v>29051.088729999999</v>
      </c>
      <c r="G200" s="797">
        <f t="shared" ref="G200:G202" si="22">F200/D200</f>
        <v>0.38225116749999999</v>
      </c>
      <c r="H200" s="2697"/>
      <c r="I200" s="2680"/>
      <c r="J200" s="2699"/>
      <c r="K200" s="2648"/>
      <c r="L200" s="2631"/>
      <c r="M200" s="2686"/>
    </row>
    <row r="201" spans="1:13" s="372" customFormat="1" ht="15">
      <c r="A201" s="2671"/>
      <c r="B201" s="2696"/>
      <c r="C201" s="786" t="s">
        <v>10</v>
      </c>
      <c r="D201" s="795">
        <f>'[8]475ПП'!G577</f>
        <v>0</v>
      </c>
      <c r="E201" s="798">
        <v>0</v>
      </c>
      <c r="F201" s="798">
        <v>0</v>
      </c>
      <c r="G201" s="797">
        <v>0</v>
      </c>
      <c r="H201" s="2697"/>
      <c r="I201" s="2680"/>
      <c r="J201" s="2699"/>
      <c r="K201" s="2648"/>
      <c r="L201" s="2631"/>
      <c r="M201" s="2686"/>
    </row>
    <row r="202" spans="1:13" s="372" customFormat="1" ht="15">
      <c r="A202" s="2671"/>
      <c r="B202" s="2696"/>
      <c r="C202" s="786" t="s">
        <v>11</v>
      </c>
      <c r="D202" s="795">
        <f>'[8]475ПП'!H577</f>
        <v>4000</v>
      </c>
      <c r="E202" s="798">
        <v>1529.00467</v>
      </c>
      <c r="F202" s="798">
        <v>1529.00467</v>
      </c>
      <c r="G202" s="797">
        <f t="shared" si="22"/>
        <v>0.38225116749999999</v>
      </c>
      <c r="H202" s="2697"/>
      <c r="I202" s="2680"/>
      <c r="J202" s="2699"/>
      <c r="K202" s="2648"/>
      <c r="L202" s="2631"/>
      <c r="M202" s="2686"/>
    </row>
    <row r="203" spans="1:13" s="372" customFormat="1" ht="130.5" customHeight="1">
      <c r="A203" s="2672"/>
      <c r="B203" s="2696"/>
      <c r="C203" s="793" t="s">
        <v>12</v>
      </c>
      <c r="D203" s="795">
        <f>'[8]475ПП'!I577</f>
        <v>0</v>
      </c>
      <c r="E203" s="798">
        <v>0</v>
      </c>
      <c r="F203" s="798">
        <v>0</v>
      </c>
      <c r="G203" s="797">
        <v>0</v>
      </c>
      <c r="H203" s="2697"/>
      <c r="I203" s="2680"/>
      <c r="J203" s="2700"/>
      <c r="K203" s="2648"/>
      <c r="L203" s="2632"/>
      <c r="M203" s="2686"/>
    </row>
    <row r="204" spans="1:13" s="372" customFormat="1" ht="15" hidden="1" customHeight="1">
      <c r="A204" s="2670" t="s">
        <v>2981</v>
      </c>
      <c r="B204" s="2636" t="s">
        <v>2954</v>
      </c>
      <c r="C204" s="820" t="s">
        <v>8</v>
      </c>
      <c r="D204" s="907">
        <f>SUM(D205:D208)</f>
        <v>4400</v>
      </c>
      <c r="E204" s="905">
        <f>SUM(E205:E208)</f>
        <v>0</v>
      </c>
      <c r="F204" s="905">
        <f>SUM(F205:F208)</f>
        <v>0</v>
      </c>
      <c r="G204" s="906">
        <f t="shared" ref="G204:G207" si="23">F204/D204</f>
        <v>0</v>
      </c>
      <c r="H204" s="2687" t="s">
        <v>3381</v>
      </c>
      <c r="I204" s="2674"/>
      <c r="J204" s="2690"/>
      <c r="K204" s="2693" t="s">
        <v>3052</v>
      </c>
      <c r="L204" s="2680"/>
      <c r="M204" s="2063">
        <v>823</v>
      </c>
    </row>
    <row r="205" spans="1:13" s="372" customFormat="1" ht="15" hidden="1" customHeight="1">
      <c r="A205" s="2671"/>
      <c r="B205" s="2637"/>
      <c r="C205" s="820" t="s">
        <v>9</v>
      </c>
      <c r="D205" s="908">
        <f>'[8]475ПП'!F583</f>
        <v>4400</v>
      </c>
      <c r="E205" s="905">
        <v>0</v>
      </c>
      <c r="F205" s="905">
        <v>0</v>
      </c>
      <c r="G205" s="906">
        <f t="shared" si="23"/>
        <v>0</v>
      </c>
      <c r="H205" s="2688"/>
      <c r="I205" s="2675"/>
      <c r="J205" s="2691"/>
      <c r="K205" s="2694"/>
      <c r="L205" s="2680"/>
      <c r="M205" s="2064"/>
    </row>
    <row r="206" spans="1:13" s="372" customFormat="1" ht="15" hidden="1" customHeight="1">
      <c r="A206" s="2671"/>
      <c r="B206" s="2637"/>
      <c r="C206" s="820" t="s">
        <v>10</v>
      </c>
      <c r="D206" s="909">
        <f>'[8]475ПП'!G583</f>
        <v>0</v>
      </c>
      <c r="E206" s="912">
        <v>0</v>
      </c>
      <c r="F206" s="912">
        <v>0</v>
      </c>
      <c r="G206" s="913">
        <v>0</v>
      </c>
      <c r="H206" s="2688"/>
      <c r="I206" s="2675"/>
      <c r="J206" s="2691"/>
      <c r="K206" s="2694"/>
      <c r="L206" s="2680"/>
      <c r="M206" s="2064"/>
    </row>
    <row r="207" spans="1:13" s="372" customFormat="1" ht="15" hidden="1" customHeight="1">
      <c r="A207" s="2671"/>
      <c r="B207" s="2637"/>
      <c r="C207" s="820" t="s">
        <v>11</v>
      </c>
      <c r="D207" s="910">
        <f>'[8]475ПП'!H583</f>
        <v>0</v>
      </c>
      <c r="E207" s="912">
        <v>0</v>
      </c>
      <c r="F207" s="912">
        <v>0</v>
      </c>
      <c r="G207" s="913" t="e">
        <f t="shared" si="23"/>
        <v>#DIV/0!</v>
      </c>
      <c r="H207" s="2688"/>
      <c r="I207" s="2675"/>
      <c r="J207" s="2691"/>
      <c r="K207" s="2694"/>
      <c r="L207" s="2680"/>
      <c r="M207" s="2064"/>
    </row>
    <row r="208" spans="1:13" s="372" customFormat="1" ht="15" hidden="1" customHeight="1">
      <c r="A208" s="2672"/>
      <c r="B208" s="2638"/>
      <c r="C208" s="911" t="s">
        <v>12</v>
      </c>
      <c r="D208" s="910">
        <f>'[8]475ПП'!I583</f>
        <v>0</v>
      </c>
      <c r="E208" s="912">
        <v>0</v>
      </c>
      <c r="F208" s="912">
        <v>0</v>
      </c>
      <c r="G208" s="913">
        <v>0</v>
      </c>
      <c r="H208" s="2689"/>
      <c r="I208" s="2676"/>
      <c r="J208" s="2692"/>
      <c r="K208" s="2695"/>
      <c r="L208" s="2680"/>
      <c r="M208" s="2065"/>
    </row>
    <row r="209" spans="1:13" s="372" customFormat="1" ht="15">
      <c r="A209" s="2670" t="s">
        <v>613</v>
      </c>
      <c r="B209" s="2636" t="s">
        <v>2961</v>
      </c>
      <c r="C209" s="786" t="s">
        <v>8</v>
      </c>
      <c r="D209" s="787">
        <f>SUM(D210:D213)</f>
        <v>10000</v>
      </c>
      <c r="E209" s="788">
        <v>0</v>
      </c>
      <c r="F209" s="788">
        <v>0</v>
      </c>
      <c r="G209" s="789">
        <f t="shared" ref="G209:G210" si="24">F209/D209</f>
        <v>0</v>
      </c>
      <c r="H209" s="2639" t="s">
        <v>3043</v>
      </c>
      <c r="I209" s="2674" t="s">
        <v>3391</v>
      </c>
      <c r="J209" s="2645" t="s">
        <v>3383</v>
      </c>
      <c r="K209" s="2677" t="s">
        <v>2993</v>
      </c>
      <c r="L209" s="2680" t="s">
        <v>3392</v>
      </c>
      <c r="M209" s="2658">
        <v>807</v>
      </c>
    </row>
    <row r="210" spans="1:13" s="372" customFormat="1" ht="15">
      <c r="A210" s="2671"/>
      <c r="B210" s="2637"/>
      <c r="C210" s="786" t="s">
        <v>9</v>
      </c>
      <c r="D210" s="790">
        <f>'[8]475ПП'!F631</f>
        <v>9500</v>
      </c>
      <c r="E210" s="788">
        <v>0</v>
      </c>
      <c r="F210" s="788">
        <v>0</v>
      </c>
      <c r="G210" s="789">
        <f t="shared" si="24"/>
        <v>0</v>
      </c>
      <c r="H210" s="2640"/>
      <c r="I210" s="2675"/>
      <c r="J210" s="2646"/>
      <c r="K210" s="2678"/>
      <c r="L210" s="2680"/>
      <c r="M210" s="2659"/>
    </row>
    <row r="211" spans="1:13" s="372" customFormat="1" ht="15">
      <c r="A211" s="2671"/>
      <c r="B211" s="2637"/>
      <c r="C211" s="786" t="s">
        <v>10</v>
      </c>
      <c r="D211" s="791">
        <f>'[8]475ПП'!G631</f>
        <v>0</v>
      </c>
      <c r="E211" s="788">
        <v>0</v>
      </c>
      <c r="F211" s="788">
        <v>0</v>
      </c>
      <c r="G211" s="789">
        <v>0</v>
      </c>
      <c r="H211" s="2640"/>
      <c r="I211" s="2675"/>
      <c r="J211" s="2646"/>
      <c r="K211" s="2678"/>
      <c r="L211" s="2680"/>
      <c r="M211" s="2659"/>
    </row>
    <row r="212" spans="1:13" s="372" customFormat="1" ht="15">
      <c r="A212" s="2671"/>
      <c r="B212" s="2637"/>
      <c r="C212" s="786" t="s">
        <v>11</v>
      </c>
      <c r="D212" s="792">
        <f>'[8]475ПП'!H631</f>
        <v>500</v>
      </c>
      <c r="E212" s="788">
        <v>0</v>
      </c>
      <c r="F212" s="788">
        <v>0</v>
      </c>
      <c r="G212" s="789">
        <v>0</v>
      </c>
      <c r="H212" s="2640"/>
      <c r="I212" s="2675"/>
      <c r="J212" s="2646"/>
      <c r="K212" s="2678"/>
      <c r="L212" s="2680"/>
      <c r="M212" s="2659"/>
    </row>
    <row r="213" spans="1:13" s="372" customFormat="1" ht="15">
      <c r="A213" s="2672"/>
      <c r="B213" s="2638"/>
      <c r="C213" s="793" t="s">
        <v>12</v>
      </c>
      <c r="D213" s="792">
        <f>'[8]475ПП'!I631</f>
        <v>0</v>
      </c>
      <c r="E213" s="788">
        <v>0</v>
      </c>
      <c r="F213" s="788">
        <v>0</v>
      </c>
      <c r="G213" s="789">
        <v>0</v>
      </c>
      <c r="H213" s="2641"/>
      <c r="I213" s="2676"/>
      <c r="J213" s="2647"/>
      <c r="K213" s="2679"/>
      <c r="L213" s="2680"/>
      <c r="M213" s="2660"/>
    </row>
    <row r="214" spans="1:13" s="372" customFormat="1" ht="15" hidden="1">
      <c r="A214" s="2670" t="s">
        <v>3015</v>
      </c>
      <c r="B214" s="2683" t="s">
        <v>3014</v>
      </c>
      <c r="C214" s="786" t="s">
        <v>8</v>
      </c>
      <c r="D214" s="792"/>
      <c r="E214" s="788"/>
      <c r="F214" s="788"/>
      <c r="G214" s="789"/>
      <c r="H214" s="2673"/>
      <c r="I214" s="2681"/>
      <c r="J214" s="2682"/>
      <c r="K214" s="2648" t="s">
        <v>3012</v>
      </c>
      <c r="L214" s="2680"/>
      <c r="M214" s="2658">
        <v>807</v>
      </c>
    </row>
    <row r="215" spans="1:13" s="372" customFormat="1" ht="15" hidden="1">
      <c r="A215" s="2671"/>
      <c r="B215" s="2684"/>
      <c r="C215" s="786" t="s">
        <v>9</v>
      </c>
      <c r="D215" s="792"/>
      <c r="E215" s="788"/>
      <c r="F215" s="788"/>
      <c r="G215" s="789"/>
      <c r="H215" s="2673"/>
      <c r="I215" s="2681"/>
      <c r="J215" s="2682"/>
      <c r="K215" s="2648"/>
      <c r="L215" s="2680"/>
      <c r="M215" s="2659"/>
    </row>
    <row r="216" spans="1:13" s="372" customFormat="1" ht="15" hidden="1">
      <c r="A216" s="2671"/>
      <c r="B216" s="2684"/>
      <c r="C216" s="786" t="s">
        <v>10</v>
      </c>
      <c r="D216" s="794"/>
      <c r="E216" s="788"/>
      <c r="F216" s="788"/>
      <c r="G216" s="789"/>
      <c r="H216" s="2673"/>
      <c r="I216" s="2681"/>
      <c r="J216" s="2682"/>
      <c r="K216" s="2648"/>
      <c r="L216" s="2680"/>
      <c r="M216" s="2659"/>
    </row>
    <row r="217" spans="1:13" s="372" customFormat="1" ht="15" hidden="1">
      <c r="A217" s="2671"/>
      <c r="B217" s="2684"/>
      <c r="C217" s="786" t="s">
        <v>11</v>
      </c>
      <c r="D217" s="792"/>
      <c r="E217" s="788"/>
      <c r="F217" s="788"/>
      <c r="G217" s="789"/>
      <c r="H217" s="2673"/>
      <c r="I217" s="2681"/>
      <c r="J217" s="2682"/>
      <c r="K217" s="2648"/>
      <c r="L217" s="2680"/>
      <c r="M217" s="2659"/>
    </row>
    <row r="218" spans="1:13" s="372" customFormat="1" ht="15" hidden="1">
      <c r="A218" s="2672"/>
      <c r="B218" s="2685"/>
      <c r="C218" s="793" t="s">
        <v>12</v>
      </c>
      <c r="D218" s="792"/>
      <c r="E218" s="788"/>
      <c r="F218" s="788"/>
      <c r="G218" s="789"/>
      <c r="H218" s="2673"/>
      <c r="I218" s="2681"/>
      <c r="J218" s="2682"/>
      <c r="K218" s="2648"/>
      <c r="L218" s="2680"/>
      <c r="M218" s="2660"/>
    </row>
    <row r="219" spans="1:13" s="372" customFormat="1" ht="15">
      <c r="A219" s="2670" t="s">
        <v>2772</v>
      </c>
      <c r="B219" s="2636" t="s">
        <v>2823</v>
      </c>
      <c r="C219" s="786" t="s">
        <v>8</v>
      </c>
      <c r="D219" s="792">
        <f>SUM(D220:D223)</f>
        <v>187186.63</v>
      </c>
      <c r="E219" s="788">
        <f>SUM(E220:E223)</f>
        <v>0</v>
      </c>
      <c r="F219" s="788">
        <f>SUM(F220:F223)</f>
        <v>0</v>
      </c>
      <c r="G219" s="797">
        <f>F219/D219</f>
        <v>0</v>
      </c>
      <c r="H219" s="2673" t="s">
        <v>3007</v>
      </c>
      <c r="I219" s="2681" t="s">
        <v>3393</v>
      </c>
      <c r="J219" s="2682" t="s">
        <v>3383</v>
      </c>
      <c r="K219" s="2648" t="s">
        <v>3011</v>
      </c>
      <c r="L219" s="2680" t="s">
        <v>3394</v>
      </c>
      <c r="M219" s="2658">
        <v>807</v>
      </c>
    </row>
    <row r="220" spans="1:13" s="372" customFormat="1" ht="15">
      <c r="A220" s="2671"/>
      <c r="B220" s="2637"/>
      <c r="C220" s="786" t="s">
        <v>9</v>
      </c>
      <c r="D220" s="792">
        <f>'[8]475ПП'!F697</f>
        <v>6710</v>
      </c>
      <c r="E220" s="788">
        <v>0</v>
      </c>
      <c r="F220" s="788">
        <v>0</v>
      </c>
      <c r="G220" s="797">
        <f t="shared" ref="G220:G222" si="25">F220/D220</f>
        <v>0</v>
      </c>
      <c r="H220" s="2673"/>
      <c r="I220" s="2681"/>
      <c r="J220" s="2682"/>
      <c r="K220" s="2648"/>
      <c r="L220" s="2680"/>
      <c r="M220" s="2659"/>
    </row>
    <row r="221" spans="1:13" s="372" customFormat="1" ht="15">
      <c r="A221" s="2671"/>
      <c r="B221" s="2637"/>
      <c r="C221" s="786" t="s">
        <v>10</v>
      </c>
      <c r="D221" s="792">
        <f>'[8]475ПП'!G697</f>
        <v>180476.63</v>
      </c>
      <c r="E221" s="788">
        <v>0</v>
      </c>
      <c r="F221" s="788">
        <v>0</v>
      </c>
      <c r="G221" s="797">
        <v>0</v>
      </c>
      <c r="H221" s="2673"/>
      <c r="I221" s="2681"/>
      <c r="J221" s="2682"/>
      <c r="K221" s="2648"/>
      <c r="L221" s="2680"/>
      <c r="M221" s="2659"/>
    </row>
    <row r="222" spans="1:13" s="372" customFormat="1" ht="15">
      <c r="A222" s="2671"/>
      <c r="B222" s="2637"/>
      <c r="C222" s="786" t="s">
        <v>11</v>
      </c>
      <c r="D222" s="792">
        <f>'[8]475ПП'!H697</f>
        <v>0</v>
      </c>
      <c r="E222" s="788">
        <v>0</v>
      </c>
      <c r="F222" s="788">
        <v>0</v>
      </c>
      <c r="G222" s="797" t="e">
        <f t="shared" si="25"/>
        <v>#DIV/0!</v>
      </c>
      <c r="H222" s="2673"/>
      <c r="I222" s="2681"/>
      <c r="J222" s="2682"/>
      <c r="K222" s="2648"/>
      <c r="L222" s="2680"/>
      <c r="M222" s="2659"/>
    </row>
    <row r="223" spans="1:13" s="372" customFormat="1" ht="15">
      <c r="A223" s="2672"/>
      <c r="B223" s="2638"/>
      <c r="C223" s="793" t="s">
        <v>12</v>
      </c>
      <c r="D223" s="792">
        <f>'[8]475ПП'!I697</f>
        <v>0</v>
      </c>
      <c r="E223" s="788">
        <v>0</v>
      </c>
      <c r="F223" s="788">
        <v>0</v>
      </c>
      <c r="G223" s="797">
        <v>0</v>
      </c>
      <c r="H223" s="2673"/>
      <c r="I223" s="2681"/>
      <c r="J223" s="2682"/>
      <c r="K223" s="2648"/>
      <c r="L223" s="2680"/>
      <c r="M223" s="2660"/>
    </row>
    <row r="224" spans="1:13" s="372" customFormat="1" ht="15">
      <c r="A224" s="2670" t="s">
        <v>2775</v>
      </c>
      <c r="B224" s="2636" t="s">
        <v>3010</v>
      </c>
      <c r="C224" s="786" t="s">
        <v>8</v>
      </c>
      <c r="D224" s="792">
        <f>SUM(D225:D228)</f>
        <v>65440</v>
      </c>
      <c r="E224" s="788">
        <f>SUM(E225:E228)</f>
        <v>0</v>
      </c>
      <c r="F224" s="788">
        <f>SUM(F225:F228)</f>
        <v>0</v>
      </c>
      <c r="G224" s="789">
        <f t="shared" ref="G224:G234" si="26">F224/D224</f>
        <v>0</v>
      </c>
      <c r="H224" s="2673" t="s">
        <v>3007</v>
      </c>
      <c r="I224" s="2681" t="s">
        <v>3395</v>
      </c>
      <c r="J224" s="2682" t="s">
        <v>3383</v>
      </c>
      <c r="K224" s="2648" t="s">
        <v>3009</v>
      </c>
      <c r="L224" s="2680" t="s">
        <v>3396</v>
      </c>
      <c r="M224" s="2658">
        <v>807</v>
      </c>
    </row>
    <row r="225" spans="1:13" s="372" customFormat="1" ht="15">
      <c r="A225" s="2671"/>
      <c r="B225" s="2637"/>
      <c r="C225" s="786" t="s">
        <v>9</v>
      </c>
      <c r="D225" s="792">
        <f>'[8]475ПП'!F703</f>
        <v>0</v>
      </c>
      <c r="E225" s="788">
        <v>0</v>
      </c>
      <c r="F225" s="788">
        <v>0</v>
      </c>
      <c r="G225" s="789" t="e">
        <f t="shared" si="26"/>
        <v>#DIV/0!</v>
      </c>
      <c r="H225" s="2673"/>
      <c r="I225" s="2681"/>
      <c r="J225" s="2682"/>
      <c r="K225" s="2648"/>
      <c r="L225" s="2680"/>
      <c r="M225" s="2659"/>
    </row>
    <row r="226" spans="1:13" s="372" customFormat="1" ht="15">
      <c r="A226" s="2671"/>
      <c r="B226" s="2637"/>
      <c r="C226" s="786" t="s">
        <v>10</v>
      </c>
      <c r="D226" s="792">
        <f>'[8]475ПП'!G703</f>
        <v>65440</v>
      </c>
      <c r="E226" s="788">
        <v>0</v>
      </c>
      <c r="F226" s="788">
        <v>0</v>
      </c>
      <c r="G226" s="789">
        <f t="shared" si="26"/>
        <v>0</v>
      </c>
      <c r="H226" s="2673"/>
      <c r="I226" s="2681"/>
      <c r="J226" s="2682"/>
      <c r="K226" s="2648"/>
      <c r="L226" s="2680"/>
      <c r="M226" s="2659"/>
    </row>
    <row r="227" spans="1:13" s="372" customFormat="1" ht="15">
      <c r="A227" s="2671"/>
      <c r="B227" s="2637"/>
      <c r="C227" s="786" t="s">
        <v>11</v>
      </c>
      <c r="D227" s="792">
        <f>'[8]475ПП'!H703</f>
        <v>0</v>
      </c>
      <c r="E227" s="788">
        <v>0</v>
      </c>
      <c r="F227" s="788">
        <v>0</v>
      </c>
      <c r="G227" s="789" t="e">
        <f t="shared" si="26"/>
        <v>#DIV/0!</v>
      </c>
      <c r="H227" s="2673"/>
      <c r="I227" s="2681"/>
      <c r="J227" s="2682"/>
      <c r="K227" s="2648"/>
      <c r="L227" s="2680"/>
      <c r="M227" s="2659"/>
    </row>
    <row r="228" spans="1:13" s="372" customFormat="1" ht="15">
      <c r="A228" s="2672"/>
      <c r="B228" s="2638"/>
      <c r="C228" s="793" t="s">
        <v>12</v>
      </c>
      <c r="D228" s="792">
        <f>'[8]475ПП'!I703</f>
        <v>0</v>
      </c>
      <c r="E228" s="788">
        <v>0</v>
      </c>
      <c r="F228" s="788">
        <v>0</v>
      </c>
      <c r="G228" s="789" t="e">
        <f t="shared" si="26"/>
        <v>#DIV/0!</v>
      </c>
      <c r="H228" s="2673"/>
      <c r="I228" s="2681"/>
      <c r="J228" s="2682"/>
      <c r="K228" s="2648"/>
      <c r="L228" s="2680"/>
      <c r="M228" s="2660"/>
    </row>
    <row r="229" spans="1:13" s="372" customFormat="1" ht="15">
      <c r="A229" s="2670" t="s">
        <v>641</v>
      </c>
      <c r="B229" s="2636" t="s">
        <v>3008</v>
      </c>
      <c r="C229" s="786" t="s">
        <v>8</v>
      </c>
      <c r="D229" s="792">
        <f>SUM(D230:D233)</f>
        <v>51403.11</v>
      </c>
      <c r="E229" s="788">
        <f>SUM(E230:E233)</f>
        <v>0</v>
      </c>
      <c r="F229" s="788">
        <f>SUM(F230:F233)</f>
        <v>0</v>
      </c>
      <c r="G229" s="789">
        <f t="shared" si="26"/>
        <v>0</v>
      </c>
      <c r="H229" s="2673" t="s">
        <v>3007</v>
      </c>
      <c r="I229" s="2674" t="s">
        <v>3397</v>
      </c>
      <c r="J229" s="2645" t="s">
        <v>3383</v>
      </c>
      <c r="K229" s="2677" t="s">
        <v>3006</v>
      </c>
      <c r="L229" s="2655" t="s">
        <v>3398</v>
      </c>
      <c r="M229" s="2658">
        <v>807</v>
      </c>
    </row>
    <row r="230" spans="1:13" s="372" customFormat="1" ht="15">
      <c r="A230" s="2671"/>
      <c r="B230" s="2637"/>
      <c r="C230" s="786" t="s">
        <v>9</v>
      </c>
      <c r="D230" s="792">
        <f>'[8]475ПП'!F709</f>
        <v>0</v>
      </c>
      <c r="E230" s="788">
        <v>0</v>
      </c>
      <c r="F230" s="788">
        <v>0</v>
      </c>
      <c r="G230" s="789" t="e">
        <f t="shared" si="26"/>
        <v>#DIV/0!</v>
      </c>
      <c r="H230" s="2673"/>
      <c r="I230" s="2675"/>
      <c r="J230" s="2646"/>
      <c r="K230" s="2678"/>
      <c r="L230" s="2656"/>
      <c r="M230" s="2659"/>
    </row>
    <row r="231" spans="1:13" s="372" customFormat="1" ht="15">
      <c r="A231" s="2671"/>
      <c r="B231" s="2637"/>
      <c r="C231" s="786" t="s">
        <v>10</v>
      </c>
      <c r="D231" s="792">
        <f>'[8]475ПП'!G709</f>
        <v>51403.11</v>
      </c>
      <c r="E231" s="788">
        <v>0</v>
      </c>
      <c r="F231" s="788">
        <v>0</v>
      </c>
      <c r="G231" s="789">
        <f t="shared" si="26"/>
        <v>0</v>
      </c>
      <c r="H231" s="2673"/>
      <c r="I231" s="2675"/>
      <c r="J231" s="2646"/>
      <c r="K231" s="2678"/>
      <c r="L231" s="2656"/>
      <c r="M231" s="2659"/>
    </row>
    <row r="232" spans="1:13" s="372" customFormat="1" ht="15">
      <c r="A232" s="2671"/>
      <c r="B232" s="2637"/>
      <c r="C232" s="786" t="s">
        <v>11</v>
      </c>
      <c r="D232" s="792">
        <f>'[8]475ПП'!H709</f>
        <v>0</v>
      </c>
      <c r="E232" s="788">
        <v>0</v>
      </c>
      <c r="F232" s="788">
        <v>0</v>
      </c>
      <c r="G232" s="789" t="e">
        <f t="shared" si="26"/>
        <v>#DIV/0!</v>
      </c>
      <c r="H232" s="2673"/>
      <c r="I232" s="2675"/>
      <c r="J232" s="2646"/>
      <c r="K232" s="2678"/>
      <c r="L232" s="2656"/>
      <c r="M232" s="2659"/>
    </row>
    <row r="233" spans="1:13" s="372" customFormat="1" ht="15">
      <c r="A233" s="2672"/>
      <c r="B233" s="2638"/>
      <c r="C233" s="793" t="s">
        <v>12</v>
      </c>
      <c r="D233" s="792">
        <f>'[8]475ПП'!I709</f>
        <v>0</v>
      </c>
      <c r="E233" s="788">
        <v>0</v>
      </c>
      <c r="F233" s="788">
        <v>0</v>
      </c>
      <c r="G233" s="789" t="e">
        <f t="shared" si="26"/>
        <v>#DIV/0!</v>
      </c>
      <c r="H233" s="2673"/>
      <c r="I233" s="2676"/>
      <c r="J233" s="2647"/>
      <c r="K233" s="2679"/>
      <c r="L233" s="2657"/>
      <c r="M233" s="2660"/>
    </row>
    <row r="234" spans="1:13" s="372" customFormat="1" hidden="1">
      <c r="A234" s="2661" t="s">
        <v>2884</v>
      </c>
      <c r="B234" s="2664" t="s">
        <v>631</v>
      </c>
      <c r="C234" s="682" t="s">
        <v>8</v>
      </c>
      <c r="D234" s="683">
        <v>626979.6</v>
      </c>
      <c r="E234" s="683">
        <v>151923.77299999999</v>
      </c>
      <c r="F234" s="683">
        <v>151923.77299999999</v>
      </c>
      <c r="G234" s="680">
        <f t="shared" si="26"/>
        <v>0.24231055204985935</v>
      </c>
      <c r="H234" s="2667"/>
      <c r="I234" s="936" t="s">
        <v>267</v>
      </c>
      <c r="J234" s="672"/>
      <c r="K234" s="2609" t="s">
        <v>2804</v>
      </c>
      <c r="L234" s="2655"/>
      <c r="M234" s="2612" t="s">
        <v>150</v>
      </c>
    </row>
    <row r="235" spans="1:13" s="372" customFormat="1" hidden="1">
      <c r="A235" s="2662"/>
      <c r="B235" s="2665"/>
      <c r="C235" s="682" t="s">
        <v>9</v>
      </c>
      <c r="D235" s="699">
        <v>488280.69999999995</v>
      </c>
      <c r="E235" s="699">
        <v>55254.263000000006</v>
      </c>
      <c r="F235" s="699">
        <v>55254.263000000006</v>
      </c>
      <c r="G235" s="680">
        <f>F235/D235</f>
        <v>0.11316085808839058</v>
      </c>
      <c r="H235" s="2668"/>
      <c r="I235" s="936" t="s">
        <v>268</v>
      </c>
      <c r="J235" s="651"/>
      <c r="K235" s="2610"/>
      <c r="L235" s="2656"/>
      <c r="M235" s="2613"/>
    </row>
    <row r="236" spans="1:13" s="372" customFormat="1" hidden="1">
      <c r="A236" s="2662"/>
      <c r="B236" s="2665"/>
      <c r="C236" s="682" t="s">
        <v>10</v>
      </c>
      <c r="D236" s="699">
        <v>117511.29999999999</v>
      </c>
      <c r="E236" s="700">
        <v>95029.402999999991</v>
      </c>
      <c r="F236" s="700">
        <v>95029.402999999991</v>
      </c>
      <c r="G236" s="680">
        <f>F236/D236</f>
        <v>0.8086831053694411</v>
      </c>
      <c r="H236" s="2668"/>
      <c r="I236" s="936" t="s">
        <v>269</v>
      </c>
      <c r="J236" s="651"/>
      <c r="K236" s="2610"/>
      <c r="L236" s="2656"/>
      <c r="M236" s="2613"/>
    </row>
    <row r="237" spans="1:13" s="372" customFormat="1" hidden="1">
      <c r="A237" s="2662"/>
      <c r="B237" s="2665"/>
      <c r="C237" s="682" t="s">
        <v>11</v>
      </c>
      <c r="D237" s="699">
        <v>21187.599999999999</v>
      </c>
      <c r="E237" s="699">
        <v>1640.107</v>
      </c>
      <c r="F237" s="699">
        <v>1640.107</v>
      </c>
      <c r="G237" s="680">
        <f t="shared" ref="G237" si="27">F237/D237</f>
        <v>7.7408814589665656E-2</v>
      </c>
      <c r="H237" s="2668"/>
      <c r="I237" s="936" t="s">
        <v>270</v>
      </c>
      <c r="J237" s="651"/>
      <c r="K237" s="2610"/>
      <c r="L237" s="2656"/>
      <c r="M237" s="2613"/>
    </row>
    <row r="238" spans="1:13" s="372" customFormat="1" hidden="1">
      <c r="A238" s="2663"/>
      <c r="B238" s="2666"/>
      <c r="C238" s="701" t="s">
        <v>12</v>
      </c>
      <c r="D238" s="699">
        <v>0</v>
      </c>
      <c r="E238" s="699">
        <v>0</v>
      </c>
      <c r="F238" s="699">
        <v>0</v>
      </c>
      <c r="G238" s="680">
        <v>0</v>
      </c>
      <c r="H238" s="2669"/>
      <c r="I238" s="936" t="s">
        <v>271</v>
      </c>
      <c r="J238" s="652" t="e">
        <f>(J235+0.5*J236)/J234</f>
        <v>#DIV/0!</v>
      </c>
      <c r="K238" s="2610"/>
      <c r="L238" s="2657"/>
      <c r="M238" s="2614"/>
    </row>
    <row r="239" spans="1:13" s="372" customFormat="1" ht="15" hidden="1">
      <c r="A239" s="2649" t="s">
        <v>2885</v>
      </c>
      <c r="B239" s="2652" t="s">
        <v>215</v>
      </c>
      <c r="C239" s="931" t="s">
        <v>8</v>
      </c>
      <c r="D239" s="937">
        <v>5975.3</v>
      </c>
      <c r="E239" s="107">
        <v>0</v>
      </c>
      <c r="F239" s="107">
        <v>0</v>
      </c>
      <c r="G239" s="67">
        <v>0</v>
      </c>
      <c r="H239" s="2154" t="s">
        <v>2887</v>
      </c>
      <c r="I239" s="2655"/>
      <c r="J239" s="2044"/>
      <c r="K239" s="2045" t="s">
        <v>2799</v>
      </c>
      <c r="L239" s="2630" t="s">
        <v>2879</v>
      </c>
      <c r="M239" s="2063">
        <v>823</v>
      </c>
    </row>
    <row r="240" spans="1:13" s="372" customFormat="1" ht="15" hidden="1">
      <c r="A240" s="2650"/>
      <c r="B240" s="2653"/>
      <c r="C240" s="931" t="s">
        <v>9</v>
      </c>
      <c r="D240" s="110">
        <v>5975.3</v>
      </c>
      <c r="E240" s="655">
        <v>0</v>
      </c>
      <c r="F240" s="655">
        <v>0</v>
      </c>
      <c r="G240" s="67">
        <v>0</v>
      </c>
      <c r="H240" s="2155"/>
      <c r="I240" s="2656"/>
      <c r="J240" s="2027"/>
      <c r="K240" s="2021"/>
      <c r="L240" s="2631"/>
      <c r="M240" s="2064"/>
    </row>
    <row r="241" spans="1:13" s="372" customFormat="1" ht="15" hidden="1">
      <c r="A241" s="2650"/>
      <c r="B241" s="2653"/>
      <c r="C241" s="931" t="s">
        <v>10</v>
      </c>
      <c r="D241" s="938">
        <v>0</v>
      </c>
      <c r="E241" s="655">
        <v>0</v>
      </c>
      <c r="F241" s="655">
        <v>0</v>
      </c>
      <c r="G241" s="67">
        <v>0</v>
      </c>
      <c r="H241" s="2155"/>
      <c r="I241" s="2656"/>
      <c r="J241" s="2027"/>
      <c r="K241" s="2021"/>
      <c r="L241" s="2631"/>
      <c r="M241" s="2064"/>
    </row>
    <row r="242" spans="1:13" s="372" customFormat="1" ht="15" hidden="1">
      <c r="A242" s="2650"/>
      <c r="B242" s="2653"/>
      <c r="C242" s="931" t="s">
        <v>11</v>
      </c>
      <c r="D242" s="110">
        <v>0</v>
      </c>
      <c r="E242" s="108">
        <v>0</v>
      </c>
      <c r="F242" s="108">
        <v>0</v>
      </c>
      <c r="G242" s="67">
        <v>0</v>
      </c>
      <c r="H242" s="2155"/>
      <c r="I242" s="2656"/>
      <c r="J242" s="2027"/>
      <c r="K242" s="2021"/>
      <c r="L242" s="2631"/>
      <c r="M242" s="2064"/>
    </row>
    <row r="243" spans="1:13" s="372" customFormat="1" ht="15" hidden="1">
      <c r="A243" s="2651"/>
      <c r="B243" s="2654"/>
      <c r="C243" s="939" t="s">
        <v>12</v>
      </c>
      <c r="D243" s="940">
        <v>0</v>
      </c>
      <c r="E243" s="108">
        <v>0</v>
      </c>
      <c r="F243" s="108">
        <v>0</v>
      </c>
      <c r="G243" s="67">
        <v>0</v>
      </c>
      <c r="H243" s="2156"/>
      <c r="I243" s="2657"/>
      <c r="J243" s="2028"/>
      <c r="K243" s="2021"/>
      <c r="L243" s="2632"/>
      <c r="M243" s="2065"/>
    </row>
    <row r="244" spans="1:13" s="372" customFormat="1">
      <c r="A244" s="2633" t="s">
        <v>2888</v>
      </c>
      <c r="B244" s="2636" t="s">
        <v>2966</v>
      </c>
      <c r="C244" s="941" t="s">
        <v>8</v>
      </c>
      <c r="D244" s="792">
        <f>SUM(D245:D248)</f>
        <v>135522.9</v>
      </c>
      <c r="E244" s="788">
        <f>SUM(E245:E248)</f>
        <v>67761.45958000001</v>
      </c>
      <c r="F244" s="788">
        <f>SUM(F245:F248)</f>
        <v>67761.45958000001</v>
      </c>
      <c r="G244" s="797">
        <f>F244/D244</f>
        <v>0.50000007068916041</v>
      </c>
      <c r="H244" s="2639" t="s">
        <v>2840</v>
      </c>
      <c r="I244" s="2642" t="s">
        <v>3399</v>
      </c>
      <c r="J244" s="2645" t="s">
        <v>3389</v>
      </c>
      <c r="K244" s="2648" t="s">
        <v>2863</v>
      </c>
      <c r="L244" s="942"/>
      <c r="M244" s="2063">
        <v>807</v>
      </c>
    </row>
    <row r="245" spans="1:13" s="372" customFormat="1">
      <c r="A245" s="2634"/>
      <c r="B245" s="2637"/>
      <c r="C245" s="941" t="s">
        <v>9</v>
      </c>
      <c r="D245" s="943">
        <v>7725.3</v>
      </c>
      <c r="E245" s="944">
        <v>3862.65958</v>
      </c>
      <c r="F245" s="944">
        <v>3862.65958</v>
      </c>
      <c r="G245" s="797">
        <f t="shared" ref="G245:G247" si="28">F245/D245</f>
        <v>0.50000124008129132</v>
      </c>
      <c r="H245" s="2640"/>
      <c r="I245" s="2643"/>
      <c r="J245" s="2646"/>
      <c r="K245" s="2648"/>
      <c r="L245" s="942"/>
      <c r="M245" s="2064"/>
    </row>
    <row r="246" spans="1:13" s="372" customFormat="1">
      <c r="A246" s="2634"/>
      <c r="B246" s="2637"/>
      <c r="C246" s="941" t="s">
        <v>10</v>
      </c>
      <c r="D246" s="943">
        <v>127391</v>
      </c>
      <c r="E246" s="944">
        <v>63695.5</v>
      </c>
      <c r="F246" s="944">
        <v>63695.5</v>
      </c>
      <c r="G246" s="797">
        <v>0</v>
      </c>
      <c r="H246" s="2640"/>
      <c r="I246" s="2643"/>
      <c r="J246" s="2646"/>
      <c r="K246" s="2648"/>
      <c r="L246" s="942"/>
      <c r="M246" s="2064"/>
    </row>
    <row r="247" spans="1:13" s="372" customFormat="1" ht="31.5">
      <c r="A247" s="2634"/>
      <c r="B247" s="2637"/>
      <c r="C247" s="941" t="s">
        <v>11</v>
      </c>
      <c r="D247" s="943">
        <v>406.6</v>
      </c>
      <c r="E247" s="944">
        <v>203.3</v>
      </c>
      <c r="F247" s="944">
        <v>203.3</v>
      </c>
      <c r="G247" s="797">
        <f t="shared" si="28"/>
        <v>0.5</v>
      </c>
      <c r="H247" s="2640"/>
      <c r="I247" s="2643"/>
      <c r="J247" s="2646"/>
      <c r="K247" s="2648"/>
      <c r="L247" s="942" t="s">
        <v>3390</v>
      </c>
      <c r="M247" s="2064"/>
    </row>
    <row r="248" spans="1:13" s="372" customFormat="1">
      <c r="A248" s="2635"/>
      <c r="B248" s="2638"/>
      <c r="C248" s="945" t="s">
        <v>12</v>
      </c>
      <c r="D248" s="944">
        <v>0</v>
      </c>
      <c r="E248" s="944">
        <v>0</v>
      </c>
      <c r="F248" s="944">
        <v>0</v>
      </c>
      <c r="G248" s="797">
        <v>0</v>
      </c>
      <c r="H248" s="2641"/>
      <c r="I248" s="2644"/>
      <c r="J248" s="2647"/>
      <c r="K248" s="2648"/>
      <c r="L248" s="942"/>
      <c r="M248" s="2065"/>
    </row>
    <row r="249" spans="1:13" s="372" customFormat="1" ht="31.5" hidden="1">
      <c r="A249" s="2600" t="s">
        <v>129</v>
      </c>
      <c r="B249" s="2615" t="s">
        <v>130</v>
      </c>
      <c r="C249" s="687" t="s">
        <v>8</v>
      </c>
      <c r="D249" s="690">
        <v>50867.6</v>
      </c>
      <c r="E249" s="686">
        <v>20367.03</v>
      </c>
      <c r="F249" s="686">
        <v>20367.03</v>
      </c>
      <c r="G249" s="691">
        <f t="shared" ref="G249:G250" si="29">F249/D249</f>
        <v>0.40039298099379567</v>
      </c>
      <c r="H249" s="2618"/>
      <c r="I249" s="673" t="s">
        <v>267</v>
      </c>
      <c r="J249" s="674"/>
      <c r="K249" s="2621" t="s">
        <v>2799</v>
      </c>
      <c r="L249" s="2624"/>
      <c r="M249" s="2627">
        <v>823</v>
      </c>
    </row>
    <row r="250" spans="1:13" s="372" customFormat="1" hidden="1">
      <c r="A250" s="2601"/>
      <c r="B250" s="2616"/>
      <c r="C250" s="687" t="s">
        <v>9</v>
      </c>
      <c r="D250" s="696">
        <v>50867.6</v>
      </c>
      <c r="E250" s="697">
        <v>20367.03</v>
      </c>
      <c r="F250" s="697">
        <v>20367.03</v>
      </c>
      <c r="G250" s="691">
        <f t="shared" si="29"/>
        <v>0.40039298099379567</v>
      </c>
      <c r="H250" s="2619"/>
      <c r="I250" s="673" t="s">
        <v>268</v>
      </c>
      <c r="J250" s="675"/>
      <c r="K250" s="2622"/>
      <c r="L250" s="2625"/>
      <c r="M250" s="2628"/>
    </row>
    <row r="251" spans="1:13" s="372" customFormat="1" hidden="1">
      <c r="A251" s="2601"/>
      <c r="B251" s="2616"/>
      <c r="C251" s="687" t="s">
        <v>10</v>
      </c>
      <c r="D251" s="696">
        <v>0</v>
      </c>
      <c r="E251" s="696">
        <v>0</v>
      </c>
      <c r="F251" s="696">
        <v>0</v>
      </c>
      <c r="G251" s="691">
        <v>0</v>
      </c>
      <c r="H251" s="2619"/>
      <c r="I251" s="673" t="s">
        <v>269</v>
      </c>
      <c r="J251" s="675"/>
      <c r="K251" s="2622"/>
      <c r="L251" s="2625"/>
      <c r="M251" s="2628"/>
    </row>
    <row r="252" spans="1:13" s="372" customFormat="1" hidden="1">
      <c r="A252" s="2601"/>
      <c r="B252" s="2616"/>
      <c r="C252" s="687" t="s">
        <v>11</v>
      </c>
      <c r="D252" s="696">
        <v>0</v>
      </c>
      <c r="E252" s="696">
        <v>0</v>
      </c>
      <c r="F252" s="696">
        <v>0</v>
      </c>
      <c r="G252" s="691">
        <v>0</v>
      </c>
      <c r="H252" s="2619"/>
      <c r="I252" s="673" t="s">
        <v>270</v>
      </c>
      <c r="J252" s="675"/>
      <c r="K252" s="2622"/>
      <c r="L252" s="2625"/>
      <c r="M252" s="2628"/>
    </row>
    <row r="253" spans="1:13" s="372" customFormat="1" hidden="1">
      <c r="A253" s="2602"/>
      <c r="B253" s="2617"/>
      <c r="C253" s="687" t="s">
        <v>12</v>
      </c>
      <c r="D253" s="696">
        <v>0</v>
      </c>
      <c r="E253" s="696">
        <v>0</v>
      </c>
      <c r="F253" s="696">
        <v>0</v>
      </c>
      <c r="G253" s="691">
        <v>0</v>
      </c>
      <c r="H253" s="2620"/>
      <c r="I253" s="673" t="s">
        <v>271</v>
      </c>
      <c r="J253" s="676" t="e">
        <f>(J250+0.5*J251)/J249</f>
        <v>#DIV/0!</v>
      </c>
      <c r="K253" s="2623"/>
      <c r="L253" s="2626"/>
      <c r="M253" s="2629"/>
    </row>
    <row r="254" spans="1:13" s="372" customFormat="1" hidden="1">
      <c r="A254" s="2600" t="s">
        <v>131</v>
      </c>
      <c r="B254" s="2603" t="s">
        <v>672</v>
      </c>
      <c r="C254" s="946" t="s">
        <v>8</v>
      </c>
      <c r="D254" s="683">
        <v>50867.6</v>
      </c>
      <c r="E254" s="678">
        <v>20367.03</v>
      </c>
      <c r="F254" s="678">
        <v>20367.03</v>
      </c>
      <c r="G254" s="680">
        <f t="shared" ref="G254:G255" si="30">F254/D254</f>
        <v>0.40039298099379567</v>
      </c>
      <c r="H254" s="2606"/>
      <c r="I254" s="649" t="s">
        <v>267</v>
      </c>
      <c r="J254" s="650"/>
      <c r="K254" s="2609" t="s">
        <v>2799</v>
      </c>
      <c r="L254" s="2609"/>
      <c r="M254" s="2612">
        <v>823</v>
      </c>
    </row>
    <row r="255" spans="1:13" s="372" customFormat="1" hidden="1">
      <c r="A255" s="2601"/>
      <c r="B255" s="2604"/>
      <c r="C255" s="682" t="s">
        <v>9</v>
      </c>
      <c r="D255" s="698">
        <v>50867.6</v>
      </c>
      <c r="E255" s="678">
        <v>20367.03</v>
      </c>
      <c r="F255" s="678">
        <v>20367.03</v>
      </c>
      <c r="G255" s="680">
        <f t="shared" si="30"/>
        <v>0.40039298099379567</v>
      </c>
      <c r="H255" s="2607"/>
      <c r="I255" s="649" t="s">
        <v>268</v>
      </c>
      <c r="J255" s="651"/>
      <c r="K255" s="2610"/>
      <c r="L255" s="2610"/>
      <c r="M255" s="2613"/>
    </row>
    <row r="256" spans="1:13" s="372" customFormat="1" hidden="1">
      <c r="A256" s="2601"/>
      <c r="B256" s="2604"/>
      <c r="C256" s="682" t="s">
        <v>10</v>
      </c>
      <c r="D256" s="698">
        <v>0</v>
      </c>
      <c r="E256" s="698">
        <v>0</v>
      </c>
      <c r="F256" s="698">
        <v>0</v>
      </c>
      <c r="G256" s="680">
        <v>0</v>
      </c>
      <c r="H256" s="2607"/>
      <c r="I256" s="649" t="s">
        <v>269</v>
      </c>
      <c r="J256" s="651"/>
      <c r="K256" s="2610"/>
      <c r="L256" s="2610"/>
      <c r="M256" s="2613"/>
    </row>
    <row r="257" spans="1:13" s="372" customFormat="1" hidden="1">
      <c r="A257" s="2601"/>
      <c r="B257" s="2604"/>
      <c r="C257" s="682" t="s">
        <v>11</v>
      </c>
      <c r="D257" s="698">
        <v>0</v>
      </c>
      <c r="E257" s="698">
        <v>0</v>
      </c>
      <c r="F257" s="698">
        <v>0</v>
      </c>
      <c r="G257" s="680">
        <v>0</v>
      </c>
      <c r="H257" s="2607"/>
      <c r="I257" s="649" t="s">
        <v>270</v>
      </c>
      <c r="J257" s="651"/>
      <c r="K257" s="2610"/>
      <c r="L257" s="2610"/>
      <c r="M257" s="2613"/>
    </row>
    <row r="258" spans="1:13" s="372" customFormat="1" hidden="1">
      <c r="A258" s="2602"/>
      <c r="B258" s="2605"/>
      <c r="C258" s="682" t="s">
        <v>12</v>
      </c>
      <c r="D258" s="698">
        <v>0</v>
      </c>
      <c r="E258" s="698">
        <v>0</v>
      </c>
      <c r="F258" s="698">
        <v>0</v>
      </c>
      <c r="G258" s="680">
        <v>0</v>
      </c>
      <c r="H258" s="2608"/>
      <c r="I258" s="649" t="s">
        <v>271</v>
      </c>
      <c r="J258" s="652" t="e">
        <f>(J255+0.5*J256)/J254</f>
        <v>#DIV/0!</v>
      </c>
      <c r="K258" s="2611"/>
      <c r="L258" s="2611"/>
      <c r="M258" s="2614"/>
    </row>
    <row r="259" spans="1:13" s="372" customFormat="1" ht="15" hidden="1">
      <c r="A259" s="2597" t="s">
        <v>134</v>
      </c>
      <c r="B259" s="2104" t="s">
        <v>2843</v>
      </c>
      <c r="C259" s="931" t="s">
        <v>8</v>
      </c>
      <c r="D259" s="107">
        <v>50867.6</v>
      </c>
      <c r="E259" s="706">
        <v>20367.03</v>
      </c>
      <c r="F259" s="668">
        <v>20367.03</v>
      </c>
      <c r="G259" s="67">
        <f t="shared" ref="G259:G260" si="31">F259/D259</f>
        <v>0.40039298099379567</v>
      </c>
      <c r="H259" s="2049" t="s">
        <v>2842</v>
      </c>
      <c r="I259" s="2148" t="s">
        <v>3400</v>
      </c>
      <c r="J259" s="2044"/>
      <c r="K259" s="2045" t="s">
        <v>2803</v>
      </c>
      <c r="L259" s="2045" t="s">
        <v>2795</v>
      </c>
      <c r="M259" s="2063">
        <v>823</v>
      </c>
    </row>
    <row r="260" spans="1:13" s="372" customFormat="1" ht="15" hidden="1">
      <c r="A260" s="2598"/>
      <c r="B260" s="2105"/>
      <c r="C260" s="931" t="s">
        <v>9</v>
      </c>
      <c r="D260" s="655">
        <v>50867.6</v>
      </c>
      <c r="E260" s="706">
        <v>20367.03</v>
      </c>
      <c r="F260" s="668">
        <v>20367.03</v>
      </c>
      <c r="G260" s="67">
        <f t="shared" si="31"/>
        <v>0.40039298099379567</v>
      </c>
      <c r="H260" s="2050"/>
      <c r="I260" s="2149"/>
      <c r="J260" s="2027"/>
      <c r="K260" s="2021"/>
      <c r="L260" s="2021"/>
      <c r="M260" s="2064"/>
    </row>
    <row r="261" spans="1:13" s="372" customFormat="1" ht="15" hidden="1">
      <c r="A261" s="2598"/>
      <c r="B261" s="2105"/>
      <c r="C261" s="931" t="s">
        <v>10</v>
      </c>
      <c r="D261" s="655">
        <v>0</v>
      </c>
      <c r="E261" s="108">
        <v>0</v>
      </c>
      <c r="F261" s="108">
        <v>0</v>
      </c>
      <c r="G261" s="67">
        <v>0</v>
      </c>
      <c r="H261" s="2050"/>
      <c r="I261" s="2149"/>
      <c r="J261" s="2027"/>
      <c r="K261" s="2021"/>
      <c r="L261" s="2021"/>
      <c r="M261" s="2064"/>
    </row>
    <row r="262" spans="1:13" s="372" customFormat="1" ht="15" hidden="1">
      <c r="A262" s="2598"/>
      <c r="B262" s="2105"/>
      <c r="C262" s="931" t="s">
        <v>11</v>
      </c>
      <c r="D262" s="655">
        <v>0</v>
      </c>
      <c r="E262" s="108">
        <v>0</v>
      </c>
      <c r="F262" s="108">
        <v>0</v>
      </c>
      <c r="G262" s="67">
        <v>0</v>
      </c>
      <c r="H262" s="2050"/>
      <c r="I262" s="2149"/>
      <c r="J262" s="2027"/>
      <c r="K262" s="2021"/>
      <c r="L262" s="2021"/>
      <c r="M262" s="2064"/>
    </row>
    <row r="263" spans="1:13" s="372" customFormat="1" ht="15" hidden="1">
      <c r="A263" s="2599"/>
      <c r="B263" s="2106"/>
      <c r="C263" s="931" t="s">
        <v>12</v>
      </c>
      <c r="D263" s="655">
        <v>0</v>
      </c>
      <c r="E263" s="108">
        <v>0</v>
      </c>
      <c r="F263" s="108">
        <v>0</v>
      </c>
      <c r="G263" s="67">
        <v>0</v>
      </c>
      <c r="H263" s="2051"/>
      <c r="I263" s="2150"/>
      <c r="J263" s="2028"/>
      <c r="K263" s="2022"/>
      <c r="L263" s="2022"/>
      <c r="M263" s="2065"/>
    </row>
    <row r="264" spans="1:13" s="64" customFormat="1">
      <c r="A264" s="10"/>
      <c r="B264" s="111"/>
      <c r="C264" s="68"/>
      <c r="D264" s="669"/>
      <c r="E264" s="112"/>
      <c r="F264" s="670"/>
      <c r="G264" s="671"/>
      <c r="H264" s="603"/>
      <c r="I264" s="882"/>
      <c r="J264" s="883"/>
      <c r="K264" s="884"/>
      <c r="L264" s="884"/>
      <c r="M264" s="68"/>
    </row>
    <row r="265" spans="1:13" s="64" customFormat="1">
      <c r="A265" s="10"/>
      <c r="B265" s="111"/>
      <c r="C265" s="68"/>
      <c r="D265" s="669"/>
      <c r="E265" s="112"/>
      <c r="F265" s="670"/>
      <c r="G265" s="671"/>
      <c r="H265" s="603"/>
      <c r="I265" s="882"/>
      <c r="J265" s="883"/>
      <c r="K265" s="884"/>
      <c r="L265" s="884"/>
      <c r="M265" s="68"/>
    </row>
    <row r="266" spans="1:13" s="64" customFormat="1">
      <c r="A266" s="10"/>
      <c r="B266" s="2596" t="s">
        <v>3401</v>
      </c>
      <c r="C266" s="68"/>
      <c r="D266" s="669"/>
      <c r="E266" s="112"/>
      <c r="F266" s="670"/>
      <c r="G266" s="671"/>
      <c r="H266" s="603"/>
      <c r="I266" s="882"/>
      <c r="J266" s="883"/>
      <c r="K266" s="884"/>
      <c r="L266" s="884"/>
      <c r="M266" s="68"/>
    </row>
    <row r="267" spans="1:13" s="64" customFormat="1" ht="57.75" customHeight="1">
      <c r="A267" s="947">
        <v>1</v>
      </c>
      <c r="B267" s="2596"/>
      <c r="C267" s="68"/>
      <c r="D267" s="669"/>
      <c r="E267" s="112"/>
      <c r="F267" s="670"/>
      <c r="G267" s="671"/>
      <c r="H267" s="603"/>
      <c r="I267" s="882"/>
      <c r="J267" s="883"/>
      <c r="K267" s="884"/>
      <c r="L267" s="884"/>
      <c r="M267" s="68"/>
    </row>
    <row r="268" spans="1:13" s="64" customFormat="1">
      <c r="A268" s="10"/>
      <c r="B268" s="111"/>
      <c r="C268" s="68"/>
      <c r="D268" s="669"/>
      <c r="E268" s="112"/>
      <c r="F268" s="670"/>
      <c r="G268" s="671"/>
      <c r="H268" s="603"/>
      <c r="I268" s="882"/>
      <c r="J268" s="883"/>
      <c r="K268" s="884"/>
      <c r="L268" s="884"/>
      <c r="M268" s="68"/>
    </row>
    <row r="269" spans="1:13" s="64" customFormat="1">
      <c r="A269" s="10"/>
      <c r="B269" s="2596" t="s">
        <v>3402</v>
      </c>
      <c r="C269" s="68"/>
      <c r="D269" s="669"/>
      <c r="E269" s="112"/>
      <c r="F269" s="670"/>
      <c r="G269" s="671"/>
      <c r="H269" s="603"/>
      <c r="I269" s="882"/>
      <c r="J269" s="883"/>
      <c r="K269" s="884"/>
      <c r="L269" s="884"/>
      <c r="M269" s="68"/>
    </row>
    <row r="270" spans="1:13" s="64" customFormat="1" ht="70.5" customHeight="1">
      <c r="A270" s="947">
        <v>2</v>
      </c>
      <c r="B270" s="2596"/>
      <c r="C270" s="68"/>
      <c r="D270" s="669"/>
      <c r="E270" s="112"/>
      <c r="F270" s="670"/>
      <c r="G270" s="671"/>
      <c r="H270" s="603"/>
      <c r="I270" s="882"/>
      <c r="J270" s="883"/>
      <c r="K270" s="884"/>
      <c r="L270" s="884"/>
      <c r="M270" s="68"/>
    </row>
    <row r="271" spans="1:13" s="64" customFormat="1">
      <c r="A271" s="10"/>
      <c r="B271" s="111"/>
      <c r="C271" s="68"/>
      <c r="D271" s="669"/>
      <c r="E271" s="112"/>
      <c r="F271" s="670"/>
      <c r="G271" s="671"/>
      <c r="H271" s="603"/>
      <c r="I271" s="882"/>
      <c r="J271" s="883"/>
      <c r="K271" s="884"/>
      <c r="L271" s="884"/>
      <c r="M271" s="68"/>
    </row>
    <row r="272" spans="1:13" s="64" customFormat="1">
      <c r="A272" s="10"/>
      <c r="B272" s="111"/>
      <c r="C272" s="68"/>
      <c r="D272" s="669"/>
      <c r="E272" s="112"/>
      <c r="F272" s="670"/>
      <c r="G272" s="671"/>
      <c r="H272" s="603"/>
      <c r="I272" s="882"/>
      <c r="J272" s="883"/>
      <c r="K272" s="884"/>
      <c r="L272" s="884"/>
      <c r="M272" s="68"/>
    </row>
    <row r="273" spans="1:13" s="64" customFormat="1">
      <c r="A273" s="10"/>
      <c r="B273" s="2596" t="s">
        <v>3403</v>
      </c>
      <c r="C273" s="68"/>
      <c r="D273" s="669"/>
      <c r="E273" s="112"/>
      <c r="F273" s="670"/>
      <c r="G273" s="671"/>
      <c r="H273" s="603"/>
      <c r="I273" s="882"/>
      <c r="J273" s="883"/>
      <c r="K273" s="884"/>
      <c r="L273" s="884"/>
      <c r="M273" s="68"/>
    </row>
    <row r="274" spans="1:13" s="64" customFormat="1" ht="69.75" customHeight="1">
      <c r="A274" s="947">
        <v>3</v>
      </c>
      <c r="B274" s="2596"/>
      <c r="C274" s="68"/>
      <c r="D274" s="669"/>
      <c r="E274" s="112"/>
      <c r="F274" s="670"/>
      <c r="G274" s="671"/>
      <c r="H274" s="603"/>
      <c r="I274" s="882"/>
      <c r="J274" s="883"/>
      <c r="K274" s="884"/>
      <c r="L274" s="884"/>
      <c r="M274" s="68"/>
    </row>
    <row r="275" spans="1:13" s="64" customFormat="1">
      <c r="A275" s="10"/>
      <c r="B275" s="111"/>
      <c r="C275" s="68"/>
      <c r="D275" s="669"/>
      <c r="E275" s="112"/>
      <c r="F275" s="670"/>
      <c r="G275" s="671"/>
      <c r="H275" s="603"/>
      <c r="I275" s="882"/>
      <c r="J275" s="883"/>
      <c r="K275" s="884"/>
      <c r="L275" s="884"/>
      <c r="M275" s="68"/>
    </row>
    <row r="276" spans="1:13" s="64" customFormat="1">
      <c r="A276" s="10"/>
      <c r="B276" s="111"/>
      <c r="C276" s="68"/>
      <c r="D276" s="669"/>
      <c r="E276" s="112"/>
      <c r="F276" s="670"/>
      <c r="G276" s="671"/>
      <c r="H276" s="603"/>
      <c r="I276" s="882"/>
      <c r="J276" s="883"/>
      <c r="K276" s="884"/>
      <c r="L276" s="884"/>
      <c r="M276" s="68"/>
    </row>
    <row r="277" spans="1:13" s="64" customFormat="1">
      <c r="A277" s="10"/>
      <c r="B277" s="111"/>
      <c r="C277" s="68"/>
      <c r="D277" s="669"/>
      <c r="E277" s="112"/>
      <c r="F277" s="670"/>
      <c r="G277" s="671"/>
      <c r="H277" s="603"/>
      <c r="I277" s="882"/>
      <c r="J277" s="883"/>
      <c r="K277" s="884"/>
      <c r="L277" s="884"/>
      <c r="M277" s="68"/>
    </row>
    <row r="278" spans="1:13" s="64" customFormat="1">
      <c r="A278" s="10"/>
      <c r="B278" s="111"/>
      <c r="C278" s="68"/>
      <c r="D278" s="669"/>
      <c r="E278" s="112"/>
      <c r="F278" s="670"/>
      <c r="G278" s="671"/>
      <c r="H278" s="603"/>
      <c r="I278" s="882"/>
      <c r="J278" s="883"/>
      <c r="K278" s="884"/>
      <c r="L278" s="884"/>
      <c r="M278" s="68"/>
    </row>
    <row r="279" spans="1:13" s="64" customFormat="1">
      <c r="A279" s="10"/>
      <c r="B279" s="111"/>
      <c r="C279" s="68"/>
      <c r="D279" s="669"/>
      <c r="E279" s="112"/>
      <c r="F279" s="670"/>
      <c r="G279" s="671"/>
      <c r="H279" s="603"/>
      <c r="I279" s="882"/>
      <c r="J279" s="883"/>
      <c r="K279" s="884"/>
      <c r="L279" s="884"/>
      <c r="M279" s="68"/>
    </row>
    <row r="280" spans="1:13" s="64" customFormat="1">
      <c r="A280" s="10"/>
      <c r="B280" s="111"/>
      <c r="C280" s="68"/>
      <c r="D280" s="669"/>
      <c r="E280" s="112"/>
      <c r="F280" s="670"/>
      <c r="G280" s="671"/>
      <c r="H280" s="603"/>
      <c r="I280" s="882"/>
      <c r="J280" s="883"/>
      <c r="K280" s="884"/>
      <c r="L280" s="884"/>
      <c r="M280" s="68"/>
    </row>
    <row r="281" spans="1:13" s="64" customFormat="1">
      <c r="A281" s="10"/>
      <c r="B281" s="111"/>
      <c r="C281" s="68"/>
      <c r="D281" s="669"/>
      <c r="E281" s="112"/>
      <c r="F281" s="670"/>
      <c r="G281" s="671"/>
      <c r="H281" s="603"/>
      <c r="I281" s="882"/>
      <c r="J281" s="883"/>
      <c r="K281" s="884"/>
      <c r="L281" s="884"/>
      <c r="M281" s="68"/>
    </row>
    <row r="282" spans="1:13" s="64" customFormat="1">
      <c r="A282" s="10"/>
      <c r="B282" s="111"/>
      <c r="C282" s="68"/>
      <c r="D282" s="669"/>
      <c r="E282" s="112"/>
      <c r="F282" s="670"/>
      <c r="G282" s="671"/>
      <c r="H282" s="603"/>
      <c r="I282" s="882"/>
      <c r="J282" s="883"/>
      <c r="K282" s="884"/>
      <c r="L282" s="884"/>
      <c r="M282" s="68"/>
    </row>
    <row r="283" spans="1:13" s="64" customFormat="1">
      <c r="A283" s="10"/>
      <c r="B283" s="111"/>
      <c r="C283" s="68"/>
      <c r="D283" s="669"/>
      <c r="E283" s="112"/>
      <c r="F283" s="670"/>
      <c r="G283" s="671"/>
      <c r="H283" s="603"/>
      <c r="I283" s="882"/>
      <c r="J283" s="883"/>
      <c r="K283" s="884"/>
      <c r="L283" s="884"/>
      <c r="M283" s="68"/>
    </row>
    <row r="284" spans="1:13" s="64" customFormat="1">
      <c r="A284" s="10"/>
      <c r="B284" s="111"/>
      <c r="C284" s="68"/>
      <c r="D284" s="669"/>
      <c r="E284" s="112"/>
      <c r="F284" s="670"/>
      <c r="G284" s="671"/>
      <c r="H284" s="603"/>
      <c r="I284" s="882"/>
      <c r="J284" s="883"/>
      <c r="K284" s="884"/>
      <c r="L284" s="884"/>
      <c r="M284" s="68"/>
    </row>
    <row r="285" spans="1:13" s="64" customFormat="1">
      <c r="A285" s="10"/>
      <c r="B285" s="111"/>
      <c r="C285" s="68"/>
      <c r="D285" s="669"/>
      <c r="E285" s="112"/>
      <c r="F285" s="670"/>
      <c r="G285" s="671"/>
      <c r="H285" s="603"/>
      <c r="I285" s="882"/>
      <c r="J285" s="883"/>
      <c r="K285" s="884"/>
      <c r="L285" s="884"/>
      <c r="M285" s="68"/>
    </row>
    <row r="286" spans="1:13" s="64" customFormat="1">
      <c r="A286" s="10"/>
      <c r="B286" s="111"/>
      <c r="C286" s="68"/>
      <c r="D286" s="669"/>
      <c r="E286" s="112"/>
      <c r="F286" s="670"/>
      <c r="G286" s="671"/>
      <c r="H286" s="603"/>
      <c r="I286" s="882"/>
      <c r="J286" s="883"/>
      <c r="K286" s="884"/>
      <c r="L286" s="884"/>
      <c r="M286" s="68"/>
    </row>
    <row r="287" spans="1:13" s="64" customFormat="1">
      <c r="A287" s="10"/>
      <c r="B287" s="111"/>
      <c r="C287" s="68"/>
      <c r="D287" s="669"/>
      <c r="E287" s="112"/>
      <c r="F287" s="670"/>
      <c r="G287" s="671"/>
      <c r="H287" s="603"/>
      <c r="I287" s="882"/>
      <c r="J287" s="883"/>
      <c r="K287" s="884"/>
      <c r="L287" s="884"/>
      <c r="M287" s="68"/>
    </row>
    <row r="288" spans="1:13" s="64" customFormat="1">
      <c r="A288" s="10"/>
      <c r="B288" s="111"/>
      <c r="C288" s="68"/>
      <c r="D288" s="669"/>
      <c r="E288" s="112"/>
      <c r="F288" s="670"/>
      <c r="G288" s="671"/>
      <c r="H288" s="603"/>
      <c r="I288" s="882"/>
      <c r="J288" s="883"/>
      <c r="K288" s="884"/>
      <c r="L288" s="884"/>
      <c r="M288" s="68"/>
    </row>
    <row r="289" spans="1:13" s="64" customFormat="1">
      <c r="A289" s="10"/>
      <c r="B289" s="111"/>
      <c r="C289" s="68"/>
      <c r="D289" s="669"/>
      <c r="E289" s="112"/>
      <c r="F289" s="670"/>
      <c r="G289" s="671"/>
      <c r="H289" s="603"/>
      <c r="I289" s="882"/>
      <c r="J289" s="883"/>
      <c r="K289" s="884"/>
      <c r="L289" s="884"/>
      <c r="M289" s="68"/>
    </row>
    <row r="290" spans="1:13" s="64" customFormat="1">
      <c r="A290" s="10"/>
      <c r="B290" s="111"/>
      <c r="C290" s="68"/>
      <c r="D290" s="669"/>
      <c r="E290" s="112"/>
      <c r="F290" s="670"/>
      <c r="G290" s="671"/>
      <c r="H290" s="603"/>
      <c r="I290" s="882"/>
      <c r="J290" s="883"/>
      <c r="K290" s="884"/>
      <c r="L290" s="884"/>
      <c r="M290" s="68"/>
    </row>
    <row r="291" spans="1:13" s="64" customFormat="1">
      <c r="A291" s="10"/>
      <c r="B291" s="111"/>
      <c r="C291" s="68"/>
      <c r="D291" s="669"/>
      <c r="E291" s="112"/>
      <c r="F291" s="670"/>
      <c r="G291" s="671"/>
      <c r="H291" s="603"/>
      <c r="I291" s="882"/>
      <c r="J291" s="883"/>
      <c r="K291" s="884"/>
      <c r="L291" s="884"/>
      <c r="M291" s="68"/>
    </row>
    <row r="292" spans="1:13" s="64" customFormat="1">
      <c r="A292" s="10"/>
      <c r="B292" s="111"/>
      <c r="C292" s="68"/>
      <c r="D292" s="669"/>
      <c r="E292" s="112"/>
      <c r="F292" s="670"/>
      <c r="G292" s="671"/>
      <c r="H292" s="603"/>
      <c r="I292" s="882"/>
      <c r="J292" s="883"/>
      <c r="K292" s="884"/>
      <c r="L292" s="884"/>
      <c r="M292" s="68"/>
    </row>
    <row r="293" spans="1:13" s="64" customFormat="1">
      <c r="A293" s="10"/>
      <c r="B293" s="111"/>
      <c r="C293" s="68"/>
      <c r="D293" s="669"/>
      <c r="E293" s="112"/>
      <c r="F293" s="670"/>
      <c r="G293" s="671"/>
      <c r="H293" s="603"/>
      <c r="I293" s="882"/>
      <c r="J293" s="883"/>
      <c r="K293" s="884"/>
      <c r="L293" s="884"/>
      <c r="M293" s="68"/>
    </row>
    <row r="294" spans="1:13" s="64" customFormat="1">
      <c r="A294" s="10"/>
      <c r="B294" s="111"/>
      <c r="C294" s="68"/>
      <c r="D294" s="669"/>
      <c r="E294" s="112"/>
      <c r="F294" s="670"/>
      <c r="G294" s="671"/>
      <c r="H294" s="603"/>
      <c r="I294" s="882"/>
      <c r="J294" s="883"/>
      <c r="K294" s="884"/>
      <c r="L294" s="884"/>
      <c r="M294" s="68"/>
    </row>
    <row r="295" spans="1:13" s="64" customFormat="1">
      <c r="A295" s="10"/>
      <c r="B295" s="111"/>
      <c r="C295" s="68"/>
      <c r="D295" s="669"/>
      <c r="E295" s="112"/>
      <c r="F295" s="670"/>
      <c r="G295" s="671"/>
      <c r="H295" s="603"/>
      <c r="I295" s="882"/>
      <c r="J295" s="883"/>
      <c r="K295" s="884"/>
      <c r="L295" s="884"/>
      <c r="M295" s="68"/>
    </row>
    <row r="296" spans="1:13" s="64" customFormat="1">
      <c r="A296" s="10"/>
      <c r="B296" s="111"/>
      <c r="C296" s="68"/>
      <c r="D296" s="669"/>
      <c r="E296" s="112"/>
      <c r="F296" s="670"/>
      <c r="G296" s="671"/>
      <c r="H296" s="603"/>
      <c r="I296" s="882"/>
      <c r="J296" s="883"/>
      <c r="K296" s="884"/>
      <c r="L296" s="884"/>
      <c r="M296" s="68"/>
    </row>
    <row r="297" spans="1:13" s="64" customFormat="1">
      <c r="A297" s="10"/>
      <c r="B297" s="111"/>
      <c r="C297" s="68"/>
      <c r="D297" s="669"/>
      <c r="E297" s="112"/>
      <c r="F297" s="670"/>
      <c r="G297" s="671"/>
      <c r="H297" s="603"/>
      <c r="I297" s="882"/>
      <c r="J297" s="883"/>
      <c r="K297" s="884"/>
      <c r="L297" s="884"/>
      <c r="M297" s="68"/>
    </row>
    <row r="298" spans="1:13" s="64" customFormat="1">
      <c r="A298" s="10"/>
      <c r="B298" s="111"/>
      <c r="C298" s="68"/>
      <c r="D298" s="669"/>
      <c r="E298" s="112"/>
      <c r="F298" s="670"/>
      <c r="G298" s="671"/>
      <c r="H298" s="603"/>
      <c r="I298" s="882"/>
      <c r="J298" s="883"/>
      <c r="K298" s="884"/>
      <c r="L298" s="884"/>
      <c r="M298" s="68"/>
    </row>
    <row r="299" spans="1:13" s="64" customFormat="1">
      <c r="A299" s="10"/>
      <c r="B299" s="111"/>
      <c r="C299" s="68"/>
      <c r="D299" s="669"/>
      <c r="E299" s="112"/>
      <c r="F299" s="670"/>
      <c r="G299" s="671"/>
      <c r="H299" s="603"/>
      <c r="I299" s="882"/>
      <c r="J299" s="883"/>
      <c r="K299" s="884"/>
      <c r="L299" s="884"/>
      <c r="M299" s="68"/>
    </row>
    <row r="300" spans="1:13" s="64" customFormat="1">
      <c r="A300" s="10"/>
      <c r="B300" s="111"/>
      <c r="C300" s="68"/>
      <c r="D300" s="669"/>
      <c r="E300" s="112"/>
      <c r="F300" s="670"/>
      <c r="G300" s="671"/>
      <c r="H300" s="603"/>
      <c r="I300" s="882"/>
      <c r="J300" s="883"/>
      <c r="K300" s="884"/>
      <c r="L300" s="884"/>
      <c r="M300" s="68"/>
    </row>
    <row r="301" spans="1:13" s="64" customFormat="1">
      <c r="A301" s="10"/>
      <c r="B301" s="111"/>
      <c r="C301" s="68"/>
      <c r="D301" s="374"/>
      <c r="E301" s="112"/>
      <c r="F301" s="112"/>
      <c r="G301" s="68"/>
      <c r="H301" s="603"/>
      <c r="I301" s="882"/>
      <c r="J301" s="883"/>
      <c r="K301" s="884"/>
      <c r="L301" s="884"/>
      <c r="M301" s="68"/>
    </row>
    <row r="302" spans="1:13" s="64" customFormat="1">
      <c r="A302" s="10"/>
      <c r="B302" s="111"/>
      <c r="C302" s="68"/>
      <c r="D302" s="374"/>
      <c r="E302" s="112"/>
      <c r="F302" s="112"/>
      <c r="G302" s="68"/>
      <c r="H302" s="603"/>
      <c r="I302" s="882"/>
      <c r="J302" s="883"/>
      <c r="K302" s="884"/>
      <c r="L302" s="884"/>
      <c r="M302" s="68"/>
    </row>
    <row r="303" spans="1:13" s="64" customFormat="1">
      <c r="A303" s="10"/>
      <c r="B303" s="111"/>
      <c r="C303" s="68"/>
      <c r="D303" s="374"/>
      <c r="E303" s="112"/>
      <c r="F303" s="112"/>
      <c r="G303" s="68"/>
      <c r="H303" s="603"/>
      <c r="I303" s="882"/>
      <c r="J303" s="883"/>
      <c r="K303" s="884"/>
      <c r="L303" s="884"/>
      <c r="M303" s="68"/>
    </row>
    <row r="304" spans="1:13" s="64" customFormat="1">
      <c r="A304" s="10"/>
      <c r="B304" s="111"/>
      <c r="C304" s="68"/>
      <c r="D304" s="374"/>
      <c r="E304" s="112"/>
      <c r="F304" s="112"/>
      <c r="G304" s="68"/>
      <c r="H304" s="603"/>
      <c r="I304" s="882"/>
      <c r="J304" s="883"/>
      <c r="K304" s="884"/>
      <c r="L304" s="884"/>
      <c r="M304" s="68"/>
    </row>
    <row r="305" spans="1:13" s="64" customFormat="1">
      <c r="A305" s="10"/>
      <c r="B305" s="111"/>
      <c r="C305" s="68"/>
      <c r="D305" s="374"/>
      <c r="E305" s="112"/>
      <c r="F305" s="112"/>
      <c r="G305" s="68"/>
      <c r="H305" s="603"/>
      <c r="I305" s="882"/>
      <c r="J305" s="883"/>
      <c r="K305" s="884"/>
      <c r="L305" s="884"/>
      <c r="M305" s="68"/>
    </row>
    <row r="306" spans="1:13" s="64" customFormat="1">
      <c r="A306" s="10"/>
      <c r="B306" s="111"/>
      <c r="C306" s="68"/>
      <c r="D306" s="374"/>
      <c r="E306" s="112"/>
      <c r="F306" s="112"/>
      <c r="G306" s="68"/>
      <c r="H306" s="603"/>
      <c r="I306" s="882"/>
      <c r="J306" s="883"/>
      <c r="K306" s="884"/>
      <c r="L306" s="884"/>
      <c r="M306" s="68"/>
    </row>
    <row r="307" spans="1:13" s="64" customFormat="1">
      <c r="A307" s="10"/>
      <c r="B307" s="111"/>
      <c r="C307" s="68"/>
      <c r="D307" s="374"/>
      <c r="E307" s="112"/>
      <c r="F307" s="112"/>
      <c r="G307" s="68"/>
      <c r="H307" s="603"/>
      <c r="I307" s="882"/>
      <c r="J307" s="883"/>
      <c r="K307" s="884"/>
      <c r="L307" s="884"/>
      <c r="M307" s="68"/>
    </row>
    <row r="308" spans="1:13" s="64" customFormat="1">
      <c r="A308" s="10"/>
      <c r="B308" s="111"/>
      <c r="C308" s="68"/>
      <c r="D308" s="374"/>
      <c r="E308" s="112"/>
      <c r="F308" s="112"/>
      <c r="G308" s="68"/>
      <c r="H308" s="603"/>
      <c r="I308" s="882"/>
      <c r="J308" s="883"/>
      <c r="K308" s="884"/>
      <c r="L308" s="884"/>
      <c r="M308" s="68"/>
    </row>
    <row r="309" spans="1:13" s="64" customFormat="1">
      <c r="A309" s="10"/>
      <c r="B309" s="111"/>
      <c r="C309" s="68"/>
      <c r="D309" s="374"/>
      <c r="E309" s="112"/>
      <c r="F309" s="112"/>
      <c r="G309" s="68"/>
      <c r="H309" s="603"/>
      <c r="I309" s="882"/>
      <c r="J309" s="883"/>
      <c r="K309" s="884"/>
      <c r="L309" s="884"/>
      <c r="M309" s="68"/>
    </row>
    <row r="310" spans="1:13" s="64" customFormat="1">
      <c r="A310" s="10"/>
      <c r="B310" s="111"/>
      <c r="C310" s="68"/>
      <c r="D310" s="374"/>
      <c r="E310" s="112"/>
      <c r="F310" s="112"/>
      <c r="G310" s="68"/>
      <c r="H310" s="603"/>
      <c r="I310" s="882"/>
      <c r="J310" s="883"/>
      <c r="K310" s="884"/>
      <c r="L310" s="884"/>
      <c r="M310" s="68"/>
    </row>
    <row r="311" spans="1:13" s="64" customFormat="1">
      <c r="A311" s="10"/>
      <c r="B311" s="111"/>
      <c r="C311" s="68"/>
      <c r="D311" s="374"/>
      <c r="E311" s="112"/>
      <c r="F311" s="112"/>
      <c r="G311" s="68"/>
      <c r="H311" s="603"/>
      <c r="I311" s="882"/>
      <c r="J311" s="883"/>
      <c r="K311" s="884"/>
      <c r="L311" s="884"/>
      <c r="M311" s="68"/>
    </row>
    <row r="312" spans="1:13" s="64" customFormat="1">
      <c r="A312" s="10"/>
      <c r="B312" s="111"/>
      <c r="C312" s="68"/>
      <c r="D312" s="374"/>
      <c r="E312" s="112"/>
      <c r="F312" s="112"/>
      <c r="G312" s="68"/>
      <c r="H312" s="603"/>
      <c r="I312" s="882"/>
      <c r="J312" s="883"/>
      <c r="K312" s="884"/>
      <c r="L312" s="884"/>
      <c r="M312" s="68"/>
    </row>
    <row r="313" spans="1:13" s="64" customFormat="1">
      <c r="A313" s="10"/>
      <c r="B313" s="111"/>
      <c r="C313" s="68"/>
      <c r="D313" s="374"/>
      <c r="E313" s="112"/>
      <c r="F313" s="112"/>
      <c r="G313" s="68"/>
      <c r="H313" s="603"/>
      <c r="I313" s="882"/>
      <c r="J313" s="883"/>
      <c r="K313" s="884"/>
      <c r="L313" s="884"/>
      <c r="M313" s="68"/>
    </row>
    <row r="314" spans="1:13" s="64" customFormat="1">
      <c r="A314" s="10"/>
      <c r="B314" s="111"/>
      <c r="C314" s="68"/>
      <c r="D314" s="374"/>
      <c r="E314" s="112"/>
      <c r="F314" s="112"/>
      <c r="G314" s="68"/>
      <c r="H314" s="603"/>
      <c r="I314" s="882"/>
      <c r="J314" s="883"/>
      <c r="K314" s="884"/>
      <c r="L314" s="884"/>
      <c r="M314" s="68"/>
    </row>
    <row r="315" spans="1:13" s="64" customFormat="1">
      <c r="A315" s="10"/>
      <c r="B315" s="111"/>
      <c r="C315" s="68"/>
      <c r="D315" s="374"/>
      <c r="E315" s="112"/>
      <c r="F315" s="112"/>
      <c r="G315" s="68"/>
      <c r="H315" s="603"/>
      <c r="I315" s="882"/>
      <c r="J315" s="883"/>
      <c r="K315" s="884"/>
      <c r="L315" s="884"/>
      <c r="M315" s="68"/>
    </row>
    <row r="316" spans="1:13" s="64" customFormat="1">
      <c r="A316" s="10"/>
      <c r="B316" s="111"/>
      <c r="C316" s="68"/>
      <c r="D316" s="374"/>
      <c r="E316" s="112"/>
      <c r="F316" s="112"/>
      <c r="G316" s="68"/>
      <c r="H316" s="603"/>
      <c r="I316" s="882"/>
      <c r="J316" s="883"/>
      <c r="K316" s="884"/>
      <c r="L316" s="884"/>
      <c r="M316" s="68"/>
    </row>
    <row r="317" spans="1:13" s="64" customFormat="1">
      <c r="A317" s="10"/>
      <c r="B317" s="111"/>
      <c r="C317" s="68"/>
      <c r="D317" s="374"/>
      <c r="E317" s="112"/>
      <c r="F317" s="112"/>
      <c r="G317" s="68"/>
      <c r="H317" s="603"/>
      <c r="I317" s="882"/>
      <c r="J317" s="883"/>
      <c r="K317" s="884"/>
      <c r="L317" s="884"/>
      <c r="M317" s="68"/>
    </row>
    <row r="318" spans="1:13" s="64" customFormat="1">
      <c r="A318" s="10"/>
      <c r="B318" s="111"/>
      <c r="C318" s="68"/>
      <c r="D318" s="374"/>
      <c r="E318" s="112"/>
      <c r="F318" s="112"/>
      <c r="G318" s="68"/>
      <c r="H318" s="603"/>
      <c r="I318" s="882"/>
      <c r="J318" s="883"/>
      <c r="K318" s="884"/>
      <c r="L318" s="884"/>
      <c r="M318" s="68"/>
    </row>
    <row r="319" spans="1:13" s="64" customFormat="1">
      <c r="A319" s="10"/>
      <c r="B319" s="111"/>
      <c r="C319" s="68"/>
      <c r="D319" s="374"/>
      <c r="E319" s="112"/>
      <c r="F319" s="112"/>
      <c r="G319" s="68"/>
      <c r="H319" s="603"/>
      <c r="I319" s="882"/>
      <c r="J319" s="883"/>
      <c r="K319" s="884"/>
      <c r="L319" s="884"/>
      <c r="M319" s="68"/>
    </row>
    <row r="320" spans="1:13" s="64" customFormat="1">
      <c r="A320" s="10"/>
      <c r="B320" s="111"/>
      <c r="C320" s="68"/>
      <c r="D320" s="374"/>
      <c r="E320" s="112"/>
      <c r="F320" s="112"/>
      <c r="G320" s="68"/>
      <c r="H320" s="603"/>
      <c r="I320" s="882"/>
      <c r="J320" s="883"/>
      <c r="K320" s="884"/>
      <c r="L320" s="884"/>
      <c r="M320" s="68"/>
    </row>
    <row r="321" spans="1:13" s="64" customFormat="1">
      <c r="A321" s="10"/>
      <c r="B321" s="111"/>
      <c r="C321" s="68"/>
      <c r="D321" s="374"/>
      <c r="E321" s="112"/>
      <c r="F321" s="112"/>
      <c r="G321" s="68"/>
      <c r="H321" s="603"/>
      <c r="I321" s="882"/>
      <c r="J321" s="883"/>
      <c r="K321" s="884"/>
      <c r="L321" s="884"/>
      <c r="M321" s="68"/>
    </row>
    <row r="322" spans="1:13" s="64" customFormat="1">
      <c r="A322" s="10"/>
      <c r="B322" s="111"/>
      <c r="C322" s="68"/>
      <c r="D322" s="374"/>
      <c r="E322" s="112"/>
      <c r="F322" s="112"/>
      <c r="G322" s="68"/>
      <c r="H322" s="603"/>
      <c r="I322" s="882"/>
      <c r="J322" s="883"/>
      <c r="K322" s="884"/>
      <c r="L322" s="884"/>
      <c r="M322" s="68"/>
    </row>
    <row r="323" spans="1:13" s="64" customFormat="1">
      <c r="A323" s="10"/>
      <c r="B323" s="111"/>
      <c r="C323" s="68"/>
      <c r="D323" s="374"/>
      <c r="E323" s="112"/>
      <c r="F323" s="112"/>
      <c r="G323" s="68"/>
      <c r="H323" s="603"/>
      <c r="I323" s="882"/>
      <c r="J323" s="883"/>
      <c r="K323" s="884"/>
      <c r="L323" s="884"/>
      <c r="M323" s="68"/>
    </row>
    <row r="324" spans="1:13" s="64" customFormat="1">
      <c r="A324" s="10"/>
      <c r="B324" s="111"/>
      <c r="C324" s="68"/>
      <c r="D324" s="374"/>
      <c r="E324" s="112"/>
      <c r="F324" s="112"/>
      <c r="G324" s="68"/>
      <c r="H324" s="603"/>
      <c r="I324" s="882"/>
      <c r="J324" s="883"/>
      <c r="K324" s="884"/>
      <c r="L324" s="884"/>
      <c r="M324" s="68"/>
    </row>
    <row r="325" spans="1:13" s="64" customFormat="1">
      <c r="A325" s="10"/>
      <c r="B325" s="111"/>
      <c r="C325" s="68"/>
      <c r="D325" s="374"/>
      <c r="E325" s="112"/>
      <c r="F325" s="112"/>
      <c r="G325" s="68"/>
      <c r="H325" s="603"/>
      <c r="I325" s="882"/>
      <c r="J325" s="883"/>
      <c r="K325" s="884"/>
      <c r="L325" s="884"/>
      <c r="M325" s="68"/>
    </row>
    <row r="326" spans="1:13" s="64" customFormat="1">
      <c r="A326" s="10"/>
      <c r="B326" s="111"/>
      <c r="C326" s="68"/>
      <c r="D326" s="374"/>
      <c r="E326" s="112"/>
      <c r="F326" s="112"/>
      <c r="G326" s="68"/>
      <c r="H326" s="603"/>
      <c r="I326" s="882"/>
      <c r="J326" s="883"/>
      <c r="K326" s="884"/>
      <c r="L326" s="884"/>
      <c r="M326" s="68"/>
    </row>
    <row r="327" spans="1:13" s="64" customFormat="1">
      <c r="A327" s="10"/>
      <c r="B327" s="111"/>
      <c r="C327" s="68"/>
      <c r="D327" s="374"/>
      <c r="E327" s="112"/>
      <c r="F327" s="112"/>
      <c r="G327" s="68"/>
      <c r="H327" s="603"/>
      <c r="I327" s="882"/>
      <c r="J327" s="883"/>
      <c r="K327" s="884"/>
      <c r="L327" s="884"/>
      <c r="M327" s="68"/>
    </row>
    <row r="328" spans="1:13" s="64" customFormat="1">
      <c r="A328" s="10"/>
      <c r="B328" s="111"/>
      <c r="C328" s="68"/>
      <c r="D328" s="374"/>
      <c r="E328" s="112"/>
      <c r="F328" s="112"/>
      <c r="G328" s="68"/>
      <c r="H328" s="603"/>
      <c r="I328" s="882"/>
      <c r="J328" s="883"/>
      <c r="K328" s="884"/>
      <c r="L328" s="884"/>
      <c r="M328" s="68"/>
    </row>
    <row r="329" spans="1:13" s="64" customFormat="1">
      <c r="A329" s="10"/>
      <c r="B329" s="111"/>
      <c r="C329" s="68"/>
      <c r="D329" s="374"/>
      <c r="E329" s="112"/>
      <c r="F329" s="112"/>
      <c r="G329" s="68"/>
      <c r="H329" s="603"/>
      <c r="I329" s="882"/>
      <c r="J329" s="883"/>
      <c r="K329" s="884"/>
      <c r="L329" s="884"/>
      <c r="M329" s="68"/>
    </row>
    <row r="330" spans="1:13" s="64" customFormat="1">
      <c r="A330" s="10"/>
      <c r="B330" s="111"/>
      <c r="C330" s="68"/>
      <c r="D330" s="374"/>
      <c r="E330" s="112"/>
      <c r="F330" s="112"/>
      <c r="G330" s="68"/>
      <c r="H330" s="603"/>
      <c r="I330" s="882"/>
      <c r="J330" s="883"/>
      <c r="K330" s="884"/>
      <c r="L330" s="884"/>
      <c r="M330" s="68"/>
    </row>
    <row r="331" spans="1:13" s="64" customFormat="1">
      <c r="A331" s="10"/>
      <c r="B331" s="111"/>
      <c r="C331" s="68"/>
      <c r="D331" s="374"/>
      <c r="E331" s="112"/>
      <c r="F331" s="112"/>
      <c r="G331" s="68"/>
      <c r="H331" s="603"/>
      <c r="I331" s="882"/>
      <c r="J331" s="883"/>
      <c r="K331" s="884"/>
      <c r="L331" s="884"/>
      <c r="M331" s="68"/>
    </row>
    <row r="332" spans="1:13" s="64" customFormat="1">
      <c r="A332" s="10"/>
      <c r="B332" s="111"/>
      <c r="C332" s="68"/>
      <c r="D332" s="374"/>
      <c r="E332" s="112"/>
      <c r="F332" s="112"/>
      <c r="G332" s="68"/>
      <c r="H332" s="603"/>
      <c r="I332" s="882"/>
      <c r="J332" s="883"/>
      <c r="K332" s="884"/>
      <c r="L332" s="884"/>
      <c r="M332" s="68"/>
    </row>
    <row r="333" spans="1:13" s="64" customFormat="1">
      <c r="A333" s="10"/>
      <c r="B333" s="111"/>
      <c r="C333" s="68"/>
      <c r="D333" s="374"/>
      <c r="E333" s="112"/>
      <c r="F333" s="112"/>
      <c r="G333" s="68"/>
      <c r="H333" s="603"/>
      <c r="I333" s="882"/>
      <c r="J333" s="883"/>
      <c r="K333" s="884"/>
      <c r="L333" s="884"/>
      <c r="M333" s="68"/>
    </row>
    <row r="334" spans="1:13" s="64" customFormat="1">
      <c r="A334" s="10"/>
      <c r="B334" s="111"/>
      <c r="C334" s="68"/>
      <c r="D334" s="374"/>
      <c r="E334" s="112"/>
      <c r="F334" s="112"/>
      <c r="G334" s="68"/>
      <c r="H334" s="603"/>
      <c r="I334" s="882"/>
      <c r="J334" s="883"/>
      <c r="K334" s="884"/>
      <c r="L334" s="884"/>
      <c r="M334" s="68"/>
    </row>
    <row r="335" spans="1:13" s="64" customFormat="1">
      <c r="A335" s="10"/>
      <c r="B335" s="111"/>
      <c r="C335" s="68"/>
      <c r="D335" s="374"/>
      <c r="E335" s="112"/>
      <c r="F335" s="112"/>
      <c r="G335" s="68"/>
      <c r="H335" s="603"/>
      <c r="I335" s="882"/>
      <c r="J335" s="883"/>
      <c r="K335" s="884"/>
      <c r="L335" s="884"/>
      <c r="M335" s="68"/>
    </row>
    <row r="336" spans="1:13" s="64" customFormat="1">
      <c r="A336" s="10"/>
      <c r="B336" s="111"/>
      <c r="C336" s="68"/>
      <c r="D336" s="374"/>
      <c r="E336" s="112"/>
      <c r="F336" s="112"/>
      <c r="G336" s="68"/>
      <c r="H336" s="603"/>
      <c r="I336" s="882"/>
      <c r="J336" s="883"/>
      <c r="K336" s="884"/>
      <c r="L336" s="884"/>
      <c r="M336" s="68"/>
    </row>
    <row r="337" spans="1:13" s="64" customFormat="1">
      <c r="A337" s="10"/>
      <c r="B337" s="111"/>
      <c r="C337" s="68"/>
      <c r="D337" s="374"/>
      <c r="E337" s="112"/>
      <c r="F337" s="112"/>
      <c r="G337" s="68"/>
      <c r="H337" s="603"/>
      <c r="I337" s="882"/>
      <c r="J337" s="883"/>
      <c r="K337" s="884"/>
      <c r="L337" s="884"/>
      <c r="M337" s="68"/>
    </row>
    <row r="338" spans="1:13" s="64" customFormat="1">
      <c r="A338" s="10"/>
      <c r="B338" s="111"/>
      <c r="C338" s="68"/>
      <c r="D338" s="374"/>
      <c r="E338" s="112"/>
      <c r="F338" s="112"/>
      <c r="G338" s="68"/>
      <c r="H338" s="603"/>
      <c r="I338" s="882"/>
      <c r="J338" s="883"/>
      <c r="K338" s="884"/>
      <c r="L338" s="884"/>
      <c r="M338" s="68"/>
    </row>
    <row r="339" spans="1:13" s="64" customFormat="1">
      <c r="A339" s="10"/>
      <c r="B339" s="111"/>
      <c r="C339" s="68"/>
      <c r="D339" s="374"/>
      <c r="E339" s="112"/>
      <c r="F339" s="112"/>
      <c r="G339" s="68"/>
      <c r="H339" s="603"/>
      <c r="I339" s="882"/>
      <c r="J339" s="883"/>
      <c r="K339" s="884"/>
      <c r="L339" s="884"/>
      <c r="M339" s="68"/>
    </row>
    <row r="340" spans="1:13" s="64" customFormat="1">
      <c r="A340" s="10"/>
      <c r="B340" s="111"/>
      <c r="C340" s="68"/>
      <c r="D340" s="374"/>
      <c r="E340" s="112"/>
      <c r="F340" s="112"/>
      <c r="G340" s="68"/>
      <c r="H340" s="603"/>
      <c r="I340" s="882"/>
      <c r="J340" s="883"/>
      <c r="K340" s="884"/>
      <c r="L340" s="884"/>
      <c r="M340" s="68"/>
    </row>
    <row r="341" spans="1:13" s="64" customFormat="1">
      <c r="A341" s="10"/>
      <c r="B341" s="111"/>
      <c r="C341" s="68"/>
      <c r="D341" s="374"/>
      <c r="E341" s="112"/>
      <c r="F341" s="112"/>
      <c r="G341" s="68"/>
      <c r="H341" s="603"/>
      <c r="I341" s="882"/>
      <c r="J341" s="883"/>
      <c r="K341" s="884"/>
      <c r="L341" s="884"/>
      <c r="M341" s="68"/>
    </row>
    <row r="342" spans="1:13" s="64" customFormat="1">
      <c r="A342" s="10"/>
      <c r="B342" s="111"/>
      <c r="C342" s="68"/>
      <c r="D342" s="374"/>
      <c r="E342" s="112"/>
      <c r="F342" s="112"/>
      <c r="G342" s="68"/>
      <c r="H342" s="603"/>
      <c r="I342" s="882"/>
      <c r="J342" s="883"/>
      <c r="K342" s="884"/>
      <c r="L342" s="884"/>
      <c r="M342" s="68"/>
    </row>
    <row r="343" spans="1:13" s="64" customFormat="1">
      <c r="A343" s="10"/>
      <c r="B343" s="111"/>
      <c r="C343" s="68"/>
      <c r="D343" s="374"/>
      <c r="E343" s="112"/>
      <c r="F343" s="112"/>
      <c r="G343" s="68"/>
      <c r="H343" s="603"/>
      <c r="I343" s="882"/>
      <c r="J343" s="883"/>
      <c r="K343" s="884"/>
      <c r="L343" s="884"/>
      <c r="M343" s="68"/>
    </row>
    <row r="344" spans="1:13" s="64" customFormat="1">
      <c r="A344" s="10"/>
      <c r="B344" s="111"/>
      <c r="C344" s="68"/>
      <c r="D344" s="374"/>
      <c r="E344" s="112"/>
      <c r="F344" s="112"/>
      <c r="G344" s="68"/>
      <c r="H344" s="603"/>
      <c r="I344" s="882"/>
      <c r="J344" s="883"/>
      <c r="K344" s="884"/>
      <c r="L344" s="884"/>
      <c r="M344" s="68"/>
    </row>
    <row r="345" spans="1:13" s="64" customFormat="1">
      <c r="A345" s="10"/>
      <c r="B345" s="111"/>
      <c r="C345" s="68"/>
      <c r="D345" s="374"/>
      <c r="E345" s="112"/>
      <c r="F345" s="112"/>
      <c r="G345" s="68"/>
      <c r="H345" s="603"/>
      <c r="I345" s="882"/>
      <c r="J345" s="883"/>
      <c r="K345" s="884"/>
      <c r="L345" s="884"/>
      <c r="M345" s="68"/>
    </row>
    <row r="346" spans="1:13" s="64" customFormat="1">
      <c r="A346" s="10"/>
      <c r="B346" s="111"/>
      <c r="C346" s="68"/>
      <c r="D346" s="374"/>
      <c r="E346" s="112"/>
      <c r="F346" s="112"/>
      <c r="G346" s="68"/>
      <c r="H346" s="603"/>
      <c r="I346" s="882"/>
      <c r="J346" s="883"/>
      <c r="K346" s="884"/>
      <c r="L346" s="884"/>
      <c r="M346" s="68"/>
    </row>
    <row r="347" spans="1:13" s="64" customFormat="1">
      <c r="A347" s="10"/>
      <c r="B347" s="111"/>
      <c r="C347" s="68"/>
      <c r="D347" s="374"/>
      <c r="E347" s="112"/>
      <c r="F347" s="112"/>
      <c r="G347" s="68"/>
      <c r="H347" s="603"/>
      <c r="I347" s="882"/>
      <c r="J347" s="883"/>
      <c r="K347" s="884"/>
      <c r="L347" s="884"/>
      <c r="M347" s="68"/>
    </row>
    <row r="348" spans="1:13" s="64" customFormat="1">
      <c r="A348" s="10"/>
      <c r="B348" s="111"/>
      <c r="C348" s="68"/>
      <c r="D348" s="374"/>
      <c r="E348" s="112"/>
      <c r="F348" s="112"/>
      <c r="G348" s="68"/>
      <c r="H348" s="603"/>
      <c r="I348" s="882"/>
      <c r="J348" s="883"/>
      <c r="K348" s="884"/>
      <c r="L348" s="884"/>
      <c r="M348" s="68"/>
    </row>
    <row r="349" spans="1:13" s="64" customFormat="1">
      <c r="A349" s="10"/>
      <c r="B349" s="111"/>
      <c r="C349" s="68"/>
      <c r="D349" s="374"/>
      <c r="E349" s="112"/>
      <c r="F349" s="112"/>
      <c r="G349" s="68"/>
      <c r="H349" s="603"/>
      <c r="I349" s="882"/>
      <c r="J349" s="883"/>
      <c r="K349" s="884"/>
      <c r="L349" s="884"/>
      <c r="M349" s="68"/>
    </row>
    <row r="350" spans="1:13" s="64" customFormat="1">
      <c r="A350" s="10"/>
      <c r="B350" s="111"/>
      <c r="C350" s="68"/>
      <c r="D350" s="374"/>
      <c r="E350" s="112"/>
      <c r="F350" s="112"/>
      <c r="G350" s="68"/>
      <c r="H350" s="603"/>
      <c r="I350" s="882"/>
      <c r="J350" s="883"/>
      <c r="K350" s="884"/>
      <c r="L350" s="884"/>
      <c r="M350" s="68"/>
    </row>
    <row r="351" spans="1:13" s="64" customFormat="1">
      <c r="A351" s="10"/>
      <c r="B351" s="111"/>
      <c r="C351" s="68"/>
      <c r="D351" s="374"/>
      <c r="E351" s="112"/>
      <c r="F351" s="112"/>
      <c r="G351" s="68"/>
      <c r="H351" s="603"/>
      <c r="I351" s="882"/>
      <c r="J351" s="883"/>
      <c r="K351" s="884"/>
      <c r="L351" s="884"/>
      <c r="M351" s="68"/>
    </row>
    <row r="352" spans="1:13" s="64" customFormat="1">
      <c r="A352" s="10"/>
      <c r="B352" s="111"/>
      <c r="C352" s="68"/>
      <c r="D352" s="374"/>
      <c r="E352" s="112"/>
      <c r="F352" s="112"/>
      <c r="G352" s="68"/>
      <c r="H352" s="603"/>
      <c r="I352" s="882"/>
      <c r="J352" s="883"/>
      <c r="K352" s="884"/>
      <c r="L352" s="884"/>
      <c r="M352" s="68"/>
    </row>
    <row r="353" spans="1:13" s="64" customFormat="1">
      <c r="A353" s="10"/>
      <c r="B353" s="111"/>
      <c r="C353" s="68"/>
      <c r="D353" s="374"/>
      <c r="E353" s="112"/>
      <c r="F353" s="112"/>
      <c r="G353" s="68"/>
      <c r="H353" s="603"/>
      <c r="I353" s="882"/>
      <c r="J353" s="883"/>
      <c r="K353" s="884"/>
      <c r="L353" s="884"/>
      <c r="M353" s="68"/>
    </row>
    <row r="354" spans="1:13" s="64" customFormat="1">
      <c r="A354" s="10"/>
      <c r="B354" s="111"/>
      <c r="C354" s="68"/>
      <c r="D354" s="374"/>
      <c r="E354" s="112"/>
      <c r="F354" s="112"/>
      <c r="G354" s="68"/>
      <c r="H354" s="603"/>
      <c r="I354" s="882"/>
      <c r="J354" s="883"/>
      <c r="K354" s="884"/>
      <c r="L354" s="884"/>
      <c r="M354" s="68"/>
    </row>
    <row r="355" spans="1:13" s="64" customFormat="1">
      <c r="A355" s="10"/>
      <c r="B355" s="111"/>
      <c r="C355" s="68"/>
      <c r="D355" s="374"/>
      <c r="E355" s="112"/>
      <c r="F355" s="112"/>
      <c r="G355" s="68"/>
      <c r="H355" s="603"/>
      <c r="I355" s="882"/>
      <c r="J355" s="883"/>
      <c r="K355" s="884"/>
      <c r="L355" s="884"/>
      <c r="M355" s="68"/>
    </row>
    <row r="356" spans="1:13" s="64" customFormat="1">
      <c r="A356" s="10"/>
      <c r="B356" s="111"/>
      <c r="C356" s="68"/>
      <c r="D356" s="374"/>
      <c r="E356" s="112"/>
      <c r="F356" s="112"/>
      <c r="G356" s="68"/>
      <c r="H356" s="603"/>
      <c r="I356" s="882"/>
      <c r="J356" s="883"/>
      <c r="K356" s="884"/>
      <c r="L356" s="884"/>
      <c r="M356" s="68"/>
    </row>
    <row r="357" spans="1:13" s="64" customFormat="1">
      <c r="A357" s="10"/>
      <c r="B357" s="111"/>
      <c r="C357" s="68"/>
      <c r="D357" s="374"/>
      <c r="E357" s="112"/>
      <c r="F357" s="112"/>
      <c r="G357" s="68"/>
      <c r="H357" s="603"/>
      <c r="I357" s="882"/>
      <c r="J357" s="883"/>
      <c r="K357" s="884"/>
      <c r="L357" s="884"/>
      <c r="M357" s="68"/>
    </row>
    <row r="358" spans="1:13" s="64" customFormat="1">
      <c r="A358" s="10"/>
      <c r="B358" s="111"/>
      <c r="C358" s="68"/>
      <c r="D358" s="374"/>
      <c r="E358" s="112"/>
      <c r="F358" s="112"/>
      <c r="G358" s="68"/>
      <c r="H358" s="603"/>
      <c r="I358" s="882"/>
      <c r="J358" s="883"/>
      <c r="K358" s="884"/>
      <c r="L358" s="884"/>
      <c r="M358" s="68"/>
    </row>
    <row r="359" spans="1:13" s="64" customFormat="1">
      <c r="A359" s="10"/>
      <c r="B359" s="111"/>
      <c r="C359" s="68"/>
      <c r="D359" s="374"/>
      <c r="E359" s="112"/>
      <c r="F359" s="112"/>
      <c r="G359" s="68"/>
      <c r="H359" s="603"/>
      <c r="I359" s="882"/>
      <c r="J359" s="883"/>
      <c r="K359" s="884"/>
      <c r="L359" s="884"/>
      <c r="M359" s="68"/>
    </row>
    <row r="360" spans="1:13" s="64" customFormat="1">
      <c r="A360" s="10"/>
      <c r="B360" s="111"/>
      <c r="C360" s="68"/>
      <c r="D360" s="374"/>
      <c r="E360" s="112"/>
      <c r="F360" s="112"/>
      <c r="G360" s="68"/>
      <c r="H360" s="603"/>
      <c r="I360" s="882"/>
      <c r="J360" s="883"/>
      <c r="K360" s="884"/>
      <c r="L360" s="884"/>
      <c r="M360" s="68"/>
    </row>
    <row r="361" spans="1:13" s="64" customFormat="1">
      <c r="A361" s="10"/>
      <c r="B361" s="111"/>
      <c r="C361" s="68"/>
      <c r="D361" s="374"/>
      <c r="E361" s="112"/>
      <c r="F361" s="112"/>
      <c r="G361" s="68"/>
      <c r="H361" s="603"/>
      <c r="I361" s="882"/>
      <c r="J361" s="883"/>
      <c r="K361" s="884"/>
      <c r="L361" s="884"/>
      <c r="M361" s="68"/>
    </row>
    <row r="362" spans="1:13" s="64" customFormat="1">
      <c r="A362" s="10"/>
      <c r="B362" s="111"/>
      <c r="C362" s="68"/>
      <c r="D362" s="374"/>
      <c r="E362" s="112"/>
      <c r="F362" s="112"/>
      <c r="G362" s="68"/>
      <c r="H362" s="603"/>
      <c r="I362" s="882"/>
      <c r="J362" s="883"/>
      <c r="K362" s="884"/>
      <c r="L362" s="884"/>
      <c r="M362" s="68"/>
    </row>
    <row r="363" spans="1:13" s="64" customFormat="1">
      <c r="A363" s="10"/>
      <c r="B363" s="111"/>
      <c r="C363" s="68"/>
      <c r="D363" s="374"/>
      <c r="E363" s="112"/>
      <c r="F363" s="112"/>
      <c r="G363" s="68"/>
      <c r="H363" s="603"/>
      <c r="I363" s="882"/>
      <c r="J363" s="883"/>
      <c r="K363" s="884"/>
      <c r="L363" s="884"/>
      <c r="M363" s="68"/>
    </row>
    <row r="364" spans="1:13" s="64" customFormat="1">
      <c r="A364" s="10"/>
      <c r="B364" s="111"/>
      <c r="C364" s="68"/>
      <c r="D364" s="374"/>
      <c r="E364" s="112"/>
      <c r="F364" s="112"/>
      <c r="G364" s="68"/>
      <c r="H364" s="603"/>
      <c r="I364" s="882"/>
      <c r="J364" s="883"/>
      <c r="K364" s="884"/>
      <c r="L364" s="884"/>
      <c r="M364" s="68"/>
    </row>
    <row r="365" spans="1:13" s="64" customFormat="1">
      <c r="A365" s="10"/>
      <c r="B365" s="111"/>
      <c r="C365" s="68"/>
      <c r="D365" s="374"/>
      <c r="E365" s="112"/>
      <c r="F365" s="112"/>
      <c r="G365" s="68"/>
      <c r="H365" s="603"/>
      <c r="I365" s="882"/>
      <c r="J365" s="883"/>
      <c r="K365" s="884"/>
      <c r="L365" s="884"/>
      <c r="M365" s="68"/>
    </row>
    <row r="366" spans="1:13" s="64" customFormat="1">
      <c r="A366" s="10"/>
      <c r="B366" s="111"/>
      <c r="C366" s="68"/>
      <c r="D366" s="374"/>
      <c r="E366" s="112"/>
      <c r="F366" s="112"/>
      <c r="G366" s="68"/>
      <c r="H366" s="603"/>
      <c r="I366" s="882"/>
      <c r="J366" s="883"/>
      <c r="K366" s="884"/>
      <c r="L366" s="884"/>
      <c r="M366" s="68"/>
    </row>
    <row r="367" spans="1:13" s="64" customFormat="1">
      <c r="A367" s="10"/>
      <c r="B367" s="111"/>
      <c r="C367" s="68"/>
      <c r="D367" s="374"/>
      <c r="E367" s="112"/>
      <c r="F367" s="112"/>
      <c r="G367" s="68"/>
      <c r="H367" s="603"/>
      <c r="I367" s="882"/>
      <c r="J367" s="883"/>
      <c r="K367" s="884"/>
      <c r="L367" s="884"/>
      <c r="M367" s="68"/>
    </row>
    <row r="368" spans="1:13" s="64" customFormat="1">
      <c r="A368" s="10"/>
      <c r="B368" s="111"/>
      <c r="C368" s="68"/>
      <c r="D368" s="374"/>
      <c r="E368" s="112"/>
      <c r="F368" s="112"/>
      <c r="G368" s="68"/>
      <c r="H368" s="603"/>
      <c r="I368" s="882"/>
      <c r="J368" s="883"/>
      <c r="K368" s="884"/>
      <c r="L368" s="884"/>
      <c r="M368" s="68"/>
    </row>
    <row r="369" spans="1:13" s="64" customFormat="1">
      <c r="A369" s="10"/>
      <c r="B369" s="111"/>
      <c r="C369" s="68"/>
      <c r="D369" s="374"/>
      <c r="E369" s="112"/>
      <c r="F369" s="112"/>
      <c r="G369" s="68"/>
      <c r="H369" s="603"/>
      <c r="I369" s="882"/>
      <c r="J369" s="883"/>
      <c r="K369" s="884"/>
      <c r="L369" s="884"/>
      <c r="M369" s="68"/>
    </row>
    <row r="370" spans="1:13" s="64" customFormat="1">
      <c r="A370" s="10"/>
      <c r="B370" s="111"/>
      <c r="C370" s="68"/>
      <c r="D370" s="374"/>
      <c r="E370" s="112"/>
      <c r="F370" s="112"/>
      <c r="G370" s="68"/>
      <c r="H370" s="603"/>
      <c r="I370" s="882"/>
      <c r="J370" s="883"/>
      <c r="K370" s="884"/>
      <c r="L370" s="884"/>
      <c r="M370" s="68"/>
    </row>
    <row r="371" spans="1:13" s="64" customFormat="1">
      <c r="A371" s="10"/>
      <c r="B371" s="111"/>
      <c r="C371" s="68"/>
      <c r="D371" s="374"/>
      <c r="E371" s="112"/>
      <c r="F371" s="112"/>
      <c r="G371" s="68"/>
      <c r="H371" s="603"/>
      <c r="I371" s="882"/>
      <c r="J371" s="883"/>
      <c r="K371" s="884"/>
      <c r="L371" s="884"/>
      <c r="M371" s="68"/>
    </row>
    <row r="372" spans="1:13" s="64" customFormat="1">
      <c r="A372" s="10"/>
      <c r="B372" s="111"/>
      <c r="C372" s="68"/>
      <c r="D372" s="374"/>
      <c r="E372" s="112"/>
      <c r="F372" s="112"/>
      <c r="G372" s="68"/>
      <c r="H372" s="603"/>
      <c r="I372" s="882"/>
      <c r="J372" s="883"/>
      <c r="K372" s="884"/>
      <c r="L372" s="884"/>
      <c r="M372" s="68"/>
    </row>
    <row r="373" spans="1:13" s="64" customFormat="1">
      <c r="A373" s="10"/>
      <c r="B373" s="111"/>
      <c r="C373" s="68"/>
      <c r="D373" s="374"/>
      <c r="E373" s="112"/>
      <c r="F373" s="112"/>
      <c r="G373" s="68"/>
      <c r="H373" s="603"/>
      <c r="I373" s="882"/>
      <c r="J373" s="883"/>
      <c r="K373" s="884"/>
      <c r="L373" s="884"/>
      <c r="M373" s="68"/>
    </row>
    <row r="374" spans="1:13" s="64" customFormat="1">
      <c r="A374" s="10"/>
      <c r="B374" s="111"/>
      <c r="C374" s="68"/>
      <c r="D374" s="374"/>
      <c r="E374" s="112"/>
      <c r="F374" s="112"/>
      <c r="G374" s="68"/>
      <c r="H374" s="603"/>
      <c r="I374" s="882"/>
      <c r="J374" s="883"/>
      <c r="K374" s="884"/>
      <c r="L374" s="884"/>
      <c r="M374" s="68"/>
    </row>
    <row r="375" spans="1:13" s="64" customFormat="1">
      <c r="A375" s="10"/>
      <c r="B375" s="111"/>
      <c r="C375" s="68"/>
      <c r="D375" s="374"/>
      <c r="E375" s="112"/>
      <c r="F375" s="112"/>
      <c r="G375" s="68"/>
      <c r="H375" s="603"/>
      <c r="I375" s="882"/>
      <c r="J375" s="883"/>
      <c r="K375" s="884"/>
      <c r="L375" s="884"/>
      <c r="M375" s="68"/>
    </row>
    <row r="376" spans="1:13" s="64" customFormat="1">
      <c r="A376" s="10"/>
      <c r="B376" s="111"/>
      <c r="C376" s="68"/>
      <c r="D376" s="374"/>
      <c r="E376" s="112"/>
      <c r="F376" s="112"/>
      <c r="G376" s="68"/>
      <c r="H376" s="603"/>
      <c r="I376" s="882"/>
      <c r="J376" s="883"/>
      <c r="K376" s="884"/>
      <c r="L376" s="884"/>
      <c r="M376" s="68"/>
    </row>
    <row r="377" spans="1:13" s="64" customFormat="1">
      <c r="A377" s="10"/>
      <c r="B377" s="111"/>
      <c r="C377" s="68"/>
      <c r="D377" s="374"/>
      <c r="E377" s="112"/>
      <c r="F377" s="112"/>
      <c r="G377" s="68"/>
      <c r="H377" s="603"/>
      <c r="I377" s="882"/>
      <c r="J377" s="883"/>
      <c r="K377" s="884"/>
      <c r="L377" s="884"/>
      <c r="M377" s="68"/>
    </row>
    <row r="378" spans="1:13" s="64" customFormat="1">
      <c r="A378" s="10"/>
      <c r="B378" s="111"/>
      <c r="C378" s="68"/>
      <c r="D378" s="374"/>
      <c r="E378" s="112"/>
      <c r="F378" s="112"/>
      <c r="G378" s="68"/>
      <c r="H378" s="603"/>
      <c r="I378" s="882"/>
      <c r="J378" s="883"/>
      <c r="K378" s="884"/>
      <c r="L378" s="884"/>
      <c r="M378" s="68"/>
    </row>
    <row r="379" spans="1:13" s="64" customFormat="1">
      <c r="A379" s="10"/>
      <c r="B379" s="111"/>
      <c r="C379" s="68"/>
      <c r="D379" s="374"/>
      <c r="E379" s="112"/>
      <c r="F379" s="112"/>
      <c r="G379" s="68"/>
      <c r="H379" s="603"/>
      <c r="I379" s="882"/>
      <c r="J379" s="883"/>
      <c r="K379" s="884"/>
      <c r="L379" s="884"/>
      <c r="M379" s="68"/>
    </row>
    <row r="380" spans="1:13" s="64" customFormat="1">
      <c r="A380" s="10"/>
      <c r="B380" s="111"/>
      <c r="C380" s="68"/>
      <c r="D380" s="374"/>
      <c r="E380" s="112"/>
      <c r="F380" s="112"/>
      <c r="G380" s="68"/>
      <c r="H380" s="603"/>
      <c r="I380" s="882"/>
      <c r="J380" s="883"/>
      <c r="K380" s="884"/>
      <c r="L380" s="884"/>
      <c r="M380" s="68"/>
    </row>
    <row r="381" spans="1:13" s="64" customFormat="1">
      <c r="A381" s="10"/>
      <c r="B381" s="111"/>
      <c r="C381" s="68"/>
      <c r="D381" s="374"/>
      <c r="E381" s="112"/>
      <c r="F381" s="112"/>
      <c r="G381" s="68"/>
      <c r="H381" s="603"/>
      <c r="I381" s="882"/>
      <c r="J381" s="883"/>
      <c r="K381" s="884"/>
      <c r="L381" s="884"/>
      <c r="M381" s="68"/>
    </row>
    <row r="382" spans="1:13" s="64" customFormat="1">
      <c r="A382" s="10"/>
      <c r="B382" s="111"/>
      <c r="C382" s="68"/>
      <c r="D382" s="374"/>
      <c r="E382" s="112"/>
      <c r="F382" s="112"/>
      <c r="G382" s="68"/>
      <c r="H382" s="603"/>
      <c r="I382" s="882"/>
      <c r="J382" s="883"/>
      <c r="K382" s="884"/>
      <c r="L382" s="884"/>
      <c r="M382" s="68"/>
    </row>
    <row r="383" spans="1:13" s="64" customFormat="1">
      <c r="A383" s="10"/>
      <c r="B383" s="111"/>
      <c r="C383" s="68"/>
      <c r="D383" s="374"/>
      <c r="E383" s="112"/>
      <c r="F383" s="112"/>
      <c r="G383" s="68"/>
      <c r="H383" s="603"/>
      <c r="I383" s="882"/>
      <c r="J383" s="883"/>
      <c r="K383" s="884"/>
      <c r="L383" s="884"/>
      <c r="M383" s="68"/>
    </row>
    <row r="384" spans="1:13" s="64" customFormat="1">
      <c r="A384" s="10"/>
      <c r="B384" s="111"/>
      <c r="C384" s="68"/>
      <c r="D384" s="374"/>
      <c r="E384" s="112"/>
      <c r="F384" s="112"/>
      <c r="G384" s="68"/>
      <c r="H384" s="603"/>
      <c r="I384" s="882"/>
      <c r="J384" s="883"/>
      <c r="K384" s="884"/>
      <c r="L384" s="884"/>
      <c r="M384" s="68"/>
    </row>
    <row r="385" spans="1:13" s="64" customFormat="1">
      <c r="A385" s="10"/>
      <c r="B385" s="111"/>
      <c r="C385" s="68"/>
      <c r="D385" s="374"/>
      <c r="E385" s="112"/>
      <c r="F385" s="112"/>
      <c r="G385" s="68"/>
      <c r="H385" s="603"/>
      <c r="I385" s="882"/>
      <c r="J385" s="883"/>
      <c r="K385" s="884"/>
      <c r="L385" s="884"/>
      <c r="M385" s="68"/>
    </row>
    <row r="386" spans="1:13" s="64" customFormat="1">
      <c r="A386" s="10"/>
      <c r="B386" s="111"/>
      <c r="C386" s="68"/>
      <c r="D386" s="374"/>
      <c r="E386" s="112"/>
      <c r="F386" s="112"/>
      <c r="G386" s="68"/>
      <c r="H386" s="603"/>
      <c r="I386" s="882"/>
      <c r="J386" s="883"/>
      <c r="K386" s="884"/>
      <c r="L386" s="884"/>
      <c r="M386" s="68"/>
    </row>
    <row r="387" spans="1:13" s="64" customFormat="1">
      <c r="A387" s="10"/>
      <c r="B387" s="111"/>
      <c r="C387" s="68"/>
      <c r="D387" s="374"/>
      <c r="E387" s="112"/>
      <c r="F387" s="112"/>
      <c r="G387" s="68"/>
      <c r="H387" s="603"/>
      <c r="I387" s="882"/>
      <c r="J387" s="883"/>
      <c r="K387" s="884"/>
      <c r="L387" s="884"/>
      <c r="M387" s="68"/>
    </row>
    <row r="388" spans="1:13" s="64" customFormat="1">
      <c r="A388" s="10"/>
      <c r="B388" s="111"/>
      <c r="C388" s="68"/>
      <c r="D388" s="374"/>
      <c r="E388" s="112"/>
      <c r="F388" s="112"/>
      <c r="G388" s="68"/>
      <c r="H388" s="603"/>
      <c r="I388" s="882"/>
      <c r="J388" s="883"/>
      <c r="K388" s="884"/>
      <c r="L388" s="884"/>
      <c r="M388" s="68"/>
    </row>
    <row r="389" spans="1:13" s="64" customFormat="1">
      <c r="A389" s="10"/>
      <c r="B389" s="111"/>
      <c r="C389" s="68"/>
      <c r="D389" s="374"/>
      <c r="E389" s="112"/>
      <c r="F389" s="112"/>
      <c r="G389" s="68"/>
      <c r="H389" s="603"/>
      <c r="I389" s="882"/>
      <c r="J389" s="883"/>
      <c r="K389" s="884"/>
      <c r="L389" s="884"/>
      <c r="M389" s="68"/>
    </row>
    <row r="390" spans="1:13" s="64" customFormat="1">
      <c r="A390" s="10"/>
      <c r="B390" s="111"/>
      <c r="C390" s="68"/>
      <c r="D390" s="374"/>
      <c r="E390" s="112"/>
      <c r="F390" s="112"/>
      <c r="G390" s="68"/>
      <c r="H390" s="603"/>
      <c r="I390" s="882"/>
      <c r="J390" s="883"/>
      <c r="K390" s="884"/>
      <c r="L390" s="884"/>
      <c r="M390" s="68"/>
    </row>
    <row r="391" spans="1:13" s="64" customFormat="1">
      <c r="A391" s="10"/>
      <c r="B391" s="111"/>
      <c r="C391" s="68"/>
      <c r="D391" s="374"/>
      <c r="E391" s="112"/>
      <c r="F391" s="112"/>
      <c r="G391" s="68"/>
      <c r="H391" s="603"/>
      <c r="I391" s="882"/>
      <c r="J391" s="883"/>
      <c r="K391" s="884"/>
      <c r="L391" s="884"/>
      <c r="M391" s="68"/>
    </row>
    <row r="392" spans="1:13" s="64" customFormat="1">
      <c r="A392" s="10"/>
      <c r="B392" s="111"/>
      <c r="C392" s="68"/>
      <c r="D392" s="374"/>
      <c r="E392" s="112"/>
      <c r="F392" s="112"/>
      <c r="G392" s="68"/>
      <c r="H392" s="603"/>
      <c r="I392" s="882"/>
      <c r="J392" s="883"/>
      <c r="K392" s="884"/>
      <c r="L392" s="884"/>
      <c r="M392" s="68"/>
    </row>
    <row r="393" spans="1:13" s="64" customFormat="1">
      <c r="A393" s="10"/>
      <c r="B393" s="111"/>
      <c r="C393" s="68"/>
      <c r="D393" s="374"/>
      <c r="E393" s="112"/>
      <c r="F393" s="112"/>
      <c r="G393" s="68"/>
      <c r="H393" s="603"/>
      <c r="I393" s="882"/>
      <c r="J393" s="883"/>
      <c r="K393" s="884"/>
      <c r="L393" s="884"/>
      <c r="M393" s="68"/>
    </row>
    <row r="394" spans="1:13" s="64" customFormat="1">
      <c r="A394" s="10"/>
      <c r="B394" s="111"/>
      <c r="C394" s="68"/>
      <c r="D394" s="374"/>
      <c r="E394" s="112"/>
      <c r="F394" s="112"/>
      <c r="G394" s="68"/>
      <c r="H394" s="603"/>
      <c r="I394" s="882"/>
      <c r="J394" s="883"/>
      <c r="K394" s="884"/>
      <c r="L394" s="884"/>
      <c r="M394" s="68"/>
    </row>
    <row r="395" spans="1:13" s="64" customFormat="1">
      <c r="A395" s="10"/>
      <c r="B395" s="111"/>
      <c r="C395" s="68"/>
      <c r="D395" s="374"/>
      <c r="E395" s="112"/>
      <c r="F395" s="112"/>
      <c r="G395" s="68"/>
      <c r="H395" s="603"/>
      <c r="I395" s="882"/>
      <c r="J395" s="883"/>
      <c r="K395" s="884"/>
      <c r="L395" s="884"/>
      <c r="M395" s="68"/>
    </row>
    <row r="396" spans="1:13" s="64" customFormat="1">
      <c r="A396" s="10"/>
      <c r="B396" s="111"/>
      <c r="C396" s="68"/>
      <c r="D396" s="374"/>
      <c r="E396" s="112"/>
      <c r="F396" s="112"/>
      <c r="G396" s="68"/>
      <c r="H396" s="603"/>
      <c r="I396" s="882"/>
      <c r="J396" s="883"/>
      <c r="K396" s="884"/>
      <c r="L396" s="884"/>
      <c r="M396" s="68"/>
    </row>
    <row r="397" spans="1:13" s="64" customFormat="1">
      <c r="A397" s="10"/>
      <c r="B397" s="111"/>
      <c r="C397" s="68"/>
      <c r="D397" s="374"/>
      <c r="E397" s="112"/>
      <c r="F397" s="112"/>
      <c r="G397" s="68"/>
      <c r="H397" s="603"/>
      <c r="I397" s="882"/>
      <c r="J397" s="883"/>
      <c r="K397" s="884"/>
      <c r="L397" s="884"/>
      <c r="M397" s="68"/>
    </row>
    <row r="398" spans="1:13" s="64" customFormat="1">
      <c r="A398" s="10"/>
      <c r="B398" s="111"/>
      <c r="C398" s="68"/>
      <c r="D398" s="374"/>
      <c r="E398" s="112"/>
      <c r="F398" s="112"/>
      <c r="G398" s="68"/>
      <c r="H398" s="603"/>
      <c r="I398" s="882"/>
      <c r="J398" s="883"/>
      <c r="K398" s="884"/>
      <c r="L398" s="884"/>
      <c r="M398" s="68"/>
    </row>
    <row r="399" spans="1:13" s="64" customFormat="1">
      <c r="A399" s="10"/>
      <c r="B399" s="111"/>
      <c r="C399" s="68"/>
      <c r="D399" s="374"/>
      <c r="E399" s="112"/>
      <c r="F399" s="112"/>
      <c r="G399" s="68"/>
      <c r="H399" s="603"/>
      <c r="I399" s="882"/>
      <c r="J399" s="883"/>
      <c r="K399" s="884"/>
      <c r="L399" s="884"/>
      <c r="M399" s="68"/>
    </row>
    <row r="400" spans="1:13" s="64" customFormat="1">
      <c r="A400" s="10"/>
      <c r="B400" s="111"/>
      <c r="C400" s="68"/>
      <c r="D400" s="374"/>
      <c r="E400" s="112"/>
      <c r="F400" s="112"/>
      <c r="G400" s="68"/>
      <c r="H400" s="603"/>
      <c r="I400" s="882"/>
      <c r="J400" s="883"/>
      <c r="K400" s="884"/>
      <c r="L400" s="884"/>
      <c r="M400" s="68"/>
    </row>
    <row r="401" spans="1:13" s="64" customFormat="1">
      <c r="A401" s="10"/>
      <c r="B401" s="111"/>
      <c r="C401" s="68"/>
      <c r="D401" s="374"/>
      <c r="E401" s="112"/>
      <c r="F401" s="112"/>
      <c r="G401" s="68"/>
      <c r="H401" s="603"/>
      <c r="I401" s="882"/>
      <c r="J401" s="883"/>
      <c r="K401" s="884"/>
      <c r="L401" s="884"/>
      <c r="M401" s="68"/>
    </row>
    <row r="402" spans="1:13" s="64" customFormat="1">
      <c r="A402" s="10"/>
      <c r="B402" s="111"/>
      <c r="C402" s="68"/>
      <c r="D402" s="374"/>
      <c r="E402" s="112"/>
      <c r="F402" s="112"/>
      <c r="G402" s="68"/>
      <c r="H402" s="603"/>
      <c r="I402" s="882"/>
      <c r="J402" s="883"/>
      <c r="K402" s="884"/>
      <c r="L402" s="884"/>
      <c r="M402" s="68"/>
    </row>
    <row r="403" spans="1:13" s="64" customFormat="1">
      <c r="A403" s="10"/>
      <c r="B403" s="111"/>
      <c r="C403" s="68"/>
      <c r="D403" s="374"/>
      <c r="E403" s="112"/>
      <c r="F403" s="112"/>
      <c r="G403" s="68"/>
      <c r="H403" s="603"/>
      <c r="I403" s="882"/>
      <c r="J403" s="883"/>
      <c r="K403" s="884"/>
      <c r="L403" s="884"/>
      <c r="M403" s="68"/>
    </row>
    <row r="404" spans="1:13" s="64" customFormat="1">
      <c r="A404" s="10"/>
      <c r="B404" s="111"/>
      <c r="C404" s="68"/>
      <c r="D404" s="374"/>
      <c r="E404" s="112"/>
      <c r="F404" s="112"/>
      <c r="G404" s="68"/>
      <c r="H404" s="603"/>
      <c r="I404" s="882"/>
      <c r="J404" s="883"/>
      <c r="K404" s="884"/>
      <c r="L404" s="884"/>
      <c r="M404" s="68"/>
    </row>
    <row r="405" spans="1:13" s="64" customFormat="1">
      <c r="A405" s="10"/>
      <c r="B405" s="111"/>
      <c r="C405" s="68"/>
      <c r="D405" s="374"/>
      <c r="E405" s="112"/>
      <c r="F405" s="112"/>
      <c r="G405" s="68"/>
      <c r="H405" s="603"/>
      <c r="I405" s="882"/>
      <c r="J405" s="883"/>
      <c r="K405" s="884"/>
      <c r="L405" s="884"/>
      <c r="M405" s="68"/>
    </row>
    <row r="406" spans="1:13" s="64" customFormat="1">
      <c r="A406" s="10"/>
      <c r="B406" s="111"/>
      <c r="C406" s="68"/>
      <c r="D406" s="374"/>
      <c r="E406" s="112"/>
      <c r="F406" s="112"/>
      <c r="G406" s="68"/>
      <c r="H406" s="603"/>
      <c r="I406" s="882"/>
      <c r="J406" s="883"/>
      <c r="K406" s="884"/>
      <c r="L406" s="884"/>
      <c r="M406" s="68"/>
    </row>
    <row r="407" spans="1:13" s="64" customFormat="1">
      <c r="A407" s="10"/>
      <c r="B407" s="111"/>
      <c r="C407" s="68"/>
      <c r="D407" s="374"/>
      <c r="E407" s="112"/>
      <c r="F407" s="112"/>
      <c r="G407" s="68"/>
      <c r="H407" s="603"/>
      <c r="I407" s="882"/>
      <c r="J407" s="883"/>
      <c r="K407" s="884"/>
      <c r="L407" s="884"/>
      <c r="M407" s="68"/>
    </row>
    <row r="408" spans="1:13" s="64" customFormat="1">
      <c r="A408" s="10"/>
      <c r="B408" s="111"/>
      <c r="C408" s="68"/>
      <c r="D408" s="374"/>
      <c r="E408" s="112"/>
      <c r="F408" s="112"/>
      <c r="G408" s="68"/>
      <c r="H408" s="603"/>
      <c r="I408" s="882"/>
      <c r="J408" s="883"/>
      <c r="K408" s="884"/>
      <c r="L408" s="884"/>
      <c r="M408" s="68"/>
    </row>
    <row r="409" spans="1:13" s="64" customFormat="1">
      <c r="A409" s="10"/>
      <c r="B409" s="111"/>
      <c r="C409" s="68"/>
      <c r="D409" s="374"/>
      <c r="E409" s="112"/>
      <c r="F409" s="112"/>
      <c r="G409" s="68"/>
      <c r="H409" s="603"/>
      <c r="I409" s="882"/>
      <c r="J409" s="883"/>
      <c r="K409" s="884"/>
      <c r="L409" s="884"/>
      <c r="M409" s="68"/>
    </row>
    <row r="410" spans="1:13" s="64" customFormat="1">
      <c r="A410" s="10"/>
      <c r="B410" s="111"/>
      <c r="C410" s="68"/>
      <c r="D410" s="374"/>
      <c r="E410" s="112"/>
      <c r="F410" s="112"/>
      <c r="G410" s="68"/>
      <c r="H410" s="603"/>
      <c r="I410" s="882"/>
      <c r="J410" s="883"/>
      <c r="K410" s="884"/>
      <c r="L410" s="884"/>
      <c r="M410" s="68"/>
    </row>
    <row r="411" spans="1:13" s="64" customFormat="1">
      <c r="A411" s="10"/>
      <c r="B411" s="111"/>
      <c r="C411" s="68"/>
      <c r="D411" s="374"/>
      <c r="E411" s="112"/>
      <c r="F411" s="112"/>
      <c r="G411" s="68"/>
      <c r="H411" s="603"/>
      <c r="I411" s="882"/>
      <c r="J411" s="883"/>
      <c r="K411" s="884"/>
      <c r="L411" s="884"/>
      <c r="M411" s="68"/>
    </row>
    <row r="412" spans="1:13" s="64" customFormat="1">
      <c r="A412" s="10"/>
      <c r="B412" s="111"/>
      <c r="C412" s="68"/>
      <c r="D412" s="374"/>
      <c r="E412" s="112"/>
      <c r="F412" s="112"/>
      <c r="G412" s="68"/>
      <c r="H412" s="603"/>
      <c r="I412" s="882"/>
      <c r="J412" s="883"/>
      <c r="K412" s="884"/>
      <c r="L412" s="884"/>
      <c r="M412" s="68"/>
    </row>
    <row r="413" spans="1:13" s="64" customFormat="1">
      <c r="A413" s="10"/>
      <c r="B413" s="111"/>
      <c r="C413" s="68"/>
      <c r="D413" s="374"/>
      <c r="E413" s="112"/>
      <c r="F413" s="112"/>
      <c r="G413" s="68"/>
      <c r="H413" s="603"/>
      <c r="I413" s="882"/>
      <c r="J413" s="883"/>
      <c r="K413" s="884"/>
      <c r="L413" s="884"/>
      <c r="M413" s="68"/>
    </row>
    <row r="414" spans="1:13" s="64" customFormat="1">
      <c r="A414" s="10"/>
      <c r="B414" s="111"/>
      <c r="C414" s="68"/>
      <c r="D414" s="374"/>
      <c r="E414" s="112"/>
      <c r="F414" s="112"/>
      <c r="G414" s="68"/>
      <c r="H414" s="603"/>
      <c r="I414" s="882"/>
      <c r="J414" s="883"/>
      <c r="K414" s="884"/>
      <c r="L414" s="884"/>
      <c r="M414" s="68"/>
    </row>
    <row r="415" spans="1:13" s="64" customFormat="1">
      <c r="A415" s="10"/>
      <c r="B415" s="111"/>
      <c r="C415" s="68"/>
      <c r="D415" s="374"/>
      <c r="E415" s="112"/>
      <c r="F415" s="112"/>
      <c r="G415" s="68"/>
      <c r="H415" s="603"/>
      <c r="I415" s="882"/>
      <c r="J415" s="883"/>
      <c r="K415" s="884"/>
      <c r="L415" s="884"/>
      <c r="M415" s="68"/>
    </row>
    <row r="416" spans="1:13" s="64" customFormat="1">
      <c r="A416" s="10"/>
      <c r="B416" s="111"/>
      <c r="C416" s="68"/>
      <c r="D416" s="374"/>
      <c r="E416" s="112"/>
      <c r="F416" s="112"/>
      <c r="G416" s="68"/>
      <c r="H416" s="603"/>
      <c r="I416" s="882"/>
      <c r="J416" s="883"/>
      <c r="K416" s="884"/>
      <c r="L416" s="884"/>
      <c r="M416" s="68"/>
    </row>
    <row r="417" spans="1:13" s="64" customFormat="1">
      <c r="A417" s="10"/>
      <c r="B417" s="111"/>
      <c r="C417" s="68"/>
      <c r="D417" s="374"/>
      <c r="E417" s="112"/>
      <c r="F417" s="112"/>
      <c r="G417" s="68"/>
      <c r="H417" s="603"/>
      <c r="I417" s="882"/>
      <c r="J417" s="883"/>
      <c r="K417" s="884"/>
      <c r="L417" s="884"/>
      <c r="M417" s="68"/>
    </row>
    <row r="418" spans="1:13" s="64" customFormat="1">
      <c r="A418" s="10"/>
      <c r="B418" s="111"/>
      <c r="C418" s="68"/>
      <c r="D418" s="374"/>
      <c r="E418" s="112"/>
      <c r="F418" s="112"/>
      <c r="G418" s="68"/>
      <c r="H418" s="603"/>
      <c r="I418" s="882"/>
      <c r="J418" s="883"/>
      <c r="K418" s="884"/>
      <c r="L418" s="884"/>
      <c r="M418" s="68"/>
    </row>
    <row r="419" spans="1:13" s="64" customFormat="1">
      <c r="A419" s="10"/>
      <c r="B419" s="111"/>
      <c r="C419" s="68"/>
      <c r="D419" s="374"/>
      <c r="E419" s="112"/>
      <c r="F419" s="112"/>
      <c r="G419" s="68"/>
      <c r="H419" s="603"/>
      <c r="I419" s="882"/>
      <c r="J419" s="883"/>
      <c r="K419" s="884"/>
      <c r="L419" s="884"/>
      <c r="M419" s="68"/>
    </row>
    <row r="420" spans="1:13" s="64" customFormat="1">
      <c r="A420" s="10"/>
      <c r="B420" s="111"/>
      <c r="C420" s="68"/>
      <c r="D420" s="374"/>
      <c r="E420" s="112"/>
      <c r="F420" s="112"/>
      <c r="G420" s="68"/>
      <c r="H420" s="603"/>
      <c r="I420" s="882"/>
      <c r="J420" s="883"/>
      <c r="K420" s="884"/>
      <c r="L420" s="884"/>
      <c r="M420" s="68"/>
    </row>
    <row r="421" spans="1:13" s="64" customFormat="1">
      <c r="A421" s="10"/>
      <c r="B421" s="111"/>
      <c r="C421" s="68"/>
      <c r="D421" s="374"/>
      <c r="E421" s="112"/>
      <c r="F421" s="112"/>
      <c r="G421" s="68"/>
      <c r="H421" s="603"/>
      <c r="I421" s="882"/>
      <c r="J421" s="883"/>
      <c r="K421" s="884"/>
      <c r="L421" s="884"/>
      <c r="M421" s="68"/>
    </row>
    <row r="422" spans="1:13" s="64" customFormat="1">
      <c r="A422" s="10"/>
      <c r="B422" s="111"/>
      <c r="C422" s="68"/>
      <c r="D422" s="374"/>
      <c r="E422" s="112"/>
      <c r="F422" s="112"/>
      <c r="G422" s="68"/>
      <c r="H422" s="603"/>
      <c r="I422" s="882"/>
      <c r="J422" s="883"/>
      <c r="K422" s="884"/>
      <c r="L422" s="884"/>
      <c r="M422" s="68"/>
    </row>
    <row r="423" spans="1:13" s="64" customFormat="1">
      <c r="A423" s="10"/>
      <c r="B423" s="111"/>
      <c r="C423" s="68"/>
      <c r="D423" s="374"/>
      <c r="E423" s="112"/>
      <c r="F423" s="112"/>
      <c r="G423" s="68"/>
      <c r="H423" s="603"/>
      <c r="I423" s="882"/>
      <c r="J423" s="883"/>
      <c r="K423" s="884"/>
      <c r="L423" s="884"/>
      <c r="M423" s="68"/>
    </row>
    <row r="424" spans="1:13" s="64" customFormat="1">
      <c r="A424" s="10"/>
      <c r="B424" s="111"/>
      <c r="C424" s="68"/>
      <c r="D424" s="374"/>
      <c r="E424" s="112"/>
      <c r="F424" s="112"/>
      <c r="G424" s="68"/>
      <c r="H424" s="603"/>
      <c r="I424" s="882"/>
      <c r="J424" s="883"/>
      <c r="K424" s="884"/>
      <c r="L424" s="884"/>
      <c r="M424" s="68"/>
    </row>
    <row r="425" spans="1:13" s="64" customFormat="1">
      <c r="A425" s="10"/>
      <c r="B425" s="111"/>
      <c r="C425" s="68"/>
      <c r="D425" s="374"/>
      <c r="E425" s="112"/>
      <c r="F425" s="112"/>
      <c r="G425" s="68"/>
      <c r="H425" s="603"/>
      <c r="I425" s="882"/>
      <c r="J425" s="883"/>
      <c r="K425" s="884"/>
      <c r="L425" s="884"/>
      <c r="M425" s="68"/>
    </row>
    <row r="426" spans="1:13" s="64" customFormat="1">
      <c r="A426" s="10"/>
      <c r="B426" s="111"/>
      <c r="C426" s="68"/>
      <c r="D426" s="374"/>
      <c r="E426" s="112"/>
      <c r="F426" s="112"/>
      <c r="G426" s="68"/>
      <c r="H426" s="603"/>
      <c r="I426" s="882"/>
      <c r="J426" s="883"/>
      <c r="K426" s="884"/>
      <c r="L426" s="884"/>
      <c r="M426" s="68"/>
    </row>
    <row r="427" spans="1:13" s="64" customFormat="1">
      <c r="A427" s="10"/>
      <c r="B427" s="111"/>
      <c r="C427" s="68"/>
      <c r="D427" s="374"/>
      <c r="E427" s="112"/>
      <c r="F427" s="112"/>
      <c r="G427" s="68"/>
      <c r="H427" s="603"/>
      <c r="I427" s="882"/>
      <c r="J427" s="883"/>
      <c r="K427" s="884"/>
      <c r="L427" s="884"/>
      <c r="M427" s="68"/>
    </row>
    <row r="428" spans="1:13" s="64" customFormat="1">
      <c r="A428" s="10"/>
      <c r="B428" s="111"/>
      <c r="C428" s="68"/>
      <c r="D428" s="374"/>
      <c r="E428" s="112"/>
      <c r="F428" s="112"/>
      <c r="G428" s="68"/>
      <c r="H428" s="603"/>
      <c r="I428" s="882"/>
      <c r="J428" s="883"/>
      <c r="K428" s="884"/>
      <c r="L428" s="884"/>
      <c r="M428" s="68"/>
    </row>
    <row r="429" spans="1:13" s="64" customFormat="1">
      <c r="A429" s="10"/>
      <c r="B429" s="111"/>
      <c r="C429" s="68"/>
      <c r="D429" s="374"/>
      <c r="E429" s="112"/>
      <c r="F429" s="112"/>
      <c r="G429" s="68"/>
      <c r="H429" s="603"/>
      <c r="I429" s="882"/>
      <c r="J429" s="883"/>
      <c r="K429" s="884"/>
      <c r="L429" s="884"/>
      <c r="M429" s="68"/>
    </row>
    <row r="430" spans="1:13" s="64" customFormat="1">
      <c r="A430" s="10"/>
      <c r="B430" s="111"/>
      <c r="C430" s="68"/>
      <c r="D430" s="374"/>
      <c r="E430" s="112"/>
      <c r="F430" s="112"/>
      <c r="G430" s="68"/>
      <c r="H430" s="603"/>
      <c r="I430" s="882"/>
      <c r="J430" s="883"/>
      <c r="K430" s="884"/>
      <c r="L430" s="884"/>
      <c r="M430" s="68"/>
    </row>
    <row r="431" spans="1:13" s="64" customFormat="1">
      <c r="A431" s="10"/>
      <c r="B431" s="111"/>
      <c r="C431" s="68"/>
      <c r="D431" s="374"/>
      <c r="E431" s="112"/>
      <c r="F431" s="112"/>
      <c r="G431" s="68"/>
      <c r="H431" s="603"/>
      <c r="I431" s="882"/>
      <c r="J431" s="883"/>
      <c r="K431" s="884"/>
      <c r="L431" s="884"/>
      <c r="M431" s="68"/>
    </row>
    <row r="432" spans="1:13" s="64" customFormat="1">
      <c r="A432" s="10"/>
      <c r="B432" s="111"/>
      <c r="C432" s="68"/>
      <c r="D432" s="374"/>
      <c r="E432" s="112"/>
      <c r="F432" s="112"/>
      <c r="G432" s="68"/>
      <c r="H432" s="603"/>
      <c r="I432" s="882"/>
      <c r="J432" s="883"/>
      <c r="K432" s="884"/>
      <c r="L432" s="884"/>
      <c r="M432" s="68"/>
    </row>
    <row r="433" spans="1:13" s="64" customFormat="1">
      <c r="A433" s="10"/>
      <c r="B433" s="111"/>
      <c r="C433" s="68"/>
      <c r="D433" s="374"/>
      <c r="E433" s="112"/>
      <c r="F433" s="112"/>
      <c r="G433" s="68"/>
      <c r="H433" s="603"/>
      <c r="I433" s="882"/>
      <c r="J433" s="883"/>
      <c r="K433" s="884"/>
      <c r="L433" s="884"/>
      <c r="M433" s="68"/>
    </row>
    <row r="434" spans="1:13" s="64" customFormat="1">
      <c r="A434" s="10"/>
      <c r="B434" s="111"/>
      <c r="C434" s="68"/>
      <c r="D434" s="374"/>
      <c r="E434" s="112"/>
      <c r="F434" s="112"/>
      <c r="G434" s="68"/>
      <c r="H434" s="603"/>
      <c r="I434" s="882"/>
      <c r="J434" s="883"/>
      <c r="K434" s="884"/>
      <c r="L434" s="884"/>
      <c r="M434" s="68"/>
    </row>
    <row r="435" spans="1:13" s="64" customFormat="1">
      <c r="A435" s="10"/>
      <c r="B435" s="111"/>
      <c r="C435" s="68"/>
      <c r="D435" s="374"/>
      <c r="E435" s="112"/>
      <c r="F435" s="112"/>
      <c r="G435" s="68"/>
      <c r="H435" s="603"/>
      <c r="I435" s="882"/>
      <c r="J435" s="883"/>
      <c r="K435" s="884"/>
      <c r="L435" s="884"/>
      <c r="M435" s="68"/>
    </row>
    <row r="436" spans="1:13" s="64" customFormat="1">
      <c r="A436" s="10"/>
      <c r="B436" s="111"/>
      <c r="C436" s="68"/>
      <c r="D436" s="374"/>
      <c r="E436" s="112"/>
      <c r="F436" s="112"/>
      <c r="G436" s="68"/>
      <c r="H436" s="603"/>
      <c r="I436" s="882"/>
      <c r="J436" s="883"/>
      <c r="K436" s="884"/>
      <c r="L436" s="884"/>
      <c r="M436" s="68"/>
    </row>
    <row r="437" spans="1:13" s="64" customFormat="1">
      <c r="A437" s="10"/>
      <c r="B437" s="111"/>
      <c r="C437" s="68"/>
      <c r="D437" s="374"/>
      <c r="E437" s="112"/>
      <c r="F437" s="112"/>
      <c r="G437" s="68"/>
      <c r="H437" s="603"/>
      <c r="I437" s="882"/>
      <c r="J437" s="883"/>
      <c r="K437" s="884"/>
      <c r="L437" s="884"/>
      <c r="M437" s="68"/>
    </row>
    <row r="438" spans="1:13" s="64" customFormat="1">
      <c r="A438" s="10"/>
      <c r="B438" s="111"/>
      <c r="C438" s="68"/>
      <c r="D438" s="374"/>
      <c r="E438" s="112"/>
      <c r="F438" s="112"/>
      <c r="G438" s="68"/>
      <c r="H438" s="603"/>
      <c r="I438" s="882"/>
      <c r="J438" s="883"/>
      <c r="K438" s="884"/>
      <c r="L438" s="884"/>
      <c r="M438" s="68"/>
    </row>
    <row r="439" spans="1:13" s="64" customFormat="1">
      <c r="A439" s="10"/>
      <c r="B439" s="111"/>
      <c r="C439" s="68"/>
      <c r="D439" s="374"/>
      <c r="E439" s="112"/>
      <c r="F439" s="112"/>
      <c r="G439" s="68"/>
      <c r="H439" s="603"/>
      <c r="I439" s="882"/>
      <c r="J439" s="883"/>
      <c r="K439" s="884"/>
      <c r="L439" s="884"/>
      <c r="M439" s="68"/>
    </row>
    <row r="440" spans="1:13" s="64" customFormat="1">
      <c r="A440" s="10"/>
      <c r="B440" s="111"/>
      <c r="C440" s="68"/>
      <c r="D440" s="374"/>
      <c r="E440" s="112"/>
      <c r="F440" s="112"/>
      <c r="G440" s="68"/>
      <c r="H440" s="603"/>
      <c r="I440" s="882"/>
      <c r="J440" s="883"/>
      <c r="K440" s="884"/>
      <c r="L440" s="884"/>
      <c r="M440" s="68"/>
    </row>
    <row r="441" spans="1:13" s="64" customFormat="1">
      <c r="A441" s="10"/>
      <c r="B441" s="111"/>
      <c r="C441" s="68"/>
      <c r="D441" s="374"/>
      <c r="E441" s="112"/>
      <c r="F441" s="112"/>
      <c r="G441" s="68"/>
      <c r="H441" s="603"/>
      <c r="I441" s="882"/>
      <c r="J441" s="883"/>
      <c r="K441" s="884"/>
      <c r="L441" s="884"/>
      <c r="M441" s="68"/>
    </row>
    <row r="442" spans="1:13" s="64" customFormat="1">
      <c r="A442" s="10"/>
      <c r="B442" s="111"/>
      <c r="C442" s="68"/>
      <c r="D442" s="374"/>
      <c r="E442" s="112"/>
      <c r="F442" s="112"/>
      <c r="G442" s="68"/>
      <c r="H442" s="603"/>
      <c r="I442" s="882"/>
      <c r="J442" s="883"/>
      <c r="K442" s="884"/>
      <c r="L442" s="884"/>
      <c r="M442" s="68"/>
    </row>
    <row r="443" spans="1:13" s="64" customFormat="1">
      <c r="A443" s="10"/>
      <c r="B443" s="111"/>
      <c r="C443" s="68"/>
      <c r="D443" s="374"/>
      <c r="E443" s="112"/>
      <c r="F443" s="112"/>
      <c r="G443" s="68"/>
      <c r="H443" s="603"/>
      <c r="I443" s="882"/>
      <c r="J443" s="883"/>
      <c r="K443" s="884"/>
      <c r="L443" s="884"/>
      <c r="M443" s="68"/>
    </row>
    <row r="444" spans="1:13" s="64" customFormat="1">
      <c r="A444" s="10"/>
      <c r="B444" s="111"/>
      <c r="C444" s="68"/>
      <c r="D444" s="374"/>
      <c r="E444" s="112"/>
      <c r="F444" s="112"/>
      <c r="G444" s="68"/>
      <c r="H444" s="603"/>
      <c r="I444" s="882"/>
      <c r="J444" s="883"/>
      <c r="K444" s="884"/>
      <c r="L444" s="884"/>
      <c r="M444" s="68"/>
    </row>
    <row r="445" spans="1:13" s="64" customFormat="1">
      <c r="A445" s="10"/>
      <c r="B445" s="111"/>
      <c r="C445" s="68"/>
      <c r="D445" s="374"/>
      <c r="E445" s="112"/>
      <c r="F445" s="112"/>
      <c r="G445" s="68"/>
      <c r="H445" s="603"/>
      <c r="I445" s="882"/>
      <c r="J445" s="883"/>
      <c r="K445" s="884"/>
      <c r="L445" s="884"/>
      <c r="M445" s="68"/>
    </row>
    <row r="446" spans="1:13" s="64" customFormat="1">
      <c r="A446" s="10"/>
      <c r="B446" s="111"/>
      <c r="C446" s="68"/>
      <c r="D446" s="374"/>
      <c r="E446" s="112"/>
      <c r="F446" s="112"/>
      <c r="G446" s="68"/>
      <c r="H446" s="603"/>
      <c r="I446" s="882"/>
      <c r="J446" s="883"/>
      <c r="K446" s="884"/>
      <c r="L446" s="884"/>
      <c r="M446" s="68"/>
    </row>
    <row r="447" spans="1:13" s="64" customFormat="1">
      <c r="A447" s="10"/>
      <c r="B447" s="111"/>
      <c r="C447" s="68"/>
      <c r="D447" s="374"/>
      <c r="E447" s="112"/>
      <c r="F447" s="112"/>
      <c r="G447" s="68"/>
      <c r="H447" s="603"/>
      <c r="I447" s="882"/>
      <c r="J447" s="883"/>
      <c r="K447" s="884"/>
      <c r="L447" s="884"/>
      <c r="M447" s="68"/>
    </row>
    <row r="448" spans="1:13" s="64" customFormat="1">
      <c r="A448" s="10"/>
      <c r="B448" s="111"/>
      <c r="C448" s="68"/>
      <c r="D448" s="374"/>
      <c r="E448" s="112"/>
      <c r="F448" s="112"/>
      <c r="G448" s="68"/>
      <c r="H448" s="603"/>
      <c r="I448" s="882"/>
      <c r="J448" s="883"/>
      <c r="K448" s="884"/>
      <c r="L448" s="884"/>
      <c r="M448" s="68"/>
    </row>
    <row r="449" spans="1:13" s="64" customFormat="1">
      <c r="A449" s="10"/>
      <c r="B449" s="111"/>
      <c r="C449" s="68"/>
      <c r="D449" s="374"/>
      <c r="E449" s="112"/>
      <c r="F449" s="112"/>
      <c r="G449" s="68"/>
      <c r="H449" s="603"/>
      <c r="I449" s="882"/>
      <c r="J449" s="883"/>
      <c r="K449" s="884"/>
      <c r="L449" s="884"/>
      <c r="M449" s="68"/>
    </row>
    <row r="450" spans="1:13" s="64" customFormat="1">
      <c r="A450" s="10"/>
      <c r="B450" s="111"/>
      <c r="C450" s="68"/>
      <c r="D450" s="374"/>
      <c r="E450" s="112"/>
      <c r="F450" s="112"/>
      <c r="G450" s="68"/>
      <c r="H450" s="603"/>
      <c r="I450" s="882"/>
      <c r="J450" s="883"/>
      <c r="K450" s="884"/>
      <c r="L450" s="884"/>
      <c r="M450" s="68"/>
    </row>
    <row r="451" spans="1:13" s="64" customFormat="1">
      <c r="A451" s="10"/>
      <c r="B451" s="111"/>
      <c r="C451" s="68"/>
      <c r="D451" s="374"/>
      <c r="E451" s="112"/>
      <c r="F451" s="112"/>
      <c r="G451" s="68"/>
      <c r="H451" s="603"/>
      <c r="I451" s="882"/>
      <c r="J451" s="883"/>
      <c r="K451" s="884"/>
      <c r="L451" s="884"/>
      <c r="M451" s="68"/>
    </row>
    <row r="452" spans="1:13" s="64" customFormat="1">
      <c r="A452" s="10"/>
      <c r="B452" s="111"/>
      <c r="C452" s="68"/>
      <c r="D452" s="374"/>
      <c r="E452" s="112"/>
      <c r="F452" s="112"/>
      <c r="G452" s="68"/>
      <c r="H452" s="603"/>
      <c r="I452" s="882"/>
      <c r="J452" s="883"/>
      <c r="K452" s="884"/>
      <c r="L452" s="884"/>
      <c r="M452" s="68"/>
    </row>
    <row r="453" spans="1:13" s="64" customFormat="1">
      <c r="A453" s="10"/>
      <c r="B453" s="111"/>
      <c r="C453" s="68"/>
      <c r="D453" s="374"/>
      <c r="E453" s="112"/>
      <c r="F453" s="112"/>
      <c r="G453" s="68"/>
      <c r="H453" s="603"/>
      <c r="I453" s="882"/>
      <c r="J453" s="883"/>
      <c r="K453" s="884"/>
      <c r="L453" s="884"/>
      <c r="M453" s="68"/>
    </row>
    <row r="454" spans="1:13" s="64" customFormat="1">
      <c r="A454" s="10"/>
      <c r="B454" s="111"/>
      <c r="C454" s="68"/>
      <c r="D454" s="374"/>
      <c r="E454" s="112"/>
      <c r="F454" s="112"/>
      <c r="G454" s="68"/>
      <c r="H454" s="603"/>
      <c r="I454" s="882"/>
      <c r="J454" s="883"/>
      <c r="K454" s="884"/>
      <c r="L454" s="884"/>
      <c r="M454" s="68"/>
    </row>
    <row r="455" spans="1:13" s="64" customFormat="1">
      <c r="A455" s="10"/>
      <c r="B455" s="111"/>
      <c r="C455" s="68"/>
      <c r="D455" s="374"/>
      <c r="E455" s="112"/>
      <c r="F455" s="112"/>
      <c r="G455" s="68"/>
      <c r="H455" s="603"/>
      <c r="I455" s="882"/>
      <c r="J455" s="883"/>
      <c r="K455" s="884"/>
      <c r="L455" s="884"/>
      <c r="M455" s="68"/>
    </row>
    <row r="456" spans="1:13" s="64" customFormat="1">
      <c r="A456" s="10"/>
      <c r="B456" s="111"/>
      <c r="C456" s="68"/>
      <c r="D456" s="374"/>
      <c r="E456" s="112"/>
      <c r="F456" s="112"/>
      <c r="G456" s="68"/>
      <c r="H456" s="603"/>
      <c r="I456" s="882"/>
      <c r="J456" s="883"/>
      <c r="K456" s="884"/>
      <c r="L456" s="884"/>
      <c r="M456" s="68"/>
    </row>
    <row r="457" spans="1:13" s="64" customFormat="1">
      <c r="A457" s="10"/>
      <c r="B457" s="111"/>
      <c r="C457" s="68"/>
      <c r="D457" s="374"/>
      <c r="E457" s="112"/>
      <c r="F457" s="112"/>
      <c r="G457" s="68"/>
      <c r="H457" s="603"/>
      <c r="I457" s="882"/>
      <c r="J457" s="883"/>
      <c r="K457" s="884"/>
      <c r="L457" s="884"/>
      <c r="M457" s="68"/>
    </row>
    <row r="458" spans="1:13" s="64" customFormat="1">
      <c r="A458" s="10"/>
      <c r="B458" s="111"/>
      <c r="C458" s="68"/>
      <c r="D458" s="374"/>
      <c r="E458" s="112"/>
      <c r="F458" s="112"/>
      <c r="G458" s="68"/>
      <c r="H458" s="603"/>
      <c r="I458" s="882"/>
      <c r="J458" s="883"/>
      <c r="K458" s="884"/>
      <c r="L458" s="884"/>
      <c r="M458" s="68"/>
    </row>
    <row r="459" spans="1:13" s="64" customFormat="1">
      <c r="A459" s="10"/>
      <c r="B459" s="111"/>
      <c r="C459" s="68"/>
      <c r="D459" s="374"/>
      <c r="E459" s="112"/>
      <c r="F459" s="112"/>
      <c r="G459" s="68"/>
      <c r="H459" s="603"/>
      <c r="I459" s="882"/>
      <c r="J459" s="883"/>
      <c r="K459" s="884"/>
      <c r="L459" s="884"/>
      <c r="M459" s="68"/>
    </row>
    <row r="460" spans="1:13" s="64" customFormat="1">
      <c r="A460" s="10"/>
      <c r="B460" s="111"/>
      <c r="C460" s="68"/>
      <c r="D460" s="374"/>
      <c r="E460" s="112"/>
      <c r="F460" s="112"/>
      <c r="G460" s="68"/>
      <c r="H460" s="603"/>
      <c r="I460" s="882"/>
      <c r="J460" s="883"/>
      <c r="K460" s="884"/>
      <c r="L460" s="884"/>
      <c r="M460" s="68"/>
    </row>
    <row r="461" spans="1:13" s="64" customFormat="1">
      <c r="A461" s="10"/>
      <c r="B461" s="111"/>
      <c r="C461" s="68"/>
      <c r="D461" s="374"/>
      <c r="E461" s="112"/>
      <c r="F461" s="112"/>
      <c r="G461" s="68"/>
      <c r="H461" s="603"/>
      <c r="I461" s="882"/>
      <c r="J461" s="883"/>
      <c r="K461" s="884"/>
      <c r="L461" s="884"/>
      <c r="M461" s="68"/>
    </row>
    <row r="462" spans="1:13" s="64" customFormat="1">
      <c r="A462" s="10"/>
      <c r="B462" s="111"/>
      <c r="C462" s="68"/>
      <c r="D462" s="374"/>
      <c r="E462" s="112"/>
      <c r="F462" s="112"/>
      <c r="G462" s="68"/>
      <c r="H462" s="603"/>
      <c r="I462" s="882"/>
      <c r="J462" s="883"/>
      <c r="K462" s="884"/>
      <c r="L462" s="884"/>
      <c r="M462" s="68"/>
    </row>
    <row r="463" spans="1:13" s="64" customFormat="1">
      <c r="A463" s="10"/>
      <c r="B463" s="111"/>
      <c r="C463" s="68"/>
      <c r="D463" s="374"/>
      <c r="E463" s="112"/>
      <c r="F463" s="112"/>
      <c r="G463" s="68"/>
      <c r="H463" s="603"/>
      <c r="I463" s="882"/>
      <c r="J463" s="883"/>
      <c r="K463" s="884"/>
      <c r="L463" s="884"/>
      <c r="M463" s="68"/>
    </row>
    <row r="464" spans="1:13" s="64" customFormat="1">
      <c r="A464" s="10"/>
      <c r="B464" s="111"/>
      <c r="C464" s="68"/>
      <c r="D464" s="374"/>
      <c r="E464" s="112"/>
      <c r="F464" s="112"/>
      <c r="G464" s="68"/>
      <c r="H464" s="603"/>
      <c r="I464" s="882"/>
      <c r="J464" s="883"/>
      <c r="K464" s="884"/>
      <c r="L464" s="884"/>
      <c r="M464" s="68"/>
    </row>
    <row r="465" spans="1:13" s="64" customFormat="1">
      <c r="A465" s="10"/>
      <c r="B465" s="111"/>
      <c r="C465" s="68"/>
      <c r="D465" s="374"/>
      <c r="E465" s="112"/>
      <c r="F465" s="112"/>
      <c r="G465" s="68"/>
      <c r="H465" s="603"/>
      <c r="I465" s="882"/>
      <c r="J465" s="883"/>
      <c r="K465" s="884"/>
      <c r="L465" s="884"/>
      <c r="M465" s="68"/>
    </row>
    <row r="466" spans="1:13" s="64" customFormat="1">
      <c r="A466" s="10"/>
      <c r="B466" s="111"/>
      <c r="C466" s="68"/>
      <c r="D466" s="374"/>
      <c r="E466" s="112"/>
      <c r="F466" s="112"/>
      <c r="G466" s="68"/>
      <c r="H466" s="603"/>
      <c r="I466" s="882"/>
      <c r="J466" s="883"/>
      <c r="K466" s="884"/>
      <c r="L466" s="884"/>
      <c r="M466" s="68"/>
    </row>
    <row r="467" spans="1:13" s="64" customFormat="1">
      <c r="A467" s="10"/>
      <c r="B467" s="111"/>
      <c r="C467" s="68"/>
      <c r="D467" s="374"/>
      <c r="E467" s="112"/>
      <c r="F467" s="112"/>
      <c r="G467" s="68"/>
      <c r="H467" s="603"/>
      <c r="I467" s="882"/>
      <c r="J467" s="883"/>
      <c r="K467" s="884"/>
      <c r="L467" s="884"/>
      <c r="M467" s="68"/>
    </row>
    <row r="468" spans="1:13" s="64" customFormat="1">
      <c r="A468" s="10"/>
      <c r="B468" s="111"/>
      <c r="C468" s="68"/>
      <c r="D468" s="374"/>
      <c r="E468" s="112"/>
      <c r="F468" s="112"/>
      <c r="G468" s="68"/>
      <c r="H468" s="603"/>
      <c r="I468" s="882"/>
      <c r="J468" s="883"/>
      <c r="K468" s="884"/>
      <c r="L468" s="884"/>
      <c r="M468" s="68"/>
    </row>
    <row r="469" spans="1:13" s="64" customFormat="1">
      <c r="A469" s="10"/>
      <c r="B469" s="111"/>
      <c r="C469" s="68"/>
      <c r="D469" s="374"/>
      <c r="E469" s="112"/>
      <c r="F469" s="112"/>
      <c r="G469" s="68"/>
      <c r="H469" s="603"/>
      <c r="I469" s="882"/>
      <c r="J469" s="883"/>
      <c r="K469" s="884"/>
      <c r="L469" s="884"/>
      <c r="M469" s="68"/>
    </row>
    <row r="470" spans="1:13" s="64" customFormat="1">
      <c r="A470" s="10"/>
      <c r="B470" s="111"/>
      <c r="C470" s="68"/>
      <c r="D470" s="374"/>
      <c r="E470" s="112"/>
      <c r="F470" s="112"/>
      <c r="G470" s="68"/>
      <c r="H470" s="603"/>
      <c r="I470" s="882"/>
      <c r="J470" s="883"/>
      <c r="K470" s="884"/>
      <c r="L470" s="884"/>
      <c r="M470" s="68"/>
    </row>
    <row r="471" spans="1:13" s="64" customFormat="1">
      <c r="A471" s="10"/>
      <c r="B471" s="111"/>
      <c r="C471" s="68"/>
      <c r="D471" s="374"/>
      <c r="E471" s="112"/>
      <c r="F471" s="112"/>
      <c r="G471" s="68"/>
      <c r="H471" s="603"/>
      <c r="I471" s="882"/>
      <c r="J471" s="883"/>
      <c r="K471" s="884"/>
      <c r="L471" s="884"/>
      <c r="M471" s="68"/>
    </row>
    <row r="472" spans="1:13" s="64" customFormat="1">
      <c r="A472" s="10"/>
      <c r="B472" s="111"/>
      <c r="C472" s="68"/>
      <c r="D472" s="374"/>
      <c r="E472" s="112"/>
      <c r="F472" s="112"/>
      <c r="G472" s="68"/>
      <c r="H472" s="603"/>
      <c r="I472" s="882"/>
      <c r="J472" s="883"/>
      <c r="K472" s="884"/>
      <c r="L472" s="884"/>
      <c r="M472" s="68"/>
    </row>
    <row r="473" spans="1:13" s="64" customFormat="1">
      <c r="A473" s="10"/>
      <c r="B473" s="111"/>
      <c r="C473" s="68"/>
      <c r="D473" s="374"/>
      <c r="E473" s="112"/>
      <c r="F473" s="112"/>
      <c r="G473" s="68"/>
      <c r="H473" s="603"/>
      <c r="I473" s="882"/>
      <c r="J473" s="883"/>
      <c r="K473" s="884"/>
      <c r="L473" s="884"/>
      <c r="M473" s="68"/>
    </row>
    <row r="474" spans="1:13" s="64" customFormat="1">
      <c r="A474" s="10"/>
      <c r="B474" s="111"/>
      <c r="C474" s="68"/>
      <c r="D474" s="374"/>
      <c r="E474" s="112"/>
      <c r="F474" s="112"/>
      <c r="G474" s="68"/>
      <c r="H474" s="603"/>
      <c r="I474" s="882"/>
      <c r="J474" s="883"/>
      <c r="K474" s="884"/>
      <c r="L474" s="884"/>
      <c r="M474" s="68"/>
    </row>
    <row r="475" spans="1:13" s="64" customFormat="1">
      <c r="A475" s="10"/>
      <c r="B475" s="111"/>
      <c r="C475" s="68"/>
      <c r="D475" s="374"/>
      <c r="E475" s="112"/>
      <c r="F475" s="112"/>
      <c r="G475" s="68"/>
      <c r="H475" s="603"/>
      <c r="I475" s="882"/>
      <c r="J475" s="883"/>
      <c r="K475" s="884"/>
      <c r="L475" s="884"/>
      <c r="M475" s="68"/>
    </row>
    <row r="476" spans="1:13" s="64" customFormat="1">
      <c r="A476" s="10"/>
      <c r="B476" s="111"/>
      <c r="C476" s="68"/>
      <c r="D476" s="374"/>
      <c r="E476" s="112"/>
      <c r="F476" s="112"/>
      <c r="G476" s="68"/>
      <c r="H476" s="603"/>
      <c r="I476" s="882"/>
      <c r="J476" s="883"/>
      <c r="K476" s="884"/>
      <c r="L476" s="884"/>
      <c r="M476" s="68"/>
    </row>
    <row r="477" spans="1:13" s="64" customFormat="1">
      <c r="A477" s="10"/>
      <c r="B477" s="111"/>
      <c r="C477" s="68"/>
      <c r="D477" s="374"/>
      <c r="E477" s="112"/>
      <c r="F477" s="112"/>
      <c r="G477" s="68"/>
      <c r="H477" s="603"/>
      <c r="I477" s="882"/>
      <c r="J477" s="883"/>
      <c r="K477" s="884"/>
      <c r="L477" s="884"/>
      <c r="M477" s="68"/>
    </row>
    <row r="478" spans="1:13" s="64" customFormat="1">
      <c r="A478" s="10"/>
      <c r="B478" s="111"/>
      <c r="C478" s="68"/>
      <c r="D478" s="374"/>
      <c r="E478" s="112"/>
      <c r="F478" s="112"/>
      <c r="G478" s="68"/>
      <c r="H478" s="603"/>
      <c r="I478" s="882"/>
      <c r="J478" s="883"/>
      <c r="K478" s="884"/>
      <c r="L478" s="884"/>
      <c r="M478" s="68"/>
    </row>
    <row r="479" spans="1:13" s="64" customFormat="1">
      <c r="A479" s="10"/>
      <c r="B479" s="111"/>
      <c r="C479" s="68"/>
      <c r="D479" s="374"/>
      <c r="E479" s="112"/>
      <c r="F479" s="112"/>
      <c r="G479" s="68"/>
      <c r="H479" s="603"/>
      <c r="I479" s="882"/>
      <c r="J479" s="883"/>
      <c r="K479" s="884"/>
      <c r="L479" s="884"/>
      <c r="M479" s="68"/>
    </row>
    <row r="480" spans="1:13" s="64" customFormat="1">
      <c r="A480" s="10"/>
      <c r="B480" s="111"/>
      <c r="C480" s="68"/>
      <c r="D480" s="374"/>
      <c r="E480" s="112"/>
      <c r="F480" s="112"/>
      <c r="G480" s="68"/>
      <c r="H480" s="603"/>
      <c r="I480" s="882"/>
      <c r="J480" s="883"/>
      <c r="K480" s="884"/>
      <c r="L480" s="884"/>
      <c r="M480" s="68"/>
    </row>
    <row r="481" spans="1:13" s="64" customFormat="1">
      <c r="A481" s="10"/>
      <c r="B481" s="111"/>
      <c r="C481" s="68"/>
      <c r="D481" s="374"/>
      <c r="E481" s="112"/>
      <c r="F481" s="112"/>
      <c r="G481" s="68"/>
      <c r="H481" s="603"/>
      <c r="I481" s="882"/>
      <c r="J481" s="883"/>
      <c r="K481" s="884"/>
      <c r="L481" s="884"/>
      <c r="M481" s="68"/>
    </row>
    <row r="482" spans="1:13" s="64" customFormat="1">
      <c r="A482" s="10"/>
      <c r="B482" s="111"/>
      <c r="C482" s="68"/>
      <c r="D482" s="374"/>
      <c r="E482" s="112"/>
      <c r="F482" s="112"/>
      <c r="G482" s="68"/>
      <c r="H482" s="603"/>
      <c r="I482" s="882"/>
      <c r="J482" s="883"/>
      <c r="K482" s="884"/>
      <c r="L482" s="884"/>
      <c r="M482" s="68"/>
    </row>
    <row r="483" spans="1:13" s="64" customFormat="1">
      <c r="A483" s="10"/>
      <c r="B483" s="111"/>
      <c r="C483" s="68"/>
      <c r="D483" s="374"/>
      <c r="E483" s="112"/>
      <c r="F483" s="112"/>
      <c r="G483" s="68"/>
      <c r="H483" s="603"/>
      <c r="I483" s="882"/>
      <c r="J483" s="883"/>
      <c r="K483" s="884"/>
      <c r="L483" s="884"/>
      <c r="M483" s="68"/>
    </row>
    <row r="484" spans="1:13" s="64" customFormat="1">
      <c r="A484" s="10"/>
      <c r="B484" s="111"/>
      <c r="C484" s="68"/>
      <c r="D484" s="374"/>
      <c r="E484" s="112"/>
      <c r="F484" s="112"/>
      <c r="G484" s="68"/>
      <c r="H484" s="603"/>
      <c r="I484" s="882"/>
      <c r="J484" s="883"/>
      <c r="K484" s="884"/>
      <c r="L484" s="884"/>
      <c r="M484" s="68"/>
    </row>
    <row r="485" spans="1:13" s="64" customFormat="1">
      <c r="A485" s="10"/>
      <c r="B485" s="111"/>
      <c r="C485" s="68"/>
      <c r="D485" s="374"/>
      <c r="E485" s="112"/>
      <c r="F485" s="112"/>
      <c r="G485" s="68"/>
      <c r="H485" s="603"/>
      <c r="I485" s="882"/>
      <c r="J485" s="883"/>
      <c r="K485" s="884"/>
      <c r="L485" s="884"/>
      <c r="M485" s="68"/>
    </row>
    <row r="486" spans="1:13" s="64" customFormat="1">
      <c r="A486" s="10"/>
      <c r="B486" s="111"/>
      <c r="C486" s="68"/>
      <c r="D486" s="374"/>
      <c r="E486" s="112"/>
      <c r="F486" s="112"/>
      <c r="G486" s="68"/>
      <c r="H486" s="603"/>
      <c r="I486" s="882"/>
      <c r="J486" s="883"/>
      <c r="K486" s="884"/>
      <c r="L486" s="884"/>
      <c r="M486" s="68"/>
    </row>
    <row r="487" spans="1:13" s="64" customFormat="1">
      <c r="A487" s="10"/>
      <c r="B487" s="111"/>
      <c r="C487" s="68"/>
      <c r="D487" s="374"/>
      <c r="E487" s="112"/>
      <c r="F487" s="112"/>
      <c r="G487" s="68"/>
      <c r="H487" s="603"/>
      <c r="I487" s="882"/>
      <c r="J487" s="883"/>
      <c r="K487" s="884"/>
      <c r="L487" s="884"/>
      <c r="M487" s="68"/>
    </row>
    <row r="488" spans="1:13" s="64" customFormat="1">
      <c r="A488" s="10"/>
      <c r="B488" s="111"/>
      <c r="C488" s="68"/>
      <c r="D488" s="374"/>
      <c r="E488" s="112"/>
      <c r="F488" s="112"/>
      <c r="G488" s="68"/>
      <c r="H488" s="603"/>
      <c r="I488" s="882"/>
      <c r="J488" s="883"/>
      <c r="K488" s="884"/>
      <c r="L488" s="884"/>
      <c r="M488" s="68"/>
    </row>
    <row r="489" spans="1:13" s="64" customFormat="1">
      <c r="A489" s="10"/>
      <c r="B489" s="111"/>
      <c r="C489" s="68"/>
      <c r="D489" s="374"/>
      <c r="E489" s="112"/>
      <c r="F489" s="112"/>
      <c r="G489" s="68"/>
      <c r="H489" s="603"/>
      <c r="I489" s="882"/>
      <c r="J489" s="883"/>
      <c r="K489" s="884"/>
      <c r="L489" s="884"/>
      <c r="M489" s="68"/>
    </row>
    <row r="490" spans="1:13" s="64" customFormat="1">
      <c r="A490" s="10"/>
      <c r="B490" s="111"/>
      <c r="C490" s="68"/>
      <c r="D490" s="374"/>
      <c r="E490" s="112"/>
      <c r="F490" s="112"/>
      <c r="G490" s="68"/>
      <c r="H490" s="603"/>
      <c r="I490" s="882"/>
      <c r="J490" s="883"/>
      <c r="K490" s="884"/>
      <c r="L490" s="884"/>
      <c r="M490" s="68"/>
    </row>
    <row r="491" spans="1:13" s="64" customFormat="1">
      <c r="A491" s="10"/>
      <c r="B491" s="111"/>
      <c r="C491" s="68"/>
      <c r="D491" s="374"/>
      <c r="E491" s="112"/>
      <c r="F491" s="112"/>
      <c r="G491" s="68"/>
      <c r="H491" s="603"/>
      <c r="I491" s="882"/>
      <c r="J491" s="883"/>
      <c r="K491" s="884"/>
      <c r="L491" s="884"/>
      <c r="M491" s="68"/>
    </row>
    <row r="492" spans="1:13" s="64" customFormat="1">
      <c r="A492" s="10"/>
      <c r="B492" s="111"/>
      <c r="C492" s="68"/>
      <c r="D492" s="374"/>
      <c r="E492" s="112"/>
      <c r="F492" s="112"/>
      <c r="G492" s="68"/>
      <c r="H492" s="603"/>
      <c r="I492" s="882"/>
      <c r="J492" s="883"/>
      <c r="K492" s="884"/>
      <c r="L492" s="884"/>
      <c r="M492" s="68"/>
    </row>
    <row r="493" spans="1:13" s="64" customFormat="1">
      <c r="A493" s="10"/>
      <c r="B493" s="111"/>
      <c r="C493" s="68"/>
      <c r="D493" s="374"/>
      <c r="E493" s="112"/>
      <c r="F493" s="112"/>
      <c r="G493" s="68"/>
      <c r="H493" s="603"/>
      <c r="I493" s="882"/>
      <c r="J493" s="883"/>
      <c r="K493" s="884"/>
      <c r="L493" s="884"/>
      <c r="M493" s="68"/>
    </row>
    <row r="494" spans="1:13" s="64" customFormat="1">
      <c r="A494" s="10"/>
      <c r="B494" s="111"/>
      <c r="C494" s="68"/>
      <c r="D494" s="374"/>
      <c r="E494" s="112"/>
      <c r="F494" s="112"/>
      <c r="G494" s="68"/>
      <c r="H494" s="603"/>
      <c r="I494" s="882"/>
      <c r="J494" s="883"/>
      <c r="K494" s="884"/>
      <c r="L494" s="884"/>
      <c r="M494" s="68"/>
    </row>
    <row r="495" spans="1:13" s="64" customFormat="1">
      <c r="A495" s="10"/>
      <c r="B495" s="111"/>
      <c r="C495" s="68"/>
      <c r="D495" s="374"/>
      <c r="E495" s="112"/>
      <c r="F495" s="112"/>
      <c r="G495" s="68"/>
      <c r="H495" s="603"/>
      <c r="I495" s="882"/>
      <c r="J495" s="883"/>
      <c r="K495" s="884"/>
      <c r="L495" s="884"/>
      <c r="M495" s="68"/>
    </row>
    <row r="496" spans="1:13" s="64" customFormat="1">
      <c r="A496" s="10"/>
      <c r="B496" s="111"/>
      <c r="C496" s="68"/>
      <c r="D496" s="374"/>
      <c r="E496" s="112"/>
      <c r="F496" s="112"/>
      <c r="G496" s="68"/>
      <c r="H496" s="603"/>
      <c r="I496" s="882"/>
      <c r="J496" s="883"/>
      <c r="K496" s="884"/>
      <c r="L496" s="884"/>
      <c r="M496" s="68"/>
    </row>
    <row r="497" spans="1:13" s="64" customFormat="1">
      <c r="A497" s="10"/>
      <c r="B497" s="111"/>
      <c r="C497" s="68"/>
      <c r="D497" s="374"/>
      <c r="E497" s="112"/>
      <c r="F497" s="112"/>
      <c r="G497" s="68"/>
      <c r="H497" s="603"/>
      <c r="I497" s="882"/>
      <c r="J497" s="883"/>
      <c r="K497" s="884"/>
      <c r="L497" s="884"/>
      <c r="M497" s="68"/>
    </row>
    <row r="498" spans="1:13" s="64" customFormat="1">
      <c r="A498" s="10"/>
      <c r="B498" s="111"/>
      <c r="C498" s="68"/>
      <c r="D498" s="374"/>
      <c r="E498" s="112"/>
      <c r="F498" s="112"/>
      <c r="G498" s="68"/>
      <c r="H498" s="603"/>
      <c r="I498" s="882"/>
      <c r="J498" s="883"/>
      <c r="K498" s="884"/>
      <c r="L498" s="884"/>
      <c r="M498" s="68"/>
    </row>
    <row r="499" spans="1:13" s="64" customFormat="1">
      <c r="A499" s="10"/>
      <c r="B499" s="111"/>
      <c r="C499" s="68"/>
      <c r="D499" s="374"/>
      <c r="E499" s="112"/>
      <c r="F499" s="112"/>
      <c r="G499" s="68"/>
      <c r="H499" s="603"/>
      <c r="I499" s="882"/>
      <c r="J499" s="883"/>
      <c r="K499" s="884"/>
      <c r="L499" s="884"/>
      <c r="M499" s="68"/>
    </row>
    <row r="500" spans="1:13" s="64" customFormat="1">
      <c r="A500" s="10"/>
      <c r="B500" s="111"/>
      <c r="C500" s="68"/>
      <c r="D500" s="374"/>
      <c r="E500" s="112"/>
      <c r="F500" s="112"/>
      <c r="G500" s="68"/>
      <c r="H500" s="603"/>
      <c r="I500" s="882"/>
      <c r="J500" s="883"/>
      <c r="K500" s="884"/>
      <c r="L500" s="884"/>
      <c r="M500" s="68"/>
    </row>
    <row r="501" spans="1:13" s="64" customFormat="1">
      <c r="A501" s="10"/>
      <c r="B501" s="111"/>
      <c r="C501" s="68"/>
      <c r="D501" s="374"/>
      <c r="E501" s="112"/>
      <c r="F501" s="112"/>
      <c r="G501" s="68"/>
      <c r="H501" s="603"/>
      <c r="I501" s="882"/>
      <c r="J501" s="883"/>
      <c r="K501" s="884"/>
      <c r="L501" s="884"/>
      <c r="M501" s="68"/>
    </row>
    <row r="502" spans="1:13" s="64" customFormat="1">
      <c r="A502" s="10"/>
      <c r="B502" s="111"/>
      <c r="C502" s="68"/>
      <c r="D502" s="374"/>
      <c r="E502" s="112"/>
      <c r="F502" s="112"/>
      <c r="G502" s="68"/>
      <c r="H502" s="603"/>
      <c r="I502" s="882"/>
      <c r="J502" s="883"/>
      <c r="K502" s="884"/>
      <c r="L502" s="884"/>
      <c r="M502" s="68"/>
    </row>
    <row r="503" spans="1:13" s="64" customFormat="1">
      <c r="A503" s="10"/>
      <c r="B503" s="111"/>
      <c r="C503" s="68"/>
      <c r="D503" s="374"/>
      <c r="E503" s="112"/>
      <c r="F503" s="112"/>
      <c r="G503" s="68"/>
      <c r="H503" s="603"/>
      <c r="I503" s="882"/>
      <c r="J503" s="883"/>
      <c r="K503" s="884"/>
      <c r="L503" s="884"/>
      <c r="M503" s="68"/>
    </row>
    <row r="504" spans="1:13" s="64" customFormat="1">
      <c r="A504" s="10"/>
      <c r="B504" s="111"/>
      <c r="C504" s="68"/>
      <c r="D504" s="374"/>
      <c r="E504" s="112"/>
      <c r="F504" s="112"/>
      <c r="G504" s="68"/>
      <c r="H504" s="603"/>
      <c r="I504" s="882"/>
      <c r="J504" s="883"/>
      <c r="K504" s="884"/>
      <c r="L504" s="884"/>
      <c r="M504" s="68"/>
    </row>
    <row r="505" spans="1:13" s="64" customFormat="1">
      <c r="A505" s="10"/>
      <c r="B505" s="111"/>
      <c r="C505" s="68"/>
      <c r="D505" s="374"/>
      <c r="E505" s="112"/>
      <c r="F505" s="112"/>
      <c r="G505" s="68"/>
      <c r="H505" s="603"/>
      <c r="I505" s="882"/>
      <c r="J505" s="883"/>
      <c r="K505" s="884"/>
      <c r="L505" s="884"/>
      <c r="M505" s="68"/>
    </row>
    <row r="506" spans="1:13" s="64" customFormat="1">
      <c r="A506" s="10"/>
      <c r="B506" s="111"/>
      <c r="C506" s="68"/>
      <c r="D506" s="374"/>
      <c r="E506" s="112"/>
      <c r="F506" s="112"/>
      <c r="G506" s="68"/>
      <c r="H506" s="603"/>
      <c r="I506" s="882"/>
      <c r="J506" s="883"/>
      <c r="K506" s="884"/>
      <c r="L506" s="884"/>
      <c r="M506" s="68"/>
    </row>
    <row r="507" spans="1:13" s="64" customFormat="1">
      <c r="A507" s="10"/>
      <c r="B507" s="111"/>
      <c r="C507" s="68"/>
      <c r="D507" s="374"/>
      <c r="E507" s="112"/>
      <c r="F507" s="112"/>
      <c r="G507" s="68"/>
      <c r="H507" s="603"/>
      <c r="I507" s="882"/>
      <c r="J507" s="883"/>
      <c r="K507" s="884"/>
      <c r="L507" s="884"/>
      <c r="M507" s="68"/>
    </row>
    <row r="508" spans="1:13" s="64" customFormat="1">
      <c r="A508" s="10"/>
      <c r="B508" s="111"/>
      <c r="C508" s="68"/>
      <c r="D508" s="374"/>
      <c r="E508" s="112"/>
      <c r="F508" s="112"/>
      <c r="G508" s="68"/>
      <c r="H508" s="603"/>
      <c r="I508" s="882"/>
      <c r="J508" s="883"/>
      <c r="K508" s="884"/>
      <c r="L508" s="884"/>
      <c r="M508" s="68"/>
    </row>
    <row r="509" spans="1:13" s="64" customFormat="1">
      <c r="A509" s="10"/>
      <c r="B509" s="111"/>
      <c r="C509" s="68"/>
      <c r="D509" s="374"/>
      <c r="E509" s="112"/>
      <c r="F509" s="112"/>
      <c r="G509" s="68"/>
      <c r="H509" s="603"/>
      <c r="I509" s="882"/>
      <c r="J509" s="883"/>
      <c r="K509" s="884"/>
      <c r="L509" s="884"/>
      <c r="M509" s="68"/>
    </row>
    <row r="510" spans="1:13" s="64" customFormat="1">
      <c r="A510" s="10"/>
      <c r="B510" s="111"/>
      <c r="C510" s="68"/>
      <c r="D510" s="374"/>
      <c r="E510" s="112"/>
      <c r="F510" s="112"/>
      <c r="G510" s="68"/>
      <c r="H510" s="603"/>
      <c r="I510" s="882"/>
      <c r="J510" s="883"/>
      <c r="K510" s="884"/>
      <c r="L510" s="884"/>
      <c r="M510" s="68"/>
    </row>
    <row r="511" spans="1:13" s="64" customFormat="1">
      <c r="A511" s="10"/>
      <c r="B511" s="111"/>
      <c r="C511" s="68"/>
      <c r="D511" s="374"/>
      <c r="E511" s="112"/>
      <c r="F511" s="112"/>
      <c r="G511" s="68"/>
      <c r="H511" s="603"/>
      <c r="I511" s="882"/>
      <c r="J511" s="883"/>
      <c r="K511" s="884"/>
      <c r="L511" s="884"/>
      <c r="M511" s="68"/>
    </row>
    <row r="512" spans="1:13" s="64" customFormat="1">
      <c r="A512" s="10"/>
      <c r="B512" s="111"/>
      <c r="C512" s="68"/>
      <c r="D512" s="374"/>
      <c r="E512" s="112"/>
      <c r="F512" s="112"/>
      <c r="G512" s="68"/>
      <c r="H512" s="603"/>
      <c r="I512" s="882"/>
      <c r="J512" s="883"/>
      <c r="K512" s="884"/>
      <c r="L512" s="884"/>
      <c r="M512" s="68"/>
    </row>
    <row r="513" spans="1:13" s="64" customFormat="1">
      <c r="A513" s="10"/>
      <c r="B513" s="111"/>
      <c r="C513" s="68"/>
      <c r="D513" s="374"/>
      <c r="E513" s="112"/>
      <c r="F513" s="112"/>
      <c r="G513" s="68"/>
      <c r="H513" s="603"/>
      <c r="I513" s="882"/>
      <c r="J513" s="883"/>
      <c r="K513" s="884"/>
      <c r="L513" s="884"/>
      <c r="M513" s="68"/>
    </row>
    <row r="514" spans="1:13" s="64" customFormat="1">
      <c r="A514" s="10"/>
      <c r="B514" s="111"/>
      <c r="C514" s="68"/>
      <c r="D514" s="374"/>
      <c r="E514" s="112"/>
      <c r="F514" s="112"/>
      <c r="G514" s="68"/>
      <c r="H514" s="603"/>
      <c r="I514" s="882"/>
      <c r="J514" s="883"/>
      <c r="K514" s="884"/>
      <c r="L514" s="884"/>
      <c r="M514" s="68"/>
    </row>
    <row r="515" spans="1:13" s="64" customFormat="1">
      <c r="A515" s="10"/>
      <c r="B515" s="111"/>
      <c r="C515" s="68"/>
      <c r="D515" s="374"/>
      <c r="E515" s="112"/>
      <c r="F515" s="112"/>
      <c r="G515" s="68"/>
      <c r="H515" s="603"/>
      <c r="I515" s="882"/>
      <c r="J515" s="883"/>
      <c r="K515" s="884"/>
      <c r="L515" s="884"/>
      <c r="M515" s="68"/>
    </row>
    <row r="516" spans="1:13" s="64" customFormat="1">
      <c r="A516" s="10"/>
      <c r="B516" s="111"/>
      <c r="C516" s="68"/>
      <c r="D516" s="374"/>
      <c r="E516" s="112"/>
      <c r="F516" s="112"/>
      <c r="G516" s="68"/>
      <c r="H516" s="603"/>
      <c r="I516" s="882"/>
      <c r="J516" s="883"/>
      <c r="K516" s="884"/>
      <c r="L516" s="884"/>
      <c r="M516" s="68"/>
    </row>
    <row r="517" spans="1:13" s="64" customFormat="1">
      <c r="A517" s="10"/>
      <c r="B517" s="111"/>
      <c r="C517" s="68"/>
      <c r="D517" s="374"/>
      <c r="E517" s="112"/>
      <c r="F517" s="112"/>
      <c r="G517" s="68"/>
      <c r="H517" s="603"/>
      <c r="I517" s="882"/>
      <c r="J517" s="883"/>
      <c r="K517" s="884"/>
      <c r="L517" s="884"/>
      <c r="M517" s="68"/>
    </row>
    <row r="518" spans="1:13" s="64" customFormat="1">
      <c r="A518" s="10"/>
      <c r="B518" s="111"/>
      <c r="C518" s="68"/>
      <c r="D518" s="374"/>
      <c r="E518" s="112"/>
      <c r="F518" s="112"/>
      <c r="G518" s="68"/>
      <c r="H518" s="603"/>
      <c r="I518" s="882"/>
      <c r="J518" s="883"/>
      <c r="K518" s="884"/>
      <c r="L518" s="884"/>
      <c r="M518" s="68"/>
    </row>
    <row r="519" spans="1:13" s="64" customFormat="1">
      <c r="A519" s="10"/>
      <c r="B519" s="111"/>
      <c r="C519" s="68"/>
      <c r="D519" s="374"/>
      <c r="E519" s="112"/>
      <c r="F519" s="112"/>
      <c r="G519" s="68"/>
      <c r="H519" s="603"/>
      <c r="I519" s="882"/>
      <c r="J519" s="883"/>
      <c r="K519" s="884"/>
      <c r="L519" s="884"/>
      <c r="M519" s="68"/>
    </row>
    <row r="520" spans="1:13" s="64" customFormat="1">
      <c r="A520" s="10"/>
      <c r="B520" s="111"/>
      <c r="C520" s="68"/>
      <c r="D520" s="374"/>
      <c r="E520" s="112"/>
      <c r="F520" s="112"/>
      <c r="G520" s="68"/>
      <c r="H520" s="603"/>
      <c r="I520" s="882"/>
      <c r="J520" s="883"/>
      <c r="K520" s="884"/>
      <c r="L520" s="884"/>
      <c r="M520" s="68"/>
    </row>
    <row r="521" spans="1:13" s="64" customFormat="1">
      <c r="A521" s="10"/>
      <c r="B521" s="111"/>
      <c r="C521" s="68"/>
      <c r="D521" s="374"/>
      <c r="E521" s="112"/>
      <c r="F521" s="112"/>
      <c r="G521" s="68"/>
      <c r="H521" s="603"/>
      <c r="I521" s="882"/>
      <c r="J521" s="883"/>
      <c r="K521" s="884"/>
      <c r="L521" s="884"/>
      <c r="M521" s="68"/>
    </row>
    <row r="522" spans="1:13" s="64" customFormat="1">
      <c r="A522" s="10"/>
      <c r="B522" s="111"/>
      <c r="C522" s="68"/>
      <c r="D522" s="374"/>
      <c r="E522" s="112"/>
      <c r="F522" s="112"/>
      <c r="G522" s="68"/>
      <c r="H522" s="603"/>
      <c r="I522" s="882"/>
      <c r="J522" s="883"/>
      <c r="K522" s="884"/>
      <c r="L522" s="884"/>
      <c r="M522" s="68"/>
    </row>
    <row r="523" spans="1:13" s="64" customFormat="1">
      <c r="A523" s="10"/>
      <c r="B523" s="111"/>
      <c r="C523" s="68"/>
      <c r="D523" s="374"/>
      <c r="E523" s="112"/>
      <c r="F523" s="112"/>
      <c r="G523" s="68"/>
      <c r="H523" s="603"/>
      <c r="I523" s="882"/>
      <c r="J523" s="883"/>
      <c r="K523" s="884"/>
      <c r="L523" s="884"/>
      <c r="M523" s="68"/>
    </row>
    <row r="524" spans="1:13" s="64" customFormat="1">
      <c r="A524" s="10"/>
      <c r="B524" s="111"/>
      <c r="C524" s="68"/>
      <c r="D524" s="374"/>
      <c r="E524" s="112"/>
      <c r="F524" s="112"/>
      <c r="G524" s="68"/>
      <c r="H524" s="603"/>
      <c r="I524" s="882"/>
      <c r="J524" s="883"/>
      <c r="K524" s="884"/>
      <c r="L524" s="884"/>
      <c r="M524" s="68"/>
    </row>
    <row r="525" spans="1:13" s="64" customFormat="1">
      <c r="A525" s="10"/>
      <c r="B525" s="111"/>
      <c r="C525" s="68"/>
      <c r="D525" s="374"/>
      <c r="E525" s="112"/>
      <c r="F525" s="112"/>
      <c r="G525" s="68"/>
      <c r="H525" s="603"/>
      <c r="I525" s="882"/>
      <c r="J525" s="883"/>
      <c r="K525" s="884"/>
      <c r="L525" s="884"/>
      <c r="M525" s="68"/>
    </row>
    <row r="526" spans="1:13" s="64" customFormat="1">
      <c r="A526" s="10"/>
      <c r="B526" s="111"/>
      <c r="C526" s="68"/>
      <c r="D526" s="374"/>
      <c r="E526" s="112"/>
      <c r="F526" s="112"/>
      <c r="G526" s="68"/>
      <c r="H526" s="603"/>
      <c r="I526" s="882"/>
      <c r="J526" s="883"/>
      <c r="K526" s="884"/>
      <c r="L526" s="884"/>
      <c r="M526" s="68"/>
    </row>
    <row r="527" spans="1:13" s="64" customFormat="1">
      <c r="A527" s="10"/>
      <c r="B527" s="111"/>
      <c r="C527" s="68"/>
      <c r="D527" s="374"/>
      <c r="E527" s="112"/>
      <c r="F527" s="112"/>
      <c r="G527" s="68"/>
      <c r="H527" s="603"/>
      <c r="I527" s="882"/>
      <c r="J527" s="883"/>
      <c r="K527" s="884"/>
      <c r="L527" s="884"/>
      <c r="M527" s="68"/>
    </row>
    <row r="528" spans="1:13" s="64" customFormat="1">
      <c r="A528" s="10"/>
      <c r="B528" s="111"/>
      <c r="C528" s="68"/>
      <c r="D528" s="374"/>
      <c r="E528" s="112"/>
      <c r="F528" s="112"/>
      <c r="G528" s="68"/>
      <c r="H528" s="603"/>
      <c r="I528" s="882"/>
      <c r="J528" s="883"/>
      <c r="K528" s="884"/>
      <c r="L528" s="884"/>
      <c r="M528" s="68"/>
    </row>
    <row r="529" spans="1:13" s="64" customFormat="1">
      <c r="A529" s="10"/>
      <c r="B529" s="111"/>
      <c r="C529" s="68"/>
      <c r="D529" s="374"/>
      <c r="E529" s="112"/>
      <c r="F529" s="112"/>
      <c r="G529" s="68"/>
      <c r="H529" s="603"/>
      <c r="I529" s="882"/>
      <c r="J529" s="883"/>
      <c r="K529" s="884"/>
      <c r="L529" s="884"/>
      <c r="M529" s="68"/>
    </row>
    <row r="530" spans="1:13" s="64" customFormat="1">
      <c r="A530" s="10"/>
      <c r="B530" s="111"/>
      <c r="C530" s="68"/>
      <c r="D530" s="374"/>
      <c r="E530" s="112"/>
      <c r="F530" s="112"/>
      <c r="G530" s="68"/>
      <c r="H530" s="603"/>
      <c r="I530" s="882"/>
      <c r="J530" s="883"/>
      <c r="K530" s="884"/>
      <c r="L530" s="884"/>
      <c r="M530" s="68"/>
    </row>
    <row r="531" spans="1:13" s="64" customFormat="1">
      <c r="A531" s="10"/>
      <c r="B531" s="111"/>
      <c r="C531" s="68"/>
      <c r="D531" s="374"/>
      <c r="E531" s="112"/>
      <c r="F531" s="112"/>
      <c r="G531" s="68"/>
      <c r="H531" s="603"/>
      <c r="I531" s="882"/>
      <c r="J531" s="883"/>
      <c r="K531" s="884"/>
      <c r="L531" s="884"/>
      <c r="M531" s="68"/>
    </row>
    <row r="532" spans="1:13" s="64" customFormat="1">
      <c r="A532" s="10"/>
      <c r="B532" s="111"/>
      <c r="C532" s="68"/>
      <c r="D532" s="374"/>
      <c r="E532" s="112"/>
      <c r="F532" s="112"/>
      <c r="G532" s="68"/>
      <c r="H532" s="603"/>
      <c r="I532" s="882"/>
      <c r="J532" s="883"/>
      <c r="K532" s="884"/>
      <c r="L532" s="884"/>
      <c r="M532" s="68"/>
    </row>
    <row r="533" spans="1:13" s="64" customFormat="1">
      <c r="A533" s="10"/>
      <c r="B533" s="111"/>
      <c r="C533" s="68"/>
      <c r="D533" s="374"/>
      <c r="E533" s="112"/>
      <c r="F533" s="112"/>
      <c r="G533" s="68"/>
      <c r="H533" s="603"/>
      <c r="I533" s="882"/>
      <c r="J533" s="883"/>
      <c r="K533" s="884"/>
      <c r="L533" s="884"/>
      <c r="M533" s="68"/>
    </row>
    <row r="534" spans="1:13" s="64" customFormat="1">
      <c r="A534" s="10"/>
      <c r="B534" s="111"/>
      <c r="C534" s="68"/>
      <c r="D534" s="374"/>
      <c r="E534" s="112"/>
      <c r="F534" s="112"/>
      <c r="G534" s="68"/>
      <c r="H534" s="603"/>
      <c r="I534" s="882"/>
      <c r="J534" s="883"/>
      <c r="K534" s="884"/>
      <c r="L534" s="884"/>
      <c r="M534" s="68"/>
    </row>
    <row r="535" spans="1:13" s="64" customFormat="1">
      <c r="A535" s="10"/>
      <c r="B535" s="111"/>
      <c r="C535" s="68"/>
      <c r="D535" s="374"/>
      <c r="E535" s="112"/>
      <c r="F535" s="112"/>
      <c r="G535" s="68"/>
      <c r="H535" s="603"/>
      <c r="I535" s="882"/>
      <c r="J535" s="883"/>
      <c r="K535" s="884"/>
      <c r="L535" s="884"/>
      <c r="M535" s="68"/>
    </row>
    <row r="536" spans="1:13" s="64" customFormat="1">
      <c r="A536" s="10"/>
      <c r="B536" s="111"/>
      <c r="C536" s="68"/>
      <c r="D536" s="374"/>
      <c r="E536" s="112"/>
      <c r="F536" s="112"/>
      <c r="G536" s="68"/>
      <c r="H536" s="603"/>
      <c r="I536" s="882"/>
      <c r="J536" s="883"/>
      <c r="K536" s="884"/>
      <c r="L536" s="884"/>
      <c r="M536" s="68"/>
    </row>
    <row r="537" spans="1:13" s="64" customFormat="1">
      <c r="A537" s="10"/>
      <c r="B537" s="111"/>
      <c r="C537" s="68"/>
      <c r="D537" s="374"/>
      <c r="E537" s="112"/>
      <c r="F537" s="112"/>
      <c r="G537" s="68"/>
      <c r="H537" s="603"/>
      <c r="I537" s="882"/>
      <c r="J537" s="883"/>
      <c r="K537" s="884"/>
      <c r="L537" s="884"/>
      <c r="M537" s="68"/>
    </row>
    <row r="538" spans="1:13" s="64" customFormat="1">
      <c r="A538" s="10"/>
      <c r="B538" s="111"/>
      <c r="C538" s="68"/>
      <c r="D538" s="374"/>
      <c r="E538" s="112"/>
      <c r="F538" s="112"/>
      <c r="G538" s="68"/>
      <c r="H538" s="603"/>
      <c r="I538" s="882"/>
      <c r="J538" s="883"/>
      <c r="K538" s="884"/>
      <c r="L538" s="884"/>
      <c r="M538" s="68"/>
    </row>
    <row r="539" spans="1:13" s="64" customFormat="1">
      <c r="A539" s="10"/>
      <c r="B539" s="111"/>
      <c r="C539" s="68"/>
      <c r="D539" s="374"/>
      <c r="E539" s="112"/>
      <c r="F539" s="112"/>
      <c r="G539" s="68"/>
      <c r="H539" s="603"/>
      <c r="I539" s="882"/>
      <c r="J539" s="883"/>
      <c r="K539" s="884"/>
      <c r="L539" s="884"/>
      <c r="M539" s="68"/>
    </row>
    <row r="540" spans="1:13" s="64" customFormat="1">
      <c r="A540" s="10"/>
      <c r="B540" s="111"/>
      <c r="C540" s="68"/>
      <c r="D540" s="374"/>
      <c r="E540" s="112"/>
      <c r="F540" s="112"/>
      <c r="G540" s="68"/>
      <c r="H540" s="603"/>
      <c r="I540" s="882"/>
      <c r="J540" s="883"/>
      <c r="K540" s="884"/>
      <c r="L540" s="884"/>
      <c r="M540" s="68"/>
    </row>
    <row r="541" spans="1:13" s="64" customFormat="1">
      <c r="A541" s="10"/>
      <c r="B541" s="111"/>
      <c r="C541" s="68"/>
      <c r="D541" s="374"/>
      <c r="E541" s="112"/>
      <c r="F541" s="112"/>
      <c r="G541" s="68"/>
      <c r="H541" s="603"/>
      <c r="I541" s="882"/>
      <c r="J541" s="883"/>
      <c r="K541" s="884"/>
      <c r="L541" s="884"/>
      <c r="M541" s="68"/>
    </row>
    <row r="542" spans="1:13" s="64" customFormat="1">
      <c r="A542" s="10"/>
      <c r="B542" s="111"/>
      <c r="C542" s="68"/>
      <c r="D542" s="374"/>
      <c r="E542" s="112"/>
      <c r="F542" s="112"/>
      <c r="G542" s="68"/>
      <c r="H542" s="603"/>
      <c r="I542" s="882"/>
      <c r="J542" s="883"/>
      <c r="K542" s="884"/>
      <c r="L542" s="884"/>
      <c r="M542" s="68"/>
    </row>
    <row r="543" spans="1:13" s="64" customFormat="1">
      <c r="A543" s="10"/>
      <c r="B543" s="111"/>
      <c r="C543" s="68"/>
      <c r="D543" s="374"/>
      <c r="E543" s="112"/>
      <c r="F543" s="112"/>
      <c r="G543" s="68"/>
      <c r="H543" s="603"/>
      <c r="I543" s="882"/>
      <c r="J543" s="883"/>
      <c r="K543" s="884"/>
      <c r="L543" s="884"/>
      <c r="M543" s="68"/>
    </row>
    <row r="544" spans="1:13" s="64" customFormat="1">
      <c r="A544" s="10"/>
      <c r="B544" s="111"/>
      <c r="C544" s="68"/>
      <c r="D544" s="374"/>
      <c r="E544" s="112"/>
      <c r="F544" s="112"/>
      <c r="G544" s="68"/>
      <c r="H544" s="603"/>
      <c r="I544" s="882"/>
      <c r="J544" s="883"/>
      <c r="K544" s="884"/>
      <c r="L544" s="884"/>
      <c r="M544" s="68"/>
    </row>
    <row r="545" spans="1:13" s="64" customFormat="1">
      <c r="A545" s="10"/>
      <c r="B545" s="111"/>
      <c r="C545" s="68"/>
      <c r="D545" s="374"/>
      <c r="E545" s="112"/>
      <c r="F545" s="112"/>
      <c r="G545" s="68"/>
      <c r="H545" s="603"/>
      <c r="I545" s="882"/>
      <c r="J545" s="883"/>
      <c r="K545" s="884"/>
      <c r="L545" s="884"/>
      <c r="M545" s="68"/>
    </row>
    <row r="546" spans="1:13" s="64" customFormat="1">
      <c r="A546" s="10"/>
      <c r="B546" s="111"/>
      <c r="C546" s="68"/>
      <c r="D546" s="374"/>
      <c r="E546" s="112"/>
      <c r="F546" s="112"/>
      <c r="G546" s="68"/>
      <c r="H546" s="603"/>
      <c r="I546" s="882"/>
      <c r="J546" s="883"/>
      <c r="K546" s="884"/>
      <c r="L546" s="884"/>
      <c r="M546" s="68"/>
    </row>
    <row r="547" spans="1:13" s="64" customFormat="1">
      <c r="A547" s="10"/>
      <c r="B547" s="111"/>
      <c r="C547" s="68"/>
      <c r="D547" s="374"/>
      <c r="E547" s="112"/>
      <c r="F547" s="112"/>
      <c r="G547" s="68"/>
      <c r="H547" s="603"/>
      <c r="I547" s="882"/>
      <c r="J547" s="883"/>
      <c r="K547" s="884"/>
      <c r="L547" s="884"/>
      <c r="M547" s="68"/>
    </row>
    <row r="548" spans="1:13" s="64" customFormat="1">
      <c r="A548" s="10"/>
      <c r="B548" s="111"/>
      <c r="C548" s="68"/>
      <c r="D548" s="374"/>
      <c r="E548" s="112"/>
      <c r="F548" s="112"/>
      <c r="G548" s="68"/>
      <c r="H548" s="603"/>
      <c r="I548" s="882"/>
      <c r="J548" s="883"/>
      <c r="K548" s="884"/>
      <c r="L548" s="884"/>
      <c r="M548" s="68"/>
    </row>
    <row r="549" spans="1:13" s="64" customFormat="1">
      <c r="A549" s="10"/>
      <c r="B549" s="111"/>
      <c r="C549" s="68"/>
      <c r="D549" s="374"/>
      <c r="E549" s="112"/>
      <c r="F549" s="112"/>
      <c r="G549" s="68"/>
      <c r="H549" s="603"/>
      <c r="I549" s="882"/>
      <c r="J549" s="883"/>
      <c r="K549" s="884"/>
      <c r="L549" s="884"/>
      <c r="M549" s="68"/>
    </row>
    <row r="550" spans="1:13" s="64" customFormat="1">
      <c r="A550" s="10"/>
      <c r="B550" s="111"/>
      <c r="C550" s="68"/>
      <c r="D550" s="374"/>
      <c r="E550" s="112"/>
      <c r="F550" s="112"/>
      <c r="G550" s="68"/>
      <c r="H550" s="603"/>
      <c r="I550" s="882"/>
      <c r="J550" s="883"/>
      <c r="K550" s="884"/>
      <c r="L550" s="884"/>
      <c r="M550" s="68"/>
    </row>
    <row r="551" spans="1:13" s="64" customFormat="1">
      <c r="A551" s="10"/>
      <c r="B551" s="111"/>
      <c r="C551" s="68"/>
      <c r="D551" s="374"/>
      <c r="E551" s="112"/>
      <c r="F551" s="112"/>
      <c r="G551" s="68"/>
      <c r="H551" s="603"/>
      <c r="I551" s="882"/>
      <c r="J551" s="883"/>
      <c r="K551" s="884"/>
      <c r="L551" s="884"/>
      <c r="M551" s="68"/>
    </row>
    <row r="552" spans="1:13" s="64" customFormat="1">
      <c r="A552" s="10"/>
      <c r="B552" s="111"/>
      <c r="C552" s="68"/>
      <c r="D552" s="374"/>
      <c r="E552" s="112"/>
      <c r="F552" s="112"/>
      <c r="G552" s="68"/>
      <c r="H552" s="603"/>
      <c r="I552" s="882"/>
      <c r="J552" s="883"/>
      <c r="K552" s="884"/>
      <c r="L552" s="884"/>
      <c r="M552" s="68"/>
    </row>
    <row r="553" spans="1:13" s="64" customFormat="1">
      <c r="A553" s="10"/>
      <c r="B553" s="111"/>
      <c r="C553" s="68"/>
      <c r="D553" s="374"/>
      <c r="E553" s="112"/>
      <c r="F553" s="112"/>
      <c r="G553" s="68"/>
      <c r="H553" s="603"/>
      <c r="I553" s="882"/>
      <c r="J553" s="883"/>
      <c r="K553" s="884"/>
      <c r="L553" s="884"/>
      <c r="M553" s="68"/>
    </row>
    <row r="554" spans="1:13" s="64" customFormat="1">
      <c r="A554" s="10"/>
      <c r="B554" s="111"/>
      <c r="C554" s="68"/>
      <c r="D554" s="374"/>
      <c r="E554" s="112"/>
      <c r="F554" s="112"/>
      <c r="G554" s="68"/>
      <c r="H554" s="603"/>
      <c r="I554" s="882"/>
      <c r="J554" s="883"/>
      <c r="K554" s="884"/>
      <c r="L554" s="884"/>
      <c r="M554" s="68"/>
    </row>
    <row r="555" spans="1:13" s="64" customFormat="1">
      <c r="A555" s="10"/>
      <c r="B555" s="111"/>
      <c r="C555" s="68"/>
      <c r="D555" s="374"/>
      <c r="E555" s="112"/>
      <c r="F555" s="112"/>
      <c r="G555" s="68"/>
      <c r="H555" s="603"/>
      <c r="I555" s="882"/>
      <c r="J555" s="883"/>
      <c r="K555" s="884"/>
      <c r="L555" s="884"/>
      <c r="M555" s="68"/>
    </row>
    <row r="556" spans="1:13" s="64" customFormat="1">
      <c r="A556" s="10"/>
      <c r="B556" s="111"/>
      <c r="C556" s="68"/>
      <c r="D556" s="374"/>
      <c r="E556" s="112"/>
      <c r="F556" s="112"/>
      <c r="G556" s="68"/>
      <c r="H556" s="603"/>
      <c r="I556" s="882"/>
      <c r="J556" s="883"/>
      <c r="K556" s="884"/>
      <c r="L556" s="884"/>
      <c r="M556" s="68"/>
    </row>
    <row r="557" spans="1:13" s="64" customFormat="1">
      <c r="A557" s="10"/>
      <c r="B557" s="111"/>
      <c r="C557" s="68"/>
      <c r="D557" s="374"/>
      <c r="E557" s="112"/>
      <c r="F557" s="112"/>
      <c r="G557" s="68"/>
      <c r="H557" s="603"/>
      <c r="I557" s="882"/>
      <c r="J557" s="883"/>
      <c r="K557" s="884"/>
      <c r="L557" s="884"/>
      <c r="M557" s="68"/>
    </row>
    <row r="558" spans="1:13" s="64" customFormat="1">
      <c r="A558" s="10"/>
      <c r="B558" s="111"/>
      <c r="C558" s="68"/>
      <c r="D558" s="374"/>
      <c r="E558" s="112"/>
      <c r="F558" s="112"/>
      <c r="G558" s="68"/>
      <c r="H558" s="603"/>
      <c r="I558" s="882"/>
      <c r="J558" s="883"/>
      <c r="K558" s="884"/>
      <c r="L558" s="884"/>
      <c r="M558" s="68"/>
    </row>
    <row r="559" spans="1:13" s="64" customFormat="1">
      <c r="A559" s="10"/>
      <c r="B559" s="111"/>
      <c r="C559" s="68"/>
      <c r="D559" s="374"/>
      <c r="E559" s="112"/>
      <c r="F559" s="112"/>
      <c r="G559" s="68"/>
      <c r="H559" s="603"/>
      <c r="I559" s="882"/>
      <c r="J559" s="883"/>
      <c r="K559" s="884"/>
      <c r="L559" s="884"/>
      <c r="M559" s="68"/>
    </row>
    <row r="560" spans="1:13" s="64" customFormat="1">
      <c r="A560" s="10"/>
      <c r="B560" s="111"/>
      <c r="C560" s="68"/>
      <c r="D560" s="374"/>
      <c r="E560" s="112"/>
      <c r="F560" s="112"/>
      <c r="G560" s="68"/>
      <c r="H560" s="603"/>
      <c r="I560" s="882"/>
      <c r="J560" s="883"/>
      <c r="K560" s="884"/>
      <c r="L560" s="884"/>
      <c r="M560" s="68"/>
    </row>
    <row r="561" spans="1:13" s="64" customFormat="1">
      <c r="A561" s="10"/>
      <c r="B561" s="111"/>
      <c r="C561" s="68"/>
      <c r="D561" s="374"/>
      <c r="E561" s="112"/>
      <c r="F561" s="112"/>
      <c r="G561" s="68"/>
      <c r="H561" s="603"/>
      <c r="I561" s="882"/>
      <c r="J561" s="883"/>
      <c r="K561" s="884"/>
      <c r="L561" s="884"/>
      <c r="M561" s="68"/>
    </row>
    <row r="562" spans="1:13" s="64" customFormat="1">
      <c r="A562" s="10"/>
      <c r="B562" s="111"/>
      <c r="C562" s="68"/>
      <c r="D562" s="374"/>
      <c r="E562" s="112"/>
      <c r="F562" s="112"/>
      <c r="G562" s="68"/>
      <c r="H562" s="603"/>
      <c r="I562" s="882"/>
      <c r="J562" s="883"/>
      <c r="K562" s="884"/>
      <c r="L562" s="884"/>
      <c r="M562" s="68"/>
    </row>
    <row r="563" spans="1:13" s="64" customFormat="1">
      <c r="A563" s="10"/>
      <c r="B563" s="111"/>
      <c r="C563" s="68"/>
      <c r="D563" s="374"/>
      <c r="E563" s="112"/>
      <c r="F563" s="112"/>
      <c r="G563" s="68"/>
      <c r="H563" s="603"/>
      <c r="I563" s="882"/>
      <c r="J563" s="883"/>
      <c r="K563" s="884"/>
      <c r="L563" s="884"/>
      <c r="M563" s="68"/>
    </row>
    <row r="564" spans="1:13" s="64" customFormat="1">
      <c r="A564" s="10"/>
      <c r="B564" s="111"/>
      <c r="C564" s="68"/>
      <c r="D564" s="374"/>
      <c r="E564" s="112"/>
      <c r="F564" s="112"/>
      <c r="G564" s="68"/>
      <c r="H564" s="603"/>
      <c r="I564" s="882"/>
      <c r="J564" s="883"/>
      <c r="K564" s="884"/>
      <c r="L564" s="884"/>
      <c r="M564" s="68"/>
    </row>
    <row r="565" spans="1:13" s="64" customFormat="1">
      <c r="A565" s="10"/>
      <c r="B565" s="111"/>
      <c r="C565" s="68"/>
      <c r="D565" s="374"/>
      <c r="E565" s="112"/>
      <c r="F565" s="112"/>
      <c r="G565" s="68"/>
      <c r="H565" s="603"/>
      <c r="I565" s="882"/>
      <c r="J565" s="883"/>
      <c r="K565" s="884"/>
      <c r="L565" s="884"/>
      <c r="M565" s="68"/>
    </row>
    <row r="566" spans="1:13" s="64" customFormat="1">
      <c r="A566" s="10"/>
      <c r="B566" s="111"/>
      <c r="C566" s="68"/>
      <c r="D566" s="374"/>
      <c r="E566" s="112"/>
      <c r="F566" s="112"/>
      <c r="G566" s="68"/>
      <c r="H566" s="603"/>
      <c r="I566" s="882"/>
      <c r="J566" s="883"/>
      <c r="K566" s="884"/>
      <c r="L566" s="884"/>
      <c r="M566" s="68"/>
    </row>
    <row r="567" spans="1:13" s="64" customFormat="1">
      <c r="A567" s="10"/>
      <c r="B567" s="111"/>
      <c r="C567" s="68"/>
      <c r="D567" s="374"/>
      <c r="E567" s="112"/>
      <c r="F567" s="112"/>
      <c r="G567" s="68"/>
      <c r="H567" s="603"/>
      <c r="I567" s="882"/>
      <c r="J567" s="883"/>
      <c r="K567" s="884"/>
      <c r="L567" s="884"/>
      <c r="M567" s="68"/>
    </row>
    <row r="568" spans="1:13" s="64" customFormat="1">
      <c r="A568" s="10"/>
      <c r="B568" s="111"/>
      <c r="C568" s="68"/>
      <c r="D568" s="374"/>
      <c r="E568" s="112"/>
      <c r="F568" s="112"/>
      <c r="G568" s="68"/>
      <c r="H568" s="603"/>
      <c r="I568" s="882"/>
      <c r="J568" s="883"/>
      <c r="K568" s="884"/>
      <c r="L568" s="884"/>
      <c r="M568" s="68"/>
    </row>
    <row r="569" spans="1:13" s="64" customFormat="1">
      <c r="A569" s="10"/>
      <c r="B569" s="111"/>
      <c r="C569" s="68"/>
      <c r="D569" s="374"/>
      <c r="E569" s="112"/>
      <c r="F569" s="112"/>
      <c r="G569" s="68"/>
      <c r="H569" s="603"/>
      <c r="I569" s="882"/>
      <c r="J569" s="883"/>
      <c r="K569" s="884"/>
      <c r="L569" s="884"/>
      <c r="M569" s="68"/>
    </row>
    <row r="570" spans="1:13" s="64" customFormat="1">
      <c r="A570" s="10"/>
      <c r="B570" s="111"/>
      <c r="C570" s="68"/>
      <c r="D570" s="374"/>
      <c r="E570" s="112"/>
      <c r="F570" s="112"/>
      <c r="G570" s="68"/>
      <c r="H570" s="603"/>
      <c r="I570" s="882"/>
      <c r="J570" s="883"/>
      <c r="K570" s="884"/>
      <c r="L570" s="884"/>
      <c r="M570" s="68"/>
    </row>
    <row r="571" spans="1:13" s="64" customFormat="1">
      <c r="A571" s="10"/>
      <c r="B571" s="111"/>
      <c r="C571" s="68"/>
      <c r="D571" s="374"/>
      <c r="E571" s="112"/>
      <c r="F571" s="112"/>
      <c r="G571" s="68"/>
      <c r="H571" s="603"/>
      <c r="I571" s="882"/>
      <c r="J571" s="883"/>
      <c r="K571" s="884"/>
      <c r="L571" s="884"/>
      <c r="M571" s="68"/>
    </row>
    <row r="572" spans="1:13" s="64" customFormat="1">
      <c r="A572" s="10"/>
      <c r="B572" s="111"/>
      <c r="C572" s="68"/>
      <c r="D572" s="374"/>
      <c r="E572" s="112"/>
      <c r="F572" s="112"/>
      <c r="G572" s="68"/>
      <c r="H572" s="603"/>
      <c r="I572" s="882"/>
      <c r="J572" s="883"/>
      <c r="K572" s="884"/>
      <c r="L572" s="884"/>
      <c r="M572" s="68"/>
    </row>
    <row r="573" spans="1:13" s="64" customFormat="1">
      <c r="A573" s="10"/>
      <c r="B573" s="111"/>
      <c r="C573" s="68"/>
      <c r="D573" s="374"/>
      <c r="E573" s="112"/>
      <c r="F573" s="112"/>
      <c r="G573" s="68"/>
      <c r="H573" s="603"/>
      <c r="I573" s="882"/>
      <c r="J573" s="883"/>
      <c r="K573" s="884"/>
      <c r="L573" s="884"/>
      <c r="M573" s="68"/>
    </row>
    <row r="574" spans="1:13" s="64" customFormat="1">
      <c r="A574" s="10"/>
      <c r="B574" s="111"/>
      <c r="C574" s="68"/>
      <c r="D574" s="374"/>
      <c r="E574" s="112"/>
      <c r="F574" s="112"/>
      <c r="G574" s="68"/>
      <c r="H574" s="603"/>
      <c r="I574" s="882"/>
      <c r="J574" s="883"/>
      <c r="K574" s="884"/>
      <c r="L574" s="884"/>
      <c r="M574" s="68"/>
    </row>
    <row r="575" spans="1:13" s="64" customFormat="1">
      <c r="A575" s="10"/>
      <c r="B575" s="111"/>
      <c r="C575" s="68"/>
      <c r="D575" s="374"/>
      <c r="E575" s="112"/>
      <c r="F575" s="112"/>
      <c r="G575" s="68"/>
      <c r="H575" s="603"/>
      <c r="I575" s="882"/>
      <c r="J575" s="883"/>
      <c r="K575" s="884"/>
      <c r="L575" s="884"/>
      <c r="M575" s="68"/>
    </row>
    <row r="576" spans="1:13" s="64" customFormat="1">
      <c r="A576" s="10"/>
      <c r="B576" s="111"/>
      <c r="C576" s="68"/>
      <c r="D576" s="374"/>
      <c r="E576" s="112"/>
      <c r="F576" s="112"/>
      <c r="G576" s="68"/>
      <c r="H576" s="603"/>
      <c r="I576" s="882"/>
      <c r="J576" s="883"/>
      <c r="K576" s="884"/>
      <c r="L576" s="884"/>
      <c r="M576" s="68"/>
    </row>
    <row r="577" spans="1:13" s="64" customFormat="1">
      <c r="A577" s="10"/>
      <c r="B577" s="111"/>
      <c r="C577" s="68"/>
      <c r="D577" s="374"/>
      <c r="E577" s="112"/>
      <c r="F577" s="112"/>
      <c r="G577" s="68"/>
      <c r="H577" s="603"/>
      <c r="I577" s="882"/>
      <c r="J577" s="883"/>
      <c r="K577" s="884"/>
      <c r="L577" s="884"/>
      <c r="M577" s="68"/>
    </row>
    <row r="578" spans="1:13" s="64" customFormat="1">
      <c r="A578" s="10"/>
      <c r="B578" s="111"/>
      <c r="C578" s="68"/>
      <c r="D578" s="374"/>
      <c r="E578" s="112"/>
      <c r="F578" s="112"/>
      <c r="G578" s="68"/>
      <c r="H578" s="603"/>
      <c r="I578" s="882"/>
      <c r="J578" s="883"/>
      <c r="K578" s="884"/>
      <c r="L578" s="884"/>
      <c r="M578" s="68"/>
    </row>
    <row r="579" spans="1:13" s="64" customFormat="1">
      <c r="A579" s="10"/>
      <c r="B579" s="111"/>
      <c r="C579" s="68"/>
      <c r="D579" s="374"/>
      <c r="E579" s="112"/>
      <c r="F579" s="112"/>
      <c r="G579" s="68"/>
      <c r="H579" s="603"/>
      <c r="I579" s="882"/>
      <c r="J579" s="883"/>
      <c r="K579" s="884"/>
      <c r="L579" s="884"/>
      <c r="M579" s="68"/>
    </row>
    <row r="580" spans="1:13" s="64" customFormat="1">
      <c r="A580" s="10"/>
      <c r="B580" s="111"/>
      <c r="C580" s="68"/>
      <c r="D580" s="374"/>
      <c r="E580" s="112"/>
      <c r="F580" s="112"/>
      <c r="G580" s="68"/>
      <c r="H580" s="603"/>
      <c r="I580" s="882"/>
      <c r="J580" s="883"/>
      <c r="K580" s="884"/>
      <c r="L580" s="884"/>
      <c r="M580" s="68"/>
    </row>
    <row r="581" spans="1:13" s="64" customFormat="1">
      <c r="A581" s="10"/>
      <c r="B581" s="111"/>
      <c r="C581" s="68"/>
      <c r="D581" s="374"/>
      <c r="E581" s="112"/>
      <c r="F581" s="112"/>
      <c r="G581" s="68"/>
      <c r="H581" s="603"/>
      <c r="I581" s="882"/>
      <c r="J581" s="883"/>
      <c r="K581" s="884"/>
      <c r="L581" s="884"/>
      <c r="M581" s="68"/>
    </row>
    <row r="582" spans="1:13" s="64" customFormat="1">
      <c r="A582" s="10"/>
      <c r="B582" s="111"/>
      <c r="C582" s="68"/>
      <c r="D582" s="374"/>
      <c r="E582" s="112"/>
      <c r="F582" s="112"/>
      <c r="G582" s="68"/>
      <c r="H582" s="603"/>
      <c r="I582" s="882"/>
      <c r="J582" s="883"/>
      <c r="K582" s="884"/>
      <c r="L582" s="884"/>
      <c r="M582" s="68"/>
    </row>
    <row r="583" spans="1:13" s="64" customFormat="1">
      <c r="A583" s="10"/>
      <c r="B583" s="111"/>
      <c r="C583" s="68"/>
      <c r="D583" s="374"/>
      <c r="E583" s="112"/>
      <c r="F583" s="112"/>
      <c r="G583" s="68"/>
      <c r="H583" s="603"/>
      <c r="I583" s="882"/>
      <c r="J583" s="883"/>
      <c r="K583" s="884"/>
      <c r="L583" s="884"/>
      <c r="M583" s="68"/>
    </row>
    <row r="584" spans="1:13" s="64" customFormat="1">
      <c r="A584" s="10"/>
      <c r="B584" s="111"/>
      <c r="C584" s="68"/>
      <c r="D584" s="374"/>
      <c r="E584" s="112"/>
      <c r="F584" s="112"/>
      <c r="G584" s="68"/>
      <c r="H584" s="603"/>
      <c r="I584" s="882"/>
      <c r="J584" s="883"/>
      <c r="K584" s="884"/>
      <c r="L584" s="884"/>
      <c r="M584" s="68"/>
    </row>
    <row r="585" spans="1:13" s="64" customFormat="1">
      <c r="A585" s="10"/>
      <c r="B585" s="111"/>
      <c r="C585" s="68"/>
      <c r="D585" s="374"/>
      <c r="E585" s="112"/>
      <c r="F585" s="112"/>
      <c r="G585" s="68"/>
      <c r="H585" s="603"/>
      <c r="I585" s="882"/>
      <c r="J585" s="883"/>
      <c r="K585" s="884"/>
      <c r="L585" s="884"/>
      <c r="M585" s="68"/>
    </row>
    <row r="586" spans="1:13" s="64" customFormat="1">
      <c r="A586" s="10"/>
      <c r="B586" s="111"/>
      <c r="C586" s="68"/>
      <c r="D586" s="374"/>
      <c r="E586" s="112"/>
      <c r="F586" s="112"/>
      <c r="G586" s="68"/>
      <c r="H586" s="603"/>
      <c r="I586" s="882"/>
      <c r="J586" s="883"/>
      <c r="K586" s="884"/>
      <c r="L586" s="884"/>
      <c r="M586" s="68"/>
    </row>
    <row r="587" spans="1:13" s="64" customFormat="1">
      <c r="A587" s="10"/>
      <c r="B587" s="111"/>
      <c r="C587" s="68"/>
      <c r="D587" s="374"/>
      <c r="E587" s="112"/>
      <c r="F587" s="112"/>
      <c r="G587" s="68"/>
      <c r="H587" s="603"/>
      <c r="I587" s="882"/>
      <c r="J587" s="883"/>
      <c r="K587" s="884"/>
      <c r="L587" s="884"/>
      <c r="M587" s="68"/>
    </row>
    <row r="588" spans="1:13" s="64" customFormat="1">
      <c r="A588" s="10"/>
      <c r="B588" s="111"/>
      <c r="C588" s="68"/>
      <c r="D588" s="374"/>
      <c r="E588" s="112"/>
      <c r="F588" s="112"/>
      <c r="G588" s="68"/>
      <c r="H588" s="603"/>
      <c r="I588" s="882"/>
      <c r="J588" s="883"/>
      <c r="K588" s="884"/>
      <c r="L588" s="884"/>
      <c r="M588" s="68"/>
    </row>
    <row r="589" spans="1:13" s="64" customFormat="1">
      <c r="A589" s="10"/>
      <c r="B589" s="111"/>
      <c r="C589" s="68"/>
      <c r="D589" s="374"/>
      <c r="E589" s="112"/>
      <c r="F589" s="112"/>
      <c r="G589" s="68"/>
      <c r="H589" s="603"/>
      <c r="I589" s="882"/>
      <c r="J589" s="883"/>
      <c r="K589" s="884"/>
      <c r="L589" s="884"/>
      <c r="M589" s="68"/>
    </row>
    <row r="590" spans="1:13" s="64" customFormat="1">
      <c r="A590" s="10"/>
      <c r="B590" s="111"/>
      <c r="C590" s="68"/>
      <c r="D590" s="374"/>
      <c r="E590" s="112"/>
      <c r="F590" s="112"/>
      <c r="G590" s="68"/>
      <c r="H590" s="603"/>
      <c r="I590" s="882"/>
      <c r="J590" s="883"/>
      <c r="K590" s="884"/>
      <c r="L590" s="884"/>
      <c r="M590" s="68"/>
    </row>
    <row r="591" spans="1:13" s="64" customFormat="1">
      <c r="A591" s="10"/>
      <c r="B591" s="111"/>
      <c r="C591" s="68"/>
      <c r="D591" s="374"/>
      <c r="E591" s="112"/>
      <c r="F591" s="112"/>
      <c r="G591" s="68"/>
      <c r="H591" s="603"/>
      <c r="I591" s="882"/>
      <c r="J591" s="883"/>
      <c r="K591" s="884"/>
      <c r="L591" s="884"/>
      <c r="M591" s="68"/>
    </row>
    <row r="592" spans="1:13" s="64" customFormat="1">
      <c r="A592" s="10"/>
      <c r="B592" s="111"/>
      <c r="C592" s="68"/>
      <c r="D592" s="374"/>
      <c r="E592" s="112"/>
      <c r="F592" s="112"/>
      <c r="G592" s="68"/>
      <c r="H592" s="603"/>
      <c r="I592" s="882"/>
      <c r="J592" s="883"/>
      <c r="K592" s="884"/>
      <c r="L592" s="884"/>
      <c r="M592" s="68"/>
    </row>
    <row r="593" spans="1:13" s="64" customFormat="1">
      <c r="A593" s="10"/>
      <c r="B593" s="111"/>
      <c r="C593" s="68"/>
      <c r="D593" s="374"/>
      <c r="E593" s="112"/>
      <c r="F593" s="112"/>
      <c r="G593" s="68"/>
      <c r="H593" s="603"/>
      <c r="I593" s="882"/>
      <c r="J593" s="883"/>
      <c r="K593" s="884"/>
      <c r="L593" s="884"/>
      <c r="M593" s="68"/>
    </row>
    <row r="594" spans="1:13" s="64" customFormat="1">
      <c r="A594" s="10"/>
      <c r="B594" s="111"/>
      <c r="C594" s="68"/>
      <c r="D594" s="374"/>
      <c r="E594" s="112"/>
      <c r="F594" s="112"/>
      <c r="G594" s="68"/>
      <c r="H594" s="603"/>
      <c r="I594" s="882"/>
      <c r="J594" s="883"/>
      <c r="K594" s="884"/>
      <c r="L594" s="884"/>
      <c r="M594" s="68"/>
    </row>
    <row r="595" spans="1:13" s="64" customFormat="1">
      <c r="A595" s="10"/>
      <c r="B595" s="111"/>
      <c r="C595" s="68"/>
      <c r="D595" s="374"/>
      <c r="E595" s="112"/>
      <c r="F595" s="112"/>
      <c r="G595" s="68"/>
      <c r="H595" s="603"/>
      <c r="I595" s="882"/>
      <c r="J595" s="883"/>
      <c r="K595" s="884"/>
      <c r="L595" s="884"/>
      <c r="M595" s="68"/>
    </row>
    <row r="596" spans="1:13" s="64" customFormat="1">
      <c r="A596" s="10"/>
      <c r="B596" s="111"/>
      <c r="C596" s="68"/>
      <c r="D596" s="374"/>
      <c r="E596" s="112"/>
      <c r="F596" s="112"/>
      <c r="G596" s="68"/>
      <c r="H596" s="603"/>
      <c r="I596" s="882"/>
      <c r="J596" s="883"/>
      <c r="K596" s="884"/>
      <c r="L596" s="884"/>
      <c r="M596" s="68"/>
    </row>
    <row r="597" spans="1:13" s="64" customFormat="1">
      <c r="A597" s="10"/>
      <c r="B597" s="111"/>
      <c r="C597" s="68"/>
      <c r="D597" s="374"/>
      <c r="E597" s="112"/>
      <c r="F597" s="112"/>
      <c r="G597" s="68"/>
      <c r="H597" s="603"/>
      <c r="I597" s="882"/>
      <c r="J597" s="883"/>
      <c r="K597" s="884"/>
      <c r="L597" s="884"/>
      <c r="M597" s="68"/>
    </row>
    <row r="598" spans="1:13" s="64" customFormat="1">
      <c r="A598" s="10"/>
      <c r="B598" s="111"/>
      <c r="C598" s="68"/>
      <c r="D598" s="374"/>
      <c r="E598" s="112"/>
      <c r="F598" s="112"/>
      <c r="G598" s="68"/>
      <c r="H598" s="603"/>
      <c r="I598" s="882"/>
      <c r="J598" s="883"/>
      <c r="K598" s="884"/>
      <c r="L598" s="884"/>
      <c r="M598" s="68"/>
    </row>
    <row r="599" spans="1:13" s="64" customFormat="1">
      <c r="A599" s="10"/>
      <c r="B599" s="111"/>
      <c r="C599" s="68"/>
      <c r="D599" s="374"/>
      <c r="E599" s="112"/>
      <c r="F599" s="112"/>
      <c r="G599" s="68"/>
      <c r="H599" s="603"/>
      <c r="I599" s="882"/>
      <c r="J599" s="883"/>
      <c r="K599" s="884"/>
      <c r="L599" s="884"/>
      <c r="M599" s="68"/>
    </row>
    <row r="600" spans="1:13" s="64" customFormat="1">
      <c r="A600" s="10"/>
      <c r="B600" s="111"/>
      <c r="C600" s="68"/>
      <c r="D600" s="374"/>
      <c r="E600" s="112"/>
      <c r="F600" s="112"/>
      <c r="G600" s="68"/>
      <c r="H600" s="603"/>
      <c r="I600" s="882"/>
      <c r="J600" s="883"/>
      <c r="K600" s="884"/>
      <c r="L600" s="884"/>
      <c r="M600" s="68"/>
    </row>
    <row r="601" spans="1:13" s="64" customFormat="1">
      <c r="A601" s="10"/>
      <c r="B601" s="111"/>
      <c r="C601" s="68"/>
      <c r="D601" s="374"/>
      <c r="E601" s="112"/>
      <c r="F601" s="112"/>
      <c r="G601" s="68"/>
      <c r="H601" s="603"/>
      <c r="I601" s="882"/>
      <c r="J601" s="883"/>
      <c r="K601" s="884"/>
      <c r="L601" s="884"/>
      <c r="M601" s="68"/>
    </row>
    <row r="602" spans="1:13" s="64" customFormat="1">
      <c r="A602" s="10"/>
      <c r="B602" s="111"/>
      <c r="C602" s="68"/>
      <c r="D602" s="374"/>
      <c r="E602" s="112"/>
      <c r="F602" s="112"/>
      <c r="G602" s="68"/>
      <c r="H602" s="603"/>
      <c r="I602" s="882"/>
      <c r="J602" s="883"/>
      <c r="K602" s="884"/>
      <c r="L602" s="884"/>
      <c r="M602" s="68"/>
    </row>
    <row r="603" spans="1:13" s="64" customFormat="1">
      <c r="A603" s="10"/>
      <c r="B603" s="111"/>
      <c r="C603" s="68"/>
      <c r="D603" s="374"/>
      <c r="E603" s="112"/>
      <c r="F603" s="112"/>
      <c r="G603" s="68"/>
      <c r="H603" s="603"/>
      <c r="I603" s="882"/>
      <c r="J603" s="883"/>
      <c r="K603" s="884"/>
      <c r="L603" s="884"/>
      <c r="M603" s="68"/>
    </row>
    <row r="604" spans="1:13" s="64" customFormat="1">
      <c r="A604" s="10"/>
      <c r="B604" s="111"/>
      <c r="C604" s="68"/>
      <c r="D604" s="374"/>
      <c r="E604" s="112"/>
      <c r="F604" s="112"/>
      <c r="G604" s="68"/>
      <c r="H604" s="603"/>
      <c r="I604" s="882"/>
      <c r="J604" s="883"/>
      <c r="K604" s="884"/>
      <c r="L604" s="884"/>
      <c r="M604" s="68"/>
    </row>
    <row r="605" spans="1:13" s="64" customFormat="1">
      <c r="A605" s="10"/>
      <c r="B605" s="111"/>
      <c r="C605" s="68"/>
      <c r="D605" s="374"/>
      <c r="E605" s="112"/>
      <c r="F605" s="112"/>
      <c r="G605" s="68"/>
      <c r="H605" s="603"/>
      <c r="I605" s="882"/>
      <c r="J605" s="883"/>
      <c r="K605" s="884"/>
      <c r="L605" s="884"/>
      <c r="M605" s="68"/>
    </row>
    <row r="606" spans="1:13" s="64" customFormat="1">
      <c r="A606" s="10"/>
      <c r="B606" s="111"/>
      <c r="C606" s="68"/>
      <c r="D606" s="374"/>
      <c r="E606" s="112"/>
      <c r="F606" s="112"/>
      <c r="G606" s="68"/>
      <c r="H606" s="603"/>
      <c r="I606" s="882"/>
      <c r="J606" s="883"/>
      <c r="K606" s="884"/>
      <c r="L606" s="884"/>
      <c r="M606" s="68"/>
    </row>
    <row r="607" spans="1:13" s="64" customFormat="1">
      <c r="A607" s="10"/>
      <c r="B607" s="111"/>
      <c r="C607" s="68"/>
      <c r="D607" s="374"/>
      <c r="E607" s="112"/>
      <c r="F607" s="112"/>
      <c r="G607" s="68"/>
      <c r="H607" s="603"/>
      <c r="I607" s="882"/>
      <c r="J607" s="883"/>
      <c r="K607" s="884"/>
      <c r="L607" s="884"/>
      <c r="M607" s="68"/>
    </row>
    <row r="608" spans="1:13" s="64" customFormat="1">
      <c r="A608" s="10"/>
      <c r="B608" s="111"/>
      <c r="C608" s="68"/>
      <c r="D608" s="374"/>
      <c r="E608" s="112"/>
      <c r="F608" s="112"/>
      <c r="G608" s="68"/>
      <c r="H608" s="603"/>
      <c r="I608" s="882"/>
      <c r="J608" s="883"/>
      <c r="K608" s="884"/>
      <c r="L608" s="884"/>
      <c r="M608" s="68"/>
    </row>
    <row r="609" spans="1:13" s="64" customFormat="1">
      <c r="A609" s="10"/>
      <c r="B609" s="111"/>
      <c r="C609" s="68"/>
      <c r="D609" s="374"/>
      <c r="E609" s="112"/>
      <c r="F609" s="112"/>
      <c r="G609" s="68"/>
      <c r="H609" s="603"/>
      <c r="I609" s="882"/>
      <c r="J609" s="883"/>
      <c r="K609" s="884"/>
      <c r="L609" s="884"/>
      <c r="M609" s="68"/>
    </row>
    <row r="610" spans="1:13" s="64" customFormat="1">
      <c r="A610" s="10"/>
      <c r="B610" s="111"/>
      <c r="C610" s="68"/>
      <c r="D610" s="374"/>
      <c r="E610" s="112"/>
      <c r="F610" s="112"/>
      <c r="G610" s="68"/>
      <c r="H610" s="603"/>
      <c r="I610" s="882"/>
      <c r="J610" s="883"/>
      <c r="K610" s="884"/>
      <c r="L610" s="884"/>
      <c r="M610" s="68"/>
    </row>
    <row r="611" spans="1:13" s="64" customFormat="1">
      <c r="A611" s="10"/>
      <c r="B611" s="111"/>
      <c r="C611" s="68"/>
      <c r="D611" s="374"/>
      <c r="E611" s="112"/>
      <c r="F611" s="112"/>
      <c r="G611" s="68"/>
      <c r="H611" s="603"/>
      <c r="I611" s="882"/>
      <c r="J611" s="883"/>
      <c r="K611" s="884"/>
      <c r="L611" s="884"/>
      <c r="M611" s="68"/>
    </row>
    <row r="612" spans="1:13" s="64" customFormat="1">
      <c r="A612" s="10"/>
      <c r="B612" s="111"/>
      <c r="C612" s="68"/>
      <c r="D612" s="374"/>
      <c r="E612" s="112"/>
      <c r="F612" s="112"/>
      <c r="G612" s="68"/>
      <c r="H612" s="603"/>
      <c r="I612" s="882"/>
      <c r="J612" s="883"/>
      <c r="K612" s="884"/>
      <c r="L612" s="884"/>
      <c r="M612" s="68"/>
    </row>
    <row r="613" spans="1:13" s="64" customFormat="1">
      <c r="A613" s="10"/>
      <c r="B613" s="111"/>
      <c r="C613" s="68"/>
      <c r="D613" s="374"/>
      <c r="E613" s="112"/>
      <c r="F613" s="112"/>
      <c r="G613" s="68"/>
      <c r="H613" s="603"/>
      <c r="I613" s="882"/>
      <c r="J613" s="883"/>
      <c r="K613" s="884"/>
      <c r="L613" s="884"/>
      <c r="M613" s="68"/>
    </row>
    <row r="614" spans="1:13" s="64" customFormat="1">
      <c r="A614" s="10"/>
      <c r="B614" s="111"/>
      <c r="C614" s="68"/>
      <c r="D614" s="374"/>
      <c r="E614" s="112"/>
      <c r="F614" s="112"/>
      <c r="G614" s="68"/>
      <c r="H614" s="603"/>
      <c r="I614" s="882"/>
      <c r="J614" s="883"/>
      <c r="K614" s="884"/>
      <c r="L614" s="884"/>
      <c r="M614" s="68"/>
    </row>
    <row r="615" spans="1:13" s="64" customFormat="1">
      <c r="A615" s="10"/>
      <c r="B615" s="111"/>
      <c r="C615" s="68"/>
      <c r="D615" s="374"/>
      <c r="E615" s="112"/>
      <c r="F615" s="112"/>
      <c r="G615" s="68"/>
      <c r="H615" s="603"/>
      <c r="I615" s="882"/>
      <c r="J615" s="883"/>
      <c r="K615" s="884"/>
      <c r="L615" s="884"/>
      <c r="M615" s="68"/>
    </row>
    <row r="616" spans="1:13" s="64" customFormat="1">
      <c r="A616" s="10"/>
      <c r="B616" s="111"/>
      <c r="C616" s="68"/>
      <c r="D616" s="374"/>
      <c r="E616" s="112"/>
      <c r="F616" s="112"/>
      <c r="G616" s="68"/>
      <c r="H616" s="603"/>
      <c r="I616" s="882"/>
      <c r="J616" s="883"/>
      <c r="K616" s="884"/>
      <c r="L616" s="884"/>
      <c r="M616" s="68"/>
    </row>
    <row r="617" spans="1:13" s="64" customFormat="1">
      <c r="A617" s="10"/>
      <c r="B617" s="111"/>
      <c r="C617" s="68"/>
      <c r="D617" s="374"/>
      <c r="E617" s="112"/>
      <c r="F617" s="112"/>
      <c r="G617" s="68"/>
      <c r="H617" s="603"/>
      <c r="I617" s="882"/>
      <c r="J617" s="883"/>
      <c r="K617" s="884"/>
      <c r="L617" s="884"/>
      <c r="M617" s="68"/>
    </row>
    <row r="618" spans="1:13" s="64" customFormat="1">
      <c r="A618" s="10"/>
      <c r="B618" s="111"/>
      <c r="C618" s="68"/>
      <c r="D618" s="374"/>
      <c r="E618" s="112"/>
      <c r="F618" s="112"/>
      <c r="G618" s="68"/>
      <c r="H618" s="603"/>
      <c r="I618" s="882"/>
      <c r="J618" s="883"/>
      <c r="K618" s="884"/>
      <c r="L618" s="884"/>
      <c r="M618" s="68"/>
    </row>
    <row r="619" spans="1:13" s="64" customFormat="1">
      <c r="A619" s="10"/>
      <c r="B619" s="111"/>
      <c r="C619" s="68"/>
      <c r="D619" s="374"/>
      <c r="E619" s="112"/>
      <c r="F619" s="112"/>
      <c r="G619" s="68"/>
      <c r="H619" s="603"/>
      <c r="I619" s="882"/>
      <c r="J619" s="883"/>
      <c r="K619" s="884"/>
      <c r="L619" s="884"/>
      <c r="M619" s="68"/>
    </row>
    <row r="620" spans="1:13" s="64" customFormat="1">
      <c r="A620" s="10"/>
      <c r="B620" s="111"/>
      <c r="C620" s="68"/>
      <c r="D620" s="374"/>
      <c r="E620" s="112"/>
      <c r="F620" s="112"/>
      <c r="G620" s="68"/>
      <c r="H620" s="603"/>
      <c r="I620" s="882"/>
      <c r="J620" s="883"/>
      <c r="K620" s="884"/>
      <c r="L620" s="884"/>
      <c r="M620" s="68"/>
    </row>
    <row r="621" spans="1:13" s="64" customFormat="1">
      <c r="A621" s="10"/>
      <c r="B621" s="111"/>
      <c r="C621" s="68"/>
      <c r="D621" s="374"/>
      <c r="E621" s="112"/>
      <c r="F621" s="112"/>
      <c r="G621" s="68"/>
      <c r="H621" s="603"/>
      <c r="I621" s="882"/>
      <c r="J621" s="883"/>
      <c r="K621" s="884"/>
      <c r="L621" s="884"/>
      <c r="M621" s="68"/>
    </row>
    <row r="622" spans="1:13" s="64" customFormat="1">
      <c r="A622" s="10"/>
      <c r="B622" s="111"/>
      <c r="C622" s="68"/>
      <c r="D622" s="374"/>
      <c r="E622" s="112"/>
      <c r="F622" s="112"/>
      <c r="G622" s="68"/>
      <c r="H622" s="603"/>
      <c r="I622" s="882"/>
      <c r="J622" s="883"/>
      <c r="K622" s="884"/>
      <c r="L622" s="884"/>
      <c r="M622" s="68"/>
    </row>
    <row r="623" spans="1:13" s="64" customFormat="1">
      <c r="A623" s="10"/>
      <c r="B623" s="111"/>
      <c r="C623" s="68"/>
      <c r="D623" s="374"/>
      <c r="E623" s="112"/>
      <c r="F623" s="112"/>
      <c r="G623" s="68"/>
      <c r="H623" s="603"/>
      <c r="I623" s="882"/>
      <c r="J623" s="883"/>
      <c r="K623" s="884"/>
      <c r="L623" s="884"/>
      <c r="M623" s="68"/>
    </row>
    <row r="624" spans="1:13" s="64" customFormat="1">
      <c r="A624" s="10"/>
      <c r="B624" s="111"/>
      <c r="C624" s="68"/>
      <c r="D624" s="374"/>
      <c r="E624" s="112"/>
      <c r="F624" s="112"/>
      <c r="G624" s="68"/>
      <c r="H624" s="603"/>
      <c r="I624" s="882"/>
      <c r="J624" s="883"/>
      <c r="K624" s="884"/>
      <c r="L624" s="884"/>
      <c r="M624" s="68"/>
    </row>
    <row r="625" spans="1:13" s="64" customFormat="1">
      <c r="A625" s="10"/>
      <c r="B625" s="111"/>
      <c r="C625" s="68"/>
      <c r="D625" s="374"/>
      <c r="E625" s="112"/>
      <c r="F625" s="112"/>
      <c r="G625" s="68"/>
      <c r="H625" s="603"/>
      <c r="I625" s="882"/>
      <c r="J625" s="883"/>
      <c r="K625" s="884"/>
      <c r="L625" s="884"/>
      <c r="M625" s="68"/>
    </row>
    <row r="626" spans="1:13" s="64" customFormat="1">
      <c r="A626" s="10"/>
      <c r="B626" s="111"/>
      <c r="C626" s="68"/>
      <c r="D626" s="374"/>
      <c r="E626" s="112"/>
      <c r="F626" s="112"/>
      <c r="G626" s="68"/>
      <c r="H626" s="603"/>
      <c r="I626" s="882"/>
      <c r="J626" s="883"/>
      <c r="K626" s="884"/>
      <c r="L626" s="884"/>
      <c r="M626" s="68"/>
    </row>
    <row r="627" spans="1:13" s="64" customFormat="1">
      <c r="A627" s="10"/>
      <c r="B627" s="111"/>
      <c r="C627" s="68"/>
      <c r="D627" s="374"/>
      <c r="E627" s="112"/>
      <c r="F627" s="112"/>
      <c r="G627" s="68"/>
      <c r="H627" s="603"/>
      <c r="I627" s="882"/>
      <c r="J627" s="883"/>
      <c r="K627" s="884"/>
      <c r="L627" s="884"/>
      <c r="M627" s="68"/>
    </row>
    <row r="628" spans="1:13" s="64" customFormat="1">
      <c r="A628" s="10"/>
      <c r="B628" s="111"/>
      <c r="C628" s="68"/>
      <c r="D628" s="374"/>
      <c r="E628" s="112"/>
      <c r="F628" s="112"/>
      <c r="G628" s="68"/>
      <c r="H628" s="603"/>
      <c r="I628" s="882"/>
      <c r="J628" s="883"/>
      <c r="K628" s="884"/>
      <c r="L628" s="884"/>
      <c r="M628" s="68"/>
    </row>
    <row r="629" spans="1:13" s="64" customFormat="1">
      <c r="A629" s="10"/>
      <c r="B629" s="111"/>
      <c r="C629" s="68"/>
      <c r="D629" s="374"/>
      <c r="E629" s="112"/>
      <c r="F629" s="112"/>
      <c r="G629" s="68"/>
      <c r="H629" s="603"/>
      <c r="I629" s="882"/>
      <c r="J629" s="883"/>
      <c r="K629" s="884"/>
      <c r="L629" s="884"/>
      <c r="M629" s="68"/>
    </row>
    <row r="630" spans="1:13" s="64" customFormat="1">
      <c r="A630" s="10"/>
      <c r="B630" s="111"/>
      <c r="C630" s="68"/>
      <c r="D630" s="374"/>
      <c r="E630" s="112"/>
      <c r="F630" s="112"/>
      <c r="G630" s="68"/>
      <c r="H630" s="603"/>
      <c r="I630" s="882"/>
      <c r="J630" s="883"/>
      <c r="K630" s="884"/>
      <c r="L630" s="884"/>
      <c r="M630" s="68"/>
    </row>
    <row r="631" spans="1:13" s="64" customFormat="1">
      <c r="A631" s="10"/>
      <c r="B631" s="111"/>
      <c r="C631" s="68"/>
      <c r="D631" s="374"/>
      <c r="E631" s="112"/>
      <c r="F631" s="112"/>
      <c r="G631" s="68"/>
      <c r="H631" s="603"/>
      <c r="I631" s="882"/>
      <c r="J631" s="883"/>
      <c r="K631" s="884"/>
      <c r="L631" s="884"/>
      <c r="M631" s="68"/>
    </row>
    <row r="632" spans="1:13" s="64" customFormat="1">
      <c r="A632" s="10"/>
      <c r="B632" s="111"/>
      <c r="C632" s="68"/>
      <c r="D632" s="374"/>
      <c r="E632" s="112"/>
      <c r="F632" s="112"/>
      <c r="G632" s="68"/>
      <c r="H632" s="603"/>
      <c r="I632" s="882"/>
      <c r="J632" s="883"/>
      <c r="K632" s="884"/>
      <c r="L632" s="884"/>
      <c r="M632" s="68"/>
    </row>
    <row r="633" spans="1:13" s="64" customFormat="1">
      <c r="A633" s="10"/>
      <c r="B633" s="111"/>
      <c r="C633" s="68"/>
      <c r="D633" s="374"/>
      <c r="E633" s="112"/>
      <c r="F633" s="112"/>
      <c r="G633" s="68"/>
      <c r="H633" s="603"/>
      <c r="I633" s="882"/>
      <c r="J633" s="883"/>
      <c r="K633" s="884"/>
      <c r="L633" s="884"/>
      <c r="M633" s="68"/>
    </row>
    <row r="634" spans="1:13" s="64" customFormat="1">
      <c r="A634" s="10"/>
      <c r="B634" s="111"/>
      <c r="C634" s="68"/>
      <c r="D634" s="374"/>
      <c r="E634" s="112"/>
      <c r="F634" s="112"/>
      <c r="G634" s="68"/>
      <c r="H634" s="603"/>
      <c r="I634" s="882"/>
      <c r="J634" s="883"/>
      <c r="K634" s="884"/>
      <c r="L634" s="884"/>
      <c r="M634" s="68"/>
    </row>
    <row r="635" spans="1:13" s="64" customFormat="1">
      <c r="A635" s="10"/>
      <c r="B635" s="111"/>
      <c r="C635" s="68"/>
      <c r="D635" s="374"/>
      <c r="E635" s="112"/>
      <c r="F635" s="112"/>
      <c r="G635" s="68"/>
      <c r="H635" s="603"/>
      <c r="I635" s="882"/>
      <c r="J635" s="883"/>
      <c r="K635" s="884"/>
      <c r="L635" s="884"/>
      <c r="M635" s="68"/>
    </row>
    <row r="636" spans="1:13" s="64" customFormat="1">
      <c r="A636" s="10"/>
      <c r="B636" s="111"/>
      <c r="C636" s="68"/>
      <c r="D636" s="374"/>
      <c r="E636" s="112"/>
      <c r="F636" s="112"/>
      <c r="G636" s="68"/>
      <c r="H636" s="603"/>
      <c r="I636" s="882"/>
      <c r="J636" s="883"/>
      <c r="K636" s="884"/>
      <c r="L636" s="884"/>
      <c r="M636" s="68"/>
    </row>
    <row r="637" spans="1:13" s="64" customFormat="1">
      <c r="A637" s="10"/>
      <c r="B637" s="111"/>
      <c r="C637" s="68"/>
      <c r="D637" s="374"/>
      <c r="E637" s="112"/>
      <c r="F637" s="112"/>
      <c r="G637" s="68"/>
      <c r="H637" s="603"/>
      <c r="I637" s="882"/>
      <c r="J637" s="883"/>
      <c r="K637" s="884"/>
      <c r="L637" s="884"/>
      <c r="M637" s="68"/>
    </row>
    <row r="638" spans="1:13" s="64" customFormat="1">
      <c r="A638" s="10"/>
      <c r="B638" s="111"/>
      <c r="C638" s="68"/>
      <c r="D638" s="374"/>
      <c r="E638" s="112"/>
      <c r="F638" s="112"/>
      <c r="G638" s="68"/>
      <c r="H638" s="603"/>
      <c r="I638" s="882"/>
      <c r="J638" s="883"/>
      <c r="K638" s="884"/>
      <c r="L638" s="884"/>
      <c r="M638" s="68"/>
    </row>
    <row r="639" spans="1:13" s="64" customFormat="1">
      <c r="A639" s="10"/>
      <c r="B639" s="111"/>
      <c r="C639" s="68"/>
      <c r="D639" s="374"/>
      <c r="E639" s="112"/>
      <c r="F639" s="112"/>
      <c r="G639" s="68"/>
      <c r="H639" s="603"/>
      <c r="I639" s="882"/>
      <c r="J639" s="883"/>
      <c r="K639" s="884"/>
      <c r="L639" s="884"/>
      <c r="M639" s="68"/>
    </row>
    <row r="640" spans="1:13" s="64" customFormat="1">
      <c r="A640" s="10"/>
      <c r="B640" s="111"/>
      <c r="C640" s="68"/>
      <c r="D640" s="374"/>
      <c r="E640" s="112"/>
      <c r="F640" s="112"/>
      <c r="G640" s="68"/>
      <c r="H640" s="603"/>
      <c r="I640" s="882"/>
      <c r="J640" s="883"/>
      <c r="K640" s="884"/>
      <c r="L640" s="884"/>
      <c r="M640" s="68"/>
    </row>
    <row r="641" spans="1:13" s="64" customFormat="1">
      <c r="A641" s="10"/>
      <c r="B641" s="111"/>
      <c r="C641" s="68"/>
      <c r="D641" s="374"/>
      <c r="E641" s="112"/>
      <c r="F641" s="112"/>
      <c r="G641" s="68"/>
      <c r="H641" s="603"/>
      <c r="I641" s="882"/>
      <c r="J641" s="883"/>
      <c r="K641" s="884"/>
      <c r="L641" s="884"/>
      <c r="M641" s="68"/>
    </row>
    <row r="642" spans="1:13" s="64" customFormat="1">
      <c r="A642" s="10"/>
      <c r="B642" s="111"/>
      <c r="C642" s="68"/>
      <c r="D642" s="374"/>
      <c r="E642" s="112"/>
      <c r="F642" s="112"/>
      <c r="G642" s="68"/>
      <c r="H642" s="603"/>
      <c r="I642" s="882"/>
      <c r="J642" s="883"/>
      <c r="K642" s="884"/>
      <c r="L642" s="884"/>
      <c r="M642" s="68"/>
    </row>
    <row r="643" spans="1:13" s="64" customFormat="1">
      <c r="A643" s="10"/>
      <c r="B643" s="111"/>
      <c r="C643" s="68"/>
      <c r="D643" s="374"/>
      <c r="E643" s="112"/>
      <c r="F643" s="112"/>
      <c r="G643" s="68"/>
      <c r="H643" s="603"/>
      <c r="I643" s="882"/>
      <c r="J643" s="883"/>
      <c r="K643" s="884"/>
      <c r="L643" s="884"/>
      <c r="M643" s="68"/>
    </row>
    <row r="644" spans="1:13" s="64" customFormat="1">
      <c r="A644" s="10"/>
      <c r="B644" s="111"/>
      <c r="C644" s="68"/>
      <c r="D644" s="374"/>
      <c r="E644" s="112"/>
      <c r="F644" s="112"/>
      <c r="G644" s="68"/>
      <c r="H644" s="603"/>
      <c r="I644" s="882"/>
      <c r="J644" s="883"/>
      <c r="K644" s="884"/>
      <c r="L644" s="884"/>
      <c r="M644" s="68"/>
    </row>
    <row r="645" spans="1:13" s="64" customFormat="1">
      <c r="A645" s="10"/>
      <c r="B645" s="111"/>
      <c r="C645" s="68"/>
      <c r="D645" s="374"/>
      <c r="E645" s="112"/>
      <c r="F645" s="112"/>
      <c r="G645" s="68"/>
      <c r="H645" s="603"/>
      <c r="I645" s="882"/>
      <c r="J645" s="883"/>
      <c r="K645" s="884"/>
      <c r="L645" s="884"/>
      <c r="M645" s="68"/>
    </row>
    <row r="646" spans="1:13" s="64" customFormat="1">
      <c r="A646" s="10"/>
      <c r="B646" s="111"/>
      <c r="C646" s="68"/>
      <c r="D646" s="374"/>
      <c r="E646" s="112"/>
      <c r="F646" s="112"/>
      <c r="G646" s="68"/>
      <c r="H646" s="603"/>
      <c r="I646" s="882"/>
      <c r="J646" s="883"/>
      <c r="K646" s="884"/>
      <c r="L646" s="884"/>
      <c r="M646" s="68"/>
    </row>
    <row r="647" spans="1:13" s="64" customFormat="1">
      <c r="A647" s="10"/>
      <c r="B647" s="111"/>
      <c r="C647" s="68"/>
      <c r="D647" s="374"/>
      <c r="E647" s="112"/>
      <c r="F647" s="112"/>
      <c r="G647" s="68"/>
      <c r="H647" s="603"/>
      <c r="I647" s="882"/>
      <c r="J647" s="883"/>
      <c r="K647" s="884"/>
      <c r="L647" s="884"/>
      <c r="M647" s="68"/>
    </row>
    <row r="648" spans="1:13" s="64" customFormat="1">
      <c r="A648" s="10"/>
      <c r="B648" s="111"/>
      <c r="C648" s="68"/>
      <c r="D648" s="374"/>
      <c r="E648" s="112"/>
      <c r="F648" s="112"/>
      <c r="G648" s="68"/>
      <c r="H648" s="603"/>
      <c r="I648" s="882"/>
      <c r="J648" s="883"/>
      <c r="K648" s="884"/>
      <c r="L648" s="884"/>
      <c r="M648" s="68"/>
    </row>
    <row r="649" spans="1:13" s="64" customFormat="1">
      <c r="A649" s="10"/>
      <c r="B649" s="111"/>
      <c r="C649" s="68"/>
      <c r="D649" s="374"/>
      <c r="E649" s="112"/>
      <c r="F649" s="112"/>
      <c r="G649" s="68"/>
      <c r="H649" s="603"/>
      <c r="I649" s="882"/>
      <c r="J649" s="883"/>
      <c r="K649" s="884"/>
      <c r="L649" s="884"/>
      <c r="M649" s="68"/>
    </row>
    <row r="650" spans="1:13" s="64" customFormat="1">
      <c r="A650" s="10"/>
      <c r="B650" s="111"/>
      <c r="C650" s="68"/>
      <c r="D650" s="374"/>
      <c r="E650" s="112"/>
      <c r="F650" s="112"/>
      <c r="G650" s="68"/>
      <c r="H650" s="603"/>
      <c r="I650" s="882"/>
      <c r="J650" s="883"/>
      <c r="K650" s="884"/>
      <c r="L650" s="884"/>
      <c r="M650" s="68"/>
    </row>
    <row r="651" spans="1:13" s="64" customFormat="1">
      <c r="A651" s="10"/>
      <c r="B651" s="111"/>
      <c r="C651" s="68"/>
      <c r="D651" s="374"/>
      <c r="E651" s="112"/>
      <c r="F651" s="112"/>
      <c r="G651" s="68"/>
      <c r="H651" s="603"/>
      <c r="I651" s="882"/>
      <c r="J651" s="883"/>
      <c r="K651" s="884"/>
      <c r="L651" s="884"/>
      <c r="M651" s="68"/>
    </row>
    <row r="652" spans="1:13" s="64" customFormat="1">
      <c r="A652" s="10"/>
      <c r="B652" s="111"/>
      <c r="C652" s="68"/>
      <c r="D652" s="374"/>
      <c r="E652" s="112"/>
      <c r="F652" s="112"/>
      <c r="G652" s="68"/>
      <c r="H652" s="603"/>
      <c r="I652" s="882"/>
      <c r="J652" s="883"/>
      <c r="K652" s="884"/>
      <c r="L652" s="884"/>
      <c r="M652" s="68"/>
    </row>
    <row r="653" spans="1:13" s="64" customFormat="1">
      <c r="A653" s="10"/>
      <c r="B653" s="111"/>
      <c r="C653" s="68"/>
      <c r="D653" s="374"/>
      <c r="E653" s="112"/>
      <c r="F653" s="112"/>
      <c r="G653" s="68"/>
      <c r="H653" s="603"/>
      <c r="I653" s="882"/>
      <c r="J653" s="883"/>
      <c r="K653" s="884"/>
      <c r="L653" s="884"/>
      <c r="M653" s="68"/>
    </row>
    <row r="654" spans="1:13" s="64" customFormat="1">
      <c r="A654" s="10"/>
      <c r="B654" s="111"/>
      <c r="C654" s="68"/>
      <c r="D654" s="374"/>
      <c r="E654" s="112"/>
      <c r="F654" s="112"/>
      <c r="G654" s="68"/>
      <c r="H654" s="603"/>
      <c r="I654" s="882"/>
      <c r="J654" s="883"/>
      <c r="K654" s="884"/>
      <c r="L654" s="884"/>
      <c r="M654" s="68"/>
    </row>
    <row r="655" spans="1:13" s="64" customFormat="1">
      <c r="A655" s="10"/>
      <c r="B655" s="111"/>
      <c r="C655" s="68"/>
      <c r="D655" s="374"/>
      <c r="E655" s="112"/>
      <c r="F655" s="112"/>
      <c r="G655" s="68"/>
      <c r="H655" s="603"/>
      <c r="I655" s="882"/>
      <c r="J655" s="883"/>
      <c r="K655" s="884"/>
      <c r="L655" s="884"/>
      <c r="M655" s="68"/>
    </row>
    <row r="656" spans="1:13" s="64" customFormat="1">
      <c r="A656" s="10"/>
      <c r="B656" s="111"/>
      <c r="C656" s="68"/>
      <c r="D656" s="374"/>
      <c r="E656" s="112"/>
      <c r="F656" s="112"/>
      <c r="G656" s="68"/>
      <c r="H656" s="603"/>
      <c r="I656" s="882"/>
      <c r="J656" s="883"/>
      <c r="K656" s="884"/>
      <c r="L656" s="884"/>
      <c r="M656" s="68"/>
    </row>
    <row r="657" spans="1:13" s="64" customFormat="1">
      <c r="A657" s="10"/>
      <c r="B657" s="111"/>
      <c r="C657" s="68"/>
      <c r="D657" s="374"/>
      <c r="E657" s="112"/>
      <c r="F657" s="112"/>
      <c r="G657" s="68"/>
      <c r="H657" s="603"/>
      <c r="I657" s="882"/>
      <c r="J657" s="883"/>
      <c r="K657" s="884"/>
      <c r="L657" s="884"/>
      <c r="M657" s="68"/>
    </row>
    <row r="658" spans="1:13" s="64" customFormat="1">
      <c r="A658" s="10"/>
      <c r="B658" s="111"/>
      <c r="C658" s="68"/>
      <c r="D658" s="374"/>
      <c r="E658" s="112"/>
      <c r="F658" s="112"/>
      <c r="G658" s="68"/>
      <c r="H658" s="603"/>
      <c r="I658" s="882"/>
      <c r="J658" s="883"/>
      <c r="K658" s="884"/>
      <c r="L658" s="884"/>
      <c r="M658" s="68"/>
    </row>
    <row r="659" spans="1:13" s="64" customFormat="1">
      <c r="A659" s="10"/>
      <c r="B659" s="111"/>
      <c r="C659" s="68"/>
      <c r="D659" s="374"/>
      <c r="E659" s="112"/>
      <c r="F659" s="112"/>
      <c r="G659" s="68"/>
      <c r="H659" s="603"/>
      <c r="I659" s="882"/>
      <c r="J659" s="883"/>
      <c r="K659" s="884"/>
      <c r="L659" s="884"/>
      <c r="M659" s="68"/>
    </row>
    <row r="660" spans="1:13" s="64" customFormat="1">
      <c r="A660" s="10"/>
      <c r="B660" s="111"/>
      <c r="C660" s="68"/>
      <c r="D660" s="374"/>
      <c r="E660" s="112"/>
      <c r="F660" s="112"/>
      <c r="G660" s="68"/>
      <c r="H660" s="603"/>
      <c r="I660" s="882"/>
      <c r="J660" s="883"/>
      <c r="K660" s="884"/>
      <c r="L660" s="884"/>
      <c r="M660" s="68"/>
    </row>
    <row r="661" spans="1:13" s="64" customFormat="1">
      <c r="A661" s="10"/>
      <c r="B661" s="111"/>
      <c r="C661" s="68"/>
      <c r="D661" s="374"/>
      <c r="E661" s="112"/>
      <c r="F661" s="112"/>
      <c r="G661" s="68"/>
      <c r="H661" s="603"/>
      <c r="I661" s="882"/>
      <c r="J661" s="883"/>
      <c r="K661" s="884"/>
      <c r="L661" s="884"/>
      <c r="M661" s="68"/>
    </row>
    <row r="662" spans="1:13" s="64" customFormat="1">
      <c r="A662" s="10"/>
      <c r="B662" s="111"/>
      <c r="C662" s="68"/>
      <c r="D662" s="374"/>
      <c r="E662" s="112"/>
      <c r="F662" s="112"/>
      <c r="G662" s="68"/>
      <c r="H662" s="603"/>
      <c r="I662" s="882"/>
      <c r="J662" s="883"/>
      <c r="K662" s="884"/>
      <c r="L662" s="884"/>
      <c r="M662" s="68"/>
    </row>
    <row r="663" spans="1:13" s="64" customFormat="1">
      <c r="A663" s="10"/>
      <c r="B663" s="111"/>
      <c r="C663" s="68"/>
      <c r="D663" s="374"/>
      <c r="E663" s="112"/>
      <c r="F663" s="112"/>
      <c r="G663" s="68"/>
      <c r="H663" s="603"/>
      <c r="I663" s="882"/>
      <c r="J663" s="883"/>
      <c r="K663" s="884"/>
      <c r="L663" s="884"/>
      <c r="M663" s="68"/>
    </row>
    <row r="664" spans="1:13" s="64" customFormat="1">
      <c r="A664" s="10"/>
      <c r="B664" s="111"/>
      <c r="C664" s="68"/>
      <c r="D664" s="374"/>
      <c r="E664" s="112"/>
      <c r="F664" s="112"/>
      <c r="G664" s="68"/>
      <c r="H664" s="603"/>
      <c r="I664" s="882"/>
      <c r="J664" s="883"/>
      <c r="K664" s="884"/>
      <c r="L664" s="884"/>
      <c r="M664" s="68"/>
    </row>
    <row r="665" spans="1:13" s="64" customFormat="1">
      <c r="A665" s="10"/>
      <c r="B665" s="111"/>
      <c r="C665" s="68"/>
      <c r="D665" s="374"/>
      <c r="E665" s="112"/>
      <c r="F665" s="112"/>
      <c r="G665" s="68"/>
      <c r="H665" s="603"/>
      <c r="I665" s="882"/>
      <c r="J665" s="883"/>
      <c r="K665" s="884"/>
      <c r="L665" s="884"/>
      <c r="M665" s="68"/>
    </row>
    <row r="666" spans="1:13" s="64" customFormat="1">
      <c r="A666" s="10"/>
      <c r="B666" s="111"/>
      <c r="C666" s="68"/>
      <c r="D666" s="374"/>
      <c r="E666" s="112"/>
      <c r="F666" s="112"/>
      <c r="G666" s="68"/>
      <c r="H666" s="603"/>
      <c r="I666" s="882"/>
      <c r="J666" s="883"/>
      <c r="K666" s="884"/>
      <c r="L666" s="884"/>
      <c r="M666" s="68"/>
    </row>
    <row r="667" spans="1:13" s="64" customFormat="1">
      <c r="A667" s="10"/>
      <c r="B667" s="111"/>
      <c r="C667" s="68"/>
      <c r="D667" s="374"/>
      <c r="E667" s="112"/>
      <c r="F667" s="112"/>
      <c r="G667" s="68"/>
      <c r="H667" s="603"/>
      <c r="I667" s="882"/>
      <c r="J667" s="883"/>
      <c r="K667" s="884"/>
      <c r="L667" s="884"/>
      <c r="M667" s="68"/>
    </row>
    <row r="668" spans="1:13" s="64" customFormat="1">
      <c r="A668" s="10"/>
      <c r="B668" s="111"/>
      <c r="C668" s="68"/>
      <c r="D668" s="374"/>
      <c r="E668" s="112"/>
      <c r="F668" s="112"/>
      <c r="G668" s="68"/>
      <c r="H668" s="603"/>
      <c r="I668" s="882"/>
      <c r="J668" s="883"/>
      <c r="K668" s="884"/>
      <c r="L668" s="884"/>
      <c r="M668" s="68"/>
    </row>
    <row r="669" spans="1:13" s="64" customFormat="1">
      <c r="A669" s="10"/>
      <c r="B669" s="111"/>
      <c r="C669" s="68"/>
      <c r="D669" s="374"/>
      <c r="E669" s="112"/>
      <c r="F669" s="112"/>
      <c r="G669" s="68"/>
      <c r="H669" s="603"/>
      <c r="I669" s="882"/>
      <c r="J669" s="883"/>
      <c r="K669" s="884"/>
      <c r="L669" s="884"/>
      <c r="M669" s="68"/>
    </row>
    <row r="670" spans="1:13" s="64" customFormat="1">
      <c r="A670" s="10"/>
      <c r="B670" s="111"/>
      <c r="C670" s="68"/>
      <c r="D670" s="374"/>
      <c r="E670" s="112"/>
      <c r="F670" s="112"/>
      <c r="G670" s="68"/>
      <c r="H670" s="603"/>
      <c r="I670" s="882"/>
      <c r="J670" s="883"/>
      <c r="K670" s="884"/>
      <c r="L670" s="884"/>
      <c r="M670" s="68"/>
    </row>
    <row r="671" spans="1:13" s="64" customFormat="1">
      <c r="A671" s="10"/>
      <c r="B671" s="111"/>
      <c r="C671" s="68"/>
      <c r="D671" s="374"/>
      <c r="E671" s="112"/>
      <c r="F671" s="112"/>
      <c r="G671" s="68"/>
      <c r="H671" s="603"/>
      <c r="I671" s="882"/>
      <c r="J671" s="883"/>
      <c r="K671" s="884"/>
      <c r="L671" s="884"/>
      <c r="M671" s="68"/>
    </row>
    <row r="672" spans="1:13" s="64" customFormat="1">
      <c r="A672" s="10"/>
      <c r="B672" s="111"/>
      <c r="C672" s="68"/>
      <c r="D672" s="374"/>
      <c r="E672" s="112"/>
      <c r="F672" s="112"/>
      <c r="G672" s="68"/>
      <c r="H672" s="603"/>
      <c r="I672" s="882"/>
      <c r="J672" s="883"/>
      <c r="K672" s="884"/>
      <c r="L672" s="884"/>
      <c r="M672" s="68"/>
    </row>
    <row r="673" spans="1:13" s="64" customFormat="1">
      <c r="A673" s="10"/>
      <c r="B673" s="111"/>
      <c r="C673" s="68"/>
      <c r="D673" s="374"/>
      <c r="E673" s="112"/>
      <c r="F673" s="112"/>
      <c r="G673" s="68"/>
      <c r="H673" s="603"/>
      <c r="I673" s="882"/>
      <c r="J673" s="883"/>
      <c r="K673" s="884"/>
      <c r="L673" s="884"/>
      <c r="M673" s="68"/>
    </row>
    <row r="674" spans="1:13" s="64" customFormat="1">
      <c r="A674" s="10"/>
      <c r="B674" s="111"/>
      <c r="C674" s="68"/>
      <c r="D674" s="374"/>
      <c r="E674" s="112"/>
      <c r="F674" s="112"/>
      <c r="G674" s="68"/>
      <c r="H674" s="603"/>
      <c r="I674" s="882"/>
      <c r="J674" s="883"/>
      <c r="K674" s="884"/>
      <c r="L674" s="884"/>
      <c r="M674" s="68"/>
    </row>
    <row r="675" spans="1:13" s="64" customFormat="1">
      <c r="A675" s="10"/>
      <c r="B675" s="111"/>
      <c r="C675" s="68"/>
      <c r="D675" s="374"/>
      <c r="E675" s="112"/>
      <c r="F675" s="112"/>
      <c r="G675" s="68"/>
      <c r="H675" s="603"/>
      <c r="I675" s="882"/>
      <c r="J675" s="883"/>
      <c r="K675" s="884"/>
      <c r="L675" s="884"/>
      <c r="M675" s="68"/>
    </row>
    <row r="676" spans="1:13" s="64" customFormat="1">
      <c r="A676" s="10"/>
      <c r="B676" s="111"/>
      <c r="C676" s="68"/>
      <c r="D676" s="374"/>
      <c r="E676" s="112"/>
      <c r="F676" s="112"/>
      <c r="G676" s="68"/>
      <c r="H676" s="603"/>
      <c r="I676" s="882"/>
      <c r="J676" s="883"/>
      <c r="K676" s="884"/>
      <c r="L676" s="884"/>
      <c r="M676" s="68"/>
    </row>
    <row r="677" spans="1:13" s="64" customFormat="1">
      <c r="A677" s="10"/>
      <c r="B677" s="111"/>
      <c r="C677" s="68"/>
      <c r="D677" s="374"/>
      <c r="E677" s="112"/>
      <c r="F677" s="112"/>
      <c r="G677" s="68"/>
      <c r="H677" s="603"/>
      <c r="I677" s="882"/>
      <c r="J677" s="883"/>
      <c r="K677" s="884"/>
      <c r="L677" s="884"/>
      <c r="M677" s="68"/>
    </row>
    <row r="678" spans="1:13" s="64" customFormat="1">
      <c r="A678" s="10"/>
      <c r="B678" s="111"/>
      <c r="C678" s="68"/>
      <c r="D678" s="374"/>
      <c r="E678" s="112"/>
      <c r="F678" s="112"/>
      <c r="G678" s="68"/>
      <c r="H678" s="603"/>
      <c r="I678" s="882"/>
      <c r="J678" s="883"/>
      <c r="K678" s="884"/>
      <c r="L678" s="884"/>
      <c r="M678" s="68"/>
    </row>
    <row r="679" spans="1:13" s="64" customFormat="1">
      <c r="A679" s="10"/>
      <c r="B679" s="111"/>
      <c r="C679" s="68"/>
      <c r="D679" s="374"/>
      <c r="E679" s="112"/>
      <c r="F679" s="112"/>
      <c r="G679" s="68"/>
      <c r="H679" s="603"/>
      <c r="I679" s="882"/>
      <c r="J679" s="883"/>
      <c r="K679" s="884"/>
      <c r="L679" s="884"/>
      <c r="M679" s="68"/>
    </row>
    <row r="680" spans="1:13" s="64" customFormat="1">
      <c r="A680" s="10"/>
      <c r="B680" s="111"/>
      <c r="C680" s="68"/>
      <c r="D680" s="374"/>
      <c r="E680" s="112"/>
      <c r="F680" s="112"/>
      <c r="G680" s="68"/>
      <c r="H680" s="603"/>
      <c r="I680" s="882"/>
      <c r="J680" s="883"/>
      <c r="K680" s="884"/>
      <c r="L680" s="884"/>
      <c r="M680" s="68"/>
    </row>
    <row r="681" spans="1:13" s="64" customFormat="1">
      <c r="A681" s="10"/>
      <c r="B681" s="111"/>
      <c r="C681" s="68"/>
      <c r="D681" s="374"/>
      <c r="E681" s="112"/>
      <c r="F681" s="112"/>
      <c r="G681" s="68"/>
      <c r="H681" s="603"/>
      <c r="I681" s="882"/>
      <c r="J681" s="883"/>
      <c r="K681" s="884"/>
      <c r="L681" s="884"/>
      <c r="M681" s="68"/>
    </row>
    <row r="682" spans="1:13" s="64" customFormat="1">
      <c r="A682" s="10"/>
      <c r="B682" s="111"/>
      <c r="C682" s="68"/>
      <c r="D682" s="374"/>
      <c r="E682" s="112"/>
      <c r="F682" s="112"/>
      <c r="G682" s="68"/>
      <c r="H682" s="603"/>
      <c r="I682" s="882"/>
      <c r="J682" s="883"/>
      <c r="K682" s="884"/>
      <c r="L682" s="884"/>
      <c r="M682" s="68"/>
    </row>
    <row r="683" spans="1:13" s="64" customFormat="1">
      <c r="A683" s="10"/>
      <c r="B683" s="111"/>
      <c r="C683" s="68"/>
      <c r="D683" s="374"/>
      <c r="E683" s="112"/>
      <c r="F683" s="112"/>
      <c r="G683" s="68"/>
      <c r="H683" s="603"/>
      <c r="I683" s="882"/>
      <c r="J683" s="883"/>
      <c r="K683" s="884"/>
      <c r="L683" s="884"/>
      <c r="M683" s="68"/>
    </row>
    <row r="684" spans="1:13" s="64" customFormat="1">
      <c r="A684" s="10"/>
      <c r="B684" s="111"/>
      <c r="C684" s="68"/>
      <c r="D684" s="374"/>
      <c r="E684" s="112"/>
      <c r="F684" s="112"/>
      <c r="G684" s="68"/>
      <c r="H684" s="603"/>
      <c r="I684" s="882"/>
      <c r="J684" s="883"/>
      <c r="K684" s="884"/>
      <c r="L684" s="884"/>
      <c r="M684" s="68"/>
    </row>
    <row r="685" spans="1:13" s="64" customFormat="1">
      <c r="A685" s="10"/>
      <c r="B685" s="111"/>
      <c r="C685" s="68"/>
      <c r="D685" s="374"/>
      <c r="E685" s="112"/>
      <c r="F685" s="112"/>
      <c r="G685" s="68"/>
      <c r="H685" s="603"/>
      <c r="I685" s="882"/>
      <c r="J685" s="883"/>
      <c r="K685" s="884"/>
      <c r="L685" s="884"/>
      <c r="M685" s="68"/>
    </row>
    <row r="686" spans="1:13" s="64" customFormat="1">
      <c r="A686" s="10"/>
      <c r="B686" s="111"/>
      <c r="C686" s="68"/>
      <c r="D686" s="374"/>
      <c r="E686" s="112"/>
      <c r="F686" s="112"/>
      <c r="G686" s="68"/>
      <c r="H686" s="603"/>
      <c r="I686" s="882"/>
      <c r="J686" s="883"/>
      <c r="K686" s="884"/>
      <c r="L686" s="884"/>
      <c r="M686" s="68"/>
    </row>
    <row r="687" spans="1:13" s="64" customFormat="1">
      <c r="A687" s="10"/>
      <c r="B687" s="111"/>
      <c r="C687" s="68"/>
      <c r="D687" s="374"/>
      <c r="E687" s="112"/>
      <c r="F687" s="112"/>
      <c r="G687" s="68"/>
      <c r="H687" s="603"/>
      <c r="I687" s="882"/>
      <c r="J687" s="883"/>
      <c r="K687" s="884"/>
      <c r="L687" s="884"/>
      <c r="M687" s="68"/>
    </row>
    <row r="688" spans="1:13" s="64" customFormat="1">
      <c r="A688" s="10"/>
      <c r="B688" s="111"/>
      <c r="C688" s="68"/>
      <c r="D688" s="374"/>
      <c r="E688" s="112"/>
      <c r="F688" s="112"/>
      <c r="G688" s="68"/>
      <c r="H688" s="603"/>
      <c r="I688" s="882"/>
      <c r="J688" s="883"/>
      <c r="K688" s="884"/>
      <c r="L688" s="884"/>
      <c r="M688" s="68"/>
    </row>
    <row r="689" spans="1:13" s="64" customFormat="1">
      <c r="A689" s="10"/>
      <c r="B689" s="111"/>
      <c r="C689" s="68"/>
      <c r="D689" s="374"/>
      <c r="E689" s="112"/>
      <c r="F689" s="112"/>
      <c r="G689" s="68"/>
      <c r="H689" s="603"/>
      <c r="I689" s="882"/>
      <c r="J689" s="883"/>
      <c r="K689" s="884"/>
      <c r="L689" s="884"/>
      <c r="M689" s="68"/>
    </row>
    <row r="690" spans="1:13" s="64" customFormat="1">
      <c r="A690" s="10"/>
      <c r="B690" s="111"/>
      <c r="C690" s="68"/>
      <c r="D690" s="374"/>
      <c r="E690" s="112"/>
      <c r="F690" s="112"/>
      <c r="G690" s="68"/>
      <c r="H690" s="603"/>
      <c r="I690" s="882"/>
      <c r="J690" s="883"/>
      <c r="K690" s="884"/>
      <c r="L690" s="884"/>
      <c r="M690" s="68"/>
    </row>
    <row r="691" spans="1:13" s="64" customFormat="1">
      <c r="A691" s="10"/>
      <c r="B691" s="111"/>
      <c r="C691" s="68"/>
      <c r="D691" s="374"/>
      <c r="E691" s="112"/>
      <c r="F691" s="112"/>
      <c r="G691" s="68"/>
      <c r="H691" s="603"/>
      <c r="I691" s="882"/>
      <c r="J691" s="883"/>
      <c r="K691" s="884"/>
      <c r="L691" s="884"/>
      <c r="M691" s="68"/>
    </row>
    <row r="692" spans="1:13" s="64" customFormat="1">
      <c r="A692" s="10"/>
      <c r="B692" s="111"/>
      <c r="C692" s="68"/>
      <c r="D692" s="374"/>
      <c r="E692" s="112"/>
      <c r="F692" s="112"/>
      <c r="G692" s="68"/>
      <c r="H692" s="603"/>
      <c r="I692" s="882"/>
      <c r="J692" s="883"/>
      <c r="K692" s="884"/>
      <c r="L692" s="884"/>
      <c r="M692" s="68"/>
    </row>
    <row r="693" spans="1:13" s="64" customFormat="1">
      <c r="A693" s="10"/>
      <c r="B693" s="111"/>
      <c r="C693" s="68"/>
      <c r="D693" s="374"/>
      <c r="E693" s="112"/>
      <c r="F693" s="112"/>
      <c r="G693" s="68"/>
      <c r="H693" s="603"/>
      <c r="I693" s="882"/>
      <c r="J693" s="883"/>
      <c r="K693" s="884"/>
      <c r="L693" s="884"/>
      <c r="M693" s="68"/>
    </row>
    <row r="694" spans="1:13" s="64" customFormat="1">
      <c r="A694" s="10"/>
      <c r="B694" s="111"/>
      <c r="C694" s="68"/>
      <c r="D694" s="374"/>
      <c r="E694" s="112"/>
      <c r="F694" s="112"/>
      <c r="G694" s="68"/>
      <c r="H694" s="603"/>
      <c r="I694" s="882"/>
      <c r="J694" s="883"/>
      <c r="K694" s="884"/>
      <c r="L694" s="884"/>
      <c r="M694" s="68"/>
    </row>
    <row r="695" spans="1:13" s="64" customFormat="1">
      <c r="A695" s="10"/>
      <c r="B695" s="111"/>
      <c r="C695" s="68"/>
      <c r="D695" s="374"/>
      <c r="E695" s="112"/>
      <c r="F695" s="112"/>
      <c r="G695" s="68"/>
      <c r="H695" s="603"/>
      <c r="I695" s="882"/>
      <c r="J695" s="883"/>
      <c r="K695" s="884"/>
      <c r="L695" s="884"/>
      <c r="M695" s="68"/>
    </row>
    <row r="696" spans="1:13" s="64" customFormat="1">
      <c r="A696" s="10"/>
      <c r="B696" s="111"/>
      <c r="C696" s="68"/>
      <c r="D696" s="374"/>
      <c r="E696" s="112"/>
      <c r="F696" s="112"/>
      <c r="G696" s="68"/>
      <c r="H696" s="603"/>
      <c r="I696" s="882"/>
      <c r="J696" s="883"/>
      <c r="K696" s="884"/>
      <c r="L696" s="884"/>
      <c r="M696" s="68"/>
    </row>
    <row r="697" spans="1:13" s="64" customFormat="1">
      <c r="A697" s="10"/>
      <c r="B697" s="111"/>
      <c r="C697" s="68"/>
      <c r="D697" s="374"/>
      <c r="E697" s="112"/>
      <c r="F697" s="112"/>
      <c r="G697" s="68"/>
      <c r="H697" s="603"/>
      <c r="I697" s="882"/>
      <c r="J697" s="883"/>
      <c r="K697" s="884"/>
      <c r="L697" s="884"/>
      <c r="M697" s="68"/>
    </row>
    <row r="698" spans="1:13" s="64" customFormat="1">
      <c r="A698" s="10"/>
      <c r="B698" s="111"/>
      <c r="C698" s="68"/>
      <c r="D698" s="374"/>
      <c r="E698" s="112"/>
      <c r="F698" s="112"/>
      <c r="G698" s="68"/>
      <c r="H698" s="603"/>
      <c r="I698" s="882"/>
      <c r="J698" s="883"/>
      <c r="K698" s="884"/>
      <c r="L698" s="884"/>
      <c r="M698" s="68"/>
    </row>
    <row r="699" spans="1:13" s="64" customFormat="1">
      <c r="A699" s="10"/>
      <c r="B699" s="111"/>
      <c r="C699" s="68"/>
      <c r="D699" s="374"/>
      <c r="E699" s="112"/>
      <c r="F699" s="112"/>
      <c r="G699" s="68"/>
      <c r="H699" s="603"/>
      <c r="I699" s="882"/>
      <c r="J699" s="883"/>
      <c r="K699" s="884"/>
      <c r="L699" s="884"/>
      <c r="M699" s="68"/>
    </row>
    <row r="700" spans="1:13" s="64" customFormat="1">
      <c r="A700" s="10"/>
      <c r="B700" s="111"/>
      <c r="C700" s="68"/>
      <c r="D700" s="374"/>
      <c r="E700" s="112"/>
      <c r="F700" s="112"/>
      <c r="G700" s="68"/>
      <c r="H700" s="603"/>
      <c r="I700" s="882"/>
      <c r="J700" s="883"/>
      <c r="K700" s="884"/>
      <c r="L700" s="884"/>
      <c r="M700" s="68"/>
    </row>
    <row r="701" spans="1:13" s="64" customFormat="1">
      <c r="A701" s="10"/>
      <c r="B701" s="111"/>
      <c r="C701" s="68"/>
      <c r="D701" s="374"/>
      <c r="E701" s="112"/>
      <c r="F701" s="112"/>
      <c r="G701" s="68"/>
      <c r="H701" s="603"/>
      <c r="I701" s="882"/>
      <c r="J701" s="883"/>
      <c r="K701" s="884"/>
      <c r="L701" s="884"/>
      <c r="M701" s="68"/>
    </row>
    <row r="702" spans="1:13" s="64" customFormat="1">
      <c r="A702" s="10"/>
      <c r="B702" s="111"/>
      <c r="C702" s="68"/>
      <c r="D702" s="374"/>
      <c r="E702" s="112"/>
      <c r="F702" s="112"/>
      <c r="G702" s="68"/>
      <c r="H702" s="603"/>
      <c r="I702" s="882"/>
      <c r="J702" s="883"/>
      <c r="K702" s="884"/>
      <c r="L702" s="884"/>
      <c r="M702" s="68"/>
    </row>
    <row r="703" spans="1:13" s="64" customFormat="1">
      <c r="A703" s="10"/>
      <c r="B703" s="111"/>
      <c r="C703" s="68"/>
      <c r="D703" s="374"/>
      <c r="E703" s="112"/>
      <c r="F703" s="112"/>
      <c r="G703" s="68"/>
      <c r="H703" s="603"/>
      <c r="I703" s="882"/>
      <c r="J703" s="883"/>
      <c r="K703" s="884"/>
      <c r="L703" s="884"/>
      <c r="M703" s="68"/>
    </row>
    <row r="704" spans="1:13" s="64" customFormat="1">
      <c r="A704" s="10"/>
      <c r="B704" s="111"/>
      <c r="C704" s="68"/>
      <c r="D704" s="374"/>
      <c r="E704" s="112"/>
      <c r="F704" s="112"/>
      <c r="G704" s="68"/>
      <c r="H704" s="603"/>
      <c r="I704" s="882"/>
      <c r="J704" s="883"/>
      <c r="K704" s="884"/>
      <c r="L704" s="884"/>
      <c r="M704" s="68"/>
    </row>
    <row r="705" spans="1:13" s="64" customFormat="1">
      <c r="A705" s="10"/>
      <c r="B705" s="111"/>
      <c r="C705" s="68"/>
      <c r="D705" s="374"/>
      <c r="E705" s="112"/>
      <c r="F705" s="112"/>
      <c r="G705" s="68"/>
      <c r="H705" s="603"/>
      <c r="I705" s="882"/>
      <c r="J705" s="883"/>
      <c r="K705" s="884"/>
      <c r="L705" s="884"/>
      <c r="M705" s="68"/>
    </row>
    <row r="706" spans="1:13" s="64" customFormat="1">
      <c r="A706" s="10"/>
      <c r="B706" s="111"/>
      <c r="C706" s="68"/>
      <c r="D706" s="374"/>
      <c r="E706" s="112"/>
      <c r="F706" s="112"/>
      <c r="G706" s="68"/>
      <c r="H706" s="603"/>
      <c r="I706" s="882"/>
      <c r="J706" s="883"/>
      <c r="K706" s="884"/>
      <c r="L706" s="884"/>
      <c r="M706" s="68"/>
    </row>
    <row r="707" spans="1:13" s="64" customFormat="1">
      <c r="A707" s="10"/>
      <c r="B707" s="111"/>
      <c r="C707" s="68"/>
      <c r="D707" s="374"/>
      <c r="E707" s="112"/>
      <c r="F707" s="112"/>
      <c r="G707" s="68"/>
      <c r="H707" s="603"/>
      <c r="I707" s="882"/>
      <c r="J707" s="883"/>
      <c r="K707" s="884"/>
      <c r="L707" s="884"/>
      <c r="M707" s="68"/>
    </row>
    <row r="708" spans="1:13" s="64" customFormat="1">
      <c r="A708" s="10"/>
      <c r="B708" s="111"/>
      <c r="C708" s="68"/>
      <c r="D708" s="374"/>
      <c r="E708" s="112"/>
      <c r="F708" s="112"/>
      <c r="G708" s="68"/>
      <c r="H708" s="603"/>
      <c r="I708" s="882"/>
      <c r="J708" s="883"/>
      <c r="K708" s="884"/>
      <c r="L708" s="884"/>
      <c r="M708" s="68"/>
    </row>
    <row r="709" spans="1:13" s="64" customFormat="1">
      <c r="A709" s="10"/>
      <c r="B709" s="111"/>
      <c r="C709" s="68"/>
      <c r="D709" s="374"/>
      <c r="E709" s="112"/>
      <c r="F709" s="112"/>
      <c r="G709" s="68"/>
      <c r="H709" s="603"/>
      <c r="I709" s="882"/>
      <c r="J709" s="883"/>
      <c r="K709" s="884"/>
      <c r="L709" s="884"/>
      <c r="M709" s="68"/>
    </row>
    <row r="710" spans="1:13" s="64" customFormat="1">
      <c r="A710" s="10"/>
      <c r="B710" s="111"/>
      <c r="C710" s="68"/>
      <c r="D710" s="374"/>
      <c r="E710" s="112"/>
      <c r="F710" s="112"/>
      <c r="G710" s="68"/>
      <c r="H710" s="603"/>
      <c r="I710" s="882"/>
      <c r="J710" s="883"/>
      <c r="K710" s="884"/>
      <c r="L710" s="884"/>
      <c r="M710" s="68"/>
    </row>
    <row r="711" spans="1:13" s="64" customFormat="1">
      <c r="A711" s="10"/>
      <c r="B711" s="111"/>
      <c r="C711" s="68"/>
      <c r="D711" s="374"/>
      <c r="E711" s="112"/>
      <c r="F711" s="112"/>
      <c r="G711" s="68"/>
      <c r="H711" s="603"/>
      <c r="I711" s="882"/>
      <c r="J711" s="883"/>
      <c r="K711" s="884"/>
      <c r="L711" s="884"/>
      <c r="M711" s="68"/>
    </row>
    <row r="712" spans="1:13" s="64" customFormat="1">
      <c r="A712" s="10"/>
      <c r="B712" s="111"/>
      <c r="C712" s="68"/>
      <c r="D712" s="374"/>
      <c r="E712" s="112"/>
      <c r="F712" s="112"/>
      <c r="G712" s="68"/>
      <c r="H712" s="603"/>
      <c r="I712" s="882"/>
      <c r="J712" s="883"/>
      <c r="K712" s="884"/>
      <c r="L712" s="884"/>
      <c r="M712" s="68"/>
    </row>
    <row r="713" spans="1:13" s="64" customFormat="1">
      <c r="A713" s="10"/>
      <c r="B713" s="111"/>
      <c r="C713" s="68"/>
      <c r="D713" s="374"/>
      <c r="E713" s="112"/>
      <c r="F713" s="112"/>
      <c r="G713" s="68"/>
      <c r="H713" s="603"/>
      <c r="I713" s="882"/>
      <c r="J713" s="883"/>
      <c r="K713" s="884"/>
      <c r="L713" s="884"/>
      <c r="M713" s="68"/>
    </row>
    <row r="714" spans="1:13" s="64" customFormat="1">
      <c r="A714" s="10"/>
      <c r="B714" s="111"/>
      <c r="C714" s="68"/>
      <c r="D714" s="374"/>
      <c r="E714" s="112"/>
      <c r="F714" s="112"/>
      <c r="G714" s="68"/>
      <c r="H714" s="603"/>
      <c r="I714" s="882"/>
      <c r="J714" s="883"/>
      <c r="K714" s="884"/>
      <c r="L714" s="884"/>
      <c r="M714" s="68"/>
    </row>
    <row r="715" spans="1:13" s="64" customFormat="1">
      <c r="A715" s="10"/>
      <c r="B715" s="111"/>
      <c r="C715" s="68"/>
      <c r="D715" s="374"/>
      <c r="E715" s="112"/>
      <c r="F715" s="112"/>
      <c r="G715" s="68"/>
      <c r="H715" s="603"/>
      <c r="I715" s="882"/>
      <c r="J715" s="883"/>
      <c r="K715" s="884"/>
      <c r="L715" s="884"/>
      <c r="M715" s="68"/>
    </row>
    <row r="716" spans="1:13" s="64" customFormat="1">
      <c r="A716" s="10"/>
      <c r="B716" s="111"/>
      <c r="C716" s="68"/>
      <c r="D716" s="374"/>
      <c r="E716" s="112"/>
      <c r="F716" s="112"/>
      <c r="G716" s="68"/>
      <c r="H716" s="603"/>
      <c r="I716" s="882"/>
      <c r="J716" s="883"/>
      <c r="K716" s="884"/>
      <c r="L716" s="884"/>
      <c r="M716" s="68"/>
    </row>
    <row r="717" spans="1:13" s="64" customFormat="1">
      <c r="A717" s="10"/>
      <c r="B717" s="111"/>
      <c r="C717" s="68"/>
      <c r="D717" s="374"/>
      <c r="E717" s="112"/>
      <c r="F717" s="112"/>
      <c r="G717" s="68"/>
      <c r="H717" s="603"/>
      <c r="I717" s="882"/>
      <c r="J717" s="883"/>
      <c r="K717" s="884"/>
      <c r="L717" s="884"/>
      <c r="M717" s="68"/>
    </row>
    <row r="718" spans="1:13" s="64" customFormat="1">
      <c r="A718" s="10"/>
      <c r="B718" s="111"/>
      <c r="C718" s="68"/>
      <c r="D718" s="374"/>
      <c r="E718" s="112"/>
      <c r="F718" s="112"/>
      <c r="G718" s="68"/>
      <c r="H718" s="603"/>
      <c r="I718" s="882"/>
      <c r="J718" s="883"/>
      <c r="K718" s="884"/>
      <c r="L718" s="884"/>
      <c r="M718" s="68"/>
    </row>
    <row r="719" spans="1:13" s="64" customFormat="1">
      <c r="A719" s="10"/>
      <c r="B719" s="111"/>
      <c r="C719" s="68"/>
      <c r="D719" s="374"/>
      <c r="E719" s="112"/>
      <c r="F719" s="112"/>
      <c r="G719" s="68"/>
      <c r="H719" s="603"/>
      <c r="I719" s="882"/>
      <c r="J719" s="883"/>
      <c r="K719" s="884"/>
      <c r="L719" s="884"/>
      <c r="M719" s="68"/>
    </row>
    <row r="720" spans="1:13" s="64" customFormat="1">
      <c r="A720" s="10"/>
      <c r="B720" s="111"/>
      <c r="C720" s="68"/>
      <c r="D720" s="374"/>
      <c r="E720" s="112"/>
      <c r="F720" s="112"/>
      <c r="G720" s="68"/>
      <c r="H720" s="603"/>
      <c r="I720" s="882"/>
      <c r="J720" s="883"/>
      <c r="K720" s="884"/>
      <c r="L720" s="884"/>
      <c r="M720" s="68"/>
    </row>
    <row r="721" spans="1:13" s="64" customFormat="1">
      <c r="A721" s="10"/>
      <c r="B721" s="111"/>
      <c r="C721" s="68"/>
      <c r="D721" s="374"/>
      <c r="E721" s="112"/>
      <c r="F721" s="112"/>
      <c r="G721" s="68"/>
      <c r="H721" s="603"/>
      <c r="I721" s="882"/>
      <c r="J721" s="883"/>
      <c r="K721" s="884"/>
      <c r="L721" s="884"/>
      <c r="M721" s="68"/>
    </row>
    <row r="722" spans="1:13" s="64" customFormat="1">
      <c r="A722" s="10"/>
      <c r="B722" s="111"/>
      <c r="C722" s="68"/>
      <c r="D722" s="374"/>
      <c r="E722" s="112"/>
      <c r="F722" s="112"/>
      <c r="G722" s="68"/>
      <c r="H722" s="603"/>
      <c r="I722" s="882"/>
      <c r="J722" s="883"/>
      <c r="K722" s="884"/>
      <c r="L722" s="884"/>
      <c r="M722" s="68"/>
    </row>
    <row r="723" spans="1:13" s="64" customFormat="1">
      <c r="A723" s="10"/>
      <c r="B723" s="111"/>
      <c r="C723" s="68"/>
      <c r="D723" s="374"/>
      <c r="E723" s="112"/>
      <c r="F723" s="112"/>
      <c r="G723" s="68"/>
      <c r="H723" s="603"/>
      <c r="I723" s="882"/>
      <c r="J723" s="883"/>
      <c r="K723" s="884"/>
      <c r="L723" s="884"/>
      <c r="M723" s="68"/>
    </row>
    <row r="724" spans="1:13" s="64" customFormat="1">
      <c r="A724" s="10"/>
      <c r="B724" s="111"/>
      <c r="C724" s="68"/>
      <c r="D724" s="374"/>
      <c r="E724" s="112"/>
      <c r="F724" s="112"/>
      <c r="G724" s="68"/>
      <c r="H724" s="603"/>
      <c r="I724" s="882"/>
      <c r="J724" s="883"/>
      <c r="K724" s="884"/>
      <c r="L724" s="884"/>
      <c r="M724" s="68"/>
    </row>
    <row r="725" spans="1:13" s="64" customFormat="1">
      <c r="A725" s="10"/>
      <c r="B725" s="111"/>
      <c r="C725" s="68"/>
      <c r="D725" s="374"/>
      <c r="E725" s="112"/>
      <c r="F725" s="112"/>
      <c r="G725" s="68"/>
      <c r="H725" s="603"/>
      <c r="I725" s="882"/>
      <c r="J725" s="883"/>
      <c r="K725" s="884"/>
      <c r="L725" s="884"/>
      <c r="M725" s="68"/>
    </row>
    <row r="726" spans="1:13" s="64" customFormat="1">
      <c r="A726" s="10"/>
      <c r="B726" s="111"/>
      <c r="C726" s="68"/>
      <c r="D726" s="374"/>
      <c r="E726" s="112"/>
      <c r="F726" s="112"/>
      <c r="G726" s="68"/>
      <c r="H726" s="603"/>
      <c r="I726" s="882"/>
      <c r="J726" s="883"/>
      <c r="K726" s="884"/>
      <c r="L726" s="884"/>
      <c r="M726" s="68"/>
    </row>
    <row r="727" spans="1:13" s="64" customFormat="1">
      <c r="A727" s="10"/>
      <c r="B727" s="111"/>
      <c r="C727" s="68"/>
      <c r="D727" s="374"/>
      <c r="E727" s="112"/>
      <c r="F727" s="112"/>
      <c r="G727" s="68"/>
      <c r="H727" s="603"/>
      <c r="I727" s="882"/>
      <c r="J727" s="883"/>
      <c r="K727" s="884"/>
      <c r="L727" s="884"/>
      <c r="M727" s="68"/>
    </row>
    <row r="728" spans="1:13" s="64" customFormat="1">
      <c r="A728" s="10"/>
      <c r="B728" s="111"/>
      <c r="C728" s="68"/>
      <c r="D728" s="374"/>
      <c r="E728" s="112"/>
      <c r="F728" s="112"/>
      <c r="G728" s="68"/>
      <c r="H728" s="603"/>
      <c r="I728" s="882"/>
      <c r="J728" s="883"/>
      <c r="K728" s="884"/>
      <c r="L728" s="884"/>
      <c r="M728" s="68"/>
    </row>
    <row r="729" spans="1:13" s="64" customFormat="1">
      <c r="A729" s="10"/>
      <c r="B729" s="111"/>
      <c r="C729" s="68"/>
      <c r="D729" s="374"/>
      <c r="E729" s="112"/>
      <c r="F729" s="112"/>
      <c r="G729" s="68"/>
      <c r="H729" s="603"/>
      <c r="I729" s="882"/>
      <c r="J729" s="883"/>
      <c r="K729" s="884"/>
      <c r="L729" s="884"/>
      <c r="M729" s="68"/>
    </row>
    <row r="730" spans="1:13" s="64" customFormat="1">
      <c r="A730" s="10"/>
      <c r="B730" s="111"/>
      <c r="C730" s="68"/>
      <c r="D730" s="374"/>
      <c r="E730" s="112"/>
      <c r="F730" s="112"/>
      <c r="G730" s="68"/>
      <c r="H730" s="603"/>
      <c r="I730" s="882"/>
      <c r="J730" s="883"/>
      <c r="K730" s="884"/>
      <c r="L730" s="884"/>
      <c r="M730" s="68"/>
    </row>
    <row r="731" spans="1:13" s="64" customFormat="1">
      <c r="A731" s="10"/>
      <c r="B731" s="111"/>
      <c r="C731" s="68"/>
      <c r="D731" s="374"/>
      <c r="E731" s="112"/>
      <c r="F731" s="112"/>
      <c r="G731" s="68"/>
      <c r="H731" s="603"/>
      <c r="I731" s="882"/>
      <c r="J731" s="883"/>
      <c r="K731" s="884"/>
      <c r="L731" s="884"/>
      <c r="M731" s="68"/>
    </row>
    <row r="732" spans="1:13" s="64" customFormat="1">
      <c r="A732" s="10"/>
      <c r="B732" s="111"/>
      <c r="C732" s="68"/>
      <c r="D732" s="374"/>
      <c r="E732" s="112"/>
      <c r="F732" s="112"/>
      <c r="G732" s="68"/>
      <c r="H732" s="603"/>
      <c r="I732" s="882"/>
      <c r="J732" s="883"/>
      <c r="K732" s="884"/>
      <c r="L732" s="884"/>
      <c r="M732" s="68"/>
    </row>
    <row r="733" spans="1:13" s="64" customFormat="1">
      <c r="A733" s="10"/>
      <c r="B733" s="111"/>
      <c r="C733" s="68"/>
      <c r="D733" s="374"/>
      <c r="E733" s="112"/>
      <c r="F733" s="112"/>
      <c r="G733" s="68"/>
      <c r="H733" s="603"/>
      <c r="I733" s="882"/>
      <c r="J733" s="883"/>
      <c r="K733" s="884"/>
      <c r="L733" s="884"/>
      <c r="M733" s="68"/>
    </row>
    <row r="734" spans="1:13" s="64" customFormat="1">
      <c r="A734" s="10"/>
      <c r="B734" s="111"/>
      <c r="C734" s="68"/>
      <c r="D734" s="374"/>
      <c r="E734" s="112"/>
      <c r="F734" s="112"/>
      <c r="G734" s="68"/>
      <c r="H734" s="603"/>
      <c r="I734" s="882"/>
      <c r="J734" s="883"/>
      <c r="K734" s="884"/>
      <c r="L734" s="884"/>
      <c r="M734" s="68"/>
    </row>
    <row r="735" spans="1:13" s="64" customFormat="1">
      <c r="A735" s="10"/>
      <c r="B735" s="111"/>
      <c r="C735" s="68"/>
      <c r="D735" s="374"/>
      <c r="E735" s="112"/>
      <c r="F735" s="112"/>
      <c r="G735" s="68"/>
      <c r="H735" s="603"/>
      <c r="I735" s="882"/>
      <c r="J735" s="883"/>
      <c r="K735" s="884"/>
      <c r="L735" s="884"/>
      <c r="M735" s="68"/>
    </row>
    <row r="736" spans="1:13" s="64" customFormat="1">
      <c r="A736" s="10"/>
      <c r="B736" s="111"/>
      <c r="C736" s="68"/>
      <c r="D736" s="374"/>
      <c r="E736" s="112"/>
      <c r="F736" s="112"/>
      <c r="G736" s="68"/>
      <c r="H736" s="603"/>
      <c r="I736" s="882"/>
      <c r="J736" s="883"/>
      <c r="K736" s="884"/>
      <c r="L736" s="884"/>
      <c r="M736" s="68"/>
    </row>
    <row r="737" spans="1:13" s="64" customFormat="1">
      <c r="A737" s="10"/>
      <c r="B737" s="111"/>
      <c r="C737" s="68"/>
      <c r="D737" s="374"/>
      <c r="E737" s="112"/>
      <c r="F737" s="112"/>
      <c r="G737" s="68"/>
      <c r="H737" s="603"/>
      <c r="I737" s="882"/>
      <c r="J737" s="883"/>
      <c r="K737" s="884"/>
      <c r="L737" s="884"/>
      <c r="M737" s="68"/>
    </row>
    <row r="738" spans="1:13" s="64" customFormat="1">
      <c r="A738" s="10"/>
      <c r="B738" s="111"/>
      <c r="C738" s="68"/>
      <c r="D738" s="374"/>
      <c r="E738" s="112"/>
      <c r="F738" s="112"/>
      <c r="G738" s="68"/>
      <c r="H738" s="603"/>
      <c r="I738" s="882"/>
      <c r="J738" s="883"/>
      <c r="K738" s="884"/>
      <c r="L738" s="884"/>
      <c r="M738" s="68"/>
    </row>
    <row r="739" spans="1:13" s="64" customFormat="1">
      <c r="A739" s="10"/>
      <c r="B739" s="111"/>
      <c r="C739" s="68"/>
      <c r="D739" s="374"/>
      <c r="E739" s="112"/>
      <c r="F739" s="112"/>
      <c r="G739" s="68"/>
      <c r="H739" s="603"/>
      <c r="I739" s="882"/>
      <c r="J739" s="883"/>
      <c r="K739" s="884"/>
      <c r="L739" s="884"/>
      <c r="M739" s="68"/>
    </row>
    <row r="740" spans="1:13" s="64" customFormat="1">
      <c r="A740" s="10"/>
      <c r="B740" s="111"/>
      <c r="C740" s="68"/>
      <c r="D740" s="374"/>
      <c r="E740" s="112"/>
      <c r="F740" s="112"/>
      <c r="G740" s="68"/>
      <c r="H740" s="603"/>
      <c r="I740" s="882"/>
      <c r="J740" s="883"/>
      <c r="K740" s="884"/>
      <c r="L740" s="884"/>
      <c r="M740" s="68"/>
    </row>
    <row r="741" spans="1:13" s="64" customFormat="1">
      <c r="A741" s="10"/>
      <c r="B741" s="111"/>
      <c r="C741" s="68"/>
      <c r="D741" s="374"/>
      <c r="E741" s="112"/>
      <c r="F741" s="112"/>
      <c r="G741" s="68"/>
      <c r="H741" s="603"/>
      <c r="I741" s="882"/>
      <c r="J741" s="883"/>
      <c r="K741" s="884"/>
      <c r="L741" s="884"/>
      <c r="M741" s="68"/>
    </row>
    <row r="742" spans="1:13" s="64" customFormat="1">
      <c r="A742" s="10"/>
      <c r="B742" s="111"/>
      <c r="C742" s="68"/>
      <c r="D742" s="374"/>
      <c r="E742" s="112"/>
      <c r="F742" s="112"/>
      <c r="G742" s="68"/>
      <c r="H742" s="603"/>
      <c r="I742" s="882"/>
      <c r="J742" s="883"/>
      <c r="K742" s="884"/>
      <c r="L742" s="884"/>
      <c r="M742" s="68"/>
    </row>
    <row r="743" spans="1:13" s="64" customFormat="1">
      <c r="A743" s="10"/>
      <c r="B743" s="111"/>
      <c r="C743" s="68"/>
      <c r="D743" s="374"/>
      <c r="E743" s="112"/>
      <c r="F743" s="112"/>
      <c r="G743" s="68"/>
      <c r="H743" s="603"/>
      <c r="I743" s="882"/>
      <c r="J743" s="883"/>
      <c r="K743" s="884"/>
      <c r="L743" s="884"/>
      <c r="M743" s="68"/>
    </row>
    <row r="744" spans="1:13" s="64" customFormat="1">
      <c r="A744" s="10"/>
      <c r="B744" s="111"/>
      <c r="C744" s="68"/>
      <c r="D744" s="374"/>
      <c r="E744" s="112"/>
      <c r="F744" s="112"/>
      <c r="G744" s="68"/>
      <c r="H744" s="603"/>
      <c r="I744" s="882"/>
      <c r="J744" s="883"/>
      <c r="K744" s="884"/>
      <c r="L744" s="884"/>
      <c r="M744" s="68"/>
    </row>
    <row r="745" spans="1:13" s="64" customFormat="1">
      <c r="A745" s="10"/>
      <c r="B745" s="111"/>
      <c r="C745" s="68"/>
      <c r="D745" s="374"/>
      <c r="E745" s="112"/>
      <c r="F745" s="112"/>
      <c r="G745" s="68"/>
      <c r="H745" s="603"/>
      <c r="I745" s="882"/>
      <c r="J745" s="883"/>
      <c r="K745" s="884"/>
      <c r="L745" s="884"/>
      <c r="M745" s="68"/>
    </row>
    <row r="746" spans="1:13" s="64" customFormat="1">
      <c r="A746" s="10"/>
      <c r="B746" s="111"/>
      <c r="C746" s="68"/>
      <c r="D746" s="374"/>
      <c r="E746" s="112"/>
      <c r="F746" s="112"/>
      <c r="G746" s="68"/>
      <c r="H746" s="603"/>
      <c r="I746" s="882"/>
      <c r="J746" s="883"/>
      <c r="K746" s="884"/>
      <c r="L746" s="884"/>
      <c r="M746" s="68"/>
    </row>
    <row r="747" spans="1:13" s="64" customFormat="1">
      <c r="A747" s="10"/>
      <c r="B747" s="111"/>
      <c r="C747" s="68"/>
      <c r="D747" s="374"/>
      <c r="E747" s="112"/>
      <c r="F747" s="112"/>
      <c r="G747" s="68"/>
      <c r="H747" s="603"/>
      <c r="I747" s="882"/>
      <c r="J747" s="883"/>
      <c r="K747" s="884"/>
      <c r="L747" s="884"/>
      <c r="M747" s="68"/>
    </row>
    <row r="748" spans="1:13" s="64" customFormat="1">
      <c r="A748" s="10"/>
      <c r="B748" s="111"/>
      <c r="C748" s="68"/>
      <c r="D748" s="374"/>
      <c r="E748" s="112"/>
      <c r="F748" s="112"/>
      <c r="G748" s="68"/>
      <c r="H748" s="603"/>
      <c r="I748" s="882"/>
      <c r="J748" s="883"/>
      <c r="K748" s="884"/>
      <c r="L748" s="884"/>
      <c r="M748" s="68"/>
    </row>
    <row r="749" spans="1:13" s="64" customFormat="1">
      <c r="A749" s="10"/>
      <c r="B749" s="111"/>
      <c r="C749" s="68"/>
      <c r="D749" s="374"/>
      <c r="E749" s="112"/>
      <c r="F749" s="112"/>
      <c r="G749" s="68"/>
      <c r="H749" s="603"/>
      <c r="I749" s="882"/>
      <c r="J749" s="883"/>
      <c r="K749" s="884"/>
      <c r="L749" s="884"/>
      <c r="M749" s="68"/>
    </row>
    <row r="750" spans="1:13" s="64" customFormat="1">
      <c r="A750" s="10"/>
      <c r="B750" s="111"/>
      <c r="C750" s="68"/>
      <c r="D750" s="374"/>
      <c r="E750" s="112"/>
      <c r="F750" s="112"/>
      <c r="G750" s="68"/>
      <c r="H750" s="603"/>
      <c r="I750" s="882"/>
      <c r="J750" s="883"/>
      <c r="K750" s="884"/>
      <c r="L750" s="884"/>
      <c r="M750" s="68"/>
    </row>
    <row r="751" spans="1:13" s="64" customFormat="1">
      <c r="A751" s="10"/>
      <c r="B751" s="111"/>
      <c r="C751" s="68"/>
      <c r="D751" s="374"/>
      <c r="E751" s="112"/>
      <c r="F751" s="112"/>
      <c r="G751" s="68"/>
      <c r="H751" s="603"/>
      <c r="I751" s="882"/>
      <c r="J751" s="883"/>
      <c r="K751" s="884"/>
      <c r="L751" s="884"/>
      <c r="M751" s="68"/>
    </row>
    <row r="752" spans="1:13" s="64" customFormat="1">
      <c r="A752" s="10"/>
      <c r="B752" s="111"/>
      <c r="C752" s="68"/>
      <c r="D752" s="374"/>
      <c r="E752" s="112"/>
      <c r="F752" s="112"/>
      <c r="G752" s="68"/>
      <c r="H752" s="603"/>
      <c r="I752" s="882"/>
      <c r="J752" s="883"/>
      <c r="K752" s="884"/>
      <c r="L752" s="884"/>
      <c r="M752" s="68"/>
    </row>
    <row r="753" spans="1:13" s="64" customFormat="1">
      <c r="A753" s="10"/>
      <c r="B753" s="111"/>
      <c r="C753" s="68"/>
      <c r="D753" s="374"/>
      <c r="E753" s="112"/>
      <c r="F753" s="112"/>
      <c r="G753" s="68"/>
      <c r="H753" s="603"/>
      <c r="I753" s="882"/>
      <c r="J753" s="883"/>
      <c r="K753" s="884"/>
      <c r="L753" s="884"/>
      <c r="M753" s="68"/>
    </row>
    <row r="754" spans="1:13" s="64" customFormat="1">
      <c r="A754" s="10"/>
      <c r="B754" s="111"/>
      <c r="C754" s="68"/>
      <c r="D754" s="374"/>
      <c r="E754" s="112"/>
      <c r="F754" s="112"/>
      <c r="G754" s="68"/>
      <c r="H754" s="603"/>
      <c r="I754" s="882"/>
      <c r="J754" s="883"/>
      <c r="K754" s="884"/>
      <c r="L754" s="884"/>
      <c r="M754" s="68"/>
    </row>
    <row r="755" spans="1:13" s="64" customFormat="1">
      <c r="A755" s="10"/>
      <c r="B755" s="111"/>
      <c r="C755" s="68"/>
      <c r="D755" s="374"/>
      <c r="E755" s="112"/>
      <c r="F755" s="112"/>
      <c r="G755" s="68"/>
      <c r="H755" s="603"/>
      <c r="I755" s="882"/>
      <c r="J755" s="883"/>
      <c r="K755" s="884"/>
      <c r="L755" s="884"/>
      <c r="M755" s="68"/>
    </row>
    <row r="756" spans="1:13" s="64" customFormat="1">
      <c r="A756" s="10"/>
      <c r="B756" s="111"/>
      <c r="C756" s="68"/>
      <c r="D756" s="374"/>
      <c r="E756" s="112"/>
      <c r="F756" s="112"/>
      <c r="G756" s="68"/>
      <c r="H756" s="603"/>
      <c r="I756" s="882"/>
      <c r="J756" s="883"/>
      <c r="K756" s="884"/>
      <c r="L756" s="884"/>
      <c r="M756" s="68"/>
    </row>
    <row r="757" spans="1:13" s="64" customFormat="1">
      <c r="A757" s="10"/>
      <c r="B757" s="111"/>
      <c r="C757" s="68"/>
      <c r="D757" s="374"/>
      <c r="E757" s="112"/>
      <c r="F757" s="112"/>
      <c r="G757" s="68"/>
      <c r="H757" s="603"/>
      <c r="I757" s="882"/>
      <c r="J757" s="883"/>
      <c r="K757" s="884"/>
      <c r="L757" s="884"/>
      <c r="M757" s="68"/>
    </row>
    <row r="758" spans="1:13" s="64" customFormat="1">
      <c r="A758" s="10"/>
      <c r="B758" s="111"/>
      <c r="C758" s="68"/>
      <c r="D758" s="374"/>
      <c r="E758" s="112"/>
      <c r="F758" s="112"/>
      <c r="G758" s="68"/>
      <c r="H758" s="603"/>
      <c r="I758" s="882"/>
      <c r="J758" s="883"/>
      <c r="K758" s="884"/>
      <c r="L758" s="884"/>
      <c r="M758" s="68"/>
    </row>
    <row r="759" spans="1:13" s="64" customFormat="1">
      <c r="A759" s="10"/>
      <c r="B759" s="111"/>
      <c r="C759" s="68"/>
      <c r="D759" s="374"/>
      <c r="E759" s="112"/>
      <c r="F759" s="112"/>
      <c r="G759" s="68"/>
      <c r="H759" s="603"/>
      <c r="I759" s="882"/>
      <c r="J759" s="883"/>
      <c r="K759" s="884"/>
      <c r="L759" s="884"/>
      <c r="M759" s="68"/>
    </row>
    <row r="760" spans="1:13" s="64" customFormat="1">
      <c r="A760" s="10"/>
      <c r="B760" s="111"/>
      <c r="C760" s="68"/>
      <c r="D760" s="374"/>
      <c r="E760" s="112"/>
      <c r="F760" s="112"/>
      <c r="G760" s="68"/>
      <c r="H760" s="603"/>
      <c r="I760" s="882"/>
      <c r="J760" s="883"/>
      <c r="K760" s="884"/>
      <c r="L760" s="884"/>
      <c r="M760" s="68"/>
    </row>
    <row r="761" spans="1:13" s="64" customFormat="1">
      <c r="A761" s="10"/>
      <c r="B761" s="111"/>
      <c r="C761" s="68"/>
      <c r="D761" s="374"/>
      <c r="E761" s="112"/>
      <c r="F761" s="112"/>
      <c r="G761" s="68"/>
      <c r="H761" s="603"/>
      <c r="I761" s="882"/>
      <c r="J761" s="883"/>
      <c r="K761" s="884"/>
      <c r="L761" s="884"/>
      <c r="M761" s="68"/>
    </row>
    <row r="762" spans="1:13" s="64" customFormat="1">
      <c r="A762" s="10"/>
      <c r="B762" s="111"/>
      <c r="C762" s="68"/>
      <c r="D762" s="374"/>
      <c r="E762" s="112"/>
      <c r="F762" s="112"/>
      <c r="G762" s="68"/>
      <c r="H762" s="603"/>
      <c r="I762" s="882"/>
      <c r="J762" s="883"/>
      <c r="K762" s="884"/>
      <c r="L762" s="884"/>
      <c r="M762" s="68"/>
    </row>
    <row r="763" spans="1:13" s="64" customFormat="1">
      <c r="A763" s="10"/>
      <c r="B763" s="111"/>
      <c r="C763" s="68"/>
      <c r="D763" s="374"/>
      <c r="E763" s="112"/>
      <c r="F763" s="112"/>
      <c r="G763" s="68"/>
      <c r="H763" s="603"/>
      <c r="I763" s="882"/>
      <c r="J763" s="883"/>
      <c r="K763" s="884"/>
      <c r="L763" s="884"/>
      <c r="M763" s="68"/>
    </row>
    <row r="764" spans="1:13" s="64" customFormat="1">
      <c r="A764" s="10"/>
      <c r="B764" s="111"/>
      <c r="C764" s="68"/>
      <c r="D764" s="374"/>
      <c r="E764" s="112"/>
      <c r="F764" s="112"/>
      <c r="G764" s="68"/>
      <c r="H764" s="603"/>
      <c r="I764" s="882"/>
      <c r="J764" s="883"/>
      <c r="K764" s="884"/>
      <c r="L764" s="884"/>
      <c r="M764" s="68"/>
    </row>
    <row r="765" spans="1:13" s="64" customFormat="1">
      <c r="A765" s="10"/>
      <c r="B765" s="111"/>
      <c r="C765" s="68"/>
      <c r="D765" s="374"/>
      <c r="E765" s="112"/>
      <c r="F765" s="112"/>
      <c r="G765" s="68"/>
      <c r="H765" s="603"/>
      <c r="I765" s="882"/>
      <c r="J765" s="883"/>
      <c r="K765" s="884"/>
      <c r="L765" s="884"/>
      <c r="M765" s="68"/>
    </row>
    <row r="766" spans="1:13" s="64" customFormat="1">
      <c r="A766" s="10"/>
      <c r="B766" s="111"/>
      <c r="C766" s="68"/>
      <c r="D766" s="374"/>
      <c r="E766" s="112"/>
      <c r="F766" s="112"/>
      <c r="G766" s="68"/>
      <c r="H766" s="603"/>
      <c r="I766" s="882"/>
      <c r="J766" s="883"/>
      <c r="K766" s="884"/>
      <c r="L766" s="884"/>
      <c r="M766" s="68"/>
    </row>
    <row r="767" spans="1:13" s="64" customFormat="1">
      <c r="A767" s="10"/>
      <c r="B767" s="111"/>
      <c r="C767" s="68"/>
      <c r="D767" s="374"/>
      <c r="E767" s="112"/>
      <c r="F767" s="112"/>
      <c r="G767" s="68"/>
      <c r="H767" s="603"/>
      <c r="I767" s="882"/>
      <c r="J767" s="883"/>
      <c r="K767" s="884"/>
      <c r="L767" s="884"/>
      <c r="M767" s="68"/>
    </row>
    <row r="768" spans="1:13" s="64" customFormat="1">
      <c r="A768" s="10"/>
      <c r="B768" s="111"/>
      <c r="C768" s="68"/>
      <c r="D768" s="374"/>
      <c r="E768" s="112"/>
      <c r="F768" s="112"/>
      <c r="G768" s="68"/>
      <c r="H768" s="603"/>
      <c r="I768" s="882"/>
      <c r="J768" s="883"/>
      <c r="K768" s="884"/>
      <c r="L768" s="884"/>
      <c r="M768" s="68"/>
    </row>
    <row r="769" spans="1:13" s="64" customFormat="1">
      <c r="A769" s="10"/>
      <c r="B769" s="111"/>
      <c r="C769" s="68"/>
      <c r="D769" s="374"/>
      <c r="E769" s="112"/>
      <c r="F769" s="112"/>
      <c r="G769" s="68"/>
      <c r="H769" s="603"/>
      <c r="I769" s="882"/>
      <c r="J769" s="883"/>
      <c r="K769" s="884"/>
      <c r="L769" s="884"/>
      <c r="M769" s="68"/>
    </row>
    <row r="770" spans="1:13" s="64" customFormat="1">
      <c r="A770" s="10"/>
      <c r="B770" s="111"/>
      <c r="C770" s="68"/>
      <c r="D770" s="374"/>
      <c r="E770" s="112"/>
      <c r="F770" s="112"/>
      <c r="G770" s="68"/>
      <c r="H770" s="603"/>
      <c r="I770" s="882"/>
      <c r="J770" s="883"/>
      <c r="K770" s="884"/>
      <c r="L770" s="884"/>
      <c r="M770" s="68"/>
    </row>
    <row r="771" spans="1:13" s="64" customFormat="1">
      <c r="A771" s="10"/>
      <c r="B771" s="111"/>
      <c r="C771" s="68"/>
      <c r="D771" s="374"/>
      <c r="E771" s="112"/>
      <c r="F771" s="112"/>
      <c r="G771" s="68"/>
      <c r="H771" s="603"/>
      <c r="I771" s="882"/>
      <c r="J771" s="883"/>
      <c r="K771" s="884"/>
      <c r="L771" s="884"/>
      <c r="M771" s="68"/>
    </row>
    <row r="772" spans="1:13" s="64" customFormat="1">
      <c r="A772" s="10"/>
      <c r="B772" s="111"/>
      <c r="C772" s="68"/>
      <c r="D772" s="374"/>
      <c r="E772" s="112"/>
      <c r="F772" s="112"/>
      <c r="G772" s="68"/>
      <c r="H772" s="603"/>
      <c r="I772" s="882"/>
      <c r="J772" s="883"/>
      <c r="K772" s="884"/>
      <c r="L772" s="884"/>
      <c r="M772" s="68"/>
    </row>
    <row r="773" spans="1:13" s="64" customFormat="1">
      <c r="A773" s="10"/>
      <c r="B773" s="111"/>
      <c r="C773" s="68"/>
      <c r="D773" s="374"/>
      <c r="E773" s="112"/>
      <c r="F773" s="112"/>
      <c r="G773" s="68"/>
      <c r="H773" s="603"/>
      <c r="I773" s="882"/>
      <c r="J773" s="883"/>
      <c r="K773" s="884"/>
      <c r="L773" s="884"/>
      <c r="M773" s="68"/>
    </row>
    <row r="774" spans="1:13" s="64" customFormat="1">
      <c r="A774" s="10"/>
      <c r="B774" s="111"/>
      <c r="C774" s="68"/>
      <c r="D774" s="374"/>
      <c r="E774" s="112"/>
      <c r="F774" s="112"/>
      <c r="G774" s="68"/>
      <c r="H774" s="603"/>
      <c r="I774" s="882"/>
      <c r="J774" s="883"/>
      <c r="K774" s="884"/>
      <c r="L774" s="884"/>
      <c r="M774" s="68"/>
    </row>
    <row r="775" spans="1:13" s="64" customFormat="1">
      <c r="A775" s="10"/>
      <c r="B775" s="111"/>
      <c r="C775" s="68"/>
      <c r="D775" s="374"/>
      <c r="E775" s="112"/>
      <c r="F775" s="112"/>
      <c r="G775" s="68"/>
      <c r="H775" s="603"/>
      <c r="I775" s="882"/>
      <c r="J775" s="883"/>
      <c r="K775" s="884"/>
      <c r="L775" s="884"/>
      <c r="M775" s="68"/>
    </row>
    <row r="776" spans="1:13" s="64" customFormat="1">
      <c r="A776" s="10"/>
      <c r="B776" s="111"/>
      <c r="C776" s="68"/>
      <c r="D776" s="374"/>
      <c r="E776" s="112"/>
      <c r="F776" s="112"/>
      <c r="G776" s="68"/>
      <c r="H776" s="603"/>
      <c r="I776" s="882"/>
      <c r="J776" s="883"/>
      <c r="K776" s="884"/>
      <c r="L776" s="884"/>
      <c r="M776" s="68"/>
    </row>
    <row r="777" spans="1:13" s="64" customFormat="1">
      <c r="A777" s="10"/>
      <c r="B777" s="111"/>
      <c r="C777" s="68"/>
      <c r="D777" s="374"/>
      <c r="E777" s="112"/>
      <c r="F777" s="112"/>
      <c r="G777" s="68"/>
      <c r="H777" s="603"/>
      <c r="I777" s="882"/>
      <c r="J777" s="883"/>
      <c r="K777" s="884"/>
      <c r="L777" s="884"/>
      <c r="M777" s="68"/>
    </row>
    <row r="778" spans="1:13" s="64" customFormat="1">
      <c r="A778" s="10"/>
      <c r="B778" s="111"/>
      <c r="C778" s="68"/>
      <c r="D778" s="374"/>
      <c r="E778" s="112"/>
      <c r="F778" s="112"/>
      <c r="G778" s="68"/>
      <c r="H778" s="603"/>
      <c r="I778" s="882"/>
      <c r="J778" s="883"/>
      <c r="K778" s="884"/>
      <c r="L778" s="884"/>
      <c r="M778" s="68"/>
    </row>
    <row r="779" spans="1:13" s="64" customFormat="1">
      <c r="A779" s="10"/>
      <c r="B779" s="111"/>
      <c r="C779" s="68"/>
      <c r="D779" s="374"/>
      <c r="E779" s="112"/>
      <c r="F779" s="112"/>
      <c r="G779" s="68"/>
      <c r="H779" s="603"/>
      <c r="I779" s="882"/>
      <c r="J779" s="883"/>
      <c r="K779" s="884"/>
      <c r="L779" s="884"/>
      <c r="M779" s="68"/>
    </row>
    <row r="780" spans="1:13" s="64" customFormat="1">
      <c r="A780" s="10"/>
      <c r="B780" s="111"/>
      <c r="C780" s="68"/>
      <c r="D780" s="374"/>
      <c r="E780" s="112"/>
      <c r="F780" s="112"/>
      <c r="G780" s="68"/>
      <c r="H780" s="603"/>
      <c r="I780" s="882"/>
      <c r="J780" s="883"/>
      <c r="K780" s="884"/>
      <c r="L780" s="884"/>
      <c r="M780" s="68"/>
    </row>
    <row r="781" spans="1:13" s="64" customFormat="1">
      <c r="A781" s="10"/>
      <c r="B781" s="111"/>
      <c r="C781" s="68"/>
      <c r="D781" s="374"/>
      <c r="E781" s="112"/>
      <c r="F781" s="112"/>
      <c r="G781" s="68"/>
      <c r="H781" s="603"/>
      <c r="I781" s="882"/>
      <c r="J781" s="883"/>
      <c r="K781" s="884"/>
      <c r="L781" s="884"/>
      <c r="M781" s="68"/>
    </row>
    <row r="782" spans="1:13" s="64" customFormat="1">
      <c r="A782" s="10"/>
      <c r="B782" s="111"/>
      <c r="C782" s="68"/>
      <c r="D782" s="374"/>
      <c r="E782" s="112"/>
      <c r="F782" s="112"/>
      <c r="G782" s="68"/>
      <c r="H782" s="603"/>
      <c r="I782" s="882"/>
      <c r="J782" s="883"/>
      <c r="K782" s="884"/>
      <c r="L782" s="884"/>
      <c r="M782" s="68"/>
    </row>
    <row r="783" spans="1:13" s="64" customFormat="1">
      <c r="A783" s="10"/>
      <c r="B783" s="111"/>
      <c r="C783" s="68"/>
      <c r="D783" s="374"/>
      <c r="E783" s="112"/>
      <c r="F783" s="112"/>
      <c r="G783" s="68"/>
      <c r="H783" s="603"/>
      <c r="I783" s="882"/>
      <c r="J783" s="883"/>
      <c r="K783" s="884"/>
      <c r="L783" s="884"/>
      <c r="M783" s="68"/>
    </row>
    <row r="784" spans="1:13" s="64" customFormat="1">
      <c r="A784" s="10"/>
      <c r="B784" s="111"/>
      <c r="C784" s="68"/>
      <c r="D784" s="374"/>
      <c r="E784" s="112"/>
      <c r="F784" s="112"/>
      <c r="G784" s="68"/>
      <c r="H784" s="603"/>
      <c r="I784" s="882"/>
      <c r="J784" s="883"/>
      <c r="K784" s="884"/>
      <c r="L784" s="884"/>
      <c r="M784" s="68"/>
    </row>
    <row r="785" spans="1:13" s="64" customFormat="1">
      <c r="A785" s="10"/>
      <c r="B785" s="111"/>
      <c r="C785" s="68"/>
      <c r="D785" s="374"/>
      <c r="E785" s="112"/>
      <c r="F785" s="112"/>
      <c r="G785" s="68"/>
      <c r="H785" s="603"/>
      <c r="I785" s="882"/>
      <c r="J785" s="883"/>
      <c r="K785" s="884"/>
      <c r="L785" s="884"/>
      <c r="M785" s="68"/>
    </row>
    <row r="786" spans="1:13" s="64" customFormat="1">
      <c r="A786" s="10"/>
      <c r="B786" s="111"/>
      <c r="C786" s="68"/>
      <c r="D786" s="374"/>
      <c r="E786" s="112"/>
      <c r="F786" s="112"/>
      <c r="G786" s="68"/>
      <c r="H786" s="603"/>
      <c r="I786" s="882"/>
      <c r="J786" s="883"/>
      <c r="K786" s="884"/>
      <c r="L786" s="884"/>
      <c r="M786" s="68"/>
    </row>
    <row r="787" spans="1:13" s="64" customFormat="1">
      <c r="A787" s="10"/>
      <c r="B787" s="111"/>
      <c r="C787" s="68"/>
      <c r="D787" s="374"/>
      <c r="E787" s="112"/>
      <c r="F787" s="112"/>
      <c r="G787" s="68"/>
      <c r="H787" s="603"/>
      <c r="I787" s="882"/>
      <c r="J787" s="883"/>
      <c r="K787" s="884"/>
      <c r="L787" s="884"/>
      <c r="M787" s="68"/>
    </row>
    <row r="788" spans="1:13" s="64" customFormat="1">
      <c r="A788" s="10"/>
      <c r="B788" s="111"/>
      <c r="C788" s="68"/>
      <c r="D788" s="374"/>
      <c r="E788" s="112"/>
      <c r="F788" s="112"/>
      <c r="G788" s="68"/>
      <c r="H788" s="603"/>
      <c r="I788" s="882"/>
      <c r="J788" s="883"/>
      <c r="K788" s="884"/>
      <c r="L788" s="884"/>
      <c r="M788" s="68"/>
    </row>
    <row r="789" spans="1:13" s="64" customFormat="1">
      <c r="A789" s="10"/>
      <c r="B789" s="111"/>
      <c r="C789" s="68"/>
      <c r="D789" s="374"/>
      <c r="E789" s="112"/>
      <c r="F789" s="112"/>
      <c r="G789" s="68"/>
      <c r="H789" s="603"/>
      <c r="I789" s="882"/>
      <c r="J789" s="883"/>
      <c r="K789" s="884"/>
      <c r="L789" s="884"/>
      <c r="M789" s="68"/>
    </row>
    <row r="790" spans="1:13" s="64" customFormat="1">
      <c r="A790" s="10"/>
      <c r="B790" s="111"/>
      <c r="C790" s="68"/>
      <c r="D790" s="374"/>
      <c r="E790" s="112"/>
      <c r="F790" s="112"/>
      <c r="G790" s="68"/>
      <c r="H790" s="603"/>
      <c r="I790" s="882"/>
      <c r="J790" s="883"/>
      <c r="K790" s="884"/>
      <c r="L790" s="884"/>
      <c r="M790" s="68"/>
    </row>
    <row r="791" spans="1:13" s="64" customFormat="1">
      <c r="A791" s="10"/>
      <c r="B791" s="111"/>
      <c r="C791" s="68"/>
      <c r="D791" s="374"/>
      <c r="E791" s="112"/>
      <c r="F791" s="112"/>
      <c r="G791" s="68"/>
      <c r="H791" s="603"/>
      <c r="I791" s="882"/>
      <c r="J791" s="883"/>
      <c r="K791" s="884"/>
      <c r="L791" s="884"/>
      <c r="M791" s="68"/>
    </row>
    <row r="792" spans="1:13" s="64" customFormat="1">
      <c r="A792" s="10"/>
      <c r="B792" s="111"/>
      <c r="C792" s="68"/>
      <c r="D792" s="374"/>
      <c r="E792" s="112"/>
      <c r="F792" s="112"/>
      <c r="G792" s="68"/>
      <c r="H792" s="603"/>
      <c r="I792" s="882"/>
      <c r="J792" s="883"/>
      <c r="K792" s="884"/>
      <c r="L792" s="884"/>
      <c r="M792" s="68"/>
    </row>
    <row r="793" spans="1:13" s="64" customFormat="1">
      <c r="A793" s="10"/>
      <c r="B793" s="111"/>
      <c r="C793" s="68"/>
      <c r="D793" s="374"/>
      <c r="E793" s="112"/>
      <c r="F793" s="112"/>
      <c r="G793" s="68"/>
      <c r="H793" s="603"/>
      <c r="I793" s="882"/>
      <c r="J793" s="883"/>
      <c r="K793" s="884"/>
      <c r="L793" s="884"/>
      <c r="M793" s="68"/>
    </row>
    <row r="794" spans="1:13" s="64" customFormat="1">
      <c r="A794" s="10"/>
      <c r="B794" s="111"/>
      <c r="C794" s="68"/>
      <c r="D794" s="374"/>
      <c r="E794" s="112"/>
      <c r="F794" s="112"/>
      <c r="G794" s="68"/>
      <c r="H794" s="603"/>
      <c r="I794" s="882"/>
      <c r="J794" s="883"/>
      <c r="K794" s="884"/>
      <c r="L794" s="884"/>
      <c r="M794" s="68"/>
    </row>
    <row r="795" spans="1:13" s="64" customFormat="1">
      <c r="A795" s="10"/>
      <c r="B795" s="111"/>
      <c r="C795" s="68"/>
      <c r="D795" s="374"/>
      <c r="E795" s="112"/>
      <c r="F795" s="112"/>
      <c r="G795" s="68"/>
      <c r="H795" s="603"/>
      <c r="I795" s="882"/>
      <c r="J795" s="883"/>
      <c r="K795" s="884"/>
      <c r="L795" s="884"/>
      <c r="M795" s="68"/>
    </row>
    <row r="796" spans="1:13" s="64" customFormat="1">
      <c r="A796" s="10"/>
      <c r="B796" s="111"/>
      <c r="C796" s="68"/>
      <c r="D796" s="374"/>
      <c r="E796" s="112"/>
      <c r="F796" s="112"/>
      <c r="G796" s="68"/>
      <c r="H796" s="603"/>
      <c r="I796" s="882"/>
      <c r="J796" s="883"/>
      <c r="K796" s="884"/>
      <c r="L796" s="884"/>
      <c r="M796" s="68"/>
    </row>
    <row r="797" spans="1:13" s="64" customFormat="1">
      <c r="A797" s="10"/>
      <c r="B797" s="111"/>
      <c r="C797" s="68"/>
      <c r="D797" s="374"/>
      <c r="E797" s="112"/>
      <c r="F797" s="112"/>
      <c r="G797" s="68"/>
      <c r="H797" s="603"/>
      <c r="I797" s="882"/>
      <c r="J797" s="883"/>
      <c r="K797" s="884"/>
      <c r="L797" s="884"/>
      <c r="M797" s="68"/>
    </row>
    <row r="798" spans="1:13" s="64" customFormat="1">
      <c r="A798" s="10"/>
      <c r="B798" s="111"/>
      <c r="C798" s="68"/>
      <c r="D798" s="374"/>
      <c r="E798" s="112"/>
      <c r="F798" s="112"/>
      <c r="G798" s="68"/>
      <c r="H798" s="603"/>
      <c r="I798" s="882"/>
      <c r="J798" s="883"/>
      <c r="K798" s="884"/>
      <c r="L798" s="884"/>
      <c r="M798" s="68"/>
    </row>
    <row r="799" spans="1:13" s="64" customFormat="1">
      <c r="A799" s="10"/>
      <c r="B799" s="111"/>
      <c r="C799" s="68"/>
      <c r="D799" s="374"/>
      <c r="E799" s="112"/>
      <c r="F799" s="112"/>
      <c r="G799" s="68"/>
      <c r="H799" s="603"/>
      <c r="I799" s="882"/>
      <c r="J799" s="883"/>
      <c r="K799" s="884"/>
      <c r="L799" s="884"/>
      <c r="M799" s="68"/>
    </row>
    <row r="800" spans="1:13" s="64" customFormat="1">
      <c r="A800" s="10"/>
      <c r="B800" s="111"/>
      <c r="C800" s="68"/>
      <c r="D800" s="374"/>
      <c r="E800" s="112"/>
      <c r="F800" s="112"/>
      <c r="G800" s="68"/>
      <c r="H800" s="603"/>
      <c r="I800" s="882"/>
      <c r="J800" s="883"/>
      <c r="K800" s="884"/>
      <c r="L800" s="884"/>
      <c r="M800" s="68"/>
    </row>
    <row r="801" spans="1:13" s="64" customFormat="1">
      <c r="A801" s="10"/>
      <c r="B801" s="111"/>
      <c r="C801" s="68"/>
      <c r="D801" s="374"/>
      <c r="E801" s="112"/>
      <c r="F801" s="112"/>
      <c r="G801" s="68"/>
      <c r="H801" s="603"/>
      <c r="I801" s="882"/>
      <c r="J801" s="883"/>
      <c r="K801" s="884"/>
      <c r="L801" s="884"/>
      <c r="M801" s="68"/>
    </row>
    <row r="802" spans="1:13" s="64" customFormat="1">
      <c r="A802" s="10"/>
      <c r="B802" s="111"/>
      <c r="C802" s="68"/>
      <c r="D802" s="374"/>
      <c r="E802" s="112"/>
      <c r="F802" s="112"/>
      <c r="G802" s="68"/>
      <c r="H802" s="603"/>
      <c r="I802" s="882"/>
      <c r="J802" s="883"/>
      <c r="K802" s="884"/>
      <c r="L802" s="884"/>
      <c r="M802" s="68"/>
    </row>
    <row r="803" spans="1:13" s="64" customFormat="1">
      <c r="A803" s="10"/>
      <c r="B803" s="111"/>
      <c r="C803" s="68"/>
      <c r="D803" s="374"/>
      <c r="E803" s="112"/>
      <c r="F803" s="112"/>
      <c r="G803" s="68"/>
      <c r="H803" s="603"/>
      <c r="I803" s="882"/>
      <c r="J803" s="883"/>
      <c r="K803" s="884"/>
      <c r="L803" s="884"/>
      <c r="M803" s="68"/>
    </row>
    <row r="804" spans="1:13" s="64" customFormat="1">
      <c r="A804" s="10"/>
      <c r="B804" s="111"/>
      <c r="C804" s="68"/>
      <c r="D804" s="374"/>
      <c r="E804" s="112"/>
      <c r="F804" s="112"/>
      <c r="G804" s="68"/>
      <c r="H804" s="603"/>
      <c r="I804" s="882"/>
      <c r="J804" s="883"/>
      <c r="K804" s="884"/>
      <c r="L804" s="884"/>
      <c r="M804" s="68"/>
    </row>
    <row r="805" spans="1:13" s="64" customFormat="1">
      <c r="A805" s="10"/>
      <c r="B805" s="111"/>
      <c r="C805" s="68"/>
      <c r="D805" s="374"/>
      <c r="E805" s="112"/>
      <c r="F805" s="112"/>
      <c r="G805" s="68"/>
      <c r="H805" s="603"/>
      <c r="I805" s="882"/>
      <c r="J805" s="883"/>
      <c r="K805" s="884"/>
      <c r="L805" s="884"/>
      <c r="M805" s="68"/>
    </row>
    <row r="806" spans="1:13" s="64" customFormat="1">
      <c r="A806" s="10"/>
      <c r="B806" s="111"/>
      <c r="C806" s="68"/>
      <c r="D806" s="374"/>
      <c r="E806" s="112"/>
      <c r="F806" s="112"/>
      <c r="G806" s="68"/>
      <c r="H806" s="603"/>
      <c r="I806" s="882"/>
      <c r="J806" s="883"/>
      <c r="K806" s="884"/>
      <c r="L806" s="884"/>
      <c r="M806" s="68"/>
    </row>
    <row r="807" spans="1:13" s="64" customFormat="1">
      <c r="A807" s="10"/>
      <c r="B807" s="111"/>
      <c r="C807" s="68"/>
      <c r="D807" s="374"/>
      <c r="E807" s="112"/>
      <c r="F807" s="112"/>
      <c r="G807" s="68"/>
      <c r="H807" s="603"/>
      <c r="I807" s="882"/>
      <c r="J807" s="883"/>
      <c r="K807" s="884"/>
      <c r="L807" s="884"/>
      <c r="M807" s="68"/>
    </row>
    <row r="808" spans="1:13" s="64" customFormat="1">
      <c r="A808" s="10"/>
      <c r="B808" s="111"/>
      <c r="C808" s="68"/>
      <c r="D808" s="374"/>
      <c r="E808" s="112"/>
      <c r="F808" s="112"/>
      <c r="G808" s="68"/>
      <c r="H808" s="603"/>
      <c r="I808" s="882"/>
      <c r="J808" s="883"/>
      <c r="K808" s="884"/>
      <c r="L808" s="884"/>
      <c r="M808" s="68"/>
    </row>
    <row r="809" spans="1:13" s="64" customFormat="1">
      <c r="A809" s="10"/>
      <c r="B809" s="111"/>
      <c r="C809" s="68"/>
      <c r="D809" s="374"/>
      <c r="E809" s="112"/>
      <c r="F809" s="112"/>
      <c r="G809" s="68"/>
      <c r="H809" s="603"/>
      <c r="I809" s="882"/>
      <c r="J809" s="883"/>
      <c r="K809" s="884"/>
      <c r="L809" s="884"/>
      <c r="M809" s="68"/>
    </row>
    <row r="810" spans="1:13" s="64" customFormat="1">
      <c r="A810" s="10"/>
      <c r="B810" s="111"/>
      <c r="C810" s="68"/>
      <c r="D810" s="374"/>
      <c r="E810" s="112"/>
      <c r="F810" s="112"/>
      <c r="G810" s="68"/>
      <c r="H810" s="603"/>
      <c r="I810" s="882"/>
      <c r="J810" s="883"/>
      <c r="K810" s="884"/>
      <c r="L810" s="884"/>
      <c r="M810" s="68"/>
    </row>
    <row r="811" spans="1:13" s="64" customFormat="1">
      <c r="A811" s="10"/>
      <c r="B811" s="111"/>
      <c r="C811" s="68"/>
      <c r="D811" s="374"/>
      <c r="E811" s="112"/>
      <c r="F811" s="112"/>
      <c r="G811" s="68"/>
      <c r="H811" s="603"/>
      <c r="I811" s="882"/>
      <c r="J811" s="883"/>
      <c r="K811" s="884"/>
      <c r="L811" s="884"/>
      <c r="M811" s="68"/>
    </row>
    <row r="812" spans="1:13" s="64" customFormat="1">
      <c r="A812" s="10"/>
      <c r="B812" s="111"/>
      <c r="C812" s="68"/>
      <c r="D812" s="374"/>
      <c r="E812" s="112"/>
      <c r="F812" s="112"/>
      <c r="G812" s="68"/>
      <c r="H812" s="603"/>
      <c r="I812" s="882"/>
      <c r="J812" s="883"/>
      <c r="K812" s="884"/>
      <c r="L812" s="884"/>
      <c r="M812" s="68"/>
    </row>
    <row r="813" spans="1:13" s="64" customFormat="1">
      <c r="A813" s="10"/>
      <c r="B813" s="111"/>
      <c r="C813" s="68"/>
      <c r="D813" s="374"/>
      <c r="E813" s="112"/>
      <c r="F813" s="112"/>
      <c r="G813" s="68"/>
      <c r="H813" s="603"/>
      <c r="I813" s="882"/>
      <c r="J813" s="883"/>
      <c r="K813" s="884"/>
      <c r="L813" s="884"/>
      <c r="M813" s="68"/>
    </row>
    <row r="814" spans="1:13" s="64" customFormat="1">
      <c r="A814" s="10"/>
      <c r="B814" s="111"/>
      <c r="C814" s="68"/>
      <c r="D814" s="374"/>
      <c r="E814" s="112"/>
      <c r="F814" s="112"/>
      <c r="G814" s="68"/>
      <c r="H814" s="603"/>
      <c r="I814" s="882"/>
      <c r="J814" s="883"/>
      <c r="K814" s="884"/>
      <c r="L814" s="884"/>
      <c r="M814" s="68"/>
    </row>
    <row r="815" spans="1:13" s="64" customFormat="1">
      <c r="A815" s="10"/>
      <c r="B815" s="111"/>
      <c r="C815" s="68"/>
      <c r="D815" s="374"/>
      <c r="E815" s="112"/>
      <c r="F815" s="112"/>
      <c r="G815" s="68"/>
      <c r="H815" s="603"/>
      <c r="I815" s="882"/>
      <c r="J815" s="883"/>
      <c r="K815" s="884"/>
      <c r="L815" s="884"/>
      <c r="M815" s="68"/>
    </row>
    <row r="816" spans="1:13" s="64" customFormat="1">
      <c r="A816" s="10"/>
      <c r="B816" s="111"/>
      <c r="C816" s="68"/>
      <c r="D816" s="374"/>
      <c r="E816" s="112"/>
      <c r="F816" s="112"/>
      <c r="G816" s="68"/>
      <c r="H816" s="603"/>
      <c r="I816" s="882"/>
      <c r="J816" s="883"/>
      <c r="K816" s="884"/>
      <c r="L816" s="884"/>
      <c r="M816" s="68"/>
    </row>
    <row r="817" spans="1:13" s="64" customFormat="1">
      <c r="A817" s="10"/>
      <c r="B817" s="111"/>
      <c r="C817" s="68"/>
      <c r="D817" s="374"/>
      <c r="E817" s="112"/>
      <c r="F817" s="112"/>
      <c r="G817" s="68"/>
      <c r="H817" s="603"/>
      <c r="I817" s="882"/>
      <c r="J817" s="883"/>
      <c r="K817" s="884"/>
      <c r="L817" s="884"/>
      <c r="M817" s="68"/>
    </row>
    <row r="818" spans="1:13" s="64" customFormat="1">
      <c r="A818" s="10"/>
      <c r="B818" s="111"/>
      <c r="C818" s="68"/>
      <c r="D818" s="374"/>
      <c r="E818" s="112"/>
      <c r="F818" s="112"/>
      <c r="G818" s="68"/>
      <c r="H818" s="603"/>
      <c r="I818" s="882"/>
      <c r="J818" s="883"/>
      <c r="K818" s="884"/>
      <c r="L818" s="884"/>
      <c r="M818" s="68"/>
    </row>
    <row r="819" spans="1:13" s="64" customFormat="1">
      <c r="A819" s="10"/>
      <c r="B819" s="111"/>
      <c r="C819" s="68"/>
      <c r="D819" s="374"/>
      <c r="E819" s="112"/>
      <c r="F819" s="112"/>
      <c r="G819" s="68"/>
      <c r="H819" s="603"/>
      <c r="I819" s="882"/>
      <c r="J819" s="883"/>
      <c r="K819" s="884"/>
      <c r="L819" s="884"/>
      <c r="M819" s="68"/>
    </row>
    <row r="820" spans="1:13" s="64" customFormat="1">
      <c r="A820" s="10"/>
      <c r="B820" s="111"/>
      <c r="C820" s="68"/>
      <c r="D820" s="374"/>
      <c r="E820" s="112"/>
      <c r="F820" s="112"/>
      <c r="G820" s="68"/>
      <c r="H820" s="603"/>
      <c r="I820" s="882"/>
      <c r="J820" s="883"/>
      <c r="K820" s="884"/>
      <c r="L820" s="884"/>
      <c r="M820" s="68"/>
    </row>
    <row r="821" spans="1:13" s="64" customFormat="1">
      <c r="A821" s="10"/>
      <c r="B821" s="111"/>
      <c r="C821" s="68"/>
      <c r="D821" s="374"/>
      <c r="E821" s="112"/>
      <c r="F821" s="112"/>
      <c r="G821" s="68"/>
      <c r="H821" s="603"/>
      <c r="I821" s="882"/>
      <c r="J821" s="883"/>
      <c r="K821" s="884"/>
      <c r="L821" s="884"/>
      <c r="M821" s="68"/>
    </row>
    <row r="822" spans="1:13" s="64" customFormat="1">
      <c r="A822" s="10"/>
      <c r="B822" s="111"/>
      <c r="C822" s="68"/>
      <c r="D822" s="374"/>
      <c r="E822" s="112"/>
      <c r="F822" s="112"/>
      <c r="G822" s="68"/>
      <c r="H822" s="603"/>
      <c r="I822" s="882"/>
      <c r="J822" s="883"/>
      <c r="K822" s="884"/>
      <c r="L822" s="884"/>
      <c r="M822" s="68"/>
    </row>
    <row r="823" spans="1:13" s="64" customFormat="1">
      <c r="A823" s="10"/>
      <c r="B823" s="111"/>
      <c r="C823" s="68"/>
      <c r="D823" s="374"/>
      <c r="E823" s="112"/>
      <c r="F823" s="112"/>
      <c r="G823" s="68"/>
      <c r="H823" s="603"/>
      <c r="I823" s="882"/>
      <c r="J823" s="883"/>
      <c r="K823" s="884"/>
      <c r="L823" s="884"/>
      <c r="M823" s="68"/>
    </row>
    <row r="824" spans="1:13" s="64" customFormat="1">
      <c r="A824" s="10"/>
      <c r="B824" s="111"/>
      <c r="C824" s="68"/>
      <c r="D824" s="374"/>
      <c r="E824" s="112"/>
      <c r="F824" s="112"/>
      <c r="G824" s="68"/>
      <c r="H824" s="603"/>
      <c r="I824" s="882"/>
      <c r="J824" s="883"/>
      <c r="K824" s="884"/>
      <c r="L824" s="884"/>
      <c r="M824" s="68"/>
    </row>
    <row r="825" spans="1:13" s="64" customFormat="1">
      <c r="A825" s="10"/>
      <c r="B825" s="111"/>
      <c r="C825" s="68"/>
      <c r="D825" s="374"/>
      <c r="E825" s="112"/>
      <c r="F825" s="112"/>
      <c r="G825" s="68"/>
      <c r="H825" s="603"/>
      <c r="I825" s="882"/>
      <c r="J825" s="883"/>
      <c r="K825" s="884"/>
      <c r="L825" s="884"/>
      <c r="M825" s="68"/>
    </row>
    <row r="826" spans="1:13" s="64" customFormat="1">
      <c r="A826" s="10"/>
      <c r="B826" s="111"/>
      <c r="C826" s="68"/>
      <c r="D826" s="374"/>
      <c r="E826" s="112"/>
      <c r="F826" s="112"/>
      <c r="G826" s="68"/>
      <c r="H826" s="603"/>
      <c r="I826" s="882"/>
      <c r="J826" s="883"/>
      <c r="K826" s="884"/>
      <c r="L826" s="884"/>
      <c r="M826" s="68"/>
    </row>
    <row r="827" spans="1:13" s="64" customFormat="1">
      <c r="A827" s="10"/>
      <c r="B827" s="111"/>
      <c r="C827" s="68"/>
      <c r="D827" s="374"/>
      <c r="E827" s="112"/>
      <c r="F827" s="112"/>
      <c r="G827" s="68"/>
      <c r="H827" s="603"/>
      <c r="I827" s="882"/>
      <c r="J827" s="883"/>
      <c r="K827" s="884"/>
      <c r="L827" s="884"/>
      <c r="M827" s="68"/>
    </row>
    <row r="828" spans="1:13" s="64" customFormat="1">
      <c r="A828" s="10"/>
      <c r="B828" s="111"/>
      <c r="C828" s="68"/>
      <c r="D828" s="374"/>
      <c r="E828" s="112"/>
      <c r="F828" s="112"/>
      <c r="G828" s="68"/>
      <c r="H828" s="603"/>
      <c r="I828" s="882"/>
      <c r="J828" s="883"/>
      <c r="K828" s="884"/>
      <c r="L828" s="884"/>
      <c r="M828" s="68"/>
    </row>
    <row r="829" spans="1:13" s="64" customFormat="1">
      <c r="A829" s="10"/>
      <c r="B829" s="111"/>
      <c r="C829" s="68"/>
      <c r="D829" s="374"/>
      <c r="E829" s="112"/>
      <c r="F829" s="112"/>
      <c r="G829" s="68"/>
      <c r="H829" s="603"/>
      <c r="I829" s="882"/>
      <c r="J829" s="883"/>
      <c r="K829" s="884"/>
      <c r="L829" s="884"/>
      <c r="M829" s="68"/>
    </row>
    <row r="830" spans="1:13" s="64" customFormat="1">
      <c r="A830" s="10"/>
      <c r="B830" s="111"/>
      <c r="C830" s="68"/>
      <c r="D830" s="374"/>
      <c r="E830" s="112"/>
      <c r="F830" s="112"/>
      <c r="G830" s="68"/>
      <c r="H830" s="603"/>
      <c r="I830" s="882"/>
      <c r="J830" s="883"/>
      <c r="K830" s="884"/>
      <c r="L830" s="884"/>
      <c r="M830" s="68"/>
    </row>
    <row r="831" spans="1:13" s="64" customFormat="1">
      <c r="A831" s="10"/>
      <c r="B831" s="111"/>
      <c r="C831" s="68"/>
      <c r="D831" s="374"/>
      <c r="E831" s="112"/>
      <c r="F831" s="112"/>
      <c r="G831" s="68"/>
      <c r="H831" s="603"/>
      <c r="I831" s="882"/>
      <c r="J831" s="883"/>
      <c r="K831" s="884"/>
      <c r="L831" s="884"/>
      <c r="M831" s="68"/>
    </row>
    <row r="832" spans="1:13" s="64" customFormat="1">
      <c r="A832" s="10"/>
      <c r="B832" s="111"/>
      <c r="C832" s="68"/>
      <c r="D832" s="374"/>
      <c r="E832" s="112"/>
      <c r="F832" s="112"/>
      <c r="G832" s="68"/>
      <c r="H832" s="603"/>
      <c r="I832" s="882"/>
      <c r="J832" s="883"/>
      <c r="K832" s="884"/>
      <c r="L832" s="884"/>
      <c r="M832" s="68"/>
    </row>
    <row r="833" spans="1:13" s="64" customFormat="1">
      <c r="A833" s="10"/>
      <c r="B833" s="111"/>
      <c r="C833" s="68"/>
      <c r="D833" s="374"/>
      <c r="E833" s="112"/>
      <c r="F833" s="112"/>
      <c r="G833" s="68"/>
      <c r="H833" s="603"/>
      <c r="I833" s="882"/>
      <c r="J833" s="883"/>
      <c r="K833" s="884"/>
      <c r="L833" s="884"/>
      <c r="M833" s="68"/>
    </row>
    <row r="834" spans="1:13" s="64" customFormat="1">
      <c r="A834" s="10"/>
      <c r="B834" s="111"/>
      <c r="C834" s="68"/>
      <c r="D834" s="374"/>
      <c r="E834" s="112"/>
      <c r="F834" s="112"/>
      <c r="G834" s="68"/>
      <c r="H834" s="603"/>
      <c r="I834" s="882"/>
      <c r="J834" s="883"/>
      <c r="K834" s="884"/>
      <c r="L834" s="884"/>
      <c r="M834" s="68"/>
    </row>
    <row r="835" spans="1:13" s="64" customFormat="1">
      <c r="A835" s="10"/>
      <c r="B835" s="111"/>
      <c r="C835" s="68"/>
      <c r="D835" s="374"/>
      <c r="E835" s="112"/>
      <c r="F835" s="112"/>
      <c r="G835" s="68"/>
      <c r="H835" s="603"/>
      <c r="I835" s="882"/>
      <c r="J835" s="883"/>
      <c r="K835" s="884"/>
      <c r="L835" s="884"/>
      <c r="M835" s="68"/>
    </row>
    <row r="836" spans="1:13" s="64" customFormat="1">
      <c r="A836" s="10"/>
      <c r="B836" s="111"/>
      <c r="C836" s="68"/>
      <c r="D836" s="374"/>
      <c r="E836" s="112"/>
      <c r="F836" s="112"/>
      <c r="G836" s="68"/>
      <c r="H836" s="603"/>
      <c r="I836" s="882"/>
      <c r="J836" s="883"/>
      <c r="K836" s="884"/>
      <c r="L836" s="884"/>
      <c r="M836" s="68"/>
    </row>
    <row r="837" spans="1:13" s="64" customFormat="1">
      <c r="A837" s="10"/>
      <c r="B837" s="111"/>
      <c r="C837" s="68"/>
      <c r="D837" s="374"/>
      <c r="E837" s="112"/>
      <c r="F837" s="112"/>
      <c r="G837" s="68"/>
      <c r="H837" s="603"/>
      <c r="I837" s="882"/>
      <c r="J837" s="883"/>
      <c r="K837" s="884"/>
      <c r="L837" s="884"/>
      <c r="M837" s="68"/>
    </row>
    <row r="838" spans="1:13" s="64" customFormat="1">
      <c r="A838" s="10"/>
      <c r="B838" s="111"/>
      <c r="C838" s="68"/>
      <c r="D838" s="374"/>
      <c r="E838" s="112"/>
      <c r="F838" s="112"/>
      <c r="G838" s="68"/>
      <c r="H838" s="603"/>
      <c r="I838" s="882"/>
      <c r="J838" s="883"/>
      <c r="K838" s="884"/>
      <c r="L838" s="884"/>
      <c r="M838" s="68"/>
    </row>
    <row r="839" spans="1:13" s="64" customFormat="1">
      <c r="A839" s="10"/>
      <c r="B839" s="111"/>
      <c r="C839" s="68"/>
      <c r="D839" s="374"/>
      <c r="E839" s="112"/>
      <c r="F839" s="112"/>
      <c r="G839" s="68"/>
      <c r="H839" s="603"/>
      <c r="I839" s="882"/>
      <c r="J839" s="883"/>
      <c r="K839" s="884"/>
      <c r="L839" s="884"/>
      <c r="M839" s="68"/>
    </row>
    <row r="840" spans="1:13" s="64" customFormat="1">
      <c r="A840" s="10"/>
      <c r="B840" s="111"/>
      <c r="C840" s="68"/>
      <c r="D840" s="374"/>
      <c r="E840" s="112"/>
      <c r="F840" s="112"/>
      <c r="G840" s="68"/>
      <c r="H840" s="603"/>
      <c r="I840" s="882"/>
      <c r="J840" s="883"/>
      <c r="K840" s="884"/>
      <c r="L840" s="884"/>
      <c r="M840" s="68"/>
    </row>
    <row r="841" spans="1:13" s="64" customFormat="1">
      <c r="A841" s="10"/>
      <c r="B841" s="111"/>
      <c r="C841" s="68"/>
      <c r="D841" s="374"/>
      <c r="E841" s="112"/>
      <c r="F841" s="112"/>
      <c r="G841" s="68"/>
      <c r="H841" s="603"/>
      <c r="I841" s="882"/>
      <c r="J841" s="883"/>
      <c r="K841" s="884"/>
      <c r="L841" s="884"/>
      <c r="M841" s="68"/>
    </row>
    <row r="842" spans="1:13" s="64" customFormat="1">
      <c r="A842" s="10"/>
      <c r="B842" s="111"/>
      <c r="C842" s="68"/>
      <c r="D842" s="374"/>
      <c r="E842" s="112"/>
      <c r="F842" s="112"/>
      <c r="G842" s="68"/>
      <c r="H842" s="603"/>
      <c r="I842" s="882"/>
      <c r="J842" s="883"/>
      <c r="K842" s="884"/>
      <c r="L842" s="884"/>
      <c r="M842" s="68"/>
    </row>
    <row r="843" spans="1:13" s="64" customFormat="1">
      <c r="A843" s="10"/>
      <c r="B843" s="111"/>
      <c r="C843" s="68"/>
      <c r="D843" s="374"/>
      <c r="E843" s="112"/>
      <c r="F843" s="112"/>
      <c r="G843" s="68"/>
      <c r="H843" s="603"/>
      <c r="I843" s="882"/>
      <c r="J843" s="883"/>
      <c r="K843" s="884"/>
      <c r="L843" s="884"/>
      <c r="M843" s="68"/>
    </row>
    <row r="844" spans="1:13" s="64" customFormat="1">
      <c r="A844" s="10"/>
      <c r="B844" s="111"/>
      <c r="C844" s="68"/>
      <c r="D844" s="374"/>
      <c r="E844" s="112"/>
      <c r="F844" s="112"/>
      <c r="G844" s="68"/>
      <c r="H844" s="603"/>
      <c r="I844" s="882"/>
      <c r="J844" s="883"/>
      <c r="K844" s="884"/>
      <c r="L844" s="884"/>
      <c r="M844" s="68"/>
    </row>
    <row r="845" spans="1:13" s="64" customFormat="1">
      <c r="A845" s="10"/>
      <c r="B845" s="111"/>
      <c r="C845" s="68"/>
      <c r="D845" s="374"/>
      <c r="E845" s="112"/>
      <c r="F845" s="112"/>
      <c r="G845" s="68"/>
      <c r="H845" s="603"/>
      <c r="I845" s="882"/>
      <c r="J845" s="883"/>
      <c r="K845" s="884"/>
      <c r="L845" s="884"/>
      <c r="M845" s="68"/>
    </row>
    <row r="846" spans="1:13" s="64" customFormat="1">
      <c r="A846" s="10"/>
      <c r="B846" s="111"/>
      <c r="C846" s="68"/>
      <c r="D846" s="374"/>
      <c r="E846" s="112"/>
      <c r="F846" s="112"/>
      <c r="G846" s="68"/>
      <c r="H846" s="603"/>
      <c r="I846" s="882"/>
      <c r="J846" s="883"/>
      <c r="K846" s="884"/>
      <c r="L846" s="884"/>
      <c r="M846" s="68"/>
    </row>
    <row r="847" spans="1:13" s="64" customFormat="1">
      <c r="A847" s="10"/>
      <c r="B847" s="111"/>
      <c r="C847" s="68"/>
      <c r="D847" s="374"/>
      <c r="E847" s="112"/>
      <c r="F847" s="112"/>
      <c r="G847" s="68"/>
      <c r="H847" s="603"/>
      <c r="I847" s="882"/>
      <c r="J847" s="883"/>
      <c r="K847" s="884"/>
      <c r="L847" s="884"/>
      <c r="M847" s="68"/>
    </row>
    <row r="848" spans="1:13" s="64" customFormat="1">
      <c r="A848" s="10"/>
      <c r="B848" s="111"/>
      <c r="C848" s="68"/>
      <c r="D848" s="374"/>
      <c r="E848" s="112"/>
      <c r="F848" s="112"/>
      <c r="G848" s="68"/>
      <c r="H848" s="603"/>
      <c r="I848" s="882"/>
      <c r="J848" s="883"/>
      <c r="K848" s="884"/>
      <c r="L848" s="884"/>
      <c r="M848" s="68"/>
    </row>
    <row r="849" spans="1:13" s="64" customFormat="1">
      <c r="A849" s="10"/>
      <c r="B849" s="111"/>
      <c r="C849" s="68"/>
      <c r="D849" s="374"/>
      <c r="E849" s="112"/>
      <c r="F849" s="112"/>
      <c r="G849" s="68"/>
      <c r="H849" s="603"/>
      <c r="I849" s="882"/>
      <c r="J849" s="883"/>
      <c r="K849" s="884"/>
      <c r="L849" s="884"/>
      <c r="M849" s="68"/>
    </row>
    <row r="850" spans="1:13" s="64" customFormat="1">
      <c r="A850" s="10"/>
      <c r="B850" s="111"/>
      <c r="C850" s="68"/>
      <c r="D850" s="374"/>
      <c r="E850" s="112"/>
      <c r="F850" s="112"/>
      <c r="G850" s="68"/>
      <c r="H850" s="603"/>
      <c r="I850" s="882"/>
      <c r="J850" s="883"/>
      <c r="K850" s="884"/>
      <c r="L850" s="884"/>
      <c r="M850" s="68"/>
    </row>
    <row r="851" spans="1:13" s="64" customFormat="1">
      <c r="A851" s="10"/>
      <c r="B851" s="111"/>
      <c r="C851" s="68"/>
      <c r="D851" s="374"/>
      <c r="E851" s="112"/>
      <c r="F851" s="112"/>
      <c r="G851" s="68"/>
      <c r="H851" s="603"/>
      <c r="I851" s="882"/>
      <c r="J851" s="883"/>
      <c r="K851" s="884"/>
      <c r="L851" s="884"/>
      <c r="M851" s="68"/>
    </row>
    <row r="852" spans="1:13" s="64" customFormat="1">
      <c r="A852" s="10"/>
      <c r="B852" s="111"/>
      <c r="C852" s="68"/>
      <c r="D852" s="374"/>
      <c r="E852" s="112"/>
      <c r="F852" s="112"/>
      <c r="G852" s="68"/>
      <c r="H852" s="603"/>
      <c r="I852" s="882"/>
      <c r="J852" s="883"/>
      <c r="K852" s="884"/>
      <c r="L852" s="884"/>
      <c r="M852" s="68"/>
    </row>
    <row r="853" spans="1:13" s="64" customFormat="1">
      <c r="A853" s="10"/>
      <c r="B853" s="111"/>
      <c r="C853" s="68"/>
      <c r="D853" s="374"/>
      <c r="E853" s="112"/>
      <c r="F853" s="112"/>
      <c r="G853" s="68"/>
      <c r="H853" s="603"/>
      <c r="I853" s="882"/>
      <c r="J853" s="883"/>
      <c r="K853" s="884"/>
      <c r="L853" s="884"/>
      <c r="M853" s="68"/>
    </row>
    <row r="854" spans="1:13" s="64" customFormat="1">
      <c r="A854" s="10"/>
      <c r="B854" s="111"/>
      <c r="C854" s="68"/>
      <c r="D854" s="374"/>
      <c r="E854" s="112"/>
      <c r="F854" s="112"/>
      <c r="G854" s="68"/>
      <c r="H854" s="603"/>
      <c r="I854" s="882"/>
      <c r="J854" s="883"/>
      <c r="K854" s="884"/>
      <c r="L854" s="884"/>
      <c r="M854" s="68"/>
    </row>
    <row r="855" spans="1:13" s="64" customFormat="1">
      <c r="A855" s="10"/>
      <c r="B855" s="111"/>
      <c r="C855" s="68"/>
      <c r="D855" s="374"/>
      <c r="E855" s="112"/>
      <c r="F855" s="112"/>
      <c r="G855" s="68"/>
      <c r="H855" s="603"/>
      <c r="I855" s="882"/>
      <c r="J855" s="883"/>
      <c r="K855" s="884"/>
      <c r="L855" s="884"/>
      <c r="M855" s="68"/>
    </row>
    <row r="856" spans="1:13" s="64" customFormat="1">
      <c r="A856" s="10"/>
      <c r="B856" s="111"/>
      <c r="C856" s="68"/>
      <c r="D856" s="374"/>
      <c r="E856" s="112"/>
      <c r="F856" s="112"/>
      <c r="G856" s="68"/>
      <c r="H856" s="603"/>
      <c r="I856" s="882"/>
      <c r="J856" s="883"/>
      <c r="K856" s="884"/>
      <c r="L856" s="884"/>
      <c r="M856" s="68"/>
    </row>
    <row r="857" spans="1:13" s="64" customFormat="1">
      <c r="A857" s="10"/>
      <c r="B857" s="111"/>
      <c r="C857" s="68"/>
      <c r="D857" s="374"/>
      <c r="E857" s="112"/>
      <c r="F857" s="112"/>
      <c r="G857" s="68"/>
      <c r="H857" s="603"/>
      <c r="I857" s="882"/>
      <c r="J857" s="883"/>
      <c r="K857" s="884"/>
      <c r="L857" s="884"/>
      <c r="M857" s="68"/>
    </row>
    <row r="858" spans="1:13" s="64" customFormat="1">
      <c r="A858" s="10"/>
      <c r="B858" s="111"/>
      <c r="C858" s="68"/>
      <c r="D858" s="374"/>
      <c r="E858" s="112"/>
      <c r="F858" s="112"/>
      <c r="G858" s="68"/>
      <c r="H858" s="603"/>
      <c r="I858" s="882"/>
      <c r="J858" s="883"/>
      <c r="K858" s="884"/>
      <c r="L858" s="884"/>
      <c r="M858" s="68"/>
    </row>
    <row r="859" spans="1:13" s="64" customFormat="1">
      <c r="A859" s="10"/>
      <c r="B859" s="111"/>
      <c r="C859" s="68"/>
      <c r="D859" s="374"/>
      <c r="E859" s="112"/>
      <c r="F859" s="112"/>
      <c r="G859" s="68"/>
      <c r="H859" s="603"/>
      <c r="I859" s="882"/>
      <c r="J859" s="883"/>
      <c r="K859" s="884"/>
      <c r="L859" s="884"/>
      <c r="M859" s="68"/>
    </row>
    <row r="860" spans="1:13" s="64" customFormat="1">
      <c r="A860" s="10"/>
      <c r="B860" s="111"/>
      <c r="C860" s="68"/>
      <c r="D860" s="374"/>
      <c r="E860" s="112"/>
      <c r="F860" s="112"/>
      <c r="G860" s="68"/>
      <c r="H860" s="603"/>
      <c r="I860" s="882"/>
      <c r="J860" s="883"/>
      <c r="K860" s="884"/>
      <c r="L860" s="884"/>
      <c r="M860" s="68"/>
    </row>
    <row r="861" spans="1:13" s="64" customFormat="1">
      <c r="A861" s="10"/>
      <c r="B861" s="111"/>
      <c r="C861" s="68"/>
      <c r="D861" s="374"/>
      <c r="E861" s="112"/>
      <c r="F861" s="112"/>
      <c r="G861" s="68"/>
      <c r="H861" s="603"/>
      <c r="I861" s="882"/>
      <c r="J861" s="883"/>
      <c r="K861" s="884"/>
      <c r="L861" s="884"/>
      <c r="M861" s="68"/>
    </row>
    <row r="862" spans="1:13" s="64" customFormat="1">
      <c r="A862" s="10"/>
      <c r="B862" s="111"/>
      <c r="C862" s="68"/>
      <c r="D862" s="374"/>
      <c r="E862" s="112"/>
      <c r="F862" s="112"/>
      <c r="G862" s="68"/>
      <c r="H862" s="603"/>
      <c r="I862" s="882"/>
      <c r="J862" s="883"/>
      <c r="K862" s="884"/>
      <c r="L862" s="884"/>
      <c r="M862" s="68"/>
    </row>
    <row r="863" spans="1:13" s="64" customFormat="1">
      <c r="A863" s="10"/>
      <c r="B863" s="111"/>
      <c r="C863" s="68"/>
      <c r="D863" s="374"/>
      <c r="E863" s="112"/>
      <c r="F863" s="112"/>
      <c r="G863" s="68"/>
      <c r="H863" s="603"/>
      <c r="I863" s="882"/>
      <c r="J863" s="883"/>
      <c r="K863" s="884"/>
      <c r="L863" s="884"/>
      <c r="M863" s="68"/>
    </row>
    <row r="864" spans="1:13" s="64" customFormat="1">
      <c r="A864" s="10"/>
      <c r="B864" s="111"/>
      <c r="C864" s="68"/>
      <c r="D864" s="374"/>
      <c r="E864" s="112"/>
      <c r="F864" s="112"/>
      <c r="G864" s="68"/>
      <c r="H864" s="603"/>
      <c r="I864" s="882"/>
      <c r="J864" s="883"/>
      <c r="K864" s="884"/>
      <c r="L864" s="884"/>
      <c r="M864" s="68"/>
    </row>
    <row r="865" spans="1:13" s="64" customFormat="1">
      <c r="A865" s="10"/>
      <c r="B865" s="111"/>
      <c r="C865" s="68"/>
      <c r="D865" s="374"/>
      <c r="E865" s="112"/>
      <c r="F865" s="112"/>
      <c r="G865" s="68"/>
      <c r="H865" s="603"/>
      <c r="I865" s="882"/>
      <c r="J865" s="883"/>
      <c r="K865" s="884"/>
      <c r="L865" s="884"/>
      <c r="M865" s="68"/>
    </row>
    <row r="866" spans="1:13" s="64" customFormat="1">
      <c r="A866" s="10"/>
      <c r="B866" s="111"/>
      <c r="C866" s="68"/>
      <c r="D866" s="374"/>
      <c r="E866" s="112"/>
      <c r="F866" s="112"/>
      <c r="G866" s="68"/>
      <c r="H866" s="603"/>
      <c r="I866" s="882"/>
      <c r="J866" s="883"/>
      <c r="K866" s="884"/>
      <c r="L866" s="884"/>
      <c r="M866" s="68"/>
    </row>
    <row r="867" spans="1:13" s="64" customFormat="1">
      <c r="A867" s="10"/>
      <c r="B867" s="111"/>
      <c r="C867" s="68"/>
      <c r="D867" s="374"/>
      <c r="E867" s="112"/>
      <c r="F867" s="112"/>
      <c r="G867" s="68"/>
      <c r="H867" s="603"/>
      <c r="I867" s="882"/>
      <c r="J867" s="883"/>
      <c r="K867" s="884"/>
      <c r="L867" s="884"/>
      <c r="M867" s="68"/>
    </row>
    <row r="868" spans="1:13" s="64" customFormat="1">
      <c r="A868" s="10"/>
      <c r="B868" s="111"/>
      <c r="C868" s="68"/>
      <c r="D868" s="374"/>
      <c r="E868" s="112"/>
      <c r="F868" s="112"/>
      <c r="G868" s="68"/>
      <c r="H868" s="603"/>
      <c r="I868" s="882"/>
      <c r="J868" s="883"/>
      <c r="K868" s="884"/>
      <c r="L868" s="884"/>
      <c r="M868" s="68"/>
    </row>
    <row r="869" spans="1:13" s="64" customFormat="1">
      <c r="A869" s="10"/>
      <c r="B869" s="111"/>
      <c r="C869" s="68"/>
      <c r="D869" s="374"/>
      <c r="E869" s="112"/>
      <c r="F869" s="112"/>
      <c r="G869" s="68"/>
      <c r="H869" s="603"/>
      <c r="I869" s="882"/>
      <c r="J869" s="883"/>
      <c r="K869" s="884"/>
      <c r="L869" s="884"/>
      <c r="M869" s="68"/>
    </row>
    <row r="870" spans="1:13" s="64" customFormat="1">
      <c r="A870" s="10"/>
      <c r="B870" s="111"/>
      <c r="C870" s="68"/>
      <c r="D870" s="374"/>
      <c r="E870" s="112"/>
      <c r="F870" s="112"/>
      <c r="G870" s="68"/>
      <c r="H870" s="603"/>
      <c r="I870" s="882"/>
      <c r="J870" s="883"/>
      <c r="K870" s="884"/>
      <c r="L870" s="884"/>
      <c r="M870" s="68"/>
    </row>
    <row r="871" spans="1:13" s="64" customFormat="1">
      <c r="A871" s="10"/>
      <c r="B871" s="111"/>
      <c r="C871" s="68"/>
      <c r="D871" s="374"/>
      <c r="E871" s="112"/>
      <c r="F871" s="112"/>
      <c r="G871" s="68"/>
      <c r="H871" s="603"/>
      <c r="I871" s="882"/>
      <c r="J871" s="883"/>
      <c r="K871" s="884"/>
      <c r="L871" s="884"/>
      <c r="M871" s="68"/>
    </row>
    <row r="872" spans="1:13" s="64" customFormat="1">
      <c r="A872" s="10"/>
      <c r="B872" s="111"/>
      <c r="C872" s="68"/>
      <c r="D872" s="374"/>
      <c r="E872" s="112"/>
      <c r="F872" s="112"/>
      <c r="G872" s="68"/>
      <c r="H872" s="603"/>
      <c r="I872" s="882"/>
      <c r="J872" s="883"/>
      <c r="K872" s="884"/>
      <c r="L872" s="884"/>
      <c r="M872" s="68"/>
    </row>
    <row r="873" spans="1:13" s="64" customFormat="1">
      <c r="A873" s="10"/>
      <c r="B873" s="111"/>
      <c r="C873" s="68"/>
      <c r="D873" s="374"/>
      <c r="E873" s="112"/>
      <c r="F873" s="112"/>
      <c r="G873" s="68"/>
      <c r="H873" s="603"/>
      <c r="I873" s="882"/>
      <c r="J873" s="883"/>
      <c r="K873" s="884"/>
      <c r="L873" s="884"/>
      <c r="M873" s="68"/>
    </row>
    <row r="874" spans="1:13" s="64" customFormat="1">
      <c r="A874" s="10"/>
      <c r="B874" s="111"/>
      <c r="C874" s="68"/>
      <c r="D874" s="374"/>
      <c r="E874" s="112"/>
      <c r="F874" s="112"/>
      <c r="G874" s="68"/>
      <c r="H874" s="603"/>
      <c r="I874" s="882"/>
      <c r="J874" s="883"/>
      <c r="K874" s="884"/>
      <c r="L874" s="884"/>
      <c r="M874" s="68"/>
    </row>
    <row r="875" spans="1:13" s="64" customFormat="1">
      <c r="A875" s="10"/>
      <c r="B875" s="111"/>
      <c r="C875" s="68"/>
      <c r="D875" s="374"/>
      <c r="E875" s="112"/>
      <c r="F875" s="112"/>
      <c r="G875" s="68"/>
      <c r="H875" s="603"/>
      <c r="I875" s="882"/>
      <c r="J875" s="883"/>
      <c r="K875" s="884"/>
      <c r="L875" s="884"/>
      <c r="M875" s="68"/>
    </row>
    <row r="876" spans="1:13" s="64" customFormat="1">
      <c r="A876" s="10"/>
      <c r="B876" s="111"/>
      <c r="C876" s="68"/>
      <c r="D876" s="374"/>
      <c r="E876" s="112"/>
      <c r="F876" s="112"/>
      <c r="G876" s="68"/>
      <c r="H876" s="603"/>
      <c r="I876" s="882"/>
      <c r="J876" s="883"/>
      <c r="K876" s="884"/>
      <c r="L876" s="884"/>
      <c r="M876" s="68"/>
    </row>
    <row r="877" spans="1:13" s="64" customFormat="1">
      <c r="A877" s="10"/>
      <c r="B877" s="111"/>
      <c r="C877" s="68"/>
      <c r="D877" s="374"/>
      <c r="E877" s="112"/>
      <c r="F877" s="112"/>
      <c r="G877" s="68"/>
      <c r="H877" s="603"/>
      <c r="I877" s="882"/>
      <c r="J877" s="883"/>
      <c r="K877" s="884"/>
      <c r="L877" s="884"/>
      <c r="M877" s="68"/>
    </row>
    <row r="878" spans="1:13" s="64" customFormat="1">
      <c r="A878" s="10"/>
      <c r="B878" s="111"/>
      <c r="C878" s="68"/>
      <c r="D878" s="374"/>
      <c r="E878" s="112"/>
      <c r="F878" s="112"/>
      <c r="G878" s="68"/>
      <c r="H878" s="603"/>
      <c r="I878" s="882"/>
      <c r="J878" s="883"/>
      <c r="K878" s="884"/>
      <c r="L878" s="884"/>
      <c r="M878" s="68"/>
    </row>
    <row r="879" spans="1:13" s="64" customFormat="1">
      <c r="A879" s="10"/>
      <c r="B879" s="111"/>
      <c r="C879" s="68"/>
      <c r="D879" s="374"/>
      <c r="E879" s="112"/>
      <c r="F879" s="112"/>
      <c r="G879" s="68"/>
      <c r="H879" s="603"/>
      <c r="I879" s="882"/>
      <c r="J879" s="883"/>
      <c r="K879" s="884"/>
      <c r="L879" s="884"/>
      <c r="M879" s="68"/>
    </row>
    <row r="880" spans="1:13" s="64" customFormat="1">
      <c r="A880" s="10"/>
      <c r="B880" s="111"/>
      <c r="C880" s="68"/>
      <c r="D880" s="374"/>
      <c r="E880" s="112"/>
      <c r="F880" s="112"/>
      <c r="G880" s="68"/>
      <c r="H880" s="603"/>
      <c r="I880" s="882"/>
      <c r="J880" s="883"/>
      <c r="K880" s="884"/>
      <c r="L880" s="884"/>
      <c r="M880" s="68"/>
    </row>
    <row r="881" spans="1:13" s="64" customFormat="1">
      <c r="A881" s="10"/>
      <c r="B881" s="111"/>
      <c r="C881" s="68"/>
      <c r="D881" s="374"/>
      <c r="E881" s="112"/>
      <c r="F881" s="112"/>
      <c r="G881" s="68"/>
      <c r="H881" s="603"/>
      <c r="I881" s="882"/>
      <c r="J881" s="883"/>
      <c r="K881" s="884"/>
      <c r="L881" s="884"/>
      <c r="M881" s="68"/>
    </row>
    <row r="882" spans="1:13" s="64" customFormat="1">
      <c r="A882" s="10"/>
      <c r="B882" s="111"/>
      <c r="C882" s="68"/>
      <c r="D882" s="374"/>
      <c r="E882" s="112"/>
      <c r="F882" s="112"/>
      <c r="G882" s="68"/>
      <c r="H882" s="603"/>
      <c r="I882" s="882"/>
      <c r="J882" s="883"/>
      <c r="K882" s="884"/>
      <c r="L882" s="884"/>
      <c r="M882" s="68"/>
    </row>
    <row r="883" spans="1:13" s="64" customFormat="1">
      <c r="A883" s="10"/>
      <c r="B883" s="111"/>
      <c r="C883" s="68"/>
      <c r="D883" s="374"/>
      <c r="E883" s="112"/>
      <c r="F883" s="112"/>
      <c r="G883" s="68"/>
      <c r="H883" s="603"/>
      <c r="I883" s="882"/>
      <c r="J883" s="883"/>
      <c r="K883" s="884"/>
      <c r="L883" s="884"/>
      <c r="M883" s="68"/>
    </row>
    <row r="884" spans="1:13" s="64" customFormat="1">
      <c r="A884" s="10"/>
      <c r="B884" s="111"/>
      <c r="C884" s="68"/>
      <c r="D884" s="374"/>
      <c r="E884" s="112"/>
      <c r="F884" s="112"/>
      <c r="G884" s="68"/>
      <c r="H884" s="603"/>
      <c r="I884" s="882"/>
      <c r="J884" s="883"/>
      <c r="K884" s="884"/>
      <c r="L884" s="884"/>
      <c r="M884" s="68"/>
    </row>
    <row r="885" spans="1:13" s="64" customFormat="1">
      <c r="A885" s="10"/>
      <c r="B885" s="111"/>
      <c r="C885" s="68"/>
      <c r="D885" s="374"/>
      <c r="E885" s="112"/>
      <c r="F885" s="112"/>
      <c r="G885" s="68"/>
      <c r="H885" s="603"/>
      <c r="I885" s="882"/>
      <c r="J885" s="883"/>
      <c r="K885" s="884"/>
      <c r="L885" s="884"/>
      <c r="M885" s="68"/>
    </row>
    <row r="886" spans="1:13" s="64" customFormat="1">
      <c r="A886" s="10"/>
      <c r="B886" s="111"/>
      <c r="C886" s="68"/>
      <c r="D886" s="374"/>
      <c r="E886" s="112"/>
      <c r="F886" s="112"/>
      <c r="G886" s="68"/>
      <c r="H886" s="603"/>
      <c r="I886" s="882"/>
      <c r="J886" s="883"/>
      <c r="K886" s="884"/>
      <c r="L886" s="884"/>
      <c r="M886" s="68"/>
    </row>
    <row r="887" spans="1:13" s="64" customFormat="1">
      <c r="A887" s="10"/>
      <c r="B887" s="111"/>
      <c r="C887" s="68"/>
      <c r="D887" s="374"/>
      <c r="E887" s="112"/>
      <c r="F887" s="112"/>
      <c r="G887" s="68"/>
      <c r="H887" s="603"/>
      <c r="I887" s="882"/>
      <c r="J887" s="883"/>
      <c r="K887" s="884"/>
      <c r="L887" s="884"/>
      <c r="M887" s="68"/>
    </row>
    <row r="888" spans="1:13" s="64" customFormat="1">
      <c r="A888" s="10"/>
      <c r="B888" s="111"/>
      <c r="C888" s="68"/>
      <c r="D888" s="374"/>
      <c r="E888" s="112"/>
      <c r="F888" s="112"/>
      <c r="G888" s="68"/>
      <c r="H888" s="603"/>
      <c r="I888" s="882"/>
      <c r="J888" s="883"/>
      <c r="K888" s="884"/>
      <c r="L888" s="884"/>
      <c r="M888" s="68"/>
    </row>
    <row r="889" spans="1:13" s="64" customFormat="1">
      <c r="A889" s="10"/>
      <c r="B889" s="111"/>
      <c r="C889" s="68"/>
      <c r="D889" s="374"/>
      <c r="E889" s="112"/>
      <c r="F889" s="112"/>
      <c r="G889" s="68"/>
      <c r="H889" s="603"/>
      <c r="I889" s="882"/>
      <c r="J889" s="883"/>
      <c r="K889" s="884"/>
      <c r="L889" s="884"/>
      <c r="M889" s="68"/>
    </row>
    <row r="890" spans="1:13" s="64" customFormat="1">
      <c r="A890" s="10"/>
      <c r="B890" s="111"/>
      <c r="C890" s="68"/>
      <c r="D890" s="374"/>
      <c r="E890" s="112"/>
      <c r="F890" s="112"/>
      <c r="G890" s="68"/>
      <c r="H890" s="603"/>
      <c r="I890" s="882"/>
      <c r="J890" s="883"/>
      <c r="K890" s="884"/>
      <c r="L890" s="884"/>
      <c r="M890" s="68"/>
    </row>
    <row r="891" spans="1:13" s="64" customFormat="1">
      <c r="A891" s="10"/>
      <c r="B891" s="111"/>
      <c r="C891" s="68"/>
      <c r="D891" s="374"/>
      <c r="E891" s="112"/>
      <c r="F891" s="112"/>
      <c r="G891" s="68"/>
      <c r="H891" s="603"/>
      <c r="I891" s="882"/>
      <c r="J891" s="883"/>
      <c r="K891" s="884"/>
      <c r="L891" s="884"/>
      <c r="M891" s="68"/>
    </row>
    <row r="892" spans="1:13" s="64" customFormat="1">
      <c r="A892" s="10"/>
      <c r="B892" s="111"/>
      <c r="C892" s="68"/>
      <c r="D892" s="374"/>
      <c r="E892" s="112"/>
      <c r="F892" s="112"/>
      <c r="G892" s="68"/>
      <c r="H892" s="603"/>
      <c r="I892" s="882"/>
      <c r="J892" s="883"/>
      <c r="K892" s="884"/>
      <c r="L892" s="884"/>
      <c r="M892" s="68"/>
    </row>
    <row r="893" spans="1:13" s="64" customFormat="1">
      <c r="A893" s="10"/>
      <c r="B893" s="111"/>
      <c r="C893" s="68"/>
      <c r="D893" s="374"/>
      <c r="E893" s="112"/>
      <c r="F893" s="112"/>
      <c r="G893" s="68"/>
      <c r="H893" s="603"/>
      <c r="I893" s="882"/>
      <c r="J893" s="883"/>
      <c r="K893" s="884"/>
      <c r="L893" s="884"/>
      <c r="M893" s="68"/>
    </row>
    <row r="894" spans="1:13" s="64" customFormat="1">
      <c r="A894" s="10"/>
      <c r="B894" s="111"/>
      <c r="C894" s="68"/>
      <c r="D894" s="374"/>
      <c r="E894" s="112"/>
      <c r="F894" s="112"/>
      <c r="G894" s="68"/>
      <c r="H894" s="603"/>
      <c r="I894" s="882"/>
      <c r="J894" s="883"/>
      <c r="K894" s="884"/>
      <c r="L894" s="884"/>
      <c r="M894" s="68"/>
    </row>
    <row r="895" spans="1:13" s="64" customFormat="1">
      <c r="A895" s="10"/>
      <c r="B895" s="111"/>
      <c r="C895" s="68"/>
      <c r="D895" s="374"/>
      <c r="E895" s="112"/>
      <c r="F895" s="112"/>
      <c r="G895" s="68"/>
      <c r="H895" s="603"/>
      <c r="I895" s="882"/>
      <c r="J895" s="883"/>
      <c r="K895" s="884"/>
      <c r="L895" s="884"/>
      <c r="M895" s="68"/>
    </row>
    <row r="896" spans="1:13" s="64" customFormat="1">
      <c r="A896" s="10"/>
      <c r="B896" s="111"/>
      <c r="C896" s="68"/>
      <c r="D896" s="374"/>
      <c r="E896" s="112"/>
      <c r="F896" s="112"/>
      <c r="G896" s="68"/>
      <c r="H896" s="603"/>
      <c r="I896" s="882"/>
      <c r="J896" s="883"/>
      <c r="K896" s="884"/>
      <c r="L896" s="884"/>
      <c r="M896" s="68"/>
    </row>
    <row r="897" spans="1:13" s="64" customFormat="1">
      <c r="A897" s="10"/>
      <c r="B897" s="111"/>
      <c r="C897" s="68"/>
      <c r="D897" s="374"/>
      <c r="E897" s="112"/>
      <c r="F897" s="112"/>
      <c r="G897" s="68"/>
      <c r="H897" s="603"/>
      <c r="I897" s="882"/>
      <c r="J897" s="883"/>
      <c r="K897" s="884"/>
      <c r="L897" s="884"/>
      <c r="M897" s="68"/>
    </row>
    <row r="898" spans="1:13" s="64" customFormat="1">
      <c r="A898" s="10"/>
      <c r="B898" s="111"/>
      <c r="C898" s="68"/>
      <c r="D898" s="374"/>
      <c r="E898" s="112"/>
      <c r="F898" s="112"/>
      <c r="G898" s="68"/>
      <c r="H898" s="603"/>
      <c r="I898" s="882"/>
      <c r="J898" s="883"/>
      <c r="K898" s="884"/>
      <c r="L898" s="884"/>
      <c r="M898" s="68"/>
    </row>
    <row r="899" spans="1:13" s="64" customFormat="1">
      <c r="A899" s="10"/>
      <c r="B899" s="111"/>
      <c r="C899" s="68"/>
      <c r="D899" s="374"/>
      <c r="E899" s="112"/>
      <c r="F899" s="112"/>
      <c r="G899" s="68"/>
      <c r="H899" s="603"/>
      <c r="I899" s="882"/>
      <c r="J899" s="883"/>
      <c r="K899" s="884"/>
      <c r="L899" s="884"/>
      <c r="M899" s="68"/>
    </row>
    <row r="900" spans="1:13" s="64" customFormat="1">
      <c r="A900" s="10"/>
      <c r="B900" s="111"/>
      <c r="C900" s="68"/>
      <c r="D900" s="374"/>
      <c r="E900" s="112"/>
      <c r="F900" s="112"/>
      <c r="G900" s="68"/>
      <c r="H900" s="603"/>
      <c r="I900" s="882"/>
      <c r="J900" s="883"/>
      <c r="K900" s="884"/>
      <c r="L900" s="884"/>
      <c r="M900" s="68"/>
    </row>
    <row r="901" spans="1:13" s="64" customFormat="1">
      <c r="A901" s="10"/>
      <c r="B901" s="111"/>
      <c r="C901" s="68"/>
      <c r="D901" s="374"/>
      <c r="E901" s="112"/>
      <c r="F901" s="112"/>
      <c r="G901" s="68"/>
      <c r="H901" s="603"/>
      <c r="I901" s="882"/>
      <c r="J901" s="883"/>
      <c r="K901" s="884"/>
      <c r="L901" s="884"/>
      <c r="M901" s="68"/>
    </row>
    <row r="902" spans="1:13" s="64" customFormat="1">
      <c r="A902" s="10"/>
      <c r="B902" s="111"/>
      <c r="C902" s="68"/>
      <c r="D902" s="374"/>
      <c r="E902" s="112"/>
      <c r="F902" s="112"/>
      <c r="G902" s="68"/>
      <c r="H902" s="603"/>
      <c r="I902" s="882"/>
      <c r="J902" s="883"/>
      <c r="K902" s="884"/>
      <c r="L902" s="884"/>
      <c r="M902" s="68"/>
    </row>
    <row r="903" spans="1:13" s="64" customFormat="1">
      <c r="A903" s="10"/>
      <c r="B903" s="111"/>
      <c r="C903" s="68"/>
      <c r="D903" s="374"/>
      <c r="E903" s="112"/>
      <c r="F903" s="112"/>
      <c r="G903" s="68"/>
      <c r="H903" s="603"/>
      <c r="I903" s="882"/>
      <c r="J903" s="883"/>
      <c r="K903" s="884"/>
      <c r="L903" s="884"/>
      <c r="M903" s="68"/>
    </row>
    <row r="904" spans="1:13" s="64" customFormat="1">
      <c r="A904" s="10"/>
      <c r="B904" s="111"/>
      <c r="C904" s="68"/>
      <c r="D904" s="374"/>
      <c r="E904" s="112"/>
      <c r="F904" s="112"/>
      <c r="G904" s="68"/>
      <c r="H904" s="603"/>
      <c r="I904" s="882"/>
      <c r="J904" s="883"/>
      <c r="K904" s="884"/>
      <c r="L904" s="884"/>
      <c r="M904" s="68"/>
    </row>
    <row r="905" spans="1:13" s="64" customFormat="1">
      <c r="A905" s="10"/>
      <c r="B905" s="111"/>
      <c r="C905" s="68"/>
      <c r="D905" s="374"/>
      <c r="E905" s="112"/>
      <c r="F905" s="112"/>
      <c r="G905" s="68"/>
      <c r="H905" s="603"/>
      <c r="I905" s="882"/>
      <c r="J905" s="883"/>
      <c r="K905" s="884"/>
      <c r="L905" s="884"/>
      <c r="M905" s="68"/>
    </row>
    <row r="906" spans="1:13" s="64" customFormat="1">
      <c r="A906" s="10"/>
      <c r="B906" s="111"/>
      <c r="C906" s="68"/>
      <c r="D906" s="374"/>
      <c r="E906" s="112"/>
      <c r="F906" s="112"/>
      <c r="G906" s="68"/>
      <c r="H906" s="603"/>
      <c r="I906" s="882"/>
      <c r="J906" s="883"/>
      <c r="K906" s="884"/>
      <c r="L906" s="884"/>
      <c r="M906" s="68"/>
    </row>
    <row r="907" spans="1:13" s="64" customFormat="1">
      <c r="A907" s="10"/>
      <c r="B907" s="111"/>
      <c r="C907" s="68"/>
      <c r="D907" s="374"/>
      <c r="E907" s="112"/>
      <c r="F907" s="112"/>
      <c r="G907" s="68"/>
      <c r="H907" s="603"/>
      <c r="I907" s="882"/>
      <c r="J907" s="883"/>
      <c r="K907" s="884"/>
      <c r="L907" s="884"/>
      <c r="M907" s="68"/>
    </row>
    <row r="908" spans="1:13" s="64" customFormat="1">
      <c r="A908" s="10"/>
      <c r="B908" s="111"/>
      <c r="C908" s="68"/>
      <c r="D908" s="374"/>
      <c r="E908" s="112"/>
      <c r="F908" s="112"/>
      <c r="G908" s="68"/>
      <c r="H908" s="603"/>
      <c r="I908" s="882"/>
      <c r="J908" s="883"/>
      <c r="K908" s="884"/>
      <c r="L908" s="884"/>
      <c r="M908" s="68"/>
    </row>
    <row r="909" spans="1:13" s="64" customFormat="1">
      <c r="A909" s="10"/>
      <c r="B909" s="111"/>
      <c r="C909" s="68"/>
      <c r="D909" s="374"/>
      <c r="E909" s="112"/>
      <c r="F909" s="112"/>
      <c r="G909" s="68"/>
      <c r="H909" s="603"/>
      <c r="I909" s="882"/>
      <c r="J909" s="883"/>
      <c r="K909" s="884"/>
      <c r="L909" s="884"/>
      <c r="M909" s="68"/>
    </row>
    <row r="910" spans="1:13" s="64" customFormat="1">
      <c r="A910" s="10"/>
      <c r="B910" s="111"/>
      <c r="C910" s="68"/>
      <c r="D910" s="374"/>
      <c r="E910" s="112"/>
      <c r="F910" s="112"/>
      <c r="G910" s="68"/>
      <c r="H910" s="603"/>
      <c r="I910" s="882"/>
      <c r="J910" s="883"/>
      <c r="K910" s="884"/>
      <c r="L910" s="884"/>
      <c r="M910" s="68"/>
    </row>
    <row r="911" spans="1:13" s="64" customFormat="1">
      <c r="A911" s="10"/>
      <c r="B911" s="111"/>
      <c r="C911" s="68"/>
      <c r="D911" s="374"/>
      <c r="E911" s="112"/>
      <c r="F911" s="112"/>
      <c r="G911" s="68"/>
      <c r="H911" s="603"/>
      <c r="I911" s="882"/>
      <c r="J911" s="883"/>
      <c r="K911" s="884"/>
      <c r="L911" s="884"/>
      <c r="M911" s="68"/>
    </row>
    <row r="912" spans="1:13" s="64" customFormat="1">
      <c r="A912" s="10"/>
      <c r="B912" s="111"/>
      <c r="C912" s="68"/>
      <c r="D912" s="374"/>
      <c r="E912" s="112"/>
      <c r="F912" s="112"/>
      <c r="G912" s="68"/>
      <c r="H912" s="603"/>
      <c r="I912" s="882"/>
      <c r="J912" s="883"/>
      <c r="K912" s="884"/>
      <c r="L912" s="884"/>
      <c r="M912" s="68"/>
    </row>
    <row r="913" spans="1:13" s="64" customFormat="1">
      <c r="A913" s="10"/>
      <c r="B913" s="111"/>
      <c r="C913" s="68"/>
      <c r="D913" s="374"/>
      <c r="E913" s="112"/>
      <c r="F913" s="112"/>
      <c r="G913" s="68"/>
      <c r="H913" s="603"/>
      <c r="I913" s="882"/>
      <c r="J913" s="883"/>
      <c r="K913" s="884"/>
      <c r="L913" s="884"/>
      <c r="M913" s="68"/>
    </row>
    <row r="914" spans="1:13" s="64" customFormat="1">
      <c r="A914" s="10"/>
      <c r="B914" s="111"/>
      <c r="C914" s="68"/>
      <c r="D914" s="374"/>
      <c r="E914" s="112"/>
      <c r="F914" s="112"/>
      <c r="G914" s="68"/>
      <c r="H914" s="603"/>
      <c r="I914" s="882"/>
      <c r="J914" s="883"/>
      <c r="K914" s="884"/>
      <c r="L914" s="884"/>
      <c r="M914" s="68"/>
    </row>
    <row r="915" spans="1:13" s="64" customFormat="1">
      <c r="A915" s="10"/>
      <c r="B915" s="111"/>
      <c r="C915" s="68"/>
      <c r="D915" s="374"/>
      <c r="E915" s="112"/>
      <c r="F915" s="112"/>
      <c r="G915" s="68"/>
      <c r="H915" s="603"/>
      <c r="I915" s="882"/>
      <c r="J915" s="883"/>
      <c r="K915" s="884"/>
      <c r="L915" s="884"/>
      <c r="M915" s="68"/>
    </row>
    <row r="916" spans="1:13" s="64" customFormat="1">
      <c r="A916" s="10"/>
      <c r="B916" s="111"/>
      <c r="C916" s="68"/>
      <c r="D916" s="374"/>
      <c r="E916" s="112"/>
      <c r="F916" s="112"/>
      <c r="G916" s="68"/>
      <c r="H916" s="603"/>
      <c r="I916" s="882"/>
      <c r="J916" s="883"/>
      <c r="K916" s="884"/>
      <c r="L916" s="884"/>
      <c r="M916" s="68"/>
    </row>
    <row r="917" spans="1:13" s="64" customFormat="1">
      <c r="A917" s="10"/>
      <c r="B917" s="111"/>
      <c r="C917" s="68"/>
      <c r="D917" s="374"/>
      <c r="E917" s="112"/>
      <c r="F917" s="112"/>
      <c r="G917" s="68"/>
      <c r="H917" s="603"/>
      <c r="I917" s="882"/>
      <c r="J917" s="883"/>
      <c r="K917" s="884"/>
      <c r="L917" s="884"/>
      <c r="M917" s="68"/>
    </row>
    <row r="918" spans="1:13" s="64" customFormat="1">
      <c r="A918" s="10"/>
      <c r="B918" s="111"/>
      <c r="C918" s="68"/>
      <c r="D918" s="374"/>
      <c r="E918" s="112"/>
      <c r="F918" s="112"/>
      <c r="G918" s="68"/>
      <c r="H918" s="603"/>
      <c r="I918" s="882"/>
      <c r="J918" s="883"/>
      <c r="K918" s="884"/>
      <c r="L918" s="884"/>
      <c r="M918" s="68"/>
    </row>
    <row r="919" spans="1:13" s="64" customFormat="1">
      <c r="A919" s="10"/>
      <c r="B919" s="111"/>
      <c r="C919" s="68"/>
      <c r="D919" s="374"/>
      <c r="E919" s="112"/>
      <c r="F919" s="112"/>
      <c r="G919" s="68"/>
      <c r="H919" s="603"/>
      <c r="I919" s="882"/>
      <c r="J919" s="883"/>
      <c r="K919" s="884"/>
      <c r="L919" s="884"/>
      <c r="M919" s="68"/>
    </row>
    <row r="920" spans="1:13" s="64" customFormat="1">
      <c r="A920" s="10"/>
      <c r="B920" s="111"/>
      <c r="C920" s="68"/>
      <c r="D920" s="374"/>
      <c r="E920" s="112"/>
      <c r="F920" s="112"/>
      <c r="G920" s="68"/>
      <c r="H920" s="603"/>
      <c r="I920" s="882"/>
      <c r="J920" s="883"/>
      <c r="K920" s="884"/>
      <c r="L920" s="884"/>
      <c r="M920" s="68"/>
    </row>
    <row r="921" spans="1:13" s="64" customFormat="1">
      <c r="A921" s="10"/>
      <c r="B921" s="111"/>
      <c r="C921" s="68"/>
      <c r="D921" s="374"/>
      <c r="E921" s="112"/>
      <c r="F921" s="112"/>
      <c r="G921" s="68"/>
      <c r="H921" s="603"/>
      <c r="I921" s="882"/>
      <c r="J921" s="883"/>
      <c r="K921" s="884"/>
      <c r="L921" s="884"/>
      <c r="M921" s="68"/>
    </row>
    <row r="922" spans="1:13" s="64" customFormat="1">
      <c r="A922" s="10"/>
      <c r="B922" s="111"/>
      <c r="C922" s="68"/>
      <c r="D922" s="374"/>
      <c r="E922" s="112"/>
      <c r="F922" s="112"/>
      <c r="G922" s="68"/>
      <c r="H922" s="603"/>
      <c r="I922" s="882"/>
      <c r="J922" s="883"/>
      <c r="K922" s="884"/>
      <c r="L922" s="884"/>
      <c r="M922" s="68"/>
    </row>
    <row r="923" spans="1:13" s="64" customFormat="1">
      <c r="A923" s="10"/>
      <c r="B923" s="111"/>
      <c r="C923" s="68"/>
      <c r="D923" s="374"/>
      <c r="E923" s="112"/>
      <c r="F923" s="112"/>
      <c r="G923" s="68"/>
      <c r="H923" s="603"/>
      <c r="I923" s="882"/>
      <c r="J923" s="883"/>
      <c r="K923" s="884"/>
      <c r="L923" s="884"/>
      <c r="M923" s="68"/>
    </row>
    <row r="924" spans="1:13" s="64" customFormat="1">
      <c r="A924" s="10"/>
      <c r="B924" s="111"/>
      <c r="C924" s="68"/>
      <c r="D924" s="374"/>
      <c r="E924" s="112"/>
      <c r="F924" s="112"/>
      <c r="G924" s="68"/>
      <c r="H924" s="603"/>
      <c r="I924" s="882"/>
      <c r="J924" s="883"/>
      <c r="K924" s="884"/>
      <c r="L924" s="884"/>
      <c r="M924" s="68"/>
    </row>
    <row r="925" spans="1:13" s="64" customFormat="1">
      <c r="A925" s="10"/>
      <c r="B925" s="111"/>
      <c r="C925" s="68"/>
      <c r="D925" s="374"/>
      <c r="E925" s="112"/>
      <c r="F925" s="112"/>
      <c r="G925" s="68"/>
      <c r="H925" s="603"/>
      <c r="I925" s="882"/>
      <c r="J925" s="883"/>
      <c r="K925" s="884"/>
      <c r="L925" s="884"/>
      <c r="M925" s="68"/>
    </row>
    <row r="926" spans="1:13" s="64" customFormat="1">
      <c r="A926" s="10"/>
      <c r="B926" s="111"/>
      <c r="C926" s="68"/>
      <c r="D926" s="374"/>
      <c r="E926" s="112"/>
      <c r="F926" s="112"/>
      <c r="G926" s="68"/>
      <c r="H926" s="603"/>
      <c r="I926" s="882"/>
      <c r="J926" s="883"/>
      <c r="K926" s="884"/>
      <c r="L926" s="884"/>
      <c r="M926" s="68"/>
    </row>
    <row r="927" spans="1:13" s="64" customFormat="1">
      <c r="A927" s="10"/>
      <c r="B927" s="111"/>
      <c r="C927" s="68"/>
      <c r="D927" s="374"/>
      <c r="E927" s="112"/>
      <c r="F927" s="112"/>
      <c r="G927" s="68"/>
      <c r="H927" s="603"/>
      <c r="I927" s="882"/>
      <c r="J927" s="883"/>
      <c r="K927" s="884"/>
      <c r="L927" s="884"/>
      <c r="M927" s="68"/>
    </row>
    <row r="928" spans="1:13" s="64" customFormat="1">
      <c r="A928" s="10"/>
      <c r="B928" s="111"/>
      <c r="C928" s="68"/>
      <c r="D928" s="374"/>
      <c r="E928" s="112"/>
      <c r="F928" s="112"/>
      <c r="G928" s="68"/>
      <c r="H928" s="603"/>
      <c r="I928" s="882"/>
      <c r="J928" s="883"/>
      <c r="K928" s="884"/>
      <c r="L928" s="884"/>
      <c r="M928" s="68"/>
    </row>
    <row r="929" spans="1:13" s="64" customFormat="1">
      <c r="A929" s="10"/>
      <c r="B929" s="111"/>
      <c r="C929" s="68"/>
      <c r="D929" s="374"/>
      <c r="E929" s="112"/>
      <c r="F929" s="112"/>
      <c r="G929" s="68"/>
      <c r="H929" s="603"/>
      <c r="I929" s="882"/>
      <c r="J929" s="883"/>
      <c r="K929" s="884"/>
      <c r="L929" s="884"/>
      <c r="M929" s="68"/>
    </row>
    <row r="930" spans="1:13" s="64" customFormat="1">
      <c r="A930" s="10"/>
      <c r="B930" s="111"/>
      <c r="C930" s="68"/>
      <c r="D930" s="374"/>
      <c r="E930" s="112"/>
      <c r="F930" s="112"/>
      <c r="G930" s="68"/>
      <c r="H930" s="603"/>
      <c r="I930" s="882"/>
      <c r="J930" s="883"/>
      <c r="K930" s="884"/>
      <c r="L930" s="884"/>
      <c r="M930" s="68"/>
    </row>
    <row r="931" spans="1:13" s="64" customFormat="1">
      <c r="A931" s="10"/>
      <c r="B931" s="111"/>
      <c r="C931" s="68"/>
      <c r="D931" s="374"/>
      <c r="E931" s="112"/>
      <c r="F931" s="112"/>
      <c r="G931" s="68"/>
      <c r="H931" s="603"/>
      <c r="I931" s="882"/>
      <c r="J931" s="883"/>
      <c r="K931" s="884"/>
      <c r="L931" s="884"/>
      <c r="M931" s="68"/>
    </row>
    <row r="932" spans="1:13" s="64" customFormat="1">
      <c r="A932" s="10"/>
      <c r="B932" s="111"/>
      <c r="C932" s="68"/>
      <c r="D932" s="374"/>
      <c r="E932" s="112"/>
      <c r="F932" s="112"/>
      <c r="G932" s="68"/>
      <c r="H932" s="603"/>
      <c r="I932" s="882"/>
      <c r="J932" s="883"/>
      <c r="K932" s="884"/>
      <c r="L932" s="884"/>
      <c r="M932" s="68"/>
    </row>
    <row r="933" spans="1:13" s="64" customFormat="1">
      <c r="A933" s="10"/>
      <c r="B933" s="111"/>
      <c r="C933" s="68"/>
      <c r="D933" s="374"/>
      <c r="E933" s="112"/>
      <c r="F933" s="112"/>
      <c r="G933" s="68"/>
      <c r="H933" s="603"/>
      <c r="I933" s="882"/>
      <c r="J933" s="883"/>
      <c r="K933" s="884"/>
      <c r="L933" s="884"/>
      <c r="M933" s="68"/>
    </row>
    <row r="934" spans="1:13" s="64" customFormat="1">
      <c r="A934" s="10"/>
      <c r="B934" s="111"/>
      <c r="C934" s="68"/>
      <c r="D934" s="374"/>
      <c r="E934" s="112"/>
      <c r="F934" s="112"/>
      <c r="G934" s="68"/>
      <c r="H934" s="603"/>
      <c r="I934" s="882"/>
      <c r="J934" s="883"/>
      <c r="K934" s="884"/>
      <c r="L934" s="884"/>
      <c r="M934" s="68"/>
    </row>
    <row r="935" spans="1:13" s="64" customFormat="1">
      <c r="A935" s="10"/>
      <c r="B935" s="111"/>
      <c r="C935" s="68"/>
      <c r="D935" s="374"/>
      <c r="E935" s="112"/>
      <c r="F935" s="112"/>
      <c r="G935" s="68"/>
      <c r="H935" s="603"/>
      <c r="I935" s="882"/>
      <c r="J935" s="883"/>
      <c r="K935" s="884"/>
      <c r="L935" s="884"/>
      <c r="M935" s="68"/>
    </row>
    <row r="936" spans="1:13" s="64" customFormat="1">
      <c r="A936" s="10"/>
      <c r="B936" s="111"/>
      <c r="C936" s="68"/>
      <c r="D936" s="374"/>
      <c r="E936" s="112"/>
      <c r="F936" s="112"/>
      <c r="G936" s="68"/>
      <c r="H936" s="603"/>
      <c r="I936" s="882"/>
      <c r="J936" s="883"/>
      <c r="K936" s="884"/>
      <c r="L936" s="884"/>
      <c r="M936" s="68"/>
    </row>
    <row r="937" spans="1:13" s="64" customFormat="1">
      <c r="A937" s="10"/>
      <c r="B937" s="111"/>
      <c r="C937" s="68"/>
      <c r="D937" s="374"/>
      <c r="E937" s="112"/>
      <c r="F937" s="112"/>
      <c r="G937" s="68"/>
      <c r="H937" s="603"/>
      <c r="I937" s="882"/>
      <c r="J937" s="883"/>
      <c r="K937" s="884"/>
      <c r="L937" s="884"/>
      <c r="M937" s="68"/>
    </row>
    <row r="938" spans="1:13" s="64" customFormat="1">
      <c r="A938" s="10"/>
      <c r="B938" s="111"/>
      <c r="C938" s="68"/>
      <c r="D938" s="374"/>
      <c r="E938" s="112"/>
      <c r="F938" s="112"/>
      <c r="G938" s="68"/>
      <c r="H938" s="603"/>
      <c r="I938" s="882"/>
      <c r="J938" s="883"/>
      <c r="K938" s="884"/>
      <c r="L938" s="884"/>
      <c r="M938" s="68"/>
    </row>
    <row r="939" spans="1:13" s="64" customFormat="1">
      <c r="A939" s="10"/>
      <c r="B939" s="111"/>
      <c r="C939" s="68"/>
      <c r="D939" s="374"/>
      <c r="E939" s="112"/>
      <c r="F939" s="112"/>
      <c r="G939" s="68"/>
      <c r="H939" s="603"/>
      <c r="I939" s="882"/>
      <c r="J939" s="883"/>
      <c r="K939" s="884"/>
      <c r="L939" s="884"/>
      <c r="M939" s="68"/>
    </row>
    <row r="940" spans="1:13" s="64" customFormat="1">
      <c r="A940" s="10"/>
      <c r="B940" s="111"/>
      <c r="C940" s="68"/>
      <c r="D940" s="374"/>
      <c r="E940" s="112"/>
      <c r="F940" s="112"/>
      <c r="G940" s="68"/>
      <c r="H940" s="603"/>
      <c r="I940" s="882"/>
      <c r="J940" s="883"/>
      <c r="K940" s="884"/>
      <c r="L940" s="884"/>
      <c r="M940" s="68"/>
    </row>
    <row r="941" spans="1:13" s="64" customFormat="1">
      <c r="A941" s="10"/>
      <c r="B941" s="111"/>
      <c r="C941" s="68"/>
      <c r="D941" s="374"/>
      <c r="E941" s="112"/>
      <c r="F941" s="112"/>
      <c r="G941" s="68"/>
      <c r="H941" s="603"/>
      <c r="I941" s="882"/>
      <c r="J941" s="883"/>
      <c r="K941" s="884"/>
      <c r="L941" s="884"/>
      <c r="M941" s="68"/>
    </row>
    <row r="942" spans="1:13" s="64" customFormat="1">
      <c r="A942" s="10"/>
      <c r="B942" s="111"/>
      <c r="C942" s="68"/>
      <c r="D942" s="374"/>
      <c r="E942" s="112"/>
      <c r="F942" s="112"/>
      <c r="G942" s="68"/>
      <c r="H942" s="603"/>
      <c r="I942" s="882"/>
      <c r="J942" s="883"/>
      <c r="K942" s="884"/>
      <c r="L942" s="884"/>
      <c r="M942" s="68"/>
    </row>
    <row r="943" spans="1:13" s="64" customFormat="1">
      <c r="A943" s="10"/>
      <c r="B943" s="111"/>
      <c r="C943" s="68"/>
      <c r="D943" s="374"/>
      <c r="E943" s="112"/>
      <c r="F943" s="112"/>
      <c r="G943" s="68"/>
      <c r="H943" s="603"/>
      <c r="I943" s="882"/>
      <c r="J943" s="883"/>
      <c r="K943" s="884"/>
      <c r="L943" s="884"/>
      <c r="M943" s="68"/>
    </row>
    <row r="944" spans="1:13" s="64" customFormat="1">
      <c r="A944" s="10"/>
      <c r="B944" s="111"/>
      <c r="C944" s="68"/>
      <c r="D944" s="374"/>
      <c r="E944" s="112"/>
      <c r="F944" s="112"/>
      <c r="G944" s="68"/>
      <c r="H944" s="603"/>
      <c r="I944" s="882"/>
      <c r="J944" s="883"/>
      <c r="K944" s="884"/>
      <c r="L944" s="884"/>
      <c r="M944" s="68"/>
    </row>
    <row r="945" spans="1:13" s="64" customFormat="1">
      <c r="A945" s="10"/>
      <c r="B945" s="111"/>
      <c r="C945" s="68"/>
      <c r="D945" s="374"/>
      <c r="E945" s="112"/>
      <c r="F945" s="112"/>
      <c r="G945" s="68"/>
      <c r="H945" s="603"/>
      <c r="I945" s="882"/>
      <c r="J945" s="883"/>
      <c r="K945" s="884"/>
      <c r="L945" s="884"/>
      <c r="M945" s="68"/>
    </row>
    <row r="946" spans="1:13" s="64" customFormat="1">
      <c r="A946" s="10"/>
      <c r="B946" s="111"/>
      <c r="C946" s="68"/>
      <c r="D946" s="374"/>
      <c r="E946" s="112"/>
      <c r="F946" s="112"/>
      <c r="G946" s="68"/>
      <c r="H946" s="603"/>
      <c r="I946" s="882"/>
      <c r="J946" s="883"/>
      <c r="K946" s="884"/>
      <c r="L946" s="884"/>
      <c r="M946" s="68"/>
    </row>
    <row r="947" spans="1:13" s="64" customFormat="1">
      <c r="A947" s="10"/>
      <c r="B947" s="111"/>
      <c r="C947" s="68"/>
      <c r="D947" s="374"/>
      <c r="E947" s="112"/>
      <c r="F947" s="112"/>
      <c r="G947" s="68"/>
      <c r="H947" s="603"/>
      <c r="I947" s="882"/>
      <c r="J947" s="883"/>
      <c r="K947" s="884"/>
      <c r="L947" s="884"/>
      <c r="M947" s="68"/>
    </row>
    <row r="948" spans="1:13" s="64" customFormat="1">
      <c r="A948" s="10"/>
      <c r="B948" s="111"/>
      <c r="C948" s="68"/>
      <c r="D948" s="374"/>
      <c r="E948" s="112"/>
      <c r="F948" s="112"/>
      <c r="G948" s="68"/>
      <c r="H948" s="603"/>
      <c r="I948" s="882"/>
      <c r="J948" s="883"/>
      <c r="K948" s="884"/>
      <c r="L948" s="884"/>
      <c r="M948" s="68"/>
    </row>
    <row r="949" spans="1:13" s="64" customFormat="1">
      <c r="A949" s="10"/>
      <c r="B949" s="111"/>
      <c r="C949" s="68"/>
      <c r="D949" s="374"/>
      <c r="E949" s="112"/>
      <c r="F949" s="112"/>
      <c r="G949" s="68"/>
      <c r="H949" s="603"/>
      <c r="I949" s="882"/>
      <c r="J949" s="883"/>
      <c r="K949" s="884"/>
      <c r="L949" s="884"/>
      <c r="M949" s="68"/>
    </row>
    <row r="950" spans="1:13" s="64" customFormat="1">
      <c r="A950" s="10"/>
      <c r="B950" s="111"/>
      <c r="C950" s="68"/>
      <c r="D950" s="374"/>
      <c r="E950" s="112"/>
      <c r="F950" s="112"/>
      <c r="G950" s="68"/>
      <c r="H950" s="603"/>
      <c r="I950" s="882"/>
      <c r="J950" s="883"/>
      <c r="K950" s="884"/>
      <c r="L950" s="884"/>
      <c r="M950" s="68"/>
    </row>
    <row r="951" spans="1:13" s="64" customFormat="1">
      <c r="A951" s="10"/>
      <c r="B951" s="111"/>
      <c r="C951" s="68"/>
      <c r="D951" s="374"/>
      <c r="E951" s="112"/>
      <c r="F951" s="112"/>
      <c r="G951" s="68"/>
      <c r="H951" s="603"/>
      <c r="I951" s="882"/>
      <c r="J951" s="883"/>
      <c r="K951" s="884"/>
      <c r="L951" s="884"/>
      <c r="M951" s="68"/>
    </row>
    <row r="952" spans="1:13" s="64" customFormat="1">
      <c r="A952" s="10"/>
      <c r="B952" s="111"/>
      <c r="C952" s="68"/>
      <c r="D952" s="374"/>
      <c r="E952" s="112"/>
      <c r="F952" s="112"/>
      <c r="G952" s="68"/>
      <c r="H952" s="603"/>
      <c r="I952" s="882"/>
      <c r="J952" s="883"/>
      <c r="K952" s="884"/>
      <c r="L952" s="884"/>
      <c r="M952" s="68"/>
    </row>
    <row r="953" spans="1:13" s="64" customFormat="1">
      <c r="A953" s="10"/>
      <c r="B953" s="111"/>
      <c r="C953" s="68"/>
      <c r="D953" s="374"/>
      <c r="E953" s="112"/>
      <c r="F953" s="112"/>
      <c r="G953" s="68"/>
      <c r="H953" s="603"/>
      <c r="I953" s="882"/>
      <c r="J953" s="883"/>
      <c r="K953" s="884"/>
      <c r="L953" s="884"/>
      <c r="M953" s="68"/>
    </row>
    <row r="954" spans="1:13" s="64" customFormat="1">
      <c r="A954" s="10"/>
      <c r="B954" s="111"/>
      <c r="C954" s="68"/>
      <c r="D954" s="374"/>
      <c r="E954" s="112"/>
      <c r="F954" s="112"/>
      <c r="G954" s="68"/>
      <c r="H954" s="603"/>
      <c r="I954" s="882"/>
      <c r="J954" s="883"/>
      <c r="K954" s="884"/>
      <c r="L954" s="884"/>
      <c r="M954" s="68"/>
    </row>
    <row r="955" spans="1:13" s="64" customFormat="1">
      <c r="A955" s="10"/>
      <c r="B955" s="111"/>
      <c r="C955" s="68"/>
      <c r="D955" s="374"/>
      <c r="E955" s="112"/>
      <c r="F955" s="112"/>
      <c r="G955" s="68"/>
      <c r="H955" s="603"/>
      <c r="I955" s="882"/>
      <c r="J955" s="883"/>
      <c r="K955" s="884"/>
      <c r="L955" s="884"/>
      <c r="M955" s="68"/>
    </row>
    <row r="956" spans="1:13" s="64" customFormat="1">
      <c r="A956" s="10"/>
      <c r="B956" s="111"/>
      <c r="C956" s="68"/>
      <c r="D956" s="374"/>
      <c r="E956" s="112"/>
      <c r="F956" s="112"/>
      <c r="G956" s="68"/>
      <c r="H956" s="603"/>
      <c r="I956" s="882"/>
      <c r="J956" s="883"/>
      <c r="K956" s="884"/>
      <c r="L956" s="884"/>
      <c r="M956" s="68"/>
    </row>
    <row r="957" spans="1:13" s="64" customFormat="1">
      <c r="A957" s="10"/>
      <c r="B957" s="111"/>
      <c r="C957" s="68"/>
      <c r="D957" s="374"/>
      <c r="E957" s="112"/>
      <c r="F957" s="112"/>
      <c r="G957" s="68"/>
      <c r="H957" s="603"/>
      <c r="I957" s="882"/>
      <c r="J957" s="883"/>
      <c r="K957" s="884"/>
      <c r="L957" s="884"/>
      <c r="M957" s="68"/>
    </row>
    <row r="958" spans="1:13" s="64" customFormat="1">
      <c r="A958" s="10"/>
      <c r="B958" s="111"/>
      <c r="C958" s="68"/>
      <c r="D958" s="374"/>
      <c r="E958" s="112"/>
      <c r="F958" s="112"/>
      <c r="G958" s="68"/>
      <c r="H958" s="603"/>
      <c r="I958" s="882"/>
      <c r="J958" s="883"/>
      <c r="K958" s="884"/>
      <c r="L958" s="884"/>
      <c r="M958" s="68"/>
    </row>
    <row r="959" spans="1:13" s="64" customFormat="1">
      <c r="A959" s="10"/>
      <c r="B959" s="111"/>
      <c r="C959" s="68"/>
      <c r="D959" s="374"/>
      <c r="E959" s="112"/>
      <c r="F959" s="112"/>
      <c r="G959" s="68"/>
      <c r="H959" s="603"/>
      <c r="I959" s="882"/>
      <c r="J959" s="883"/>
      <c r="K959" s="884"/>
      <c r="L959" s="884"/>
      <c r="M959" s="68"/>
    </row>
    <row r="960" spans="1:13" s="64" customFormat="1">
      <c r="A960" s="10"/>
      <c r="B960" s="111"/>
      <c r="C960" s="68"/>
      <c r="D960" s="374"/>
      <c r="E960" s="112"/>
      <c r="F960" s="112"/>
      <c r="G960" s="68"/>
      <c r="H960" s="603"/>
      <c r="I960" s="882"/>
      <c r="J960" s="883"/>
      <c r="K960" s="884"/>
      <c r="L960" s="884"/>
      <c r="M960" s="68"/>
    </row>
    <row r="961" spans="1:13" s="64" customFormat="1">
      <c r="A961" s="10"/>
      <c r="B961" s="111"/>
      <c r="C961" s="68"/>
      <c r="D961" s="374"/>
      <c r="E961" s="112"/>
      <c r="F961" s="112"/>
      <c r="G961" s="68"/>
      <c r="H961" s="603"/>
      <c r="I961" s="882"/>
      <c r="J961" s="883"/>
      <c r="K961" s="884"/>
      <c r="L961" s="884"/>
      <c r="M961" s="68"/>
    </row>
    <row r="962" spans="1:13" s="64" customFormat="1">
      <c r="A962" s="10"/>
      <c r="B962" s="111"/>
      <c r="C962" s="68"/>
      <c r="D962" s="374"/>
      <c r="E962" s="112"/>
      <c r="F962" s="112"/>
      <c r="G962" s="68"/>
      <c r="H962" s="603"/>
      <c r="I962" s="882"/>
      <c r="J962" s="883"/>
      <c r="K962" s="884"/>
      <c r="L962" s="884"/>
      <c r="M962" s="68"/>
    </row>
    <row r="963" spans="1:13" s="64" customFormat="1">
      <c r="A963" s="10"/>
      <c r="B963" s="111"/>
      <c r="C963" s="68"/>
      <c r="D963" s="374"/>
      <c r="E963" s="112"/>
      <c r="F963" s="112"/>
      <c r="G963" s="68"/>
      <c r="H963" s="603"/>
      <c r="I963" s="882"/>
      <c r="J963" s="883"/>
      <c r="K963" s="884"/>
      <c r="L963" s="884"/>
      <c r="M963" s="68"/>
    </row>
    <row r="964" spans="1:13" s="64" customFormat="1">
      <c r="A964" s="10"/>
      <c r="B964" s="111"/>
      <c r="C964" s="68"/>
      <c r="D964" s="374"/>
      <c r="E964" s="112"/>
      <c r="F964" s="112"/>
      <c r="G964" s="68"/>
      <c r="H964" s="603"/>
      <c r="I964" s="882"/>
      <c r="J964" s="883"/>
      <c r="K964" s="884"/>
      <c r="L964" s="884"/>
      <c r="M964" s="68"/>
    </row>
    <row r="965" spans="1:13" s="64" customFormat="1">
      <c r="A965" s="10"/>
      <c r="B965" s="111"/>
      <c r="C965" s="68"/>
      <c r="D965" s="374"/>
      <c r="E965" s="112"/>
      <c r="F965" s="112"/>
      <c r="G965" s="68"/>
      <c r="H965" s="603"/>
      <c r="I965" s="882"/>
      <c r="J965" s="883"/>
      <c r="K965" s="884"/>
      <c r="L965" s="884"/>
      <c r="M965" s="68"/>
    </row>
    <row r="966" spans="1:13" s="64" customFormat="1">
      <c r="A966" s="10"/>
      <c r="B966" s="111"/>
      <c r="C966" s="68"/>
      <c r="D966" s="374"/>
      <c r="E966" s="112"/>
      <c r="F966" s="112"/>
      <c r="G966" s="68"/>
      <c r="H966" s="603"/>
      <c r="I966" s="882"/>
      <c r="J966" s="883"/>
      <c r="K966" s="884"/>
      <c r="L966" s="884"/>
      <c r="M966" s="68"/>
    </row>
    <row r="967" spans="1:13" s="64" customFormat="1">
      <c r="A967" s="10"/>
      <c r="B967" s="111"/>
      <c r="C967" s="68"/>
      <c r="D967" s="374"/>
      <c r="E967" s="112"/>
      <c r="F967" s="112"/>
      <c r="G967" s="68"/>
      <c r="H967" s="603"/>
      <c r="I967" s="882"/>
      <c r="J967" s="883"/>
      <c r="K967" s="884"/>
      <c r="L967" s="884"/>
      <c r="M967" s="68"/>
    </row>
    <row r="968" spans="1:13" s="64" customFormat="1">
      <c r="A968" s="10"/>
      <c r="B968" s="111"/>
      <c r="C968" s="68"/>
      <c r="D968" s="374"/>
      <c r="E968" s="112"/>
      <c r="F968" s="112"/>
      <c r="G968" s="68"/>
      <c r="H968" s="603"/>
      <c r="I968" s="882"/>
      <c r="J968" s="883"/>
      <c r="K968" s="884"/>
      <c r="L968" s="884"/>
      <c r="M968" s="68"/>
    </row>
    <row r="969" spans="1:13" s="64" customFormat="1">
      <c r="A969" s="10"/>
      <c r="B969" s="111"/>
      <c r="C969" s="68"/>
      <c r="D969" s="374"/>
      <c r="E969" s="112"/>
      <c r="F969" s="112"/>
      <c r="G969" s="68"/>
      <c r="H969" s="603"/>
      <c r="I969" s="882"/>
      <c r="J969" s="883"/>
      <c r="K969" s="884"/>
      <c r="L969" s="884"/>
      <c r="M969" s="68"/>
    </row>
    <row r="970" spans="1:13" s="64" customFormat="1">
      <c r="A970" s="10"/>
      <c r="B970" s="111"/>
      <c r="C970" s="68"/>
      <c r="D970" s="374"/>
      <c r="E970" s="112"/>
      <c r="F970" s="112"/>
      <c r="G970" s="68"/>
      <c r="H970" s="603"/>
      <c r="I970" s="882"/>
      <c r="J970" s="883"/>
      <c r="K970" s="884"/>
      <c r="L970" s="884"/>
      <c r="M970" s="68"/>
    </row>
    <row r="971" spans="1:13" s="64" customFormat="1">
      <c r="A971" s="10"/>
      <c r="B971" s="111"/>
      <c r="C971" s="68"/>
      <c r="D971" s="374"/>
      <c r="E971" s="112"/>
      <c r="F971" s="112"/>
      <c r="G971" s="68"/>
      <c r="H971" s="603"/>
      <c r="I971" s="882"/>
      <c r="J971" s="883"/>
      <c r="K971" s="884"/>
      <c r="L971" s="884"/>
      <c r="M971" s="68"/>
    </row>
    <row r="972" spans="1:13" s="64" customFormat="1">
      <c r="A972" s="10"/>
      <c r="B972" s="111"/>
      <c r="C972" s="68"/>
      <c r="D972" s="374"/>
      <c r="E972" s="112"/>
      <c r="F972" s="112"/>
      <c r="G972" s="68"/>
      <c r="H972" s="603"/>
      <c r="I972" s="882"/>
      <c r="J972" s="883"/>
      <c r="K972" s="884"/>
      <c r="L972" s="884"/>
      <c r="M972" s="68"/>
    </row>
    <row r="973" spans="1:13" s="64" customFormat="1">
      <c r="A973" s="10"/>
      <c r="B973" s="111"/>
      <c r="C973" s="68"/>
      <c r="D973" s="374"/>
      <c r="E973" s="112"/>
      <c r="F973" s="112"/>
      <c r="G973" s="68"/>
      <c r="H973" s="603"/>
      <c r="I973" s="882"/>
      <c r="J973" s="883"/>
      <c r="K973" s="884"/>
      <c r="L973" s="884"/>
      <c r="M973" s="68"/>
    </row>
    <row r="974" spans="1:13" s="64" customFormat="1">
      <c r="A974" s="10"/>
      <c r="B974" s="111"/>
      <c r="C974" s="68"/>
      <c r="D974" s="374"/>
      <c r="E974" s="112"/>
      <c r="F974" s="112"/>
      <c r="G974" s="68"/>
      <c r="H974" s="603"/>
      <c r="I974" s="882"/>
      <c r="J974" s="883"/>
      <c r="K974" s="884"/>
      <c r="L974" s="884"/>
      <c r="M974" s="68"/>
    </row>
    <row r="975" spans="1:13" s="64" customFormat="1">
      <c r="A975" s="10"/>
      <c r="B975" s="111"/>
      <c r="C975" s="68"/>
      <c r="D975" s="374"/>
      <c r="E975" s="112"/>
      <c r="F975" s="112"/>
      <c r="G975" s="68"/>
      <c r="H975" s="603"/>
      <c r="I975" s="882"/>
      <c r="J975" s="883"/>
      <c r="K975" s="884"/>
      <c r="L975" s="884"/>
      <c r="M975" s="68"/>
    </row>
    <row r="976" spans="1:13" s="64" customFormat="1">
      <c r="A976" s="10"/>
      <c r="B976" s="111"/>
      <c r="C976" s="68"/>
      <c r="D976" s="374"/>
      <c r="E976" s="112"/>
      <c r="F976" s="112"/>
      <c r="G976" s="68"/>
      <c r="H976" s="603"/>
      <c r="I976" s="882"/>
      <c r="J976" s="883"/>
      <c r="K976" s="884"/>
      <c r="L976" s="884"/>
      <c r="M976" s="68"/>
    </row>
    <row r="977" spans="1:13" s="64" customFormat="1">
      <c r="A977" s="10"/>
      <c r="B977" s="111"/>
      <c r="C977" s="68"/>
      <c r="D977" s="374"/>
      <c r="E977" s="112"/>
      <c r="F977" s="112"/>
      <c r="G977" s="68"/>
      <c r="H977" s="603"/>
      <c r="I977" s="882"/>
      <c r="J977" s="883"/>
      <c r="K977" s="884"/>
      <c r="L977" s="884"/>
      <c r="M977" s="68"/>
    </row>
    <row r="978" spans="1:13" s="64" customFormat="1">
      <c r="A978" s="10"/>
      <c r="B978" s="111"/>
      <c r="C978" s="68"/>
      <c r="D978" s="374"/>
      <c r="E978" s="112"/>
      <c r="F978" s="112"/>
      <c r="G978" s="68"/>
      <c r="H978" s="603"/>
      <c r="I978" s="882"/>
      <c r="J978" s="883"/>
      <c r="K978" s="884"/>
      <c r="L978" s="884"/>
      <c r="M978" s="68"/>
    </row>
    <row r="979" spans="1:13" s="64" customFormat="1">
      <c r="A979" s="10"/>
      <c r="B979" s="111"/>
      <c r="C979" s="68"/>
      <c r="D979" s="374"/>
      <c r="E979" s="112"/>
      <c r="F979" s="112"/>
      <c r="G979" s="68"/>
      <c r="H979" s="603"/>
      <c r="I979" s="882"/>
      <c r="J979" s="883"/>
      <c r="K979" s="884"/>
      <c r="L979" s="884"/>
      <c r="M979" s="68"/>
    </row>
    <row r="980" spans="1:13" s="64" customFormat="1">
      <c r="A980" s="10"/>
      <c r="B980" s="111"/>
      <c r="C980" s="68"/>
      <c r="D980" s="374"/>
      <c r="E980" s="112"/>
      <c r="F980" s="112"/>
      <c r="G980" s="68"/>
      <c r="H980" s="603"/>
      <c r="I980" s="882"/>
      <c r="J980" s="883"/>
      <c r="K980" s="884"/>
      <c r="L980" s="884"/>
      <c r="M980" s="68"/>
    </row>
    <row r="981" spans="1:13" s="64" customFormat="1">
      <c r="A981" s="10"/>
      <c r="B981" s="111"/>
      <c r="C981" s="68"/>
      <c r="D981" s="374"/>
      <c r="E981" s="112"/>
      <c r="F981" s="112"/>
      <c r="G981" s="68"/>
      <c r="H981" s="603"/>
      <c r="I981" s="882"/>
      <c r="J981" s="883"/>
      <c r="K981" s="884"/>
      <c r="L981" s="884"/>
      <c r="M981" s="68"/>
    </row>
    <row r="982" spans="1:13" s="64" customFormat="1">
      <c r="A982" s="10"/>
      <c r="B982" s="111"/>
      <c r="C982" s="68"/>
      <c r="D982" s="374"/>
      <c r="E982" s="112"/>
      <c r="F982" s="112"/>
      <c r="G982" s="68"/>
      <c r="H982" s="603"/>
      <c r="I982" s="882"/>
      <c r="J982" s="883"/>
      <c r="K982" s="884"/>
      <c r="L982" s="884"/>
      <c r="M982" s="68"/>
    </row>
    <row r="983" spans="1:13" s="64" customFormat="1">
      <c r="A983" s="10"/>
      <c r="B983" s="111"/>
      <c r="C983" s="68"/>
      <c r="D983" s="374"/>
      <c r="E983" s="112"/>
      <c r="F983" s="112"/>
      <c r="G983" s="68"/>
      <c r="H983" s="603"/>
      <c r="I983" s="882"/>
      <c r="J983" s="883"/>
      <c r="K983" s="884"/>
      <c r="L983" s="884"/>
      <c r="M983" s="68"/>
    </row>
    <row r="984" spans="1:13" s="64" customFormat="1">
      <c r="A984" s="10"/>
      <c r="B984" s="111"/>
      <c r="C984" s="68"/>
      <c r="D984" s="374"/>
      <c r="E984" s="112"/>
      <c r="F984" s="112"/>
      <c r="G984" s="68"/>
      <c r="H984" s="603"/>
      <c r="I984" s="882"/>
      <c r="J984" s="883"/>
      <c r="K984" s="884"/>
      <c r="L984" s="884"/>
      <c r="M984" s="68"/>
    </row>
    <row r="985" spans="1:13" s="64" customFormat="1">
      <c r="A985" s="10"/>
      <c r="B985" s="111"/>
      <c r="C985" s="68"/>
      <c r="D985" s="374"/>
      <c r="E985" s="112"/>
      <c r="F985" s="112"/>
      <c r="G985" s="68"/>
      <c r="H985" s="603"/>
      <c r="I985" s="882"/>
      <c r="J985" s="883"/>
      <c r="K985" s="884"/>
      <c r="L985" s="884"/>
      <c r="M985" s="68"/>
    </row>
    <row r="986" spans="1:13" s="64" customFormat="1">
      <c r="A986" s="10"/>
      <c r="B986" s="111"/>
      <c r="C986" s="68"/>
      <c r="D986" s="374"/>
      <c r="E986" s="112"/>
      <c r="F986" s="112"/>
      <c r="G986" s="68"/>
      <c r="H986" s="603"/>
      <c r="I986" s="882"/>
      <c r="J986" s="883"/>
      <c r="K986" s="884"/>
      <c r="L986" s="884"/>
      <c r="M986" s="68"/>
    </row>
    <row r="987" spans="1:13" s="64" customFormat="1">
      <c r="A987" s="10"/>
      <c r="B987" s="111"/>
      <c r="C987" s="68"/>
      <c r="D987" s="374"/>
      <c r="E987" s="112"/>
      <c r="F987" s="112"/>
      <c r="G987" s="68"/>
      <c r="H987" s="603"/>
      <c r="I987" s="882"/>
      <c r="J987" s="883"/>
      <c r="K987" s="884"/>
      <c r="L987" s="884"/>
      <c r="M987" s="68"/>
    </row>
    <row r="988" spans="1:13" s="64" customFormat="1">
      <c r="A988" s="10"/>
      <c r="B988" s="111"/>
      <c r="C988" s="68"/>
      <c r="D988" s="374"/>
      <c r="E988" s="112"/>
      <c r="F988" s="112"/>
      <c r="G988" s="68"/>
      <c r="H988" s="603"/>
      <c r="I988" s="882"/>
      <c r="J988" s="883"/>
      <c r="K988" s="884"/>
      <c r="L988" s="884"/>
      <c r="M988" s="68"/>
    </row>
    <row r="989" spans="1:13" s="64" customFormat="1">
      <c r="A989" s="10"/>
      <c r="B989" s="111"/>
      <c r="C989" s="68"/>
      <c r="D989" s="374"/>
      <c r="E989" s="112"/>
      <c r="F989" s="112"/>
      <c r="G989" s="68"/>
      <c r="H989" s="603"/>
      <c r="I989" s="882"/>
      <c r="J989" s="883"/>
      <c r="K989" s="884"/>
      <c r="L989" s="884"/>
      <c r="M989" s="68"/>
    </row>
    <row r="990" spans="1:13" s="64" customFormat="1">
      <c r="A990" s="10"/>
      <c r="B990" s="111"/>
      <c r="C990" s="68"/>
      <c r="D990" s="374"/>
      <c r="E990" s="660"/>
      <c r="F990" s="112"/>
      <c r="G990" s="68"/>
      <c r="H990" s="603"/>
      <c r="I990" s="882"/>
      <c r="J990" s="883"/>
      <c r="K990" s="884"/>
      <c r="L990" s="884"/>
      <c r="M990" s="68"/>
    </row>
    <row r="991" spans="1:13" s="64" customFormat="1">
      <c r="A991" s="10"/>
      <c r="B991" s="111"/>
      <c r="C991" s="68"/>
      <c r="D991" s="374"/>
      <c r="E991" s="660"/>
      <c r="F991" s="112"/>
      <c r="G991" s="68"/>
      <c r="H991" s="603"/>
      <c r="I991" s="882"/>
      <c r="J991" s="883"/>
      <c r="K991" s="884"/>
      <c r="L991" s="884"/>
      <c r="M991" s="68"/>
    </row>
    <row r="992" spans="1:13" s="64" customFormat="1">
      <c r="A992" s="10"/>
      <c r="B992" s="111"/>
      <c r="C992" s="68"/>
      <c r="D992" s="374"/>
      <c r="E992" s="660"/>
      <c r="F992" s="112"/>
      <c r="G992" s="68"/>
      <c r="H992" s="603"/>
      <c r="I992" s="882"/>
      <c r="J992" s="883"/>
      <c r="K992" s="884"/>
      <c r="L992" s="884"/>
      <c r="M992" s="68"/>
    </row>
    <row r="993" spans="1:13" s="64" customFormat="1">
      <c r="A993" s="10"/>
      <c r="B993" s="111"/>
      <c r="C993" s="68"/>
      <c r="D993" s="374"/>
      <c r="E993" s="660"/>
      <c r="F993" s="112"/>
      <c r="G993" s="68"/>
      <c r="H993" s="603"/>
      <c r="I993" s="882"/>
      <c r="J993" s="883"/>
      <c r="K993" s="884"/>
      <c r="L993" s="884"/>
      <c r="M993" s="68"/>
    </row>
    <row r="994" spans="1:13" s="64" customFormat="1">
      <c r="A994" s="10"/>
      <c r="B994" s="111"/>
      <c r="C994" s="68"/>
      <c r="D994" s="374"/>
      <c r="E994" s="660"/>
      <c r="F994" s="112"/>
      <c r="G994" s="68"/>
      <c r="H994" s="603"/>
      <c r="I994" s="882"/>
      <c r="J994" s="883"/>
      <c r="K994" s="884"/>
      <c r="L994" s="884"/>
      <c r="M994" s="68"/>
    </row>
    <row r="995" spans="1:13" s="64" customFormat="1">
      <c r="A995" s="10"/>
      <c r="B995" s="111"/>
      <c r="C995" s="68"/>
      <c r="D995" s="374"/>
      <c r="E995" s="660"/>
      <c r="F995" s="112"/>
      <c r="G995" s="68"/>
      <c r="H995" s="603"/>
      <c r="I995" s="882"/>
      <c r="J995" s="883"/>
      <c r="K995" s="884"/>
      <c r="L995" s="884"/>
      <c r="M995" s="68"/>
    </row>
    <row r="996" spans="1:13" s="64" customFormat="1">
      <c r="A996" s="10"/>
      <c r="B996" s="111"/>
      <c r="C996" s="68"/>
      <c r="D996" s="374"/>
      <c r="E996" s="660"/>
      <c r="F996" s="112"/>
      <c r="G996" s="68"/>
      <c r="H996" s="603"/>
      <c r="I996" s="882"/>
      <c r="J996" s="883"/>
      <c r="K996" s="884"/>
      <c r="L996" s="884"/>
      <c r="M996" s="68"/>
    </row>
    <row r="997" spans="1:13" s="64" customFormat="1">
      <c r="A997" s="10"/>
      <c r="B997" s="111"/>
      <c r="C997" s="68"/>
      <c r="D997" s="374"/>
      <c r="E997" s="660"/>
      <c r="F997" s="112"/>
      <c r="G997" s="68"/>
      <c r="H997" s="603"/>
      <c r="I997" s="882"/>
      <c r="J997" s="883"/>
      <c r="K997" s="884"/>
      <c r="L997" s="884"/>
      <c r="M997" s="68"/>
    </row>
    <row r="998" spans="1:13" s="64" customFormat="1">
      <c r="A998" s="10"/>
      <c r="B998" s="111"/>
      <c r="C998" s="68"/>
      <c r="D998" s="374"/>
      <c r="E998" s="660"/>
      <c r="F998" s="112"/>
      <c r="G998" s="68"/>
      <c r="H998" s="603"/>
      <c r="I998" s="882"/>
      <c r="J998" s="883"/>
      <c r="K998" s="884"/>
      <c r="L998" s="884"/>
      <c r="M998" s="68"/>
    </row>
    <row r="999" spans="1:13" s="64" customFormat="1">
      <c r="A999" s="10"/>
      <c r="B999" s="111"/>
      <c r="C999" s="68"/>
      <c r="D999" s="374"/>
      <c r="E999" s="660"/>
      <c r="F999" s="112"/>
      <c r="G999" s="68"/>
      <c r="H999" s="603"/>
      <c r="I999" s="882"/>
      <c r="J999" s="883"/>
      <c r="K999" s="884"/>
      <c r="L999" s="884"/>
      <c r="M999" s="68"/>
    </row>
    <row r="1000" spans="1:13" s="64" customFormat="1">
      <c r="A1000" s="10"/>
      <c r="B1000" s="111"/>
      <c r="C1000" s="68"/>
      <c r="D1000" s="374"/>
      <c r="E1000" s="660"/>
      <c r="F1000" s="112"/>
      <c r="G1000" s="68"/>
      <c r="H1000" s="603"/>
      <c r="I1000" s="882"/>
      <c r="J1000" s="883"/>
      <c r="K1000" s="884"/>
      <c r="L1000" s="884"/>
      <c r="M1000" s="68"/>
    </row>
    <row r="1001" spans="1:13" s="64" customFormat="1">
      <c r="A1001" s="10"/>
      <c r="B1001" s="111"/>
      <c r="C1001" s="68"/>
      <c r="D1001" s="374"/>
      <c r="E1001" s="660"/>
      <c r="F1001" s="112"/>
      <c r="G1001" s="68"/>
      <c r="H1001" s="603"/>
      <c r="I1001" s="882"/>
      <c r="J1001" s="883"/>
      <c r="K1001" s="884"/>
      <c r="L1001" s="884"/>
      <c r="M1001" s="68"/>
    </row>
    <row r="1002" spans="1:13" s="64" customFormat="1">
      <c r="A1002" s="10"/>
      <c r="B1002" s="111"/>
      <c r="C1002" s="68"/>
      <c r="D1002" s="374"/>
      <c r="E1002" s="660"/>
      <c r="F1002" s="112"/>
      <c r="G1002" s="68"/>
      <c r="H1002" s="603"/>
      <c r="I1002" s="882"/>
      <c r="J1002" s="883"/>
      <c r="K1002" s="884"/>
      <c r="L1002" s="884"/>
      <c r="M1002" s="68"/>
    </row>
    <row r="1003" spans="1:13" s="64" customFormat="1">
      <c r="A1003" s="10"/>
      <c r="B1003" s="111"/>
      <c r="C1003" s="68"/>
      <c r="D1003" s="374"/>
      <c r="E1003" s="660"/>
      <c r="F1003" s="112"/>
      <c r="G1003" s="68"/>
      <c r="H1003" s="603"/>
      <c r="I1003" s="882"/>
      <c r="J1003" s="883"/>
      <c r="K1003" s="884"/>
      <c r="L1003" s="884"/>
      <c r="M1003" s="68"/>
    </row>
    <row r="1004" spans="1:13" s="64" customFormat="1">
      <c r="A1004" s="10"/>
      <c r="B1004" s="111"/>
      <c r="C1004" s="68"/>
      <c r="D1004" s="374"/>
      <c r="E1004" s="660"/>
      <c r="F1004" s="112"/>
      <c r="G1004" s="68"/>
      <c r="H1004" s="603"/>
      <c r="I1004" s="882"/>
      <c r="J1004" s="883"/>
      <c r="K1004" s="884"/>
      <c r="L1004" s="884"/>
      <c r="M1004" s="68"/>
    </row>
    <row r="1005" spans="1:13" s="64" customFormat="1">
      <c r="A1005" s="10"/>
      <c r="B1005" s="111"/>
      <c r="C1005" s="68"/>
      <c r="D1005" s="374"/>
      <c r="E1005" s="660"/>
      <c r="F1005" s="112"/>
      <c r="G1005" s="68"/>
      <c r="H1005" s="603"/>
      <c r="I1005" s="882"/>
      <c r="J1005" s="883"/>
      <c r="K1005" s="884"/>
      <c r="L1005" s="884"/>
      <c r="M1005" s="68"/>
    </row>
    <row r="1006" spans="1:13" s="64" customFormat="1">
      <c r="A1006" s="10"/>
      <c r="B1006" s="111"/>
      <c r="C1006" s="68"/>
      <c r="D1006" s="374"/>
      <c r="E1006" s="660"/>
      <c r="F1006" s="112"/>
      <c r="G1006" s="68"/>
      <c r="H1006" s="603"/>
      <c r="I1006" s="882"/>
      <c r="J1006" s="883"/>
      <c r="K1006" s="884"/>
      <c r="L1006" s="884"/>
      <c r="M1006" s="68"/>
    </row>
    <row r="1007" spans="1:13" s="64" customFormat="1">
      <c r="A1007" s="10"/>
      <c r="B1007" s="111"/>
      <c r="C1007" s="68"/>
      <c r="D1007" s="374"/>
      <c r="E1007" s="660"/>
      <c r="F1007" s="112"/>
      <c r="G1007" s="68"/>
      <c r="H1007" s="603"/>
      <c r="I1007" s="882"/>
      <c r="J1007" s="883"/>
      <c r="K1007" s="884"/>
      <c r="L1007" s="884"/>
      <c r="M1007" s="68"/>
    </row>
    <row r="1008" spans="1:13" s="64" customFormat="1">
      <c r="A1008" s="10"/>
      <c r="B1008" s="111"/>
      <c r="C1008" s="68"/>
      <c r="D1008" s="374"/>
      <c r="E1008" s="660"/>
      <c r="F1008" s="112"/>
      <c r="G1008" s="68"/>
      <c r="H1008" s="603"/>
      <c r="I1008" s="882"/>
      <c r="J1008" s="883"/>
      <c r="K1008" s="884"/>
      <c r="L1008" s="884"/>
      <c r="M1008" s="68"/>
    </row>
    <row r="1009" spans="1:13" s="64" customFormat="1">
      <c r="A1009" s="10"/>
      <c r="B1009" s="111"/>
      <c r="C1009" s="68"/>
      <c r="D1009" s="374"/>
      <c r="E1009" s="660"/>
      <c r="F1009" s="112"/>
      <c r="G1009" s="68"/>
      <c r="H1009" s="603"/>
      <c r="I1009" s="882"/>
      <c r="J1009" s="883"/>
      <c r="K1009" s="884"/>
      <c r="L1009" s="884"/>
      <c r="M1009" s="68"/>
    </row>
    <row r="1010" spans="1:13" s="64" customFormat="1">
      <c r="A1010" s="10"/>
      <c r="B1010" s="111"/>
      <c r="C1010" s="68"/>
      <c r="D1010" s="374"/>
      <c r="E1010" s="660"/>
      <c r="F1010" s="112"/>
      <c r="G1010" s="68"/>
      <c r="H1010" s="603"/>
      <c r="I1010" s="882"/>
      <c r="J1010" s="883"/>
      <c r="K1010" s="884"/>
      <c r="L1010" s="884"/>
      <c r="M1010" s="68"/>
    </row>
    <row r="1011" spans="1:13" s="64" customFormat="1">
      <c r="A1011" s="10"/>
      <c r="B1011" s="111"/>
      <c r="C1011" s="68"/>
      <c r="D1011" s="374"/>
      <c r="E1011" s="660"/>
      <c r="F1011" s="112"/>
      <c r="G1011" s="68"/>
      <c r="H1011" s="603"/>
      <c r="I1011" s="882"/>
      <c r="J1011" s="883"/>
      <c r="K1011" s="884"/>
      <c r="L1011" s="884"/>
      <c r="M1011" s="68"/>
    </row>
    <row r="1012" spans="1:13" s="64" customFormat="1">
      <c r="A1012" s="10"/>
      <c r="B1012" s="111"/>
      <c r="C1012" s="68"/>
      <c r="D1012" s="374"/>
      <c r="E1012" s="660"/>
      <c r="F1012" s="112"/>
      <c r="G1012" s="68"/>
      <c r="H1012" s="603"/>
      <c r="I1012" s="882"/>
      <c r="J1012" s="883"/>
      <c r="K1012" s="884"/>
      <c r="L1012" s="884"/>
      <c r="M1012" s="68"/>
    </row>
    <row r="1013" spans="1:13" s="64" customFormat="1">
      <c r="A1013" s="10"/>
      <c r="B1013" s="111"/>
      <c r="C1013" s="68"/>
      <c r="D1013" s="374"/>
      <c r="E1013" s="660"/>
      <c r="F1013" s="112"/>
      <c r="G1013" s="68"/>
      <c r="H1013" s="603"/>
      <c r="I1013" s="882"/>
      <c r="J1013" s="883"/>
      <c r="K1013" s="884"/>
      <c r="L1013" s="884"/>
      <c r="M1013" s="68"/>
    </row>
    <row r="1014" spans="1:13" s="64" customFormat="1">
      <c r="A1014" s="10"/>
      <c r="B1014" s="111"/>
      <c r="C1014" s="68"/>
      <c r="D1014" s="374"/>
      <c r="E1014" s="660"/>
      <c r="F1014" s="112"/>
      <c r="G1014" s="68"/>
      <c r="H1014" s="603"/>
      <c r="I1014" s="882"/>
      <c r="J1014" s="883"/>
      <c r="K1014" s="884"/>
      <c r="L1014" s="884"/>
      <c r="M1014" s="68"/>
    </row>
    <row r="1015" spans="1:13" s="64" customFormat="1">
      <c r="A1015" s="10"/>
      <c r="B1015" s="111"/>
      <c r="C1015" s="68"/>
      <c r="D1015" s="374"/>
      <c r="E1015" s="660"/>
      <c r="F1015" s="112"/>
      <c r="G1015" s="68"/>
      <c r="H1015" s="603"/>
      <c r="I1015" s="882"/>
      <c r="J1015" s="883"/>
      <c r="K1015" s="884"/>
      <c r="L1015" s="884"/>
      <c r="M1015" s="68"/>
    </row>
    <row r="1016" spans="1:13" s="64" customFormat="1">
      <c r="A1016" s="10"/>
      <c r="B1016" s="111"/>
      <c r="C1016" s="68"/>
      <c r="D1016" s="374"/>
      <c r="E1016" s="660"/>
      <c r="F1016" s="112"/>
      <c r="G1016" s="68"/>
      <c r="H1016" s="603"/>
      <c r="I1016" s="882"/>
      <c r="J1016" s="883"/>
      <c r="K1016" s="884"/>
      <c r="L1016" s="884"/>
      <c r="M1016" s="68"/>
    </row>
    <row r="1017" spans="1:13" s="64" customFormat="1">
      <c r="A1017" s="10"/>
      <c r="B1017" s="111"/>
      <c r="C1017" s="68"/>
      <c r="D1017" s="374"/>
      <c r="E1017" s="660"/>
      <c r="F1017" s="112"/>
      <c r="G1017" s="68"/>
      <c r="H1017" s="603"/>
      <c r="I1017" s="882"/>
      <c r="J1017" s="883"/>
      <c r="K1017" s="884"/>
      <c r="L1017" s="884"/>
      <c r="M1017" s="68"/>
    </row>
    <row r="1018" spans="1:13" s="64" customFormat="1">
      <c r="A1018" s="10"/>
      <c r="B1018" s="111"/>
      <c r="C1018" s="68"/>
      <c r="D1018" s="374"/>
      <c r="E1018" s="660"/>
      <c r="F1018" s="112"/>
      <c r="G1018" s="68"/>
      <c r="H1018" s="603"/>
      <c r="I1018" s="882"/>
      <c r="J1018" s="883"/>
      <c r="K1018" s="884"/>
      <c r="L1018" s="884"/>
      <c r="M1018" s="68"/>
    </row>
    <row r="1019" spans="1:13" s="64" customFormat="1">
      <c r="A1019" s="10"/>
      <c r="B1019" s="111"/>
      <c r="C1019" s="68"/>
      <c r="D1019" s="374"/>
      <c r="E1019" s="660"/>
      <c r="F1019" s="112"/>
      <c r="G1019" s="68"/>
      <c r="H1019" s="603"/>
      <c r="I1019" s="882"/>
      <c r="J1019" s="883"/>
      <c r="K1019" s="884"/>
      <c r="L1019" s="884"/>
      <c r="M1019" s="68"/>
    </row>
    <row r="1020" spans="1:13" s="64" customFormat="1">
      <c r="A1020" s="10"/>
      <c r="B1020" s="111"/>
      <c r="C1020" s="68"/>
      <c r="D1020" s="374"/>
      <c r="E1020" s="660"/>
      <c r="F1020" s="112"/>
      <c r="G1020" s="68"/>
      <c r="H1020" s="603"/>
      <c r="I1020" s="882"/>
      <c r="J1020" s="883"/>
      <c r="K1020" s="884"/>
      <c r="L1020" s="884"/>
      <c r="M1020" s="68"/>
    </row>
    <row r="1021" spans="1:13" s="64" customFormat="1">
      <c r="A1021" s="10"/>
      <c r="B1021" s="111"/>
      <c r="C1021" s="68"/>
      <c r="D1021" s="374"/>
      <c r="E1021" s="660"/>
      <c r="F1021" s="112"/>
      <c r="G1021" s="68"/>
      <c r="H1021" s="603"/>
      <c r="I1021" s="882"/>
      <c r="J1021" s="883"/>
      <c r="K1021" s="884"/>
      <c r="L1021" s="884"/>
      <c r="M1021" s="68"/>
    </row>
    <row r="1022" spans="1:13" s="64" customFormat="1">
      <c r="A1022" s="10"/>
      <c r="B1022" s="111"/>
      <c r="C1022" s="68"/>
      <c r="D1022" s="374"/>
      <c r="E1022" s="660"/>
      <c r="F1022" s="112"/>
      <c r="G1022" s="68"/>
      <c r="H1022" s="603"/>
      <c r="I1022" s="882"/>
      <c r="J1022" s="883"/>
      <c r="K1022" s="884"/>
      <c r="L1022" s="884"/>
      <c r="M1022" s="68"/>
    </row>
    <row r="1023" spans="1:13" s="64" customFormat="1">
      <c r="A1023" s="10"/>
      <c r="B1023" s="111"/>
      <c r="C1023" s="68"/>
      <c r="D1023" s="374"/>
      <c r="E1023" s="660"/>
      <c r="F1023" s="112"/>
      <c r="G1023" s="68"/>
      <c r="H1023" s="603"/>
      <c r="I1023" s="882"/>
      <c r="J1023" s="883"/>
      <c r="K1023" s="884"/>
      <c r="L1023" s="884"/>
      <c r="M1023" s="68"/>
    </row>
    <row r="1024" spans="1:13" s="64" customFormat="1">
      <c r="A1024" s="10"/>
      <c r="B1024" s="111"/>
      <c r="C1024" s="68"/>
      <c r="D1024" s="374"/>
      <c r="E1024" s="660"/>
      <c r="F1024" s="112"/>
      <c r="G1024" s="68"/>
      <c r="H1024" s="603"/>
      <c r="I1024" s="882"/>
      <c r="J1024" s="883"/>
      <c r="K1024" s="884"/>
      <c r="L1024" s="884"/>
      <c r="M1024" s="68"/>
    </row>
    <row r="1025" spans="1:13" s="64" customFormat="1">
      <c r="A1025" s="10"/>
      <c r="B1025" s="111"/>
      <c r="C1025" s="68"/>
      <c r="D1025" s="374"/>
      <c r="E1025" s="660"/>
      <c r="F1025" s="112"/>
      <c r="G1025" s="68"/>
      <c r="H1025" s="603"/>
      <c r="I1025" s="882"/>
      <c r="J1025" s="883"/>
      <c r="K1025" s="884"/>
      <c r="L1025" s="884"/>
      <c r="M1025" s="68"/>
    </row>
    <row r="1026" spans="1:13" s="64" customFormat="1">
      <c r="A1026" s="10"/>
      <c r="B1026" s="111"/>
      <c r="C1026" s="68"/>
      <c r="D1026" s="374"/>
      <c r="E1026" s="660"/>
      <c r="F1026" s="112"/>
      <c r="G1026" s="68"/>
      <c r="H1026" s="603"/>
      <c r="I1026" s="882"/>
      <c r="J1026" s="883"/>
      <c r="K1026" s="884"/>
      <c r="L1026" s="884"/>
      <c r="M1026" s="68"/>
    </row>
    <row r="1027" spans="1:13" s="64" customFormat="1">
      <c r="A1027" s="10"/>
      <c r="B1027" s="111"/>
      <c r="C1027" s="68"/>
      <c r="D1027" s="374"/>
      <c r="E1027" s="660"/>
      <c r="F1027" s="112"/>
      <c r="G1027" s="68"/>
      <c r="H1027" s="603"/>
      <c r="I1027" s="882"/>
      <c r="J1027" s="883"/>
      <c r="K1027" s="884"/>
      <c r="L1027" s="884"/>
      <c r="M1027" s="68"/>
    </row>
    <row r="1028" spans="1:13" s="64" customFormat="1">
      <c r="A1028" s="10"/>
      <c r="B1028" s="111"/>
      <c r="C1028" s="68"/>
      <c r="D1028" s="374"/>
      <c r="E1028" s="660"/>
      <c r="F1028" s="112"/>
      <c r="G1028" s="68"/>
      <c r="H1028" s="603"/>
      <c r="I1028" s="882"/>
      <c r="J1028" s="883"/>
      <c r="K1028" s="884"/>
      <c r="L1028" s="884"/>
      <c r="M1028" s="68"/>
    </row>
    <row r="1029" spans="1:13" s="64" customFormat="1">
      <c r="A1029" s="10"/>
      <c r="B1029" s="111"/>
      <c r="C1029" s="68"/>
      <c r="D1029" s="374"/>
      <c r="E1029" s="660"/>
      <c r="F1029" s="112"/>
      <c r="G1029" s="68"/>
      <c r="H1029" s="603"/>
      <c r="I1029" s="882"/>
      <c r="J1029" s="883"/>
      <c r="K1029" s="884"/>
      <c r="L1029" s="884"/>
      <c r="M1029" s="68"/>
    </row>
    <row r="1030" spans="1:13" s="64" customFormat="1">
      <c r="A1030" s="10"/>
      <c r="B1030" s="111"/>
      <c r="C1030" s="68"/>
      <c r="D1030" s="374"/>
      <c r="E1030" s="660"/>
      <c r="F1030" s="112"/>
      <c r="G1030" s="68"/>
      <c r="H1030" s="603"/>
      <c r="I1030" s="882"/>
      <c r="J1030" s="883"/>
      <c r="K1030" s="884"/>
      <c r="L1030" s="884"/>
      <c r="M1030" s="68"/>
    </row>
    <row r="1031" spans="1:13" s="64" customFormat="1">
      <c r="A1031" s="10"/>
      <c r="B1031" s="111"/>
      <c r="C1031" s="68"/>
      <c r="D1031" s="374"/>
      <c r="E1031" s="660"/>
      <c r="F1031" s="112"/>
      <c r="G1031" s="68"/>
      <c r="H1031" s="603"/>
      <c r="I1031" s="882"/>
      <c r="J1031" s="883"/>
      <c r="K1031" s="884"/>
      <c r="L1031" s="884"/>
      <c r="M1031" s="68"/>
    </row>
    <row r="1032" spans="1:13" s="64" customFormat="1">
      <c r="A1032" s="10"/>
      <c r="B1032" s="111"/>
      <c r="C1032" s="68"/>
      <c r="D1032" s="374"/>
      <c r="E1032" s="660"/>
      <c r="F1032" s="112"/>
      <c r="G1032" s="68"/>
      <c r="H1032" s="603"/>
      <c r="I1032" s="882"/>
      <c r="J1032" s="883"/>
      <c r="K1032" s="884"/>
      <c r="L1032" s="884"/>
      <c r="M1032" s="68"/>
    </row>
    <row r="1033" spans="1:13" s="64" customFormat="1">
      <c r="A1033" s="10"/>
      <c r="B1033" s="111"/>
      <c r="C1033" s="68"/>
      <c r="D1033" s="374"/>
      <c r="E1033" s="660"/>
      <c r="F1033" s="112"/>
      <c r="G1033" s="68"/>
      <c r="H1033" s="603"/>
      <c r="I1033" s="882"/>
      <c r="J1033" s="883"/>
      <c r="K1033" s="884"/>
      <c r="L1033" s="884"/>
      <c r="M1033" s="68"/>
    </row>
    <row r="1034" spans="1:13" s="64" customFormat="1">
      <c r="A1034" s="10"/>
      <c r="B1034" s="111"/>
      <c r="C1034" s="68"/>
      <c r="D1034" s="374"/>
      <c r="E1034" s="660"/>
      <c r="F1034" s="112"/>
      <c r="G1034" s="68"/>
      <c r="H1034" s="603"/>
      <c r="I1034" s="882"/>
      <c r="J1034" s="883"/>
      <c r="K1034" s="884"/>
      <c r="L1034" s="884"/>
      <c r="M1034" s="68"/>
    </row>
    <row r="1035" spans="1:13" s="64" customFormat="1">
      <c r="A1035" s="10"/>
      <c r="B1035" s="111"/>
      <c r="C1035" s="68"/>
      <c r="D1035" s="374"/>
      <c r="E1035" s="660"/>
      <c r="F1035" s="112"/>
      <c r="G1035" s="68"/>
      <c r="H1035" s="603"/>
      <c r="I1035" s="882"/>
      <c r="J1035" s="883"/>
      <c r="K1035" s="884"/>
      <c r="L1035" s="884"/>
      <c r="M1035" s="68"/>
    </row>
    <row r="1036" spans="1:13" s="64" customFormat="1">
      <c r="A1036" s="10"/>
      <c r="B1036" s="111"/>
      <c r="C1036" s="68"/>
      <c r="D1036" s="374"/>
      <c r="E1036" s="660"/>
      <c r="F1036" s="112"/>
      <c r="G1036" s="68"/>
      <c r="H1036" s="603"/>
      <c r="I1036" s="882"/>
      <c r="J1036" s="883"/>
      <c r="K1036" s="884"/>
      <c r="L1036" s="884"/>
      <c r="M1036" s="68"/>
    </row>
    <row r="1037" spans="1:13" s="64" customFormat="1">
      <c r="A1037" s="10"/>
      <c r="B1037" s="111"/>
      <c r="C1037" s="68"/>
      <c r="D1037" s="374"/>
      <c r="E1037" s="660"/>
      <c r="F1037" s="112"/>
      <c r="G1037" s="68"/>
      <c r="H1037" s="603"/>
      <c r="I1037" s="882"/>
      <c r="J1037" s="883"/>
      <c r="K1037" s="884"/>
      <c r="L1037" s="884"/>
      <c r="M1037" s="68"/>
    </row>
    <row r="1038" spans="1:13" s="64" customFormat="1">
      <c r="A1038" s="10"/>
      <c r="B1038" s="111"/>
      <c r="C1038" s="68"/>
      <c r="D1038" s="374"/>
      <c r="E1038" s="660"/>
      <c r="F1038" s="112"/>
      <c r="G1038" s="68"/>
      <c r="H1038" s="603"/>
      <c r="I1038" s="882"/>
      <c r="J1038" s="883"/>
      <c r="K1038" s="884"/>
      <c r="L1038" s="884"/>
      <c r="M1038" s="68"/>
    </row>
    <row r="1039" spans="1:13" s="64" customFormat="1">
      <c r="A1039" s="10"/>
      <c r="B1039" s="111"/>
      <c r="C1039" s="68"/>
      <c r="D1039" s="374"/>
      <c r="E1039" s="660"/>
      <c r="F1039" s="112"/>
      <c r="G1039" s="68"/>
      <c r="H1039" s="603"/>
      <c r="I1039" s="882"/>
      <c r="J1039" s="883"/>
      <c r="K1039" s="884"/>
      <c r="L1039" s="884"/>
      <c r="M1039" s="68"/>
    </row>
    <row r="1040" spans="1:13" s="64" customFormat="1">
      <c r="A1040" s="10"/>
      <c r="B1040" s="111"/>
      <c r="C1040" s="68"/>
      <c r="D1040" s="374"/>
      <c r="E1040" s="660"/>
      <c r="F1040" s="112"/>
      <c r="G1040" s="68"/>
      <c r="H1040" s="603"/>
      <c r="I1040" s="882"/>
      <c r="J1040" s="883"/>
      <c r="K1040" s="884"/>
      <c r="L1040" s="884"/>
      <c r="M1040" s="68"/>
    </row>
    <row r="1041" spans="1:13" s="64" customFormat="1">
      <c r="A1041" s="10"/>
      <c r="B1041" s="111"/>
      <c r="C1041" s="68"/>
      <c r="D1041" s="374"/>
      <c r="E1041" s="660"/>
      <c r="F1041" s="112"/>
      <c r="G1041" s="68"/>
      <c r="H1041" s="603"/>
      <c r="I1041" s="882"/>
      <c r="J1041" s="883"/>
      <c r="K1041" s="884"/>
      <c r="L1041" s="884"/>
      <c r="M1041" s="68"/>
    </row>
    <row r="1042" spans="1:13" s="64" customFormat="1">
      <c r="A1042" s="10"/>
      <c r="B1042" s="111"/>
      <c r="C1042" s="68"/>
      <c r="D1042" s="374"/>
      <c r="E1042" s="660"/>
      <c r="F1042" s="112"/>
      <c r="G1042" s="68"/>
      <c r="H1042" s="603"/>
      <c r="I1042" s="882"/>
      <c r="J1042" s="883"/>
      <c r="K1042" s="884"/>
      <c r="L1042" s="884"/>
      <c r="M1042" s="68"/>
    </row>
    <row r="1043" spans="1:13" s="64" customFormat="1">
      <c r="A1043" s="10"/>
      <c r="B1043" s="111"/>
      <c r="C1043" s="68"/>
      <c r="D1043" s="374"/>
      <c r="E1043" s="660"/>
      <c r="F1043" s="112"/>
      <c r="G1043" s="68"/>
      <c r="H1043" s="603"/>
      <c r="I1043" s="882"/>
      <c r="J1043" s="883"/>
      <c r="K1043" s="884"/>
      <c r="L1043" s="884"/>
      <c r="M1043" s="68"/>
    </row>
    <row r="1044" spans="1:13" s="64" customFormat="1">
      <c r="A1044" s="10"/>
      <c r="B1044" s="111"/>
      <c r="C1044" s="68"/>
      <c r="D1044" s="374"/>
      <c r="E1044" s="660"/>
      <c r="F1044" s="112"/>
      <c r="G1044" s="68"/>
      <c r="H1044" s="603"/>
      <c r="I1044" s="882"/>
      <c r="J1044" s="883"/>
      <c r="K1044" s="884"/>
      <c r="L1044" s="884"/>
      <c r="M1044" s="68"/>
    </row>
    <row r="1045" spans="1:13" s="64" customFormat="1">
      <c r="A1045" s="10"/>
      <c r="B1045" s="111"/>
      <c r="C1045" s="68"/>
      <c r="D1045" s="374"/>
      <c r="E1045" s="660"/>
      <c r="F1045" s="112"/>
      <c r="G1045" s="68"/>
      <c r="H1045" s="603"/>
      <c r="I1045" s="882"/>
      <c r="J1045" s="883"/>
      <c r="K1045" s="884"/>
      <c r="L1045" s="884"/>
      <c r="M1045" s="68"/>
    </row>
    <row r="1046" spans="1:13" s="64" customFormat="1">
      <c r="A1046" s="10"/>
      <c r="B1046" s="111"/>
      <c r="C1046" s="68"/>
      <c r="D1046" s="374"/>
      <c r="E1046" s="660"/>
      <c r="F1046" s="112"/>
      <c r="G1046" s="68"/>
      <c r="H1046" s="603"/>
      <c r="I1046" s="882"/>
      <c r="J1046" s="883"/>
      <c r="K1046" s="884"/>
      <c r="L1046" s="884"/>
      <c r="M1046" s="68"/>
    </row>
    <row r="1047" spans="1:13" s="64" customFormat="1">
      <c r="A1047" s="10"/>
      <c r="B1047" s="111"/>
      <c r="C1047" s="68"/>
      <c r="D1047" s="374"/>
      <c r="E1047" s="660"/>
      <c r="F1047" s="112"/>
      <c r="G1047" s="68"/>
      <c r="H1047" s="603"/>
      <c r="I1047" s="882"/>
      <c r="J1047" s="883"/>
      <c r="K1047" s="884"/>
      <c r="L1047" s="884"/>
      <c r="M1047" s="68"/>
    </row>
    <row r="1048" spans="1:13" s="64" customFormat="1">
      <c r="A1048" s="10"/>
      <c r="B1048" s="111"/>
      <c r="C1048" s="68"/>
      <c r="D1048" s="374"/>
      <c r="E1048" s="660"/>
      <c r="F1048" s="112"/>
      <c r="G1048" s="68"/>
      <c r="H1048" s="603"/>
      <c r="I1048" s="882"/>
      <c r="J1048" s="883"/>
      <c r="K1048" s="884"/>
      <c r="L1048" s="884"/>
      <c r="M1048" s="68"/>
    </row>
    <row r="1049" spans="1:13" s="64" customFormat="1">
      <c r="A1049" s="10"/>
      <c r="B1049" s="111"/>
      <c r="C1049" s="68"/>
      <c r="D1049" s="374"/>
      <c r="E1049" s="660"/>
      <c r="F1049" s="112"/>
      <c r="G1049" s="68"/>
      <c r="H1049" s="603"/>
      <c r="I1049" s="882"/>
      <c r="J1049" s="883"/>
      <c r="K1049" s="884"/>
      <c r="L1049" s="884"/>
      <c r="M1049" s="68"/>
    </row>
    <row r="1050" spans="1:13" s="64" customFormat="1">
      <c r="A1050" s="10"/>
      <c r="B1050" s="111"/>
      <c r="C1050" s="68"/>
      <c r="D1050" s="374"/>
      <c r="E1050" s="660"/>
      <c r="F1050" s="112"/>
      <c r="G1050" s="68"/>
      <c r="H1050" s="603"/>
      <c r="I1050" s="882"/>
      <c r="J1050" s="883"/>
      <c r="K1050" s="884"/>
      <c r="L1050" s="884"/>
      <c r="M1050" s="68"/>
    </row>
    <row r="1051" spans="1:13" s="64" customFormat="1">
      <c r="A1051" s="10"/>
      <c r="B1051" s="111"/>
      <c r="C1051" s="68"/>
      <c r="D1051" s="374"/>
      <c r="E1051" s="660"/>
      <c r="F1051" s="112"/>
      <c r="G1051" s="68"/>
      <c r="H1051" s="603"/>
      <c r="I1051" s="882"/>
      <c r="J1051" s="883"/>
      <c r="K1051" s="884"/>
      <c r="L1051" s="884"/>
      <c r="M1051" s="68"/>
    </row>
    <row r="1052" spans="1:13" s="64" customFormat="1">
      <c r="A1052" s="10"/>
      <c r="B1052" s="111"/>
      <c r="C1052" s="68"/>
      <c r="D1052" s="374"/>
      <c r="E1052" s="660"/>
      <c r="F1052" s="112"/>
      <c r="G1052" s="68"/>
      <c r="H1052" s="603"/>
      <c r="I1052" s="882"/>
      <c r="J1052" s="883"/>
      <c r="K1052" s="884"/>
      <c r="L1052" s="884"/>
      <c r="M1052" s="68"/>
    </row>
    <row r="1053" spans="1:13" s="64" customFormat="1">
      <c r="A1053" s="10"/>
      <c r="B1053" s="111"/>
      <c r="C1053" s="68"/>
      <c r="D1053" s="374"/>
      <c r="E1053" s="660"/>
      <c r="F1053" s="112"/>
      <c r="G1053" s="68"/>
      <c r="H1053" s="603"/>
      <c r="I1053" s="882"/>
      <c r="J1053" s="883"/>
      <c r="K1053" s="884"/>
      <c r="L1053" s="884"/>
      <c r="M1053" s="68"/>
    </row>
    <row r="1054" spans="1:13" s="64" customFormat="1">
      <c r="A1054" s="10"/>
      <c r="B1054" s="111"/>
      <c r="C1054" s="68"/>
      <c r="D1054" s="374"/>
      <c r="E1054" s="660"/>
      <c r="F1054" s="112"/>
      <c r="G1054" s="68"/>
      <c r="H1054" s="603"/>
      <c r="I1054" s="882"/>
      <c r="J1054" s="883"/>
      <c r="K1054" s="884"/>
      <c r="L1054" s="884"/>
      <c r="M1054" s="68"/>
    </row>
    <row r="1055" spans="1:13" s="64" customFormat="1">
      <c r="A1055" s="10"/>
      <c r="B1055" s="111"/>
      <c r="C1055" s="68"/>
      <c r="D1055" s="374"/>
      <c r="E1055" s="660"/>
      <c r="F1055" s="112"/>
      <c r="G1055" s="68"/>
      <c r="H1055" s="603"/>
      <c r="I1055" s="882"/>
      <c r="J1055" s="883"/>
      <c r="K1055" s="884"/>
      <c r="L1055" s="884"/>
      <c r="M1055" s="68"/>
    </row>
    <row r="1056" spans="1:13" s="64" customFormat="1">
      <c r="A1056" s="10"/>
      <c r="B1056" s="111"/>
      <c r="C1056" s="68"/>
      <c r="D1056" s="374"/>
      <c r="E1056" s="660"/>
      <c r="F1056" s="112"/>
      <c r="G1056" s="68"/>
      <c r="H1056" s="603"/>
      <c r="I1056" s="882"/>
      <c r="J1056" s="883"/>
      <c r="K1056" s="884"/>
      <c r="L1056" s="884"/>
      <c r="M1056" s="68"/>
    </row>
    <row r="1057" spans="1:13" s="64" customFormat="1">
      <c r="A1057" s="10"/>
      <c r="B1057" s="111"/>
      <c r="C1057" s="68"/>
      <c r="D1057" s="374"/>
      <c r="E1057" s="660"/>
      <c r="F1057" s="112"/>
      <c r="G1057" s="68"/>
      <c r="H1057" s="603"/>
      <c r="I1057" s="882"/>
      <c r="J1057" s="883"/>
      <c r="K1057" s="884"/>
      <c r="L1057" s="884"/>
      <c r="M1057" s="68"/>
    </row>
    <row r="1058" spans="1:13" s="64" customFormat="1">
      <c r="A1058" s="10"/>
      <c r="B1058" s="111"/>
      <c r="C1058" s="68"/>
      <c r="D1058" s="374"/>
      <c r="E1058" s="660"/>
      <c r="F1058" s="112"/>
      <c r="G1058" s="68"/>
      <c r="H1058" s="603"/>
      <c r="I1058" s="882"/>
      <c r="J1058" s="883"/>
      <c r="K1058" s="884"/>
      <c r="L1058" s="884"/>
      <c r="M1058" s="68"/>
    </row>
    <row r="1059" spans="1:13" s="64" customFormat="1">
      <c r="A1059" s="10"/>
      <c r="B1059" s="111"/>
      <c r="C1059" s="68"/>
      <c r="D1059" s="374"/>
      <c r="E1059" s="660"/>
      <c r="F1059" s="112"/>
      <c r="G1059" s="68"/>
      <c r="H1059" s="603"/>
      <c r="I1059" s="882"/>
      <c r="J1059" s="883"/>
      <c r="K1059" s="884"/>
      <c r="L1059" s="884"/>
      <c r="M1059" s="68"/>
    </row>
    <row r="1060" spans="1:13" s="64" customFormat="1">
      <c r="A1060" s="10"/>
      <c r="B1060" s="111"/>
      <c r="C1060" s="68"/>
      <c r="D1060" s="374"/>
      <c r="E1060" s="660"/>
      <c r="F1060" s="112"/>
      <c r="G1060" s="68"/>
      <c r="H1060" s="603"/>
      <c r="I1060" s="882"/>
      <c r="J1060" s="883"/>
      <c r="K1060" s="884"/>
      <c r="L1060" s="884"/>
      <c r="M1060" s="68"/>
    </row>
    <row r="1061" spans="1:13" s="64" customFormat="1">
      <c r="A1061" s="10"/>
      <c r="B1061" s="111"/>
      <c r="C1061" s="68"/>
      <c r="D1061" s="374"/>
      <c r="E1061" s="660"/>
      <c r="F1061" s="112"/>
      <c r="G1061" s="68"/>
      <c r="H1061" s="603"/>
      <c r="I1061" s="882"/>
      <c r="J1061" s="883"/>
      <c r="K1061" s="884"/>
      <c r="L1061" s="884"/>
      <c r="M1061" s="68"/>
    </row>
    <row r="1062" spans="1:13" s="64" customFormat="1">
      <c r="A1062" s="10"/>
      <c r="B1062" s="111"/>
      <c r="C1062" s="68"/>
      <c r="D1062" s="374"/>
      <c r="E1062" s="660"/>
      <c r="F1062" s="112"/>
      <c r="G1062" s="68"/>
      <c r="H1062" s="603"/>
      <c r="I1062" s="882"/>
      <c r="J1062" s="883"/>
      <c r="K1062" s="884"/>
      <c r="L1062" s="884"/>
      <c r="M1062" s="68"/>
    </row>
    <row r="1063" spans="1:13" s="64" customFormat="1">
      <c r="A1063" s="10"/>
      <c r="B1063" s="111"/>
      <c r="C1063" s="68"/>
      <c r="D1063" s="374"/>
      <c r="E1063" s="660"/>
      <c r="F1063" s="112"/>
      <c r="G1063" s="68"/>
      <c r="H1063" s="603"/>
      <c r="I1063" s="882"/>
      <c r="J1063" s="883"/>
      <c r="K1063" s="884"/>
      <c r="L1063" s="884"/>
      <c r="M1063" s="68"/>
    </row>
    <row r="1064" spans="1:13" s="64" customFormat="1">
      <c r="A1064" s="10"/>
      <c r="B1064" s="111"/>
      <c r="C1064" s="68"/>
      <c r="D1064" s="374"/>
      <c r="E1064" s="660"/>
      <c r="F1064" s="112"/>
      <c r="G1064" s="68"/>
      <c r="H1064" s="603"/>
      <c r="I1064" s="882"/>
      <c r="J1064" s="883"/>
      <c r="K1064" s="884"/>
      <c r="L1064" s="884"/>
      <c r="M1064" s="68"/>
    </row>
    <row r="1065" spans="1:13" s="64" customFormat="1">
      <c r="A1065" s="10"/>
      <c r="B1065" s="111"/>
      <c r="C1065" s="68"/>
      <c r="D1065" s="374"/>
      <c r="E1065" s="660"/>
      <c r="F1065" s="112"/>
      <c r="G1065" s="68"/>
      <c r="H1065" s="603"/>
      <c r="I1065" s="882"/>
      <c r="J1065" s="883"/>
      <c r="K1065" s="884"/>
      <c r="L1065" s="884"/>
      <c r="M1065" s="68"/>
    </row>
    <row r="1066" spans="1:13" s="64" customFormat="1">
      <c r="A1066" s="10"/>
      <c r="B1066" s="111"/>
      <c r="C1066" s="68"/>
      <c r="D1066" s="374"/>
      <c r="E1066" s="660"/>
      <c r="F1066" s="112"/>
      <c r="G1066" s="68"/>
      <c r="H1066" s="603"/>
      <c r="I1066" s="882"/>
      <c r="J1066" s="883"/>
      <c r="K1066" s="884"/>
      <c r="L1066" s="884"/>
      <c r="M1066" s="68"/>
    </row>
    <row r="1067" spans="1:13" s="64" customFormat="1">
      <c r="A1067" s="10"/>
      <c r="B1067" s="111"/>
      <c r="C1067" s="68"/>
      <c r="D1067" s="374"/>
      <c r="E1067" s="660"/>
      <c r="F1067" s="112"/>
      <c r="G1067" s="68"/>
      <c r="H1067" s="603"/>
      <c r="I1067" s="882"/>
      <c r="J1067" s="883"/>
      <c r="K1067" s="884"/>
      <c r="L1067" s="884"/>
      <c r="M1067" s="68"/>
    </row>
    <row r="1068" spans="1:13" s="64" customFormat="1">
      <c r="A1068" s="10"/>
      <c r="B1068" s="111"/>
      <c r="C1068" s="68"/>
      <c r="D1068" s="374"/>
      <c r="E1068" s="660"/>
      <c r="F1068" s="112"/>
      <c r="G1068" s="68"/>
      <c r="H1068" s="603"/>
      <c r="I1068" s="882"/>
      <c r="J1068" s="883"/>
      <c r="K1068" s="884"/>
      <c r="L1068" s="884"/>
      <c r="M1068" s="68"/>
    </row>
    <row r="1069" spans="1:13" s="64" customFormat="1">
      <c r="A1069" s="10"/>
      <c r="B1069" s="111"/>
      <c r="C1069" s="68"/>
      <c r="D1069" s="374"/>
      <c r="E1069" s="660"/>
      <c r="F1069" s="112"/>
      <c r="G1069" s="68"/>
      <c r="H1069" s="603"/>
      <c r="I1069" s="882"/>
      <c r="J1069" s="883"/>
      <c r="K1069" s="884"/>
      <c r="L1069" s="884"/>
      <c r="M1069" s="68"/>
    </row>
    <row r="1070" spans="1:13" s="64" customFormat="1">
      <c r="A1070" s="10"/>
      <c r="B1070" s="111"/>
      <c r="C1070" s="68"/>
      <c r="D1070" s="374"/>
      <c r="E1070" s="660"/>
      <c r="F1070" s="112"/>
      <c r="G1070" s="68"/>
      <c r="H1070" s="603"/>
      <c r="I1070" s="882"/>
      <c r="J1070" s="883"/>
      <c r="K1070" s="884"/>
      <c r="L1070" s="884"/>
      <c r="M1070" s="68"/>
    </row>
    <row r="1071" spans="1:13" s="64" customFormat="1">
      <c r="A1071" s="10"/>
      <c r="B1071" s="111"/>
      <c r="C1071" s="68"/>
      <c r="D1071" s="374"/>
      <c r="E1071" s="660"/>
      <c r="F1071" s="112"/>
      <c r="G1071" s="68"/>
      <c r="H1071" s="603"/>
      <c r="I1071" s="882"/>
      <c r="J1071" s="883"/>
      <c r="K1071" s="884"/>
      <c r="L1071" s="884"/>
      <c r="M1071" s="68"/>
    </row>
    <row r="1072" spans="1:13" s="64" customFormat="1">
      <c r="A1072" s="10"/>
      <c r="B1072" s="111"/>
      <c r="C1072" s="68"/>
      <c r="D1072" s="374"/>
      <c r="E1072" s="660"/>
      <c r="F1072" s="112"/>
      <c r="G1072" s="68"/>
      <c r="H1072" s="603"/>
      <c r="I1072" s="882"/>
      <c r="J1072" s="883"/>
      <c r="K1072" s="884"/>
      <c r="L1072" s="884"/>
      <c r="M1072" s="68"/>
    </row>
    <row r="1073" spans="1:13" s="64" customFormat="1">
      <c r="A1073" s="10"/>
      <c r="B1073" s="111"/>
      <c r="C1073" s="68"/>
      <c r="D1073" s="374"/>
      <c r="E1073" s="660"/>
      <c r="F1073" s="112"/>
      <c r="G1073" s="68"/>
      <c r="H1073" s="603"/>
      <c r="I1073" s="882"/>
      <c r="J1073" s="883"/>
      <c r="K1073" s="884"/>
      <c r="L1073" s="884"/>
      <c r="M1073" s="68"/>
    </row>
    <row r="1074" spans="1:13" s="64" customFormat="1">
      <c r="A1074" s="10"/>
      <c r="B1074" s="111"/>
      <c r="C1074" s="68"/>
      <c r="D1074" s="374"/>
      <c r="E1074" s="660"/>
      <c r="F1074" s="112"/>
      <c r="G1074" s="68"/>
      <c r="H1074" s="603"/>
      <c r="I1074" s="882"/>
      <c r="J1074" s="883"/>
      <c r="K1074" s="884"/>
      <c r="L1074" s="884"/>
      <c r="M1074" s="68"/>
    </row>
    <row r="1075" spans="1:13" s="64" customFormat="1">
      <c r="A1075" s="10"/>
      <c r="B1075" s="111"/>
      <c r="C1075" s="68"/>
      <c r="D1075" s="374"/>
      <c r="E1075" s="660"/>
      <c r="F1075" s="112"/>
      <c r="G1075" s="68"/>
      <c r="H1075" s="603"/>
      <c r="I1075" s="882"/>
      <c r="J1075" s="883"/>
      <c r="K1075" s="884"/>
      <c r="L1075" s="884"/>
      <c r="M1075" s="68"/>
    </row>
    <row r="1076" spans="1:13" s="64" customFormat="1">
      <c r="A1076" s="10"/>
      <c r="B1076" s="111"/>
      <c r="C1076" s="68"/>
      <c r="D1076" s="374"/>
      <c r="E1076" s="660"/>
      <c r="F1076" s="112"/>
      <c r="G1076" s="68"/>
      <c r="H1076" s="603"/>
      <c r="I1076" s="882"/>
      <c r="J1076" s="883"/>
      <c r="K1076" s="884"/>
      <c r="L1076" s="884"/>
      <c r="M1076" s="68"/>
    </row>
    <row r="1077" spans="1:13" s="64" customFormat="1">
      <c r="A1077" s="10"/>
      <c r="B1077" s="111"/>
      <c r="C1077" s="68"/>
      <c r="D1077" s="374"/>
      <c r="E1077" s="660"/>
      <c r="F1077" s="112"/>
      <c r="G1077" s="68"/>
      <c r="H1077" s="603"/>
      <c r="I1077" s="882"/>
      <c r="J1077" s="883"/>
      <c r="K1077" s="884"/>
      <c r="L1077" s="884"/>
      <c r="M1077" s="68"/>
    </row>
    <row r="1078" spans="1:13" s="64" customFormat="1">
      <c r="A1078" s="10"/>
      <c r="B1078" s="111"/>
      <c r="C1078" s="68"/>
      <c r="D1078" s="374"/>
      <c r="E1078" s="660"/>
      <c r="F1078" s="112"/>
      <c r="G1078" s="68"/>
      <c r="H1078" s="603"/>
      <c r="I1078" s="882"/>
      <c r="J1078" s="883"/>
      <c r="K1078" s="884"/>
      <c r="L1078" s="884"/>
      <c r="M1078" s="68"/>
    </row>
    <row r="1079" spans="1:13" s="64" customFormat="1">
      <c r="A1079" s="10"/>
      <c r="B1079" s="111"/>
      <c r="C1079" s="68"/>
      <c r="D1079" s="374"/>
      <c r="E1079" s="660"/>
      <c r="F1079" s="112"/>
      <c r="G1079" s="68"/>
      <c r="H1079" s="603"/>
      <c r="I1079" s="882"/>
      <c r="J1079" s="883"/>
      <c r="K1079" s="884"/>
      <c r="L1079" s="884"/>
      <c r="M1079" s="68"/>
    </row>
    <row r="1080" spans="1:13" s="64" customFormat="1">
      <c r="A1080" s="10"/>
      <c r="B1080" s="111"/>
      <c r="C1080" s="68"/>
      <c r="D1080" s="374"/>
      <c r="E1080" s="660"/>
      <c r="F1080" s="112"/>
      <c r="G1080" s="68"/>
      <c r="H1080" s="603"/>
      <c r="I1080" s="882"/>
      <c r="J1080" s="883"/>
      <c r="K1080" s="884"/>
      <c r="L1080" s="884"/>
      <c r="M1080" s="68"/>
    </row>
    <row r="1081" spans="1:13" s="64" customFormat="1">
      <c r="A1081" s="10"/>
      <c r="B1081" s="111"/>
      <c r="C1081" s="68"/>
      <c r="D1081" s="374"/>
      <c r="E1081" s="660"/>
      <c r="F1081" s="112"/>
      <c r="G1081" s="68"/>
      <c r="H1081" s="603"/>
      <c r="I1081" s="882"/>
      <c r="J1081" s="883"/>
      <c r="K1081" s="884"/>
      <c r="L1081" s="884"/>
      <c r="M1081" s="68"/>
    </row>
    <row r="1082" spans="1:13" s="64" customFormat="1">
      <c r="A1082" s="10"/>
      <c r="B1082" s="111"/>
      <c r="C1082" s="68"/>
      <c r="D1082" s="374"/>
      <c r="E1082" s="660"/>
      <c r="F1082" s="112"/>
      <c r="G1082" s="68"/>
      <c r="H1082" s="603"/>
      <c r="I1082" s="882"/>
      <c r="J1082" s="883"/>
      <c r="K1082" s="884"/>
      <c r="L1082" s="884"/>
      <c r="M1082" s="68"/>
    </row>
    <row r="1083" spans="1:13" s="64" customFormat="1">
      <c r="A1083" s="10"/>
      <c r="B1083" s="111"/>
      <c r="C1083" s="68"/>
      <c r="D1083" s="374"/>
      <c r="E1083" s="660"/>
      <c r="F1083" s="112"/>
      <c r="G1083" s="68"/>
      <c r="H1083" s="603"/>
      <c r="I1083" s="882"/>
      <c r="J1083" s="883"/>
      <c r="K1083" s="884"/>
      <c r="L1083" s="884"/>
      <c r="M1083" s="68"/>
    </row>
    <row r="1084" spans="1:13" s="64" customFormat="1">
      <c r="A1084" s="10"/>
      <c r="B1084" s="111"/>
      <c r="C1084" s="68"/>
      <c r="D1084" s="374"/>
      <c r="E1084" s="660"/>
      <c r="F1084" s="112"/>
      <c r="G1084" s="68"/>
      <c r="H1084" s="603"/>
      <c r="I1084" s="882"/>
      <c r="J1084" s="883"/>
      <c r="K1084" s="884"/>
      <c r="L1084" s="884"/>
      <c r="M1084" s="68"/>
    </row>
    <row r="1085" spans="1:13" s="64" customFormat="1">
      <c r="A1085" s="10"/>
      <c r="B1085" s="111"/>
      <c r="C1085" s="68"/>
      <c r="D1085" s="374"/>
      <c r="E1085" s="660"/>
      <c r="F1085" s="112"/>
      <c r="G1085" s="68"/>
      <c r="H1085" s="603"/>
      <c r="I1085" s="882"/>
      <c r="J1085" s="883"/>
      <c r="K1085" s="884"/>
      <c r="L1085" s="884"/>
      <c r="M1085" s="68"/>
    </row>
    <row r="1086" spans="1:13" s="64" customFormat="1">
      <c r="A1086" s="10"/>
      <c r="B1086" s="111"/>
      <c r="C1086" s="68"/>
      <c r="D1086" s="374"/>
      <c r="E1086" s="660"/>
      <c r="F1086" s="112"/>
      <c r="G1086" s="68"/>
      <c r="H1086" s="603"/>
      <c r="I1086" s="882"/>
      <c r="J1086" s="883"/>
      <c r="K1086" s="884"/>
      <c r="L1086" s="884"/>
      <c r="M1086" s="68"/>
    </row>
    <row r="1087" spans="1:13" s="64" customFormat="1">
      <c r="A1087" s="10"/>
      <c r="B1087" s="111"/>
      <c r="C1087" s="68"/>
      <c r="D1087" s="374"/>
      <c r="E1087" s="660"/>
      <c r="F1087" s="112"/>
      <c r="G1087" s="68"/>
      <c r="H1087" s="603"/>
      <c r="I1087" s="882"/>
      <c r="J1087" s="883"/>
      <c r="K1087" s="884"/>
      <c r="L1087" s="884"/>
      <c r="M1087" s="68"/>
    </row>
    <row r="1088" spans="1:13" s="64" customFormat="1">
      <c r="A1088" s="10"/>
      <c r="B1088" s="111"/>
      <c r="C1088" s="68"/>
      <c r="D1088" s="374"/>
      <c r="E1088" s="660"/>
      <c r="F1088" s="112"/>
      <c r="G1088" s="68"/>
      <c r="H1088" s="603"/>
      <c r="I1088" s="882"/>
      <c r="J1088" s="883"/>
      <c r="K1088" s="884"/>
      <c r="L1088" s="884"/>
      <c r="M1088" s="68"/>
    </row>
    <row r="1089" spans="1:13" s="64" customFormat="1">
      <c r="A1089" s="10"/>
      <c r="B1089" s="111"/>
      <c r="C1089" s="68"/>
      <c r="D1089" s="374"/>
      <c r="E1089" s="660"/>
      <c r="F1089" s="112"/>
      <c r="G1089" s="68"/>
      <c r="H1089" s="603"/>
      <c r="I1089" s="882"/>
      <c r="J1089" s="883"/>
      <c r="K1089" s="884"/>
      <c r="L1089" s="884"/>
      <c r="M1089" s="68"/>
    </row>
    <row r="1090" spans="1:13" s="64" customFormat="1">
      <c r="A1090" s="10"/>
      <c r="B1090" s="111"/>
      <c r="C1090" s="68"/>
      <c r="D1090" s="374"/>
      <c r="E1090" s="660"/>
      <c r="F1090" s="112"/>
      <c r="G1090" s="68"/>
      <c r="H1090" s="603"/>
      <c r="I1090" s="882"/>
      <c r="J1090" s="883"/>
      <c r="K1090" s="884"/>
      <c r="L1090" s="884"/>
      <c r="M1090" s="68"/>
    </row>
    <row r="1091" spans="1:13" s="64" customFormat="1">
      <c r="A1091" s="10"/>
      <c r="B1091" s="111"/>
      <c r="C1091" s="68"/>
      <c r="D1091" s="374"/>
      <c r="E1091" s="660"/>
      <c r="F1091" s="112"/>
      <c r="G1091" s="68"/>
      <c r="H1091" s="603"/>
      <c r="I1091" s="882"/>
      <c r="J1091" s="883"/>
      <c r="K1091" s="884"/>
      <c r="L1091" s="884"/>
      <c r="M1091" s="68"/>
    </row>
    <row r="1092" spans="1:13" s="64" customFormat="1">
      <c r="A1092" s="10"/>
      <c r="B1092" s="111"/>
      <c r="C1092" s="68"/>
      <c r="D1092" s="374"/>
      <c r="E1092" s="660"/>
      <c r="F1092" s="112"/>
      <c r="G1092" s="68"/>
      <c r="H1092" s="603"/>
      <c r="I1092" s="882"/>
      <c r="J1092" s="883"/>
      <c r="K1092" s="884"/>
      <c r="L1092" s="884"/>
      <c r="M1092" s="68"/>
    </row>
    <row r="1093" spans="1:13" s="64" customFormat="1">
      <c r="A1093" s="10"/>
      <c r="B1093" s="111"/>
      <c r="C1093" s="68"/>
      <c r="D1093" s="374"/>
      <c r="E1093" s="660"/>
      <c r="F1093" s="112"/>
      <c r="G1093" s="68"/>
      <c r="H1093" s="603"/>
      <c r="I1093" s="882"/>
      <c r="J1093" s="883"/>
      <c r="K1093" s="884"/>
      <c r="L1093" s="884"/>
      <c r="M1093" s="68"/>
    </row>
    <row r="1094" spans="1:13" s="64" customFormat="1">
      <c r="A1094" s="10"/>
      <c r="B1094" s="111"/>
      <c r="C1094" s="68"/>
      <c r="D1094" s="374"/>
      <c r="E1094" s="660"/>
      <c r="F1094" s="112"/>
      <c r="G1094" s="68"/>
      <c r="H1094" s="603"/>
      <c r="I1094" s="882"/>
      <c r="J1094" s="883"/>
      <c r="K1094" s="884"/>
      <c r="L1094" s="884"/>
      <c r="M1094" s="68"/>
    </row>
    <row r="1095" spans="1:13" s="64" customFormat="1">
      <c r="A1095" s="10"/>
      <c r="B1095" s="111"/>
      <c r="C1095" s="68"/>
      <c r="D1095" s="374"/>
      <c r="E1095" s="660"/>
      <c r="F1095" s="112"/>
      <c r="G1095" s="68"/>
      <c r="H1095" s="603"/>
      <c r="I1095" s="882"/>
      <c r="J1095" s="883"/>
      <c r="K1095" s="884"/>
      <c r="L1095" s="884"/>
      <c r="M1095" s="68"/>
    </row>
    <row r="1096" spans="1:13" s="64" customFormat="1">
      <c r="A1096" s="10"/>
      <c r="B1096" s="111"/>
      <c r="C1096" s="68"/>
      <c r="D1096" s="374"/>
      <c r="E1096" s="660"/>
      <c r="F1096" s="112"/>
      <c r="G1096" s="68"/>
      <c r="H1096" s="603"/>
      <c r="I1096" s="882"/>
      <c r="J1096" s="883"/>
      <c r="K1096" s="884"/>
      <c r="L1096" s="884"/>
      <c r="M1096" s="68"/>
    </row>
    <row r="1097" spans="1:13" s="64" customFormat="1">
      <c r="A1097" s="10"/>
      <c r="B1097" s="111"/>
      <c r="C1097" s="68"/>
      <c r="D1097" s="374"/>
      <c r="E1097" s="660"/>
      <c r="F1097" s="112"/>
      <c r="G1097" s="68"/>
      <c r="H1097" s="603"/>
      <c r="I1097" s="882"/>
      <c r="J1097" s="883"/>
      <c r="K1097" s="884"/>
      <c r="L1097" s="884"/>
      <c r="M1097" s="68"/>
    </row>
    <row r="1098" spans="1:13" s="64" customFormat="1">
      <c r="A1098" s="10"/>
      <c r="B1098" s="111"/>
      <c r="C1098" s="68"/>
      <c r="D1098" s="374"/>
      <c r="E1098" s="660"/>
      <c r="F1098" s="112"/>
      <c r="G1098" s="68"/>
      <c r="H1098" s="603"/>
      <c r="I1098" s="882"/>
      <c r="J1098" s="883"/>
      <c r="K1098" s="884"/>
      <c r="L1098" s="884"/>
      <c r="M1098" s="68"/>
    </row>
    <row r="1099" spans="1:13" s="64" customFormat="1">
      <c r="A1099" s="10"/>
      <c r="B1099" s="111"/>
      <c r="C1099" s="68"/>
      <c r="D1099" s="374"/>
      <c r="E1099" s="660"/>
      <c r="F1099" s="112"/>
      <c r="G1099" s="68"/>
      <c r="H1099" s="603"/>
      <c r="I1099" s="882"/>
      <c r="J1099" s="883"/>
      <c r="K1099" s="884"/>
      <c r="L1099" s="884"/>
      <c r="M1099" s="68"/>
    </row>
    <row r="1100" spans="1:13" s="64" customFormat="1">
      <c r="A1100" s="10"/>
      <c r="B1100" s="111"/>
      <c r="C1100" s="68"/>
      <c r="D1100" s="374"/>
      <c r="E1100" s="660"/>
      <c r="F1100" s="112"/>
      <c r="G1100" s="68"/>
      <c r="H1100" s="603"/>
      <c r="I1100" s="882"/>
      <c r="J1100" s="883"/>
      <c r="K1100" s="884"/>
      <c r="L1100" s="884"/>
      <c r="M1100" s="68"/>
    </row>
    <row r="1101" spans="1:13" s="64" customFormat="1">
      <c r="A1101" s="10"/>
      <c r="B1101" s="111"/>
      <c r="C1101" s="68"/>
      <c r="D1101" s="374"/>
      <c r="E1101" s="660"/>
      <c r="F1101" s="112"/>
      <c r="G1101" s="68"/>
      <c r="H1101" s="603"/>
      <c r="I1101" s="882"/>
      <c r="J1101" s="883"/>
      <c r="K1101" s="884"/>
      <c r="L1101" s="884"/>
      <c r="M1101" s="68"/>
    </row>
    <row r="1102" spans="1:13" s="64" customFormat="1">
      <c r="A1102" s="10"/>
      <c r="B1102" s="111"/>
      <c r="C1102" s="68"/>
      <c r="D1102" s="374"/>
      <c r="E1102" s="660"/>
      <c r="F1102" s="112"/>
      <c r="G1102" s="68"/>
      <c r="H1102" s="603"/>
      <c r="I1102" s="882"/>
      <c r="J1102" s="883"/>
      <c r="K1102" s="884"/>
      <c r="L1102" s="884"/>
      <c r="M1102" s="68"/>
    </row>
    <row r="1103" spans="1:13" s="64" customFormat="1">
      <c r="A1103" s="10"/>
      <c r="B1103" s="111"/>
      <c r="C1103" s="68"/>
      <c r="D1103" s="374"/>
      <c r="E1103" s="660"/>
      <c r="F1103" s="112"/>
      <c r="G1103" s="68"/>
      <c r="H1103" s="603"/>
      <c r="I1103" s="882"/>
      <c r="J1103" s="883"/>
      <c r="K1103" s="884"/>
      <c r="L1103" s="884"/>
      <c r="M1103" s="68"/>
    </row>
    <row r="1104" spans="1:13" s="64" customFormat="1">
      <c r="A1104" s="10"/>
      <c r="B1104" s="111"/>
      <c r="C1104" s="68"/>
      <c r="D1104" s="374"/>
      <c r="E1104" s="660"/>
      <c r="F1104" s="112"/>
      <c r="G1104" s="68"/>
      <c r="H1104" s="603"/>
      <c r="I1104" s="882"/>
      <c r="J1104" s="883"/>
      <c r="K1104" s="884"/>
      <c r="L1104" s="884"/>
      <c r="M1104" s="68"/>
    </row>
    <row r="1105" spans="1:13" s="64" customFormat="1">
      <c r="A1105" s="10"/>
      <c r="B1105" s="111"/>
      <c r="C1105" s="68"/>
      <c r="D1105" s="374"/>
      <c r="E1105" s="660"/>
      <c r="F1105" s="112"/>
      <c r="G1105" s="68"/>
      <c r="H1105" s="603"/>
      <c r="I1105" s="882"/>
      <c r="J1105" s="883"/>
      <c r="K1105" s="884"/>
      <c r="L1105" s="884"/>
      <c r="M1105" s="68"/>
    </row>
    <row r="1106" spans="1:13" s="64" customFormat="1">
      <c r="A1106" s="10"/>
      <c r="B1106" s="111"/>
      <c r="C1106" s="68"/>
      <c r="D1106" s="374"/>
      <c r="E1106" s="660"/>
      <c r="F1106" s="112"/>
      <c r="G1106" s="68"/>
      <c r="H1106" s="603"/>
      <c r="I1106" s="882"/>
      <c r="J1106" s="883"/>
      <c r="K1106" s="884"/>
      <c r="L1106" s="884"/>
      <c r="M1106" s="68"/>
    </row>
    <row r="1107" spans="1:13" s="64" customFormat="1">
      <c r="A1107" s="10"/>
      <c r="B1107" s="111"/>
      <c r="C1107" s="68"/>
      <c r="D1107" s="374"/>
      <c r="E1107" s="660"/>
      <c r="F1107" s="112"/>
      <c r="G1107" s="68"/>
      <c r="H1107" s="603"/>
      <c r="I1107" s="882"/>
      <c r="J1107" s="883"/>
      <c r="K1107" s="884"/>
      <c r="L1107" s="884"/>
      <c r="M1107" s="68"/>
    </row>
    <row r="1108" spans="1:13" s="64" customFormat="1">
      <c r="A1108" s="10"/>
      <c r="B1108" s="111"/>
      <c r="C1108" s="68"/>
      <c r="D1108" s="374"/>
      <c r="E1108" s="660"/>
      <c r="F1108" s="112"/>
      <c r="G1108" s="68"/>
      <c r="H1108" s="603"/>
      <c r="I1108" s="882"/>
      <c r="J1108" s="883"/>
      <c r="K1108" s="884"/>
      <c r="L1108" s="884"/>
      <c r="M1108" s="68"/>
    </row>
    <row r="1109" spans="1:13" s="64" customFormat="1">
      <c r="A1109" s="10"/>
      <c r="B1109" s="111"/>
      <c r="C1109" s="68"/>
      <c r="D1109" s="374"/>
      <c r="E1109" s="660"/>
      <c r="F1109" s="112"/>
      <c r="G1109" s="68"/>
      <c r="H1109" s="603"/>
      <c r="I1109" s="882"/>
      <c r="J1109" s="883"/>
      <c r="K1109" s="884"/>
      <c r="L1109" s="884"/>
      <c r="M1109" s="68"/>
    </row>
    <row r="1110" spans="1:13" s="64" customFormat="1">
      <c r="A1110" s="10"/>
      <c r="B1110" s="111"/>
      <c r="C1110" s="68"/>
      <c r="D1110" s="374"/>
      <c r="E1110" s="660"/>
      <c r="F1110" s="112"/>
      <c r="G1110" s="68"/>
      <c r="H1110" s="603"/>
      <c r="I1110" s="882"/>
      <c r="J1110" s="883"/>
      <c r="K1110" s="884"/>
      <c r="L1110" s="884"/>
      <c r="M1110" s="68"/>
    </row>
    <row r="1111" spans="1:13" s="64" customFormat="1">
      <c r="A1111" s="10"/>
      <c r="B1111" s="111"/>
      <c r="C1111" s="68"/>
      <c r="D1111" s="374"/>
      <c r="E1111" s="660"/>
      <c r="F1111" s="112"/>
      <c r="G1111" s="68"/>
      <c r="H1111" s="603"/>
      <c r="I1111" s="882"/>
      <c r="J1111" s="883"/>
      <c r="K1111" s="884"/>
      <c r="L1111" s="884"/>
      <c r="M1111" s="68"/>
    </row>
    <row r="1112" spans="1:13" s="64" customFormat="1">
      <c r="A1112" s="10"/>
      <c r="B1112" s="111"/>
      <c r="C1112" s="68"/>
      <c r="D1112" s="374"/>
      <c r="E1112" s="660"/>
      <c r="F1112" s="112"/>
      <c r="G1112" s="68"/>
      <c r="H1112" s="603"/>
      <c r="I1112" s="882"/>
      <c r="J1112" s="883"/>
      <c r="K1112" s="884"/>
      <c r="L1112" s="884"/>
      <c r="M1112" s="68"/>
    </row>
    <row r="1113" spans="1:13" s="64" customFormat="1">
      <c r="A1113" s="10"/>
      <c r="B1113" s="111"/>
      <c r="C1113" s="68"/>
      <c r="D1113" s="374"/>
      <c r="E1113" s="660"/>
      <c r="F1113" s="112"/>
      <c r="G1113" s="68"/>
      <c r="H1113" s="603"/>
      <c r="I1113" s="882"/>
      <c r="J1113" s="883"/>
      <c r="K1113" s="884"/>
      <c r="L1113" s="884"/>
      <c r="M1113" s="68"/>
    </row>
    <row r="1114" spans="1:13" s="64" customFormat="1">
      <c r="A1114" s="10"/>
      <c r="B1114" s="111"/>
      <c r="C1114" s="68"/>
      <c r="D1114" s="374"/>
      <c r="E1114" s="660"/>
      <c r="F1114" s="112"/>
      <c r="G1114" s="68"/>
      <c r="H1114" s="603"/>
      <c r="I1114" s="882"/>
      <c r="J1114" s="883"/>
      <c r="K1114" s="884"/>
      <c r="L1114" s="884"/>
      <c r="M1114" s="68"/>
    </row>
    <row r="1115" spans="1:13" s="64" customFormat="1">
      <c r="A1115" s="10"/>
      <c r="B1115" s="111"/>
      <c r="C1115" s="68"/>
      <c r="D1115" s="374"/>
      <c r="E1115" s="660"/>
      <c r="F1115" s="112"/>
      <c r="G1115" s="68"/>
      <c r="H1115" s="603"/>
      <c r="I1115" s="882"/>
      <c r="J1115" s="883"/>
      <c r="K1115" s="884"/>
      <c r="L1115" s="884"/>
      <c r="M1115" s="68"/>
    </row>
    <row r="1116" spans="1:13" s="64" customFormat="1">
      <c r="A1116" s="10"/>
      <c r="B1116" s="111"/>
      <c r="C1116" s="68"/>
      <c r="D1116" s="374"/>
      <c r="E1116" s="660"/>
      <c r="F1116" s="112"/>
      <c r="G1116" s="68"/>
      <c r="H1116" s="603"/>
      <c r="I1116" s="882"/>
      <c r="J1116" s="883"/>
      <c r="K1116" s="884"/>
      <c r="L1116" s="884"/>
      <c r="M1116" s="68"/>
    </row>
    <row r="1117" spans="1:13" s="64" customFormat="1">
      <c r="A1117" s="10"/>
      <c r="B1117" s="111"/>
      <c r="C1117" s="68"/>
      <c r="D1117" s="374"/>
      <c r="E1117" s="660"/>
      <c r="F1117" s="112"/>
      <c r="G1117" s="68"/>
      <c r="H1117" s="603"/>
      <c r="I1117" s="882"/>
      <c r="J1117" s="883"/>
      <c r="K1117" s="884"/>
      <c r="L1117" s="884"/>
      <c r="M1117" s="68"/>
    </row>
    <row r="1118" spans="1:13" s="64" customFormat="1">
      <c r="A1118" s="10"/>
      <c r="B1118" s="111"/>
      <c r="C1118" s="68"/>
      <c r="D1118" s="374"/>
      <c r="E1118" s="660"/>
      <c r="F1118" s="112"/>
      <c r="G1118" s="68"/>
      <c r="H1118" s="603"/>
      <c r="I1118" s="882"/>
      <c r="J1118" s="883"/>
      <c r="K1118" s="884"/>
      <c r="L1118" s="884"/>
      <c r="M1118" s="68"/>
    </row>
    <row r="1119" spans="1:13" s="64" customFormat="1">
      <c r="A1119" s="10"/>
      <c r="B1119" s="111"/>
      <c r="C1119" s="68"/>
      <c r="D1119" s="374"/>
      <c r="E1119" s="660"/>
      <c r="F1119" s="112"/>
      <c r="G1119" s="68"/>
      <c r="H1119" s="603"/>
      <c r="I1119" s="882"/>
      <c r="J1119" s="883"/>
      <c r="K1119" s="884"/>
      <c r="L1119" s="884"/>
      <c r="M1119" s="68"/>
    </row>
    <row r="1120" spans="1:13" s="64" customFormat="1">
      <c r="A1120" s="10"/>
      <c r="B1120" s="111"/>
      <c r="C1120" s="68"/>
      <c r="D1120" s="374"/>
      <c r="E1120" s="660"/>
      <c r="F1120" s="112"/>
      <c r="G1120" s="68"/>
      <c r="H1120" s="603"/>
      <c r="I1120" s="882"/>
      <c r="J1120" s="883"/>
      <c r="K1120" s="884"/>
      <c r="L1120" s="884"/>
      <c r="M1120" s="68"/>
    </row>
    <row r="1121" spans="1:13" s="64" customFormat="1">
      <c r="A1121" s="10"/>
      <c r="B1121" s="111"/>
      <c r="C1121" s="68"/>
      <c r="D1121" s="374"/>
      <c r="E1121" s="660"/>
      <c r="F1121" s="112"/>
      <c r="G1121" s="68"/>
      <c r="H1121" s="603"/>
      <c r="I1121" s="882"/>
      <c r="J1121" s="883"/>
      <c r="K1121" s="884"/>
      <c r="L1121" s="884"/>
      <c r="M1121" s="68"/>
    </row>
    <row r="1122" spans="1:13" s="64" customFormat="1">
      <c r="A1122" s="10"/>
      <c r="B1122" s="111"/>
      <c r="C1122" s="68"/>
      <c r="D1122" s="374"/>
      <c r="E1122" s="660"/>
      <c r="F1122" s="112"/>
      <c r="G1122" s="68"/>
      <c r="H1122" s="603"/>
      <c r="I1122" s="882"/>
      <c r="J1122" s="883"/>
      <c r="K1122" s="884"/>
      <c r="L1122" s="884"/>
      <c r="M1122" s="68"/>
    </row>
    <row r="1123" spans="1:13" s="64" customFormat="1">
      <c r="A1123" s="10"/>
      <c r="B1123" s="111"/>
      <c r="C1123" s="68"/>
      <c r="D1123" s="374"/>
      <c r="E1123" s="660"/>
      <c r="F1123" s="112"/>
      <c r="G1123" s="68"/>
      <c r="H1123" s="603"/>
      <c r="I1123" s="882"/>
      <c r="J1123" s="883"/>
      <c r="K1123" s="884"/>
      <c r="L1123" s="884"/>
      <c r="M1123" s="68"/>
    </row>
    <row r="1124" spans="1:13" s="64" customFormat="1">
      <c r="A1124" s="10"/>
      <c r="B1124" s="111"/>
      <c r="C1124" s="68"/>
      <c r="D1124" s="374"/>
      <c r="E1124" s="660"/>
      <c r="F1124" s="112"/>
      <c r="G1124" s="68"/>
      <c r="H1124" s="603"/>
      <c r="I1124" s="882"/>
      <c r="J1124" s="883"/>
      <c r="K1124" s="884"/>
      <c r="L1124" s="884"/>
      <c r="M1124" s="68"/>
    </row>
    <row r="1125" spans="1:13" s="64" customFormat="1">
      <c r="A1125" s="10"/>
      <c r="B1125" s="111"/>
      <c r="C1125" s="68"/>
      <c r="D1125" s="374"/>
      <c r="E1125" s="660"/>
      <c r="F1125" s="112"/>
      <c r="G1125" s="68"/>
      <c r="H1125" s="603"/>
      <c r="I1125" s="882"/>
      <c r="J1125" s="883"/>
      <c r="K1125" s="884"/>
      <c r="L1125" s="884"/>
      <c r="M1125" s="68"/>
    </row>
    <row r="1126" spans="1:13" s="64" customFormat="1">
      <c r="A1126" s="10"/>
      <c r="B1126" s="111"/>
      <c r="C1126" s="68"/>
      <c r="D1126" s="374"/>
      <c r="E1126" s="660"/>
      <c r="F1126" s="112"/>
      <c r="G1126" s="68"/>
      <c r="H1126" s="603"/>
      <c r="I1126" s="882"/>
      <c r="J1126" s="883"/>
      <c r="K1126" s="884"/>
      <c r="L1126" s="884"/>
      <c r="M1126" s="68"/>
    </row>
    <row r="1127" spans="1:13" s="64" customFormat="1">
      <c r="A1127" s="10"/>
      <c r="B1127" s="111"/>
      <c r="C1127" s="68"/>
      <c r="D1127" s="374"/>
      <c r="E1127" s="660"/>
      <c r="F1127" s="112"/>
      <c r="G1127" s="68"/>
      <c r="H1127" s="603"/>
      <c r="I1127" s="882"/>
      <c r="J1127" s="883"/>
      <c r="K1127" s="884"/>
      <c r="L1127" s="884"/>
      <c r="M1127" s="68"/>
    </row>
    <row r="1128" spans="1:13" s="64" customFormat="1">
      <c r="A1128" s="10"/>
      <c r="B1128" s="111"/>
      <c r="C1128" s="68"/>
      <c r="D1128" s="374"/>
      <c r="E1128" s="660"/>
      <c r="F1128" s="112"/>
      <c r="G1128" s="68"/>
      <c r="H1128" s="603"/>
      <c r="I1128" s="882"/>
      <c r="J1128" s="883"/>
      <c r="K1128" s="884"/>
      <c r="L1128" s="884"/>
      <c r="M1128" s="68"/>
    </row>
    <row r="1129" spans="1:13" s="64" customFormat="1">
      <c r="A1129" s="10"/>
      <c r="B1129" s="111"/>
      <c r="C1129" s="68"/>
      <c r="D1129" s="374"/>
      <c r="E1129" s="660"/>
      <c r="F1129" s="112"/>
      <c r="G1129" s="68"/>
      <c r="H1129" s="603"/>
      <c r="I1129" s="882"/>
      <c r="J1129" s="883"/>
      <c r="K1129" s="884"/>
      <c r="L1129" s="884"/>
      <c r="M1129" s="68"/>
    </row>
    <row r="1130" spans="1:13" s="64" customFormat="1">
      <c r="A1130" s="10"/>
      <c r="B1130" s="111"/>
      <c r="C1130" s="68"/>
      <c r="D1130" s="374"/>
      <c r="E1130" s="660"/>
      <c r="F1130" s="112"/>
      <c r="G1130" s="68"/>
      <c r="H1130" s="603"/>
      <c r="I1130" s="882"/>
      <c r="J1130" s="883"/>
      <c r="K1130" s="884"/>
      <c r="L1130" s="884"/>
      <c r="M1130" s="68"/>
    </row>
    <row r="1131" spans="1:13" s="64" customFormat="1">
      <c r="A1131" s="10"/>
      <c r="B1131" s="111"/>
      <c r="C1131" s="68"/>
      <c r="D1131" s="374"/>
      <c r="E1131" s="660"/>
      <c r="F1131" s="112"/>
      <c r="G1131" s="68"/>
      <c r="H1131" s="603"/>
      <c r="I1131" s="882"/>
      <c r="J1131" s="883"/>
      <c r="K1131" s="884"/>
      <c r="L1131" s="884"/>
      <c r="M1131" s="68"/>
    </row>
    <row r="1132" spans="1:13" s="64" customFormat="1">
      <c r="A1132" s="10"/>
      <c r="B1132" s="111"/>
      <c r="C1132" s="68"/>
      <c r="D1132" s="374"/>
      <c r="E1132" s="660"/>
      <c r="F1132" s="112"/>
      <c r="G1132" s="68"/>
      <c r="H1132" s="603"/>
      <c r="I1132" s="882"/>
      <c r="J1132" s="883"/>
      <c r="K1132" s="884"/>
      <c r="L1132" s="884"/>
      <c r="M1132" s="68"/>
    </row>
    <row r="1133" spans="1:13" s="64" customFormat="1">
      <c r="A1133" s="10"/>
      <c r="B1133" s="111"/>
      <c r="C1133" s="68"/>
      <c r="D1133" s="374"/>
      <c r="E1133" s="660"/>
      <c r="F1133" s="112"/>
      <c r="G1133" s="68"/>
      <c r="H1133" s="603"/>
      <c r="I1133" s="882"/>
      <c r="J1133" s="883"/>
      <c r="K1133" s="884"/>
      <c r="L1133" s="884"/>
      <c r="M1133" s="68"/>
    </row>
    <row r="1134" spans="1:13" s="64" customFormat="1">
      <c r="A1134" s="10"/>
      <c r="B1134" s="111"/>
      <c r="C1134" s="68"/>
      <c r="D1134" s="374"/>
      <c r="E1134" s="660"/>
      <c r="F1134" s="112"/>
      <c r="G1134" s="68"/>
      <c r="H1134" s="603"/>
      <c r="I1134" s="882"/>
      <c r="J1134" s="883"/>
      <c r="K1134" s="884"/>
      <c r="L1134" s="884"/>
      <c r="M1134" s="68"/>
    </row>
    <row r="1135" spans="1:13" s="64" customFormat="1">
      <c r="A1135" s="10"/>
      <c r="B1135" s="111"/>
      <c r="C1135" s="68"/>
      <c r="D1135" s="374"/>
      <c r="E1135" s="660"/>
      <c r="F1135" s="112"/>
      <c r="G1135" s="68"/>
      <c r="H1135" s="603"/>
      <c r="I1135" s="882"/>
      <c r="J1135" s="883"/>
      <c r="K1135" s="884"/>
      <c r="L1135" s="884"/>
      <c r="M1135" s="68"/>
    </row>
    <row r="1136" spans="1:13" s="64" customFormat="1">
      <c r="A1136" s="10"/>
      <c r="B1136" s="111"/>
      <c r="C1136" s="68"/>
      <c r="D1136" s="374"/>
      <c r="E1136" s="660"/>
      <c r="F1136" s="112"/>
      <c r="G1136" s="68"/>
      <c r="H1136" s="603"/>
      <c r="I1136" s="882"/>
      <c r="J1136" s="883"/>
      <c r="K1136" s="884"/>
      <c r="L1136" s="884"/>
      <c r="M1136" s="68"/>
    </row>
    <row r="1137" spans="1:13" s="64" customFormat="1">
      <c r="A1137" s="10"/>
      <c r="B1137" s="111"/>
      <c r="C1137" s="68"/>
      <c r="D1137" s="374"/>
      <c r="E1137" s="660"/>
      <c r="F1137" s="112"/>
      <c r="G1137" s="68"/>
      <c r="H1137" s="603"/>
      <c r="I1137" s="882"/>
      <c r="J1137" s="883"/>
      <c r="K1137" s="884"/>
      <c r="L1137" s="884"/>
      <c r="M1137" s="68"/>
    </row>
    <row r="1138" spans="1:13" s="64" customFormat="1">
      <c r="A1138" s="10"/>
      <c r="B1138" s="111"/>
      <c r="C1138" s="68"/>
      <c r="D1138" s="374"/>
      <c r="E1138" s="660"/>
      <c r="F1138" s="112"/>
      <c r="G1138" s="68"/>
      <c r="H1138" s="603"/>
      <c r="I1138" s="882"/>
      <c r="J1138" s="883"/>
      <c r="K1138" s="884"/>
      <c r="L1138" s="884"/>
      <c r="M1138" s="68"/>
    </row>
    <row r="1139" spans="1:13" s="64" customFormat="1">
      <c r="A1139" s="10"/>
      <c r="B1139" s="111"/>
      <c r="C1139" s="68"/>
      <c r="D1139" s="374"/>
      <c r="E1139" s="660"/>
      <c r="F1139" s="112"/>
      <c r="G1139" s="68"/>
      <c r="H1139" s="603"/>
      <c r="I1139" s="882"/>
      <c r="J1139" s="883"/>
      <c r="K1139" s="884"/>
      <c r="L1139" s="884"/>
      <c r="M1139" s="68"/>
    </row>
    <row r="1140" spans="1:13" s="64" customFormat="1">
      <c r="A1140" s="10"/>
      <c r="B1140" s="111"/>
      <c r="C1140" s="68"/>
      <c r="D1140" s="374"/>
      <c r="E1140" s="660"/>
      <c r="F1140" s="112"/>
      <c r="G1140" s="68"/>
      <c r="H1140" s="603"/>
      <c r="I1140" s="882"/>
      <c r="J1140" s="883"/>
      <c r="K1140" s="884"/>
      <c r="L1140" s="884"/>
      <c r="M1140" s="68"/>
    </row>
    <row r="1141" spans="1:13" s="64" customFormat="1">
      <c r="A1141" s="10"/>
      <c r="B1141" s="111"/>
      <c r="C1141" s="68"/>
      <c r="D1141" s="374"/>
      <c r="E1141" s="660"/>
      <c r="F1141" s="112"/>
      <c r="G1141" s="68"/>
      <c r="H1141" s="603"/>
      <c r="I1141" s="882"/>
      <c r="J1141" s="883"/>
      <c r="K1141" s="884"/>
      <c r="L1141" s="884"/>
      <c r="M1141" s="68"/>
    </row>
    <row r="1142" spans="1:13" s="64" customFormat="1">
      <c r="A1142" s="10"/>
      <c r="B1142" s="111"/>
      <c r="C1142" s="68"/>
      <c r="D1142" s="374"/>
      <c r="E1142" s="660"/>
      <c r="F1142" s="112"/>
      <c r="G1142" s="68"/>
      <c r="H1142" s="603"/>
      <c r="I1142" s="882"/>
      <c r="J1142" s="883"/>
      <c r="K1142" s="884"/>
      <c r="L1142" s="884"/>
      <c r="M1142" s="68"/>
    </row>
    <row r="1143" spans="1:13" s="64" customFormat="1">
      <c r="A1143" s="10"/>
      <c r="B1143" s="111"/>
      <c r="C1143" s="68"/>
      <c r="D1143" s="374"/>
      <c r="E1143" s="660"/>
      <c r="F1143" s="112"/>
      <c r="G1143" s="68"/>
      <c r="H1143" s="603"/>
      <c r="I1143" s="882"/>
      <c r="J1143" s="883"/>
      <c r="K1143" s="884"/>
      <c r="L1143" s="884"/>
      <c r="M1143" s="68"/>
    </row>
    <row r="1144" spans="1:13" s="64" customFormat="1">
      <c r="A1144" s="10"/>
      <c r="B1144" s="111"/>
      <c r="C1144" s="68"/>
      <c r="D1144" s="374"/>
      <c r="E1144" s="660"/>
      <c r="F1144" s="112"/>
      <c r="G1144" s="68"/>
      <c r="H1144" s="603"/>
      <c r="I1144" s="882"/>
      <c r="J1144" s="883"/>
      <c r="K1144" s="884"/>
      <c r="L1144" s="884"/>
      <c r="M1144" s="68"/>
    </row>
    <row r="1145" spans="1:13" s="64" customFormat="1">
      <c r="A1145" s="10"/>
      <c r="B1145" s="111"/>
      <c r="C1145" s="68"/>
      <c r="D1145" s="374"/>
      <c r="E1145" s="660"/>
      <c r="F1145" s="112"/>
      <c r="G1145" s="68"/>
      <c r="H1145" s="603"/>
      <c r="I1145" s="882"/>
      <c r="J1145" s="883"/>
      <c r="K1145" s="884"/>
      <c r="L1145" s="884"/>
      <c r="M1145" s="68"/>
    </row>
    <row r="1146" spans="1:13" s="64" customFormat="1">
      <c r="A1146" s="10"/>
      <c r="B1146" s="111"/>
      <c r="C1146" s="68"/>
      <c r="D1146" s="374"/>
      <c r="E1146" s="660"/>
      <c r="F1146" s="112"/>
      <c r="G1146" s="68"/>
      <c r="H1146" s="603"/>
      <c r="I1146" s="882"/>
      <c r="J1146" s="883"/>
      <c r="K1146" s="884"/>
      <c r="L1146" s="884"/>
      <c r="M1146" s="68"/>
    </row>
    <row r="1147" spans="1:13" s="64" customFormat="1">
      <c r="A1147" s="10"/>
      <c r="B1147" s="111"/>
      <c r="C1147" s="68"/>
      <c r="D1147" s="374"/>
      <c r="E1147" s="660"/>
      <c r="F1147" s="112"/>
      <c r="G1147" s="68"/>
      <c r="H1147" s="603"/>
      <c r="I1147" s="882"/>
      <c r="J1147" s="883"/>
      <c r="K1147" s="884"/>
      <c r="L1147" s="884"/>
      <c r="M1147" s="68"/>
    </row>
    <row r="1148" spans="1:13" s="64" customFormat="1">
      <c r="A1148" s="10"/>
      <c r="B1148" s="111"/>
      <c r="C1148" s="68"/>
      <c r="D1148" s="374"/>
      <c r="E1148" s="660"/>
      <c r="F1148" s="112"/>
      <c r="G1148" s="68"/>
      <c r="H1148" s="603"/>
      <c r="I1148" s="882"/>
      <c r="J1148" s="883"/>
      <c r="K1148" s="884"/>
      <c r="L1148" s="884"/>
      <c r="M1148" s="68"/>
    </row>
    <row r="1149" spans="1:13" s="64" customFormat="1">
      <c r="A1149" s="10"/>
      <c r="B1149" s="111"/>
      <c r="C1149" s="68"/>
      <c r="D1149" s="374"/>
      <c r="E1149" s="660"/>
      <c r="F1149" s="112"/>
      <c r="G1149" s="68"/>
      <c r="H1149" s="603"/>
      <c r="I1149" s="882"/>
      <c r="J1149" s="883"/>
      <c r="K1149" s="884"/>
      <c r="L1149" s="884"/>
      <c r="M1149" s="68"/>
    </row>
    <row r="1150" spans="1:13" s="64" customFormat="1">
      <c r="A1150" s="10"/>
      <c r="B1150" s="111"/>
      <c r="C1150" s="68"/>
      <c r="D1150" s="374"/>
      <c r="E1150" s="660"/>
      <c r="F1150" s="112"/>
      <c r="G1150" s="68"/>
      <c r="H1150" s="603"/>
      <c r="I1150" s="882"/>
      <c r="J1150" s="883"/>
      <c r="K1150" s="884"/>
      <c r="L1150" s="884"/>
      <c r="M1150" s="68"/>
    </row>
    <row r="1151" spans="1:13" s="64" customFormat="1">
      <c r="A1151" s="10"/>
      <c r="B1151" s="111"/>
      <c r="C1151" s="68"/>
      <c r="D1151" s="374"/>
      <c r="E1151" s="660"/>
      <c r="F1151" s="112"/>
      <c r="G1151" s="68"/>
      <c r="H1151" s="603"/>
      <c r="I1151" s="882"/>
      <c r="J1151" s="883"/>
      <c r="K1151" s="884"/>
      <c r="L1151" s="884"/>
      <c r="M1151" s="68"/>
    </row>
    <row r="1152" spans="1:13" s="64" customFormat="1">
      <c r="A1152" s="10"/>
      <c r="B1152" s="111"/>
      <c r="C1152" s="68"/>
      <c r="D1152" s="374"/>
      <c r="E1152" s="660"/>
      <c r="F1152" s="112"/>
      <c r="G1152" s="68"/>
      <c r="H1152" s="603"/>
      <c r="I1152" s="882"/>
      <c r="J1152" s="883"/>
      <c r="K1152" s="884"/>
      <c r="L1152" s="884"/>
      <c r="M1152" s="68"/>
    </row>
    <row r="1153" spans="1:13" s="64" customFormat="1">
      <c r="A1153" s="10"/>
      <c r="B1153" s="111"/>
      <c r="C1153" s="68"/>
      <c r="D1153" s="374"/>
      <c r="E1153" s="660"/>
      <c r="F1153" s="112"/>
      <c r="G1153" s="68"/>
      <c r="H1153" s="603"/>
      <c r="I1153" s="882"/>
      <c r="J1153" s="883"/>
      <c r="K1153" s="884"/>
      <c r="L1153" s="884"/>
      <c r="M1153" s="68"/>
    </row>
    <row r="1154" spans="1:13" s="64" customFormat="1">
      <c r="A1154" s="10"/>
      <c r="B1154" s="111"/>
      <c r="C1154" s="68"/>
      <c r="D1154" s="374"/>
      <c r="E1154" s="660"/>
      <c r="F1154" s="112"/>
      <c r="G1154" s="68"/>
      <c r="H1154" s="603"/>
      <c r="I1154" s="882"/>
      <c r="J1154" s="883"/>
      <c r="K1154" s="884"/>
      <c r="L1154" s="884"/>
      <c r="M1154" s="68"/>
    </row>
    <row r="1155" spans="1:13" s="64" customFormat="1">
      <c r="A1155" s="10"/>
      <c r="B1155" s="111"/>
      <c r="C1155" s="68"/>
      <c r="D1155" s="374"/>
      <c r="E1155" s="660"/>
      <c r="F1155" s="112"/>
      <c r="G1155" s="68"/>
      <c r="H1155" s="603"/>
      <c r="I1155" s="882"/>
      <c r="J1155" s="883"/>
      <c r="K1155" s="884"/>
      <c r="L1155" s="884"/>
      <c r="M1155" s="68"/>
    </row>
    <row r="1156" spans="1:13" s="64" customFormat="1">
      <c r="A1156" s="10"/>
      <c r="B1156" s="111"/>
      <c r="C1156" s="68"/>
      <c r="D1156" s="374"/>
      <c r="E1156" s="660"/>
      <c r="F1156" s="112"/>
      <c r="G1156" s="68"/>
      <c r="H1156" s="603"/>
      <c r="I1156" s="882"/>
      <c r="J1156" s="883"/>
      <c r="K1156" s="884"/>
      <c r="L1156" s="884"/>
      <c r="M1156" s="68"/>
    </row>
    <row r="1157" spans="1:13" s="64" customFormat="1">
      <c r="A1157" s="10"/>
      <c r="B1157" s="111"/>
      <c r="C1157" s="68"/>
      <c r="D1157" s="374"/>
      <c r="E1157" s="660"/>
      <c r="F1157" s="112"/>
      <c r="G1157" s="68"/>
      <c r="H1157" s="603"/>
      <c r="I1157" s="882"/>
      <c r="J1157" s="883"/>
      <c r="K1157" s="884"/>
      <c r="L1157" s="884"/>
      <c r="M1157" s="68"/>
    </row>
    <row r="1158" spans="1:13" s="64" customFormat="1">
      <c r="A1158" s="10"/>
      <c r="B1158" s="111"/>
      <c r="C1158" s="68"/>
      <c r="D1158" s="374"/>
      <c r="E1158" s="660"/>
      <c r="F1158" s="112"/>
      <c r="G1158" s="68"/>
      <c r="H1158" s="603"/>
      <c r="I1158" s="882"/>
      <c r="J1158" s="883"/>
      <c r="K1158" s="884"/>
      <c r="L1158" s="884"/>
      <c r="M1158" s="68"/>
    </row>
    <row r="1159" spans="1:13" s="64" customFormat="1">
      <c r="A1159" s="10"/>
      <c r="B1159" s="111"/>
      <c r="C1159" s="68"/>
      <c r="D1159" s="374"/>
      <c r="E1159" s="660"/>
      <c r="F1159" s="112"/>
      <c r="G1159" s="68"/>
      <c r="H1159" s="603"/>
      <c r="I1159" s="882"/>
      <c r="J1159" s="883"/>
      <c r="K1159" s="884"/>
      <c r="L1159" s="884"/>
      <c r="M1159" s="68"/>
    </row>
    <row r="1160" spans="1:13" s="64" customFormat="1">
      <c r="A1160" s="10"/>
      <c r="B1160" s="111"/>
      <c r="C1160" s="68"/>
      <c r="D1160" s="374"/>
      <c r="E1160" s="660"/>
      <c r="F1160" s="112"/>
      <c r="G1160" s="68"/>
      <c r="H1160" s="603"/>
      <c r="I1160" s="882"/>
      <c r="J1160" s="883"/>
      <c r="K1160" s="884"/>
      <c r="L1160" s="884"/>
      <c r="M1160" s="68"/>
    </row>
    <row r="1161" spans="1:13" s="64" customFormat="1">
      <c r="A1161" s="10"/>
      <c r="B1161" s="111"/>
      <c r="C1161" s="68"/>
      <c r="D1161" s="374"/>
      <c r="E1161" s="660"/>
      <c r="F1161" s="112"/>
      <c r="G1161" s="68"/>
      <c r="H1161" s="603"/>
      <c r="I1161" s="882"/>
      <c r="J1161" s="883"/>
      <c r="K1161" s="884"/>
      <c r="L1161" s="884"/>
      <c r="M1161" s="68"/>
    </row>
    <row r="1162" spans="1:13" s="64" customFormat="1">
      <c r="A1162" s="10"/>
      <c r="B1162" s="111"/>
      <c r="C1162" s="68"/>
      <c r="D1162" s="374"/>
      <c r="E1162" s="660"/>
      <c r="F1162" s="112"/>
      <c r="G1162" s="68"/>
      <c r="H1162" s="603"/>
      <c r="I1162" s="882"/>
      <c r="J1162" s="883"/>
      <c r="K1162" s="884"/>
      <c r="L1162" s="884"/>
      <c r="M1162" s="68"/>
    </row>
    <row r="1163" spans="1:13" s="64" customFormat="1">
      <c r="A1163" s="10"/>
      <c r="B1163" s="111"/>
      <c r="C1163" s="68"/>
      <c r="D1163" s="374"/>
      <c r="E1163" s="660"/>
      <c r="F1163" s="112"/>
      <c r="G1163" s="68"/>
      <c r="H1163" s="603"/>
      <c r="I1163" s="882"/>
      <c r="J1163" s="883"/>
      <c r="K1163" s="884"/>
      <c r="L1163" s="884"/>
      <c r="M1163" s="68"/>
    </row>
    <row r="1164" spans="1:13" s="64" customFormat="1">
      <c r="A1164" s="10"/>
      <c r="B1164" s="111"/>
      <c r="C1164" s="68"/>
      <c r="D1164" s="374"/>
      <c r="E1164" s="660"/>
      <c r="F1164" s="112"/>
      <c r="G1164" s="68"/>
      <c r="H1164" s="603"/>
      <c r="I1164" s="882"/>
      <c r="J1164" s="883"/>
      <c r="K1164" s="884"/>
      <c r="L1164" s="884"/>
      <c r="M1164" s="68"/>
    </row>
    <row r="1165" spans="1:13" s="64" customFormat="1">
      <c r="A1165" s="10"/>
      <c r="B1165" s="111"/>
      <c r="C1165" s="68"/>
      <c r="D1165" s="374"/>
      <c r="E1165" s="660"/>
      <c r="F1165" s="112"/>
      <c r="G1165" s="68"/>
      <c r="H1165" s="603"/>
      <c r="I1165" s="882"/>
      <c r="J1165" s="883"/>
      <c r="K1165" s="884"/>
      <c r="L1165" s="884"/>
      <c r="M1165" s="68"/>
    </row>
    <row r="1166" spans="1:13" s="64" customFormat="1">
      <c r="A1166" s="10"/>
      <c r="B1166" s="111"/>
      <c r="C1166" s="68"/>
      <c r="D1166" s="374"/>
      <c r="E1166" s="660"/>
      <c r="F1166" s="112"/>
      <c r="G1166" s="68"/>
      <c r="H1166" s="603"/>
      <c r="I1166" s="882"/>
      <c r="J1166" s="883"/>
      <c r="K1166" s="884"/>
      <c r="L1166" s="884"/>
      <c r="M1166" s="68"/>
    </row>
    <row r="1167" spans="1:13" s="64" customFormat="1">
      <c r="A1167" s="10"/>
      <c r="B1167" s="111"/>
      <c r="C1167" s="68"/>
      <c r="D1167" s="374"/>
      <c r="E1167" s="660"/>
      <c r="F1167" s="112"/>
      <c r="G1167" s="68"/>
      <c r="H1167" s="603"/>
      <c r="I1167" s="882"/>
      <c r="J1167" s="883"/>
      <c r="K1167" s="884"/>
      <c r="L1167" s="884"/>
      <c r="M1167" s="68"/>
    </row>
    <row r="1168" spans="1:13" s="64" customFormat="1">
      <c r="A1168" s="10"/>
      <c r="B1168" s="111"/>
      <c r="C1168" s="68"/>
      <c r="D1168" s="374"/>
      <c r="E1168" s="660"/>
      <c r="F1168" s="112"/>
      <c r="G1168" s="68"/>
      <c r="H1168" s="603"/>
      <c r="I1168" s="882"/>
      <c r="J1168" s="883"/>
      <c r="K1168" s="884"/>
      <c r="L1168" s="884"/>
      <c r="M1168" s="68"/>
    </row>
    <row r="1169" spans="1:13" s="64" customFormat="1">
      <c r="A1169" s="10"/>
      <c r="B1169" s="111"/>
      <c r="C1169" s="68"/>
      <c r="D1169" s="374"/>
      <c r="E1169" s="660"/>
      <c r="F1169" s="112"/>
      <c r="G1169" s="68"/>
      <c r="H1169" s="603"/>
      <c r="I1169" s="882"/>
      <c r="J1169" s="883"/>
      <c r="K1169" s="884"/>
      <c r="L1169" s="884"/>
      <c r="M1169" s="68"/>
    </row>
    <row r="1170" spans="1:13" s="64" customFormat="1">
      <c r="A1170" s="10"/>
      <c r="B1170" s="111"/>
      <c r="C1170" s="68"/>
      <c r="D1170" s="374"/>
      <c r="E1170" s="660"/>
      <c r="F1170" s="112"/>
      <c r="G1170" s="68"/>
      <c r="H1170" s="603"/>
      <c r="I1170" s="882"/>
      <c r="J1170" s="883"/>
      <c r="K1170" s="884"/>
      <c r="L1170" s="884"/>
      <c r="M1170" s="68"/>
    </row>
    <row r="1171" spans="1:13" s="64" customFormat="1">
      <c r="A1171" s="10"/>
      <c r="B1171" s="111"/>
      <c r="C1171" s="68"/>
      <c r="D1171" s="374"/>
      <c r="E1171" s="660"/>
      <c r="F1171" s="112"/>
      <c r="G1171" s="68"/>
      <c r="H1171" s="603"/>
      <c r="I1171" s="882"/>
      <c r="J1171" s="883"/>
      <c r="K1171" s="884"/>
      <c r="L1171" s="884"/>
      <c r="M1171" s="68"/>
    </row>
    <row r="1172" spans="1:13" s="64" customFormat="1">
      <c r="A1172" s="10"/>
      <c r="B1172" s="111"/>
      <c r="C1172" s="68"/>
      <c r="D1172" s="374"/>
      <c r="E1172" s="660"/>
      <c r="F1172" s="112"/>
      <c r="G1172" s="68"/>
      <c r="H1172" s="603"/>
      <c r="I1172" s="882"/>
      <c r="J1172" s="883"/>
      <c r="K1172" s="884"/>
      <c r="L1172" s="884"/>
      <c r="M1172" s="68"/>
    </row>
    <row r="1173" spans="1:13" s="64" customFormat="1">
      <c r="A1173" s="10"/>
      <c r="B1173" s="111"/>
      <c r="C1173" s="68"/>
      <c r="D1173" s="374"/>
      <c r="E1173" s="660"/>
      <c r="F1173" s="112"/>
      <c r="G1173" s="68"/>
      <c r="H1173" s="603"/>
      <c r="I1173" s="882"/>
      <c r="J1173" s="883"/>
      <c r="K1173" s="884"/>
      <c r="L1173" s="884"/>
      <c r="M1173" s="68"/>
    </row>
    <row r="1174" spans="1:13" s="64" customFormat="1">
      <c r="A1174" s="10"/>
      <c r="B1174" s="111"/>
      <c r="C1174" s="68"/>
      <c r="D1174" s="374"/>
      <c r="E1174" s="660"/>
      <c r="F1174" s="112"/>
      <c r="G1174" s="68"/>
      <c r="H1174" s="603"/>
      <c r="I1174" s="882"/>
      <c r="J1174" s="883"/>
      <c r="K1174" s="884"/>
      <c r="L1174" s="884"/>
      <c r="M1174" s="68"/>
    </row>
    <row r="1175" spans="1:13" s="64" customFormat="1">
      <c r="A1175" s="10"/>
      <c r="B1175" s="111"/>
      <c r="C1175" s="68"/>
      <c r="D1175" s="374"/>
      <c r="E1175" s="660"/>
      <c r="F1175" s="112"/>
      <c r="G1175" s="68"/>
      <c r="H1175" s="603"/>
      <c r="I1175" s="882"/>
      <c r="J1175" s="883"/>
      <c r="K1175" s="884"/>
      <c r="L1175" s="884"/>
      <c r="M1175" s="68"/>
    </row>
    <row r="1176" spans="1:13" s="64" customFormat="1">
      <c r="A1176" s="10"/>
      <c r="B1176" s="111"/>
      <c r="C1176" s="68"/>
      <c r="D1176" s="374"/>
      <c r="E1176" s="660"/>
      <c r="F1176" s="112"/>
      <c r="G1176" s="68"/>
      <c r="H1176" s="603"/>
      <c r="I1176" s="882"/>
      <c r="J1176" s="883"/>
      <c r="K1176" s="884"/>
      <c r="L1176" s="884"/>
      <c r="M1176" s="68"/>
    </row>
    <row r="1177" spans="1:13" s="64" customFormat="1">
      <c r="A1177" s="10"/>
      <c r="B1177" s="111"/>
      <c r="C1177" s="68"/>
      <c r="D1177" s="374"/>
      <c r="E1177" s="660"/>
      <c r="F1177" s="112"/>
      <c r="G1177" s="68"/>
      <c r="H1177" s="603"/>
      <c r="I1177" s="882"/>
      <c r="J1177" s="883"/>
      <c r="K1177" s="884"/>
      <c r="L1177" s="884"/>
      <c r="M1177" s="68"/>
    </row>
    <row r="1178" spans="1:13" s="64" customFormat="1">
      <c r="A1178" s="10"/>
      <c r="B1178" s="111"/>
      <c r="C1178" s="68"/>
      <c r="D1178" s="374"/>
      <c r="E1178" s="660"/>
      <c r="F1178" s="112"/>
      <c r="G1178" s="68"/>
      <c r="H1178" s="603"/>
      <c r="I1178" s="882"/>
      <c r="J1178" s="883"/>
      <c r="K1178" s="884"/>
      <c r="L1178" s="884"/>
      <c r="M1178" s="68"/>
    </row>
    <row r="1179" spans="1:13" s="64" customFormat="1">
      <c r="A1179" s="10"/>
      <c r="B1179" s="111"/>
      <c r="C1179" s="68"/>
      <c r="D1179" s="374"/>
      <c r="E1179" s="660"/>
      <c r="F1179" s="112"/>
      <c r="G1179" s="68"/>
      <c r="H1179" s="603"/>
      <c r="I1179" s="882"/>
      <c r="J1179" s="883"/>
      <c r="K1179" s="884"/>
      <c r="L1179" s="884"/>
      <c r="M1179" s="68"/>
    </row>
    <row r="1180" spans="1:13" s="64" customFormat="1">
      <c r="A1180" s="10"/>
      <c r="B1180" s="111"/>
      <c r="C1180" s="68"/>
      <c r="D1180" s="374"/>
      <c r="E1180" s="660"/>
      <c r="F1180" s="112"/>
      <c r="G1180" s="68"/>
      <c r="H1180" s="603"/>
      <c r="I1180" s="882"/>
      <c r="J1180" s="883"/>
      <c r="K1180" s="884"/>
      <c r="L1180" s="884"/>
      <c r="M1180" s="68"/>
    </row>
    <row r="1181" spans="1:13" s="64" customFormat="1">
      <c r="A1181" s="10"/>
      <c r="B1181" s="111"/>
      <c r="C1181" s="68"/>
      <c r="D1181" s="374"/>
      <c r="E1181" s="660"/>
      <c r="F1181" s="112"/>
      <c r="G1181" s="68"/>
      <c r="H1181" s="603"/>
      <c r="I1181" s="882"/>
      <c r="J1181" s="883"/>
      <c r="K1181" s="884"/>
      <c r="L1181" s="884"/>
      <c r="M1181" s="68"/>
    </row>
    <row r="1182" spans="1:13" s="64" customFormat="1">
      <c r="A1182" s="10"/>
      <c r="B1182" s="111"/>
      <c r="C1182" s="68"/>
      <c r="D1182" s="374"/>
      <c r="E1182" s="660"/>
      <c r="F1182" s="112"/>
      <c r="G1182" s="68"/>
      <c r="H1182" s="603"/>
      <c r="I1182" s="882"/>
      <c r="J1182" s="883"/>
      <c r="K1182" s="884"/>
      <c r="L1182" s="884"/>
      <c r="M1182" s="68"/>
    </row>
    <row r="1183" spans="1:13" s="64" customFormat="1">
      <c r="A1183" s="10"/>
      <c r="B1183" s="111"/>
      <c r="C1183" s="68"/>
      <c r="D1183" s="374"/>
      <c r="E1183" s="660"/>
      <c r="F1183" s="112"/>
      <c r="G1183" s="68"/>
      <c r="H1183" s="603"/>
      <c r="I1183" s="882"/>
      <c r="J1183" s="883"/>
      <c r="K1183" s="884"/>
      <c r="L1183" s="884"/>
      <c r="M1183" s="68"/>
    </row>
    <row r="1184" spans="1:13" s="64" customFormat="1">
      <c r="A1184" s="10"/>
      <c r="B1184" s="111"/>
      <c r="C1184" s="68"/>
      <c r="D1184" s="374"/>
      <c r="E1184" s="660"/>
      <c r="F1184" s="112"/>
      <c r="G1184" s="68"/>
      <c r="H1184" s="603"/>
      <c r="I1184" s="882"/>
      <c r="J1184" s="883"/>
      <c r="K1184" s="884"/>
      <c r="L1184" s="884"/>
      <c r="M1184" s="68"/>
    </row>
    <row r="1185" spans="1:13" s="64" customFormat="1">
      <c r="A1185" s="10"/>
      <c r="B1185" s="111"/>
      <c r="C1185" s="68"/>
      <c r="D1185" s="374"/>
      <c r="E1185" s="660"/>
      <c r="F1185" s="112"/>
      <c r="G1185" s="68"/>
      <c r="H1185" s="603"/>
      <c r="I1185" s="882"/>
      <c r="J1185" s="883"/>
      <c r="K1185" s="884"/>
      <c r="L1185" s="884"/>
      <c r="M1185" s="68"/>
    </row>
    <row r="1186" spans="1:13" s="64" customFormat="1">
      <c r="A1186" s="10"/>
      <c r="B1186" s="111"/>
      <c r="C1186" s="68"/>
      <c r="D1186" s="374"/>
      <c r="E1186" s="660"/>
      <c r="F1186" s="112"/>
      <c r="G1186" s="68"/>
      <c r="H1186" s="603"/>
      <c r="I1186" s="882"/>
      <c r="J1186" s="883"/>
      <c r="K1186" s="884"/>
      <c r="L1186" s="884"/>
      <c r="M1186" s="68"/>
    </row>
    <row r="1187" spans="1:13" s="64" customFormat="1">
      <c r="A1187" s="10"/>
      <c r="B1187" s="111"/>
      <c r="C1187" s="68"/>
      <c r="D1187" s="374"/>
      <c r="E1187" s="660"/>
      <c r="F1187" s="112"/>
      <c r="G1187" s="68"/>
      <c r="H1187" s="603"/>
      <c r="I1187" s="882"/>
      <c r="J1187" s="883"/>
      <c r="K1187" s="884"/>
      <c r="L1187" s="884"/>
      <c r="M1187" s="68"/>
    </row>
    <row r="1188" spans="1:13" s="64" customFormat="1">
      <c r="A1188" s="10"/>
      <c r="B1188" s="111"/>
      <c r="C1188" s="68"/>
      <c r="D1188" s="374"/>
      <c r="E1188" s="660"/>
      <c r="F1188" s="112"/>
      <c r="G1188" s="68"/>
      <c r="H1188" s="603"/>
      <c r="I1188" s="882"/>
      <c r="J1188" s="883"/>
      <c r="K1188" s="884"/>
      <c r="L1188" s="884"/>
      <c r="M1188" s="68"/>
    </row>
    <row r="1189" spans="1:13" s="64" customFormat="1">
      <c r="A1189" s="10"/>
      <c r="B1189" s="111"/>
      <c r="C1189" s="68"/>
      <c r="D1189" s="374"/>
      <c r="E1189" s="660"/>
      <c r="F1189" s="112"/>
      <c r="G1189" s="68"/>
      <c r="H1189" s="603"/>
      <c r="I1189" s="882"/>
      <c r="J1189" s="883"/>
      <c r="K1189" s="884"/>
      <c r="L1189" s="884"/>
      <c r="M1189" s="68"/>
    </row>
    <row r="1190" spans="1:13" s="64" customFormat="1">
      <c r="A1190" s="10"/>
      <c r="B1190" s="111"/>
      <c r="C1190" s="68"/>
      <c r="D1190" s="374"/>
      <c r="E1190" s="660"/>
      <c r="F1190" s="112"/>
      <c r="G1190" s="68"/>
      <c r="H1190" s="603"/>
      <c r="I1190" s="882"/>
      <c r="J1190" s="883"/>
      <c r="K1190" s="884"/>
      <c r="L1190" s="884"/>
      <c r="M1190" s="68"/>
    </row>
    <row r="1191" spans="1:13" s="64" customFormat="1">
      <c r="A1191" s="10"/>
      <c r="B1191" s="111"/>
      <c r="C1191" s="68"/>
      <c r="D1191" s="374"/>
      <c r="E1191" s="660"/>
      <c r="F1191" s="112"/>
      <c r="G1191" s="68"/>
      <c r="H1191" s="603"/>
      <c r="I1191" s="882"/>
      <c r="J1191" s="883"/>
      <c r="K1191" s="884"/>
      <c r="L1191" s="884"/>
      <c r="M1191" s="68"/>
    </row>
    <row r="1192" spans="1:13" s="64" customFormat="1">
      <c r="A1192" s="10"/>
      <c r="B1192" s="111"/>
      <c r="C1192" s="68"/>
      <c r="D1192" s="374"/>
      <c r="E1192" s="660"/>
      <c r="F1192" s="112"/>
      <c r="G1192" s="68"/>
      <c r="H1192" s="603"/>
      <c r="I1192" s="882"/>
      <c r="J1192" s="883"/>
      <c r="K1192" s="884"/>
      <c r="L1192" s="884"/>
      <c r="M1192" s="68"/>
    </row>
    <row r="1193" spans="1:13" s="64" customFormat="1">
      <c r="A1193" s="10"/>
      <c r="B1193" s="111"/>
      <c r="C1193" s="68"/>
      <c r="D1193" s="374"/>
      <c r="E1193" s="660"/>
      <c r="F1193" s="112"/>
      <c r="G1193" s="68"/>
      <c r="H1193" s="603"/>
      <c r="I1193" s="882"/>
      <c r="J1193" s="883"/>
      <c r="K1193" s="884"/>
      <c r="L1193" s="884"/>
      <c r="M1193" s="68"/>
    </row>
    <row r="1194" spans="1:13" s="64" customFormat="1">
      <c r="A1194" s="10"/>
      <c r="B1194" s="111"/>
      <c r="C1194" s="68"/>
      <c r="D1194" s="374"/>
      <c r="E1194" s="660"/>
      <c r="F1194" s="112"/>
      <c r="G1194" s="68"/>
      <c r="H1194" s="603"/>
      <c r="I1194" s="882"/>
      <c r="J1194" s="883"/>
      <c r="K1194" s="884"/>
      <c r="L1194" s="884"/>
      <c r="M1194" s="68"/>
    </row>
    <row r="1195" spans="1:13" s="64" customFormat="1">
      <c r="A1195" s="10"/>
      <c r="B1195" s="111"/>
      <c r="C1195" s="68"/>
      <c r="D1195" s="374"/>
      <c r="E1195" s="660"/>
      <c r="F1195" s="112"/>
      <c r="G1195" s="68"/>
      <c r="H1195" s="603"/>
      <c r="I1195" s="882"/>
      <c r="J1195" s="883"/>
      <c r="K1195" s="884"/>
      <c r="L1195" s="884"/>
      <c r="M1195" s="68"/>
    </row>
    <row r="1196" spans="1:13" s="64" customFormat="1">
      <c r="A1196" s="10"/>
      <c r="B1196" s="111"/>
      <c r="C1196" s="68"/>
      <c r="D1196" s="374"/>
      <c r="E1196" s="660"/>
      <c r="F1196" s="112"/>
      <c r="G1196" s="68"/>
      <c r="H1196" s="603"/>
      <c r="I1196" s="882"/>
      <c r="J1196" s="883"/>
      <c r="K1196" s="884"/>
      <c r="L1196" s="884"/>
      <c r="M1196" s="68"/>
    </row>
    <row r="1197" spans="1:13" s="64" customFormat="1">
      <c r="A1197" s="10"/>
      <c r="B1197" s="111"/>
      <c r="C1197" s="68"/>
      <c r="D1197" s="374"/>
      <c r="E1197" s="660"/>
      <c r="F1197" s="112"/>
      <c r="G1197" s="68"/>
      <c r="H1197" s="603"/>
      <c r="I1197" s="882"/>
      <c r="J1197" s="883"/>
      <c r="K1197" s="884"/>
      <c r="L1197" s="884"/>
      <c r="M1197" s="68"/>
    </row>
    <row r="1198" spans="1:13" s="64" customFormat="1">
      <c r="A1198" s="10"/>
      <c r="B1198" s="111"/>
      <c r="C1198" s="68"/>
      <c r="D1198" s="374"/>
      <c r="E1198" s="660"/>
      <c r="F1198" s="112"/>
      <c r="G1198" s="68"/>
      <c r="H1198" s="603"/>
      <c r="I1198" s="882"/>
      <c r="J1198" s="883"/>
      <c r="K1198" s="884"/>
      <c r="L1198" s="884"/>
      <c r="M1198" s="68"/>
    </row>
    <row r="1199" spans="1:13" s="64" customFormat="1">
      <c r="A1199" s="10"/>
      <c r="B1199" s="111"/>
      <c r="C1199" s="68"/>
      <c r="D1199" s="374"/>
      <c r="E1199" s="660"/>
      <c r="F1199" s="112"/>
      <c r="G1199" s="68"/>
      <c r="H1199" s="603"/>
      <c r="I1199" s="882"/>
      <c r="J1199" s="883"/>
      <c r="K1199" s="884"/>
      <c r="L1199" s="884"/>
      <c r="M1199" s="68"/>
    </row>
    <row r="1200" spans="1:13" s="64" customFormat="1">
      <c r="A1200" s="10"/>
      <c r="B1200" s="111"/>
      <c r="C1200" s="68"/>
      <c r="D1200" s="374"/>
      <c r="E1200" s="660"/>
      <c r="F1200" s="112"/>
      <c r="G1200" s="68"/>
      <c r="H1200" s="603"/>
      <c r="I1200" s="882"/>
      <c r="J1200" s="883"/>
      <c r="K1200" s="884"/>
      <c r="L1200" s="884"/>
      <c r="M1200" s="68"/>
    </row>
    <row r="1201" spans="1:13" s="64" customFormat="1">
      <c r="A1201" s="10"/>
      <c r="B1201" s="111"/>
      <c r="C1201" s="68"/>
      <c r="D1201" s="374"/>
      <c r="E1201" s="660"/>
      <c r="F1201" s="112"/>
      <c r="G1201" s="68"/>
      <c r="H1201" s="603"/>
      <c r="I1201" s="882"/>
      <c r="J1201" s="883"/>
      <c r="K1201" s="884"/>
      <c r="L1201" s="884"/>
      <c r="M1201" s="68"/>
    </row>
    <row r="1202" spans="1:13" s="64" customFormat="1">
      <c r="A1202" s="10"/>
      <c r="B1202" s="111"/>
      <c r="C1202" s="68"/>
      <c r="D1202" s="374"/>
      <c r="E1202" s="660"/>
      <c r="F1202" s="112"/>
      <c r="G1202" s="68"/>
      <c r="H1202" s="603"/>
      <c r="I1202" s="882"/>
      <c r="J1202" s="883"/>
      <c r="K1202" s="884"/>
      <c r="L1202" s="884"/>
      <c r="M1202" s="68"/>
    </row>
    <row r="1203" spans="1:13" s="64" customFormat="1">
      <c r="A1203" s="10"/>
      <c r="B1203" s="111"/>
      <c r="C1203" s="68"/>
      <c r="D1203" s="374"/>
      <c r="E1203" s="660"/>
      <c r="F1203" s="112"/>
      <c r="G1203" s="68"/>
      <c r="H1203" s="603"/>
      <c r="I1203" s="882"/>
      <c r="J1203" s="883"/>
      <c r="K1203" s="884"/>
      <c r="L1203" s="884"/>
      <c r="M1203" s="68"/>
    </row>
    <row r="1204" spans="1:13" s="64" customFormat="1">
      <c r="A1204" s="10"/>
      <c r="B1204" s="111"/>
      <c r="C1204" s="68"/>
      <c r="D1204" s="374"/>
      <c r="E1204" s="660"/>
      <c r="F1204" s="112"/>
      <c r="G1204" s="68"/>
      <c r="H1204" s="603"/>
      <c r="I1204" s="882"/>
      <c r="J1204" s="883"/>
      <c r="K1204" s="884"/>
      <c r="L1204" s="884"/>
      <c r="M1204" s="68"/>
    </row>
    <row r="1205" spans="1:13" s="64" customFormat="1">
      <c r="A1205" s="10"/>
      <c r="B1205" s="111"/>
      <c r="C1205" s="68"/>
      <c r="D1205" s="374"/>
      <c r="E1205" s="660"/>
      <c r="F1205" s="112"/>
      <c r="G1205" s="68"/>
      <c r="H1205" s="603"/>
      <c r="I1205" s="882"/>
      <c r="J1205" s="883"/>
      <c r="K1205" s="884"/>
      <c r="L1205" s="884"/>
      <c r="M1205" s="68"/>
    </row>
    <row r="1206" spans="1:13" s="64" customFormat="1">
      <c r="A1206" s="10"/>
      <c r="B1206" s="111"/>
      <c r="C1206" s="68"/>
      <c r="D1206" s="374"/>
      <c r="E1206" s="660"/>
      <c r="F1206" s="112"/>
      <c r="G1206" s="68"/>
      <c r="H1206" s="603"/>
      <c r="I1206" s="882"/>
      <c r="J1206" s="883"/>
      <c r="K1206" s="884"/>
      <c r="L1206" s="884"/>
      <c r="M1206" s="68"/>
    </row>
    <row r="1207" spans="1:13" s="64" customFormat="1">
      <c r="A1207" s="10"/>
      <c r="B1207" s="111"/>
      <c r="C1207" s="68"/>
      <c r="D1207" s="374"/>
      <c r="E1207" s="660"/>
      <c r="F1207" s="112"/>
      <c r="G1207" s="68"/>
      <c r="H1207" s="603"/>
      <c r="I1207" s="882"/>
      <c r="J1207" s="883"/>
      <c r="K1207" s="884"/>
      <c r="L1207" s="884"/>
      <c r="M1207" s="68"/>
    </row>
    <row r="1208" spans="1:13" s="64" customFormat="1">
      <c r="A1208" s="10"/>
      <c r="B1208" s="111"/>
      <c r="C1208" s="68"/>
      <c r="D1208" s="374"/>
      <c r="E1208" s="660"/>
      <c r="F1208" s="112"/>
      <c r="G1208" s="68"/>
      <c r="H1208" s="603"/>
      <c r="I1208" s="882"/>
      <c r="J1208" s="883"/>
      <c r="K1208" s="884"/>
      <c r="L1208" s="884"/>
      <c r="M1208" s="68"/>
    </row>
    <row r="1209" spans="1:13" s="64" customFormat="1">
      <c r="A1209" s="10"/>
      <c r="B1209" s="111"/>
      <c r="C1209" s="68"/>
      <c r="D1209" s="374"/>
      <c r="E1209" s="660"/>
      <c r="F1209" s="112"/>
      <c r="G1209" s="68"/>
      <c r="H1209" s="603"/>
      <c r="I1209" s="882"/>
      <c r="J1209" s="883"/>
      <c r="K1209" s="884"/>
      <c r="L1209" s="884"/>
      <c r="M1209" s="68"/>
    </row>
    <row r="1210" spans="1:13" s="64" customFormat="1">
      <c r="A1210" s="10"/>
      <c r="B1210" s="111"/>
      <c r="C1210" s="68"/>
      <c r="D1210" s="374"/>
      <c r="E1210" s="660"/>
      <c r="F1210" s="112"/>
      <c r="G1210" s="68"/>
      <c r="H1210" s="603"/>
      <c r="I1210" s="882"/>
      <c r="J1210" s="883"/>
      <c r="K1210" s="884"/>
      <c r="L1210" s="884"/>
      <c r="M1210" s="68"/>
    </row>
    <row r="1211" spans="1:13" s="64" customFormat="1">
      <c r="A1211" s="10"/>
      <c r="B1211" s="111"/>
      <c r="C1211" s="68"/>
      <c r="D1211" s="374"/>
      <c r="E1211" s="660"/>
      <c r="F1211" s="112"/>
      <c r="G1211" s="68"/>
      <c r="H1211" s="603"/>
      <c r="I1211" s="882"/>
      <c r="J1211" s="883"/>
      <c r="K1211" s="884"/>
      <c r="L1211" s="884"/>
      <c r="M1211" s="68"/>
    </row>
    <row r="1212" spans="1:13" s="64" customFormat="1">
      <c r="A1212" s="10"/>
      <c r="B1212" s="111"/>
      <c r="C1212" s="68"/>
      <c r="D1212" s="374"/>
      <c r="E1212" s="660"/>
      <c r="F1212" s="112"/>
      <c r="G1212" s="68"/>
      <c r="H1212" s="603"/>
      <c r="I1212" s="882"/>
      <c r="J1212" s="883"/>
      <c r="K1212" s="884"/>
      <c r="L1212" s="884"/>
      <c r="M1212" s="68"/>
    </row>
    <row r="1213" spans="1:13" s="64" customFormat="1">
      <c r="A1213" s="10"/>
      <c r="B1213" s="111"/>
      <c r="C1213" s="68"/>
      <c r="D1213" s="374"/>
      <c r="E1213" s="660"/>
      <c r="F1213" s="112"/>
      <c r="G1213" s="68"/>
      <c r="H1213" s="603"/>
      <c r="I1213" s="882"/>
      <c r="J1213" s="883"/>
      <c r="K1213" s="884"/>
      <c r="L1213" s="884"/>
      <c r="M1213" s="68"/>
    </row>
    <row r="1214" spans="1:13" s="64" customFormat="1">
      <c r="A1214" s="10"/>
      <c r="B1214" s="111"/>
      <c r="C1214" s="68"/>
      <c r="D1214" s="374"/>
      <c r="E1214" s="660"/>
      <c r="F1214" s="112"/>
      <c r="G1214" s="68"/>
      <c r="H1214" s="603"/>
      <c r="I1214" s="882"/>
      <c r="J1214" s="883"/>
      <c r="K1214" s="884"/>
      <c r="L1214" s="884"/>
      <c r="M1214" s="68"/>
    </row>
    <row r="1215" spans="1:13" s="64" customFormat="1">
      <c r="A1215" s="10"/>
      <c r="B1215" s="111"/>
      <c r="C1215" s="68"/>
      <c r="D1215" s="374"/>
      <c r="E1215" s="660"/>
      <c r="F1215" s="112"/>
      <c r="G1215" s="68"/>
      <c r="H1215" s="603"/>
      <c r="I1215" s="882"/>
      <c r="J1215" s="883"/>
      <c r="K1215" s="884"/>
      <c r="L1215" s="884"/>
      <c r="M1215" s="68"/>
    </row>
    <row r="1216" spans="1:13" s="64" customFormat="1">
      <c r="A1216" s="10"/>
      <c r="B1216" s="111"/>
      <c r="C1216" s="68"/>
      <c r="D1216" s="374"/>
      <c r="E1216" s="660"/>
      <c r="F1216" s="112"/>
      <c r="G1216" s="68"/>
      <c r="H1216" s="603"/>
      <c r="I1216" s="882"/>
      <c r="J1216" s="883"/>
      <c r="K1216" s="884"/>
      <c r="L1216" s="884"/>
      <c r="M1216" s="68"/>
    </row>
    <row r="1217" spans="1:13" s="64" customFormat="1">
      <c r="A1217" s="10"/>
      <c r="B1217" s="111"/>
      <c r="C1217" s="68"/>
      <c r="D1217" s="374"/>
      <c r="E1217" s="660"/>
      <c r="F1217" s="112"/>
      <c r="G1217" s="68"/>
      <c r="H1217" s="603"/>
      <c r="I1217" s="882"/>
      <c r="J1217" s="883"/>
      <c r="K1217" s="884"/>
      <c r="L1217" s="884"/>
      <c r="M1217" s="68"/>
    </row>
    <row r="1218" spans="1:13" s="64" customFormat="1">
      <c r="A1218" s="10"/>
      <c r="B1218" s="111"/>
      <c r="C1218" s="68"/>
      <c r="D1218" s="374"/>
      <c r="E1218" s="660"/>
      <c r="F1218" s="112"/>
      <c r="G1218" s="68"/>
      <c r="H1218" s="603"/>
      <c r="I1218" s="882"/>
      <c r="J1218" s="883"/>
      <c r="K1218" s="884"/>
      <c r="L1218" s="884"/>
      <c r="M1218" s="68"/>
    </row>
    <row r="1219" spans="1:13" s="64" customFormat="1">
      <c r="A1219" s="10"/>
      <c r="B1219" s="111"/>
      <c r="C1219" s="68"/>
      <c r="D1219" s="374"/>
      <c r="E1219" s="660"/>
      <c r="F1219" s="112"/>
      <c r="G1219" s="68"/>
      <c r="H1219" s="603"/>
      <c r="I1219" s="882"/>
      <c r="J1219" s="883"/>
      <c r="K1219" s="884"/>
      <c r="L1219" s="884"/>
      <c r="M1219" s="68"/>
    </row>
    <row r="1220" spans="1:13" s="64" customFormat="1">
      <c r="A1220" s="10"/>
      <c r="B1220" s="111"/>
      <c r="C1220" s="68"/>
      <c r="D1220" s="374"/>
      <c r="E1220" s="660"/>
      <c r="F1220" s="112"/>
      <c r="G1220" s="68"/>
      <c r="H1220" s="603"/>
      <c r="I1220" s="882"/>
      <c r="J1220" s="883"/>
      <c r="K1220" s="884"/>
      <c r="L1220" s="884"/>
      <c r="M1220" s="68"/>
    </row>
    <row r="1221" spans="1:13" s="64" customFormat="1">
      <c r="A1221" s="10"/>
      <c r="B1221" s="111"/>
      <c r="C1221" s="68"/>
      <c r="D1221" s="374"/>
      <c r="E1221" s="660"/>
      <c r="F1221" s="112"/>
      <c r="G1221" s="68"/>
      <c r="H1221" s="603"/>
      <c r="I1221" s="882"/>
      <c r="J1221" s="883"/>
      <c r="K1221" s="884"/>
      <c r="L1221" s="884"/>
      <c r="M1221" s="68"/>
    </row>
    <row r="1222" spans="1:13" s="64" customFormat="1">
      <c r="A1222" s="10"/>
      <c r="B1222" s="111"/>
      <c r="C1222" s="68"/>
      <c r="D1222" s="374"/>
      <c r="E1222" s="660"/>
      <c r="F1222" s="112"/>
      <c r="G1222" s="68"/>
      <c r="H1222" s="603"/>
      <c r="I1222" s="882"/>
      <c r="J1222" s="883"/>
      <c r="K1222" s="884"/>
      <c r="L1222" s="884"/>
      <c r="M1222" s="68"/>
    </row>
    <row r="1223" spans="1:13" s="64" customFormat="1">
      <c r="A1223" s="10"/>
      <c r="B1223" s="111"/>
      <c r="C1223" s="68"/>
      <c r="D1223" s="374"/>
      <c r="E1223" s="660"/>
      <c r="F1223" s="112"/>
      <c r="G1223" s="68"/>
      <c r="H1223" s="603"/>
      <c r="I1223" s="882"/>
      <c r="J1223" s="883"/>
      <c r="K1223" s="884"/>
      <c r="L1223" s="884"/>
      <c r="M1223" s="68"/>
    </row>
    <row r="1224" spans="1:13" s="64" customFormat="1">
      <c r="A1224" s="10"/>
      <c r="B1224" s="111"/>
      <c r="C1224" s="68"/>
      <c r="D1224" s="374"/>
      <c r="E1224" s="660"/>
      <c r="F1224" s="112"/>
      <c r="G1224" s="68"/>
      <c r="H1224" s="603"/>
      <c r="I1224" s="882"/>
      <c r="J1224" s="883"/>
      <c r="K1224" s="884"/>
      <c r="L1224" s="884"/>
      <c r="M1224" s="68"/>
    </row>
    <row r="1225" spans="1:13" s="64" customFormat="1">
      <c r="A1225" s="10"/>
      <c r="B1225" s="111"/>
      <c r="C1225" s="68"/>
      <c r="D1225" s="374"/>
      <c r="E1225" s="660"/>
      <c r="F1225" s="112"/>
      <c r="G1225" s="68"/>
      <c r="H1225" s="603"/>
      <c r="I1225" s="882"/>
      <c r="J1225" s="883"/>
      <c r="K1225" s="884"/>
      <c r="L1225" s="884"/>
      <c r="M1225" s="68"/>
    </row>
    <row r="1226" spans="1:13" s="64" customFormat="1">
      <c r="A1226" s="10"/>
      <c r="B1226" s="111"/>
      <c r="C1226" s="68"/>
      <c r="D1226" s="374"/>
      <c r="E1226" s="660"/>
      <c r="F1226" s="112"/>
      <c r="G1226" s="68"/>
      <c r="H1226" s="603"/>
      <c r="I1226" s="882"/>
      <c r="J1226" s="883"/>
      <c r="K1226" s="884"/>
      <c r="L1226" s="884"/>
      <c r="M1226" s="68"/>
    </row>
    <row r="1227" spans="1:13" s="64" customFormat="1">
      <c r="A1227" s="10"/>
      <c r="B1227" s="111"/>
      <c r="C1227" s="68"/>
      <c r="D1227" s="374"/>
      <c r="E1227" s="660"/>
      <c r="F1227" s="112"/>
      <c r="G1227" s="68"/>
      <c r="H1227" s="603"/>
      <c r="I1227" s="882"/>
      <c r="J1227" s="883"/>
      <c r="K1227" s="884"/>
      <c r="L1227" s="884"/>
      <c r="M1227" s="68"/>
    </row>
    <row r="1228" spans="1:13" s="64" customFormat="1">
      <c r="A1228" s="10"/>
      <c r="B1228" s="111"/>
      <c r="C1228" s="68"/>
      <c r="D1228" s="374"/>
      <c r="E1228" s="660"/>
      <c r="F1228" s="112"/>
      <c r="G1228" s="68"/>
      <c r="H1228" s="603"/>
      <c r="I1228" s="882"/>
      <c r="J1228" s="883"/>
      <c r="K1228" s="884"/>
      <c r="L1228" s="884"/>
      <c r="M1228" s="68"/>
    </row>
    <row r="1229" spans="1:13" s="64" customFormat="1">
      <c r="A1229" s="10"/>
      <c r="B1229" s="111"/>
      <c r="C1229" s="68"/>
      <c r="D1229" s="374"/>
      <c r="E1229" s="660"/>
      <c r="F1229" s="112"/>
      <c r="G1229" s="68"/>
      <c r="H1229" s="603"/>
      <c r="I1229" s="882"/>
      <c r="J1229" s="883"/>
      <c r="K1229" s="884"/>
      <c r="L1229" s="884"/>
      <c r="M1229" s="68"/>
    </row>
    <row r="1230" spans="1:13" s="64" customFormat="1">
      <c r="A1230" s="10"/>
      <c r="B1230" s="111"/>
      <c r="C1230" s="68"/>
      <c r="D1230" s="374"/>
      <c r="E1230" s="660"/>
      <c r="F1230" s="112"/>
      <c r="G1230" s="68"/>
      <c r="H1230" s="603"/>
      <c r="I1230" s="882"/>
      <c r="J1230" s="883"/>
      <c r="K1230" s="884"/>
      <c r="L1230" s="884"/>
      <c r="M1230" s="68"/>
    </row>
    <row r="1231" spans="1:13" s="64" customFormat="1">
      <c r="A1231" s="10"/>
      <c r="B1231" s="111"/>
      <c r="C1231" s="68"/>
      <c r="D1231" s="374"/>
      <c r="E1231" s="660"/>
      <c r="F1231" s="112"/>
      <c r="G1231" s="68"/>
      <c r="H1231" s="603"/>
      <c r="I1231" s="882"/>
      <c r="J1231" s="883"/>
      <c r="K1231" s="884"/>
      <c r="L1231" s="884"/>
      <c r="M1231" s="68"/>
    </row>
    <row r="1232" spans="1:13" s="64" customFormat="1">
      <c r="A1232" s="10"/>
      <c r="B1232" s="111"/>
      <c r="C1232" s="68"/>
      <c r="D1232" s="374"/>
      <c r="E1232" s="660"/>
      <c r="F1232" s="112"/>
      <c r="G1232" s="68"/>
      <c r="H1232" s="603"/>
      <c r="I1232" s="882"/>
      <c r="J1232" s="883"/>
      <c r="K1232" s="884"/>
      <c r="L1232" s="884"/>
      <c r="M1232" s="68"/>
    </row>
    <row r="1233" spans="1:13" s="64" customFormat="1">
      <c r="A1233" s="10"/>
      <c r="B1233" s="111"/>
      <c r="C1233" s="68"/>
      <c r="D1233" s="374"/>
      <c r="E1233" s="660"/>
      <c r="F1233" s="112"/>
      <c r="G1233" s="68"/>
      <c r="H1233" s="603"/>
      <c r="I1233" s="882"/>
      <c r="J1233" s="883"/>
      <c r="K1233" s="884"/>
      <c r="L1233" s="884"/>
      <c r="M1233" s="68"/>
    </row>
    <row r="1234" spans="1:13" s="64" customFormat="1">
      <c r="A1234" s="10"/>
      <c r="B1234" s="111"/>
      <c r="C1234" s="68"/>
      <c r="D1234" s="374"/>
      <c r="E1234" s="660"/>
      <c r="F1234" s="112"/>
      <c r="G1234" s="68"/>
      <c r="H1234" s="603"/>
      <c r="I1234" s="882"/>
      <c r="J1234" s="883"/>
      <c r="K1234" s="884"/>
      <c r="L1234" s="884"/>
      <c r="M1234" s="68"/>
    </row>
    <row r="1235" spans="1:13" s="64" customFormat="1">
      <c r="A1235" s="10"/>
      <c r="B1235" s="111"/>
      <c r="C1235" s="68"/>
      <c r="D1235" s="374"/>
      <c r="E1235" s="660"/>
      <c r="F1235" s="112"/>
      <c r="G1235" s="68"/>
      <c r="H1235" s="603"/>
      <c r="I1235" s="882"/>
      <c r="J1235" s="883"/>
      <c r="K1235" s="884"/>
      <c r="L1235" s="884"/>
      <c r="M1235" s="68"/>
    </row>
    <row r="1236" spans="1:13" s="64" customFormat="1">
      <c r="A1236" s="10"/>
      <c r="B1236" s="111"/>
      <c r="C1236" s="68"/>
      <c r="D1236" s="374"/>
      <c r="E1236" s="660"/>
      <c r="F1236" s="112"/>
      <c r="G1236" s="68"/>
      <c r="H1236" s="603"/>
      <c r="I1236" s="882"/>
      <c r="J1236" s="883"/>
      <c r="K1236" s="884"/>
      <c r="L1236" s="884"/>
      <c r="M1236" s="68"/>
    </row>
    <row r="1237" spans="1:13" s="64" customFormat="1">
      <c r="A1237" s="10"/>
      <c r="B1237" s="111"/>
      <c r="C1237" s="68"/>
      <c r="D1237" s="374"/>
      <c r="E1237" s="660"/>
      <c r="F1237" s="112"/>
      <c r="G1237" s="68"/>
      <c r="H1237" s="603"/>
      <c r="I1237" s="882"/>
      <c r="J1237" s="883"/>
      <c r="K1237" s="884"/>
      <c r="L1237" s="884"/>
      <c r="M1237" s="68"/>
    </row>
    <row r="1238" spans="1:13" s="64" customFormat="1">
      <c r="A1238" s="10"/>
      <c r="B1238" s="111"/>
      <c r="C1238" s="68"/>
      <c r="D1238" s="374"/>
      <c r="E1238" s="660"/>
      <c r="F1238" s="112"/>
      <c r="G1238" s="68"/>
      <c r="H1238" s="603"/>
      <c r="I1238" s="882"/>
      <c r="J1238" s="883"/>
      <c r="K1238" s="884"/>
      <c r="L1238" s="884"/>
      <c r="M1238" s="68"/>
    </row>
    <row r="1239" spans="1:13" s="64" customFormat="1">
      <c r="A1239" s="10"/>
      <c r="B1239" s="111"/>
      <c r="C1239" s="68"/>
      <c r="D1239" s="374"/>
      <c r="E1239" s="660"/>
      <c r="F1239" s="112"/>
      <c r="G1239" s="68"/>
      <c r="H1239" s="603"/>
      <c r="I1239" s="882"/>
      <c r="J1239" s="883"/>
      <c r="K1239" s="884"/>
      <c r="L1239" s="884"/>
      <c r="M1239" s="68"/>
    </row>
    <row r="1240" spans="1:13" s="64" customFormat="1">
      <c r="A1240" s="10"/>
      <c r="B1240" s="111"/>
      <c r="C1240" s="68"/>
      <c r="D1240" s="374"/>
      <c r="E1240" s="660"/>
      <c r="F1240" s="112"/>
      <c r="G1240" s="68"/>
      <c r="H1240" s="603"/>
      <c r="I1240" s="882"/>
      <c r="J1240" s="883"/>
      <c r="K1240" s="884"/>
      <c r="L1240" s="884"/>
      <c r="M1240" s="68"/>
    </row>
    <row r="1241" spans="1:13" s="64" customFormat="1">
      <c r="A1241" s="10"/>
      <c r="B1241" s="111"/>
      <c r="C1241" s="68"/>
      <c r="D1241" s="374"/>
      <c r="E1241" s="660"/>
      <c r="F1241" s="112"/>
      <c r="G1241" s="68"/>
      <c r="H1241" s="603"/>
      <c r="I1241" s="882"/>
      <c r="J1241" s="883"/>
      <c r="K1241" s="884"/>
      <c r="L1241" s="884"/>
      <c r="M1241" s="68"/>
    </row>
    <row r="1242" spans="1:13" s="64" customFormat="1">
      <c r="A1242" s="10"/>
      <c r="B1242" s="111"/>
      <c r="C1242" s="68"/>
      <c r="D1242" s="374"/>
      <c r="E1242" s="660"/>
      <c r="F1242" s="112"/>
      <c r="G1242" s="68"/>
      <c r="H1242" s="603"/>
      <c r="I1242" s="882"/>
      <c r="J1242" s="883"/>
      <c r="K1242" s="884"/>
      <c r="L1242" s="884"/>
      <c r="M1242" s="68"/>
    </row>
    <row r="1243" spans="1:13" s="64" customFormat="1">
      <c r="A1243" s="10"/>
      <c r="B1243" s="111"/>
      <c r="C1243" s="68"/>
      <c r="D1243" s="374"/>
      <c r="E1243" s="660"/>
      <c r="F1243" s="112"/>
      <c r="G1243" s="68"/>
      <c r="H1243" s="603"/>
      <c r="I1243" s="882"/>
      <c r="J1243" s="883"/>
      <c r="K1243" s="884"/>
      <c r="L1243" s="884"/>
      <c r="M1243" s="68"/>
    </row>
    <row r="1244" spans="1:13" s="64" customFormat="1">
      <c r="A1244" s="10"/>
      <c r="B1244" s="111"/>
      <c r="C1244" s="68"/>
      <c r="D1244" s="374"/>
      <c r="E1244" s="660"/>
      <c r="F1244" s="112"/>
      <c r="G1244" s="68"/>
      <c r="H1244" s="603"/>
      <c r="I1244" s="882"/>
      <c r="J1244" s="883"/>
      <c r="K1244" s="884"/>
      <c r="L1244" s="884"/>
      <c r="M1244" s="68"/>
    </row>
    <row r="1245" spans="1:13" s="64" customFormat="1">
      <c r="A1245" s="10"/>
      <c r="B1245" s="111"/>
      <c r="C1245" s="68"/>
      <c r="D1245" s="374"/>
      <c r="E1245" s="660"/>
      <c r="F1245" s="112"/>
      <c r="G1245" s="68"/>
      <c r="H1245" s="603"/>
      <c r="I1245" s="882"/>
      <c r="J1245" s="883"/>
      <c r="K1245" s="884"/>
      <c r="L1245" s="884"/>
      <c r="M1245" s="68"/>
    </row>
    <row r="1246" spans="1:13" s="64" customFormat="1">
      <c r="A1246" s="10"/>
      <c r="B1246" s="111"/>
      <c r="C1246" s="68"/>
      <c r="D1246" s="374"/>
      <c r="E1246" s="660"/>
      <c r="F1246" s="112"/>
      <c r="G1246" s="68"/>
      <c r="H1246" s="603"/>
      <c r="I1246" s="882"/>
      <c r="J1246" s="883"/>
      <c r="K1246" s="884"/>
      <c r="L1246" s="884"/>
      <c r="M1246" s="68"/>
    </row>
    <row r="1247" spans="1:13" s="64" customFormat="1">
      <c r="A1247" s="10"/>
      <c r="B1247" s="111"/>
      <c r="C1247" s="68"/>
      <c r="D1247" s="374"/>
      <c r="E1247" s="660"/>
      <c r="F1247" s="112"/>
      <c r="G1247" s="68"/>
      <c r="H1247" s="603"/>
      <c r="I1247" s="882"/>
      <c r="J1247" s="883"/>
      <c r="K1247" s="884"/>
      <c r="L1247" s="884"/>
      <c r="M1247" s="68"/>
    </row>
    <row r="1248" spans="1:13" s="64" customFormat="1">
      <c r="A1248" s="10"/>
      <c r="B1248" s="111"/>
      <c r="C1248" s="68"/>
      <c r="D1248" s="374"/>
      <c r="E1248" s="660"/>
      <c r="F1248" s="112"/>
      <c r="G1248" s="68"/>
      <c r="H1248" s="603"/>
      <c r="I1248" s="882"/>
      <c r="J1248" s="883"/>
      <c r="K1248" s="884"/>
      <c r="L1248" s="884"/>
      <c r="M1248" s="68"/>
    </row>
    <row r="1249" spans="1:13" s="64" customFormat="1">
      <c r="A1249" s="10"/>
      <c r="B1249" s="111"/>
      <c r="C1249" s="68"/>
      <c r="D1249" s="374"/>
      <c r="E1249" s="660"/>
      <c r="F1249" s="112"/>
      <c r="G1249" s="68"/>
      <c r="H1249" s="603"/>
      <c r="I1249" s="882"/>
      <c r="J1249" s="883"/>
      <c r="K1249" s="884"/>
      <c r="L1249" s="884"/>
      <c r="M1249" s="68"/>
    </row>
    <row r="1250" spans="1:13" s="64" customFormat="1">
      <c r="A1250" s="10"/>
      <c r="B1250" s="111"/>
      <c r="C1250" s="68"/>
      <c r="D1250" s="374"/>
      <c r="E1250" s="660"/>
      <c r="F1250" s="112"/>
      <c r="G1250" s="68"/>
      <c r="H1250" s="603"/>
      <c r="I1250" s="882"/>
      <c r="J1250" s="883"/>
      <c r="K1250" s="884"/>
      <c r="L1250" s="884"/>
      <c r="M1250" s="68"/>
    </row>
    <row r="1251" spans="1:13" s="64" customFormat="1">
      <c r="A1251" s="10"/>
      <c r="B1251" s="111"/>
      <c r="C1251" s="68"/>
      <c r="D1251" s="374"/>
      <c r="E1251" s="660"/>
      <c r="F1251" s="112"/>
      <c r="G1251" s="68"/>
      <c r="H1251" s="603"/>
      <c r="I1251" s="882"/>
      <c r="J1251" s="883"/>
      <c r="K1251" s="884"/>
      <c r="L1251" s="884"/>
      <c r="M1251" s="68"/>
    </row>
    <row r="1252" spans="1:13" s="64" customFormat="1">
      <c r="A1252" s="10"/>
      <c r="B1252" s="111"/>
      <c r="C1252" s="68"/>
      <c r="D1252" s="374"/>
      <c r="E1252" s="660"/>
      <c r="F1252" s="112"/>
      <c r="G1252" s="68"/>
      <c r="H1252" s="603"/>
      <c r="I1252" s="882"/>
      <c r="J1252" s="883"/>
      <c r="K1252" s="884"/>
      <c r="L1252" s="884"/>
      <c r="M1252" s="68"/>
    </row>
    <row r="1253" spans="1:13" s="64" customFormat="1">
      <c r="A1253" s="10"/>
      <c r="B1253" s="111"/>
      <c r="C1253" s="68"/>
      <c r="D1253" s="374"/>
      <c r="E1253" s="660"/>
      <c r="F1253" s="112"/>
      <c r="G1253" s="68"/>
      <c r="H1253" s="603"/>
      <c r="I1253" s="882"/>
      <c r="J1253" s="883"/>
      <c r="K1253" s="884"/>
      <c r="L1253" s="884"/>
      <c r="M1253" s="68"/>
    </row>
    <row r="1254" spans="1:13" s="64" customFormat="1">
      <c r="A1254" s="10"/>
      <c r="B1254" s="111"/>
      <c r="C1254" s="68"/>
      <c r="D1254" s="374"/>
      <c r="E1254" s="660"/>
      <c r="F1254" s="112"/>
      <c r="G1254" s="68"/>
      <c r="H1254" s="603"/>
      <c r="I1254" s="882"/>
      <c r="J1254" s="883"/>
      <c r="K1254" s="884"/>
      <c r="L1254" s="884"/>
      <c r="M1254" s="68"/>
    </row>
    <row r="1255" spans="1:13" s="64" customFormat="1">
      <c r="A1255" s="10"/>
      <c r="B1255" s="111"/>
      <c r="C1255" s="68"/>
      <c r="D1255" s="374"/>
      <c r="E1255" s="660"/>
      <c r="F1255" s="112"/>
      <c r="G1255" s="68"/>
      <c r="H1255" s="603"/>
      <c r="I1255" s="882"/>
      <c r="J1255" s="883"/>
      <c r="K1255" s="884"/>
      <c r="L1255" s="884"/>
      <c r="M1255" s="68"/>
    </row>
    <row r="1256" spans="1:13" s="64" customFormat="1">
      <c r="A1256" s="10"/>
      <c r="B1256" s="111"/>
      <c r="C1256" s="68"/>
      <c r="D1256" s="374"/>
      <c r="E1256" s="660"/>
      <c r="F1256" s="112"/>
      <c r="G1256" s="68"/>
      <c r="H1256" s="603"/>
      <c r="I1256" s="882"/>
      <c r="J1256" s="883"/>
      <c r="K1256" s="884"/>
      <c r="L1256" s="884"/>
      <c r="M1256" s="68"/>
    </row>
    <row r="1257" spans="1:13" s="64" customFormat="1">
      <c r="A1257" s="10"/>
      <c r="B1257" s="111"/>
      <c r="C1257" s="68"/>
      <c r="D1257" s="374"/>
      <c r="E1257" s="660"/>
      <c r="F1257" s="112"/>
      <c r="G1257" s="68"/>
      <c r="H1257" s="603"/>
      <c r="I1257" s="882"/>
      <c r="J1257" s="883"/>
      <c r="K1257" s="884"/>
      <c r="L1257" s="884"/>
      <c r="M1257" s="68"/>
    </row>
    <row r="1258" spans="1:13" s="64" customFormat="1">
      <c r="A1258" s="10"/>
      <c r="B1258" s="111"/>
      <c r="C1258" s="68"/>
      <c r="D1258" s="374"/>
      <c r="E1258" s="660"/>
      <c r="F1258" s="112"/>
      <c r="G1258" s="68"/>
      <c r="H1258" s="603"/>
      <c r="I1258" s="882"/>
      <c r="J1258" s="883"/>
      <c r="K1258" s="884"/>
      <c r="L1258" s="884"/>
      <c r="M1258" s="68"/>
    </row>
    <row r="1259" spans="1:13" s="64" customFormat="1">
      <c r="A1259" s="10"/>
      <c r="B1259" s="111"/>
      <c r="C1259" s="68"/>
      <c r="D1259" s="374"/>
      <c r="E1259" s="660"/>
      <c r="F1259" s="112"/>
      <c r="G1259" s="68"/>
      <c r="H1259" s="603"/>
      <c r="I1259" s="882"/>
      <c r="J1259" s="883"/>
      <c r="K1259" s="884"/>
      <c r="L1259" s="884"/>
      <c r="M1259" s="68"/>
    </row>
    <row r="1260" spans="1:13" s="64" customFormat="1">
      <c r="A1260" s="10"/>
      <c r="B1260" s="111"/>
      <c r="C1260" s="68"/>
      <c r="D1260" s="374"/>
      <c r="E1260" s="660"/>
      <c r="F1260" s="112"/>
      <c r="G1260" s="68"/>
      <c r="H1260" s="603"/>
      <c r="I1260" s="882"/>
      <c r="J1260" s="883"/>
      <c r="K1260" s="884"/>
      <c r="L1260" s="884"/>
      <c r="M1260" s="68"/>
    </row>
    <row r="1261" spans="1:13" s="64" customFormat="1">
      <c r="A1261" s="10"/>
      <c r="B1261" s="111"/>
      <c r="C1261" s="68"/>
      <c r="D1261" s="374"/>
      <c r="E1261" s="660"/>
      <c r="F1261" s="112"/>
      <c r="G1261" s="68"/>
      <c r="H1261" s="603"/>
      <c r="I1261" s="882"/>
      <c r="J1261" s="883"/>
      <c r="K1261" s="884"/>
      <c r="L1261" s="884"/>
      <c r="M1261" s="68"/>
    </row>
    <row r="1262" spans="1:13" s="64" customFormat="1">
      <c r="A1262" s="10"/>
      <c r="B1262" s="111"/>
      <c r="C1262" s="68"/>
      <c r="D1262" s="374"/>
      <c r="E1262" s="660"/>
      <c r="F1262" s="112"/>
      <c r="G1262" s="68"/>
      <c r="H1262" s="603"/>
      <c r="I1262" s="882"/>
      <c r="J1262" s="883"/>
      <c r="K1262" s="884"/>
      <c r="L1262" s="884"/>
      <c r="M1262" s="68"/>
    </row>
    <row r="1263" spans="1:13" s="64" customFormat="1">
      <c r="A1263" s="10"/>
      <c r="B1263" s="111"/>
      <c r="C1263" s="68"/>
      <c r="D1263" s="374"/>
      <c r="E1263" s="660"/>
      <c r="F1263" s="112"/>
      <c r="G1263" s="68"/>
      <c r="H1263" s="603"/>
      <c r="I1263" s="882"/>
      <c r="J1263" s="883"/>
      <c r="K1263" s="884"/>
      <c r="L1263" s="884"/>
      <c r="M1263" s="68"/>
    </row>
    <row r="1264" spans="1:13" s="64" customFormat="1">
      <c r="A1264" s="10"/>
      <c r="B1264" s="111"/>
      <c r="C1264" s="68"/>
      <c r="D1264" s="374"/>
      <c r="E1264" s="660"/>
      <c r="F1264" s="112"/>
      <c r="G1264" s="68"/>
      <c r="H1264" s="603"/>
      <c r="I1264" s="882"/>
      <c r="J1264" s="883"/>
      <c r="K1264" s="884"/>
      <c r="L1264" s="884"/>
      <c r="M1264" s="68"/>
    </row>
    <row r="1265" spans="1:13" s="64" customFormat="1">
      <c r="A1265" s="10"/>
      <c r="B1265" s="111"/>
      <c r="C1265" s="68"/>
      <c r="D1265" s="374"/>
      <c r="E1265" s="660"/>
      <c r="F1265" s="112"/>
      <c r="G1265" s="68"/>
      <c r="H1265" s="603"/>
      <c r="I1265" s="882"/>
      <c r="J1265" s="883"/>
      <c r="K1265" s="884"/>
      <c r="L1265" s="884"/>
      <c r="M1265" s="68"/>
    </row>
    <row r="1266" spans="1:13" s="64" customFormat="1">
      <c r="A1266" s="10"/>
      <c r="B1266" s="111"/>
      <c r="C1266" s="68"/>
      <c r="D1266" s="374"/>
      <c r="E1266" s="660"/>
      <c r="F1266" s="112"/>
      <c r="G1266" s="68"/>
      <c r="H1266" s="603"/>
      <c r="I1266" s="882"/>
      <c r="J1266" s="883"/>
      <c r="K1266" s="884"/>
      <c r="L1266" s="884"/>
      <c r="M1266" s="68"/>
    </row>
    <row r="1267" spans="1:13" s="64" customFormat="1">
      <c r="A1267" s="10"/>
      <c r="B1267" s="111"/>
      <c r="C1267" s="68"/>
      <c r="D1267" s="374"/>
      <c r="E1267" s="660"/>
      <c r="F1267" s="112"/>
      <c r="G1267" s="68"/>
      <c r="H1267" s="603"/>
      <c r="I1267" s="882"/>
      <c r="J1267" s="883"/>
      <c r="K1267" s="884"/>
      <c r="L1267" s="884"/>
      <c r="M1267" s="68"/>
    </row>
    <row r="1268" spans="1:13" s="64" customFormat="1">
      <c r="A1268" s="10"/>
      <c r="B1268" s="111"/>
      <c r="C1268" s="68"/>
      <c r="D1268" s="374"/>
      <c r="E1268" s="660"/>
      <c r="F1268" s="112"/>
      <c r="G1268" s="68"/>
      <c r="H1268" s="603"/>
      <c r="I1268" s="882"/>
      <c r="J1268" s="883"/>
      <c r="K1268" s="884"/>
      <c r="L1268" s="884"/>
      <c r="M1268" s="68"/>
    </row>
    <row r="1269" spans="1:13" s="64" customFormat="1">
      <c r="A1269" s="10"/>
      <c r="B1269" s="111"/>
      <c r="C1269" s="68"/>
      <c r="D1269" s="374"/>
      <c r="E1269" s="660"/>
      <c r="F1269" s="112"/>
      <c r="G1269" s="68"/>
      <c r="H1269" s="603"/>
      <c r="I1269" s="882"/>
      <c r="J1269" s="883"/>
      <c r="K1269" s="884"/>
      <c r="L1269" s="884"/>
      <c r="M1269" s="68"/>
    </row>
    <row r="1270" spans="1:13" s="64" customFormat="1">
      <c r="A1270" s="10"/>
      <c r="B1270" s="111"/>
      <c r="C1270" s="68"/>
      <c r="D1270" s="374"/>
      <c r="E1270" s="660"/>
      <c r="F1270" s="112"/>
      <c r="G1270" s="68"/>
      <c r="H1270" s="603"/>
      <c r="I1270" s="882"/>
      <c r="J1270" s="883"/>
      <c r="K1270" s="884"/>
      <c r="L1270" s="884"/>
      <c r="M1270" s="68"/>
    </row>
    <row r="1271" spans="1:13" s="64" customFormat="1">
      <c r="A1271" s="10"/>
      <c r="B1271" s="111"/>
      <c r="C1271" s="68"/>
      <c r="D1271" s="374"/>
      <c r="E1271" s="660"/>
      <c r="F1271" s="112"/>
      <c r="G1271" s="68"/>
      <c r="H1271" s="603"/>
      <c r="I1271" s="882"/>
      <c r="J1271" s="883"/>
      <c r="K1271" s="884"/>
      <c r="L1271" s="884"/>
      <c r="M1271" s="68"/>
    </row>
    <row r="1272" spans="1:13" s="64" customFormat="1">
      <c r="A1272" s="10"/>
      <c r="B1272" s="111"/>
      <c r="C1272" s="68"/>
      <c r="D1272" s="374"/>
      <c r="E1272" s="660"/>
      <c r="F1272" s="112"/>
      <c r="G1272" s="68"/>
      <c r="H1272" s="603"/>
      <c r="I1272" s="882"/>
      <c r="J1272" s="883"/>
      <c r="K1272" s="884"/>
      <c r="L1272" s="884"/>
      <c r="M1272" s="68"/>
    </row>
    <row r="1273" spans="1:13" s="64" customFormat="1">
      <c r="A1273" s="10"/>
      <c r="B1273" s="111"/>
      <c r="C1273" s="68"/>
      <c r="D1273" s="374"/>
      <c r="E1273" s="660"/>
      <c r="F1273" s="112"/>
      <c r="G1273" s="68"/>
      <c r="H1273" s="603"/>
      <c r="I1273" s="882"/>
      <c r="J1273" s="883"/>
      <c r="K1273" s="884"/>
      <c r="L1273" s="884"/>
      <c r="M1273" s="68"/>
    </row>
    <row r="1274" spans="1:13" s="64" customFormat="1">
      <c r="A1274" s="10"/>
      <c r="B1274" s="111"/>
      <c r="C1274" s="68"/>
      <c r="D1274" s="374"/>
      <c r="E1274" s="660"/>
      <c r="F1274" s="112"/>
      <c r="G1274" s="68"/>
      <c r="H1274" s="603"/>
      <c r="I1274" s="882"/>
      <c r="J1274" s="883"/>
      <c r="K1274" s="884"/>
      <c r="L1274" s="884"/>
      <c r="M1274" s="68"/>
    </row>
    <row r="1275" spans="1:13" s="64" customFormat="1">
      <c r="A1275" s="10"/>
      <c r="B1275" s="111"/>
      <c r="C1275" s="68"/>
      <c r="D1275" s="374"/>
      <c r="E1275" s="660"/>
      <c r="F1275" s="112"/>
      <c r="G1275" s="68"/>
      <c r="H1275" s="603"/>
      <c r="I1275" s="882"/>
      <c r="J1275" s="883"/>
      <c r="K1275" s="884"/>
      <c r="L1275" s="884"/>
      <c r="M1275" s="68"/>
    </row>
    <row r="1276" spans="1:13" s="64" customFormat="1">
      <c r="A1276" s="10"/>
      <c r="B1276" s="111"/>
      <c r="C1276" s="68"/>
      <c r="D1276" s="374"/>
      <c r="E1276" s="660"/>
      <c r="F1276" s="112"/>
      <c r="G1276" s="68"/>
      <c r="H1276" s="603"/>
      <c r="I1276" s="882"/>
      <c r="J1276" s="883"/>
      <c r="K1276" s="884"/>
      <c r="L1276" s="884"/>
      <c r="M1276" s="68"/>
    </row>
    <row r="1277" spans="1:13" s="64" customFormat="1">
      <c r="A1277" s="10"/>
      <c r="B1277" s="111"/>
      <c r="C1277" s="68"/>
      <c r="D1277" s="374"/>
      <c r="E1277" s="660"/>
      <c r="F1277" s="112"/>
      <c r="G1277" s="68"/>
      <c r="H1277" s="603"/>
      <c r="I1277" s="882"/>
      <c r="J1277" s="883"/>
      <c r="K1277" s="884"/>
      <c r="L1277" s="884"/>
      <c r="M1277" s="68"/>
    </row>
    <row r="1278" spans="1:13" s="64" customFormat="1">
      <c r="A1278" s="10"/>
      <c r="B1278" s="111"/>
      <c r="C1278" s="68"/>
      <c r="D1278" s="374"/>
      <c r="E1278" s="660"/>
      <c r="F1278" s="112"/>
      <c r="G1278" s="68"/>
      <c r="H1278" s="603"/>
      <c r="I1278" s="882"/>
      <c r="J1278" s="883"/>
      <c r="K1278" s="884"/>
      <c r="L1278" s="884"/>
      <c r="M1278" s="68"/>
    </row>
    <row r="1279" spans="1:13" s="64" customFormat="1">
      <c r="A1279" s="10"/>
      <c r="B1279" s="111"/>
      <c r="C1279" s="68"/>
      <c r="D1279" s="374"/>
      <c r="E1279" s="660"/>
      <c r="F1279" s="112"/>
      <c r="G1279" s="68"/>
      <c r="H1279" s="603"/>
      <c r="I1279" s="882"/>
      <c r="J1279" s="883"/>
      <c r="K1279" s="884"/>
      <c r="L1279" s="884"/>
      <c r="M1279" s="68"/>
    </row>
    <row r="1280" spans="1:13" s="64" customFormat="1">
      <c r="A1280" s="10"/>
      <c r="B1280" s="111"/>
      <c r="C1280" s="68"/>
      <c r="D1280" s="374"/>
      <c r="E1280" s="660"/>
      <c r="F1280" s="112"/>
      <c r="G1280" s="68"/>
      <c r="H1280" s="603"/>
      <c r="I1280" s="882"/>
      <c r="J1280" s="883"/>
      <c r="K1280" s="884"/>
      <c r="L1280" s="884"/>
      <c r="M1280" s="68"/>
    </row>
    <row r="1281" spans="1:13" s="64" customFormat="1">
      <c r="A1281" s="10"/>
      <c r="B1281" s="111"/>
      <c r="C1281" s="68"/>
      <c r="D1281" s="374"/>
      <c r="E1281" s="660"/>
      <c r="F1281" s="112"/>
      <c r="G1281" s="68"/>
      <c r="H1281" s="603"/>
      <c r="I1281" s="882"/>
      <c r="J1281" s="883"/>
      <c r="K1281" s="884"/>
      <c r="L1281" s="884"/>
      <c r="M1281" s="68"/>
    </row>
    <row r="1282" spans="1:13" s="64" customFormat="1">
      <c r="A1282" s="10"/>
      <c r="B1282" s="111"/>
      <c r="C1282" s="68"/>
      <c r="D1282" s="374"/>
      <c r="E1282" s="660"/>
      <c r="F1282" s="112"/>
      <c r="G1282" s="68"/>
      <c r="H1282" s="603"/>
      <c r="I1282" s="882"/>
      <c r="J1282" s="883"/>
      <c r="K1282" s="884"/>
      <c r="L1282" s="884"/>
      <c r="M1282" s="68"/>
    </row>
    <row r="1283" spans="1:13" s="64" customFormat="1">
      <c r="A1283" s="10"/>
      <c r="B1283" s="111"/>
      <c r="C1283" s="68"/>
      <c r="D1283" s="374"/>
      <c r="E1283" s="660"/>
      <c r="F1283" s="112"/>
      <c r="G1283" s="68"/>
      <c r="H1283" s="603"/>
      <c r="I1283" s="882"/>
      <c r="J1283" s="883"/>
      <c r="K1283" s="884"/>
      <c r="L1283" s="884"/>
      <c r="M1283" s="68"/>
    </row>
    <row r="1284" spans="1:13" s="64" customFormat="1">
      <c r="A1284" s="10"/>
      <c r="B1284" s="111"/>
      <c r="C1284" s="68"/>
      <c r="D1284" s="374"/>
      <c r="E1284" s="660"/>
      <c r="F1284" s="112"/>
      <c r="G1284" s="68"/>
      <c r="H1284" s="603"/>
      <c r="I1284" s="882"/>
      <c r="J1284" s="883"/>
      <c r="K1284" s="884"/>
      <c r="L1284" s="884"/>
      <c r="M1284" s="68"/>
    </row>
    <row r="1285" spans="1:13" s="64" customFormat="1">
      <c r="A1285" s="10"/>
      <c r="B1285" s="111"/>
      <c r="C1285" s="68"/>
      <c r="D1285" s="374"/>
      <c r="E1285" s="660"/>
      <c r="F1285" s="112"/>
      <c r="G1285" s="68"/>
      <c r="H1285" s="603"/>
      <c r="I1285" s="882"/>
      <c r="J1285" s="883"/>
      <c r="K1285" s="884"/>
      <c r="L1285" s="884"/>
      <c r="M1285" s="68"/>
    </row>
    <row r="1286" spans="1:13" s="64" customFormat="1">
      <c r="A1286" s="10"/>
      <c r="B1286" s="111"/>
      <c r="C1286" s="68"/>
      <c r="D1286" s="374"/>
      <c r="E1286" s="660"/>
      <c r="F1286" s="112"/>
      <c r="G1286" s="68"/>
      <c r="H1286" s="603"/>
      <c r="I1286" s="882"/>
      <c r="J1286" s="883"/>
      <c r="K1286" s="884"/>
      <c r="L1286" s="884"/>
      <c r="M1286" s="68"/>
    </row>
    <row r="1287" spans="1:13" s="64" customFormat="1">
      <c r="A1287" s="10"/>
      <c r="B1287" s="111"/>
      <c r="C1287" s="68"/>
      <c r="D1287" s="374"/>
      <c r="E1287" s="660"/>
      <c r="F1287" s="112"/>
      <c r="G1287" s="68"/>
      <c r="H1287" s="603"/>
      <c r="I1287" s="882"/>
      <c r="J1287" s="883"/>
      <c r="K1287" s="884"/>
      <c r="L1287" s="884"/>
      <c r="M1287" s="68"/>
    </row>
    <row r="1288" spans="1:13" s="64" customFormat="1">
      <c r="A1288" s="10"/>
      <c r="B1288" s="111"/>
      <c r="C1288" s="68"/>
      <c r="D1288" s="374"/>
      <c r="E1288" s="660"/>
      <c r="F1288" s="112"/>
      <c r="G1288" s="68"/>
      <c r="H1288" s="603"/>
      <c r="I1288" s="882"/>
      <c r="J1288" s="883"/>
      <c r="K1288" s="884"/>
      <c r="L1288" s="884"/>
      <c r="M1288" s="68"/>
    </row>
    <row r="1289" spans="1:13" s="64" customFormat="1">
      <c r="A1289" s="10"/>
      <c r="B1289" s="111"/>
      <c r="C1289" s="68"/>
      <c r="D1289" s="374"/>
      <c r="E1289" s="660"/>
      <c r="F1289" s="112"/>
      <c r="G1289" s="68"/>
      <c r="H1289" s="603"/>
      <c r="I1289" s="882"/>
      <c r="J1289" s="883"/>
      <c r="K1289" s="884"/>
      <c r="L1289" s="884"/>
      <c r="M1289" s="68"/>
    </row>
    <row r="1290" spans="1:13" s="64" customFormat="1">
      <c r="A1290" s="10"/>
      <c r="B1290" s="111"/>
      <c r="C1290" s="68"/>
      <c r="D1290" s="374"/>
      <c r="E1290" s="660"/>
      <c r="F1290" s="112"/>
      <c r="G1290" s="68"/>
      <c r="H1290" s="603"/>
      <c r="I1290" s="882"/>
      <c r="J1290" s="883"/>
      <c r="K1290" s="884"/>
      <c r="L1290" s="884"/>
      <c r="M1290" s="68"/>
    </row>
    <row r="1291" spans="1:13" s="64" customFormat="1">
      <c r="A1291" s="10"/>
      <c r="B1291" s="111"/>
      <c r="C1291" s="68"/>
      <c r="D1291" s="374"/>
      <c r="E1291" s="660"/>
      <c r="F1291" s="112"/>
      <c r="G1291" s="68"/>
      <c r="H1291" s="603"/>
      <c r="I1291" s="882"/>
      <c r="J1291" s="883"/>
      <c r="K1291" s="884"/>
      <c r="L1291" s="884"/>
      <c r="M1291" s="68"/>
    </row>
    <row r="1292" spans="1:13" s="64" customFormat="1">
      <c r="A1292" s="10"/>
      <c r="B1292" s="111"/>
      <c r="C1292" s="68"/>
      <c r="D1292" s="374"/>
      <c r="E1292" s="660"/>
      <c r="F1292" s="112"/>
      <c r="G1292" s="68"/>
      <c r="H1292" s="603"/>
      <c r="I1292" s="882"/>
      <c r="J1292" s="883"/>
      <c r="K1292" s="884"/>
      <c r="L1292" s="884"/>
      <c r="M1292" s="68"/>
    </row>
    <row r="1293" spans="1:13" s="64" customFormat="1">
      <c r="A1293" s="10"/>
      <c r="B1293" s="111"/>
      <c r="C1293" s="68"/>
      <c r="D1293" s="374"/>
      <c r="E1293" s="660"/>
      <c r="F1293" s="112"/>
      <c r="G1293" s="68"/>
      <c r="H1293" s="603"/>
      <c r="I1293" s="882"/>
      <c r="J1293" s="883"/>
      <c r="K1293" s="884"/>
      <c r="L1293" s="884"/>
      <c r="M1293" s="68"/>
    </row>
    <row r="1294" spans="1:13" s="64" customFormat="1">
      <c r="A1294" s="10"/>
      <c r="B1294" s="111"/>
      <c r="C1294" s="68"/>
      <c r="D1294" s="374"/>
      <c r="E1294" s="660"/>
      <c r="F1294" s="112"/>
      <c r="G1294" s="68"/>
      <c r="H1294" s="603"/>
      <c r="I1294" s="882"/>
      <c r="J1294" s="883"/>
      <c r="K1294" s="884"/>
      <c r="L1294" s="884"/>
      <c r="M1294" s="68"/>
    </row>
    <row r="1295" spans="1:13" s="64" customFormat="1">
      <c r="A1295" s="10"/>
      <c r="B1295" s="111"/>
      <c r="C1295" s="68"/>
      <c r="D1295" s="374"/>
      <c r="E1295" s="660"/>
      <c r="F1295" s="112"/>
      <c r="G1295" s="68"/>
      <c r="H1295" s="603"/>
      <c r="I1295" s="882"/>
      <c r="J1295" s="883"/>
      <c r="K1295" s="884"/>
      <c r="L1295" s="884"/>
      <c r="M1295" s="68"/>
    </row>
    <row r="1296" spans="1:13" s="64" customFormat="1">
      <c r="A1296" s="10"/>
      <c r="B1296" s="111"/>
      <c r="C1296" s="68"/>
      <c r="D1296" s="374"/>
      <c r="E1296" s="660"/>
      <c r="F1296" s="112"/>
      <c r="G1296" s="68"/>
      <c r="H1296" s="603"/>
      <c r="I1296" s="882"/>
      <c r="J1296" s="883"/>
      <c r="K1296" s="884"/>
      <c r="L1296" s="884"/>
      <c r="M1296" s="68"/>
    </row>
    <row r="1297" spans="1:13" s="64" customFormat="1">
      <c r="A1297" s="10"/>
      <c r="B1297" s="111"/>
      <c r="C1297" s="68"/>
      <c r="D1297" s="374"/>
      <c r="E1297" s="660"/>
      <c r="F1297" s="112"/>
      <c r="G1297" s="68"/>
      <c r="H1297" s="603"/>
      <c r="I1297" s="882"/>
      <c r="J1297" s="883"/>
      <c r="K1297" s="884"/>
      <c r="L1297" s="884"/>
      <c r="M1297" s="68"/>
    </row>
    <row r="1298" spans="1:13" s="64" customFormat="1">
      <c r="A1298" s="10"/>
      <c r="B1298" s="111"/>
      <c r="C1298" s="68"/>
      <c r="D1298" s="374"/>
      <c r="E1298" s="660"/>
      <c r="F1298" s="112"/>
      <c r="G1298" s="68"/>
      <c r="H1298" s="603"/>
      <c r="I1298" s="882"/>
      <c r="J1298" s="883"/>
      <c r="K1298" s="884"/>
      <c r="L1298" s="884"/>
      <c r="M1298" s="68"/>
    </row>
    <row r="1299" spans="1:13" s="64" customFormat="1">
      <c r="A1299" s="10"/>
      <c r="B1299" s="111"/>
      <c r="C1299" s="68"/>
      <c r="D1299" s="374"/>
      <c r="E1299" s="660"/>
      <c r="F1299" s="112"/>
      <c r="G1299" s="68"/>
      <c r="H1299" s="603"/>
      <c r="I1299" s="882"/>
      <c r="J1299" s="883"/>
      <c r="K1299" s="884"/>
      <c r="L1299" s="884"/>
      <c r="M1299" s="68"/>
    </row>
    <row r="1300" spans="1:13" s="64" customFormat="1">
      <c r="A1300" s="10"/>
      <c r="B1300" s="111"/>
      <c r="C1300" s="68"/>
      <c r="D1300" s="374"/>
      <c r="E1300" s="660"/>
      <c r="F1300" s="112"/>
      <c r="G1300" s="68"/>
      <c r="H1300" s="603"/>
      <c r="I1300" s="882"/>
      <c r="J1300" s="883"/>
      <c r="K1300" s="884"/>
      <c r="L1300" s="884"/>
      <c r="M1300" s="68"/>
    </row>
    <row r="1301" spans="1:13" s="64" customFormat="1">
      <c r="A1301" s="10"/>
      <c r="B1301" s="111"/>
      <c r="C1301" s="68"/>
      <c r="D1301" s="374"/>
      <c r="E1301" s="660"/>
      <c r="F1301" s="112"/>
      <c r="G1301" s="68"/>
      <c r="H1301" s="603"/>
      <c r="I1301" s="882"/>
      <c r="J1301" s="883"/>
      <c r="K1301" s="884"/>
      <c r="L1301" s="884"/>
      <c r="M1301" s="68"/>
    </row>
    <row r="1302" spans="1:13" s="64" customFormat="1">
      <c r="A1302" s="10"/>
      <c r="B1302" s="111"/>
      <c r="C1302" s="68"/>
      <c r="D1302" s="374"/>
      <c r="E1302" s="660"/>
      <c r="F1302" s="112"/>
      <c r="G1302" s="68"/>
      <c r="H1302" s="603"/>
      <c r="I1302" s="882"/>
      <c r="J1302" s="883"/>
      <c r="K1302" s="884"/>
      <c r="L1302" s="884"/>
      <c r="M1302" s="68"/>
    </row>
    <row r="1303" spans="1:13" s="64" customFormat="1">
      <c r="A1303" s="10"/>
      <c r="B1303" s="111"/>
      <c r="C1303" s="68"/>
      <c r="D1303" s="374"/>
      <c r="E1303" s="660"/>
      <c r="F1303" s="112"/>
      <c r="G1303" s="68"/>
      <c r="H1303" s="603"/>
      <c r="I1303" s="882"/>
      <c r="J1303" s="883"/>
      <c r="K1303" s="884"/>
      <c r="L1303" s="884"/>
      <c r="M1303" s="68"/>
    </row>
    <row r="1304" spans="1:13" s="64" customFormat="1">
      <c r="A1304" s="10"/>
      <c r="B1304" s="111"/>
      <c r="C1304" s="68"/>
      <c r="D1304" s="374"/>
      <c r="E1304" s="660"/>
      <c r="F1304" s="112"/>
      <c r="G1304" s="68"/>
      <c r="H1304" s="603"/>
      <c r="I1304" s="882"/>
      <c r="J1304" s="883"/>
      <c r="K1304" s="884"/>
      <c r="L1304" s="884"/>
      <c r="M1304" s="68"/>
    </row>
    <row r="1305" spans="1:13" s="64" customFormat="1">
      <c r="A1305" s="10"/>
      <c r="B1305" s="111"/>
      <c r="C1305" s="68"/>
      <c r="D1305" s="374"/>
      <c r="E1305" s="660"/>
      <c r="F1305" s="112"/>
      <c r="G1305" s="68"/>
      <c r="H1305" s="603"/>
      <c r="I1305" s="882"/>
      <c r="J1305" s="883"/>
      <c r="K1305" s="884"/>
      <c r="L1305" s="884"/>
      <c r="M1305" s="68"/>
    </row>
    <row r="1306" spans="1:13" s="64" customFormat="1">
      <c r="A1306" s="10"/>
      <c r="B1306" s="111"/>
      <c r="C1306" s="68"/>
      <c r="D1306" s="374"/>
      <c r="E1306" s="660"/>
      <c r="F1306" s="112"/>
      <c r="G1306" s="68"/>
      <c r="H1306" s="603"/>
      <c r="I1306" s="882"/>
      <c r="J1306" s="883"/>
      <c r="K1306" s="884"/>
      <c r="L1306" s="884"/>
      <c r="M1306" s="68"/>
    </row>
    <row r="1307" spans="1:13" s="64" customFormat="1">
      <c r="A1307" s="10"/>
      <c r="B1307" s="111"/>
      <c r="C1307" s="68"/>
      <c r="D1307" s="374"/>
      <c r="E1307" s="660"/>
      <c r="F1307" s="112"/>
      <c r="G1307" s="68"/>
      <c r="H1307" s="603"/>
      <c r="I1307" s="882"/>
      <c r="J1307" s="883"/>
      <c r="K1307" s="884"/>
      <c r="L1307" s="884"/>
      <c r="M1307" s="68"/>
    </row>
    <row r="1308" spans="1:13" s="64" customFormat="1">
      <c r="A1308" s="10"/>
      <c r="B1308" s="111"/>
      <c r="C1308" s="68"/>
      <c r="D1308" s="374"/>
      <c r="E1308" s="660"/>
      <c r="F1308" s="112"/>
      <c r="G1308" s="68"/>
      <c r="H1308" s="603"/>
      <c r="I1308" s="882"/>
      <c r="J1308" s="883"/>
      <c r="K1308" s="884"/>
      <c r="L1308" s="884"/>
      <c r="M1308" s="68"/>
    </row>
    <row r="1309" spans="1:13" s="64" customFormat="1">
      <c r="A1309" s="10"/>
      <c r="B1309" s="111"/>
      <c r="C1309" s="68"/>
      <c r="D1309" s="374"/>
      <c r="E1309" s="660"/>
      <c r="F1309" s="112"/>
      <c r="G1309" s="68"/>
      <c r="H1309" s="603"/>
      <c r="I1309" s="882"/>
      <c r="J1309" s="883"/>
      <c r="K1309" s="884"/>
      <c r="L1309" s="884"/>
      <c r="M1309" s="68"/>
    </row>
    <row r="1310" spans="1:13" s="64" customFormat="1">
      <c r="A1310" s="10"/>
      <c r="B1310" s="111"/>
      <c r="C1310" s="68"/>
      <c r="D1310" s="374"/>
      <c r="E1310" s="660"/>
      <c r="F1310" s="112"/>
      <c r="G1310" s="68"/>
      <c r="H1310" s="603"/>
      <c r="I1310" s="882"/>
      <c r="J1310" s="883"/>
      <c r="K1310" s="884"/>
      <c r="L1310" s="884"/>
      <c r="M1310" s="68"/>
    </row>
    <row r="1311" spans="1:13" s="64" customFormat="1">
      <c r="A1311" s="10"/>
      <c r="B1311" s="111"/>
      <c r="C1311" s="68"/>
      <c r="D1311" s="374"/>
      <c r="E1311" s="660"/>
      <c r="F1311" s="112"/>
      <c r="G1311" s="68"/>
      <c r="H1311" s="603"/>
      <c r="I1311" s="882"/>
      <c r="J1311" s="883"/>
      <c r="K1311" s="884"/>
      <c r="L1311" s="884"/>
      <c r="M1311" s="68"/>
    </row>
    <row r="1312" spans="1:13" s="64" customFormat="1">
      <c r="A1312" s="10"/>
      <c r="B1312" s="111"/>
      <c r="C1312" s="68"/>
      <c r="D1312" s="374"/>
      <c r="E1312" s="660"/>
      <c r="F1312" s="112"/>
      <c r="G1312" s="68"/>
      <c r="H1312" s="603"/>
      <c r="I1312" s="882"/>
      <c r="J1312" s="883"/>
      <c r="K1312" s="884"/>
      <c r="L1312" s="884"/>
      <c r="M1312" s="68"/>
    </row>
    <row r="1313" spans="1:13" s="64" customFormat="1">
      <c r="A1313" s="10"/>
      <c r="B1313" s="111"/>
      <c r="C1313" s="68"/>
      <c r="D1313" s="374"/>
      <c r="E1313" s="660"/>
      <c r="F1313" s="112"/>
      <c r="G1313" s="68"/>
      <c r="H1313" s="603"/>
      <c r="I1313" s="882"/>
      <c r="J1313" s="883"/>
      <c r="K1313" s="884"/>
      <c r="L1313" s="884"/>
      <c r="M1313" s="68"/>
    </row>
    <row r="1314" spans="1:13" s="64" customFormat="1">
      <c r="A1314" s="10"/>
      <c r="B1314" s="111"/>
      <c r="C1314" s="68"/>
      <c r="D1314" s="374"/>
      <c r="E1314" s="660"/>
      <c r="F1314" s="112"/>
      <c r="G1314" s="68"/>
      <c r="H1314" s="603"/>
      <c r="I1314" s="882"/>
      <c r="J1314" s="883"/>
      <c r="K1314" s="884"/>
      <c r="L1314" s="884"/>
      <c r="M1314" s="68"/>
    </row>
    <row r="1315" spans="1:13" s="64" customFormat="1">
      <c r="A1315" s="10"/>
      <c r="B1315" s="111"/>
      <c r="C1315" s="68"/>
      <c r="D1315" s="374"/>
      <c r="E1315" s="660"/>
      <c r="F1315" s="112"/>
      <c r="G1315" s="68"/>
      <c r="H1315" s="603"/>
      <c r="I1315" s="882"/>
      <c r="J1315" s="883"/>
      <c r="K1315" s="884"/>
      <c r="L1315" s="884"/>
      <c r="M1315" s="68"/>
    </row>
    <row r="1316" spans="1:13" s="64" customFormat="1">
      <c r="A1316" s="10"/>
      <c r="B1316" s="111"/>
      <c r="C1316" s="68"/>
      <c r="D1316" s="374"/>
      <c r="E1316" s="660"/>
      <c r="F1316" s="112"/>
      <c r="G1316" s="68"/>
      <c r="H1316" s="603"/>
      <c r="I1316" s="882"/>
      <c r="J1316" s="883"/>
      <c r="K1316" s="884"/>
      <c r="L1316" s="884"/>
      <c r="M1316" s="68"/>
    </row>
    <row r="1317" spans="1:13" s="64" customFormat="1">
      <c r="A1317" s="10"/>
      <c r="B1317" s="111"/>
      <c r="C1317" s="68"/>
      <c r="D1317" s="374"/>
      <c r="E1317" s="660"/>
      <c r="F1317" s="112"/>
      <c r="G1317" s="68"/>
      <c r="H1317" s="603"/>
      <c r="I1317" s="882"/>
      <c r="J1317" s="883"/>
      <c r="K1317" s="884"/>
      <c r="L1317" s="884"/>
      <c r="M1317" s="68"/>
    </row>
    <row r="1318" spans="1:13" s="64" customFormat="1">
      <c r="A1318" s="10"/>
      <c r="B1318" s="111"/>
      <c r="C1318" s="68"/>
      <c r="D1318" s="374"/>
      <c r="E1318" s="660"/>
      <c r="F1318" s="112"/>
      <c r="G1318" s="68"/>
      <c r="H1318" s="603"/>
      <c r="I1318" s="882"/>
      <c r="J1318" s="883"/>
      <c r="K1318" s="884"/>
      <c r="L1318" s="884"/>
      <c r="M1318" s="68"/>
    </row>
    <row r="1319" spans="1:13" s="64" customFormat="1">
      <c r="A1319" s="10"/>
      <c r="B1319" s="111"/>
      <c r="C1319" s="68"/>
      <c r="D1319" s="374"/>
      <c r="E1319" s="660"/>
      <c r="F1319" s="112"/>
      <c r="G1319" s="68"/>
      <c r="H1319" s="603"/>
      <c r="I1319" s="882"/>
      <c r="J1319" s="883"/>
      <c r="K1319" s="884"/>
      <c r="L1319" s="884"/>
      <c r="M1319" s="68"/>
    </row>
    <row r="1320" spans="1:13" s="64" customFormat="1">
      <c r="A1320" s="10"/>
      <c r="B1320" s="111"/>
      <c r="C1320" s="68"/>
      <c r="D1320" s="374"/>
      <c r="E1320" s="660"/>
      <c r="F1320" s="112"/>
      <c r="G1320" s="68"/>
      <c r="H1320" s="603"/>
      <c r="I1320" s="882"/>
      <c r="J1320" s="883"/>
      <c r="K1320" s="884"/>
      <c r="L1320" s="884"/>
      <c r="M1320" s="68"/>
    </row>
    <row r="1321" spans="1:13" s="64" customFormat="1">
      <c r="A1321" s="10"/>
      <c r="B1321" s="111"/>
      <c r="C1321" s="68"/>
      <c r="D1321" s="374"/>
      <c r="E1321" s="660"/>
      <c r="F1321" s="112"/>
      <c r="G1321" s="68"/>
      <c r="H1321" s="603"/>
      <c r="I1321" s="882"/>
      <c r="J1321" s="883"/>
      <c r="K1321" s="884"/>
      <c r="L1321" s="884"/>
      <c r="M1321" s="68"/>
    </row>
    <row r="1322" spans="1:13" s="64" customFormat="1">
      <c r="A1322" s="10"/>
      <c r="B1322" s="111"/>
      <c r="C1322" s="68"/>
      <c r="D1322" s="374"/>
      <c r="E1322" s="660"/>
      <c r="F1322" s="112"/>
      <c r="G1322" s="68"/>
      <c r="H1322" s="603"/>
      <c r="I1322" s="882"/>
      <c r="J1322" s="883"/>
      <c r="K1322" s="884"/>
      <c r="L1322" s="884"/>
      <c r="M1322" s="68"/>
    </row>
    <row r="1323" spans="1:13" s="64" customFormat="1">
      <c r="A1323" s="10"/>
      <c r="B1323" s="111"/>
      <c r="C1323" s="68"/>
      <c r="D1323" s="374"/>
      <c r="E1323" s="660"/>
      <c r="F1323" s="112"/>
      <c r="G1323" s="68"/>
      <c r="H1323" s="603"/>
      <c r="I1323" s="882"/>
      <c r="J1323" s="883"/>
      <c r="K1323" s="884"/>
      <c r="L1323" s="884"/>
      <c r="M1323" s="68"/>
    </row>
    <row r="1324" spans="1:13" s="64" customFormat="1">
      <c r="A1324" s="10"/>
      <c r="B1324" s="111"/>
      <c r="C1324" s="68"/>
      <c r="D1324" s="374"/>
      <c r="E1324" s="660"/>
      <c r="F1324" s="112"/>
      <c r="G1324" s="68"/>
      <c r="H1324" s="603"/>
      <c r="I1324" s="882"/>
      <c r="J1324" s="883"/>
      <c r="K1324" s="884"/>
      <c r="L1324" s="884"/>
      <c r="M1324" s="68"/>
    </row>
    <row r="1325" spans="1:13" s="64" customFormat="1">
      <c r="A1325" s="10"/>
      <c r="B1325" s="111"/>
      <c r="C1325" s="68"/>
      <c r="D1325" s="374"/>
      <c r="E1325" s="660"/>
      <c r="F1325" s="112"/>
      <c r="G1325" s="68"/>
      <c r="H1325" s="603"/>
      <c r="I1325" s="882"/>
      <c r="J1325" s="883"/>
      <c r="K1325" s="884"/>
      <c r="L1325" s="884"/>
      <c r="M1325" s="68"/>
    </row>
    <row r="1326" spans="1:13" s="64" customFormat="1">
      <c r="A1326" s="10"/>
      <c r="B1326" s="111"/>
      <c r="C1326" s="68"/>
      <c r="D1326" s="374"/>
      <c r="E1326" s="660"/>
      <c r="F1326" s="112"/>
      <c r="G1326" s="68"/>
      <c r="H1326" s="603"/>
      <c r="I1326" s="882"/>
      <c r="J1326" s="883"/>
      <c r="K1326" s="884"/>
      <c r="L1326" s="884"/>
      <c r="M1326" s="68"/>
    </row>
    <row r="1327" spans="1:13" s="64" customFormat="1">
      <c r="A1327" s="10"/>
      <c r="B1327" s="111"/>
      <c r="C1327" s="68"/>
      <c r="D1327" s="374"/>
      <c r="E1327" s="660"/>
      <c r="F1327" s="112"/>
      <c r="G1327" s="68"/>
      <c r="H1327" s="603"/>
      <c r="I1327" s="882"/>
      <c r="J1327" s="883"/>
      <c r="K1327" s="884"/>
      <c r="L1327" s="884"/>
      <c r="M1327" s="68"/>
    </row>
    <row r="1328" spans="1:13" s="64" customFormat="1">
      <c r="A1328" s="10"/>
      <c r="B1328" s="111"/>
      <c r="C1328" s="68"/>
      <c r="D1328" s="374"/>
      <c r="E1328" s="660"/>
      <c r="F1328" s="112"/>
      <c r="G1328" s="68"/>
      <c r="H1328" s="603"/>
      <c r="I1328" s="882"/>
      <c r="J1328" s="883"/>
      <c r="K1328" s="884"/>
      <c r="L1328" s="884"/>
      <c r="M1328" s="68"/>
    </row>
    <row r="1329" spans="1:13" s="64" customFormat="1">
      <c r="A1329" s="10"/>
      <c r="B1329" s="111"/>
      <c r="C1329" s="68"/>
      <c r="D1329" s="374"/>
      <c r="E1329" s="660"/>
      <c r="F1329" s="112"/>
      <c r="G1329" s="68"/>
      <c r="H1329" s="603"/>
      <c r="I1329" s="882"/>
      <c r="J1329" s="883"/>
      <c r="K1329" s="884"/>
      <c r="L1329" s="884"/>
      <c r="M1329" s="68"/>
    </row>
    <row r="1330" spans="1:13" s="64" customFormat="1">
      <c r="A1330" s="10"/>
      <c r="B1330" s="111"/>
      <c r="C1330" s="68"/>
      <c r="D1330" s="374"/>
      <c r="E1330" s="660"/>
      <c r="F1330" s="112"/>
      <c r="G1330" s="68"/>
      <c r="H1330" s="603"/>
      <c r="I1330" s="882"/>
      <c r="J1330" s="883"/>
      <c r="K1330" s="884"/>
      <c r="L1330" s="884"/>
      <c r="M1330" s="68"/>
    </row>
    <row r="1331" spans="1:13" s="64" customFormat="1">
      <c r="A1331" s="10"/>
      <c r="B1331" s="111"/>
      <c r="C1331" s="68"/>
      <c r="D1331" s="374"/>
      <c r="E1331" s="660"/>
      <c r="F1331" s="112"/>
      <c r="G1331" s="68"/>
      <c r="H1331" s="603"/>
      <c r="I1331" s="882"/>
      <c r="J1331" s="883"/>
      <c r="K1331" s="884"/>
      <c r="L1331" s="884"/>
      <c r="M1331" s="68"/>
    </row>
    <row r="1332" spans="1:13" s="64" customFormat="1">
      <c r="A1332" s="10"/>
      <c r="B1332" s="111"/>
      <c r="C1332" s="68"/>
      <c r="D1332" s="374"/>
      <c r="E1332" s="660"/>
      <c r="F1332" s="112"/>
      <c r="G1332" s="68"/>
      <c r="H1332" s="603"/>
      <c r="I1332" s="882"/>
      <c r="J1332" s="883"/>
      <c r="K1332" s="884"/>
      <c r="L1332" s="884"/>
      <c r="M1332" s="68"/>
    </row>
    <row r="1333" spans="1:13" s="64" customFormat="1">
      <c r="A1333" s="10"/>
      <c r="B1333" s="111"/>
      <c r="C1333" s="68"/>
      <c r="D1333" s="374"/>
      <c r="E1333" s="660"/>
      <c r="F1333" s="112"/>
      <c r="G1333" s="68"/>
      <c r="H1333" s="603"/>
      <c r="I1333" s="882"/>
      <c r="J1333" s="883"/>
      <c r="K1333" s="884"/>
      <c r="L1333" s="884"/>
      <c r="M1333" s="68"/>
    </row>
    <row r="1334" spans="1:13" s="64" customFormat="1">
      <c r="A1334" s="10"/>
      <c r="B1334" s="111"/>
      <c r="C1334" s="68"/>
      <c r="D1334" s="374"/>
      <c r="E1334" s="660"/>
      <c r="F1334" s="112"/>
      <c r="G1334" s="68"/>
      <c r="H1334" s="603"/>
      <c r="I1334" s="882"/>
      <c r="J1334" s="883"/>
      <c r="K1334" s="884"/>
      <c r="L1334" s="884"/>
      <c r="M1334" s="68"/>
    </row>
    <row r="1335" spans="1:13" s="64" customFormat="1">
      <c r="A1335" s="10"/>
      <c r="B1335" s="111"/>
      <c r="C1335" s="68"/>
      <c r="D1335" s="374"/>
      <c r="E1335" s="660"/>
      <c r="F1335" s="112"/>
      <c r="G1335" s="68"/>
      <c r="H1335" s="603"/>
      <c r="I1335" s="882"/>
      <c r="J1335" s="883"/>
      <c r="K1335" s="884"/>
      <c r="L1335" s="884"/>
      <c r="M1335" s="68"/>
    </row>
    <row r="1336" spans="1:13" s="64" customFormat="1">
      <c r="A1336" s="10"/>
      <c r="B1336" s="111"/>
      <c r="C1336" s="68"/>
      <c r="D1336" s="374"/>
      <c r="E1336" s="660"/>
      <c r="F1336" s="112"/>
      <c r="G1336" s="68"/>
      <c r="H1336" s="603"/>
      <c r="I1336" s="882"/>
      <c r="J1336" s="883"/>
      <c r="K1336" s="884"/>
      <c r="L1336" s="884"/>
      <c r="M1336" s="68"/>
    </row>
    <row r="1337" spans="1:13" s="64" customFormat="1">
      <c r="A1337" s="10"/>
      <c r="B1337" s="111"/>
      <c r="C1337" s="68"/>
      <c r="D1337" s="374"/>
      <c r="E1337" s="660"/>
      <c r="F1337" s="112"/>
      <c r="G1337" s="68"/>
      <c r="H1337" s="603"/>
      <c r="I1337" s="882"/>
      <c r="J1337" s="883"/>
      <c r="K1337" s="884"/>
      <c r="L1337" s="884"/>
      <c r="M1337" s="68"/>
    </row>
    <row r="1338" spans="1:13" s="64" customFormat="1">
      <c r="A1338" s="10"/>
      <c r="B1338" s="111"/>
      <c r="C1338" s="68"/>
      <c r="D1338" s="374"/>
      <c r="E1338" s="660"/>
      <c r="F1338" s="112"/>
      <c r="G1338" s="68"/>
      <c r="H1338" s="603"/>
      <c r="I1338" s="882"/>
      <c r="J1338" s="883"/>
      <c r="K1338" s="884"/>
      <c r="L1338" s="884"/>
      <c r="M1338" s="68"/>
    </row>
    <row r="1339" spans="1:13" s="64" customFormat="1">
      <c r="A1339" s="10"/>
      <c r="B1339" s="111"/>
      <c r="C1339" s="68"/>
      <c r="D1339" s="374"/>
      <c r="E1339" s="660"/>
      <c r="F1339" s="112"/>
      <c r="G1339" s="68"/>
      <c r="H1339" s="603"/>
      <c r="I1339" s="882"/>
      <c r="J1339" s="883"/>
      <c r="K1339" s="884"/>
      <c r="L1339" s="884"/>
      <c r="M1339" s="68"/>
    </row>
    <row r="1340" spans="1:13" s="64" customFormat="1">
      <c r="A1340" s="10"/>
      <c r="B1340" s="111"/>
      <c r="C1340" s="68"/>
      <c r="D1340" s="374"/>
      <c r="E1340" s="660"/>
      <c r="F1340" s="112"/>
      <c r="G1340" s="68"/>
      <c r="H1340" s="603"/>
      <c r="I1340" s="882"/>
      <c r="J1340" s="883"/>
      <c r="K1340" s="884"/>
      <c r="L1340" s="884"/>
      <c r="M1340" s="68"/>
    </row>
    <row r="1341" spans="1:13" s="64" customFormat="1">
      <c r="A1341" s="10"/>
      <c r="B1341" s="111"/>
      <c r="C1341" s="68"/>
      <c r="D1341" s="374"/>
      <c r="E1341" s="660"/>
      <c r="F1341" s="112"/>
      <c r="G1341" s="68"/>
      <c r="H1341" s="603"/>
      <c r="I1341" s="882"/>
      <c r="J1341" s="883"/>
      <c r="K1341" s="884"/>
      <c r="L1341" s="884"/>
      <c r="M1341" s="68"/>
    </row>
    <row r="1342" spans="1:13" s="64" customFormat="1">
      <c r="A1342" s="10"/>
      <c r="B1342" s="111"/>
      <c r="C1342" s="68"/>
      <c r="D1342" s="374"/>
      <c r="E1342" s="660"/>
      <c r="F1342" s="112"/>
      <c r="G1342" s="68"/>
      <c r="H1342" s="603"/>
      <c r="I1342" s="882"/>
      <c r="J1342" s="883"/>
      <c r="K1342" s="884"/>
      <c r="L1342" s="884"/>
      <c r="M1342" s="68"/>
    </row>
    <row r="1343" spans="1:13" s="64" customFormat="1">
      <c r="A1343" s="10"/>
      <c r="B1343" s="111"/>
      <c r="C1343" s="68"/>
      <c r="D1343" s="374"/>
      <c r="E1343" s="660"/>
      <c r="F1343" s="112"/>
      <c r="G1343" s="68"/>
      <c r="H1343" s="603"/>
      <c r="I1343" s="882"/>
      <c r="J1343" s="883"/>
      <c r="K1343" s="884"/>
      <c r="L1343" s="884"/>
      <c r="M1343" s="68"/>
    </row>
    <row r="1344" spans="1:13" s="64" customFormat="1">
      <c r="A1344" s="10"/>
      <c r="B1344" s="111"/>
      <c r="C1344" s="68"/>
      <c r="D1344" s="374"/>
      <c r="E1344" s="660"/>
      <c r="F1344" s="112"/>
      <c r="G1344" s="68"/>
      <c r="H1344" s="603"/>
      <c r="I1344" s="882"/>
      <c r="J1344" s="883"/>
      <c r="K1344" s="884"/>
      <c r="L1344" s="884"/>
      <c r="M1344" s="68"/>
    </row>
    <row r="1345" spans="1:13" s="64" customFormat="1">
      <c r="A1345" s="10"/>
      <c r="B1345" s="111"/>
      <c r="C1345" s="68"/>
      <c r="D1345" s="374"/>
      <c r="E1345" s="660"/>
      <c r="F1345" s="112"/>
      <c r="G1345" s="68"/>
      <c r="H1345" s="603"/>
      <c r="I1345" s="882"/>
      <c r="J1345" s="883"/>
      <c r="K1345" s="884"/>
      <c r="L1345" s="884"/>
      <c r="M1345" s="68"/>
    </row>
    <row r="1346" spans="1:13" s="64" customFormat="1">
      <c r="A1346" s="10"/>
      <c r="B1346" s="111"/>
      <c r="C1346" s="68"/>
      <c r="D1346" s="374"/>
      <c r="E1346" s="660"/>
      <c r="F1346" s="112"/>
      <c r="G1346" s="68"/>
      <c r="H1346" s="603"/>
      <c r="I1346" s="882"/>
      <c r="J1346" s="883"/>
      <c r="K1346" s="884"/>
      <c r="L1346" s="884"/>
      <c r="M1346" s="68"/>
    </row>
    <row r="1347" spans="1:13" s="64" customFormat="1">
      <c r="A1347" s="10"/>
      <c r="B1347" s="111"/>
      <c r="C1347" s="68"/>
      <c r="D1347" s="374"/>
      <c r="E1347" s="660"/>
      <c r="F1347" s="112"/>
      <c r="G1347" s="68"/>
      <c r="H1347" s="603"/>
      <c r="I1347" s="882"/>
      <c r="J1347" s="883"/>
      <c r="K1347" s="884"/>
      <c r="L1347" s="884"/>
      <c r="M1347" s="68"/>
    </row>
    <row r="1348" spans="1:13" s="64" customFormat="1">
      <c r="A1348" s="10"/>
      <c r="B1348" s="111"/>
      <c r="C1348" s="68"/>
      <c r="D1348" s="374"/>
      <c r="E1348" s="660"/>
      <c r="F1348" s="112"/>
      <c r="G1348" s="68"/>
      <c r="H1348" s="603"/>
      <c r="I1348" s="882"/>
      <c r="J1348" s="883"/>
      <c r="K1348" s="884"/>
      <c r="L1348" s="884"/>
      <c r="M1348" s="68"/>
    </row>
    <row r="1349" spans="1:13" s="64" customFormat="1">
      <c r="A1349" s="10"/>
      <c r="B1349" s="111"/>
      <c r="C1349" s="68"/>
      <c r="D1349" s="374"/>
      <c r="E1349" s="660"/>
      <c r="F1349" s="112"/>
      <c r="G1349" s="68"/>
      <c r="H1349" s="603"/>
      <c r="I1349" s="882"/>
      <c r="J1349" s="883"/>
      <c r="K1349" s="884"/>
      <c r="L1349" s="884"/>
      <c r="M1349" s="68"/>
    </row>
    <row r="1350" spans="1:13" s="64" customFormat="1">
      <c r="A1350" s="10"/>
      <c r="B1350" s="111"/>
      <c r="C1350" s="68"/>
      <c r="D1350" s="374"/>
      <c r="E1350" s="660"/>
      <c r="F1350" s="112"/>
      <c r="G1350" s="68"/>
      <c r="H1350" s="603"/>
      <c r="I1350" s="882"/>
      <c r="J1350" s="883"/>
      <c r="K1350" s="884"/>
      <c r="L1350" s="884"/>
      <c r="M1350" s="68"/>
    </row>
    <row r="1351" spans="1:13" s="64" customFormat="1">
      <c r="A1351" s="10"/>
      <c r="B1351" s="111"/>
      <c r="C1351" s="68"/>
      <c r="D1351" s="374"/>
      <c r="E1351" s="660"/>
      <c r="F1351" s="112"/>
      <c r="G1351" s="68"/>
      <c r="H1351" s="603"/>
      <c r="I1351" s="882"/>
      <c r="J1351" s="883"/>
      <c r="K1351" s="884"/>
      <c r="L1351" s="884"/>
      <c r="M1351" s="68"/>
    </row>
    <row r="1352" spans="1:13" s="64" customFormat="1">
      <c r="A1352" s="10"/>
      <c r="B1352" s="111"/>
      <c r="C1352" s="68"/>
      <c r="D1352" s="374"/>
      <c r="E1352" s="660"/>
      <c r="F1352" s="112"/>
      <c r="G1352" s="68"/>
      <c r="H1352" s="603"/>
      <c r="I1352" s="882"/>
      <c r="J1352" s="883"/>
      <c r="K1352" s="884"/>
      <c r="L1352" s="884"/>
      <c r="M1352" s="68"/>
    </row>
    <row r="1353" spans="1:13" s="64" customFormat="1">
      <c r="A1353" s="10"/>
      <c r="B1353" s="111"/>
      <c r="C1353" s="68"/>
      <c r="D1353" s="374"/>
      <c r="E1353" s="660"/>
      <c r="F1353" s="112"/>
      <c r="G1353" s="68"/>
      <c r="H1353" s="603"/>
      <c r="I1353" s="882"/>
      <c r="J1353" s="883"/>
      <c r="K1353" s="884"/>
      <c r="L1353" s="884"/>
      <c r="M1353" s="68"/>
    </row>
    <row r="1354" spans="1:13" s="64" customFormat="1">
      <c r="A1354" s="10"/>
      <c r="B1354" s="111"/>
      <c r="C1354" s="68"/>
      <c r="D1354" s="374"/>
      <c r="E1354" s="660"/>
      <c r="F1354" s="112"/>
      <c r="G1354" s="68"/>
      <c r="H1354" s="603"/>
      <c r="I1354" s="882"/>
      <c r="J1354" s="883"/>
      <c r="K1354" s="884"/>
      <c r="L1354" s="884"/>
      <c r="M1354" s="68"/>
    </row>
    <row r="1355" spans="1:13" s="64" customFormat="1">
      <c r="A1355" s="10"/>
      <c r="B1355" s="111"/>
      <c r="C1355" s="68"/>
      <c r="D1355" s="374"/>
      <c r="E1355" s="660"/>
      <c r="F1355" s="112"/>
      <c r="G1355" s="68"/>
      <c r="H1355" s="603"/>
      <c r="I1355" s="882"/>
      <c r="J1355" s="883"/>
      <c r="K1355" s="884"/>
      <c r="L1355" s="884"/>
      <c r="M1355" s="68"/>
    </row>
    <row r="1356" spans="1:13" s="64" customFormat="1">
      <c r="A1356" s="10"/>
      <c r="B1356" s="111"/>
      <c r="C1356" s="68"/>
      <c r="D1356" s="374"/>
      <c r="E1356" s="660"/>
      <c r="F1356" s="112"/>
      <c r="G1356" s="68"/>
      <c r="H1356" s="603"/>
      <c r="I1356" s="882"/>
      <c r="J1356" s="883"/>
      <c r="K1356" s="884"/>
      <c r="L1356" s="884"/>
      <c r="M1356" s="68"/>
    </row>
    <row r="1357" spans="1:13" s="64" customFormat="1">
      <c r="A1357" s="10"/>
      <c r="B1357" s="111"/>
      <c r="C1357" s="68"/>
      <c r="D1357" s="374"/>
      <c r="E1357" s="660"/>
      <c r="F1357" s="112"/>
      <c r="G1357" s="68"/>
      <c r="H1357" s="603"/>
      <c r="I1357" s="882"/>
      <c r="J1357" s="883"/>
      <c r="K1357" s="884"/>
      <c r="L1357" s="884"/>
      <c r="M1357" s="68"/>
    </row>
    <row r="1358" spans="1:13" s="64" customFormat="1">
      <c r="A1358" s="10"/>
      <c r="B1358" s="111"/>
      <c r="C1358" s="68"/>
      <c r="D1358" s="374"/>
      <c r="E1358" s="660"/>
      <c r="F1358" s="112"/>
      <c r="G1358" s="68"/>
      <c r="H1358" s="603"/>
      <c r="I1358" s="882"/>
      <c r="J1358" s="883"/>
      <c r="K1358" s="884"/>
      <c r="L1358" s="884"/>
      <c r="M1358" s="68"/>
    </row>
    <row r="1359" spans="1:13" s="64" customFormat="1">
      <c r="A1359" s="10"/>
      <c r="B1359" s="111"/>
      <c r="C1359" s="68"/>
      <c r="D1359" s="374"/>
      <c r="E1359" s="660"/>
      <c r="F1359" s="112"/>
      <c r="G1359" s="68"/>
      <c r="H1359" s="603"/>
      <c r="I1359" s="882"/>
      <c r="J1359" s="883"/>
      <c r="K1359" s="884"/>
      <c r="L1359" s="884"/>
      <c r="M1359" s="68"/>
    </row>
    <row r="1360" spans="1:13" s="64" customFormat="1">
      <c r="A1360" s="10"/>
      <c r="B1360" s="111"/>
      <c r="C1360" s="68"/>
      <c r="D1360" s="374"/>
      <c r="E1360" s="660"/>
      <c r="F1360" s="112"/>
      <c r="G1360" s="68"/>
      <c r="H1360" s="603"/>
      <c r="I1360" s="882"/>
      <c r="J1360" s="883"/>
      <c r="K1360" s="884"/>
      <c r="L1360" s="884"/>
      <c r="M1360" s="68"/>
    </row>
    <row r="1361" spans="1:13" s="64" customFormat="1">
      <c r="A1361" s="10"/>
      <c r="B1361" s="111"/>
      <c r="C1361" s="68"/>
      <c r="D1361" s="374"/>
      <c r="E1361" s="660"/>
      <c r="F1361" s="112"/>
      <c r="G1361" s="68"/>
      <c r="H1361" s="603"/>
      <c r="I1361" s="882"/>
      <c r="J1361" s="883"/>
      <c r="K1361" s="884"/>
      <c r="L1361" s="884"/>
      <c r="M1361" s="68"/>
    </row>
    <row r="1362" spans="1:13" s="64" customFormat="1">
      <c r="A1362" s="10"/>
      <c r="B1362" s="111"/>
      <c r="C1362" s="68"/>
      <c r="D1362" s="374"/>
      <c r="E1362" s="660"/>
      <c r="F1362" s="112"/>
      <c r="G1362" s="68"/>
      <c r="H1362" s="603"/>
      <c r="I1362" s="882"/>
      <c r="J1362" s="883"/>
      <c r="K1362" s="884"/>
      <c r="L1362" s="884"/>
      <c r="M1362" s="68"/>
    </row>
    <row r="1363" spans="1:13" s="64" customFormat="1">
      <c r="A1363" s="10"/>
      <c r="B1363" s="111"/>
      <c r="C1363" s="68"/>
      <c r="D1363" s="374"/>
      <c r="E1363" s="660"/>
      <c r="F1363" s="112"/>
      <c r="G1363" s="68"/>
      <c r="H1363" s="603"/>
      <c r="I1363" s="882"/>
      <c r="J1363" s="883"/>
      <c r="K1363" s="884"/>
      <c r="L1363" s="884"/>
      <c r="M1363" s="68"/>
    </row>
    <row r="1364" spans="1:13" s="64" customFormat="1">
      <c r="A1364" s="10"/>
      <c r="B1364" s="111"/>
      <c r="C1364" s="68"/>
      <c r="D1364" s="374"/>
      <c r="E1364" s="660"/>
      <c r="F1364" s="112"/>
      <c r="G1364" s="68"/>
      <c r="H1364" s="603"/>
      <c r="I1364" s="882"/>
      <c r="J1364" s="883"/>
      <c r="K1364" s="884"/>
      <c r="L1364" s="884"/>
      <c r="M1364" s="68"/>
    </row>
    <row r="1365" spans="1:13" s="64" customFormat="1">
      <c r="A1365" s="10"/>
      <c r="B1365" s="111"/>
      <c r="C1365" s="68"/>
      <c r="D1365" s="374"/>
      <c r="E1365" s="660"/>
      <c r="F1365" s="112"/>
      <c r="G1365" s="68"/>
      <c r="H1365" s="603"/>
      <c r="I1365" s="882"/>
      <c r="J1365" s="883"/>
      <c r="K1365" s="884"/>
      <c r="L1365" s="884"/>
      <c r="M1365" s="68"/>
    </row>
    <row r="1366" spans="1:13" s="64" customFormat="1">
      <c r="A1366" s="10"/>
      <c r="B1366" s="111"/>
      <c r="C1366" s="68"/>
      <c r="D1366" s="374"/>
      <c r="E1366" s="660"/>
      <c r="F1366" s="112"/>
      <c r="G1366" s="68"/>
      <c r="H1366" s="603"/>
      <c r="I1366" s="882"/>
      <c r="J1366" s="883"/>
      <c r="K1366" s="884"/>
      <c r="L1366" s="884"/>
      <c r="M1366" s="68"/>
    </row>
    <row r="1367" spans="1:13" s="64" customFormat="1">
      <c r="A1367" s="10"/>
      <c r="B1367" s="111"/>
      <c r="C1367" s="68"/>
      <c r="D1367" s="374"/>
      <c r="E1367" s="660"/>
      <c r="F1367" s="112"/>
      <c r="G1367" s="68"/>
      <c r="H1367" s="603"/>
      <c r="I1367" s="882"/>
      <c r="J1367" s="883"/>
      <c r="K1367" s="884"/>
      <c r="L1367" s="884"/>
      <c r="M1367" s="68"/>
    </row>
    <row r="1368" spans="1:13" s="64" customFormat="1">
      <c r="A1368" s="10"/>
      <c r="B1368" s="111"/>
      <c r="C1368" s="68"/>
      <c r="D1368" s="374"/>
      <c r="E1368" s="660"/>
      <c r="F1368" s="112"/>
      <c r="G1368" s="68"/>
      <c r="H1368" s="603"/>
      <c r="I1368" s="882"/>
      <c r="J1368" s="883"/>
      <c r="K1368" s="884"/>
      <c r="L1368" s="884"/>
      <c r="M1368" s="68"/>
    </row>
    <row r="1369" spans="1:13" s="64" customFormat="1">
      <c r="A1369" s="10"/>
      <c r="B1369" s="111"/>
      <c r="C1369" s="68"/>
      <c r="D1369" s="374"/>
      <c r="E1369" s="660"/>
      <c r="F1369" s="112"/>
      <c r="G1369" s="68"/>
      <c r="H1369" s="603"/>
      <c r="I1369" s="882"/>
      <c r="J1369" s="883"/>
      <c r="K1369" s="884"/>
      <c r="L1369" s="884"/>
      <c r="M1369" s="68"/>
    </row>
    <row r="1370" spans="1:13" s="64" customFormat="1">
      <c r="A1370" s="10"/>
      <c r="B1370" s="111"/>
      <c r="C1370" s="68"/>
      <c r="D1370" s="374"/>
      <c r="E1370" s="660"/>
      <c r="F1370" s="112"/>
      <c r="G1370" s="68"/>
      <c r="H1370" s="603"/>
      <c r="I1370" s="882"/>
      <c r="J1370" s="883"/>
      <c r="K1370" s="884"/>
      <c r="L1370" s="884"/>
      <c r="M1370" s="68"/>
    </row>
    <row r="1371" spans="1:13" s="64" customFormat="1">
      <c r="A1371" s="10"/>
      <c r="B1371" s="111"/>
      <c r="C1371" s="68"/>
      <c r="D1371" s="374"/>
      <c r="E1371" s="660"/>
      <c r="F1371" s="112"/>
      <c r="G1371" s="68"/>
      <c r="H1371" s="603"/>
      <c r="I1371" s="882"/>
      <c r="J1371" s="883"/>
      <c r="K1371" s="884"/>
      <c r="L1371" s="884"/>
      <c r="M1371" s="68"/>
    </row>
    <row r="1372" spans="1:13" s="64" customFormat="1">
      <c r="A1372" s="10"/>
      <c r="B1372" s="111"/>
      <c r="C1372" s="68"/>
      <c r="D1372" s="374"/>
      <c r="E1372" s="660"/>
      <c r="F1372" s="112"/>
      <c r="G1372" s="68"/>
      <c r="H1372" s="603"/>
      <c r="I1372" s="882"/>
      <c r="J1372" s="883"/>
      <c r="K1372" s="884"/>
      <c r="L1372" s="884"/>
      <c r="M1372" s="68"/>
    </row>
    <row r="1373" spans="1:13" s="64" customFormat="1">
      <c r="A1373" s="10"/>
      <c r="B1373" s="111"/>
      <c r="C1373" s="68"/>
      <c r="D1373" s="374"/>
      <c r="E1373" s="660"/>
      <c r="F1373" s="112"/>
      <c r="G1373" s="68"/>
      <c r="H1373" s="603"/>
      <c r="I1373" s="882"/>
      <c r="J1373" s="883"/>
      <c r="K1373" s="884"/>
      <c r="L1373" s="884"/>
      <c r="M1373" s="68"/>
    </row>
    <row r="1374" spans="1:13" s="64" customFormat="1">
      <c r="A1374" s="10"/>
      <c r="B1374" s="111"/>
      <c r="C1374" s="68"/>
      <c r="D1374" s="374"/>
      <c r="E1374" s="660"/>
      <c r="F1374" s="112"/>
      <c r="G1374" s="68"/>
      <c r="H1374" s="603"/>
      <c r="I1374" s="882"/>
      <c r="J1374" s="883"/>
      <c r="K1374" s="884"/>
      <c r="L1374" s="884"/>
      <c r="M1374" s="68"/>
    </row>
    <row r="1375" spans="1:13" s="64" customFormat="1">
      <c r="A1375" s="10"/>
      <c r="B1375" s="111"/>
      <c r="C1375" s="68"/>
      <c r="D1375" s="374"/>
      <c r="E1375" s="660"/>
      <c r="F1375" s="112"/>
      <c r="G1375" s="68"/>
      <c r="H1375" s="603"/>
      <c r="I1375" s="882"/>
      <c r="J1375" s="883"/>
      <c r="K1375" s="884"/>
      <c r="L1375" s="884"/>
      <c r="M1375" s="68"/>
    </row>
    <row r="1376" spans="1:13" s="64" customFormat="1">
      <c r="A1376" s="10"/>
      <c r="B1376" s="111"/>
      <c r="C1376" s="68"/>
      <c r="D1376" s="374"/>
      <c r="E1376" s="660"/>
      <c r="F1376" s="112"/>
      <c r="G1376" s="68"/>
      <c r="H1376" s="603"/>
      <c r="I1376" s="882"/>
      <c r="J1376" s="883"/>
      <c r="K1376" s="884"/>
      <c r="L1376" s="884"/>
      <c r="M1376" s="68"/>
    </row>
    <row r="1377" spans="1:13" s="64" customFormat="1">
      <c r="A1377" s="10"/>
      <c r="B1377" s="111"/>
      <c r="C1377" s="68"/>
      <c r="D1377" s="374"/>
      <c r="E1377" s="660"/>
      <c r="F1377" s="112"/>
      <c r="G1377" s="68"/>
      <c r="H1377" s="603"/>
      <c r="I1377" s="882"/>
      <c r="J1377" s="883"/>
      <c r="K1377" s="884"/>
      <c r="L1377" s="884"/>
      <c r="M1377" s="68"/>
    </row>
    <row r="1378" spans="1:13" s="64" customFormat="1">
      <c r="A1378" s="10"/>
      <c r="B1378" s="111"/>
      <c r="C1378" s="68"/>
      <c r="D1378" s="374"/>
      <c r="E1378" s="660"/>
      <c r="F1378" s="112"/>
      <c r="G1378" s="68"/>
      <c r="H1378" s="603"/>
      <c r="I1378" s="882"/>
      <c r="J1378" s="883"/>
      <c r="K1378" s="884"/>
      <c r="L1378" s="884"/>
      <c r="M1378" s="68"/>
    </row>
    <row r="1379" spans="1:13" s="64" customFormat="1">
      <c r="A1379" s="10"/>
      <c r="B1379" s="111"/>
      <c r="C1379" s="68"/>
      <c r="D1379" s="374"/>
      <c r="E1379" s="660"/>
      <c r="F1379" s="112"/>
      <c r="G1379" s="68"/>
      <c r="H1379" s="603"/>
      <c r="I1379" s="882"/>
      <c r="J1379" s="883"/>
      <c r="K1379" s="884"/>
      <c r="L1379" s="884"/>
      <c r="M1379" s="68"/>
    </row>
    <row r="1380" spans="1:13" s="64" customFormat="1">
      <c r="A1380" s="10"/>
      <c r="B1380" s="111"/>
      <c r="C1380" s="68"/>
      <c r="D1380" s="374"/>
      <c r="E1380" s="660"/>
      <c r="F1380" s="112"/>
      <c r="G1380" s="68"/>
      <c r="H1380" s="603"/>
      <c r="I1380" s="882"/>
      <c r="J1380" s="883"/>
      <c r="K1380" s="884"/>
      <c r="L1380" s="884"/>
      <c r="M1380" s="68"/>
    </row>
    <row r="1381" spans="1:13" s="64" customFormat="1">
      <c r="A1381" s="10"/>
      <c r="B1381" s="111"/>
      <c r="C1381" s="68"/>
      <c r="D1381" s="374"/>
      <c r="E1381" s="660"/>
      <c r="F1381" s="112"/>
      <c r="G1381" s="68"/>
      <c r="H1381" s="603"/>
      <c r="I1381" s="882"/>
      <c r="J1381" s="883"/>
      <c r="K1381" s="884"/>
      <c r="L1381" s="884"/>
      <c r="M1381" s="68"/>
    </row>
    <row r="1382" spans="1:13" s="64" customFormat="1">
      <c r="A1382" s="10"/>
      <c r="B1382" s="111"/>
      <c r="C1382" s="68"/>
      <c r="D1382" s="374"/>
      <c r="E1382" s="660"/>
      <c r="F1382" s="112"/>
      <c r="G1382" s="68"/>
      <c r="H1382" s="603"/>
      <c r="I1382" s="882"/>
      <c r="J1382" s="883"/>
      <c r="K1382" s="884"/>
      <c r="L1382" s="884"/>
      <c r="M1382" s="68"/>
    </row>
    <row r="1383" spans="1:13" s="64" customFormat="1">
      <c r="A1383" s="10"/>
      <c r="B1383" s="111"/>
      <c r="C1383" s="68"/>
      <c r="D1383" s="374"/>
      <c r="E1383" s="660"/>
      <c r="F1383" s="112"/>
      <c r="G1383" s="68"/>
      <c r="H1383" s="603"/>
      <c r="I1383" s="882"/>
      <c r="J1383" s="883"/>
      <c r="K1383" s="884"/>
      <c r="L1383" s="884"/>
      <c r="M1383" s="68"/>
    </row>
    <row r="1384" spans="1:13" s="64" customFormat="1">
      <c r="A1384" s="10"/>
      <c r="B1384" s="111"/>
      <c r="C1384" s="68"/>
      <c r="D1384" s="374"/>
      <c r="E1384" s="660"/>
      <c r="F1384" s="112"/>
      <c r="G1384" s="68"/>
      <c r="H1384" s="603"/>
      <c r="I1384" s="882"/>
      <c r="J1384" s="883"/>
      <c r="K1384" s="884"/>
      <c r="L1384" s="884"/>
      <c r="M1384" s="68"/>
    </row>
    <row r="1385" spans="1:13" s="64" customFormat="1">
      <c r="A1385" s="10"/>
      <c r="B1385" s="111"/>
      <c r="C1385" s="68"/>
      <c r="D1385" s="374"/>
      <c r="E1385" s="660"/>
      <c r="F1385" s="112"/>
      <c r="G1385" s="68"/>
      <c r="H1385" s="603"/>
      <c r="I1385" s="882"/>
      <c r="J1385" s="883"/>
      <c r="K1385" s="884"/>
      <c r="L1385" s="884"/>
      <c r="M1385" s="68"/>
    </row>
    <row r="1386" spans="1:13" s="64" customFormat="1">
      <c r="A1386" s="10"/>
      <c r="B1386" s="111"/>
      <c r="C1386" s="68"/>
      <c r="D1386" s="374"/>
      <c r="E1386" s="660"/>
      <c r="F1386" s="112"/>
      <c r="G1386" s="68"/>
      <c r="H1386" s="603"/>
      <c r="I1386" s="882"/>
      <c r="J1386" s="883"/>
      <c r="K1386" s="884"/>
      <c r="L1386" s="884"/>
      <c r="M1386" s="68"/>
    </row>
    <row r="1387" spans="1:13" s="64" customFormat="1">
      <c r="A1387" s="10"/>
      <c r="B1387" s="111"/>
      <c r="C1387" s="68"/>
      <c r="D1387" s="374"/>
      <c r="E1387" s="660"/>
      <c r="F1387" s="112"/>
      <c r="G1387" s="68"/>
      <c r="H1387" s="603"/>
      <c r="I1387" s="882"/>
      <c r="J1387" s="883"/>
      <c r="K1387" s="884"/>
      <c r="L1387" s="884"/>
      <c r="M1387" s="68"/>
    </row>
    <row r="1388" spans="1:13" s="64" customFormat="1">
      <c r="A1388" s="10"/>
      <c r="B1388" s="111"/>
      <c r="C1388" s="68"/>
      <c r="D1388" s="374"/>
      <c r="E1388" s="660"/>
      <c r="F1388" s="112"/>
      <c r="G1388" s="68"/>
      <c r="H1388" s="603"/>
      <c r="I1388" s="882"/>
      <c r="J1388" s="883"/>
      <c r="K1388" s="884"/>
      <c r="L1388" s="884"/>
      <c r="M1388" s="68"/>
    </row>
    <row r="1389" spans="1:13" s="64" customFormat="1">
      <c r="A1389" s="10"/>
      <c r="B1389" s="111"/>
      <c r="C1389" s="68"/>
      <c r="D1389" s="374"/>
      <c r="E1389" s="660"/>
      <c r="F1389" s="112"/>
      <c r="G1389" s="68"/>
      <c r="H1389" s="603"/>
      <c r="I1389" s="882"/>
      <c r="J1389" s="883"/>
      <c r="K1389" s="884"/>
      <c r="L1389" s="884"/>
      <c r="M1389" s="68"/>
    </row>
    <row r="1390" spans="1:13" s="64" customFormat="1">
      <c r="A1390" s="10"/>
      <c r="B1390" s="111"/>
      <c r="C1390" s="68"/>
      <c r="D1390" s="374"/>
      <c r="E1390" s="660"/>
      <c r="F1390" s="112"/>
      <c r="G1390" s="68"/>
      <c r="H1390" s="603"/>
      <c r="I1390" s="882"/>
      <c r="J1390" s="883"/>
      <c r="K1390" s="884"/>
      <c r="L1390" s="884"/>
      <c r="M1390" s="68"/>
    </row>
    <row r="1391" spans="1:13" s="64" customFormat="1">
      <c r="A1391" s="10"/>
      <c r="B1391" s="111"/>
      <c r="C1391" s="68"/>
      <c r="D1391" s="374"/>
      <c r="E1391" s="660"/>
      <c r="F1391" s="112"/>
      <c r="G1391" s="68"/>
      <c r="H1391" s="603"/>
      <c r="I1391" s="882"/>
      <c r="J1391" s="883"/>
      <c r="K1391" s="884"/>
      <c r="L1391" s="884"/>
      <c r="M1391" s="68"/>
    </row>
    <row r="1392" spans="1:13" s="64" customFormat="1">
      <c r="A1392" s="10"/>
      <c r="B1392" s="111"/>
      <c r="C1392" s="68"/>
      <c r="D1392" s="374"/>
      <c r="E1392" s="660"/>
      <c r="F1392" s="112"/>
      <c r="G1392" s="68"/>
      <c r="H1392" s="603"/>
      <c r="I1392" s="882"/>
      <c r="J1392" s="883"/>
      <c r="K1392" s="884"/>
      <c r="L1392" s="884"/>
      <c r="M1392" s="68"/>
    </row>
    <row r="1393" spans="1:13" s="64" customFormat="1">
      <c r="A1393" s="10"/>
      <c r="B1393" s="111"/>
      <c r="C1393" s="68"/>
      <c r="D1393" s="374"/>
      <c r="E1393" s="660"/>
      <c r="F1393" s="112"/>
      <c r="G1393" s="68"/>
      <c r="H1393" s="603"/>
      <c r="I1393" s="882"/>
      <c r="J1393" s="883"/>
      <c r="K1393" s="884"/>
      <c r="L1393" s="884"/>
      <c r="M1393" s="68"/>
    </row>
    <row r="1394" spans="1:13" s="64" customFormat="1">
      <c r="A1394" s="10"/>
      <c r="B1394" s="111"/>
      <c r="C1394" s="68"/>
      <c r="D1394" s="374"/>
      <c r="E1394" s="660"/>
      <c r="F1394" s="112"/>
      <c r="G1394" s="68"/>
      <c r="H1394" s="603"/>
      <c r="I1394" s="882"/>
      <c r="J1394" s="883"/>
      <c r="K1394" s="884"/>
      <c r="L1394" s="884"/>
      <c r="M1394" s="68"/>
    </row>
    <row r="1395" spans="1:13" s="64" customFormat="1">
      <c r="A1395" s="10"/>
      <c r="B1395" s="111"/>
      <c r="C1395" s="68"/>
      <c r="D1395" s="374"/>
      <c r="E1395" s="660"/>
      <c r="F1395" s="112"/>
      <c r="G1395" s="68"/>
      <c r="H1395" s="603"/>
      <c r="I1395" s="882"/>
      <c r="J1395" s="883"/>
      <c r="K1395" s="884"/>
      <c r="L1395" s="884"/>
      <c r="M1395" s="68"/>
    </row>
    <row r="1396" spans="1:13" s="64" customFormat="1">
      <c r="A1396" s="10"/>
      <c r="B1396" s="111"/>
      <c r="C1396" s="68"/>
      <c r="D1396" s="374"/>
      <c r="E1396" s="660"/>
      <c r="F1396" s="112"/>
      <c r="G1396" s="68"/>
      <c r="H1396" s="603"/>
      <c r="I1396" s="882"/>
      <c r="J1396" s="883"/>
      <c r="K1396" s="884"/>
      <c r="L1396" s="884"/>
      <c r="M1396" s="68"/>
    </row>
    <row r="1397" spans="1:13" s="64" customFormat="1">
      <c r="A1397" s="10"/>
      <c r="B1397" s="111"/>
      <c r="C1397" s="68"/>
      <c r="D1397" s="374"/>
      <c r="E1397" s="660"/>
      <c r="F1397" s="112"/>
      <c r="G1397" s="68"/>
      <c r="H1397" s="603"/>
      <c r="I1397" s="882"/>
      <c r="J1397" s="883"/>
      <c r="K1397" s="884"/>
      <c r="L1397" s="884"/>
      <c r="M1397" s="68"/>
    </row>
    <row r="1398" spans="1:13" s="64" customFormat="1">
      <c r="A1398" s="10"/>
      <c r="B1398" s="111"/>
      <c r="C1398" s="68"/>
      <c r="D1398" s="374"/>
      <c r="E1398" s="660"/>
      <c r="F1398" s="112"/>
      <c r="G1398" s="68"/>
      <c r="H1398" s="603"/>
      <c r="I1398" s="882"/>
      <c r="J1398" s="883"/>
      <c r="K1398" s="884"/>
      <c r="L1398" s="884"/>
      <c r="M1398" s="68"/>
    </row>
    <row r="1399" spans="1:13" s="64" customFormat="1">
      <c r="A1399" s="10"/>
      <c r="B1399" s="111"/>
      <c r="C1399" s="68"/>
      <c r="D1399" s="374"/>
      <c r="E1399" s="660"/>
      <c r="F1399" s="112"/>
      <c r="G1399" s="68"/>
      <c r="H1399" s="603"/>
      <c r="I1399" s="882"/>
      <c r="J1399" s="883"/>
      <c r="K1399" s="884"/>
      <c r="L1399" s="884"/>
      <c r="M1399" s="68"/>
    </row>
    <row r="1400" spans="1:13" s="64" customFormat="1">
      <c r="A1400" s="10"/>
      <c r="B1400" s="111"/>
      <c r="C1400" s="68"/>
      <c r="D1400" s="374"/>
      <c r="E1400" s="660"/>
      <c r="F1400" s="112"/>
      <c r="G1400" s="68"/>
      <c r="H1400" s="603"/>
      <c r="I1400" s="882"/>
      <c r="J1400" s="883"/>
      <c r="K1400" s="884"/>
      <c r="L1400" s="884"/>
      <c r="M1400" s="68"/>
    </row>
    <row r="1401" spans="1:13" s="64" customFormat="1">
      <c r="A1401" s="10"/>
      <c r="B1401" s="111"/>
      <c r="C1401" s="68"/>
      <c r="D1401" s="374"/>
      <c r="E1401" s="660"/>
      <c r="F1401" s="112"/>
      <c r="G1401" s="68"/>
      <c r="H1401" s="603"/>
      <c r="I1401" s="882"/>
      <c r="J1401" s="883"/>
      <c r="K1401" s="884"/>
      <c r="L1401" s="884"/>
      <c r="M1401" s="68"/>
    </row>
    <row r="1402" spans="1:13" s="64" customFormat="1">
      <c r="A1402" s="10"/>
      <c r="B1402" s="111"/>
      <c r="C1402" s="68"/>
      <c r="D1402" s="374"/>
      <c r="E1402" s="660"/>
      <c r="F1402" s="112"/>
      <c r="G1402" s="68"/>
      <c r="H1402" s="603"/>
      <c r="I1402" s="882"/>
      <c r="J1402" s="883"/>
      <c r="K1402" s="884"/>
      <c r="L1402" s="884"/>
      <c r="M1402" s="68"/>
    </row>
    <row r="1403" spans="1:13" s="64" customFormat="1">
      <c r="A1403" s="10"/>
      <c r="B1403" s="111"/>
      <c r="C1403" s="68"/>
      <c r="D1403" s="374"/>
      <c r="E1403" s="660"/>
      <c r="F1403" s="112"/>
      <c r="G1403" s="68"/>
      <c r="H1403" s="603"/>
      <c r="I1403" s="882"/>
      <c r="J1403" s="883"/>
      <c r="K1403" s="884"/>
      <c r="L1403" s="884"/>
      <c r="M1403" s="68"/>
    </row>
    <row r="1404" spans="1:13" s="64" customFormat="1">
      <c r="A1404" s="10"/>
      <c r="B1404" s="111"/>
      <c r="C1404" s="68"/>
      <c r="D1404" s="374"/>
      <c r="E1404" s="660"/>
      <c r="F1404" s="112"/>
      <c r="G1404" s="68"/>
      <c r="H1404" s="603"/>
      <c r="I1404" s="882"/>
      <c r="J1404" s="883"/>
      <c r="K1404" s="884"/>
      <c r="L1404" s="884"/>
      <c r="M1404" s="68"/>
    </row>
    <row r="1405" spans="1:13" s="64" customFormat="1">
      <c r="A1405" s="10"/>
      <c r="B1405" s="111"/>
      <c r="C1405" s="68"/>
      <c r="D1405" s="374"/>
      <c r="E1405" s="660"/>
      <c r="F1405" s="112"/>
      <c r="G1405" s="68"/>
      <c r="H1405" s="603"/>
      <c r="I1405" s="882"/>
      <c r="J1405" s="883"/>
      <c r="K1405" s="884"/>
      <c r="L1405" s="884"/>
      <c r="M1405" s="68"/>
    </row>
    <row r="1406" spans="1:13" s="64" customFormat="1">
      <c r="A1406" s="10"/>
      <c r="B1406" s="111"/>
      <c r="C1406" s="68"/>
      <c r="D1406" s="374"/>
      <c r="E1406" s="660"/>
      <c r="F1406" s="112"/>
      <c r="G1406" s="68"/>
      <c r="H1406" s="603"/>
      <c r="I1406" s="882"/>
      <c r="J1406" s="883"/>
      <c r="K1406" s="884"/>
      <c r="L1406" s="884"/>
      <c r="M1406" s="68"/>
    </row>
    <row r="1407" spans="1:13" s="64" customFormat="1">
      <c r="A1407" s="10"/>
      <c r="B1407" s="111"/>
      <c r="C1407" s="68"/>
      <c r="D1407" s="374"/>
      <c r="E1407" s="660"/>
      <c r="F1407" s="112"/>
      <c r="G1407" s="68"/>
      <c r="H1407" s="603"/>
      <c r="I1407" s="882"/>
      <c r="J1407" s="883"/>
      <c r="K1407" s="884"/>
      <c r="L1407" s="884"/>
      <c r="M1407" s="68"/>
    </row>
    <row r="1408" spans="1:13" s="64" customFormat="1">
      <c r="A1408" s="10"/>
      <c r="B1408" s="111"/>
      <c r="C1408" s="68"/>
      <c r="D1408" s="374"/>
      <c r="E1408" s="660"/>
      <c r="F1408" s="112"/>
      <c r="G1408" s="68"/>
      <c r="H1408" s="603"/>
      <c r="I1408" s="882"/>
      <c r="J1408" s="883"/>
      <c r="K1408" s="884"/>
      <c r="L1408" s="884"/>
      <c r="M1408" s="68"/>
    </row>
    <row r="1409" spans="1:13" s="64" customFormat="1">
      <c r="A1409" s="10"/>
      <c r="B1409" s="111"/>
      <c r="C1409" s="68"/>
      <c r="D1409" s="374"/>
      <c r="E1409" s="660"/>
      <c r="F1409" s="112"/>
      <c r="G1409" s="68"/>
      <c r="H1409" s="603"/>
      <c r="I1409" s="882"/>
      <c r="J1409" s="883"/>
      <c r="K1409" s="884"/>
      <c r="L1409" s="884"/>
      <c r="M1409" s="68"/>
    </row>
    <row r="1410" spans="1:13" s="64" customFormat="1">
      <c r="A1410" s="10"/>
      <c r="B1410" s="111"/>
      <c r="C1410" s="68"/>
      <c r="D1410" s="374"/>
      <c r="E1410" s="660"/>
      <c r="F1410" s="112"/>
      <c r="G1410" s="68"/>
      <c r="H1410" s="603"/>
      <c r="I1410" s="882"/>
      <c r="J1410" s="883"/>
      <c r="K1410" s="884"/>
      <c r="L1410" s="884"/>
      <c r="M1410" s="68"/>
    </row>
    <row r="1411" spans="1:13" s="64" customFormat="1">
      <c r="A1411" s="10"/>
      <c r="B1411" s="111"/>
      <c r="C1411" s="68"/>
      <c r="D1411" s="374"/>
      <c r="E1411" s="660"/>
      <c r="F1411" s="112"/>
      <c r="G1411" s="68"/>
      <c r="H1411" s="603"/>
      <c r="I1411" s="882"/>
      <c r="J1411" s="883"/>
      <c r="K1411" s="884"/>
      <c r="L1411" s="884"/>
      <c r="M1411" s="68"/>
    </row>
    <row r="1412" spans="1:13" s="64" customFormat="1">
      <c r="A1412" s="10"/>
      <c r="B1412" s="111"/>
      <c r="C1412" s="68"/>
      <c r="D1412" s="374"/>
      <c r="E1412" s="660"/>
      <c r="F1412" s="112"/>
      <c r="G1412" s="68"/>
      <c r="H1412" s="603"/>
      <c r="I1412" s="882"/>
      <c r="J1412" s="883"/>
      <c r="K1412" s="884"/>
      <c r="L1412" s="884"/>
      <c r="M1412" s="68"/>
    </row>
    <row r="1413" spans="1:13" s="64" customFormat="1">
      <c r="A1413" s="10"/>
      <c r="B1413" s="111"/>
      <c r="C1413" s="68"/>
      <c r="D1413" s="374"/>
      <c r="E1413" s="660"/>
      <c r="F1413" s="112"/>
      <c r="G1413" s="68"/>
      <c r="H1413" s="603"/>
      <c r="I1413" s="882"/>
      <c r="J1413" s="883"/>
      <c r="K1413" s="884"/>
      <c r="L1413" s="884"/>
      <c r="M1413" s="68"/>
    </row>
    <row r="1414" spans="1:13" s="64" customFormat="1">
      <c r="A1414" s="10"/>
      <c r="B1414" s="111"/>
      <c r="C1414" s="68"/>
      <c r="D1414" s="374"/>
      <c r="E1414" s="660"/>
      <c r="F1414" s="112"/>
      <c r="G1414" s="68"/>
      <c r="H1414" s="603"/>
      <c r="I1414" s="882"/>
      <c r="J1414" s="883"/>
      <c r="K1414" s="884"/>
      <c r="L1414" s="884"/>
      <c r="M1414" s="68"/>
    </row>
    <row r="1415" spans="1:13" s="64" customFormat="1">
      <c r="A1415" s="10"/>
      <c r="B1415" s="111"/>
      <c r="C1415" s="68"/>
      <c r="D1415" s="374"/>
      <c r="E1415" s="660"/>
      <c r="F1415" s="112"/>
      <c r="G1415" s="68"/>
      <c r="H1415" s="603"/>
      <c r="I1415" s="882"/>
      <c r="J1415" s="883"/>
      <c r="K1415" s="884"/>
      <c r="L1415" s="884"/>
      <c r="M1415" s="68"/>
    </row>
    <row r="1416" spans="1:13" s="64" customFormat="1">
      <c r="A1416" s="10"/>
      <c r="B1416" s="111"/>
      <c r="C1416" s="68"/>
      <c r="D1416" s="374"/>
      <c r="E1416" s="660"/>
      <c r="F1416" s="112"/>
      <c r="G1416" s="68"/>
      <c r="H1416" s="603"/>
      <c r="I1416" s="882"/>
      <c r="J1416" s="883"/>
      <c r="K1416" s="884"/>
      <c r="L1416" s="884"/>
      <c r="M1416" s="68"/>
    </row>
    <row r="1417" spans="1:13" s="64" customFormat="1">
      <c r="A1417" s="10"/>
      <c r="B1417" s="111"/>
      <c r="C1417" s="68"/>
      <c r="D1417" s="374"/>
      <c r="E1417" s="660"/>
      <c r="F1417" s="112"/>
      <c r="G1417" s="68"/>
      <c r="H1417" s="603"/>
      <c r="I1417" s="882"/>
      <c r="J1417" s="883"/>
      <c r="K1417" s="884"/>
      <c r="L1417" s="884"/>
      <c r="M1417" s="68"/>
    </row>
    <row r="1418" spans="1:13" s="64" customFormat="1">
      <c r="A1418" s="10"/>
      <c r="B1418" s="111"/>
      <c r="C1418" s="68"/>
      <c r="D1418" s="374"/>
      <c r="E1418" s="660"/>
      <c r="F1418" s="112"/>
      <c r="G1418" s="68"/>
      <c r="H1418" s="603"/>
      <c r="I1418" s="882"/>
      <c r="J1418" s="883"/>
      <c r="K1418" s="884"/>
      <c r="L1418" s="884"/>
      <c r="M1418" s="68"/>
    </row>
    <row r="1419" spans="1:13" s="64" customFormat="1">
      <c r="A1419" s="10"/>
      <c r="B1419" s="111"/>
      <c r="C1419" s="68"/>
      <c r="D1419" s="374"/>
      <c r="E1419" s="660"/>
      <c r="F1419" s="112"/>
      <c r="G1419" s="68"/>
      <c r="H1419" s="603"/>
      <c r="I1419" s="882"/>
      <c r="J1419" s="883"/>
      <c r="K1419" s="884"/>
      <c r="L1419" s="884"/>
      <c r="M1419" s="68"/>
    </row>
    <row r="1420" spans="1:13" s="64" customFormat="1">
      <c r="A1420" s="10"/>
      <c r="B1420" s="111"/>
      <c r="C1420" s="68"/>
      <c r="D1420" s="374"/>
      <c r="E1420" s="660"/>
      <c r="F1420" s="112"/>
      <c r="G1420" s="68"/>
      <c r="H1420" s="603"/>
      <c r="I1420" s="882"/>
      <c r="J1420" s="883"/>
      <c r="K1420" s="884"/>
      <c r="L1420" s="884"/>
      <c r="M1420" s="68"/>
    </row>
    <row r="1421" spans="1:13" s="64" customFormat="1">
      <c r="A1421" s="10"/>
      <c r="B1421" s="111"/>
      <c r="C1421" s="68"/>
      <c r="D1421" s="374"/>
      <c r="E1421" s="660"/>
      <c r="F1421" s="112"/>
      <c r="G1421" s="68"/>
      <c r="H1421" s="603"/>
      <c r="I1421" s="882"/>
      <c r="J1421" s="883"/>
      <c r="K1421" s="884"/>
      <c r="L1421" s="884"/>
      <c r="M1421" s="68"/>
    </row>
    <row r="1422" spans="1:13" s="64" customFormat="1">
      <c r="A1422" s="10"/>
      <c r="B1422" s="111"/>
      <c r="C1422" s="68"/>
      <c r="D1422" s="374"/>
      <c r="E1422" s="660"/>
      <c r="F1422" s="112"/>
      <c r="G1422" s="68"/>
      <c r="H1422" s="603"/>
      <c r="I1422" s="882"/>
      <c r="J1422" s="883"/>
      <c r="K1422" s="884"/>
      <c r="L1422" s="884"/>
      <c r="M1422" s="68"/>
    </row>
    <row r="1423" spans="1:13" s="64" customFormat="1">
      <c r="A1423" s="10"/>
      <c r="B1423" s="111"/>
      <c r="C1423" s="68"/>
      <c r="D1423" s="374"/>
      <c r="E1423" s="660"/>
      <c r="F1423" s="112"/>
      <c r="G1423" s="68"/>
      <c r="H1423" s="603"/>
      <c r="I1423" s="882"/>
      <c r="J1423" s="883"/>
      <c r="K1423" s="884"/>
      <c r="L1423" s="884"/>
      <c r="M1423" s="68"/>
    </row>
    <row r="1424" spans="1:13" s="64" customFormat="1">
      <c r="A1424" s="10"/>
      <c r="B1424" s="111"/>
      <c r="C1424" s="68"/>
      <c r="D1424" s="374"/>
      <c r="E1424" s="660"/>
      <c r="F1424" s="112"/>
      <c r="G1424" s="68"/>
      <c r="H1424" s="603"/>
      <c r="I1424" s="882"/>
      <c r="J1424" s="883"/>
      <c r="K1424" s="884"/>
      <c r="L1424" s="884"/>
      <c r="M1424" s="68"/>
    </row>
    <row r="1425" spans="1:13" s="64" customFormat="1">
      <c r="A1425" s="10"/>
      <c r="B1425" s="111"/>
      <c r="C1425" s="68"/>
      <c r="D1425" s="374"/>
      <c r="E1425" s="660"/>
      <c r="F1425" s="112"/>
      <c r="G1425" s="68"/>
      <c r="H1425" s="603"/>
      <c r="I1425" s="882"/>
      <c r="J1425" s="883"/>
      <c r="K1425" s="884"/>
      <c r="L1425" s="884"/>
      <c r="M1425" s="68"/>
    </row>
    <row r="1426" spans="1:13" s="64" customFormat="1">
      <c r="A1426" s="10"/>
      <c r="B1426" s="111"/>
      <c r="C1426" s="68"/>
      <c r="D1426" s="374"/>
      <c r="E1426" s="660"/>
      <c r="F1426" s="112"/>
      <c r="G1426" s="68"/>
      <c r="H1426" s="603"/>
      <c r="I1426" s="882"/>
      <c r="J1426" s="883"/>
      <c r="K1426" s="884"/>
      <c r="L1426" s="884"/>
      <c r="M1426" s="68"/>
    </row>
    <row r="1427" spans="1:13" s="64" customFormat="1">
      <c r="A1427" s="10"/>
      <c r="B1427" s="111"/>
      <c r="C1427" s="68"/>
      <c r="D1427" s="374"/>
      <c r="E1427" s="660"/>
      <c r="F1427" s="112"/>
      <c r="G1427" s="68"/>
      <c r="H1427" s="603"/>
      <c r="I1427" s="882"/>
      <c r="J1427" s="883"/>
      <c r="K1427" s="884"/>
      <c r="L1427" s="884"/>
      <c r="M1427" s="68"/>
    </row>
    <row r="1428" spans="1:13" s="64" customFormat="1">
      <c r="A1428" s="10"/>
      <c r="B1428" s="111"/>
      <c r="C1428" s="68"/>
      <c r="D1428" s="374"/>
      <c r="E1428" s="660"/>
      <c r="F1428" s="112"/>
      <c r="G1428" s="68"/>
      <c r="H1428" s="603"/>
      <c r="I1428" s="882"/>
      <c r="J1428" s="883"/>
      <c r="K1428" s="884"/>
      <c r="L1428" s="884"/>
      <c r="M1428" s="68"/>
    </row>
    <row r="1429" spans="1:13" s="64" customFormat="1">
      <c r="A1429" s="10"/>
      <c r="B1429" s="111"/>
      <c r="C1429" s="68"/>
      <c r="D1429" s="374"/>
      <c r="E1429" s="660"/>
      <c r="F1429" s="112"/>
      <c r="G1429" s="68"/>
      <c r="H1429" s="603"/>
      <c r="I1429" s="882"/>
      <c r="J1429" s="883"/>
      <c r="K1429" s="884"/>
      <c r="L1429" s="884"/>
      <c r="M1429" s="68"/>
    </row>
    <row r="1430" spans="1:13" s="64" customFormat="1">
      <c r="A1430" s="10"/>
      <c r="B1430" s="111"/>
      <c r="C1430" s="68"/>
      <c r="D1430" s="374"/>
      <c r="E1430" s="660"/>
      <c r="F1430" s="112"/>
      <c r="G1430" s="68"/>
      <c r="H1430" s="603"/>
      <c r="I1430" s="882"/>
      <c r="J1430" s="883"/>
      <c r="K1430" s="884"/>
      <c r="L1430" s="884"/>
      <c r="M1430" s="68"/>
    </row>
    <row r="1431" spans="1:13" s="64" customFormat="1">
      <c r="A1431" s="10"/>
      <c r="B1431" s="111"/>
      <c r="C1431" s="68"/>
      <c r="D1431" s="374"/>
      <c r="E1431" s="660"/>
      <c r="F1431" s="112"/>
      <c r="G1431" s="68"/>
      <c r="H1431" s="603"/>
      <c r="I1431" s="882"/>
      <c r="J1431" s="883"/>
      <c r="K1431" s="884"/>
      <c r="L1431" s="884"/>
      <c r="M1431" s="68"/>
    </row>
    <row r="1432" spans="1:13" s="64" customFormat="1">
      <c r="A1432" s="10"/>
      <c r="B1432" s="111"/>
      <c r="C1432" s="68"/>
      <c r="D1432" s="374"/>
      <c r="E1432" s="660"/>
      <c r="F1432" s="112"/>
      <c r="G1432" s="68"/>
      <c r="H1432" s="603"/>
      <c r="I1432" s="882"/>
      <c r="J1432" s="883"/>
      <c r="K1432" s="884"/>
      <c r="L1432" s="884"/>
      <c r="M1432" s="68"/>
    </row>
    <row r="1433" spans="1:13" s="64" customFormat="1">
      <c r="A1433" s="10"/>
      <c r="B1433" s="111"/>
      <c r="C1433" s="68"/>
      <c r="D1433" s="374"/>
      <c r="E1433" s="660"/>
      <c r="F1433" s="112"/>
      <c r="G1433" s="68"/>
      <c r="H1433" s="603"/>
      <c r="I1433" s="882"/>
      <c r="J1433" s="883"/>
      <c r="K1433" s="884"/>
      <c r="L1433" s="884"/>
      <c r="M1433" s="68"/>
    </row>
    <row r="1434" spans="1:13" s="64" customFormat="1">
      <c r="A1434" s="10"/>
      <c r="B1434" s="111"/>
      <c r="C1434" s="68"/>
      <c r="D1434" s="374"/>
      <c r="E1434" s="660"/>
      <c r="F1434" s="112"/>
      <c r="G1434" s="68"/>
      <c r="H1434" s="603"/>
      <c r="I1434" s="882"/>
      <c r="J1434" s="883"/>
      <c r="K1434" s="884"/>
      <c r="L1434" s="884"/>
      <c r="M1434" s="68"/>
    </row>
    <row r="1435" spans="1:13" s="64" customFormat="1">
      <c r="A1435" s="10"/>
      <c r="B1435" s="111"/>
      <c r="C1435" s="68"/>
      <c r="D1435" s="374"/>
      <c r="E1435" s="660"/>
      <c r="F1435" s="112"/>
      <c r="G1435" s="68"/>
      <c r="H1435" s="603"/>
      <c r="I1435" s="882"/>
      <c r="J1435" s="883"/>
      <c r="K1435" s="884"/>
      <c r="L1435" s="884"/>
      <c r="M1435" s="68"/>
    </row>
    <row r="1436" spans="1:13" s="64" customFormat="1">
      <c r="A1436" s="10"/>
      <c r="B1436" s="111"/>
      <c r="C1436" s="68"/>
      <c r="D1436" s="374"/>
      <c r="E1436" s="660"/>
      <c r="F1436" s="112"/>
      <c r="G1436" s="68"/>
      <c r="H1436" s="603"/>
      <c r="I1436" s="882"/>
      <c r="J1436" s="883"/>
      <c r="K1436" s="884"/>
      <c r="L1436" s="884"/>
      <c r="M1436" s="68"/>
    </row>
    <row r="1437" spans="1:13" s="64" customFormat="1">
      <c r="A1437" s="10"/>
      <c r="B1437" s="111"/>
      <c r="C1437" s="68"/>
      <c r="D1437" s="374"/>
      <c r="E1437" s="660"/>
      <c r="F1437" s="112"/>
      <c r="G1437" s="68"/>
      <c r="H1437" s="603"/>
      <c r="I1437" s="882"/>
      <c r="J1437" s="883"/>
      <c r="K1437" s="884"/>
      <c r="L1437" s="884"/>
      <c r="M1437" s="68"/>
    </row>
    <row r="1438" spans="1:13" s="64" customFormat="1">
      <c r="A1438" s="10"/>
      <c r="B1438" s="111"/>
      <c r="C1438" s="68"/>
      <c r="D1438" s="374"/>
      <c r="E1438" s="660"/>
      <c r="F1438" s="112"/>
      <c r="G1438" s="68"/>
      <c r="H1438" s="603"/>
      <c r="I1438" s="882"/>
      <c r="J1438" s="883"/>
      <c r="K1438" s="884"/>
      <c r="L1438" s="884"/>
      <c r="M1438" s="68"/>
    </row>
    <row r="1439" spans="1:13" s="64" customFormat="1">
      <c r="A1439" s="10"/>
      <c r="B1439" s="111"/>
      <c r="C1439" s="68"/>
      <c r="D1439" s="374"/>
      <c r="E1439" s="660"/>
      <c r="F1439" s="112"/>
      <c r="G1439" s="68"/>
      <c r="H1439" s="603"/>
      <c r="I1439" s="882"/>
      <c r="J1439" s="883"/>
      <c r="K1439" s="884"/>
      <c r="L1439" s="884"/>
      <c r="M1439" s="68"/>
    </row>
    <row r="1440" spans="1:13" s="64" customFormat="1">
      <c r="A1440" s="10"/>
      <c r="B1440" s="111"/>
      <c r="C1440" s="68"/>
      <c r="D1440" s="374"/>
      <c r="E1440" s="660"/>
      <c r="F1440" s="112"/>
      <c r="G1440" s="68"/>
      <c r="H1440" s="603"/>
      <c r="I1440" s="882"/>
      <c r="J1440" s="883"/>
      <c r="K1440" s="884"/>
      <c r="L1440" s="884"/>
      <c r="M1440" s="68"/>
    </row>
    <row r="1441" spans="1:13" s="64" customFormat="1">
      <c r="A1441" s="10"/>
      <c r="B1441" s="111"/>
      <c r="C1441" s="68"/>
      <c r="D1441" s="374"/>
      <c r="E1441" s="660"/>
      <c r="F1441" s="112"/>
      <c r="G1441" s="68"/>
      <c r="H1441" s="603"/>
      <c r="I1441" s="882"/>
      <c r="J1441" s="883"/>
      <c r="K1441" s="884"/>
      <c r="L1441" s="884"/>
      <c r="M1441" s="68"/>
    </row>
    <row r="1442" spans="1:13" s="64" customFormat="1">
      <c r="A1442" s="10"/>
      <c r="B1442" s="111"/>
      <c r="C1442" s="68"/>
      <c r="D1442" s="374"/>
      <c r="E1442" s="660"/>
      <c r="F1442" s="112"/>
      <c r="G1442" s="68"/>
      <c r="H1442" s="603"/>
      <c r="I1442" s="882"/>
      <c r="J1442" s="883"/>
      <c r="K1442" s="884"/>
      <c r="L1442" s="884"/>
      <c r="M1442" s="68"/>
    </row>
    <row r="1443" spans="1:13" s="64" customFormat="1">
      <c r="A1443" s="10"/>
      <c r="B1443" s="111"/>
      <c r="C1443" s="68"/>
      <c r="D1443" s="374"/>
      <c r="E1443" s="660"/>
      <c r="F1443" s="112"/>
      <c r="G1443" s="68"/>
      <c r="H1443" s="603"/>
      <c r="I1443" s="882"/>
      <c r="J1443" s="883"/>
      <c r="K1443" s="884"/>
      <c r="L1443" s="884"/>
      <c r="M1443" s="68"/>
    </row>
    <row r="1444" spans="1:13" s="64" customFormat="1">
      <c r="A1444" s="10"/>
      <c r="B1444" s="111"/>
      <c r="C1444" s="68"/>
      <c r="D1444" s="374"/>
      <c r="E1444" s="660"/>
      <c r="F1444" s="112"/>
      <c r="G1444" s="68"/>
      <c r="H1444" s="603"/>
      <c r="I1444" s="882"/>
      <c r="J1444" s="883"/>
      <c r="K1444" s="884"/>
      <c r="L1444" s="884"/>
      <c r="M1444" s="68"/>
    </row>
    <row r="1445" spans="1:13" s="64" customFormat="1">
      <c r="A1445" s="10"/>
      <c r="B1445" s="111"/>
      <c r="C1445" s="68"/>
      <c r="D1445" s="374"/>
      <c r="E1445" s="660"/>
      <c r="F1445" s="112"/>
      <c r="G1445" s="68"/>
      <c r="H1445" s="603"/>
      <c r="I1445" s="882"/>
      <c r="J1445" s="883"/>
      <c r="K1445" s="884"/>
      <c r="L1445" s="884"/>
      <c r="M1445" s="68"/>
    </row>
    <row r="1446" spans="1:13" s="64" customFormat="1">
      <c r="A1446" s="10"/>
      <c r="B1446" s="111"/>
      <c r="C1446" s="68"/>
      <c r="D1446" s="374"/>
      <c r="E1446" s="660"/>
      <c r="F1446" s="112"/>
      <c r="G1446" s="68"/>
      <c r="H1446" s="603"/>
      <c r="I1446" s="882"/>
      <c r="J1446" s="883"/>
      <c r="K1446" s="884"/>
      <c r="L1446" s="884"/>
      <c r="M1446" s="68"/>
    </row>
    <row r="1447" spans="1:13" s="64" customFormat="1">
      <c r="A1447" s="10"/>
      <c r="B1447" s="111"/>
      <c r="C1447" s="68"/>
      <c r="D1447" s="374"/>
      <c r="E1447" s="660"/>
      <c r="F1447" s="112"/>
      <c r="G1447" s="68"/>
      <c r="H1447" s="603"/>
      <c r="I1447" s="882"/>
      <c r="J1447" s="883"/>
      <c r="K1447" s="884"/>
      <c r="L1447" s="884"/>
      <c r="M1447" s="68"/>
    </row>
    <row r="1448" spans="1:13" s="64" customFormat="1">
      <c r="A1448" s="10"/>
      <c r="B1448" s="111"/>
      <c r="C1448" s="68"/>
      <c r="D1448" s="374"/>
      <c r="E1448" s="660"/>
      <c r="F1448" s="112"/>
      <c r="G1448" s="68"/>
      <c r="H1448" s="603"/>
      <c r="I1448" s="882"/>
      <c r="J1448" s="883"/>
      <c r="K1448" s="884"/>
      <c r="L1448" s="884"/>
      <c r="M1448" s="68"/>
    </row>
    <row r="1449" spans="1:13" s="64" customFormat="1">
      <c r="A1449" s="10"/>
      <c r="B1449" s="111"/>
      <c r="C1449" s="68"/>
      <c r="D1449" s="374"/>
      <c r="E1449" s="660"/>
      <c r="F1449" s="112"/>
      <c r="G1449" s="68"/>
      <c r="H1449" s="603"/>
      <c r="I1449" s="882"/>
      <c r="J1449" s="883"/>
      <c r="K1449" s="884"/>
      <c r="L1449" s="884"/>
      <c r="M1449" s="68"/>
    </row>
    <row r="1450" spans="1:13" s="64" customFormat="1">
      <c r="A1450" s="10"/>
      <c r="B1450" s="111"/>
      <c r="C1450" s="68"/>
      <c r="D1450" s="374"/>
      <c r="E1450" s="660"/>
      <c r="F1450" s="112"/>
      <c r="G1450" s="68"/>
      <c r="H1450" s="603"/>
      <c r="I1450" s="882"/>
      <c r="J1450" s="883"/>
      <c r="K1450" s="884"/>
      <c r="L1450" s="884"/>
      <c r="M1450" s="68"/>
    </row>
    <row r="1451" spans="1:13" s="64" customFormat="1">
      <c r="A1451" s="10"/>
      <c r="B1451" s="111"/>
      <c r="C1451" s="68"/>
      <c r="D1451" s="374"/>
      <c r="E1451" s="660"/>
      <c r="F1451" s="112"/>
      <c r="G1451" s="68"/>
      <c r="H1451" s="603"/>
      <c r="I1451" s="882"/>
      <c r="J1451" s="883"/>
      <c r="K1451" s="884"/>
      <c r="L1451" s="884"/>
      <c r="M1451" s="68"/>
    </row>
    <row r="1452" spans="1:13" s="64" customFormat="1">
      <c r="A1452" s="10"/>
      <c r="B1452" s="111"/>
      <c r="C1452" s="68"/>
      <c r="D1452" s="374"/>
      <c r="E1452" s="660"/>
      <c r="F1452" s="112"/>
      <c r="G1452" s="68"/>
      <c r="H1452" s="603"/>
      <c r="I1452" s="882"/>
      <c r="J1452" s="883"/>
      <c r="K1452" s="884"/>
      <c r="L1452" s="884"/>
      <c r="M1452" s="68"/>
    </row>
    <row r="1453" spans="1:13" s="64" customFormat="1">
      <c r="A1453" s="10"/>
      <c r="B1453" s="111"/>
      <c r="C1453" s="68"/>
      <c r="D1453" s="374"/>
      <c r="E1453" s="660"/>
      <c r="F1453" s="112"/>
      <c r="G1453" s="68"/>
      <c r="H1453" s="603"/>
      <c r="I1453" s="882"/>
      <c r="J1453" s="883"/>
      <c r="K1453" s="884"/>
      <c r="L1453" s="884"/>
      <c r="M1453" s="68"/>
    </row>
    <row r="1454" spans="1:13" s="64" customFormat="1">
      <c r="A1454" s="10"/>
      <c r="B1454" s="111"/>
      <c r="C1454" s="68"/>
      <c r="D1454" s="374"/>
      <c r="E1454" s="660"/>
      <c r="F1454" s="112"/>
      <c r="G1454" s="68"/>
      <c r="H1454" s="603"/>
      <c r="I1454" s="882"/>
      <c r="J1454" s="883"/>
      <c r="K1454" s="884"/>
      <c r="L1454" s="884"/>
      <c r="M1454" s="68"/>
    </row>
    <row r="1455" spans="1:13" s="64" customFormat="1">
      <c r="A1455" s="10"/>
      <c r="B1455" s="111"/>
      <c r="C1455" s="68"/>
      <c r="D1455" s="374"/>
      <c r="E1455" s="660"/>
      <c r="F1455" s="112"/>
      <c r="G1455" s="68"/>
      <c r="H1455" s="603"/>
      <c r="I1455" s="882"/>
      <c r="J1455" s="883"/>
      <c r="K1455" s="884"/>
      <c r="L1455" s="884"/>
      <c r="M1455" s="68"/>
    </row>
    <row r="1456" spans="1:13" s="64" customFormat="1">
      <c r="A1456" s="10"/>
      <c r="B1456" s="111"/>
      <c r="C1456" s="68"/>
      <c r="D1456" s="374"/>
      <c r="E1456" s="660"/>
      <c r="F1456" s="112"/>
      <c r="G1456" s="68"/>
      <c r="H1456" s="603"/>
      <c r="I1456" s="882"/>
      <c r="J1456" s="883"/>
      <c r="K1456" s="884"/>
      <c r="L1456" s="884"/>
      <c r="M1456" s="68"/>
    </row>
    <row r="1457" spans="1:13" s="64" customFormat="1">
      <c r="A1457" s="10"/>
      <c r="B1457" s="111"/>
      <c r="C1457" s="68"/>
      <c r="D1457" s="374"/>
      <c r="E1457" s="660"/>
      <c r="F1457" s="112"/>
      <c r="G1457" s="68"/>
      <c r="H1457" s="603"/>
      <c r="I1457" s="882"/>
      <c r="J1457" s="883"/>
      <c r="K1457" s="884"/>
      <c r="L1457" s="884"/>
      <c r="M1457" s="68"/>
    </row>
    <row r="1458" spans="1:13" s="64" customFormat="1">
      <c r="A1458" s="10"/>
      <c r="B1458" s="111"/>
      <c r="C1458" s="68"/>
      <c r="D1458" s="374"/>
      <c r="E1458" s="660"/>
      <c r="F1458" s="112"/>
      <c r="G1458" s="68"/>
      <c r="H1458" s="603"/>
      <c r="I1458" s="882"/>
      <c r="J1458" s="883"/>
      <c r="K1458" s="884"/>
      <c r="L1458" s="884"/>
      <c r="M1458" s="68"/>
    </row>
    <row r="1459" spans="1:13" s="64" customFormat="1">
      <c r="A1459" s="10"/>
      <c r="B1459" s="111"/>
      <c r="C1459" s="68"/>
      <c r="D1459" s="374"/>
      <c r="E1459" s="660"/>
      <c r="F1459" s="112"/>
      <c r="G1459" s="68"/>
      <c r="H1459" s="603"/>
      <c r="I1459" s="882"/>
      <c r="J1459" s="883"/>
      <c r="K1459" s="884"/>
      <c r="L1459" s="884"/>
      <c r="M1459" s="68"/>
    </row>
    <row r="1460" spans="1:13" s="64" customFormat="1">
      <c r="A1460" s="10"/>
      <c r="B1460" s="111"/>
      <c r="C1460" s="68"/>
      <c r="D1460" s="374"/>
      <c r="E1460" s="660"/>
      <c r="F1460" s="112"/>
      <c r="G1460" s="68"/>
      <c r="H1460" s="603"/>
      <c r="I1460" s="882"/>
      <c r="J1460" s="883"/>
      <c r="K1460" s="884"/>
      <c r="L1460" s="884"/>
      <c r="M1460" s="68"/>
    </row>
    <row r="1461" spans="1:13" s="64" customFormat="1">
      <c r="A1461" s="10"/>
      <c r="B1461" s="111"/>
      <c r="C1461" s="68"/>
      <c r="D1461" s="374"/>
      <c r="E1461" s="660"/>
      <c r="F1461" s="112"/>
      <c r="G1461" s="68"/>
      <c r="H1461" s="603"/>
      <c r="I1461" s="882"/>
      <c r="J1461" s="883"/>
      <c r="K1461" s="884"/>
      <c r="L1461" s="884"/>
      <c r="M1461" s="68"/>
    </row>
    <row r="1462" spans="1:13" s="64" customFormat="1">
      <c r="A1462" s="10"/>
      <c r="B1462" s="111"/>
      <c r="C1462" s="68"/>
      <c r="D1462" s="374"/>
      <c r="E1462" s="660"/>
      <c r="F1462" s="112"/>
      <c r="G1462" s="68"/>
      <c r="H1462" s="603"/>
      <c r="I1462" s="882"/>
      <c r="J1462" s="883"/>
      <c r="K1462" s="884"/>
      <c r="L1462" s="884"/>
      <c r="M1462" s="68"/>
    </row>
    <row r="1463" spans="1:13" s="64" customFormat="1">
      <c r="A1463" s="10"/>
      <c r="B1463" s="111"/>
      <c r="C1463" s="68"/>
      <c r="D1463" s="374"/>
      <c r="E1463" s="660"/>
      <c r="F1463" s="112"/>
      <c r="G1463" s="68"/>
      <c r="H1463" s="603"/>
      <c r="I1463" s="882"/>
      <c r="J1463" s="883"/>
      <c r="K1463" s="884"/>
      <c r="L1463" s="884"/>
      <c r="M1463" s="68"/>
    </row>
    <row r="1464" spans="1:13" s="64" customFormat="1">
      <c r="A1464" s="10"/>
      <c r="B1464" s="111"/>
      <c r="C1464" s="68"/>
      <c r="D1464" s="374"/>
      <c r="E1464" s="660"/>
      <c r="F1464" s="112"/>
      <c r="G1464" s="68"/>
      <c r="H1464" s="603"/>
      <c r="I1464" s="882"/>
      <c r="J1464" s="883"/>
      <c r="K1464" s="884"/>
      <c r="L1464" s="884"/>
      <c r="M1464" s="68"/>
    </row>
    <row r="1465" spans="1:13" s="64" customFormat="1">
      <c r="A1465" s="10"/>
      <c r="B1465" s="111"/>
      <c r="C1465" s="68"/>
      <c r="D1465" s="374"/>
      <c r="E1465" s="660"/>
      <c r="F1465" s="112"/>
      <c r="G1465" s="68"/>
      <c r="H1465" s="603"/>
      <c r="I1465" s="882"/>
      <c r="J1465" s="883"/>
      <c r="K1465" s="884"/>
      <c r="L1465" s="884"/>
      <c r="M1465" s="68"/>
    </row>
    <row r="1466" spans="1:13" s="64" customFormat="1">
      <c r="A1466" s="10"/>
      <c r="B1466" s="111"/>
      <c r="C1466" s="68"/>
      <c r="D1466" s="374"/>
      <c r="E1466" s="660"/>
      <c r="F1466" s="112"/>
      <c r="G1466" s="68"/>
      <c r="H1466" s="603"/>
      <c r="I1466" s="882"/>
      <c r="J1466" s="883"/>
      <c r="K1466" s="884"/>
      <c r="L1466" s="884"/>
      <c r="M1466" s="68"/>
    </row>
    <row r="1467" spans="1:13" s="64" customFormat="1">
      <c r="A1467" s="10"/>
      <c r="B1467" s="111"/>
      <c r="C1467" s="68"/>
      <c r="D1467" s="374"/>
      <c r="E1467" s="660"/>
      <c r="F1467" s="112"/>
      <c r="G1467" s="68"/>
      <c r="H1467" s="603"/>
      <c r="I1467" s="882"/>
      <c r="J1467" s="883"/>
      <c r="K1467" s="884"/>
      <c r="L1467" s="884"/>
      <c r="M1467" s="68"/>
    </row>
    <row r="1468" spans="1:13" s="64" customFormat="1">
      <c r="A1468" s="10"/>
      <c r="B1468" s="111"/>
      <c r="C1468" s="68"/>
      <c r="D1468" s="374"/>
      <c r="E1468" s="660"/>
      <c r="F1468" s="112"/>
      <c r="G1468" s="68"/>
      <c r="H1468" s="603"/>
      <c r="I1468" s="882"/>
      <c r="J1468" s="883"/>
      <c r="K1468" s="884"/>
      <c r="L1468" s="884"/>
      <c r="M1468" s="68"/>
    </row>
    <row r="1469" spans="1:13" s="64" customFormat="1">
      <c r="A1469" s="10"/>
      <c r="B1469" s="111"/>
      <c r="C1469" s="68"/>
      <c r="D1469" s="374"/>
      <c r="E1469" s="660"/>
      <c r="F1469" s="112"/>
      <c r="G1469" s="68"/>
      <c r="H1469" s="603"/>
      <c r="I1469" s="882"/>
      <c r="J1469" s="883"/>
      <c r="K1469" s="884"/>
      <c r="L1469" s="884"/>
      <c r="M1469" s="68"/>
    </row>
    <row r="1470" spans="1:13" s="64" customFormat="1">
      <c r="A1470" s="10"/>
      <c r="B1470" s="111"/>
      <c r="C1470" s="68"/>
      <c r="D1470" s="374"/>
      <c r="E1470" s="660"/>
      <c r="F1470" s="112"/>
      <c r="G1470" s="68"/>
      <c r="H1470" s="603"/>
      <c r="I1470" s="882"/>
      <c r="J1470" s="883"/>
      <c r="K1470" s="884"/>
      <c r="L1470" s="884"/>
      <c r="M1470" s="68"/>
    </row>
    <row r="1471" spans="1:13" s="64" customFormat="1">
      <c r="A1471" s="10"/>
      <c r="B1471" s="111"/>
      <c r="C1471" s="68"/>
      <c r="D1471" s="374"/>
      <c r="E1471" s="660"/>
      <c r="F1471" s="112"/>
      <c r="G1471" s="68"/>
      <c r="H1471" s="603"/>
      <c r="I1471" s="882"/>
      <c r="J1471" s="883"/>
      <c r="K1471" s="884"/>
      <c r="L1471" s="884"/>
      <c r="M1471" s="68"/>
    </row>
    <row r="1472" spans="1:13" s="64" customFormat="1">
      <c r="A1472" s="10"/>
      <c r="B1472" s="111"/>
      <c r="C1472" s="68"/>
      <c r="D1472" s="374"/>
      <c r="E1472" s="660"/>
      <c r="F1472" s="112"/>
      <c r="G1472" s="68"/>
      <c r="H1472" s="603"/>
      <c r="I1472" s="882"/>
      <c r="J1472" s="883"/>
      <c r="K1472" s="884"/>
      <c r="L1472" s="884"/>
      <c r="M1472" s="68"/>
    </row>
    <row r="1473" spans="1:13" s="64" customFormat="1">
      <c r="A1473" s="10"/>
      <c r="B1473" s="111"/>
      <c r="C1473" s="68"/>
      <c r="D1473" s="374"/>
      <c r="E1473" s="660"/>
      <c r="F1473" s="112"/>
      <c r="G1473" s="68"/>
      <c r="H1473" s="603"/>
      <c r="I1473" s="882"/>
      <c r="J1473" s="883"/>
      <c r="K1473" s="884"/>
      <c r="L1473" s="884"/>
      <c r="M1473" s="68"/>
    </row>
    <row r="1474" spans="1:13" s="64" customFormat="1">
      <c r="A1474" s="10"/>
      <c r="B1474" s="111"/>
      <c r="C1474" s="68"/>
      <c r="D1474" s="374"/>
      <c r="E1474" s="660"/>
      <c r="F1474" s="112"/>
      <c r="G1474" s="68"/>
      <c r="H1474" s="603"/>
      <c r="I1474" s="882"/>
      <c r="J1474" s="883"/>
      <c r="K1474" s="884"/>
      <c r="L1474" s="884"/>
      <c r="M1474" s="68"/>
    </row>
    <row r="1475" spans="1:13" s="64" customFormat="1">
      <c r="A1475" s="10"/>
      <c r="B1475" s="111"/>
      <c r="C1475" s="68"/>
      <c r="D1475" s="374"/>
      <c r="E1475" s="660"/>
      <c r="F1475" s="112"/>
      <c r="G1475" s="68"/>
      <c r="H1475" s="603"/>
      <c r="I1475" s="882"/>
      <c r="J1475" s="883"/>
      <c r="K1475" s="884"/>
      <c r="L1475" s="884"/>
      <c r="M1475" s="68"/>
    </row>
    <row r="1476" spans="1:13" s="64" customFormat="1">
      <c r="A1476" s="10"/>
      <c r="B1476" s="111"/>
      <c r="C1476" s="68"/>
      <c r="D1476" s="374"/>
      <c r="E1476" s="660"/>
      <c r="F1476" s="112"/>
      <c r="G1476" s="68"/>
      <c r="H1476" s="603"/>
      <c r="I1476" s="882"/>
      <c r="J1476" s="883"/>
      <c r="K1476" s="884"/>
      <c r="L1476" s="884"/>
      <c r="M1476" s="68"/>
    </row>
    <row r="1477" spans="1:13" s="64" customFormat="1">
      <c r="A1477" s="10"/>
      <c r="B1477" s="111"/>
      <c r="C1477" s="68"/>
      <c r="D1477" s="374"/>
      <c r="E1477" s="660"/>
      <c r="F1477" s="112"/>
      <c r="G1477" s="68"/>
      <c r="H1477" s="603"/>
      <c r="I1477" s="882"/>
      <c r="J1477" s="883"/>
      <c r="K1477" s="884"/>
      <c r="L1477" s="884"/>
      <c r="M1477" s="68"/>
    </row>
    <row r="1478" spans="1:13" s="64" customFormat="1">
      <c r="A1478" s="10"/>
      <c r="B1478" s="111"/>
      <c r="C1478" s="68"/>
      <c r="D1478" s="374"/>
      <c r="E1478" s="660"/>
      <c r="F1478" s="112"/>
      <c r="G1478" s="68"/>
      <c r="H1478" s="603"/>
      <c r="I1478" s="882"/>
      <c r="J1478" s="883"/>
      <c r="K1478" s="884"/>
      <c r="L1478" s="884"/>
      <c r="M1478" s="68"/>
    </row>
    <row r="1479" spans="1:13" s="64" customFormat="1">
      <c r="A1479" s="10"/>
      <c r="B1479" s="111"/>
      <c r="C1479" s="68"/>
      <c r="D1479" s="374"/>
      <c r="E1479" s="660"/>
      <c r="F1479" s="112"/>
      <c r="G1479" s="68"/>
      <c r="H1479" s="603"/>
      <c r="I1479" s="882"/>
      <c r="J1479" s="883"/>
      <c r="K1479" s="884"/>
      <c r="L1479" s="884"/>
      <c r="M1479" s="68"/>
    </row>
    <row r="1480" spans="1:13" s="64" customFormat="1">
      <c r="A1480" s="10"/>
      <c r="B1480" s="111"/>
      <c r="C1480" s="68"/>
      <c r="D1480" s="374"/>
      <c r="E1480" s="660"/>
      <c r="F1480" s="112"/>
      <c r="G1480" s="68"/>
      <c r="H1480" s="603"/>
      <c r="I1480" s="882"/>
      <c r="J1480" s="883"/>
      <c r="K1480" s="884"/>
      <c r="L1480" s="884"/>
      <c r="M1480" s="68"/>
    </row>
    <row r="1481" spans="1:13" s="64" customFormat="1">
      <c r="A1481" s="10"/>
      <c r="B1481" s="111"/>
      <c r="C1481" s="68"/>
      <c r="D1481" s="374"/>
      <c r="E1481" s="660"/>
      <c r="F1481" s="112"/>
      <c r="G1481" s="68"/>
      <c r="H1481" s="603"/>
      <c r="I1481" s="882"/>
      <c r="J1481" s="883"/>
      <c r="K1481" s="884"/>
      <c r="L1481" s="884"/>
      <c r="M1481" s="68"/>
    </row>
    <row r="1482" spans="1:13" s="64" customFormat="1">
      <c r="A1482" s="10"/>
      <c r="B1482" s="111"/>
      <c r="C1482" s="68"/>
      <c r="D1482" s="374"/>
      <c r="E1482" s="660"/>
      <c r="F1482" s="112"/>
      <c r="G1482" s="68"/>
      <c r="H1482" s="603"/>
      <c r="I1482" s="882"/>
      <c r="J1482" s="883"/>
      <c r="K1482" s="884"/>
      <c r="L1482" s="884"/>
      <c r="M1482" s="68"/>
    </row>
    <row r="1483" spans="1:13" s="64" customFormat="1">
      <c r="A1483" s="10"/>
      <c r="B1483" s="111"/>
      <c r="C1483" s="68"/>
      <c r="D1483" s="374"/>
      <c r="E1483" s="660"/>
      <c r="F1483" s="112"/>
      <c r="G1483" s="68"/>
      <c r="H1483" s="603"/>
      <c r="I1483" s="882"/>
      <c r="J1483" s="883"/>
      <c r="K1483" s="884"/>
      <c r="L1483" s="884"/>
      <c r="M1483" s="68"/>
    </row>
    <row r="1484" spans="1:13" s="64" customFormat="1">
      <c r="A1484" s="10"/>
      <c r="B1484" s="111"/>
      <c r="C1484" s="68"/>
      <c r="D1484" s="374"/>
      <c r="E1484" s="660"/>
      <c r="F1484" s="112"/>
      <c r="G1484" s="68"/>
      <c r="H1484" s="603"/>
      <c r="I1484" s="882"/>
      <c r="J1484" s="883"/>
      <c r="K1484" s="884"/>
      <c r="L1484" s="884"/>
      <c r="M1484" s="68"/>
    </row>
    <row r="1485" spans="1:13" s="64" customFormat="1">
      <c r="A1485" s="10"/>
      <c r="B1485" s="111"/>
      <c r="C1485" s="68"/>
      <c r="D1485" s="374"/>
      <c r="E1485" s="660"/>
      <c r="F1485" s="112"/>
      <c r="G1485" s="68"/>
      <c r="H1485" s="603"/>
      <c r="I1485" s="882"/>
      <c r="J1485" s="883"/>
      <c r="K1485" s="884"/>
      <c r="L1485" s="884"/>
      <c r="M1485" s="68"/>
    </row>
    <row r="1486" spans="1:13" s="64" customFormat="1">
      <c r="A1486" s="10"/>
      <c r="B1486" s="111"/>
      <c r="C1486" s="68"/>
      <c r="D1486" s="374"/>
      <c r="E1486" s="660"/>
      <c r="F1486" s="112"/>
      <c r="G1486" s="68"/>
      <c r="H1486" s="603"/>
      <c r="I1486" s="882"/>
      <c r="J1486" s="883"/>
      <c r="K1486" s="884"/>
      <c r="L1486" s="884"/>
      <c r="M1486" s="68"/>
    </row>
    <row r="1487" spans="1:13" s="64" customFormat="1">
      <c r="A1487" s="10"/>
      <c r="B1487" s="111"/>
      <c r="C1487" s="68"/>
      <c r="D1487" s="374"/>
      <c r="E1487" s="660"/>
      <c r="F1487" s="112"/>
      <c r="G1487" s="68"/>
      <c r="H1487" s="603"/>
      <c r="I1487" s="882"/>
      <c r="J1487" s="883"/>
      <c r="K1487" s="884"/>
      <c r="L1487" s="884"/>
      <c r="M1487" s="68"/>
    </row>
    <row r="1488" spans="1:13" s="64" customFormat="1">
      <c r="A1488" s="10"/>
      <c r="B1488" s="111"/>
      <c r="C1488" s="68"/>
      <c r="D1488" s="374"/>
      <c r="E1488" s="660"/>
      <c r="F1488" s="112"/>
      <c r="G1488" s="68"/>
      <c r="H1488" s="603"/>
      <c r="I1488" s="882"/>
      <c r="J1488" s="883"/>
      <c r="K1488" s="884"/>
      <c r="L1488" s="884"/>
      <c r="M1488" s="68"/>
    </row>
    <row r="1489" spans="1:13" s="64" customFormat="1">
      <c r="A1489" s="10"/>
      <c r="B1489" s="111"/>
      <c r="C1489" s="68"/>
      <c r="D1489" s="374"/>
      <c r="E1489" s="660"/>
      <c r="F1489" s="112"/>
      <c r="G1489" s="68"/>
      <c r="H1489" s="603"/>
      <c r="I1489" s="882"/>
      <c r="J1489" s="883"/>
      <c r="K1489" s="884"/>
      <c r="L1489" s="884"/>
      <c r="M1489" s="68"/>
    </row>
    <row r="1490" spans="1:13" s="64" customFormat="1">
      <c r="A1490" s="10"/>
      <c r="B1490" s="111"/>
      <c r="C1490" s="68"/>
      <c r="D1490" s="374"/>
      <c r="E1490" s="660"/>
      <c r="F1490" s="112"/>
      <c r="G1490" s="68"/>
      <c r="H1490" s="603"/>
      <c r="I1490" s="882"/>
      <c r="J1490" s="883"/>
      <c r="K1490" s="884"/>
      <c r="L1490" s="884"/>
      <c r="M1490" s="68"/>
    </row>
    <row r="1491" spans="1:13" s="64" customFormat="1">
      <c r="A1491" s="10"/>
      <c r="B1491" s="111"/>
      <c r="C1491" s="68"/>
      <c r="D1491" s="374"/>
      <c r="E1491" s="660"/>
      <c r="F1491" s="112"/>
      <c r="G1491" s="68"/>
      <c r="H1491" s="603"/>
      <c r="I1491" s="882"/>
      <c r="J1491" s="883"/>
      <c r="K1491" s="884"/>
      <c r="L1491" s="884"/>
      <c r="M1491" s="68"/>
    </row>
    <row r="1492" spans="1:13" s="64" customFormat="1">
      <c r="A1492" s="10"/>
      <c r="B1492" s="111"/>
      <c r="C1492" s="68"/>
      <c r="D1492" s="374"/>
      <c r="E1492" s="660"/>
      <c r="F1492" s="112"/>
      <c r="G1492" s="68"/>
      <c r="H1492" s="603"/>
      <c r="I1492" s="882"/>
      <c r="J1492" s="883"/>
      <c r="K1492" s="884"/>
      <c r="L1492" s="884"/>
      <c r="M1492" s="68"/>
    </row>
    <row r="1493" spans="1:13" s="64" customFormat="1">
      <c r="A1493" s="10"/>
      <c r="B1493" s="111"/>
      <c r="C1493" s="68"/>
      <c r="D1493" s="374"/>
      <c r="E1493" s="660"/>
      <c r="F1493" s="112"/>
      <c r="G1493" s="68"/>
      <c r="H1493" s="603"/>
      <c r="I1493" s="882"/>
      <c r="J1493" s="883"/>
      <c r="K1493" s="884"/>
      <c r="L1493" s="884"/>
      <c r="M1493" s="68"/>
    </row>
    <row r="1494" spans="1:13" s="64" customFormat="1">
      <c r="A1494" s="10"/>
      <c r="B1494" s="111"/>
      <c r="C1494" s="68"/>
      <c r="D1494" s="374"/>
      <c r="E1494" s="660"/>
      <c r="F1494" s="112"/>
      <c r="G1494" s="68"/>
      <c r="H1494" s="603"/>
      <c r="I1494" s="882"/>
      <c r="J1494" s="883"/>
      <c r="K1494" s="884"/>
      <c r="L1494" s="884"/>
      <c r="M1494" s="68"/>
    </row>
    <row r="1495" spans="1:13" s="64" customFormat="1">
      <c r="A1495" s="10"/>
      <c r="B1495" s="111"/>
      <c r="C1495" s="68"/>
      <c r="D1495" s="374"/>
      <c r="E1495" s="660"/>
      <c r="F1495" s="112"/>
      <c r="G1495" s="68"/>
      <c r="H1495" s="603"/>
      <c r="I1495" s="882"/>
      <c r="J1495" s="883"/>
      <c r="K1495" s="884"/>
      <c r="L1495" s="884"/>
      <c r="M1495" s="68"/>
    </row>
    <row r="1496" spans="1:13" s="64" customFormat="1">
      <c r="A1496" s="10"/>
      <c r="B1496" s="111"/>
      <c r="C1496" s="68"/>
      <c r="D1496" s="374"/>
      <c r="E1496" s="660"/>
      <c r="F1496" s="112"/>
      <c r="G1496" s="68"/>
      <c r="H1496" s="603"/>
      <c r="I1496" s="882"/>
      <c r="J1496" s="883"/>
      <c r="K1496" s="884"/>
      <c r="L1496" s="884"/>
      <c r="M1496" s="68"/>
    </row>
    <row r="1497" spans="1:13" s="64" customFormat="1">
      <c r="A1497" s="10"/>
      <c r="B1497" s="111"/>
      <c r="C1497" s="68"/>
      <c r="D1497" s="374"/>
      <c r="E1497" s="660"/>
      <c r="F1497" s="112"/>
      <c r="G1497" s="68"/>
      <c r="H1497" s="603"/>
      <c r="I1497" s="882"/>
      <c r="J1497" s="883"/>
      <c r="K1497" s="884"/>
      <c r="L1497" s="884"/>
      <c r="M1497" s="68"/>
    </row>
    <row r="1498" spans="1:13" s="64" customFormat="1">
      <c r="A1498" s="10"/>
      <c r="B1498" s="111"/>
      <c r="C1498" s="68"/>
      <c r="D1498" s="374"/>
      <c r="E1498" s="660"/>
      <c r="F1498" s="112"/>
      <c r="G1498" s="68"/>
      <c r="H1498" s="603"/>
      <c r="I1498" s="882"/>
      <c r="J1498" s="883"/>
      <c r="K1498" s="884"/>
      <c r="L1498" s="884"/>
      <c r="M1498" s="68"/>
    </row>
    <row r="1499" spans="1:13" s="64" customFormat="1">
      <c r="A1499" s="10"/>
      <c r="B1499" s="111"/>
      <c r="C1499" s="68"/>
      <c r="D1499" s="374"/>
      <c r="E1499" s="660"/>
      <c r="F1499" s="112"/>
      <c r="G1499" s="68"/>
      <c r="H1499" s="603"/>
      <c r="I1499" s="882"/>
      <c r="J1499" s="883"/>
      <c r="K1499" s="884"/>
      <c r="L1499" s="884"/>
      <c r="M1499" s="68"/>
    </row>
    <row r="1500" spans="1:13" s="64" customFormat="1">
      <c r="A1500" s="10"/>
      <c r="B1500" s="111"/>
      <c r="C1500" s="68"/>
      <c r="D1500" s="374"/>
      <c r="E1500" s="660"/>
      <c r="F1500" s="112"/>
      <c r="G1500" s="68"/>
      <c r="H1500" s="603"/>
      <c r="I1500" s="882"/>
      <c r="J1500" s="883"/>
      <c r="K1500" s="884"/>
      <c r="L1500" s="884"/>
      <c r="M1500" s="68"/>
    </row>
    <row r="1501" spans="1:13" s="64" customFormat="1">
      <c r="A1501" s="10"/>
      <c r="B1501" s="111"/>
      <c r="C1501" s="68"/>
      <c r="D1501" s="374"/>
      <c r="E1501" s="660"/>
      <c r="F1501" s="112"/>
      <c r="G1501" s="68"/>
      <c r="H1501" s="603"/>
      <c r="I1501" s="882"/>
      <c r="J1501" s="883"/>
      <c r="K1501" s="884"/>
      <c r="L1501" s="884"/>
      <c r="M1501" s="68"/>
    </row>
    <row r="1502" spans="1:13" s="64" customFormat="1">
      <c r="A1502" s="10"/>
      <c r="B1502" s="111"/>
      <c r="C1502" s="68"/>
      <c r="D1502" s="374"/>
      <c r="E1502" s="660"/>
      <c r="F1502" s="112"/>
      <c r="G1502" s="68"/>
      <c r="H1502" s="603"/>
      <c r="I1502" s="882"/>
      <c r="J1502" s="883"/>
      <c r="K1502" s="884"/>
      <c r="L1502" s="884"/>
      <c r="M1502" s="68"/>
    </row>
    <row r="1503" spans="1:13" s="64" customFormat="1">
      <c r="A1503" s="10"/>
      <c r="B1503" s="111"/>
      <c r="C1503" s="68"/>
      <c r="D1503" s="374"/>
      <c r="E1503" s="660"/>
      <c r="F1503" s="112"/>
      <c r="G1503" s="68"/>
      <c r="H1503" s="603"/>
      <c r="I1503" s="882"/>
      <c r="J1503" s="883"/>
      <c r="K1503" s="884"/>
      <c r="L1503" s="884"/>
      <c r="M1503" s="68"/>
    </row>
    <row r="1504" spans="1:13" s="64" customFormat="1">
      <c r="A1504" s="10"/>
      <c r="B1504" s="111"/>
      <c r="C1504" s="68"/>
      <c r="D1504" s="374"/>
      <c r="E1504" s="660"/>
      <c r="F1504" s="112"/>
      <c r="G1504" s="68"/>
      <c r="H1504" s="603"/>
      <c r="I1504" s="882"/>
      <c r="J1504" s="883"/>
      <c r="K1504" s="884"/>
      <c r="L1504" s="884"/>
      <c r="M1504" s="68"/>
    </row>
    <row r="1505" spans="1:13" s="64" customFormat="1">
      <c r="A1505" s="10"/>
      <c r="B1505" s="111"/>
      <c r="C1505" s="68"/>
      <c r="D1505" s="374"/>
      <c r="E1505" s="660"/>
      <c r="F1505" s="112"/>
      <c r="G1505" s="68"/>
      <c r="H1505" s="603"/>
      <c r="I1505" s="882"/>
      <c r="J1505" s="883"/>
      <c r="K1505" s="884"/>
      <c r="L1505" s="884"/>
      <c r="M1505" s="68"/>
    </row>
    <row r="1506" spans="1:13" s="64" customFormat="1">
      <c r="A1506" s="10"/>
      <c r="B1506" s="111"/>
      <c r="C1506" s="68"/>
      <c r="D1506" s="374"/>
      <c r="E1506" s="660"/>
      <c r="F1506" s="112"/>
      <c r="G1506" s="68"/>
      <c r="H1506" s="603"/>
      <c r="I1506" s="882"/>
      <c r="J1506" s="883"/>
      <c r="K1506" s="884"/>
      <c r="L1506" s="884"/>
      <c r="M1506" s="68"/>
    </row>
    <row r="1507" spans="1:13" s="64" customFormat="1">
      <c r="A1507" s="10"/>
      <c r="B1507" s="111"/>
      <c r="C1507" s="68"/>
      <c r="D1507" s="374"/>
      <c r="E1507" s="660"/>
      <c r="F1507" s="112"/>
      <c r="G1507" s="68"/>
      <c r="H1507" s="603"/>
      <c r="I1507" s="882"/>
      <c r="J1507" s="883"/>
      <c r="K1507" s="884"/>
      <c r="L1507" s="884"/>
      <c r="M1507" s="68"/>
    </row>
    <row r="1508" spans="1:13" s="64" customFormat="1">
      <c r="A1508" s="10"/>
      <c r="B1508" s="111"/>
      <c r="C1508" s="68"/>
      <c r="D1508" s="374"/>
      <c r="E1508" s="660"/>
      <c r="F1508" s="112"/>
      <c r="G1508" s="68"/>
      <c r="H1508" s="603"/>
      <c r="I1508" s="882"/>
      <c r="J1508" s="883"/>
      <c r="K1508" s="884"/>
      <c r="L1508" s="884"/>
      <c r="M1508" s="68"/>
    </row>
    <row r="1509" spans="1:13" s="64" customFormat="1">
      <c r="A1509" s="10"/>
      <c r="B1509" s="111"/>
      <c r="C1509" s="68"/>
      <c r="D1509" s="374"/>
      <c r="E1509" s="660"/>
      <c r="F1509" s="112"/>
      <c r="G1509" s="68"/>
      <c r="H1509" s="603"/>
      <c r="I1509" s="882"/>
      <c r="J1509" s="883"/>
      <c r="K1509" s="884"/>
      <c r="L1509" s="884"/>
      <c r="M1509" s="68"/>
    </row>
    <row r="1510" spans="1:13" s="64" customFormat="1">
      <c r="A1510" s="10"/>
      <c r="B1510" s="111"/>
      <c r="C1510" s="68"/>
      <c r="D1510" s="374"/>
      <c r="E1510" s="660"/>
      <c r="F1510" s="112"/>
      <c r="G1510" s="68"/>
      <c r="H1510" s="603"/>
      <c r="I1510" s="882"/>
      <c r="J1510" s="883"/>
      <c r="K1510" s="884"/>
      <c r="L1510" s="884"/>
      <c r="M1510" s="68"/>
    </row>
    <row r="1511" spans="1:13" s="64" customFormat="1">
      <c r="A1511" s="10"/>
      <c r="B1511" s="111"/>
      <c r="C1511" s="68"/>
      <c r="D1511" s="374"/>
      <c r="E1511" s="660"/>
      <c r="F1511" s="112"/>
      <c r="G1511" s="68"/>
      <c r="H1511" s="603"/>
      <c r="I1511" s="882"/>
      <c r="J1511" s="883"/>
      <c r="K1511" s="884"/>
      <c r="L1511" s="884"/>
      <c r="M1511" s="68"/>
    </row>
    <row r="1512" spans="1:13" s="64" customFormat="1">
      <c r="A1512" s="10"/>
      <c r="B1512" s="111"/>
      <c r="C1512" s="68"/>
      <c r="D1512" s="374"/>
      <c r="E1512" s="660"/>
      <c r="F1512" s="112"/>
      <c r="G1512" s="68"/>
      <c r="H1512" s="603"/>
      <c r="I1512" s="882"/>
      <c r="J1512" s="883"/>
      <c r="K1512" s="884"/>
      <c r="L1512" s="884"/>
      <c r="M1512" s="68"/>
    </row>
    <row r="1513" spans="1:13" s="64" customFormat="1">
      <c r="A1513" s="10"/>
      <c r="B1513" s="111"/>
      <c r="C1513" s="68"/>
      <c r="D1513" s="374"/>
      <c r="E1513" s="660"/>
      <c r="F1513" s="112"/>
      <c r="G1513" s="68"/>
      <c r="H1513" s="603"/>
      <c r="I1513" s="882"/>
      <c r="J1513" s="883"/>
      <c r="K1513" s="884"/>
      <c r="L1513" s="884"/>
      <c r="M1513" s="68"/>
    </row>
    <row r="1514" spans="1:13" s="64" customFormat="1">
      <c r="A1514" s="10"/>
      <c r="B1514" s="111"/>
      <c r="C1514" s="68"/>
      <c r="D1514" s="374"/>
      <c r="E1514" s="660"/>
      <c r="F1514" s="112"/>
      <c r="G1514" s="68"/>
      <c r="H1514" s="603"/>
      <c r="I1514" s="882"/>
      <c r="J1514" s="883"/>
      <c r="K1514" s="884"/>
      <c r="L1514" s="884"/>
      <c r="M1514" s="68"/>
    </row>
    <row r="1515" spans="1:13" s="64" customFormat="1">
      <c r="A1515" s="10"/>
      <c r="B1515" s="111"/>
      <c r="C1515" s="68"/>
      <c r="D1515" s="374"/>
      <c r="E1515" s="660"/>
      <c r="F1515" s="112"/>
      <c r="G1515" s="68"/>
      <c r="H1515" s="603"/>
      <c r="I1515" s="882"/>
      <c r="J1515" s="883"/>
      <c r="K1515" s="884"/>
      <c r="L1515" s="884"/>
      <c r="M1515" s="68"/>
    </row>
    <row r="1516" spans="1:13" s="64" customFormat="1">
      <c r="A1516" s="10"/>
      <c r="B1516" s="111"/>
      <c r="C1516" s="68"/>
      <c r="D1516" s="374"/>
      <c r="E1516" s="660"/>
      <c r="F1516" s="112"/>
      <c r="G1516" s="68"/>
      <c r="H1516" s="603"/>
      <c r="I1516" s="882"/>
      <c r="J1516" s="883"/>
      <c r="K1516" s="884"/>
      <c r="L1516" s="884"/>
      <c r="M1516" s="68"/>
    </row>
    <row r="1517" spans="1:13" s="64" customFormat="1">
      <c r="A1517" s="10"/>
      <c r="B1517" s="111"/>
      <c r="C1517" s="68"/>
      <c r="D1517" s="374"/>
      <c r="E1517" s="660"/>
      <c r="F1517" s="112"/>
      <c r="G1517" s="68"/>
      <c r="H1517" s="603"/>
      <c r="I1517" s="882"/>
      <c r="J1517" s="883"/>
      <c r="K1517" s="884"/>
      <c r="L1517" s="884"/>
      <c r="M1517" s="68"/>
    </row>
    <row r="1518" spans="1:13" s="64" customFormat="1">
      <c r="A1518" s="10"/>
      <c r="B1518" s="111"/>
      <c r="C1518" s="68"/>
      <c r="D1518" s="374"/>
      <c r="E1518" s="660"/>
      <c r="F1518" s="112"/>
      <c r="G1518" s="68"/>
      <c r="H1518" s="603"/>
      <c r="I1518" s="882"/>
      <c r="J1518" s="883"/>
      <c r="K1518" s="884"/>
      <c r="L1518" s="884"/>
      <c r="M1518" s="68"/>
    </row>
    <row r="1519" spans="1:13" s="64" customFormat="1">
      <c r="A1519" s="10"/>
      <c r="B1519" s="111"/>
      <c r="C1519" s="68"/>
      <c r="D1519" s="374"/>
      <c r="E1519" s="660"/>
      <c r="F1519" s="112"/>
      <c r="G1519" s="68"/>
      <c r="H1519" s="603"/>
      <c r="I1519" s="882"/>
      <c r="J1519" s="883"/>
      <c r="K1519" s="884"/>
      <c r="L1519" s="884"/>
      <c r="M1519" s="68"/>
    </row>
    <row r="1520" spans="1:13" s="64" customFormat="1">
      <c r="A1520" s="10"/>
      <c r="B1520" s="111"/>
      <c r="C1520" s="68"/>
      <c r="D1520" s="374"/>
      <c r="E1520" s="660"/>
      <c r="F1520" s="112"/>
      <c r="G1520" s="68"/>
      <c r="H1520" s="603"/>
      <c r="I1520" s="882"/>
      <c r="J1520" s="883"/>
      <c r="K1520" s="884"/>
      <c r="L1520" s="884"/>
      <c r="M1520" s="68"/>
    </row>
    <row r="1521" spans="1:13" s="64" customFormat="1">
      <c r="A1521" s="10"/>
      <c r="B1521" s="111"/>
      <c r="C1521" s="68"/>
      <c r="D1521" s="374"/>
      <c r="E1521" s="660"/>
      <c r="F1521" s="112"/>
      <c r="G1521" s="68"/>
      <c r="H1521" s="603"/>
      <c r="I1521" s="882"/>
      <c r="J1521" s="883"/>
      <c r="K1521" s="884"/>
      <c r="L1521" s="884"/>
      <c r="M1521" s="68"/>
    </row>
    <row r="1522" spans="1:13" s="64" customFormat="1">
      <c r="A1522" s="10"/>
      <c r="B1522" s="111"/>
      <c r="C1522" s="68"/>
      <c r="D1522" s="374"/>
      <c r="E1522" s="660"/>
      <c r="F1522" s="112"/>
      <c r="G1522" s="68"/>
      <c r="H1522" s="603"/>
      <c r="I1522" s="882"/>
      <c r="J1522" s="883"/>
      <c r="K1522" s="884"/>
      <c r="L1522" s="884"/>
      <c r="M1522" s="68"/>
    </row>
    <row r="1523" spans="1:13" s="64" customFormat="1">
      <c r="A1523" s="10"/>
      <c r="B1523" s="111"/>
      <c r="C1523" s="68"/>
      <c r="D1523" s="374"/>
      <c r="E1523" s="660"/>
      <c r="F1523" s="112"/>
      <c r="G1523" s="68"/>
      <c r="H1523" s="603"/>
      <c r="I1523" s="882"/>
      <c r="J1523" s="883"/>
      <c r="K1523" s="884"/>
      <c r="L1523" s="884"/>
      <c r="M1523" s="68"/>
    </row>
    <row r="1524" spans="1:13" s="64" customFormat="1">
      <c r="A1524" s="10"/>
      <c r="B1524" s="111"/>
      <c r="C1524" s="68"/>
      <c r="D1524" s="374"/>
      <c r="E1524" s="660"/>
      <c r="F1524" s="112"/>
      <c r="G1524" s="68"/>
      <c r="H1524" s="603"/>
      <c r="I1524" s="882"/>
      <c r="J1524" s="883"/>
      <c r="K1524" s="884"/>
      <c r="L1524" s="884"/>
      <c r="M1524" s="68"/>
    </row>
    <row r="1525" spans="1:13" s="64" customFormat="1">
      <c r="A1525" s="10"/>
      <c r="B1525" s="111"/>
      <c r="C1525" s="68"/>
      <c r="D1525" s="374"/>
      <c r="E1525" s="660"/>
      <c r="F1525" s="112"/>
      <c r="G1525" s="68"/>
      <c r="H1525" s="603"/>
      <c r="I1525" s="882"/>
      <c r="J1525" s="883"/>
      <c r="K1525" s="884"/>
      <c r="L1525" s="884"/>
      <c r="M1525" s="68"/>
    </row>
    <row r="1526" spans="1:13" s="64" customFormat="1">
      <c r="A1526" s="10"/>
      <c r="B1526" s="111"/>
      <c r="C1526" s="68"/>
      <c r="D1526" s="374"/>
      <c r="E1526" s="660"/>
      <c r="F1526" s="112"/>
      <c r="G1526" s="68"/>
      <c r="H1526" s="603"/>
      <c r="I1526" s="882"/>
      <c r="J1526" s="883"/>
      <c r="K1526" s="884"/>
      <c r="L1526" s="884"/>
      <c r="M1526" s="68"/>
    </row>
    <row r="1527" spans="1:13" s="64" customFormat="1">
      <c r="A1527" s="10"/>
      <c r="B1527" s="111"/>
      <c r="C1527" s="68"/>
      <c r="D1527" s="374"/>
      <c r="E1527" s="660"/>
      <c r="F1527" s="112"/>
      <c r="G1527" s="68"/>
      <c r="H1527" s="603"/>
      <c r="I1527" s="882"/>
      <c r="J1527" s="883"/>
      <c r="K1527" s="884"/>
      <c r="L1527" s="884"/>
      <c r="M1527" s="68"/>
    </row>
    <row r="1528" spans="1:13" s="64" customFormat="1">
      <c r="A1528" s="10"/>
      <c r="B1528" s="111"/>
      <c r="C1528" s="68"/>
      <c r="D1528" s="374"/>
      <c r="E1528" s="660"/>
      <c r="F1528" s="112"/>
      <c r="G1528" s="68"/>
      <c r="H1528" s="603"/>
      <c r="I1528" s="882"/>
      <c r="J1528" s="883"/>
      <c r="K1528" s="884"/>
      <c r="L1528" s="884"/>
      <c r="M1528" s="68"/>
    </row>
    <row r="1529" spans="1:13" s="64" customFormat="1">
      <c r="A1529" s="10"/>
      <c r="B1529" s="111"/>
      <c r="C1529" s="68"/>
      <c r="D1529" s="374"/>
      <c r="E1529" s="660"/>
      <c r="F1529" s="112"/>
      <c r="G1529" s="68"/>
      <c r="H1529" s="603"/>
      <c r="I1529" s="882"/>
      <c r="J1529" s="883"/>
      <c r="K1529" s="884"/>
      <c r="L1529" s="884"/>
      <c r="M1529" s="68"/>
    </row>
    <row r="1530" spans="1:13" s="64" customFormat="1">
      <c r="A1530" s="10"/>
      <c r="B1530" s="111"/>
      <c r="C1530" s="68"/>
      <c r="D1530" s="374"/>
      <c r="E1530" s="660"/>
      <c r="F1530" s="112"/>
      <c r="G1530" s="68"/>
      <c r="H1530" s="603"/>
      <c r="I1530" s="882"/>
      <c r="J1530" s="883"/>
      <c r="K1530" s="884"/>
      <c r="L1530" s="884"/>
      <c r="M1530" s="68"/>
    </row>
    <row r="1531" spans="1:13" s="64" customFormat="1">
      <c r="A1531" s="10"/>
      <c r="B1531" s="111"/>
      <c r="C1531" s="68"/>
      <c r="D1531" s="374"/>
      <c r="E1531" s="660"/>
      <c r="F1531" s="112"/>
      <c r="G1531" s="68"/>
      <c r="H1531" s="603"/>
      <c r="I1531" s="882"/>
      <c r="J1531" s="883"/>
      <c r="K1531" s="884"/>
      <c r="L1531" s="884"/>
      <c r="M1531" s="68"/>
    </row>
    <row r="1532" spans="1:13" s="64" customFormat="1">
      <c r="A1532" s="10"/>
      <c r="B1532" s="111"/>
      <c r="C1532" s="68"/>
      <c r="D1532" s="374"/>
      <c r="E1532" s="660"/>
      <c r="F1532" s="112"/>
      <c r="G1532" s="68"/>
      <c r="H1532" s="603"/>
      <c r="I1532" s="882"/>
      <c r="J1532" s="883"/>
      <c r="K1532" s="884"/>
      <c r="L1532" s="884"/>
      <c r="M1532" s="68"/>
    </row>
    <row r="1533" spans="1:13" s="64" customFormat="1">
      <c r="A1533" s="10"/>
      <c r="B1533" s="111"/>
      <c r="C1533" s="68"/>
      <c r="D1533" s="374"/>
      <c r="E1533" s="660"/>
      <c r="F1533" s="112"/>
      <c r="G1533" s="68"/>
      <c r="H1533" s="603"/>
      <c r="I1533" s="882"/>
      <c r="J1533" s="883"/>
      <c r="K1533" s="884"/>
      <c r="L1533" s="884"/>
      <c r="M1533" s="68"/>
    </row>
    <row r="1534" spans="1:13" s="64" customFormat="1">
      <c r="A1534" s="10"/>
      <c r="B1534" s="111"/>
      <c r="C1534" s="68"/>
      <c r="D1534" s="374"/>
      <c r="E1534" s="660"/>
      <c r="F1534" s="112"/>
      <c r="G1534" s="68"/>
      <c r="H1534" s="603"/>
      <c r="I1534" s="882"/>
      <c r="J1534" s="883"/>
      <c r="K1534" s="884"/>
      <c r="L1534" s="884"/>
      <c r="M1534" s="68"/>
    </row>
    <row r="1535" spans="1:13" s="64" customFormat="1">
      <c r="A1535" s="10"/>
      <c r="B1535" s="111"/>
      <c r="C1535" s="68"/>
      <c r="D1535" s="374"/>
      <c r="E1535" s="660"/>
      <c r="F1535" s="112"/>
      <c r="G1535" s="68"/>
      <c r="H1535" s="603"/>
      <c r="I1535" s="882"/>
      <c r="J1535" s="883"/>
      <c r="K1535" s="884"/>
      <c r="L1535" s="884"/>
      <c r="M1535" s="68"/>
    </row>
    <row r="1536" spans="1:13" s="64" customFormat="1">
      <c r="A1536" s="10"/>
      <c r="B1536" s="111"/>
      <c r="C1536" s="68"/>
      <c r="D1536" s="374"/>
      <c r="E1536" s="660"/>
      <c r="F1536" s="112"/>
      <c r="G1536" s="68"/>
      <c r="H1536" s="603"/>
      <c r="I1536" s="882"/>
      <c r="J1536" s="883"/>
      <c r="K1536" s="884"/>
      <c r="L1536" s="884"/>
      <c r="M1536" s="68"/>
    </row>
    <row r="1537" spans="1:13" s="64" customFormat="1">
      <c r="A1537" s="10"/>
      <c r="B1537" s="111"/>
      <c r="C1537" s="68"/>
      <c r="D1537" s="374"/>
      <c r="E1537" s="660"/>
      <c r="F1537" s="112"/>
      <c r="G1537" s="68"/>
      <c r="H1537" s="603"/>
      <c r="I1537" s="882"/>
      <c r="J1537" s="883"/>
      <c r="K1537" s="884"/>
      <c r="L1537" s="884"/>
      <c r="M1537" s="68"/>
    </row>
    <row r="1538" spans="1:13" s="64" customFormat="1">
      <c r="A1538" s="10"/>
      <c r="B1538" s="111"/>
      <c r="C1538" s="68"/>
      <c r="D1538" s="374"/>
      <c r="E1538" s="660"/>
      <c r="F1538" s="112"/>
      <c r="G1538" s="68"/>
      <c r="H1538" s="603"/>
      <c r="I1538" s="882"/>
      <c r="J1538" s="883"/>
      <c r="K1538" s="884"/>
      <c r="L1538" s="884"/>
      <c r="M1538" s="68"/>
    </row>
    <row r="1539" spans="1:13" s="64" customFormat="1">
      <c r="A1539" s="10"/>
      <c r="B1539" s="111"/>
      <c r="C1539" s="68"/>
      <c r="D1539" s="374"/>
      <c r="E1539" s="660"/>
      <c r="F1539" s="112"/>
      <c r="G1539" s="68"/>
      <c r="H1539" s="603"/>
      <c r="I1539" s="882"/>
      <c r="J1539" s="883"/>
      <c r="K1539" s="884"/>
      <c r="L1539" s="884"/>
      <c r="M1539" s="68"/>
    </row>
    <row r="1540" spans="1:13" s="64" customFormat="1">
      <c r="A1540" s="10"/>
      <c r="B1540" s="111"/>
      <c r="C1540" s="68"/>
      <c r="D1540" s="374"/>
      <c r="E1540" s="660"/>
      <c r="F1540" s="112"/>
      <c r="G1540" s="68"/>
      <c r="H1540" s="603"/>
      <c r="I1540" s="882"/>
      <c r="J1540" s="883"/>
      <c r="K1540" s="884"/>
      <c r="L1540" s="884"/>
      <c r="M1540" s="68"/>
    </row>
    <row r="1541" spans="1:13" s="64" customFormat="1">
      <c r="A1541" s="10"/>
      <c r="B1541" s="111"/>
      <c r="C1541" s="68"/>
      <c r="D1541" s="374"/>
      <c r="E1541" s="660"/>
      <c r="F1541" s="112"/>
      <c r="G1541" s="68"/>
      <c r="H1541" s="603"/>
      <c r="I1541" s="882"/>
      <c r="J1541" s="883"/>
      <c r="K1541" s="884"/>
      <c r="L1541" s="884"/>
      <c r="M1541" s="68"/>
    </row>
    <row r="1542" spans="1:13" s="64" customFormat="1">
      <c r="A1542" s="10"/>
      <c r="B1542" s="111"/>
      <c r="C1542" s="68"/>
      <c r="D1542" s="374"/>
      <c r="E1542" s="660"/>
      <c r="F1542" s="112"/>
      <c r="G1542" s="68"/>
      <c r="H1542" s="603"/>
      <c r="I1542" s="882"/>
      <c r="J1542" s="883"/>
      <c r="K1542" s="884"/>
      <c r="L1542" s="884"/>
      <c r="M1542" s="68"/>
    </row>
    <row r="1543" spans="1:13" s="64" customFormat="1">
      <c r="A1543" s="10"/>
      <c r="B1543" s="111"/>
      <c r="C1543" s="68"/>
      <c r="D1543" s="374"/>
      <c r="E1543" s="660"/>
      <c r="F1543" s="112"/>
      <c r="G1543" s="68"/>
      <c r="H1543" s="603"/>
      <c r="I1543" s="882"/>
      <c r="J1543" s="883"/>
      <c r="K1543" s="884"/>
      <c r="L1543" s="884"/>
      <c r="M1543" s="68"/>
    </row>
    <row r="1544" spans="1:13" s="64" customFormat="1">
      <c r="A1544" s="10"/>
      <c r="B1544" s="111"/>
      <c r="C1544" s="68"/>
      <c r="D1544" s="374"/>
      <c r="E1544" s="660"/>
      <c r="F1544" s="112"/>
      <c r="G1544" s="68"/>
      <c r="H1544" s="603"/>
      <c r="I1544" s="882"/>
      <c r="J1544" s="883"/>
      <c r="K1544" s="884"/>
      <c r="L1544" s="884"/>
      <c r="M1544" s="68"/>
    </row>
    <row r="1545" spans="1:13" s="64" customFormat="1">
      <c r="A1545" s="10"/>
      <c r="B1545" s="111"/>
      <c r="C1545" s="68"/>
      <c r="D1545" s="374"/>
      <c r="E1545" s="660"/>
      <c r="F1545" s="112"/>
      <c r="G1545" s="68"/>
      <c r="H1545" s="603"/>
      <c r="I1545" s="882"/>
      <c r="J1545" s="883"/>
      <c r="K1545" s="884"/>
      <c r="L1545" s="884"/>
      <c r="M1545" s="68"/>
    </row>
    <row r="1546" spans="1:13" s="64" customFormat="1">
      <c r="A1546" s="10"/>
      <c r="B1546" s="111"/>
      <c r="C1546" s="68"/>
      <c r="D1546" s="374"/>
      <c r="E1546" s="660"/>
      <c r="F1546" s="112"/>
      <c r="G1546" s="68"/>
      <c r="H1546" s="603"/>
      <c r="I1546" s="882"/>
      <c r="J1546" s="883"/>
      <c r="K1546" s="884"/>
      <c r="L1546" s="884"/>
      <c r="M1546" s="68"/>
    </row>
    <row r="1547" spans="1:13" s="64" customFormat="1">
      <c r="A1547" s="10"/>
      <c r="B1547" s="111"/>
      <c r="C1547" s="68"/>
      <c r="D1547" s="374"/>
      <c r="E1547" s="660"/>
      <c r="F1547" s="112"/>
      <c r="G1547" s="68"/>
      <c r="H1547" s="603"/>
      <c r="I1547" s="882"/>
      <c r="J1547" s="883"/>
      <c r="K1547" s="884"/>
      <c r="L1547" s="884"/>
      <c r="M1547" s="68"/>
    </row>
    <row r="1548" spans="1:13" s="64" customFormat="1">
      <c r="A1548" s="10"/>
      <c r="B1548" s="111"/>
      <c r="C1548" s="68"/>
      <c r="D1548" s="374"/>
      <c r="E1548" s="660"/>
      <c r="F1548" s="112"/>
      <c r="G1548" s="68"/>
      <c r="H1548" s="603"/>
      <c r="I1548" s="882"/>
      <c r="J1548" s="883"/>
      <c r="K1548" s="884"/>
      <c r="L1548" s="884"/>
      <c r="M1548" s="68"/>
    </row>
    <row r="1549" spans="1:13" s="64" customFormat="1">
      <c r="A1549" s="10"/>
      <c r="B1549" s="111"/>
      <c r="C1549" s="68"/>
      <c r="D1549" s="374"/>
      <c r="E1549" s="660"/>
      <c r="F1549" s="112"/>
      <c r="G1549" s="68"/>
      <c r="H1549" s="603"/>
      <c r="I1549" s="882"/>
      <c r="J1549" s="883"/>
      <c r="K1549" s="884"/>
      <c r="L1549" s="884"/>
      <c r="M1549" s="68"/>
    </row>
    <row r="1550" spans="1:13" s="64" customFormat="1">
      <c r="A1550" s="10"/>
      <c r="B1550" s="111"/>
      <c r="C1550" s="68"/>
      <c r="D1550" s="374"/>
      <c r="E1550" s="660"/>
      <c r="F1550" s="112"/>
      <c r="G1550" s="68"/>
      <c r="H1550" s="603"/>
      <c r="I1550" s="882"/>
      <c r="J1550" s="883"/>
      <c r="K1550" s="884"/>
      <c r="L1550" s="884"/>
      <c r="M1550" s="68"/>
    </row>
    <row r="1551" spans="1:13" s="64" customFormat="1">
      <c r="A1551" s="10"/>
      <c r="B1551" s="111"/>
      <c r="C1551" s="68"/>
      <c r="D1551" s="374"/>
      <c r="E1551" s="660"/>
      <c r="F1551" s="112"/>
      <c r="G1551" s="68"/>
      <c r="H1551" s="603"/>
      <c r="I1551" s="882"/>
      <c r="J1551" s="883"/>
      <c r="K1551" s="884"/>
      <c r="L1551" s="884"/>
      <c r="M1551" s="68"/>
    </row>
    <row r="1552" spans="1:13" s="64" customFormat="1">
      <c r="A1552" s="10"/>
      <c r="B1552" s="111"/>
      <c r="C1552" s="68"/>
      <c r="D1552" s="374"/>
      <c r="E1552" s="660"/>
      <c r="F1552" s="112"/>
      <c r="G1552" s="68"/>
      <c r="H1552" s="603"/>
      <c r="I1552" s="882"/>
      <c r="J1552" s="883"/>
      <c r="K1552" s="884"/>
      <c r="L1552" s="884"/>
      <c r="M1552" s="68"/>
    </row>
    <row r="1553" spans="1:13" s="64" customFormat="1">
      <c r="A1553" s="10"/>
      <c r="B1553" s="111"/>
      <c r="C1553" s="68"/>
      <c r="D1553" s="374"/>
      <c r="E1553" s="660"/>
      <c r="F1553" s="112"/>
      <c r="G1553" s="68"/>
      <c r="H1553" s="603"/>
      <c r="I1553" s="882"/>
      <c r="J1553" s="883"/>
      <c r="K1553" s="884"/>
      <c r="L1553" s="884"/>
      <c r="M1553" s="68"/>
    </row>
    <row r="1554" spans="1:13" s="64" customFormat="1">
      <c r="A1554" s="10"/>
      <c r="B1554" s="111"/>
      <c r="C1554" s="68"/>
      <c r="D1554" s="374"/>
      <c r="E1554" s="660"/>
      <c r="F1554" s="112"/>
      <c r="G1554" s="68"/>
      <c r="H1554" s="603"/>
      <c r="I1554" s="882"/>
      <c r="J1554" s="883"/>
      <c r="K1554" s="884"/>
      <c r="L1554" s="884"/>
      <c r="M1554" s="68"/>
    </row>
    <row r="1555" spans="1:13" s="64" customFormat="1">
      <c r="A1555" s="10"/>
      <c r="B1555" s="111"/>
      <c r="C1555" s="68"/>
      <c r="D1555" s="374"/>
      <c r="E1555" s="660"/>
      <c r="F1555" s="112"/>
      <c r="G1555" s="68"/>
      <c r="H1555" s="603"/>
      <c r="I1555" s="882"/>
      <c r="J1555" s="883"/>
      <c r="K1555" s="884"/>
      <c r="L1555" s="884"/>
      <c r="M1555" s="68"/>
    </row>
    <row r="1556" spans="1:13" s="64" customFormat="1">
      <c r="A1556" s="10"/>
      <c r="B1556" s="111"/>
      <c r="C1556" s="68"/>
      <c r="D1556" s="374"/>
      <c r="E1556" s="660"/>
      <c r="F1556" s="112"/>
      <c r="G1556" s="68"/>
      <c r="H1556" s="603"/>
      <c r="I1556" s="882"/>
      <c r="J1556" s="883"/>
      <c r="K1556" s="884"/>
      <c r="L1556" s="884"/>
      <c r="M1556" s="68"/>
    </row>
    <row r="1557" spans="1:13" s="64" customFormat="1">
      <c r="A1557" s="10"/>
      <c r="B1557" s="111"/>
      <c r="C1557" s="68"/>
      <c r="D1557" s="374"/>
      <c r="E1557" s="660"/>
      <c r="F1557" s="112"/>
      <c r="G1557" s="68"/>
      <c r="H1557" s="603"/>
      <c r="I1557" s="882"/>
      <c r="J1557" s="883"/>
      <c r="K1557" s="884"/>
      <c r="L1557" s="884"/>
      <c r="M1557" s="68"/>
    </row>
    <row r="1558" spans="1:13" s="64" customFormat="1">
      <c r="A1558" s="10"/>
      <c r="B1558" s="111"/>
      <c r="C1558" s="68"/>
      <c r="D1558" s="374"/>
      <c r="E1558" s="660"/>
      <c r="F1558" s="112"/>
      <c r="G1558" s="68"/>
      <c r="H1558" s="603"/>
      <c r="I1558" s="882"/>
      <c r="J1558" s="883"/>
      <c r="K1558" s="884"/>
      <c r="L1558" s="884"/>
      <c r="M1558" s="68"/>
    </row>
    <row r="1559" spans="1:13" s="64" customFormat="1">
      <c r="A1559" s="10"/>
      <c r="B1559" s="111"/>
      <c r="C1559" s="68"/>
      <c r="D1559" s="374"/>
      <c r="E1559" s="660"/>
      <c r="F1559" s="112"/>
      <c r="G1559" s="68"/>
      <c r="H1559" s="603"/>
      <c r="I1559" s="882"/>
      <c r="J1559" s="883"/>
      <c r="K1559" s="884"/>
      <c r="L1559" s="884"/>
      <c r="M1559" s="68"/>
    </row>
    <row r="1560" spans="1:13" s="64" customFormat="1">
      <c r="A1560" s="10"/>
      <c r="B1560" s="111"/>
      <c r="C1560" s="68"/>
      <c r="D1560" s="374"/>
      <c r="E1560" s="660"/>
      <c r="F1560" s="112"/>
      <c r="G1560" s="68"/>
      <c r="H1560" s="603"/>
      <c r="I1560" s="882"/>
      <c r="J1560" s="883"/>
      <c r="K1560" s="884"/>
      <c r="L1560" s="884"/>
      <c r="M1560" s="68"/>
    </row>
    <row r="1561" spans="1:13" s="64" customFormat="1">
      <c r="A1561" s="10"/>
      <c r="B1561" s="111"/>
      <c r="C1561" s="68"/>
      <c r="D1561" s="374"/>
      <c r="E1561" s="660"/>
      <c r="F1561" s="112"/>
      <c r="G1561" s="68"/>
      <c r="H1561" s="603"/>
      <c r="I1561" s="882"/>
      <c r="J1561" s="883"/>
      <c r="K1561" s="884"/>
      <c r="L1561" s="884"/>
      <c r="M1561" s="68"/>
    </row>
    <row r="1562" spans="1:13" s="64" customFormat="1">
      <c r="A1562" s="10"/>
      <c r="B1562" s="111"/>
      <c r="C1562" s="68"/>
      <c r="D1562" s="374"/>
      <c r="E1562" s="660"/>
      <c r="F1562" s="112"/>
      <c r="G1562" s="68"/>
      <c r="H1562" s="603"/>
      <c r="I1562" s="882"/>
      <c r="J1562" s="883"/>
      <c r="K1562" s="884"/>
      <c r="L1562" s="884"/>
      <c r="M1562" s="68"/>
    </row>
    <row r="1563" spans="1:13" s="64" customFormat="1">
      <c r="A1563" s="10"/>
      <c r="B1563" s="111"/>
      <c r="C1563" s="68"/>
      <c r="D1563" s="374"/>
      <c r="E1563" s="660"/>
      <c r="F1563" s="112"/>
      <c r="G1563" s="68"/>
      <c r="H1563" s="603"/>
      <c r="I1563" s="882"/>
      <c r="J1563" s="883"/>
      <c r="K1563" s="884"/>
      <c r="L1563" s="884"/>
      <c r="M1563" s="68"/>
    </row>
    <row r="1564" spans="1:13" s="64" customFormat="1">
      <c r="A1564" s="10"/>
      <c r="B1564" s="111"/>
      <c r="C1564" s="68"/>
      <c r="D1564" s="374"/>
      <c r="E1564" s="660"/>
      <c r="F1564" s="112"/>
      <c r="G1564" s="68"/>
      <c r="H1564" s="603"/>
      <c r="I1564" s="882"/>
      <c r="J1564" s="883"/>
      <c r="K1564" s="884"/>
      <c r="L1564" s="884"/>
      <c r="M1564" s="68"/>
    </row>
    <row r="1565" spans="1:13" s="64" customFormat="1">
      <c r="A1565" s="10"/>
      <c r="B1565" s="111"/>
      <c r="C1565" s="68"/>
      <c r="D1565" s="374"/>
      <c r="E1565" s="660"/>
      <c r="F1565" s="112"/>
      <c r="G1565" s="68"/>
      <c r="H1565" s="603"/>
      <c r="I1565" s="882"/>
      <c r="J1565" s="883"/>
      <c r="K1565" s="884"/>
      <c r="L1565" s="884"/>
      <c r="M1565" s="68"/>
    </row>
    <row r="1566" spans="1:13" s="64" customFormat="1">
      <c r="A1566" s="10"/>
      <c r="B1566" s="111"/>
      <c r="C1566" s="68"/>
      <c r="D1566" s="374"/>
      <c r="E1566" s="660"/>
      <c r="F1566" s="112"/>
      <c r="G1566" s="68"/>
      <c r="H1566" s="603"/>
      <c r="I1566" s="882"/>
      <c r="J1566" s="883"/>
      <c r="K1566" s="884"/>
      <c r="L1566" s="884"/>
      <c r="M1566" s="68"/>
    </row>
    <row r="1567" spans="1:13" s="64" customFormat="1">
      <c r="A1567" s="10"/>
      <c r="B1567" s="111"/>
      <c r="C1567" s="68"/>
      <c r="D1567" s="374"/>
      <c r="E1567" s="660"/>
      <c r="F1567" s="112"/>
      <c r="G1567" s="68"/>
      <c r="H1567" s="603"/>
      <c r="I1567" s="882"/>
      <c r="J1567" s="883"/>
      <c r="K1567" s="884"/>
      <c r="L1567" s="884"/>
      <c r="M1567" s="68"/>
    </row>
    <row r="1568" spans="1:13" s="64" customFormat="1">
      <c r="A1568" s="10"/>
      <c r="B1568" s="111"/>
      <c r="C1568" s="68"/>
      <c r="D1568" s="374"/>
      <c r="E1568" s="660"/>
      <c r="F1568" s="112"/>
      <c r="G1568" s="68"/>
      <c r="H1568" s="603"/>
      <c r="I1568" s="882"/>
      <c r="J1568" s="883"/>
      <c r="K1568" s="884"/>
      <c r="L1568" s="884"/>
      <c r="M1568" s="68"/>
    </row>
    <row r="1569" spans="1:13" s="64" customFormat="1">
      <c r="A1569" s="10"/>
      <c r="B1569" s="111"/>
      <c r="C1569" s="68"/>
      <c r="D1569" s="374"/>
      <c r="E1569" s="660"/>
      <c r="F1569" s="112"/>
      <c r="G1569" s="68"/>
      <c r="H1569" s="603"/>
      <c r="I1569" s="882"/>
      <c r="J1569" s="883"/>
      <c r="K1569" s="884"/>
      <c r="L1569" s="884"/>
      <c r="M1569" s="68"/>
    </row>
    <row r="1570" spans="1:13" s="64" customFormat="1">
      <c r="A1570" s="10"/>
      <c r="B1570" s="111"/>
      <c r="C1570" s="68"/>
      <c r="D1570" s="374"/>
      <c r="E1570" s="660"/>
      <c r="F1570" s="112"/>
      <c r="G1570" s="68"/>
      <c r="H1570" s="603"/>
      <c r="I1570" s="882"/>
      <c r="J1570" s="883"/>
      <c r="K1570" s="884"/>
      <c r="L1570" s="884"/>
      <c r="M1570" s="68"/>
    </row>
    <row r="1571" spans="1:13" s="64" customFormat="1">
      <c r="A1571" s="10"/>
      <c r="B1571" s="111"/>
      <c r="C1571" s="68"/>
      <c r="D1571" s="374"/>
      <c r="E1571" s="660"/>
      <c r="F1571" s="112"/>
      <c r="G1571" s="68"/>
      <c r="H1571" s="603"/>
      <c r="I1571" s="882"/>
      <c r="J1571" s="883"/>
      <c r="K1571" s="884"/>
      <c r="L1571" s="884"/>
      <c r="M1571" s="68"/>
    </row>
    <row r="1572" spans="1:13" s="64" customFormat="1">
      <c r="A1572" s="10"/>
      <c r="B1572" s="111"/>
      <c r="C1572" s="68"/>
      <c r="D1572" s="374"/>
      <c r="E1572" s="660"/>
      <c r="F1572" s="112"/>
      <c r="G1572" s="68"/>
      <c r="H1572" s="603"/>
      <c r="I1572" s="882"/>
      <c r="J1572" s="883"/>
      <c r="K1572" s="884"/>
      <c r="L1572" s="884"/>
      <c r="M1572" s="68"/>
    </row>
    <row r="1573" spans="1:13" s="64" customFormat="1">
      <c r="A1573" s="10"/>
      <c r="B1573" s="111"/>
      <c r="C1573" s="68"/>
      <c r="D1573" s="374"/>
      <c r="E1573" s="660"/>
      <c r="F1573" s="112"/>
      <c r="G1573" s="68"/>
      <c r="H1573" s="603"/>
      <c r="I1573" s="882"/>
      <c r="J1573" s="883"/>
      <c r="K1573" s="884"/>
      <c r="L1573" s="884"/>
      <c r="M1573" s="68"/>
    </row>
    <row r="1574" spans="1:13" s="64" customFormat="1">
      <c r="A1574" s="10"/>
      <c r="B1574" s="111"/>
      <c r="C1574" s="68"/>
      <c r="D1574" s="374"/>
      <c r="E1574" s="660"/>
      <c r="F1574" s="112"/>
      <c r="G1574" s="68"/>
      <c r="H1574" s="603"/>
      <c r="I1574" s="882"/>
      <c r="J1574" s="883"/>
      <c r="K1574" s="884"/>
      <c r="L1574" s="884"/>
      <c r="M1574" s="68"/>
    </row>
    <row r="1575" spans="1:13" s="64" customFormat="1">
      <c r="A1575" s="10"/>
      <c r="B1575" s="111"/>
      <c r="C1575" s="68"/>
      <c r="D1575" s="374"/>
      <c r="E1575" s="660"/>
      <c r="F1575" s="112"/>
      <c r="G1575" s="68"/>
      <c r="H1575" s="603"/>
      <c r="I1575" s="882"/>
      <c r="J1575" s="883"/>
      <c r="K1575" s="884"/>
      <c r="L1575" s="884"/>
      <c r="M1575" s="68"/>
    </row>
    <row r="1576" spans="1:13" s="64" customFormat="1">
      <c r="A1576" s="10"/>
      <c r="B1576" s="111"/>
      <c r="C1576" s="68"/>
      <c r="D1576" s="374"/>
      <c r="E1576" s="660"/>
      <c r="F1576" s="112"/>
      <c r="G1576" s="68"/>
      <c r="H1576" s="603"/>
      <c r="I1576" s="882"/>
      <c r="J1576" s="883"/>
      <c r="K1576" s="884"/>
      <c r="L1576" s="884"/>
      <c r="M1576" s="68"/>
    </row>
    <row r="1577" spans="1:13" s="64" customFormat="1">
      <c r="A1577" s="10"/>
      <c r="B1577" s="111"/>
      <c r="C1577" s="68"/>
      <c r="D1577" s="374"/>
      <c r="E1577" s="660"/>
      <c r="F1577" s="112"/>
      <c r="G1577" s="68"/>
      <c r="H1577" s="603"/>
      <c r="I1577" s="882"/>
      <c r="J1577" s="883"/>
      <c r="K1577" s="884"/>
      <c r="L1577" s="884"/>
      <c r="M1577" s="68"/>
    </row>
    <row r="1578" spans="1:13" s="64" customFormat="1">
      <c r="A1578" s="10"/>
      <c r="B1578" s="111"/>
      <c r="C1578" s="68"/>
      <c r="D1578" s="374"/>
      <c r="E1578" s="660"/>
      <c r="F1578" s="112"/>
      <c r="G1578" s="68"/>
      <c r="H1578" s="603"/>
      <c r="I1578" s="882"/>
      <c r="J1578" s="883"/>
      <c r="K1578" s="884"/>
      <c r="L1578" s="884"/>
      <c r="M1578" s="68"/>
    </row>
    <row r="1579" spans="1:13" s="64" customFormat="1">
      <c r="A1579" s="10"/>
      <c r="B1579" s="111"/>
      <c r="C1579" s="68"/>
      <c r="D1579" s="374"/>
      <c r="E1579" s="660"/>
      <c r="F1579" s="112"/>
      <c r="G1579" s="68"/>
      <c r="H1579" s="603"/>
      <c r="I1579" s="882"/>
      <c r="J1579" s="883"/>
      <c r="K1579" s="884"/>
      <c r="L1579" s="884"/>
      <c r="M1579" s="68"/>
    </row>
    <row r="1580" spans="1:13" s="64" customFormat="1">
      <c r="A1580" s="10"/>
      <c r="B1580" s="111"/>
      <c r="C1580" s="68"/>
      <c r="D1580" s="374"/>
      <c r="E1580" s="660"/>
      <c r="F1580" s="112"/>
      <c r="G1580" s="68"/>
      <c r="H1580" s="603"/>
      <c r="I1580" s="882"/>
      <c r="J1580" s="883"/>
      <c r="K1580" s="884"/>
      <c r="L1580" s="884"/>
      <c r="M1580" s="68"/>
    </row>
    <row r="1581" spans="1:13" s="64" customFormat="1">
      <c r="A1581" s="10"/>
      <c r="B1581" s="111"/>
      <c r="C1581" s="68"/>
      <c r="D1581" s="374"/>
      <c r="E1581" s="660"/>
      <c r="F1581" s="112"/>
      <c r="G1581" s="68"/>
      <c r="H1581" s="603"/>
      <c r="I1581" s="882"/>
      <c r="J1581" s="883"/>
      <c r="K1581" s="884"/>
      <c r="L1581" s="884"/>
      <c r="M1581" s="68"/>
    </row>
    <row r="1582" spans="1:13" s="64" customFormat="1">
      <c r="A1582" s="10"/>
      <c r="B1582" s="111"/>
      <c r="C1582" s="68"/>
      <c r="D1582" s="374"/>
      <c r="E1582" s="660"/>
      <c r="F1582" s="112"/>
      <c r="G1582" s="68"/>
      <c r="H1582" s="603"/>
      <c r="I1582" s="882"/>
      <c r="J1582" s="883"/>
      <c r="K1582" s="884"/>
      <c r="L1582" s="884"/>
      <c r="M1582" s="68"/>
    </row>
    <row r="1583" spans="1:13" s="64" customFormat="1">
      <c r="A1583" s="10"/>
      <c r="B1583" s="111"/>
      <c r="C1583" s="68"/>
      <c r="D1583" s="374"/>
      <c r="E1583" s="660"/>
      <c r="F1583" s="112"/>
      <c r="G1583" s="68"/>
      <c r="H1583" s="603"/>
      <c r="I1583" s="882"/>
      <c r="J1583" s="883"/>
      <c r="K1583" s="884"/>
      <c r="L1583" s="884"/>
      <c r="M1583" s="68"/>
    </row>
    <row r="1584" spans="1:13" s="64" customFormat="1">
      <c r="A1584" s="10"/>
      <c r="B1584" s="111"/>
      <c r="C1584" s="68"/>
      <c r="D1584" s="374"/>
      <c r="E1584" s="660"/>
      <c r="F1584" s="112"/>
      <c r="G1584" s="68"/>
      <c r="H1584" s="603"/>
      <c r="I1584" s="882"/>
      <c r="J1584" s="883"/>
      <c r="K1584" s="884"/>
      <c r="L1584" s="884"/>
      <c r="M1584" s="68"/>
    </row>
    <row r="1585" spans="1:13" s="64" customFormat="1">
      <c r="A1585" s="10"/>
      <c r="B1585" s="111"/>
      <c r="C1585" s="68"/>
      <c r="D1585" s="374"/>
      <c r="E1585" s="660"/>
      <c r="F1585" s="112"/>
      <c r="G1585" s="68"/>
      <c r="H1585" s="603"/>
      <c r="I1585" s="882"/>
      <c r="J1585" s="883"/>
      <c r="K1585" s="884"/>
      <c r="L1585" s="884"/>
      <c r="M1585" s="68"/>
    </row>
    <row r="1586" spans="1:13" s="64" customFormat="1">
      <c r="A1586" s="10"/>
      <c r="B1586" s="111"/>
      <c r="C1586" s="68"/>
      <c r="D1586" s="374"/>
      <c r="E1586" s="660"/>
      <c r="F1586" s="112"/>
      <c r="G1586" s="68"/>
      <c r="H1586" s="603"/>
      <c r="I1586" s="882"/>
      <c r="J1586" s="883"/>
      <c r="K1586" s="884"/>
      <c r="L1586" s="884"/>
      <c r="M1586" s="68"/>
    </row>
    <row r="1587" spans="1:13" s="64" customFormat="1">
      <c r="A1587" s="10"/>
      <c r="B1587" s="111"/>
      <c r="C1587" s="68"/>
      <c r="D1587" s="374"/>
      <c r="E1587" s="660"/>
      <c r="F1587" s="112"/>
      <c r="G1587" s="68"/>
      <c r="H1587" s="603"/>
      <c r="I1587" s="882"/>
      <c r="J1587" s="883"/>
      <c r="K1587" s="884"/>
      <c r="L1587" s="884"/>
      <c r="M1587" s="68"/>
    </row>
    <row r="1588" spans="1:13" s="64" customFormat="1">
      <c r="A1588" s="10"/>
      <c r="B1588" s="111"/>
      <c r="C1588" s="68"/>
      <c r="D1588" s="374"/>
      <c r="E1588" s="660"/>
      <c r="F1588" s="112"/>
      <c r="G1588" s="68"/>
      <c r="H1588" s="603"/>
      <c r="I1588" s="882"/>
      <c r="J1588" s="883"/>
      <c r="K1588" s="884"/>
      <c r="L1588" s="884"/>
      <c r="M1588" s="68"/>
    </row>
    <row r="1589" spans="1:13" s="64" customFormat="1">
      <c r="A1589" s="10"/>
      <c r="B1589" s="111"/>
      <c r="C1589" s="68"/>
      <c r="D1589" s="374"/>
      <c r="E1589" s="660"/>
      <c r="F1589" s="112"/>
      <c r="G1589" s="68"/>
      <c r="H1589" s="603"/>
      <c r="I1589" s="882"/>
      <c r="J1589" s="883"/>
      <c r="K1589" s="884"/>
      <c r="L1589" s="884"/>
      <c r="M1589" s="68"/>
    </row>
    <row r="1590" spans="1:13" s="64" customFormat="1">
      <c r="A1590" s="10"/>
      <c r="B1590" s="111"/>
      <c r="C1590" s="68"/>
      <c r="D1590" s="374"/>
      <c r="E1590" s="660"/>
      <c r="F1590" s="112"/>
      <c r="G1590" s="68"/>
      <c r="H1590" s="603"/>
      <c r="I1590" s="882"/>
      <c r="J1590" s="883"/>
      <c r="K1590" s="884"/>
      <c r="L1590" s="884"/>
      <c r="M1590" s="68"/>
    </row>
    <row r="1591" spans="1:13" s="64" customFormat="1">
      <c r="A1591" s="10"/>
      <c r="B1591" s="111"/>
      <c r="C1591" s="68"/>
      <c r="D1591" s="374"/>
      <c r="E1591" s="660"/>
      <c r="F1591" s="112"/>
      <c r="G1591" s="68"/>
      <c r="H1591" s="603"/>
      <c r="I1591" s="882"/>
      <c r="J1591" s="883"/>
      <c r="K1591" s="884"/>
      <c r="L1591" s="884"/>
      <c r="M1591" s="68"/>
    </row>
    <row r="1592" spans="1:13" s="64" customFormat="1">
      <c r="A1592" s="10"/>
      <c r="B1592" s="111"/>
      <c r="C1592" s="68"/>
      <c r="D1592" s="374"/>
      <c r="E1592" s="660"/>
      <c r="F1592" s="112"/>
      <c r="G1592" s="68"/>
      <c r="H1592" s="603"/>
      <c r="I1592" s="882"/>
      <c r="J1592" s="883"/>
      <c r="K1592" s="884"/>
      <c r="L1592" s="884"/>
      <c r="M1592" s="68"/>
    </row>
    <row r="1593" spans="1:13" s="64" customFormat="1">
      <c r="A1593" s="10"/>
      <c r="B1593" s="111"/>
      <c r="C1593" s="68"/>
      <c r="D1593" s="374"/>
      <c r="E1593" s="660"/>
      <c r="F1593" s="112"/>
      <c r="G1593" s="68"/>
      <c r="H1593" s="603"/>
      <c r="I1593" s="882"/>
      <c r="J1593" s="883"/>
      <c r="K1593" s="884"/>
      <c r="L1593" s="884"/>
      <c r="M1593" s="68"/>
    </row>
    <row r="1594" spans="1:13" s="64" customFormat="1">
      <c r="A1594" s="10"/>
      <c r="B1594" s="111"/>
      <c r="C1594" s="68"/>
      <c r="D1594" s="374"/>
      <c r="E1594" s="660"/>
      <c r="F1594" s="112"/>
      <c r="G1594" s="68"/>
      <c r="H1594" s="603"/>
      <c r="I1594" s="882"/>
      <c r="J1594" s="883"/>
      <c r="K1594" s="884"/>
      <c r="L1594" s="884"/>
      <c r="M1594" s="68"/>
    </row>
    <row r="1595" spans="1:13" s="64" customFormat="1">
      <c r="A1595" s="10"/>
      <c r="B1595" s="111"/>
      <c r="C1595" s="68"/>
      <c r="D1595" s="374"/>
      <c r="E1595" s="660"/>
      <c r="F1595" s="112"/>
      <c r="G1595" s="68"/>
      <c r="H1595" s="603"/>
      <c r="I1595" s="882"/>
      <c r="J1595" s="883"/>
      <c r="K1595" s="884"/>
      <c r="L1595" s="884"/>
      <c r="M1595" s="68"/>
    </row>
  </sheetData>
  <autoFilter ref="A2:M263">
    <filterColumn colId="2" showButton="0"/>
    <filterColumn colId="3" showButton="0"/>
    <filterColumn colId="4" showButton="0"/>
    <filterColumn colId="5" showButton="0"/>
  </autoFilter>
  <mergeCells count="395">
    <mergeCell ref="A4:A8"/>
    <mergeCell ref="B4:B8"/>
    <mergeCell ref="H4:H8"/>
    <mergeCell ref="K4:K8"/>
    <mergeCell ref="L4:L8"/>
    <mergeCell ref="M4:M8"/>
    <mergeCell ref="A1:M1"/>
    <mergeCell ref="A2:A3"/>
    <mergeCell ref="B2:B3"/>
    <mergeCell ref="C2:G2"/>
    <mergeCell ref="H2:J2"/>
    <mergeCell ref="K2:K3"/>
    <mergeCell ref="L2:L3"/>
    <mergeCell ref="M2:M3"/>
    <mergeCell ref="A14:A18"/>
    <mergeCell ref="B14:B18"/>
    <mergeCell ref="H14:H18"/>
    <mergeCell ref="K14:K18"/>
    <mergeCell ref="L14:L18"/>
    <mergeCell ref="M14:M18"/>
    <mergeCell ref="A9:A13"/>
    <mergeCell ref="B9:B13"/>
    <mergeCell ref="H9:H13"/>
    <mergeCell ref="K9:K13"/>
    <mergeCell ref="L9:L13"/>
    <mergeCell ref="M9:M13"/>
    <mergeCell ref="A24:A28"/>
    <mergeCell ref="B24:B28"/>
    <mergeCell ref="H24:H28"/>
    <mergeCell ref="K24:K28"/>
    <mergeCell ref="L24:L28"/>
    <mergeCell ref="M24:M28"/>
    <mergeCell ref="A19:A23"/>
    <mergeCell ref="B19:B23"/>
    <mergeCell ref="H19:H23"/>
    <mergeCell ref="K19:K23"/>
    <mergeCell ref="L19:L23"/>
    <mergeCell ref="M19:M23"/>
    <mergeCell ref="L29:L33"/>
    <mergeCell ref="A34:A38"/>
    <mergeCell ref="B34:B38"/>
    <mergeCell ref="H34:H38"/>
    <mergeCell ref="I34:I38"/>
    <mergeCell ref="J34:J38"/>
    <mergeCell ref="K34:K38"/>
    <mergeCell ref="L34:L38"/>
    <mergeCell ref="A29:A33"/>
    <mergeCell ref="B29:B33"/>
    <mergeCell ref="H29:H33"/>
    <mergeCell ref="I29:I33"/>
    <mergeCell ref="J29:J33"/>
    <mergeCell ref="K29:K33"/>
    <mergeCell ref="M34:M38"/>
    <mergeCell ref="A39:A43"/>
    <mergeCell ref="B39:B43"/>
    <mergeCell ref="H39:H43"/>
    <mergeCell ref="I39:I43"/>
    <mergeCell ref="J39:J43"/>
    <mergeCell ref="K39:K43"/>
    <mergeCell ref="L39:L43"/>
    <mergeCell ref="M39:M43"/>
    <mergeCell ref="L44:L48"/>
    <mergeCell ref="M44:M48"/>
    <mergeCell ref="A49:A53"/>
    <mergeCell ref="B49:B53"/>
    <mergeCell ref="H49:H53"/>
    <mergeCell ref="I49:I53"/>
    <mergeCell ref="J49:J53"/>
    <mergeCell ref="K49:K53"/>
    <mergeCell ref="L49:L53"/>
    <mergeCell ref="M49:M53"/>
    <mergeCell ref="A44:A48"/>
    <mergeCell ref="B44:B48"/>
    <mergeCell ref="H44:H48"/>
    <mergeCell ref="I44:I48"/>
    <mergeCell ref="J44:J48"/>
    <mergeCell ref="K44:K48"/>
    <mergeCell ref="L54:L58"/>
    <mergeCell ref="M54:M58"/>
    <mergeCell ref="A59:A63"/>
    <mergeCell ref="B59:B63"/>
    <mergeCell ref="H59:H63"/>
    <mergeCell ref="I59:I63"/>
    <mergeCell ref="J59:J63"/>
    <mergeCell ref="K59:K63"/>
    <mergeCell ref="L59:L63"/>
    <mergeCell ref="M59:M63"/>
    <mergeCell ref="A54:A58"/>
    <mergeCell ref="B54:B58"/>
    <mergeCell ref="H54:H58"/>
    <mergeCell ref="I54:I58"/>
    <mergeCell ref="J54:J58"/>
    <mergeCell ref="K54:K58"/>
    <mergeCell ref="A74:A78"/>
    <mergeCell ref="B74:B78"/>
    <mergeCell ref="H74:H78"/>
    <mergeCell ref="K74:K78"/>
    <mergeCell ref="L74:L78"/>
    <mergeCell ref="M74:M78"/>
    <mergeCell ref="L64:L68"/>
    <mergeCell ref="M64:M68"/>
    <mergeCell ref="A69:A73"/>
    <mergeCell ref="B69:B73"/>
    <mergeCell ref="H69:H73"/>
    <mergeCell ref="I69:I73"/>
    <mergeCell ref="J69:J73"/>
    <mergeCell ref="K69:K73"/>
    <mergeCell ref="L69:L73"/>
    <mergeCell ref="M69:M73"/>
    <mergeCell ref="A64:A68"/>
    <mergeCell ref="B64:B68"/>
    <mergeCell ref="H64:H68"/>
    <mergeCell ref="I64:I68"/>
    <mergeCell ref="J64:J68"/>
    <mergeCell ref="K64:K68"/>
    <mergeCell ref="L79:L83"/>
    <mergeCell ref="M79:M83"/>
    <mergeCell ref="A84:A88"/>
    <mergeCell ref="B84:B88"/>
    <mergeCell ref="H84:H88"/>
    <mergeCell ref="I84:I88"/>
    <mergeCell ref="J84:J88"/>
    <mergeCell ref="K84:K88"/>
    <mergeCell ref="L84:L88"/>
    <mergeCell ref="M84:M88"/>
    <mergeCell ref="A79:A83"/>
    <mergeCell ref="B79:B83"/>
    <mergeCell ref="H79:H83"/>
    <mergeCell ref="I79:I83"/>
    <mergeCell ref="J79:J83"/>
    <mergeCell ref="K79:K83"/>
    <mergeCell ref="A99:A103"/>
    <mergeCell ref="B99:B103"/>
    <mergeCell ref="H99:H103"/>
    <mergeCell ref="K99:K103"/>
    <mergeCell ref="L99:L103"/>
    <mergeCell ref="M99:M103"/>
    <mergeCell ref="L89:L93"/>
    <mergeCell ref="M89:M93"/>
    <mergeCell ref="A94:A98"/>
    <mergeCell ref="B94:B98"/>
    <mergeCell ref="H94:H98"/>
    <mergeCell ref="K94:K98"/>
    <mergeCell ref="L94:L98"/>
    <mergeCell ref="M94:M98"/>
    <mergeCell ref="A89:A93"/>
    <mergeCell ref="B89:B93"/>
    <mergeCell ref="H89:H93"/>
    <mergeCell ref="I89:I93"/>
    <mergeCell ref="J89:J93"/>
    <mergeCell ref="K89:K93"/>
    <mergeCell ref="L104:L108"/>
    <mergeCell ref="M104:M108"/>
    <mergeCell ref="A109:A113"/>
    <mergeCell ref="B109:B113"/>
    <mergeCell ref="H109:H113"/>
    <mergeCell ref="I109:I113"/>
    <mergeCell ref="J109:J113"/>
    <mergeCell ref="K109:K113"/>
    <mergeCell ref="L109:L113"/>
    <mergeCell ref="M109:M113"/>
    <mergeCell ref="A104:A108"/>
    <mergeCell ref="B104:B108"/>
    <mergeCell ref="H104:H108"/>
    <mergeCell ref="I104:I108"/>
    <mergeCell ref="J104:J108"/>
    <mergeCell ref="K104:K108"/>
    <mergeCell ref="L114:L118"/>
    <mergeCell ref="M114:M118"/>
    <mergeCell ref="A119:A123"/>
    <mergeCell ref="B119:B123"/>
    <mergeCell ref="H119:H123"/>
    <mergeCell ref="I119:I123"/>
    <mergeCell ref="J119:J123"/>
    <mergeCell ref="K119:K123"/>
    <mergeCell ref="L119:L123"/>
    <mergeCell ref="M119:M123"/>
    <mergeCell ref="A114:A118"/>
    <mergeCell ref="B114:B118"/>
    <mergeCell ref="H114:H118"/>
    <mergeCell ref="I114:I118"/>
    <mergeCell ref="J114:J118"/>
    <mergeCell ref="K114:K118"/>
    <mergeCell ref="L124:L128"/>
    <mergeCell ref="M124:M128"/>
    <mergeCell ref="A129:A133"/>
    <mergeCell ref="B129:B133"/>
    <mergeCell ref="H129:H133"/>
    <mergeCell ref="I129:I133"/>
    <mergeCell ref="J129:J133"/>
    <mergeCell ref="K129:K133"/>
    <mergeCell ref="L129:L133"/>
    <mergeCell ref="M129:M133"/>
    <mergeCell ref="A124:A128"/>
    <mergeCell ref="B124:B128"/>
    <mergeCell ref="H124:H128"/>
    <mergeCell ref="I124:I128"/>
    <mergeCell ref="J124:J128"/>
    <mergeCell ref="K124:K128"/>
    <mergeCell ref="L134:L138"/>
    <mergeCell ref="M134:M138"/>
    <mergeCell ref="A139:A143"/>
    <mergeCell ref="B139:B143"/>
    <mergeCell ref="H139:H143"/>
    <mergeCell ref="I139:I143"/>
    <mergeCell ref="J139:J143"/>
    <mergeCell ref="K139:K143"/>
    <mergeCell ref="L139:L143"/>
    <mergeCell ref="M139:M143"/>
    <mergeCell ref="A134:A138"/>
    <mergeCell ref="B134:B138"/>
    <mergeCell ref="H134:H138"/>
    <mergeCell ref="I134:I138"/>
    <mergeCell ref="J134:J138"/>
    <mergeCell ref="K134:K138"/>
    <mergeCell ref="L144:L148"/>
    <mergeCell ref="M144:M148"/>
    <mergeCell ref="A149:A153"/>
    <mergeCell ref="B149:B153"/>
    <mergeCell ref="H149:H153"/>
    <mergeCell ref="K149:K153"/>
    <mergeCell ref="L149:L153"/>
    <mergeCell ref="M149:M153"/>
    <mergeCell ref="A144:A148"/>
    <mergeCell ref="B144:B148"/>
    <mergeCell ref="H144:H148"/>
    <mergeCell ref="I144:I148"/>
    <mergeCell ref="J144:J148"/>
    <mergeCell ref="K144:K148"/>
    <mergeCell ref="A164:A168"/>
    <mergeCell ref="B164:B168"/>
    <mergeCell ref="H164:H168"/>
    <mergeCell ref="K164:K168"/>
    <mergeCell ref="L164:L168"/>
    <mergeCell ref="M164:M168"/>
    <mergeCell ref="L154:L158"/>
    <mergeCell ref="M154:M158"/>
    <mergeCell ref="A159:A163"/>
    <mergeCell ref="B159:B163"/>
    <mergeCell ref="H159:H163"/>
    <mergeCell ref="I159:I163"/>
    <mergeCell ref="J159:J163"/>
    <mergeCell ref="K159:K163"/>
    <mergeCell ref="L159:L163"/>
    <mergeCell ref="M159:M163"/>
    <mergeCell ref="A154:A158"/>
    <mergeCell ref="B154:B158"/>
    <mergeCell ref="H154:H158"/>
    <mergeCell ref="I154:I158"/>
    <mergeCell ref="J154:J158"/>
    <mergeCell ref="K154:K158"/>
    <mergeCell ref="L169:L173"/>
    <mergeCell ref="M169:M173"/>
    <mergeCell ref="A174:A178"/>
    <mergeCell ref="B174:B178"/>
    <mergeCell ref="H174:H178"/>
    <mergeCell ref="I174:I178"/>
    <mergeCell ref="J174:J178"/>
    <mergeCell ref="K174:K178"/>
    <mergeCell ref="L174:L178"/>
    <mergeCell ref="M174:M178"/>
    <mergeCell ref="A169:A173"/>
    <mergeCell ref="B169:B173"/>
    <mergeCell ref="H169:H173"/>
    <mergeCell ref="I169:I173"/>
    <mergeCell ref="J169:J173"/>
    <mergeCell ref="K169:K173"/>
    <mergeCell ref="A184:A188"/>
    <mergeCell ref="B184:B188"/>
    <mergeCell ref="H184:H188"/>
    <mergeCell ref="K184:K188"/>
    <mergeCell ref="L184:L188"/>
    <mergeCell ref="M184:M188"/>
    <mergeCell ref="A179:A183"/>
    <mergeCell ref="B179:B183"/>
    <mergeCell ref="H179:H183"/>
    <mergeCell ref="K179:K183"/>
    <mergeCell ref="L179:L183"/>
    <mergeCell ref="M179:M183"/>
    <mergeCell ref="L189:L193"/>
    <mergeCell ref="M189:M193"/>
    <mergeCell ref="A194:A198"/>
    <mergeCell ref="B194:B198"/>
    <mergeCell ref="H194:H198"/>
    <mergeCell ref="I194:I198"/>
    <mergeCell ref="J194:J198"/>
    <mergeCell ref="K194:K198"/>
    <mergeCell ref="L194:L198"/>
    <mergeCell ref="M194:M198"/>
    <mergeCell ref="A189:A193"/>
    <mergeCell ref="B189:B193"/>
    <mergeCell ref="H189:H193"/>
    <mergeCell ref="I189:I193"/>
    <mergeCell ref="J189:J193"/>
    <mergeCell ref="K189:K193"/>
    <mergeCell ref="L199:L203"/>
    <mergeCell ref="M199:M203"/>
    <mergeCell ref="A204:A208"/>
    <mergeCell ref="B204:B208"/>
    <mergeCell ref="H204:H208"/>
    <mergeCell ref="I204:I208"/>
    <mergeCell ref="J204:J208"/>
    <mergeCell ref="K204:K208"/>
    <mergeCell ref="L204:L208"/>
    <mergeCell ref="M204:M208"/>
    <mergeCell ref="A199:A203"/>
    <mergeCell ref="B199:B203"/>
    <mergeCell ref="H199:H203"/>
    <mergeCell ref="I199:I203"/>
    <mergeCell ref="J199:J203"/>
    <mergeCell ref="K199:K203"/>
    <mergeCell ref="L209:L213"/>
    <mergeCell ref="M209:M213"/>
    <mergeCell ref="A214:A218"/>
    <mergeCell ref="B214:B218"/>
    <mergeCell ref="H214:H218"/>
    <mergeCell ref="I214:I218"/>
    <mergeCell ref="J214:J218"/>
    <mergeCell ref="K214:K218"/>
    <mergeCell ref="L214:L218"/>
    <mergeCell ref="M214:M218"/>
    <mergeCell ref="A209:A213"/>
    <mergeCell ref="B209:B213"/>
    <mergeCell ref="H209:H213"/>
    <mergeCell ref="I209:I213"/>
    <mergeCell ref="J209:J213"/>
    <mergeCell ref="K209:K213"/>
    <mergeCell ref="L219:L223"/>
    <mergeCell ref="M219:M223"/>
    <mergeCell ref="A224:A228"/>
    <mergeCell ref="B224:B228"/>
    <mergeCell ref="H224:H228"/>
    <mergeCell ref="I224:I228"/>
    <mergeCell ref="J224:J228"/>
    <mergeCell ref="K224:K228"/>
    <mergeCell ref="L224:L228"/>
    <mergeCell ref="M224:M228"/>
    <mergeCell ref="A219:A223"/>
    <mergeCell ref="B219:B223"/>
    <mergeCell ref="H219:H223"/>
    <mergeCell ref="I219:I223"/>
    <mergeCell ref="J219:J223"/>
    <mergeCell ref="K219:K223"/>
    <mergeCell ref="L229:L233"/>
    <mergeCell ref="M229:M233"/>
    <mergeCell ref="A234:A238"/>
    <mergeCell ref="B234:B238"/>
    <mergeCell ref="H234:H238"/>
    <mergeCell ref="K234:K238"/>
    <mergeCell ref="L234:L238"/>
    <mergeCell ref="M234:M238"/>
    <mergeCell ref="A229:A233"/>
    <mergeCell ref="B229:B233"/>
    <mergeCell ref="H229:H233"/>
    <mergeCell ref="I229:I233"/>
    <mergeCell ref="J229:J233"/>
    <mergeCell ref="K229:K233"/>
    <mergeCell ref="L239:L243"/>
    <mergeCell ref="M239:M243"/>
    <mergeCell ref="A244:A248"/>
    <mergeCell ref="B244:B248"/>
    <mergeCell ref="H244:H248"/>
    <mergeCell ref="I244:I248"/>
    <mergeCell ref="J244:J248"/>
    <mergeCell ref="K244:K248"/>
    <mergeCell ref="M244:M248"/>
    <mergeCell ref="A239:A243"/>
    <mergeCell ref="B239:B243"/>
    <mergeCell ref="H239:H243"/>
    <mergeCell ref="I239:I243"/>
    <mergeCell ref="J239:J243"/>
    <mergeCell ref="K239:K243"/>
    <mergeCell ref="A254:A258"/>
    <mergeCell ref="B254:B258"/>
    <mergeCell ref="H254:H258"/>
    <mergeCell ref="K254:K258"/>
    <mergeCell ref="L254:L258"/>
    <mergeCell ref="M254:M258"/>
    <mergeCell ref="A249:A253"/>
    <mergeCell ref="B249:B253"/>
    <mergeCell ref="H249:H253"/>
    <mergeCell ref="K249:K253"/>
    <mergeCell ref="L249:L253"/>
    <mergeCell ref="M249:M253"/>
    <mergeCell ref="L259:L263"/>
    <mergeCell ref="M259:M263"/>
    <mergeCell ref="B266:B267"/>
    <mergeCell ref="B269:B270"/>
    <mergeCell ref="B273:B274"/>
    <mergeCell ref="A259:A263"/>
    <mergeCell ref="B259:B263"/>
    <mergeCell ref="H259:H263"/>
    <mergeCell ref="I259:I263"/>
    <mergeCell ref="J259:J263"/>
    <mergeCell ref="K259:K263"/>
  </mergeCells>
  <pageMargins left="0.23622047244094491" right="0" top="0.74803149606299213" bottom="0.59055118110236227" header="0" footer="0"/>
  <pageSetup paperSize="8" scale="76" fitToHeight="0" orientation="landscape" r:id="rId1"/>
  <rowBreaks count="3" manualBreakCount="3">
    <brk id="23" max="16383" man="1"/>
    <brk id="118" max="16383" man="1"/>
    <brk id="183"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AK44"/>
  <sheetViews>
    <sheetView zoomScale="110" zoomScaleNormal="110" workbookViewId="0">
      <pane xSplit="6" ySplit="5" topLeftCell="G6" activePane="bottomRight" state="frozen"/>
      <selection pane="topRight" activeCell="G1" sqref="G1"/>
      <selection pane="bottomLeft" activeCell="A6" sqref="A6"/>
      <selection pane="bottomRight" activeCell="N6" sqref="N6"/>
    </sheetView>
  </sheetViews>
  <sheetFormatPr defaultColWidth="8.85546875" defaultRowHeight="15.75" outlineLevelRow="1"/>
  <cols>
    <col min="1" max="1" width="3.42578125" style="958" customWidth="1"/>
    <col min="2" max="2" width="19.42578125" style="958" customWidth="1"/>
    <col min="3" max="3" width="14.42578125" style="958" customWidth="1"/>
    <col min="4" max="4" width="12" style="958" customWidth="1"/>
    <col min="5" max="5" width="12.140625" style="958" customWidth="1"/>
    <col min="6" max="6" width="12" style="994" customWidth="1"/>
    <col min="7" max="7" width="5.28515625" style="958" customWidth="1"/>
    <col min="8" max="8" width="11.140625" style="994" customWidth="1"/>
    <col min="9" max="9" width="9.42578125" style="994" customWidth="1"/>
    <col min="10" max="10" width="10.85546875" style="996" customWidth="1"/>
    <col min="11" max="11" width="11.28515625" style="994" customWidth="1"/>
    <col min="12" max="12" width="9.140625" style="994" customWidth="1"/>
    <col min="13" max="13" width="9.42578125" style="994" customWidth="1"/>
    <col min="14" max="14" width="10.28515625" style="997" customWidth="1"/>
    <col min="15" max="15" width="10.140625" style="998" customWidth="1"/>
    <col min="16" max="16" width="9.85546875" style="998" customWidth="1"/>
    <col min="17" max="17" width="39.140625" style="958" customWidth="1"/>
    <col min="18" max="245" width="8.85546875" style="958"/>
    <col min="246" max="246" width="3.42578125" style="958" customWidth="1"/>
    <col min="247" max="247" width="19.42578125" style="958" customWidth="1"/>
    <col min="248" max="248" width="14.42578125" style="958" customWidth="1"/>
    <col min="249" max="249" width="9.42578125" style="958" customWidth="1"/>
    <col min="250" max="250" width="12.140625" style="958" customWidth="1"/>
    <col min="251" max="251" width="9.42578125" style="958" customWidth="1"/>
    <col min="252" max="252" width="5.28515625" style="958" customWidth="1"/>
    <col min="253" max="253" width="8.85546875" style="958" customWidth="1"/>
    <col min="254" max="254" width="9.42578125" style="958" customWidth="1"/>
    <col min="255" max="255" width="8.85546875" style="958" customWidth="1"/>
    <col min="256" max="256" width="9" style="958" customWidth="1"/>
    <col min="257" max="257" width="9.140625" style="958" customWidth="1"/>
    <col min="258" max="258" width="7.85546875" style="958" customWidth="1"/>
    <col min="259" max="259" width="10.28515625" style="958" customWidth="1"/>
    <col min="260" max="260" width="9.42578125" style="958" customWidth="1"/>
    <col min="261" max="261" width="8.85546875" style="958" customWidth="1"/>
    <col min="262" max="262" width="39.140625" style="958" customWidth="1"/>
    <col min="263" max="263" width="8.85546875" style="958"/>
    <col min="264" max="264" width="9" style="958" bestFit="1" customWidth="1"/>
    <col min="265" max="501" width="8.85546875" style="958"/>
    <col min="502" max="502" width="3.42578125" style="958" customWidth="1"/>
    <col min="503" max="503" width="19.42578125" style="958" customWidth="1"/>
    <col min="504" max="504" width="14.42578125" style="958" customWidth="1"/>
    <col min="505" max="505" width="9.42578125" style="958" customWidth="1"/>
    <col min="506" max="506" width="12.140625" style="958" customWidth="1"/>
    <col min="507" max="507" width="9.42578125" style="958" customWidth="1"/>
    <col min="508" max="508" width="5.28515625" style="958" customWidth="1"/>
    <col min="509" max="509" width="8.85546875" style="958" customWidth="1"/>
    <col min="510" max="510" width="9.42578125" style="958" customWidth="1"/>
    <col min="511" max="511" width="8.85546875" style="958" customWidth="1"/>
    <col min="512" max="512" width="9" style="958" customWidth="1"/>
    <col min="513" max="513" width="9.140625" style="958" customWidth="1"/>
    <col min="514" max="514" width="7.85546875" style="958" customWidth="1"/>
    <col min="515" max="515" width="10.28515625" style="958" customWidth="1"/>
    <col min="516" max="516" width="9.42578125" style="958" customWidth="1"/>
    <col min="517" max="517" width="8.85546875" style="958" customWidth="1"/>
    <col min="518" max="518" width="39.140625" style="958" customWidth="1"/>
    <col min="519" max="519" width="8.85546875" style="958"/>
    <col min="520" max="520" width="9" style="958" bestFit="1" customWidth="1"/>
    <col min="521" max="757" width="8.85546875" style="958"/>
    <col min="758" max="758" width="3.42578125" style="958" customWidth="1"/>
    <col min="759" max="759" width="19.42578125" style="958" customWidth="1"/>
    <col min="760" max="760" width="14.42578125" style="958" customWidth="1"/>
    <col min="761" max="761" width="9.42578125" style="958" customWidth="1"/>
    <col min="762" max="762" width="12.140625" style="958" customWidth="1"/>
    <col min="763" max="763" width="9.42578125" style="958" customWidth="1"/>
    <col min="764" max="764" width="5.28515625" style="958" customWidth="1"/>
    <col min="765" max="765" width="8.85546875" style="958" customWidth="1"/>
    <col min="766" max="766" width="9.42578125" style="958" customWidth="1"/>
    <col min="767" max="767" width="8.85546875" style="958" customWidth="1"/>
    <col min="768" max="768" width="9" style="958" customWidth="1"/>
    <col min="769" max="769" width="9.140625" style="958" customWidth="1"/>
    <col min="770" max="770" width="7.85546875" style="958" customWidth="1"/>
    <col min="771" max="771" width="10.28515625" style="958" customWidth="1"/>
    <col min="772" max="772" width="9.42578125" style="958" customWidth="1"/>
    <col min="773" max="773" width="8.85546875" style="958" customWidth="1"/>
    <col min="774" max="774" width="39.140625" style="958" customWidth="1"/>
    <col min="775" max="775" width="8.85546875" style="958"/>
    <col min="776" max="776" width="9" style="958" bestFit="1" customWidth="1"/>
    <col min="777" max="1013" width="8.85546875" style="958"/>
    <col min="1014" max="1014" width="3.42578125" style="958" customWidth="1"/>
    <col min="1015" max="1015" width="19.42578125" style="958" customWidth="1"/>
    <col min="1016" max="1016" width="14.42578125" style="958" customWidth="1"/>
    <col min="1017" max="1017" width="9.42578125" style="958" customWidth="1"/>
    <col min="1018" max="1018" width="12.140625" style="958" customWidth="1"/>
    <col min="1019" max="1019" width="9.42578125" style="958" customWidth="1"/>
    <col min="1020" max="1020" width="5.28515625" style="958" customWidth="1"/>
    <col min="1021" max="1021" width="8.85546875" style="958" customWidth="1"/>
    <col min="1022" max="1022" width="9.42578125" style="958" customWidth="1"/>
    <col min="1023" max="1023" width="8.85546875" style="958" customWidth="1"/>
    <col min="1024" max="1024" width="9" style="958" customWidth="1"/>
    <col min="1025" max="1025" width="9.140625" style="958" customWidth="1"/>
    <col min="1026" max="1026" width="7.85546875" style="958" customWidth="1"/>
    <col min="1027" max="1027" width="10.28515625" style="958" customWidth="1"/>
    <col min="1028" max="1028" width="9.42578125" style="958" customWidth="1"/>
    <col min="1029" max="1029" width="8.85546875" style="958" customWidth="1"/>
    <col min="1030" max="1030" width="39.140625" style="958" customWidth="1"/>
    <col min="1031" max="1031" width="8.85546875" style="958"/>
    <col min="1032" max="1032" width="9" style="958" bestFit="1" customWidth="1"/>
    <col min="1033" max="1269" width="8.85546875" style="958"/>
    <col min="1270" max="1270" width="3.42578125" style="958" customWidth="1"/>
    <col min="1271" max="1271" width="19.42578125" style="958" customWidth="1"/>
    <col min="1272" max="1272" width="14.42578125" style="958" customWidth="1"/>
    <col min="1273" max="1273" width="9.42578125" style="958" customWidth="1"/>
    <col min="1274" max="1274" width="12.140625" style="958" customWidth="1"/>
    <col min="1275" max="1275" width="9.42578125" style="958" customWidth="1"/>
    <col min="1276" max="1276" width="5.28515625" style="958" customWidth="1"/>
    <col min="1277" max="1277" width="8.85546875" style="958" customWidth="1"/>
    <col min="1278" max="1278" width="9.42578125" style="958" customWidth="1"/>
    <col min="1279" max="1279" width="8.85546875" style="958" customWidth="1"/>
    <col min="1280" max="1280" width="9" style="958" customWidth="1"/>
    <col min="1281" max="1281" width="9.140625" style="958" customWidth="1"/>
    <col min="1282" max="1282" width="7.85546875" style="958" customWidth="1"/>
    <col min="1283" max="1283" width="10.28515625" style="958" customWidth="1"/>
    <col min="1284" max="1284" width="9.42578125" style="958" customWidth="1"/>
    <col min="1285" max="1285" width="8.85546875" style="958" customWidth="1"/>
    <col min="1286" max="1286" width="39.140625" style="958" customWidth="1"/>
    <col min="1287" max="1287" width="8.85546875" style="958"/>
    <col min="1288" max="1288" width="9" style="958" bestFit="1" customWidth="1"/>
    <col min="1289" max="1525" width="8.85546875" style="958"/>
    <col min="1526" max="1526" width="3.42578125" style="958" customWidth="1"/>
    <col min="1527" max="1527" width="19.42578125" style="958" customWidth="1"/>
    <col min="1528" max="1528" width="14.42578125" style="958" customWidth="1"/>
    <col min="1529" max="1529" width="9.42578125" style="958" customWidth="1"/>
    <col min="1530" max="1530" width="12.140625" style="958" customWidth="1"/>
    <col min="1531" max="1531" width="9.42578125" style="958" customWidth="1"/>
    <col min="1532" max="1532" width="5.28515625" style="958" customWidth="1"/>
    <col min="1533" max="1533" width="8.85546875" style="958" customWidth="1"/>
    <col min="1534" max="1534" width="9.42578125" style="958" customWidth="1"/>
    <col min="1535" max="1535" width="8.85546875" style="958" customWidth="1"/>
    <col min="1536" max="1536" width="9" style="958" customWidth="1"/>
    <col min="1537" max="1537" width="9.140625" style="958" customWidth="1"/>
    <col min="1538" max="1538" width="7.85546875" style="958" customWidth="1"/>
    <col min="1539" max="1539" width="10.28515625" style="958" customWidth="1"/>
    <col min="1540" max="1540" width="9.42578125" style="958" customWidth="1"/>
    <col min="1541" max="1541" width="8.85546875" style="958" customWidth="1"/>
    <col min="1542" max="1542" width="39.140625" style="958" customWidth="1"/>
    <col min="1543" max="1543" width="8.85546875" style="958"/>
    <col min="1544" max="1544" width="9" style="958" bestFit="1" customWidth="1"/>
    <col min="1545" max="1781" width="8.85546875" style="958"/>
    <col min="1782" max="1782" width="3.42578125" style="958" customWidth="1"/>
    <col min="1783" max="1783" width="19.42578125" style="958" customWidth="1"/>
    <col min="1784" max="1784" width="14.42578125" style="958" customWidth="1"/>
    <col min="1785" max="1785" width="9.42578125" style="958" customWidth="1"/>
    <col min="1786" max="1786" width="12.140625" style="958" customWidth="1"/>
    <col min="1787" max="1787" width="9.42578125" style="958" customWidth="1"/>
    <col min="1788" max="1788" width="5.28515625" style="958" customWidth="1"/>
    <col min="1789" max="1789" width="8.85546875" style="958" customWidth="1"/>
    <col min="1790" max="1790" width="9.42578125" style="958" customWidth="1"/>
    <col min="1791" max="1791" width="8.85546875" style="958" customWidth="1"/>
    <col min="1792" max="1792" width="9" style="958" customWidth="1"/>
    <col min="1793" max="1793" width="9.140625" style="958" customWidth="1"/>
    <col min="1794" max="1794" width="7.85546875" style="958" customWidth="1"/>
    <col min="1795" max="1795" width="10.28515625" style="958" customWidth="1"/>
    <col min="1796" max="1796" width="9.42578125" style="958" customWidth="1"/>
    <col min="1797" max="1797" width="8.85546875" style="958" customWidth="1"/>
    <col min="1798" max="1798" width="39.140625" style="958" customWidth="1"/>
    <col min="1799" max="1799" width="8.85546875" style="958"/>
    <col min="1800" max="1800" width="9" style="958" bestFit="1" customWidth="1"/>
    <col min="1801" max="2037" width="8.85546875" style="958"/>
    <col min="2038" max="2038" width="3.42578125" style="958" customWidth="1"/>
    <col min="2039" max="2039" width="19.42578125" style="958" customWidth="1"/>
    <col min="2040" max="2040" width="14.42578125" style="958" customWidth="1"/>
    <col min="2041" max="2041" width="9.42578125" style="958" customWidth="1"/>
    <col min="2042" max="2042" width="12.140625" style="958" customWidth="1"/>
    <col min="2043" max="2043" width="9.42578125" style="958" customWidth="1"/>
    <col min="2044" max="2044" width="5.28515625" style="958" customWidth="1"/>
    <col min="2045" max="2045" width="8.85546875" style="958" customWidth="1"/>
    <col min="2046" max="2046" width="9.42578125" style="958" customWidth="1"/>
    <col min="2047" max="2047" width="8.85546875" style="958" customWidth="1"/>
    <col min="2048" max="2048" width="9" style="958" customWidth="1"/>
    <col min="2049" max="2049" width="9.140625" style="958" customWidth="1"/>
    <col min="2050" max="2050" width="7.85546875" style="958" customWidth="1"/>
    <col min="2051" max="2051" width="10.28515625" style="958" customWidth="1"/>
    <col min="2052" max="2052" width="9.42578125" style="958" customWidth="1"/>
    <col min="2053" max="2053" width="8.85546875" style="958" customWidth="1"/>
    <col min="2054" max="2054" width="39.140625" style="958" customWidth="1"/>
    <col min="2055" max="2055" width="8.85546875" style="958"/>
    <col min="2056" max="2056" width="9" style="958" bestFit="1" customWidth="1"/>
    <col min="2057" max="2293" width="8.85546875" style="958"/>
    <col min="2294" max="2294" width="3.42578125" style="958" customWidth="1"/>
    <col min="2295" max="2295" width="19.42578125" style="958" customWidth="1"/>
    <col min="2296" max="2296" width="14.42578125" style="958" customWidth="1"/>
    <col min="2297" max="2297" width="9.42578125" style="958" customWidth="1"/>
    <col min="2298" max="2298" width="12.140625" style="958" customWidth="1"/>
    <col min="2299" max="2299" width="9.42578125" style="958" customWidth="1"/>
    <col min="2300" max="2300" width="5.28515625" style="958" customWidth="1"/>
    <col min="2301" max="2301" width="8.85546875" style="958" customWidth="1"/>
    <col min="2302" max="2302" width="9.42578125" style="958" customWidth="1"/>
    <col min="2303" max="2303" width="8.85546875" style="958" customWidth="1"/>
    <col min="2304" max="2304" width="9" style="958" customWidth="1"/>
    <col min="2305" max="2305" width="9.140625" style="958" customWidth="1"/>
    <col min="2306" max="2306" width="7.85546875" style="958" customWidth="1"/>
    <col min="2307" max="2307" width="10.28515625" style="958" customWidth="1"/>
    <col min="2308" max="2308" width="9.42578125" style="958" customWidth="1"/>
    <col min="2309" max="2309" width="8.85546875" style="958" customWidth="1"/>
    <col min="2310" max="2310" width="39.140625" style="958" customWidth="1"/>
    <col min="2311" max="2311" width="8.85546875" style="958"/>
    <col min="2312" max="2312" width="9" style="958" bestFit="1" customWidth="1"/>
    <col min="2313" max="2549" width="8.85546875" style="958"/>
    <col min="2550" max="2550" width="3.42578125" style="958" customWidth="1"/>
    <col min="2551" max="2551" width="19.42578125" style="958" customWidth="1"/>
    <col min="2552" max="2552" width="14.42578125" style="958" customWidth="1"/>
    <col min="2553" max="2553" width="9.42578125" style="958" customWidth="1"/>
    <col min="2554" max="2554" width="12.140625" style="958" customWidth="1"/>
    <col min="2555" max="2555" width="9.42578125" style="958" customWidth="1"/>
    <col min="2556" max="2556" width="5.28515625" style="958" customWidth="1"/>
    <col min="2557" max="2557" width="8.85546875" style="958" customWidth="1"/>
    <col min="2558" max="2558" width="9.42578125" style="958" customWidth="1"/>
    <col min="2559" max="2559" width="8.85546875" style="958" customWidth="1"/>
    <col min="2560" max="2560" width="9" style="958" customWidth="1"/>
    <col min="2561" max="2561" width="9.140625" style="958" customWidth="1"/>
    <col min="2562" max="2562" width="7.85546875" style="958" customWidth="1"/>
    <col min="2563" max="2563" width="10.28515625" style="958" customWidth="1"/>
    <col min="2564" max="2564" width="9.42578125" style="958" customWidth="1"/>
    <col min="2565" max="2565" width="8.85546875" style="958" customWidth="1"/>
    <col min="2566" max="2566" width="39.140625" style="958" customWidth="1"/>
    <col min="2567" max="2567" width="8.85546875" style="958"/>
    <col min="2568" max="2568" width="9" style="958" bestFit="1" customWidth="1"/>
    <col min="2569" max="2805" width="8.85546875" style="958"/>
    <col min="2806" max="2806" width="3.42578125" style="958" customWidth="1"/>
    <col min="2807" max="2807" width="19.42578125" style="958" customWidth="1"/>
    <col min="2808" max="2808" width="14.42578125" style="958" customWidth="1"/>
    <col min="2809" max="2809" width="9.42578125" style="958" customWidth="1"/>
    <col min="2810" max="2810" width="12.140625" style="958" customWidth="1"/>
    <col min="2811" max="2811" width="9.42578125" style="958" customWidth="1"/>
    <col min="2812" max="2812" width="5.28515625" style="958" customWidth="1"/>
    <col min="2813" max="2813" width="8.85546875" style="958" customWidth="1"/>
    <col min="2814" max="2814" width="9.42578125" style="958" customWidth="1"/>
    <col min="2815" max="2815" width="8.85546875" style="958" customWidth="1"/>
    <col min="2816" max="2816" width="9" style="958" customWidth="1"/>
    <col min="2817" max="2817" width="9.140625" style="958" customWidth="1"/>
    <col min="2818" max="2818" width="7.85546875" style="958" customWidth="1"/>
    <col min="2819" max="2819" width="10.28515625" style="958" customWidth="1"/>
    <col min="2820" max="2820" width="9.42578125" style="958" customWidth="1"/>
    <col min="2821" max="2821" width="8.85546875" style="958" customWidth="1"/>
    <col min="2822" max="2822" width="39.140625" style="958" customWidth="1"/>
    <col min="2823" max="2823" width="8.85546875" style="958"/>
    <col min="2824" max="2824" width="9" style="958" bestFit="1" customWidth="1"/>
    <col min="2825" max="3061" width="8.85546875" style="958"/>
    <col min="3062" max="3062" width="3.42578125" style="958" customWidth="1"/>
    <col min="3063" max="3063" width="19.42578125" style="958" customWidth="1"/>
    <col min="3064" max="3064" width="14.42578125" style="958" customWidth="1"/>
    <col min="3065" max="3065" width="9.42578125" style="958" customWidth="1"/>
    <col min="3066" max="3066" width="12.140625" style="958" customWidth="1"/>
    <col min="3067" max="3067" width="9.42578125" style="958" customWidth="1"/>
    <col min="3068" max="3068" width="5.28515625" style="958" customWidth="1"/>
    <col min="3069" max="3069" width="8.85546875" style="958" customWidth="1"/>
    <col min="3070" max="3070" width="9.42578125" style="958" customWidth="1"/>
    <col min="3071" max="3071" width="8.85546875" style="958" customWidth="1"/>
    <col min="3072" max="3072" width="9" style="958" customWidth="1"/>
    <col min="3073" max="3073" width="9.140625" style="958" customWidth="1"/>
    <col min="3074" max="3074" width="7.85546875" style="958" customWidth="1"/>
    <col min="3075" max="3075" width="10.28515625" style="958" customWidth="1"/>
    <col min="3076" max="3076" width="9.42578125" style="958" customWidth="1"/>
    <col min="3077" max="3077" width="8.85546875" style="958" customWidth="1"/>
    <col min="3078" max="3078" width="39.140625" style="958" customWidth="1"/>
    <col min="3079" max="3079" width="8.85546875" style="958"/>
    <col min="3080" max="3080" width="9" style="958" bestFit="1" customWidth="1"/>
    <col min="3081" max="3317" width="8.85546875" style="958"/>
    <col min="3318" max="3318" width="3.42578125" style="958" customWidth="1"/>
    <col min="3319" max="3319" width="19.42578125" style="958" customWidth="1"/>
    <col min="3320" max="3320" width="14.42578125" style="958" customWidth="1"/>
    <col min="3321" max="3321" width="9.42578125" style="958" customWidth="1"/>
    <col min="3322" max="3322" width="12.140625" style="958" customWidth="1"/>
    <col min="3323" max="3323" width="9.42578125" style="958" customWidth="1"/>
    <col min="3324" max="3324" width="5.28515625" style="958" customWidth="1"/>
    <col min="3325" max="3325" width="8.85546875" style="958" customWidth="1"/>
    <col min="3326" max="3326" width="9.42578125" style="958" customWidth="1"/>
    <col min="3327" max="3327" width="8.85546875" style="958" customWidth="1"/>
    <col min="3328" max="3328" width="9" style="958" customWidth="1"/>
    <col min="3329" max="3329" width="9.140625" style="958" customWidth="1"/>
    <col min="3330" max="3330" width="7.85546875" style="958" customWidth="1"/>
    <col min="3331" max="3331" width="10.28515625" style="958" customWidth="1"/>
    <col min="3332" max="3332" width="9.42578125" style="958" customWidth="1"/>
    <col min="3333" max="3333" width="8.85546875" style="958" customWidth="1"/>
    <col min="3334" max="3334" width="39.140625" style="958" customWidth="1"/>
    <col min="3335" max="3335" width="8.85546875" style="958"/>
    <col min="3336" max="3336" width="9" style="958" bestFit="1" customWidth="1"/>
    <col min="3337" max="3573" width="8.85546875" style="958"/>
    <col min="3574" max="3574" width="3.42578125" style="958" customWidth="1"/>
    <col min="3575" max="3575" width="19.42578125" style="958" customWidth="1"/>
    <col min="3576" max="3576" width="14.42578125" style="958" customWidth="1"/>
    <col min="3577" max="3577" width="9.42578125" style="958" customWidth="1"/>
    <col min="3578" max="3578" width="12.140625" style="958" customWidth="1"/>
    <col min="3579" max="3579" width="9.42578125" style="958" customWidth="1"/>
    <col min="3580" max="3580" width="5.28515625" style="958" customWidth="1"/>
    <col min="3581" max="3581" width="8.85546875" style="958" customWidth="1"/>
    <col min="3582" max="3582" width="9.42578125" style="958" customWidth="1"/>
    <col min="3583" max="3583" width="8.85546875" style="958" customWidth="1"/>
    <col min="3584" max="3584" width="9" style="958" customWidth="1"/>
    <col min="3585" max="3585" width="9.140625" style="958" customWidth="1"/>
    <col min="3586" max="3586" width="7.85546875" style="958" customWidth="1"/>
    <col min="3587" max="3587" width="10.28515625" style="958" customWidth="1"/>
    <col min="3588" max="3588" width="9.42578125" style="958" customWidth="1"/>
    <col min="3589" max="3589" width="8.85546875" style="958" customWidth="1"/>
    <col min="3590" max="3590" width="39.140625" style="958" customWidth="1"/>
    <col min="3591" max="3591" width="8.85546875" style="958"/>
    <col min="3592" max="3592" width="9" style="958" bestFit="1" customWidth="1"/>
    <col min="3593" max="3829" width="8.85546875" style="958"/>
    <col min="3830" max="3830" width="3.42578125" style="958" customWidth="1"/>
    <col min="3831" max="3831" width="19.42578125" style="958" customWidth="1"/>
    <col min="3832" max="3832" width="14.42578125" style="958" customWidth="1"/>
    <col min="3833" max="3833" width="9.42578125" style="958" customWidth="1"/>
    <col min="3834" max="3834" width="12.140625" style="958" customWidth="1"/>
    <col min="3835" max="3835" width="9.42578125" style="958" customWidth="1"/>
    <col min="3836" max="3836" width="5.28515625" style="958" customWidth="1"/>
    <col min="3837" max="3837" width="8.85546875" style="958" customWidth="1"/>
    <col min="3838" max="3838" width="9.42578125" style="958" customWidth="1"/>
    <col min="3839" max="3839" width="8.85546875" style="958" customWidth="1"/>
    <col min="3840" max="3840" width="9" style="958" customWidth="1"/>
    <col min="3841" max="3841" width="9.140625" style="958" customWidth="1"/>
    <col min="3842" max="3842" width="7.85546875" style="958" customWidth="1"/>
    <col min="3843" max="3843" width="10.28515625" style="958" customWidth="1"/>
    <col min="3844" max="3844" width="9.42578125" style="958" customWidth="1"/>
    <col min="3845" max="3845" width="8.85546875" style="958" customWidth="1"/>
    <col min="3846" max="3846" width="39.140625" style="958" customWidth="1"/>
    <col min="3847" max="3847" width="8.85546875" style="958"/>
    <col min="3848" max="3848" width="9" style="958" bestFit="1" customWidth="1"/>
    <col min="3849" max="4085" width="8.85546875" style="958"/>
    <col min="4086" max="4086" width="3.42578125" style="958" customWidth="1"/>
    <col min="4087" max="4087" width="19.42578125" style="958" customWidth="1"/>
    <col min="4088" max="4088" width="14.42578125" style="958" customWidth="1"/>
    <col min="4089" max="4089" width="9.42578125" style="958" customWidth="1"/>
    <col min="4090" max="4090" width="12.140625" style="958" customWidth="1"/>
    <col min="4091" max="4091" width="9.42578125" style="958" customWidth="1"/>
    <col min="4092" max="4092" width="5.28515625" style="958" customWidth="1"/>
    <col min="4093" max="4093" width="8.85546875" style="958" customWidth="1"/>
    <col min="4094" max="4094" width="9.42578125" style="958" customWidth="1"/>
    <col min="4095" max="4095" width="8.85546875" style="958" customWidth="1"/>
    <col min="4096" max="4096" width="9" style="958" customWidth="1"/>
    <col min="4097" max="4097" width="9.140625" style="958" customWidth="1"/>
    <col min="4098" max="4098" width="7.85546875" style="958" customWidth="1"/>
    <col min="4099" max="4099" width="10.28515625" style="958" customWidth="1"/>
    <col min="4100" max="4100" width="9.42578125" style="958" customWidth="1"/>
    <col min="4101" max="4101" width="8.85546875" style="958" customWidth="1"/>
    <col min="4102" max="4102" width="39.140625" style="958" customWidth="1"/>
    <col min="4103" max="4103" width="8.85546875" style="958"/>
    <col min="4104" max="4104" width="9" style="958" bestFit="1" customWidth="1"/>
    <col min="4105" max="4341" width="8.85546875" style="958"/>
    <col min="4342" max="4342" width="3.42578125" style="958" customWidth="1"/>
    <col min="4343" max="4343" width="19.42578125" style="958" customWidth="1"/>
    <col min="4344" max="4344" width="14.42578125" style="958" customWidth="1"/>
    <col min="4345" max="4345" width="9.42578125" style="958" customWidth="1"/>
    <col min="4346" max="4346" width="12.140625" style="958" customWidth="1"/>
    <col min="4347" max="4347" width="9.42578125" style="958" customWidth="1"/>
    <col min="4348" max="4348" width="5.28515625" style="958" customWidth="1"/>
    <col min="4349" max="4349" width="8.85546875" style="958" customWidth="1"/>
    <col min="4350" max="4350" width="9.42578125" style="958" customWidth="1"/>
    <col min="4351" max="4351" width="8.85546875" style="958" customWidth="1"/>
    <col min="4352" max="4352" width="9" style="958" customWidth="1"/>
    <col min="4353" max="4353" width="9.140625" style="958" customWidth="1"/>
    <col min="4354" max="4354" width="7.85546875" style="958" customWidth="1"/>
    <col min="4355" max="4355" width="10.28515625" style="958" customWidth="1"/>
    <col min="4356" max="4356" width="9.42578125" style="958" customWidth="1"/>
    <col min="4357" max="4357" width="8.85546875" style="958" customWidth="1"/>
    <col min="4358" max="4358" width="39.140625" style="958" customWidth="1"/>
    <col min="4359" max="4359" width="8.85546875" style="958"/>
    <col min="4360" max="4360" width="9" style="958" bestFit="1" customWidth="1"/>
    <col min="4361" max="4597" width="8.85546875" style="958"/>
    <col min="4598" max="4598" width="3.42578125" style="958" customWidth="1"/>
    <col min="4599" max="4599" width="19.42578125" style="958" customWidth="1"/>
    <col min="4600" max="4600" width="14.42578125" style="958" customWidth="1"/>
    <col min="4601" max="4601" width="9.42578125" style="958" customWidth="1"/>
    <col min="4602" max="4602" width="12.140625" style="958" customWidth="1"/>
    <col min="4603" max="4603" width="9.42578125" style="958" customWidth="1"/>
    <col min="4604" max="4604" width="5.28515625" style="958" customWidth="1"/>
    <col min="4605" max="4605" width="8.85546875" style="958" customWidth="1"/>
    <col min="4606" max="4606" width="9.42578125" style="958" customWidth="1"/>
    <col min="4607" max="4607" width="8.85546875" style="958" customWidth="1"/>
    <col min="4608" max="4608" width="9" style="958" customWidth="1"/>
    <col min="4609" max="4609" width="9.140625" style="958" customWidth="1"/>
    <col min="4610" max="4610" width="7.85546875" style="958" customWidth="1"/>
    <col min="4611" max="4611" width="10.28515625" style="958" customWidth="1"/>
    <col min="4612" max="4612" width="9.42578125" style="958" customWidth="1"/>
    <col min="4613" max="4613" width="8.85546875" style="958" customWidth="1"/>
    <col min="4614" max="4614" width="39.140625" style="958" customWidth="1"/>
    <col min="4615" max="4615" width="8.85546875" style="958"/>
    <col min="4616" max="4616" width="9" style="958" bestFit="1" customWidth="1"/>
    <col min="4617" max="4853" width="8.85546875" style="958"/>
    <col min="4854" max="4854" width="3.42578125" style="958" customWidth="1"/>
    <col min="4855" max="4855" width="19.42578125" style="958" customWidth="1"/>
    <col min="4856" max="4856" width="14.42578125" style="958" customWidth="1"/>
    <col min="4857" max="4857" width="9.42578125" style="958" customWidth="1"/>
    <col min="4858" max="4858" width="12.140625" style="958" customWidth="1"/>
    <col min="4859" max="4859" width="9.42578125" style="958" customWidth="1"/>
    <col min="4860" max="4860" width="5.28515625" style="958" customWidth="1"/>
    <col min="4861" max="4861" width="8.85546875" style="958" customWidth="1"/>
    <col min="4862" max="4862" width="9.42578125" style="958" customWidth="1"/>
    <col min="4863" max="4863" width="8.85546875" style="958" customWidth="1"/>
    <col min="4864" max="4864" width="9" style="958" customWidth="1"/>
    <col min="4865" max="4865" width="9.140625" style="958" customWidth="1"/>
    <col min="4866" max="4866" width="7.85546875" style="958" customWidth="1"/>
    <col min="4867" max="4867" width="10.28515625" style="958" customWidth="1"/>
    <col min="4868" max="4868" width="9.42578125" style="958" customWidth="1"/>
    <col min="4869" max="4869" width="8.85546875" style="958" customWidth="1"/>
    <col min="4870" max="4870" width="39.140625" style="958" customWidth="1"/>
    <col min="4871" max="4871" width="8.85546875" style="958"/>
    <col min="4872" max="4872" width="9" style="958" bestFit="1" customWidth="1"/>
    <col min="4873" max="5109" width="8.85546875" style="958"/>
    <col min="5110" max="5110" width="3.42578125" style="958" customWidth="1"/>
    <col min="5111" max="5111" width="19.42578125" style="958" customWidth="1"/>
    <col min="5112" max="5112" width="14.42578125" style="958" customWidth="1"/>
    <col min="5113" max="5113" width="9.42578125" style="958" customWidth="1"/>
    <col min="5114" max="5114" width="12.140625" style="958" customWidth="1"/>
    <col min="5115" max="5115" width="9.42578125" style="958" customWidth="1"/>
    <col min="5116" max="5116" width="5.28515625" style="958" customWidth="1"/>
    <col min="5117" max="5117" width="8.85546875" style="958" customWidth="1"/>
    <col min="5118" max="5118" width="9.42578125" style="958" customWidth="1"/>
    <col min="5119" max="5119" width="8.85546875" style="958" customWidth="1"/>
    <col min="5120" max="5120" width="9" style="958" customWidth="1"/>
    <col min="5121" max="5121" width="9.140625" style="958" customWidth="1"/>
    <col min="5122" max="5122" width="7.85546875" style="958" customWidth="1"/>
    <col min="5123" max="5123" width="10.28515625" style="958" customWidth="1"/>
    <col min="5124" max="5124" width="9.42578125" style="958" customWidth="1"/>
    <col min="5125" max="5125" width="8.85546875" style="958" customWidth="1"/>
    <col min="5126" max="5126" width="39.140625" style="958" customWidth="1"/>
    <col min="5127" max="5127" width="8.85546875" style="958"/>
    <col min="5128" max="5128" width="9" style="958" bestFit="1" customWidth="1"/>
    <col min="5129" max="5365" width="8.85546875" style="958"/>
    <col min="5366" max="5366" width="3.42578125" style="958" customWidth="1"/>
    <col min="5367" max="5367" width="19.42578125" style="958" customWidth="1"/>
    <col min="5368" max="5368" width="14.42578125" style="958" customWidth="1"/>
    <col min="5369" max="5369" width="9.42578125" style="958" customWidth="1"/>
    <col min="5370" max="5370" width="12.140625" style="958" customWidth="1"/>
    <col min="5371" max="5371" width="9.42578125" style="958" customWidth="1"/>
    <col min="5372" max="5372" width="5.28515625" style="958" customWidth="1"/>
    <col min="5373" max="5373" width="8.85546875" style="958" customWidth="1"/>
    <col min="5374" max="5374" width="9.42578125" style="958" customWidth="1"/>
    <col min="5375" max="5375" width="8.85546875" style="958" customWidth="1"/>
    <col min="5376" max="5376" width="9" style="958" customWidth="1"/>
    <col min="5377" max="5377" width="9.140625" style="958" customWidth="1"/>
    <col min="5378" max="5378" width="7.85546875" style="958" customWidth="1"/>
    <col min="5379" max="5379" width="10.28515625" style="958" customWidth="1"/>
    <col min="5380" max="5380" width="9.42578125" style="958" customWidth="1"/>
    <col min="5381" max="5381" width="8.85546875" style="958" customWidth="1"/>
    <col min="5382" max="5382" width="39.140625" style="958" customWidth="1"/>
    <col min="5383" max="5383" width="8.85546875" style="958"/>
    <col min="5384" max="5384" width="9" style="958" bestFit="1" customWidth="1"/>
    <col min="5385" max="5621" width="8.85546875" style="958"/>
    <col min="5622" max="5622" width="3.42578125" style="958" customWidth="1"/>
    <col min="5623" max="5623" width="19.42578125" style="958" customWidth="1"/>
    <col min="5624" max="5624" width="14.42578125" style="958" customWidth="1"/>
    <col min="5625" max="5625" width="9.42578125" style="958" customWidth="1"/>
    <col min="5626" max="5626" width="12.140625" style="958" customWidth="1"/>
    <col min="5627" max="5627" width="9.42578125" style="958" customWidth="1"/>
    <col min="5628" max="5628" width="5.28515625" style="958" customWidth="1"/>
    <col min="5629" max="5629" width="8.85546875" style="958" customWidth="1"/>
    <col min="5630" max="5630" width="9.42578125" style="958" customWidth="1"/>
    <col min="5631" max="5631" width="8.85546875" style="958" customWidth="1"/>
    <col min="5632" max="5632" width="9" style="958" customWidth="1"/>
    <col min="5633" max="5633" width="9.140625" style="958" customWidth="1"/>
    <col min="5634" max="5634" width="7.85546875" style="958" customWidth="1"/>
    <col min="5635" max="5635" width="10.28515625" style="958" customWidth="1"/>
    <col min="5636" max="5636" width="9.42578125" style="958" customWidth="1"/>
    <col min="5637" max="5637" width="8.85546875" style="958" customWidth="1"/>
    <col min="5638" max="5638" width="39.140625" style="958" customWidth="1"/>
    <col min="5639" max="5639" width="8.85546875" style="958"/>
    <col min="5640" max="5640" width="9" style="958" bestFit="1" customWidth="1"/>
    <col min="5641" max="5877" width="8.85546875" style="958"/>
    <col min="5878" max="5878" width="3.42578125" style="958" customWidth="1"/>
    <col min="5879" max="5879" width="19.42578125" style="958" customWidth="1"/>
    <col min="5880" max="5880" width="14.42578125" style="958" customWidth="1"/>
    <col min="5881" max="5881" width="9.42578125" style="958" customWidth="1"/>
    <col min="5882" max="5882" width="12.140625" style="958" customWidth="1"/>
    <col min="5883" max="5883" width="9.42578125" style="958" customWidth="1"/>
    <col min="5884" max="5884" width="5.28515625" style="958" customWidth="1"/>
    <col min="5885" max="5885" width="8.85546875" style="958" customWidth="1"/>
    <col min="5886" max="5886" width="9.42578125" style="958" customWidth="1"/>
    <col min="5887" max="5887" width="8.85546875" style="958" customWidth="1"/>
    <col min="5888" max="5888" width="9" style="958" customWidth="1"/>
    <col min="5889" max="5889" width="9.140625" style="958" customWidth="1"/>
    <col min="5890" max="5890" width="7.85546875" style="958" customWidth="1"/>
    <col min="5891" max="5891" width="10.28515625" style="958" customWidth="1"/>
    <col min="5892" max="5892" width="9.42578125" style="958" customWidth="1"/>
    <col min="5893" max="5893" width="8.85546875" style="958" customWidth="1"/>
    <col min="5894" max="5894" width="39.140625" style="958" customWidth="1"/>
    <col min="5895" max="5895" width="8.85546875" style="958"/>
    <col min="5896" max="5896" width="9" style="958" bestFit="1" customWidth="1"/>
    <col min="5897" max="6133" width="8.85546875" style="958"/>
    <col min="6134" max="6134" width="3.42578125" style="958" customWidth="1"/>
    <col min="6135" max="6135" width="19.42578125" style="958" customWidth="1"/>
    <col min="6136" max="6136" width="14.42578125" style="958" customWidth="1"/>
    <col min="6137" max="6137" width="9.42578125" style="958" customWidth="1"/>
    <col min="6138" max="6138" width="12.140625" style="958" customWidth="1"/>
    <col min="6139" max="6139" width="9.42578125" style="958" customWidth="1"/>
    <col min="6140" max="6140" width="5.28515625" style="958" customWidth="1"/>
    <col min="6141" max="6141" width="8.85546875" style="958" customWidth="1"/>
    <col min="6142" max="6142" width="9.42578125" style="958" customWidth="1"/>
    <col min="6143" max="6143" width="8.85546875" style="958" customWidth="1"/>
    <col min="6144" max="6144" width="9" style="958" customWidth="1"/>
    <col min="6145" max="6145" width="9.140625" style="958" customWidth="1"/>
    <col min="6146" max="6146" width="7.85546875" style="958" customWidth="1"/>
    <col min="6147" max="6147" width="10.28515625" style="958" customWidth="1"/>
    <col min="6148" max="6148" width="9.42578125" style="958" customWidth="1"/>
    <col min="6149" max="6149" width="8.85546875" style="958" customWidth="1"/>
    <col min="6150" max="6150" width="39.140625" style="958" customWidth="1"/>
    <col min="6151" max="6151" width="8.85546875" style="958"/>
    <col min="6152" max="6152" width="9" style="958" bestFit="1" customWidth="1"/>
    <col min="6153" max="6389" width="8.85546875" style="958"/>
    <col min="6390" max="6390" width="3.42578125" style="958" customWidth="1"/>
    <col min="6391" max="6391" width="19.42578125" style="958" customWidth="1"/>
    <col min="6392" max="6392" width="14.42578125" style="958" customWidth="1"/>
    <col min="6393" max="6393" width="9.42578125" style="958" customWidth="1"/>
    <col min="6394" max="6394" width="12.140625" style="958" customWidth="1"/>
    <col min="6395" max="6395" width="9.42578125" style="958" customWidth="1"/>
    <col min="6396" max="6396" width="5.28515625" style="958" customWidth="1"/>
    <col min="6397" max="6397" width="8.85546875" style="958" customWidth="1"/>
    <col min="6398" max="6398" width="9.42578125" style="958" customWidth="1"/>
    <col min="6399" max="6399" width="8.85546875" style="958" customWidth="1"/>
    <col min="6400" max="6400" width="9" style="958" customWidth="1"/>
    <col min="6401" max="6401" width="9.140625" style="958" customWidth="1"/>
    <col min="6402" max="6402" width="7.85546875" style="958" customWidth="1"/>
    <col min="6403" max="6403" width="10.28515625" style="958" customWidth="1"/>
    <col min="6404" max="6404" width="9.42578125" style="958" customWidth="1"/>
    <col min="6405" max="6405" width="8.85546875" style="958" customWidth="1"/>
    <col min="6406" max="6406" width="39.140625" style="958" customWidth="1"/>
    <col min="6407" max="6407" width="8.85546875" style="958"/>
    <col min="6408" max="6408" width="9" style="958" bestFit="1" customWidth="1"/>
    <col min="6409" max="6645" width="8.85546875" style="958"/>
    <col min="6646" max="6646" width="3.42578125" style="958" customWidth="1"/>
    <col min="6647" max="6647" width="19.42578125" style="958" customWidth="1"/>
    <col min="6648" max="6648" width="14.42578125" style="958" customWidth="1"/>
    <col min="6649" max="6649" width="9.42578125" style="958" customWidth="1"/>
    <col min="6650" max="6650" width="12.140625" style="958" customWidth="1"/>
    <col min="6651" max="6651" width="9.42578125" style="958" customWidth="1"/>
    <col min="6652" max="6652" width="5.28515625" style="958" customWidth="1"/>
    <col min="6653" max="6653" width="8.85546875" style="958" customWidth="1"/>
    <col min="6654" max="6654" width="9.42578125" style="958" customWidth="1"/>
    <col min="6655" max="6655" width="8.85546875" style="958" customWidth="1"/>
    <col min="6656" max="6656" width="9" style="958" customWidth="1"/>
    <col min="6657" max="6657" width="9.140625" style="958" customWidth="1"/>
    <col min="6658" max="6658" width="7.85546875" style="958" customWidth="1"/>
    <col min="6659" max="6659" width="10.28515625" style="958" customWidth="1"/>
    <col min="6660" max="6660" width="9.42578125" style="958" customWidth="1"/>
    <col min="6661" max="6661" width="8.85546875" style="958" customWidth="1"/>
    <col min="6662" max="6662" width="39.140625" style="958" customWidth="1"/>
    <col min="6663" max="6663" width="8.85546875" style="958"/>
    <col min="6664" max="6664" width="9" style="958" bestFit="1" customWidth="1"/>
    <col min="6665" max="6901" width="8.85546875" style="958"/>
    <col min="6902" max="6902" width="3.42578125" style="958" customWidth="1"/>
    <col min="6903" max="6903" width="19.42578125" style="958" customWidth="1"/>
    <col min="6904" max="6904" width="14.42578125" style="958" customWidth="1"/>
    <col min="6905" max="6905" width="9.42578125" style="958" customWidth="1"/>
    <col min="6906" max="6906" width="12.140625" style="958" customWidth="1"/>
    <col min="6907" max="6907" width="9.42578125" style="958" customWidth="1"/>
    <col min="6908" max="6908" width="5.28515625" style="958" customWidth="1"/>
    <col min="6909" max="6909" width="8.85546875" style="958" customWidth="1"/>
    <col min="6910" max="6910" width="9.42578125" style="958" customWidth="1"/>
    <col min="6911" max="6911" width="8.85546875" style="958" customWidth="1"/>
    <col min="6912" max="6912" width="9" style="958" customWidth="1"/>
    <col min="6913" max="6913" width="9.140625" style="958" customWidth="1"/>
    <col min="6914" max="6914" width="7.85546875" style="958" customWidth="1"/>
    <col min="6915" max="6915" width="10.28515625" style="958" customWidth="1"/>
    <col min="6916" max="6916" width="9.42578125" style="958" customWidth="1"/>
    <col min="6917" max="6917" width="8.85546875" style="958" customWidth="1"/>
    <col min="6918" max="6918" width="39.140625" style="958" customWidth="1"/>
    <col min="6919" max="6919" width="8.85546875" style="958"/>
    <col min="6920" max="6920" width="9" style="958" bestFit="1" customWidth="1"/>
    <col min="6921" max="7157" width="8.85546875" style="958"/>
    <col min="7158" max="7158" width="3.42578125" style="958" customWidth="1"/>
    <col min="7159" max="7159" width="19.42578125" style="958" customWidth="1"/>
    <col min="7160" max="7160" width="14.42578125" style="958" customWidth="1"/>
    <col min="7161" max="7161" width="9.42578125" style="958" customWidth="1"/>
    <col min="7162" max="7162" width="12.140625" style="958" customWidth="1"/>
    <col min="7163" max="7163" width="9.42578125" style="958" customWidth="1"/>
    <col min="7164" max="7164" width="5.28515625" style="958" customWidth="1"/>
    <col min="7165" max="7165" width="8.85546875" style="958" customWidth="1"/>
    <col min="7166" max="7166" width="9.42578125" style="958" customWidth="1"/>
    <col min="7167" max="7167" width="8.85546875" style="958" customWidth="1"/>
    <col min="7168" max="7168" width="9" style="958" customWidth="1"/>
    <col min="7169" max="7169" width="9.140625" style="958" customWidth="1"/>
    <col min="7170" max="7170" width="7.85546875" style="958" customWidth="1"/>
    <col min="7171" max="7171" width="10.28515625" style="958" customWidth="1"/>
    <col min="7172" max="7172" width="9.42578125" style="958" customWidth="1"/>
    <col min="7173" max="7173" width="8.85546875" style="958" customWidth="1"/>
    <col min="7174" max="7174" width="39.140625" style="958" customWidth="1"/>
    <col min="7175" max="7175" width="8.85546875" style="958"/>
    <col min="7176" max="7176" width="9" style="958" bestFit="1" customWidth="1"/>
    <col min="7177" max="7413" width="8.85546875" style="958"/>
    <col min="7414" max="7414" width="3.42578125" style="958" customWidth="1"/>
    <col min="7415" max="7415" width="19.42578125" style="958" customWidth="1"/>
    <col min="7416" max="7416" width="14.42578125" style="958" customWidth="1"/>
    <col min="7417" max="7417" width="9.42578125" style="958" customWidth="1"/>
    <col min="7418" max="7418" width="12.140625" style="958" customWidth="1"/>
    <col min="7419" max="7419" width="9.42578125" style="958" customWidth="1"/>
    <col min="7420" max="7420" width="5.28515625" style="958" customWidth="1"/>
    <col min="7421" max="7421" width="8.85546875" style="958" customWidth="1"/>
    <col min="7422" max="7422" width="9.42578125" style="958" customWidth="1"/>
    <col min="7423" max="7423" width="8.85546875" style="958" customWidth="1"/>
    <col min="7424" max="7424" width="9" style="958" customWidth="1"/>
    <col min="7425" max="7425" width="9.140625" style="958" customWidth="1"/>
    <col min="7426" max="7426" width="7.85546875" style="958" customWidth="1"/>
    <col min="7427" max="7427" width="10.28515625" style="958" customWidth="1"/>
    <col min="7428" max="7428" width="9.42578125" style="958" customWidth="1"/>
    <col min="7429" max="7429" width="8.85546875" style="958" customWidth="1"/>
    <col min="7430" max="7430" width="39.140625" style="958" customWidth="1"/>
    <col min="7431" max="7431" width="8.85546875" style="958"/>
    <col min="7432" max="7432" width="9" style="958" bestFit="1" customWidth="1"/>
    <col min="7433" max="7669" width="8.85546875" style="958"/>
    <col min="7670" max="7670" width="3.42578125" style="958" customWidth="1"/>
    <col min="7671" max="7671" width="19.42578125" style="958" customWidth="1"/>
    <col min="7672" max="7672" width="14.42578125" style="958" customWidth="1"/>
    <col min="7673" max="7673" width="9.42578125" style="958" customWidth="1"/>
    <col min="7674" max="7674" width="12.140625" style="958" customWidth="1"/>
    <col min="7675" max="7675" width="9.42578125" style="958" customWidth="1"/>
    <col min="7676" max="7676" width="5.28515625" style="958" customWidth="1"/>
    <col min="7677" max="7677" width="8.85546875" style="958" customWidth="1"/>
    <col min="7678" max="7678" width="9.42578125" style="958" customWidth="1"/>
    <col min="7679" max="7679" width="8.85546875" style="958" customWidth="1"/>
    <col min="7680" max="7680" width="9" style="958" customWidth="1"/>
    <col min="7681" max="7681" width="9.140625" style="958" customWidth="1"/>
    <col min="7682" max="7682" width="7.85546875" style="958" customWidth="1"/>
    <col min="7683" max="7683" width="10.28515625" style="958" customWidth="1"/>
    <col min="7684" max="7684" width="9.42578125" style="958" customWidth="1"/>
    <col min="7685" max="7685" width="8.85546875" style="958" customWidth="1"/>
    <col min="7686" max="7686" width="39.140625" style="958" customWidth="1"/>
    <col min="7687" max="7687" width="8.85546875" style="958"/>
    <col min="7688" max="7688" width="9" style="958" bestFit="1" customWidth="1"/>
    <col min="7689" max="7925" width="8.85546875" style="958"/>
    <col min="7926" max="7926" width="3.42578125" style="958" customWidth="1"/>
    <col min="7927" max="7927" width="19.42578125" style="958" customWidth="1"/>
    <col min="7928" max="7928" width="14.42578125" style="958" customWidth="1"/>
    <col min="7929" max="7929" width="9.42578125" style="958" customWidth="1"/>
    <col min="7930" max="7930" width="12.140625" style="958" customWidth="1"/>
    <col min="7931" max="7931" width="9.42578125" style="958" customWidth="1"/>
    <col min="7932" max="7932" width="5.28515625" style="958" customWidth="1"/>
    <col min="7933" max="7933" width="8.85546875" style="958" customWidth="1"/>
    <col min="7934" max="7934" width="9.42578125" style="958" customWidth="1"/>
    <col min="7935" max="7935" width="8.85546875" style="958" customWidth="1"/>
    <col min="7936" max="7936" width="9" style="958" customWidth="1"/>
    <col min="7937" max="7937" width="9.140625" style="958" customWidth="1"/>
    <col min="7938" max="7938" width="7.85546875" style="958" customWidth="1"/>
    <col min="7939" max="7939" width="10.28515625" style="958" customWidth="1"/>
    <col min="7940" max="7940" width="9.42578125" style="958" customWidth="1"/>
    <col min="7941" max="7941" width="8.85546875" style="958" customWidth="1"/>
    <col min="7942" max="7942" width="39.140625" style="958" customWidth="1"/>
    <col min="7943" max="7943" width="8.85546875" style="958"/>
    <col min="7944" max="7944" width="9" style="958" bestFit="1" customWidth="1"/>
    <col min="7945" max="8181" width="8.85546875" style="958"/>
    <col min="8182" max="8182" width="3.42578125" style="958" customWidth="1"/>
    <col min="8183" max="8183" width="19.42578125" style="958" customWidth="1"/>
    <col min="8184" max="8184" width="14.42578125" style="958" customWidth="1"/>
    <col min="8185" max="8185" width="9.42578125" style="958" customWidth="1"/>
    <col min="8186" max="8186" width="12.140625" style="958" customWidth="1"/>
    <col min="8187" max="8187" width="9.42578125" style="958" customWidth="1"/>
    <col min="8188" max="8188" width="5.28515625" style="958" customWidth="1"/>
    <col min="8189" max="8189" width="8.85546875" style="958" customWidth="1"/>
    <col min="8190" max="8190" width="9.42578125" style="958" customWidth="1"/>
    <col min="8191" max="8191" width="8.85546875" style="958" customWidth="1"/>
    <col min="8192" max="8192" width="9" style="958" customWidth="1"/>
    <col min="8193" max="8193" width="9.140625" style="958" customWidth="1"/>
    <col min="8194" max="8194" width="7.85546875" style="958" customWidth="1"/>
    <col min="8195" max="8195" width="10.28515625" style="958" customWidth="1"/>
    <col min="8196" max="8196" width="9.42578125" style="958" customWidth="1"/>
    <col min="8197" max="8197" width="8.85546875" style="958" customWidth="1"/>
    <col min="8198" max="8198" width="39.140625" style="958" customWidth="1"/>
    <col min="8199" max="8199" width="8.85546875" style="958"/>
    <col min="8200" max="8200" width="9" style="958" bestFit="1" customWidth="1"/>
    <col min="8201" max="8437" width="8.85546875" style="958"/>
    <col min="8438" max="8438" width="3.42578125" style="958" customWidth="1"/>
    <col min="8439" max="8439" width="19.42578125" style="958" customWidth="1"/>
    <col min="8440" max="8440" width="14.42578125" style="958" customWidth="1"/>
    <col min="8441" max="8441" width="9.42578125" style="958" customWidth="1"/>
    <col min="8442" max="8442" width="12.140625" style="958" customWidth="1"/>
    <col min="8443" max="8443" width="9.42578125" style="958" customWidth="1"/>
    <col min="8444" max="8444" width="5.28515625" style="958" customWidth="1"/>
    <col min="8445" max="8445" width="8.85546875" style="958" customWidth="1"/>
    <col min="8446" max="8446" width="9.42578125" style="958" customWidth="1"/>
    <col min="8447" max="8447" width="8.85546875" style="958" customWidth="1"/>
    <col min="8448" max="8448" width="9" style="958" customWidth="1"/>
    <col min="8449" max="8449" width="9.140625" style="958" customWidth="1"/>
    <col min="8450" max="8450" width="7.85546875" style="958" customWidth="1"/>
    <col min="8451" max="8451" width="10.28515625" style="958" customWidth="1"/>
    <col min="8452" max="8452" width="9.42578125" style="958" customWidth="1"/>
    <col min="8453" max="8453" width="8.85546875" style="958" customWidth="1"/>
    <col min="8454" max="8454" width="39.140625" style="958" customWidth="1"/>
    <col min="8455" max="8455" width="8.85546875" style="958"/>
    <col min="8456" max="8456" width="9" style="958" bestFit="1" customWidth="1"/>
    <col min="8457" max="8693" width="8.85546875" style="958"/>
    <col min="8694" max="8694" width="3.42578125" style="958" customWidth="1"/>
    <col min="8695" max="8695" width="19.42578125" style="958" customWidth="1"/>
    <col min="8696" max="8696" width="14.42578125" style="958" customWidth="1"/>
    <col min="8697" max="8697" width="9.42578125" style="958" customWidth="1"/>
    <col min="8698" max="8698" width="12.140625" style="958" customWidth="1"/>
    <col min="8699" max="8699" width="9.42578125" style="958" customWidth="1"/>
    <col min="8700" max="8700" width="5.28515625" style="958" customWidth="1"/>
    <col min="8701" max="8701" width="8.85546875" style="958" customWidth="1"/>
    <col min="8702" max="8702" width="9.42578125" style="958" customWidth="1"/>
    <col min="8703" max="8703" width="8.85546875" style="958" customWidth="1"/>
    <col min="8704" max="8704" width="9" style="958" customWidth="1"/>
    <col min="8705" max="8705" width="9.140625" style="958" customWidth="1"/>
    <col min="8706" max="8706" width="7.85546875" style="958" customWidth="1"/>
    <col min="8707" max="8707" width="10.28515625" style="958" customWidth="1"/>
    <col min="8708" max="8708" width="9.42578125" style="958" customWidth="1"/>
    <col min="8709" max="8709" width="8.85546875" style="958" customWidth="1"/>
    <col min="8710" max="8710" width="39.140625" style="958" customWidth="1"/>
    <col min="8711" max="8711" width="8.85546875" style="958"/>
    <col min="8712" max="8712" width="9" style="958" bestFit="1" customWidth="1"/>
    <col min="8713" max="8949" width="8.85546875" style="958"/>
    <col min="8950" max="8950" width="3.42578125" style="958" customWidth="1"/>
    <col min="8951" max="8951" width="19.42578125" style="958" customWidth="1"/>
    <col min="8952" max="8952" width="14.42578125" style="958" customWidth="1"/>
    <col min="8953" max="8953" width="9.42578125" style="958" customWidth="1"/>
    <col min="8954" max="8954" width="12.140625" style="958" customWidth="1"/>
    <col min="8955" max="8955" width="9.42578125" style="958" customWidth="1"/>
    <col min="8956" max="8956" width="5.28515625" style="958" customWidth="1"/>
    <col min="8957" max="8957" width="8.85546875" style="958" customWidth="1"/>
    <col min="8958" max="8958" width="9.42578125" style="958" customWidth="1"/>
    <col min="8959" max="8959" width="8.85546875" style="958" customWidth="1"/>
    <col min="8960" max="8960" width="9" style="958" customWidth="1"/>
    <col min="8961" max="8961" width="9.140625" style="958" customWidth="1"/>
    <col min="8962" max="8962" width="7.85546875" style="958" customWidth="1"/>
    <col min="8963" max="8963" width="10.28515625" style="958" customWidth="1"/>
    <col min="8964" max="8964" width="9.42578125" style="958" customWidth="1"/>
    <col min="8965" max="8965" width="8.85546875" style="958" customWidth="1"/>
    <col min="8966" max="8966" width="39.140625" style="958" customWidth="1"/>
    <col min="8967" max="8967" width="8.85546875" style="958"/>
    <col min="8968" max="8968" width="9" style="958" bestFit="1" customWidth="1"/>
    <col min="8969" max="9205" width="8.85546875" style="958"/>
    <col min="9206" max="9206" width="3.42578125" style="958" customWidth="1"/>
    <col min="9207" max="9207" width="19.42578125" style="958" customWidth="1"/>
    <col min="9208" max="9208" width="14.42578125" style="958" customWidth="1"/>
    <col min="9209" max="9209" width="9.42578125" style="958" customWidth="1"/>
    <col min="9210" max="9210" width="12.140625" style="958" customWidth="1"/>
    <col min="9211" max="9211" width="9.42578125" style="958" customWidth="1"/>
    <col min="9212" max="9212" width="5.28515625" style="958" customWidth="1"/>
    <col min="9213" max="9213" width="8.85546875" style="958" customWidth="1"/>
    <col min="9214" max="9214" width="9.42578125" style="958" customWidth="1"/>
    <col min="9215" max="9215" width="8.85546875" style="958" customWidth="1"/>
    <col min="9216" max="9216" width="9" style="958" customWidth="1"/>
    <col min="9217" max="9217" width="9.140625" style="958" customWidth="1"/>
    <col min="9218" max="9218" width="7.85546875" style="958" customWidth="1"/>
    <col min="9219" max="9219" width="10.28515625" style="958" customWidth="1"/>
    <col min="9220" max="9220" width="9.42578125" style="958" customWidth="1"/>
    <col min="9221" max="9221" width="8.85546875" style="958" customWidth="1"/>
    <col min="9222" max="9222" width="39.140625" style="958" customWidth="1"/>
    <col min="9223" max="9223" width="8.85546875" style="958"/>
    <col min="9224" max="9224" width="9" style="958" bestFit="1" customWidth="1"/>
    <col min="9225" max="9461" width="8.85546875" style="958"/>
    <col min="9462" max="9462" width="3.42578125" style="958" customWidth="1"/>
    <col min="9463" max="9463" width="19.42578125" style="958" customWidth="1"/>
    <col min="9464" max="9464" width="14.42578125" style="958" customWidth="1"/>
    <col min="9465" max="9465" width="9.42578125" style="958" customWidth="1"/>
    <col min="9466" max="9466" width="12.140625" style="958" customWidth="1"/>
    <col min="9467" max="9467" width="9.42578125" style="958" customWidth="1"/>
    <col min="9468" max="9468" width="5.28515625" style="958" customWidth="1"/>
    <col min="9469" max="9469" width="8.85546875" style="958" customWidth="1"/>
    <col min="9470" max="9470" width="9.42578125" style="958" customWidth="1"/>
    <col min="9471" max="9471" width="8.85546875" style="958" customWidth="1"/>
    <col min="9472" max="9472" width="9" style="958" customWidth="1"/>
    <col min="9473" max="9473" width="9.140625" style="958" customWidth="1"/>
    <col min="9474" max="9474" width="7.85546875" style="958" customWidth="1"/>
    <col min="9475" max="9475" width="10.28515625" style="958" customWidth="1"/>
    <col min="9476" max="9476" width="9.42578125" style="958" customWidth="1"/>
    <col min="9477" max="9477" width="8.85546875" style="958" customWidth="1"/>
    <col min="9478" max="9478" width="39.140625" style="958" customWidth="1"/>
    <col min="9479" max="9479" width="8.85546875" style="958"/>
    <col min="9480" max="9480" width="9" style="958" bestFit="1" customWidth="1"/>
    <col min="9481" max="9717" width="8.85546875" style="958"/>
    <col min="9718" max="9718" width="3.42578125" style="958" customWidth="1"/>
    <col min="9719" max="9719" width="19.42578125" style="958" customWidth="1"/>
    <col min="9720" max="9720" width="14.42578125" style="958" customWidth="1"/>
    <col min="9721" max="9721" width="9.42578125" style="958" customWidth="1"/>
    <col min="9722" max="9722" width="12.140625" style="958" customWidth="1"/>
    <col min="9723" max="9723" width="9.42578125" style="958" customWidth="1"/>
    <col min="9724" max="9724" width="5.28515625" style="958" customWidth="1"/>
    <col min="9725" max="9725" width="8.85546875" style="958" customWidth="1"/>
    <col min="9726" max="9726" width="9.42578125" style="958" customWidth="1"/>
    <col min="9727" max="9727" width="8.85546875" style="958" customWidth="1"/>
    <col min="9728" max="9728" width="9" style="958" customWidth="1"/>
    <col min="9729" max="9729" width="9.140625" style="958" customWidth="1"/>
    <col min="9730" max="9730" width="7.85546875" style="958" customWidth="1"/>
    <col min="9731" max="9731" width="10.28515625" style="958" customWidth="1"/>
    <col min="9732" max="9732" width="9.42578125" style="958" customWidth="1"/>
    <col min="9733" max="9733" width="8.85546875" style="958" customWidth="1"/>
    <col min="9734" max="9734" width="39.140625" style="958" customWidth="1"/>
    <col min="9735" max="9735" width="8.85546875" style="958"/>
    <col min="9736" max="9736" width="9" style="958" bestFit="1" customWidth="1"/>
    <col min="9737" max="9973" width="8.85546875" style="958"/>
    <col min="9974" max="9974" width="3.42578125" style="958" customWidth="1"/>
    <col min="9975" max="9975" width="19.42578125" style="958" customWidth="1"/>
    <col min="9976" max="9976" width="14.42578125" style="958" customWidth="1"/>
    <col min="9977" max="9977" width="9.42578125" style="958" customWidth="1"/>
    <col min="9978" max="9978" width="12.140625" style="958" customWidth="1"/>
    <col min="9979" max="9979" width="9.42578125" style="958" customWidth="1"/>
    <col min="9980" max="9980" width="5.28515625" style="958" customWidth="1"/>
    <col min="9981" max="9981" width="8.85546875" style="958" customWidth="1"/>
    <col min="9982" max="9982" width="9.42578125" style="958" customWidth="1"/>
    <col min="9983" max="9983" width="8.85546875" style="958" customWidth="1"/>
    <col min="9984" max="9984" width="9" style="958" customWidth="1"/>
    <col min="9985" max="9985" width="9.140625" style="958" customWidth="1"/>
    <col min="9986" max="9986" width="7.85546875" style="958" customWidth="1"/>
    <col min="9987" max="9987" width="10.28515625" style="958" customWidth="1"/>
    <col min="9988" max="9988" width="9.42578125" style="958" customWidth="1"/>
    <col min="9989" max="9989" width="8.85546875" style="958" customWidth="1"/>
    <col min="9990" max="9990" width="39.140625" style="958" customWidth="1"/>
    <col min="9991" max="9991" width="8.85546875" style="958"/>
    <col min="9992" max="9992" width="9" style="958" bestFit="1" customWidth="1"/>
    <col min="9993" max="10229" width="8.85546875" style="958"/>
    <col min="10230" max="10230" width="3.42578125" style="958" customWidth="1"/>
    <col min="10231" max="10231" width="19.42578125" style="958" customWidth="1"/>
    <col min="10232" max="10232" width="14.42578125" style="958" customWidth="1"/>
    <col min="10233" max="10233" width="9.42578125" style="958" customWidth="1"/>
    <col min="10234" max="10234" width="12.140625" style="958" customWidth="1"/>
    <col min="10235" max="10235" width="9.42578125" style="958" customWidth="1"/>
    <col min="10236" max="10236" width="5.28515625" style="958" customWidth="1"/>
    <col min="10237" max="10237" width="8.85546875" style="958" customWidth="1"/>
    <col min="10238" max="10238" width="9.42578125" style="958" customWidth="1"/>
    <col min="10239" max="10239" width="8.85546875" style="958" customWidth="1"/>
    <col min="10240" max="10240" width="9" style="958" customWidth="1"/>
    <col min="10241" max="10241" width="9.140625" style="958" customWidth="1"/>
    <col min="10242" max="10242" width="7.85546875" style="958" customWidth="1"/>
    <col min="10243" max="10243" width="10.28515625" style="958" customWidth="1"/>
    <col min="10244" max="10244" width="9.42578125" style="958" customWidth="1"/>
    <col min="10245" max="10245" width="8.85546875" style="958" customWidth="1"/>
    <col min="10246" max="10246" width="39.140625" style="958" customWidth="1"/>
    <col min="10247" max="10247" width="8.85546875" style="958"/>
    <col min="10248" max="10248" width="9" style="958" bestFit="1" customWidth="1"/>
    <col min="10249" max="10485" width="8.85546875" style="958"/>
    <col min="10486" max="10486" width="3.42578125" style="958" customWidth="1"/>
    <col min="10487" max="10487" width="19.42578125" style="958" customWidth="1"/>
    <col min="10488" max="10488" width="14.42578125" style="958" customWidth="1"/>
    <col min="10489" max="10489" width="9.42578125" style="958" customWidth="1"/>
    <col min="10490" max="10490" width="12.140625" style="958" customWidth="1"/>
    <col min="10491" max="10491" width="9.42578125" style="958" customWidth="1"/>
    <col min="10492" max="10492" width="5.28515625" style="958" customWidth="1"/>
    <col min="10493" max="10493" width="8.85546875" style="958" customWidth="1"/>
    <col min="10494" max="10494" width="9.42578125" style="958" customWidth="1"/>
    <col min="10495" max="10495" width="8.85546875" style="958" customWidth="1"/>
    <col min="10496" max="10496" width="9" style="958" customWidth="1"/>
    <col min="10497" max="10497" width="9.140625" style="958" customWidth="1"/>
    <col min="10498" max="10498" width="7.85546875" style="958" customWidth="1"/>
    <col min="10499" max="10499" width="10.28515625" style="958" customWidth="1"/>
    <col min="10500" max="10500" width="9.42578125" style="958" customWidth="1"/>
    <col min="10501" max="10501" width="8.85546875" style="958" customWidth="1"/>
    <col min="10502" max="10502" width="39.140625" style="958" customWidth="1"/>
    <col min="10503" max="10503" width="8.85546875" style="958"/>
    <col min="10504" max="10504" width="9" style="958" bestFit="1" customWidth="1"/>
    <col min="10505" max="10741" width="8.85546875" style="958"/>
    <col min="10742" max="10742" width="3.42578125" style="958" customWidth="1"/>
    <col min="10743" max="10743" width="19.42578125" style="958" customWidth="1"/>
    <col min="10744" max="10744" width="14.42578125" style="958" customWidth="1"/>
    <col min="10745" max="10745" width="9.42578125" style="958" customWidth="1"/>
    <col min="10746" max="10746" width="12.140625" style="958" customWidth="1"/>
    <col min="10747" max="10747" width="9.42578125" style="958" customWidth="1"/>
    <col min="10748" max="10748" width="5.28515625" style="958" customWidth="1"/>
    <col min="10749" max="10749" width="8.85546875" style="958" customWidth="1"/>
    <col min="10750" max="10750" width="9.42578125" style="958" customWidth="1"/>
    <col min="10751" max="10751" width="8.85546875" style="958" customWidth="1"/>
    <col min="10752" max="10752" width="9" style="958" customWidth="1"/>
    <col min="10753" max="10753" width="9.140625" style="958" customWidth="1"/>
    <col min="10754" max="10754" width="7.85546875" style="958" customWidth="1"/>
    <col min="10755" max="10755" width="10.28515625" style="958" customWidth="1"/>
    <col min="10756" max="10756" width="9.42578125" style="958" customWidth="1"/>
    <col min="10757" max="10757" width="8.85546875" style="958" customWidth="1"/>
    <col min="10758" max="10758" width="39.140625" style="958" customWidth="1"/>
    <col min="10759" max="10759" width="8.85546875" style="958"/>
    <col min="10760" max="10760" width="9" style="958" bestFit="1" customWidth="1"/>
    <col min="10761" max="10997" width="8.85546875" style="958"/>
    <col min="10998" max="10998" width="3.42578125" style="958" customWidth="1"/>
    <col min="10999" max="10999" width="19.42578125" style="958" customWidth="1"/>
    <col min="11000" max="11000" width="14.42578125" style="958" customWidth="1"/>
    <col min="11001" max="11001" width="9.42578125" style="958" customWidth="1"/>
    <col min="11002" max="11002" width="12.140625" style="958" customWidth="1"/>
    <col min="11003" max="11003" width="9.42578125" style="958" customWidth="1"/>
    <col min="11004" max="11004" width="5.28515625" style="958" customWidth="1"/>
    <col min="11005" max="11005" width="8.85546875" style="958" customWidth="1"/>
    <col min="11006" max="11006" width="9.42578125" style="958" customWidth="1"/>
    <col min="11007" max="11007" width="8.85546875" style="958" customWidth="1"/>
    <col min="11008" max="11008" width="9" style="958" customWidth="1"/>
    <col min="11009" max="11009" width="9.140625" style="958" customWidth="1"/>
    <col min="11010" max="11010" width="7.85546875" style="958" customWidth="1"/>
    <col min="11011" max="11011" width="10.28515625" style="958" customWidth="1"/>
    <col min="11012" max="11012" width="9.42578125" style="958" customWidth="1"/>
    <col min="11013" max="11013" width="8.85546875" style="958" customWidth="1"/>
    <col min="11014" max="11014" width="39.140625" style="958" customWidth="1"/>
    <col min="11015" max="11015" width="8.85546875" style="958"/>
    <col min="11016" max="11016" width="9" style="958" bestFit="1" customWidth="1"/>
    <col min="11017" max="11253" width="8.85546875" style="958"/>
    <col min="11254" max="11254" width="3.42578125" style="958" customWidth="1"/>
    <col min="11255" max="11255" width="19.42578125" style="958" customWidth="1"/>
    <col min="11256" max="11256" width="14.42578125" style="958" customWidth="1"/>
    <col min="11257" max="11257" width="9.42578125" style="958" customWidth="1"/>
    <col min="11258" max="11258" width="12.140625" style="958" customWidth="1"/>
    <col min="11259" max="11259" width="9.42578125" style="958" customWidth="1"/>
    <col min="11260" max="11260" width="5.28515625" style="958" customWidth="1"/>
    <col min="11261" max="11261" width="8.85546875" style="958" customWidth="1"/>
    <col min="11262" max="11262" width="9.42578125" style="958" customWidth="1"/>
    <col min="11263" max="11263" width="8.85546875" style="958" customWidth="1"/>
    <col min="11264" max="11264" width="9" style="958" customWidth="1"/>
    <col min="11265" max="11265" width="9.140625" style="958" customWidth="1"/>
    <col min="11266" max="11266" width="7.85546875" style="958" customWidth="1"/>
    <col min="11267" max="11267" width="10.28515625" style="958" customWidth="1"/>
    <col min="11268" max="11268" width="9.42578125" style="958" customWidth="1"/>
    <col min="11269" max="11269" width="8.85546875" style="958" customWidth="1"/>
    <col min="11270" max="11270" width="39.140625" style="958" customWidth="1"/>
    <col min="11271" max="11271" width="8.85546875" style="958"/>
    <col min="11272" max="11272" width="9" style="958" bestFit="1" customWidth="1"/>
    <col min="11273" max="11509" width="8.85546875" style="958"/>
    <col min="11510" max="11510" width="3.42578125" style="958" customWidth="1"/>
    <col min="11511" max="11511" width="19.42578125" style="958" customWidth="1"/>
    <col min="11512" max="11512" width="14.42578125" style="958" customWidth="1"/>
    <col min="11513" max="11513" width="9.42578125" style="958" customWidth="1"/>
    <col min="11514" max="11514" width="12.140625" style="958" customWidth="1"/>
    <col min="11515" max="11515" width="9.42578125" style="958" customWidth="1"/>
    <col min="11516" max="11516" width="5.28515625" style="958" customWidth="1"/>
    <col min="11517" max="11517" width="8.85546875" style="958" customWidth="1"/>
    <col min="11518" max="11518" width="9.42578125" style="958" customWidth="1"/>
    <col min="11519" max="11519" width="8.85546875" style="958" customWidth="1"/>
    <col min="11520" max="11520" width="9" style="958" customWidth="1"/>
    <col min="11521" max="11521" width="9.140625" style="958" customWidth="1"/>
    <col min="11522" max="11522" width="7.85546875" style="958" customWidth="1"/>
    <col min="11523" max="11523" width="10.28515625" style="958" customWidth="1"/>
    <col min="11524" max="11524" width="9.42578125" style="958" customWidth="1"/>
    <col min="11525" max="11525" width="8.85546875" style="958" customWidth="1"/>
    <col min="11526" max="11526" width="39.140625" style="958" customWidth="1"/>
    <col min="11527" max="11527" width="8.85546875" style="958"/>
    <col min="11528" max="11528" width="9" style="958" bestFit="1" customWidth="1"/>
    <col min="11529" max="11765" width="8.85546875" style="958"/>
    <col min="11766" max="11766" width="3.42578125" style="958" customWidth="1"/>
    <col min="11767" max="11767" width="19.42578125" style="958" customWidth="1"/>
    <col min="11768" max="11768" width="14.42578125" style="958" customWidth="1"/>
    <col min="11769" max="11769" width="9.42578125" style="958" customWidth="1"/>
    <col min="11770" max="11770" width="12.140625" style="958" customWidth="1"/>
    <col min="11771" max="11771" width="9.42578125" style="958" customWidth="1"/>
    <col min="11772" max="11772" width="5.28515625" style="958" customWidth="1"/>
    <col min="11773" max="11773" width="8.85546875" style="958" customWidth="1"/>
    <col min="11774" max="11774" width="9.42578125" style="958" customWidth="1"/>
    <col min="11775" max="11775" width="8.85546875" style="958" customWidth="1"/>
    <col min="11776" max="11776" width="9" style="958" customWidth="1"/>
    <col min="11777" max="11777" width="9.140625" style="958" customWidth="1"/>
    <col min="11778" max="11778" width="7.85546875" style="958" customWidth="1"/>
    <col min="11779" max="11779" width="10.28515625" style="958" customWidth="1"/>
    <col min="11780" max="11780" width="9.42578125" style="958" customWidth="1"/>
    <col min="11781" max="11781" width="8.85546875" style="958" customWidth="1"/>
    <col min="11782" max="11782" width="39.140625" style="958" customWidth="1"/>
    <col min="11783" max="11783" width="8.85546875" style="958"/>
    <col min="11784" max="11784" width="9" style="958" bestFit="1" customWidth="1"/>
    <col min="11785" max="12021" width="8.85546875" style="958"/>
    <col min="12022" max="12022" width="3.42578125" style="958" customWidth="1"/>
    <col min="12023" max="12023" width="19.42578125" style="958" customWidth="1"/>
    <col min="12024" max="12024" width="14.42578125" style="958" customWidth="1"/>
    <col min="12025" max="12025" width="9.42578125" style="958" customWidth="1"/>
    <col min="12026" max="12026" width="12.140625" style="958" customWidth="1"/>
    <col min="12027" max="12027" width="9.42578125" style="958" customWidth="1"/>
    <col min="12028" max="12028" width="5.28515625" style="958" customWidth="1"/>
    <col min="12029" max="12029" width="8.85546875" style="958" customWidth="1"/>
    <col min="12030" max="12030" width="9.42578125" style="958" customWidth="1"/>
    <col min="12031" max="12031" width="8.85546875" style="958" customWidth="1"/>
    <col min="12032" max="12032" width="9" style="958" customWidth="1"/>
    <col min="12033" max="12033" width="9.140625" style="958" customWidth="1"/>
    <col min="12034" max="12034" width="7.85546875" style="958" customWidth="1"/>
    <col min="12035" max="12035" width="10.28515625" style="958" customWidth="1"/>
    <col min="12036" max="12036" width="9.42578125" style="958" customWidth="1"/>
    <col min="12037" max="12037" width="8.85546875" style="958" customWidth="1"/>
    <col min="12038" max="12038" width="39.140625" style="958" customWidth="1"/>
    <col min="12039" max="12039" width="8.85546875" style="958"/>
    <col min="12040" max="12040" width="9" style="958" bestFit="1" customWidth="1"/>
    <col min="12041" max="12277" width="8.85546875" style="958"/>
    <col min="12278" max="12278" width="3.42578125" style="958" customWidth="1"/>
    <col min="12279" max="12279" width="19.42578125" style="958" customWidth="1"/>
    <col min="12280" max="12280" width="14.42578125" style="958" customWidth="1"/>
    <col min="12281" max="12281" width="9.42578125" style="958" customWidth="1"/>
    <col min="12282" max="12282" width="12.140625" style="958" customWidth="1"/>
    <col min="12283" max="12283" width="9.42578125" style="958" customWidth="1"/>
    <col min="12284" max="12284" width="5.28515625" style="958" customWidth="1"/>
    <col min="12285" max="12285" width="8.85546875" style="958" customWidth="1"/>
    <col min="12286" max="12286" width="9.42578125" style="958" customWidth="1"/>
    <col min="12287" max="12287" width="8.85546875" style="958" customWidth="1"/>
    <col min="12288" max="12288" width="9" style="958" customWidth="1"/>
    <col min="12289" max="12289" width="9.140625" style="958" customWidth="1"/>
    <col min="12290" max="12290" width="7.85546875" style="958" customWidth="1"/>
    <col min="12291" max="12291" width="10.28515625" style="958" customWidth="1"/>
    <col min="12292" max="12292" width="9.42578125" style="958" customWidth="1"/>
    <col min="12293" max="12293" width="8.85546875" style="958" customWidth="1"/>
    <col min="12294" max="12294" width="39.140625" style="958" customWidth="1"/>
    <col min="12295" max="12295" width="8.85546875" style="958"/>
    <col min="12296" max="12296" width="9" style="958" bestFit="1" customWidth="1"/>
    <col min="12297" max="12533" width="8.85546875" style="958"/>
    <col min="12534" max="12534" width="3.42578125" style="958" customWidth="1"/>
    <col min="12535" max="12535" width="19.42578125" style="958" customWidth="1"/>
    <col min="12536" max="12536" width="14.42578125" style="958" customWidth="1"/>
    <col min="12537" max="12537" width="9.42578125" style="958" customWidth="1"/>
    <col min="12538" max="12538" width="12.140625" style="958" customWidth="1"/>
    <col min="12539" max="12539" width="9.42578125" style="958" customWidth="1"/>
    <col min="12540" max="12540" width="5.28515625" style="958" customWidth="1"/>
    <col min="12541" max="12541" width="8.85546875" style="958" customWidth="1"/>
    <col min="12542" max="12542" width="9.42578125" style="958" customWidth="1"/>
    <col min="12543" max="12543" width="8.85546875" style="958" customWidth="1"/>
    <col min="12544" max="12544" width="9" style="958" customWidth="1"/>
    <col min="12545" max="12545" width="9.140625" style="958" customWidth="1"/>
    <col min="12546" max="12546" width="7.85546875" style="958" customWidth="1"/>
    <col min="12547" max="12547" width="10.28515625" style="958" customWidth="1"/>
    <col min="12548" max="12548" width="9.42578125" style="958" customWidth="1"/>
    <col min="12549" max="12549" width="8.85546875" style="958" customWidth="1"/>
    <col min="12550" max="12550" width="39.140625" style="958" customWidth="1"/>
    <col min="12551" max="12551" width="8.85546875" style="958"/>
    <col min="12552" max="12552" width="9" style="958" bestFit="1" customWidth="1"/>
    <col min="12553" max="12789" width="8.85546875" style="958"/>
    <col min="12790" max="12790" width="3.42578125" style="958" customWidth="1"/>
    <col min="12791" max="12791" width="19.42578125" style="958" customWidth="1"/>
    <col min="12792" max="12792" width="14.42578125" style="958" customWidth="1"/>
    <col min="12793" max="12793" width="9.42578125" style="958" customWidth="1"/>
    <col min="12794" max="12794" width="12.140625" style="958" customWidth="1"/>
    <col min="12795" max="12795" width="9.42578125" style="958" customWidth="1"/>
    <col min="12796" max="12796" width="5.28515625" style="958" customWidth="1"/>
    <col min="12797" max="12797" width="8.85546875" style="958" customWidth="1"/>
    <col min="12798" max="12798" width="9.42578125" style="958" customWidth="1"/>
    <col min="12799" max="12799" width="8.85546875" style="958" customWidth="1"/>
    <col min="12800" max="12800" width="9" style="958" customWidth="1"/>
    <col min="12801" max="12801" width="9.140625" style="958" customWidth="1"/>
    <col min="12802" max="12802" width="7.85546875" style="958" customWidth="1"/>
    <col min="12803" max="12803" width="10.28515625" style="958" customWidth="1"/>
    <col min="12804" max="12804" width="9.42578125" style="958" customWidth="1"/>
    <col min="12805" max="12805" width="8.85546875" style="958" customWidth="1"/>
    <col min="12806" max="12806" width="39.140625" style="958" customWidth="1"/>
    <col min="12807" max="12807" width="8.85546875" style="958"/>
    <col min="12808" max="12808" width="9" style="958" bestFit="1" customWidth="1"/>
    <col min="12809" max="13045" width="8.85546875" style="958"/>
    <col min="13046" max="13046" width="3.42578125" style="958" customWidth="1"/>
    <col min="13047" max="13047" width="19.42578125" style="958" customWidth="1"/>
    <col min="13048" max="13048" width="14.42578125" style="958" customWidth="1"/>
    <col min="13049" max="13049" width="9.42578125" style="958" customWidth="1"/>
    <col min="13050" max="13050" width="12.140625" style="958" customWidth="1"/>
    <col min="13051" max="13051" width="9.42578125" style="958" customWidth="1"/>
    <col min="13052" max="13052" width="5.28515625" style="958" customWidth="1"/>
    <col min="13053" max="13053" width="8.85546875" style="958" customWidth="1"/>
    <col min="13054" max="13054" width="9.42578125" style="958" customWidth="1"/>
    <col min="13055" max="13055" width="8.85546875" style="958" customWidth="1"/>
    <col min="13056" max="13056" width="9" style="958" customWidth="1"/>
    <col min="13057" max="13057" width="9.140625" style="958" customWidth="1"/>
    <col min="13058" max="13058" width="7.85546875" style="958" customWidth="1"/>
    <col min="13059" max="13059" width="10.28515625" style="958" customWidth="1"/>
    <col min="13060" max="13060" width="9.42578125" style="958" customWidth="1"/>
    <col min="13061" max="13061" width="8.85546875" style="958" customWidth="1"/>
    <col min="13062" max="13062" width="39.140625" style="958" customWidth="1"/>
    <col min="13063" max="13063" width="8.85546875" style="958"/>
    <col min="13064" max="13064" width="9" style="958" bestFit="1" customWidth="1"/>
    <col min="13065" max="13301" width="8.85546875" style="958"/>
    <col min="13302" max="13302" width="3.42578125" style="958" customWidth="1"/>
    <col min="13303" max="13303" width="19.42578125" style="958" customWidth="1"/>
    <col min="13304" max="13304" width="14.42578125" style="958" customWidth="1"/>
    <col min="13305" max="13305" width="9.42578125" style="958" customWidth="1"/>
    <col min="13306" max="13306" width="12.140625" style="958" customWidth="1"/>
    <col min="13307" max="13307" width="9.42578125" style="958" customWidth="1"/>
    <col min="13308" max="13308" width="5.28515625" style="958" customWidth="1"/>
    <col min="13309" max="13309" width="8.85546875" style="958" customWidth="1"/>
    <col min="13310" max="13310" width="9.42578125" style="958" customWidth="1"/>
    <col min="13311" max="13311" width="8.85546875" style="958" customWidth="1"/>
    <col min="13312" max="13312" width="9" style="958" customWidth="1"/>
    <col min="13313" max="13313" width="9.140625" style="958" customWidth="1"/>
    <col min="13314" max="13314" width="7.85546875" style="958" customWidth="1"/>
    <col min="13315" max="13315" width="10.28515625" style="958" customWidth="1"/>
    <col min="13316" max="13316" width="9.42578125" style="958" customWidth="1"/>
    <col min="13317" max="13317" width="8.85546875" style="958" customWidth="1"/>
    <col min="13318" max="13318" width="39.140625" style="958" customWidth="1"/>
    <col min="13319" max="13319" width="8.85546875" style="958"/>
    <col min="13320" max="13320" width="9" style="958" bestFit="1" customWidth="1"/>
    <col min="13321" max="13557" width="8.85546875" style="958"/>
    <col min="13558" max="13558" width="3.42578125" style="958" customWidth="1"/>
    <col min="13559" max="13559" width="19.42578125" style="958" customWidth="1"/>
    <col min="13560" max="13560" width="14.42578125" style="958" customWidth="1"/>
    <col min="13561" max="13561" width="9.42578125" style="958" customWidth="1"/>
    <col min="13562" max="13562" width="12.140625" style="958" customWidth="1"/>
    <col min="13563" max="13563" width="9.42578125" style="958" customWidth="1"/>
    <col min="13564" max="13564" width="5.28515625" style="958" customWidth="1"/>
    <col min="13565" max="13565" width="8.85546875" style="958" customWidth="1"/>
    <col min="13566" max="13566" width="9.42578125" style="958" customWidth="1"/>
    <col min="13567" max="13567" width="8.85546875" style="958" customWidth="1"/>
    <col min="13568" max="13568" width="9" style="958" customWidth="1"/>
    <col min="13569" max="13569" width="9.140625" style="958" customWidth="1"/>
    <col min="13570" max="13570" width="7.85546875" style="958" customWidth="1"/>
    <col min="13571" max="13571" width="10.28515625" style="958" customWidth="1"/>
    <col min="13572" max="13572" width="9.42578125" style="958" customWidth="1"/>
    <col min="13573" max="13573" width="8.85546875" style="958" customWidth="1"/>
    <col min="13574" max="13574" width="39.140625" style="958" customWidth="1"/>
    <col min="13575" max="13575" width="8.85546875" style="958"/>
    <col min="13576" max="13576" width="9" style="958" bestFit="1" customWidth="1"/>
    <col min="13577" max="13813" width="8.85546875" style="958"/>
    <col min="13814" max="13814" width="3.42578125" style="958" customWidth="1"/>
    <col min="13815" max="13815" width="19.42578125" style="958" customWidth="1"/>
    <col min="13816" max="13816" width="14.42578125" style="958" customWidth="1"/>
    <col min="13817" max="13817" width="9.42578125" style="958" customWidth="1"/>
    <col min="13818" max="13818" width="12.140625" style="958" customWidth="1"/>
    <col min="13819" max="13819" width="9.42578125" style="958" customWidth="1"/>
    <col min="13820" max="13820" width="5.28515625" style="958" customWidth="1"/>
    <col min="13821" max="13821" width="8.85546875" style="958" customWidth="1"/>
    <col min="13822" max="13822" width="9.42578125" style="958" customWidth="1"/>
    <col min="13823" max="13823" width="8.85546875" style="958" customWidth="1"/>
    <col min="13824" max="13824" width="9" style="958" customWidth="1"/>
    <col min="13825" max="13825" width="9.140625" style="958" customWidth="1"/>
    <col min="13826" max="13826" width="7.85546875" style="958" customWidth="1"/>
    <col min="13827" max="13827" width="10.28515625" style="958" customWidth="1"/>
    <col min="13828" max="13828" width="9.42578125" style="958" customWidth="1"/>
    <col min="13829" max="13829" width="8.85546875" style="958" customWidth="1"/>
    <col min="13830" max="13830" width="39.140625" style="958" customWidth="1"/>
    <col min="13831" max="13831" width="8.85546875" style="958"/>
    <col min="13832" max="13832" width="9" style="958" bestFit="1" customWidth="1"/>
    <col min="13833" max="14069" width="8.85546875" style="958"/>
    <col min="14070" max="14070" width="3.42578125" style="958" customWidth="1"/>
    <col min="14071" max="14071" width="19.42578125" style="958" customWidth="1"/>
    <col min="14072" max="14072" width="14.42578125" style="958" customWidth="1"/>
    <col min="14073" max="14073" width="9.42578125" style="958" customWidth="1"/>
    <col min="14074" max="14074" width="12.140625" style="958" customWidth="1"/>
    <col min="14075" max="14075" width="9.42578125" style="958" customWidth="1"/>
    <col min="14076" max="14076" width="5.28515625" style="958" customWidth="1"/>
    <col min="14077" max="14077" width="8.85546875" style="958" customWidth="1"/>
    <col min="14078" max="14078" width="9.42578125" style="958" customWidth="1"/>
    <col min="14079" max="14079" width="8.85546875" style="958" customWidth="1"/>
    <col min="14080" max="14080" width="9" style="958" customWidth="1"/>
    <col min="14081" max="14081" width="9.140625" style="958" customWidth="1"/>
    <col min="14082" max="14082" width="7.85546875" style="958" customWidth="1"/>
    <col min="14083" max="14083" width="10.28515625" style="958" customWidth="1"/>
    <col min="14084" max="14084" width="9.42578125" style="958" customWidth="1"/>
    <col min="14085" max="14085" width="8.85546875" style="958" customWidth="1"/>
    <col min="14086" max="14086" width="39.140625" style="958" customWidth="1"/>
    <col min="14087" max="14087" width="8.85546875" style="958"/>
    <col min="14088" max="14088" width="9" style="958" bestFit="1" customWidth="1"/>
    <col min="14089" max="14325" width="8.85546875" style="958"/>
    <col min="14326" max="14326" width="3.42578125" style="958" customWidth="1"/>
    <col min="14327" max="14327" width="19.42578125" style="958" customWidth="1"/>
    <col min="14328" max="14328" width="14.42578125" style="958" customWidth="1"/>
    <col min="14329" max="14329" width="9.42578125" style="958" customWidth="1"/>
    <col min="14330" max="14330" width="12.140625" style="958" customWidth="1"/>
    <col min="14331" max="14331" width="9.42578125" style="958" customWidth="1"/>
    <col min="14332" max="14332" width="5.28515625" style="958" customWidth="1"/>
    <col min="14333" max="14333" width="8.85546875" style="958" customWidth="1"/>
    <col min="14334" max="14334" width="9.42578125" style="958" customWidth="1"/>
    <col min="14335" max="14335" width="8.85546875" style="958" customWidth="1"/>
    <col min="14336" max="14336" width="9" style="958" customWidth="1"/>
    <col min="14337" max="14337" width="9.140625" style="958" customWidth="1"/>
    <col min="14338" max="14338" width="7.85546875" style="958" customWidth="1"/>
    <col min="14339" max="14339" width="10.28515625" style="958" customWidth="1"/>
    <col min="14340" max="14340" width="9.42578125" style="958" customWidth="1"/>
    <col min="14341" max="14341" width="8.85546875" style="958" customWidth="1"/>
    <col min="14342" max="14342" width="39.140625" style="958" customWidth="1"/>
    <col min="14343" max="14343" width="8.85546875" style="958"/>
    <col min="14344" max="14344" width="9" style="958" bestFit="1" customWidth="1"/>
    <col min="14345" max="14581" width="8.85546875" style="958"/>
    <col min="14582" max="14582" width="3.42578125" style="958" customWidth="1"/>
    <col min="14583" max="14583" width="19.42578125" style="958" customWidth="1"/>
    <col min="14584" max="14584" width="14.42578125" style="958" customWidth="1"/>
    <col min="14585" max="14585" width="9.42578125" style="958" customWidth="1"/>
    <col min="14586" max="14586" width="12.140625" style="958" customWidth="1"/>
    <col min="14587" max="14587" width="9.42578125" style="958" customWidth="1"/>
    <col min="14588" max="14588" width="5.28515625" style="958" customWidth="1"/>
    <col min="14589" max="14589" width="8.85546875" style="958" customWidth="1"/>
    <col min="14590" max="14590" width="9.42578125" style="958" customWidth="1"/>
    <col min="14591" max="14591" width="8.85546875" style="958" customWidth="1"/>
    <col min="14592" max="14592" width="9" style="958" customWidth="1"/>
    <col min="14593" max="14593" width="9.140625" style="958" customWidth="1"/>
    <col min="14594" max="14594" width="7.85546875" style="958" customWidth="1"/>
    <col min="14595" max="14595" width="10.28515625" style="958" customWidth="1"/>
    <col min="14596" max="14596" width="9.42578125" style="958" customWidth="1"/>
    <col min="14597" max="14597" width="8.85546875" style="958" customWidth="1"/>
    <col min="14598" max="14598" width="39.140625" style="958" customWidth="1"/>
    <col min="14599" max="14599" width="8.85546875" style="958"/>
    <col min="14600" max="14600" width="9" style="958" bestFit="1" customWidth="1"/>
    <col min="14601" max="14837" width="8.85546875" style="958"/>
    <col min="14838" max="14838" width="3.42578125" style="958" customWidth="1"/>
    <col min="14839" max="14839" width="19.42578125" style="958" customWidth="1"/>
    <col min="14840" max="14840" width="14.42578125" style="958" customWidth="1"/>
    <col min="14841" max="14841" width="9.42578125" style="958" customWidth="1"/>
    <col min="14842" max="14842" width="12.140625" style="958" customWidth="1"/>
    <col min="14843" max="14843" width="9.42578125" style="958" customWidth="1"/>
    <col min="14844" max="14844" width="5.28515625" style="958" customWidth="1"/>
    <col min="14845" max="14845" width="8.85546875" style="958" customWidth="1"/>
    <col min="14846" max="14846" width="9.42578125" style="958" customWidth="1"/>
    <col min="14847" max="14847" width="8.85546875" style="958" customWidth="1"/>
    <col min="14848" max="14848" width="9" style="958" customWidth="1"/>
    <col min="14849" max="14849" width="9.140625" style="958" customWidth="1"/>
    <col min="14850" max="14850" width="7.85546875" style="958" customWidth="1"/>
    <col min="14851" max="14851" width="10.28515625" style="958" customWidth="1"/>
    <col min="14852" max="14852" width="9.42578125" style="958" customWidth="1"/>
    <col min="14853" max="14853" width="8.85546875" style="958" customWidth="1"/>
    <col min="14854" max="14854" width="39.140625" style="958" customWidth="1"/>
    <col min="14855" max="14855" width="8.85546875" style="958"/>
    <col min="14856" max="14856" width="9" style="958" bestFit="1" customWidth="1"/>
    <col min="14857" max="15093" width="8.85546875" style="958"/>
    <col min="15094" max="15094" width="3.42578125" style="958" customWidth="1"/>
    <col min="15095" max="15095" width="19.42578125" style="958" customWidth="1"/>
    <col min="15096" max="15096" width="14.42578125" style="958" customWidth="1"/>
    <col min="15097" max="15097" width="9.42578125" style="958" customWidth="1"/>
    <col min="15098" max="15098" width="12.140625" style="958" customWidth="1"/>
    <col min="15099" max="15099" width="9.42578125" style="958" customWidth="1"/>
    <col min="15100" max="15100" width="5.28515625" style="958" customWidth="1"/>
    <col min="15101" max="15101" width="8.85546875" style="958" customWidth="1"/>
    <col min="15102" max="15102" width="9.42578125" style="958" customWidth="1"/>
    <col min="15103" max="15103" width="8.85546875" style="958" customWidth="1"/>
    <col min="15104" max="15104" width="9" style="958" customWidth="1"/>
    <col min="15105" max="15105" width="9.140625" style="958" customWidth="1"/>
    <col min="15106" max="15106" width="7.85546875" style="958" customWidth="1"/>
    <col min="15107" max="15107" width="10.28515625" style="958" customWidth="1"/>
    <col min="15108" max="15108" width="9.42578125" style="958" customWidth="1"/>
    <col min="15109" max="15109" width="8.85546875" style="958" customWidth="1"/>
    <col min="15110" max="15110" width="39.140625" style="958" customWidth="1"/>
    <col min="15111" max="15111" width="8.85546875" style="958"/>
    <col min="15112" max="15112" width="9" style="958" bestFit="1" customWidth="1"/>
    <col min="15113" max="15349" width="8.85546875" style="958"/>
    <col min="15350" max="15350" width="3.42578125" style="958" customWidth="1"/>
    <col min="15351" max="15351" width="19.42578125" style="958" customWidth="1"/>
    <col min="15352" max="15352" width="14.42578125" style="958" customWidth="1"/>
    <col min="15353" max="15353" width="9.42578125" style="958" customWidth="1"/>
    <col min="15354" max="15354" width="12.140625" style="958" customWidth="1"/>
    <col min="15355" max="15355" width="9.42578125" style="958" customWidth="1"/>
    <col min="15356" max="15356" width="5.28515625" style="958" customWidth="1"/>
    <col min="15357" max="15357" width="8.85546875" style="958" customWidth="1"/>
    <col min="15358" max="15358" width="9.42578125" style="958" customWidth="1"/>
    <col min="15359" max="15359" width="8.85546875" style="958" customWidth="1"/>
    <col min="15360" max="15360" width="9" style="958" customWidth="1"/>
    <col min="15361" max="15361" width="9.140625" style="958" customWidth="1"/>
    <col min="15362" max="15362" width="7.85546875" style="958" customWidth="1"/>
    <col min="15363" max="15363" width="10.28515625" style="958" customWidth="1"/>
    <col min="15364" max="15364" width="9.42578125" style="958" customWidth="1"/>
    <col min="15365" max="15365" width="8.85546875" style="958" customWidth="1"/>
    <col min="15366" max="15366" width="39.140625" style="958" customWidth="1"/>
    <col min="15367" max="15367" width="8.85546875" style="958"/>
    <col min="15368" max="15368" width="9" style="958" bestFit="1" customWidth="1"/>
    <col min="15369" max="15605" width="8.85546875" style="958"/>
    <col min="15606" max="15606" width="3.42578125" style="958" customWidth="1"/>
    <col min="15607" max="15607" width="19.42578125" style="958" customWidth="1"/>
    <col min="15608" max="15608" width="14.42578125" style="958" customWidth="1"/>
    <col min="15609" max="15609" width="9.42578125" style="958" customWidth="1"/>
    <col min="15610" max="15610" width="12.140625" style="958" customWidth="1"/>
    <col min="15611" max="15611" width="9.42578125" style="958" customWidth="1"/>
    <col min="15612" max="15612" width="5.28515625" style="958" customWidth="1"/>
    <col min="15613" max="15613" width="8.85546875" style="958" customWidth="1"/>
    <col min="15614" max="15614" width="9.42578125" style="958" customWidth="1"/>
    <col min="15615" max="15615" width="8.85546875" style="958" customWidth="1"/>
    <col min="15616" max="15616" width="9" style="958" customWidth="1"/>
    <col min="15617" max="15617" width="9.140625" style="958" customWidth="1"/>
    <col min="15618" max="15618" width="7.85546875" style="958" customWidth="1"/>
    <col min="15619" max="15619" width="10.28515625" style="958" customWidth="1"/>
    <col min="15620" max="15620" width="9.42578125" style="958" customWidth="1"/>
    <col min="15621" max="15621" width="8.85546875" style="958" customWidth="1"/>
    <col min="15622" max="15622" width="39.140625" style="958" customWidth="1"/>
    <col min="15623" max="15623" width="8.85546875" style="958"/>
    <col min="15624" max="15624" width="9" style="958" bestFit="1" customWidth="1"/>
    <col min="15625" max="15861" width="8.85546875" style="958"/>
    <col min="15862" max="15862" width="3.42578125" style="958" customWidth="1"/>
    <col min="15863" max="15863" width="19.42578125" style="958" customWidth="1"/>
    <col min="15864" max="15864" width="14.42578125" style="958" customWidth="1"/>
    <col min="15865" max="15865" width="9.42578125" style="958" customWidth="1"/>
    <col min="15866" max="15866" width="12.140625" style="958" customWidth="1"/>
    <col min="15867" max="15867" width="9.42578125" style="958" customWidth="1"/>
    <col min="15868" max="15868" width="5.28515625" style="958" customWidth="1"/>
    <col min="15869" max="15869" width="8.85546875" style="958" customWidth="1"/>
    <col min="15870" max="15870" width="9.42578125" style="958" customWidth="1"/>
    <col min="15871" max="15871" width="8.85546875" style="958" customWidth="1"/>
    <col min="15872" max="15872" width="9" style="958" customWidth="1"/>
    <col min="15873" max="15873" width="9.140625" style="958" customWidth="1"/>
    <col min="15874" max="15874" width="7.85546875" style="958" customWidth="1"/>
    <col min="15875" max="15875" width="10.28515625" style="958" customWidth="1"/>
    <col min="15876" max="15876" width="9.42578125" style="958" customWidth="1"/>
    <col min="15877" max="15877" width="8.85546875" style="958" customWidth="1"/>
    <col min="15878" max="15878" width="39.140625" style="958" customWidth="1"/>
    <col min="15879" max="15879" width="8.85546875" style="958"/>
    <col min="15880" max="15880" width="9" style="958" bestFit="1" customWidth="1"/>
    <col min="15881" max="16117" width="8.85546875" style="958"/>
    <col min="16118" max="16118" width="3.42578125" style="958" customWidth="1"/>
    <col min="16119" max="16119" width="19.42578125" style="958" customWidth="1"/>
    <col min="16120" max="16120" width="14.42578125" style="958" customWidth="1"/>
    <col min="16121" max="16121" width="9.42578125" style="958" customWidth="1"/>
    <col min="16122" max="16122" width="12.140625" style="958" customWidth="1"/>
    <col min="16123" max="16123" width="9.42578125" style="958" customWidth="1"/>
    <col min="16124" max="16124" width="5.28515625" style="958" customWidth="1"/>
    <col min="16125" max="16125" width="8.85546875" style="958" customWidth="1"/>
    <col min="16126" max="16126" width="9.42578125" style="958" customWidth="1"/>
    <col min="16127" max="16127" width="8.85546875" style="958" customWidth="1"/>
    <col min="16128" max="16128" width="9" style="958" customWidth="1"/>
    <col min="16129" max="16129" width="9.140625" style="958" customWidth="1"/>
    <col min="16130" max="16130" width="7.85546875" style="958" customWidth="1"/>
    <col min="16131" max="16131" width="10.28515625" style="958" customWidth="1"/>
    <col min="16132" max="16132" width="9.42578125" style="958" customWidth="1"/>
    <col min="16133" max="16133" width="8.85546875" style="958" customWidth="1"/>
    <col min="16134" max="16134" width="39.140625" style="958" customWidth="1"/>
    <col min="16135" max="16135" width="8.85546875" style="958"/>
    <col min="16136" max="16136" width="9" style="958" bestFit="1" customWidth="1"/>
    <col min="16137" max="16384" width="8.85546875" style="958"/>
  </cols>
  <sheetData>
    <row r="1" spans="1:37">
      <c r="A1" s="948"/>
      <c r="B1" s="948"/>
      <c r="C1" s="949"/>
      <c r="D1" s="949"/>
      <c r="E1" s="949"/>
      <c r="F1" s="950"/>
      <c r="G1" s="948"/>
      <c r="H1" s="951"/>
      <c r="I1" s="951"/>
      <c r="J1" s="952"/>
      <c r="K1" s="953"/>
      <c r="L1" s="953"/>
      <c r="M1" s="953"/>
      <c r="N1" s="954"/>
      <c r="O1" s="955"/>
      <c r="P1" s="956"/>
      <c r="Q1" s="957" t="s">
        <v>3404</v>
      </c>
    </row>
    <row r="2" spans="1:37">
      <c r="A2" s="2302" t="s">
        <v>3405</v>
      </c>
      <c r="B2" s="2302"/>
      <c r="C2" s="2302"/>
      <c r="D2" s="2302"/>
      <c r="E2" s="2302"/>
      <c r="F2" s="2302"/>
      <c r="G2" s="2302"/>
      <c r="H2" s="2302"/>
      <c r="I2" s="2302"/>
      <c r="J2" s="2302"/>
      <c r="K2" s="2302"/>
      <c r="L2" s="2302"/>
      <c r="M2" s="2302"/>
      <c r="N2" s="2302"/>
      <c r="O2" s="2302"/>
      <c r="P2" s="2302"/>
      <c r="Q2" s="2302"/>
    </row>
    <row r="3" spans="1:37" ht="7.5" customHeight="1">
      <c r="A3" s="959"/>
      <c r="B3" s="959"/>
      <c r="C3" s="960"/>
      <c r="D3" s="960"/>
      <c r="E3" s="960"/>
      <c r="F3" s="961"/>
      <c r="G3" s="959"/>
      <c r="H3" s="962"/>
      <c r="I3" s="962"/>
      <c r="J3" s="963"/>
      <c r="K3" s="962"/>
      <c r="L3" s="962"/>
      <c r="M3" s="962"/>
      <c r="N3" s="964"/>
      <c r="O3" s="965"/>
      <c r="P3" s="966"/>
      <c r="Q3" s="962"/>
    </row>
    <row r="4" spans="1:37" ht="25.5" customHeight="1">
      <c r="A4" s="2303" t="s">
        <v>439</v>
      </c>
      <c r="B4" s="2303" t="s">
        <v>3406</v>
      </c>
      <c r="C4" s="2305" t="s">
        <v>3407</v>
      </c>
      <c r="D4" s="2305" t="s">
        <v>3408</v>
      </c>
      <c r="E4" s="2305" t="s">
        <v>3409</v>
      </c>
      <c r="F4" s="2307" t="s">
        <v>3410</v>
      </c>
      <c r="G4" s="2305" t="s">
        <v>3411</v>
      </c>
      <c r="H4" s="2309" t="s">
        <v>3412</v>
      </c>
      <c r="I4" s="2310"/>
      <c r="J4" s="2307" t="s">
        <v>3413</v>
      </c>
      <c r="K4" s="2309" t="s">
        <v>3414</v>
      </c>
      <c r="L4" s="2311"/>
      <c r="M4" s="2311"/>
      <c r="N4" s="2310"/>
      <c r="O4" s="2312" t="s">
        <v>3415</v>
      </c>
      <c r="P4" s="2314" t="s">
        <v>3416</v>
      </c>
      <c r="Q4" s="2305" t="s">
        <v>3417</v>
      </c>
    </row>
    <row r="5" spans="1:37" ht="101.25">
      <c r="A5" s="2304"/>
      <c r="B5" s="2304"/>
      <c r="C5" s="2306"/>
      <c r="D5" s="2306"/>
      <c r="E5" s="2306"/>
      <c r="F5" s="2308"/>
      <c r="G5" s="2306"/>
      <c r="H5" s="967" t="s">
        <v>3418</v>
      </c>
      <c r="I5" s="968" t="s">
        <v>3419</v>
      </c>
      <c r="J5" s="2308"/>
      <c r="K5" s="969" t="s">
        <v>440</v>
      </c>
      <c r="L5" s="968" t="s">
        <v>3420</v>
      </c>
      <c r="M5" s="968" t="s">
        <v>3421</v>
      </c>
      <c r="N5" s="970" t="s">
        <v>3422</v>
      </c>
      <c r="O5" s="2313"/>
      <c r="P5" s="2315"/>
      <c r="Q5" s="2306"/>
    </row>
    <row r="6" spans="1:37" ht="15.75" customHeight="1">
      <c r="A6" s="2316"/>
      <c r="B6" s="2317" t="s">
        <v>3423</v>
      </c>
      <c r="C6" s="2317"/>
      <c r="D6" s="2317"/>
      <c r="E6" s="2317"/>
      <c r="F6" s="2317"/>
      <c r="G6" s="971" t="s">
        <v>8</v>
      </c>
      <c r="H6" s="972">
        <f>H7+H8+H9+H10</f>
        <v>4802.3129999999992</v>
      </c>
      <c r="I6" s="972">
        <f>I7+I8+I9+I10</f>
        <v>4802.3129999999992</v>
      </c>
      <c r="J6" s="972">
        <f>J7+J8+J9+J10</f>
        <v>441467.45872</v>
      </c>
      <c r="K6" s="972">
        <f t="shared" ref="K6:M6" si="0">K7+K8+K9+K10</f>
        <v>76492.158720000007</v>
      </c>
      <c r="L6" s="972">
        <f t="shared" si="0"/>
        <v>67761.5</v>
      </c>
      <c r="M6" s="972">
        <f t="shared" si="0"/>
        <v>8730.6587199999994</v>
      </c>
      <c r="N6" s="973">
        <f>SUMIF($G$12:$G$40,#REF!,N12:N40)</f>
        <v>0</v>
      </c>
      <c r="O6" s="2318"/>
      <c r="P6" s="2319"/>
      <c r="Q6" s="2322"/>
    </row>
    <row r="7" spans="1:37">
      <c r="A7" s="2316"/>
      <c r="B7" s="2317"/>
      <c r="C7" s="2317"/>
      <c r="D7" s="2317"/>
      <c r="E7" s="2317"/>
      <c r="F7" s="2317"/>
      <c r="G7" s="974" t="s">
        <v>304</v>
      </c>
      <c r="H7" s="972">
        <f t="shared" ref="H7:M9" si="1">H13+H17+H22+H27+H32+H37</f>
        <v>4754.2898699999996</v>
      </c>
      <c r="I7" s="972">
        <f t="shared" si="1"/>
        <v>4754.2898699999996</v>
      </c>
      <c r="J7" s="972">
        <f t="shared" si="1"/>
        <v>16331.010129999999</v>
      </c>
      <c r="K7" s="972">
        <f t="shared" si="1"/>
        <v>12233.41013</v>
      </c>
      <c r="L7" s="972">
        <f t="shared" si="1"/>
        <v>3862.7</v>
      </c>
      <c r="M7" s="972">
        <f t="shared" si="1"/>
        <v>8370.7101299999995</v>
      </c>
      <c r="N7" s="973">
        <f>SUMIF($G$12:$G$40,#REF!,N12:N40)</f>
        <v>0</v>
      </c>
      <c r="O7" s="2318"/>
      <c r="P7" s="2320"/>
      <c r="Q7" s="2317"/>
    </row>
    <row r="8" spans="1:37">
      <c r="A8" s="2316"/>
      <c r="B8" s="2317"/>
      <c r="C8" s="2317"/>
      <c r="D8" s="2317"/>
      <c r="E8" s="2317"/>
      <c r="F8" s="2317"/>
      <c r="G8" s="974" t="s">
        <v>10</v>
      </c>
      <c r="H8" s="972">
        <f t="shared" si="1"/>
        <v>0</v>
      </c>
      <c r="I8" s="972">
        <f t="shared" si="1"/>
        <v>0</v>
      </c>
      <c r="J8" s="972">
        <f t="shared" si="1"/>
        <v>424710.7</v>
      </c>
      <c r="K8" s="972">
        <f t="shared" si="1"/>
        <v>63695.5</v>
      </c>
      <c r="L8" s="972">
        <f t="shared" si="1"/>
        <v>63695.5</v>
      </c>
      <c r="M8" s="972">
        <f t="shared" si="1"/>
        <v>0</v>
      </c>
      <c r="N8" s="973">
        <f>SUMIF($G$12:$G$40,#REF!,N12:N40)</f>
        <v>0</v>
      </c>
      <c r="O8" s="2318"/>
      <c r="P8" s="2320"/>
      <c r="Q8" s="2317"/>
    </row>
    <row r="9" spans="1:37">
      <c r="A9" s="2316"/>
      <c r="B9" s="2317"/>
      <c r="C9" s="2317"/>
      <c r="D9" s="2317"/>
      <c r="E9" s="2317"/>
      <c r="F9" s="2317"/>
      <c r="G9" s="974" t="s">
        <v>11</v>
      </c>
      <c r="H9" s="972">
        <f t="shared" si="1"/>
        <v>48.023130000000002</v>
      </c>
      <c r="I9" s="972">
        <f t="shared" si="1"/>
        <v>48.023130000000002</v>
      </c>
      <c r="J9" s="972">
        <f t="shared" si="1"/>
        <v>425.74859000000004</v>
      </c>
      <c r="K9" s="972">
        <f t="shared" si="1"/>
        <v>563.24859000000004</v>
      </c>
      <c r="L9" s="972">
        <f t="shared" si="1"/>
        <v>203.3</v>
      </c>
      <c r="M9" s="972">
        <f t="shared" si="1"/>
        <v>359.94859000000002</v>
      </c>
      <c r="N9" s="973">
        <f>SUMIF($G$12:$G$40,M12,N12:N40)</f>
        <v>0</v>
      </c>
      <c r="O9" s="2318"/>
      <c r="P9" s="2320"/>
      <c r="Q9" s="2317"/>
    </row>
    <row r="10" spans="1:37">
      <c r="A10" s="2316"/>
      <c r="B10" s="2317"/>
      <c r="C10" s="2317"/>
      <c r="D10" s="2317"/>
      <c r="E10" s="2317"/>
      <c r="F10" s="2317"/>
      <c r="G10" s="974" t="s">
        <v>12</v>
      </c>
      <c r="H10" s="972">
        <f>H25+H30+H35+H40</f>
        <v>0</v>
      </c>
      <c r="I10" s="972">
        <f>I25+I30+I35+I40</f>
        <v>0</v>
      </c>
      <c r="J10" s="972">
        <f>J25+J30+J35+J40</f>
        <v>0</v>
      </c>
      <c r="K10" s="972">
        <f t="shared" ref="K10:M10" si="2">K25+K30+K35+K40</f>
        <v>0</v>
      </c>
      <c r="L10" s="972">
        <f t="shared" si="2"/>
        <v>0</v>
      </c>
      <c r="M10" s="972">
        <f t="shared" si="2"/>
        <v>0</v>
      </c>
      <c r="N10" s="973">
        <f>SUMIF($G$12:$G$40,M13,N12:N40)</f>
        <v>0</v>
      </c>
      <c r="O10" s="2318"/>
      <c r="P10" s="2321"/>
      <c r="Q10" s="2317"/>
    </row>
    <row r="11" spans="1:37" ht="14.25" customHeight="1" outlineLevel="1">
      <c r="A11" s="975"/>
      <c r="B11" s="976" t="s">
        <v>3424</v>
      </c>
      <c r="C11" s="974"/>
      <c r="D11" s="974"/>
      <c r="E11" s="974"/>
      <c r="F11" s="977"/>
      <c r="G11" s="975"/>
      <c r="H11" s="978"/>
      <c r="I11" s="978"/>
      <c r="J11" s="972"/>
      <c r="K11" s="978"/>
      <c r="L11" s="978"/>
      <c r="M11" s="978"/>
      <c r="N11" s="979"/>
      <c r="O11" s="980"/>
      <c r="P11" s="981"/>
      <c r="Q11" s="975"/>
    </row>
    <row r="12" spans="1:37" ht="42.75" customHeight="1" outlineLevel="1">
      <c r="A12" s="2341">
        <v>1</v>
      </c>
      <c r="B12" s="2344" t="s">
        <v>2823</v>
      </c>
      <c r="C12" s="2347" t="s">
        <v>3425</v>
      </c>
      <c r="D12" s="2347" t="s">
        <v>3426</v>
      </c>
      <c r="E12" s="2347" t="s">
        <v>3427</v>
      </c>
      <c r="F12" s="2350">
        <v>457896.9</v>
      </c>
      <c r="G12" s="1166" t="s">
        <v>8</v>
      </c>
      <c r="H12" s="1167">
        <f>SUM(H13:H15)</f>
        <v>0</v>
      </c>
      <c r="I12" s="1167">
        <f t="shared" ref="I12:K12" si="3">SUM(I13:I15)</f>
        <v>0</v>
      </c>
      <c r="J12" s="1167">
        <f t="shared" si="3"/>
        <v>187186.6</v>
      </c>
      <c r="K12" s="1167">
        <f t="shared" si="3"/>
        <v>0</v>
      </c>
      <c r="L12" s="1167">
        <f>SUM(L13:L15)</f>
        <v>0</v>
      </c>
      <c r="M12" s="1167">
        <v>0</v>
      </c>
      <c r="N12" s="2323">
        <f>L12/J12</f>
        <v>0</v>
      </c>
      <c r="O12" s="2323">
        <v>0</v>
      </c>
      <c r="P12" s="2326">
        <v>457896.9</v>
      </c>
      <c r="Q12" s="2870" t="s">
        <v>3506</v>
      </c>
    </row>
    <row r="13" spans="1:37" ht="42.75" customHeight="1" outlineLevel="1">
      <c r="A13" s="2342"/>
      <c r="B13" s="2345"/>
      <c r="C13" s="2348"/>
      <c r="D13" s="2348"/>
      <c r="E13" s="2348"/>
      <c r="F13" s="2351"/>
      <c r="G13" s="1168" t="s">
        <v>9</v>
      </c>
      <c r="H13" s="1169">
        <v>0</v>
      </c>
      <c r="I13" s="1167">
        <f>SUM(I15:I15)</f>
        <v>0</v>
      </c>
      <c r="J13" s="1169">
        <v>6710</v>
      </c>
      <c r="K13" s="1167">
        <v>0</v>
      </c>
      <c r="L13" s="1167">
        <v>0</v>
      </c>
      <c r="M13" s="1169">
        <v>0</v>
      </c>
      <c r="N13" s="2324"/>
      <c r="O13" s="2324"/>
      <c r="P13" s="2327"/>
      <c r="Q13" s="2871"/>
    </row>
    <row r="14" spans="1:37" ht="42.75" customHeight="1" outlineLevel="1">
      <c r="A14" s="2342"/>
      <c r="B14" s="2345"/>
      <c r="C14" s="2348"/>
      <c r="D14" s="2348"/>
      <c r="E14" s="2348"/>
      <c r="F14" s="2351"/>
      <c r="G14" s="1168" t="s">
        <v>10</v>
      </c>
      <c r="H14" s="1169">
        <v>0</v>
      </c>
      <c r="I14" s="1167">
        <v>0</v>
      </c>
      <c r="J14" s="1169">
        <v>180476.6</v>
      </c>
      <c r="K14" s="1167">
        <v>0</v>
      </c>
      <c r="L14" s="1167">
        <v>0</v>
      </c>
      <c r="M14" s="1169">
        <v>0</v>
      </c>
      <c r="N14" s="2324"/>
      <c r="O14" s="2324"/>
      <c r="P14" s="2327"/>
      <c r="Q14" s="2871"/>
    </row>
    <row r="15" spans="1:37" ht="42.75" customHeight="1" outlineLevel="1">
      <c r="A15" s="2343"/>
      <c r="B15" s="2346"/>
      <c r="C15" s="2349"/>
      <c r="D15" s="2349"/>
      <c r="E15" s="2349"/>
      <c r="F15" s="2352"/>
      <c r="G15" s="1168" t="s">
        <v>11</v>
      </c>
      <c r="H15" s="1170">
        <v>0</v>
      </c>
      <c r="I15" s="1167">
        <v>0</v>
      </c>
      <c r="J15" s="1170">
        <v>0</v>
      </c>
      <c r="K15" s="1171">
        <v>0</v>
      </c>
      <c r="L15" s="1171">
        <v>0</v>
      </c>
      <c r="M15" s="1170">
        <v>0</v>
      </c>
      <c r="N15" s="2325"/>
      <c r="O15" s="2325"/>
      <c r="P15" s="2328"/>
      <c r="Q15" s="2872"/>
    </row>
    <row r="16" spans="1:37" s="988" customFormat="1" ht="15.75" customHeight="1">
      <c r="A16" s="2332">
        <v>2</v>
      </c>
      <c r="B16" s="2335" t="s">
        <v>3010</v>
      </c>
      <c r="C16" s="2336" t="s">
        <v>3428</v>
      </c>
      <c r="D16" s="2337" t="s">
        <v>3429</v>
      </c>
      <c r="E16" s="2336" t="s">
        <v>3430</v>
      </c>
      <c r="F16" s="2340">
        <v>1237405.6000000001</v>
      </c>
      <c r="G16" s="982" t="s">
        <v>8</v>
      </c>
      <c r="H16" s="986">
        <f>SUM(H17:H20)</f>
        <v>0</v>
      </c>
      <c r="I16" s="983">
        <f t="shared" ref="I16:I40" si="4">SUM(I17:I18)</f>
        <v>0</v>
      </c>
      <c r="J16" s="1164">
        <f t="shared" ref="J16:M19" si="5">SUM(J17:J20)</f>
        <v>65440</v>
      </c>
      <c r="K16" s="986">
        <f t="shared" si="5"/>
        <v>0</v>
      </c>
      <c r="L16" s="986">
        <f t="shared" si="5"/>
        <v>0</v>
      </c>
      <c r="M16" s="986">
        <f t="shared" si="5"/>
        <v>0</v>
      </c>
      <c r="N16" s="2360">
        <f>L16/J16</f>
        <v>0</v>
      </c>
      <c r="O16" s="2360">
        <v>0</v>
      </c>
      <c r="P16" s="2363">
        <f>F16-H16-K16</f>
        <v>1237405.6000000001</v>
      </c>
      <c r="Q16" s="2356" t="s">
        <v>3395</v>
      </c>
      <c r="R16" s="987"/>
      <c r="S16" s="987"/>
      <c r="T16" s="987"/>
      <c r="U16" s="987"/>
      <c r="V16" s="987"/>
      <c r="W16" s="987"/>
      <c r="X16" s="987"/>
      <c r="Y16" s="987"/>
      <c r="Z16" s="987"/>
      <c r="AA16" s="987"/>
      <c r="AB16" s="987"/>
      <c r="AC16" s="987"/>
      <c r="AD16" s="987"/>
      <c r="AE16" s="987"/>
      <c r="AF16" s="987"/>
      <c r="AG16" s="987"/>
      <c r="AH16" s="987"/>
      <c r="AI16" s="987"/>
      <c r="AJ16" s="987"/>
      <c r="AK16" s="987"/>
    </row>
    <row r="17" spans="1:37" s="988" customFormat="1" ht="15.75" customHeight="1">
      <c r="A17" s="2333"/>
      <c r="B17" s="2335"/>
      <c r="C17" s="2336"/>
      <c r="D17" s="2338"/>
      <c r="E17" s="2336"/>
      <c r="F17" s="2340"/>
      <c r="G17" s="984" t="s">
        <v>9</v>
      </c>
      <c r="H17" s="986">
        <v>0</v>
      </c>
      <c r="I17" s="983">
        <f t="shared" si="4"/>
        <v>0</v>
      </c>
      <c r="J17" s="1164">
        <v>0</v>
      </c>
      <c r="K17" s="986">
        <v>0</v>
      </c>
      <c r="L17" s="986">
        <v>0</v>
      </c>
      <c r="M17" s="986">
        <f t="shared" si="5"/>
        <v>0</v>
      </c>
      <c r="N17" s="2361"/>
      <c r="O17" s="2361"/>
      <c r="P17" s="2364"/>
      <c r="Q17" s="2357"/>
      <c r="R17" s="987"/>
      <c r="S17" s="987"/>
      <c r="T17" s="987"/>
      <c r="U17" s="987"/>
      <c r="V17" s="987"/>
      <c r="W17" s="987"/>
      <c r="X17" s="987"/>
      <c r="Y17" s="987"/>
      <c r="Z17" s="987"/>
      <c r="AA17" s="987"/>
      <c r="AB17" s="987"/>
      <c r="AC17" s="987"/>
      <c r="AD17" s="987"/>
      <c r="AE17" s="987"/>
      <c r="AF17" s="987"/>
      <c r="AG17" s="987"/>
      <c r="AH17" s="987"/>
      <c r="AI17" s="987"/>
      <c r="AJ17" s="987"/>
      <c r="AK17" s="987"/>
    </row>
    <row r="18" spans="1:37" s="988" customFormat="1" ht="15.75" customHeight="1">
      <c r="A18" s="2333"/>
      <c r="B18" s="2335"/>
      <c r="C18" s="2336"/>
      <c r="D18" s="2338"/>
      <c r="E18" s="2336"/>
      <c r="F18" s="2340"/>
      <c r="G18" s="984" t="s">
        <v>10</v>
      </c>
      <c r="H18" s="986">
        <v>0</v>
      </c>
      <c r="I18" s="983">
        <f t="shared" si="4"/>
        <v>0</v>
      </c>
      <c r="J18" s="1164">
        <v>65440</v>
      </c>
      <c r="K18" s="986">
        <v>0</v>
      </c>
      <c r="L18" s="986">
        <v>0</v>
      </c>
      <c r="M18" s="986">
        <f t="shared" si="5"/>
        <v>0</v>
      </c>
      <c r="N18" s="2361"/>
      <c r="O18" s="2361"/>
      <c r="P18" s="2364"/>
      <c r="Q18" s="2357"/>
      <c r="R18" s="987"/>
      <c r="S18" s="987"/>
      <c r="T18" s="987"/>
      <c r="U18" s="987"/>
      <c r="V18" s="987"/>
      <c r="W18" s="987"/>
      <c r="X18" s="987"/>
      <c r="Y18" s="987"/>
      <c r="Z18" s="987"/>
      <c r="AA18" s="987"/>
      <c r="AB18" s="987"/>
      <c r="AC18" s="987"/>
      <c r="AD18" s="987"/>
      <c r="AE18" s="987"/>
      <c r="AF18" s="987"/>
      <c r="AG18" s="987"/>
      <c r="AH18" s="987"/>
      <c r="AI18" s="987"/>
      <c r="AJ18" s="987"/>
      <c r="AK18" s="987"/>
    </row>
    <row r="19" spans="1:37" s="988" customFormat="1" ht="15.75" customHeight="1">
      <c r="A19" s="2333"/>
      <c r="B19" s="2335"/>
      <c r="C19" s="2336"/>
      <c r="D19" s="2338"/>
      <c r="E19" s="2336"/>
      <c r="F19" s="2340"/>
      <c r="G19" s="984" t="s">
        <v>11</v>
      </c>
      <c r="H19" s="986">
        <v>0</v>
      </c>
      <c r="I19" s="985">
        <f t="shared" si="4"/>
        <v>0</v>
      </c>
      <c r="J19" s="1164">
        <v>0</v>
      </c>
      <c r="K19" s="986">
        <v>0</v>
      </c>
      <c r="L19" s="986">
        <v>0</v>
      </c>
      <c r="M19" s="986">
        <f t="shared" si="5"/>
        <v>0</v>
      </c>
      <c r="N19" s="2361"/>
      <c r="O19" s="2361"/>
      <c r="P19" s="2364"/>
      <c r="Q19" s="2357"/>
      <c r="R19" s="987"/>
      <c r="S19" s="987"/>
      <c r="T19" s="987"/>
      <c r="U19" s="987"/>
      <c r="V19" s="987"/>
      <c r="W19" s="987"/>
      <c r="X19" s="987"/>
      <c r="Y19" s="987"/>
      <c r="Z19" s="987"/>
      <c r="AA19" s="987"/>
      <c r="AB19" s="987"/>
      <c r="AC19" s="987"/>
      <c r="AD19" s="987"/>
      <c r="AE19" s="987"/>
      <c r="AF19" s="987"/>
      <c r="AG19" s="987"/>
      <c r="AH19" s="987"/>
      <c r="AI19" s="987"/>
      <c r="AJ19" s="987"/>
      <c r="AK19" s="987"/>
    </row>
    <row r="20" spans="1:37" s="988" customFormat="1" ht="15.75" customHeight="1">
      <c r="A20" s="2334"/>
      <c r="B20" s="2335"/>
      <c r="C20" s="2336"/>
      <c r="D20" s="2339"/>
      <c r="E20" s="2336"/>
      <c r="F20" s="2340"/>
      <c r="G20" s="984" t="s">
        <v>12</v>
      </c>
      <c r="H20" s="986">
        <v>0</v>
      </c>
      <c r="I20" s="985">
        <f t="shared" si="4"/>
        <v>0</v>
      </c>
      <c r="J20" s="1164">
        <v>0</v>
      </c>
      <c r="K20" s="986">
        <v>0</v>
      </c>
      <c r="L20" s="986">
        <v>0</v>
      </c>
      <c r="M20" s="986">
        <v>0</v>
      </c>
      <c r="N20" s="2362"/>
      <c r="O20" s="2362"/>
      <c r="P20" s="2365"/>
      <c r="Q20" s="2358"/>
      <c r="R20" s="987"/>
      <c r="S20" s="987"/>
      <c r="T20" s="987"/>
      <c r="U20" s="987"/>
      <c r="V20" s="987"/>
      <c r="W20" s="987"/>
      <c r="X20" s="987"/>
      <c r="Y20" s="987"/>
      <c r="Z20" s="987"/>
      <c r="AA20" s="987"/>
      <c r="AB20" s="987"/>
      <c r="AC20" s="987"/>
      <c r="AD20" s="987"/>
      <c r="AE20" s="987"/>
      <c r="AF20" s="987"/>
      <c r="AG20" s="987"/>
      <c r="AH20" s="987"/>
      <c r="AI20" s="987"/>
      <c r="AJ20" s="987"/>
      <c r="AK20" s="987"/>
    </row>
    <row r="21" spans="1:37" s="988" customFormat="1" ht="21" customHeight="1">
      <c r="A21" s="2332">
        <v>3</v>
      </c>
      <c r="B21" s="2335" t="s">
        <v>3008</v>
      </c>
      <c r="C21" s="2336" t="s">
        <v>3431</v>
      </c>
      <c r="D21" s="2337" t="s">
        <v>3429</v>
      </c>
      <c r="E21" s="2336" t="s">
        <v>3430</v>
      </c>
      <c r="F21" s="2359">
        <v>971982.6</v>
      </c>
      <c r="G21" s="982" t="s">
        <v>8</v>
      </c>
      <c r="H21" s="986">
        <f>SUM(H22:H25)</f>
        <v>0</v>
      </c>
      <c r="I21" s="989">
        <f t="shared" si="4"/>
        <v>0</v>
      </c>
      <c r="J21" s="1164">
        <f t="shared" ref="J21:M21" si="6">SUM(J22:J25)</f>
        <v>51403.1</v>
      </c>
      <c r="K21" s="986">
        <f t="shared" si="6"/>
        <v>0</v>
      </c>
      <c r="L21" s="986">
        <f t="shared" si="6"/>
        <v>0</v>
      </c>
      <c r="M21" s="986">
        <f t="shared" si="6"/>
        <v>0</v>
      </c>
      <c r="N21" s="2360">
        <f>L21/J21</f>
        <v>0</v>
      </c>
      <c r="O21" s="2360">
        <v>0</v>
      </c>
      <c r="P21" s="2363">
        <v>971982.6</v>
      </c>
      <c r="Q21" s="2356" t="s">
        <v>3397</v>
      </c>
      <c r="R21" s="987"/>
      <c r="S21" s="987"/>
      <c r="T21" s="987"/>
      <c r="U21" s="987"/>
      <c r="V21" s="987"/>
      <c r="W21" s="987"/>
      <c r="X21" s="987"/>
      <c r="Y21" s="987"/>
      <c r="Z21" s="987"/>
      <c r="AA21" s="987"/>
      <c r="AB21" s="987"/>
      <c r="AC21" s="987"/>
      <c r="AD21" s="987"/>
      <c r="AE21" s="987"/>
      <c r="AF21" s="987"/>
      <c r="AG21" s="987"/>
      <c r="AH21" s="987"/>
      <c r="AI21" s="987"/>
      <c r="AJ21" s="987"/>
      <c r="AK21" s="987"/>
    </row>
    <row r="22" spans="1:37" s="988" customFormat="1" ht="24.75" customHeight="1">
      <c r="A22" s="2333"/>
      <c r="B22" s="2335"/>
      <c r="C22" s="2336"/>
      <c r="D22" s="2338"/>
      <c r="E22" s="2336"/>
      <c r="F22" s="2359"/>
      <c r="G22" s="984" t="s">
        <v>9</v>
      </c>
      <c r="H22" s="986">
        <v>0</v>
      </c>
      <c r="I22" s="990">
        <f t="shared" si="4"/>
        <v>0</v>
      </c>
      <c r="J22" s="1164">
        <v>0</v>
      </c>
      <c r="K22" s="986">
        <v>0</v>
      </c>
      <c r="L22" s="986">
        <v>0</v>
      </c>
      <c r="M22" s="986">
        <v>0</v>
      </c>
      <c r="N22" s="2361"/>
      <c r="O22" s="2361"/>
      <c r="P22" s="2364"/>
      <c r="Q22" s="2357"/>
      <c r="R22" s="987"/>
      <c r="S22" s="987"/>
      <c r="T22" s="987"/>
      <c r="U22" s="987"/>
      <c r="V22" s="987"/>
      <c r="W22" s="987"/>
      <c r="X22" s="987"/>
      <c r="Y22" s="987"/>
      <c r="Z22" s="987"/>
      <c r="AA22" s="987"/>
      <c r="AB22" s="987"/>
      <c r="AC22" s="987"/>
      <c r="AD22" s="987"/>
      <c r="AE22" s="987"/>
      <c r="AF22" s="987"/>
      <c r="AG22" s="987"/>
      <c r="AH22" s="987"/>
      <c r="AI22" s="987"/>
      <c r="AJ22" s="987"/>
      <c r="AK22" s="987"/>
    </row>
    <row r="23" spans="1:37" s="988" customFormat="1" ht="25.5" customHeight="1">
      <c r="A23" s="2333"/>
      <c r="B23" s="2335"/>
      <c r="C23" s="2336"/>
      <c r="D23" s="2338"/>
      <c r="E23" s="2336"/>
      <c r="F23" s="2359"/>
      <c r="G23" s="984" t="s">
        <v>10</v>
      </c>
      <c r="H23" s="986">
        <v>0</v>
      </c>
      <c r="I23" s="983">
        <f t="shared" si="4"/>
        <v>0</v>
      </c>
      <c r="J23" s="1164">
        <v>51403.1</v>
      </c>
      <c r="K23" s="986">
        <v>0</v>
      </c>
      <c r="L23" s="986">
        <v>0</v>
      </c>
      <c r="M23" s="986">
        <v>0</v>
      </c>
      <c r="N23" s="2361"/>
      <c r="O23" s="2361"/>
      <c r="P23" s="2364"/>
      <c r="Q23" s="2357"/>
      <c r="R23" s="987"/>
      <c r="S23" s="987"/>
      <c r="T23" s="987"/>
      <c r="U23" s="987"/>
      <c r="V23" s="987"/>
      <c r="W23" s="987"/>
      <c r="X23" s="987"/>
      <c r="Y23" s="987"/>
      <c r="Z23" s="987"/>
      <c r="AA23" s="987"/>
      <c r="AB23" s="987"/>
      <c r="AC23" s="987"/>
      <c r="AD23" s="987"/>
      <c r="AE23" s="987"/>
      <c r="AF23" s="987"/>
      <c r="AG23" s="987"/>
      <c r="AH23" s="987"/>
      <c r="AI23" s="987"/>
      <c r="AJ23" s="987"/>
      <c r="AK23" s="987"/>
    </row>
    <row r="24" spans="1:37" s="988" customFormat="1" ht="24.75" customHeight="1">
      <c r="A24" s="2333"/>
      <c r="B24" s="2335"/>
      <c r="C24" s="2336"/>
      <c r="D24" s="2338"/>
      <c r="E24" s="2336"/>
      <c r="F24" s="2359"/>
      <c r="G24" s="984" t="s">
        <v>11</v>
      </c>
      <c r="H24" s="986">
        <v>0</v>
      </c>
      <c r="I24" s="983">
        <f t="shared" si="4"/>
        <v>0</v>
      </c>
      <c r="J24" s="1164">
        <v>0</v>
      </c>
      <c r="K24" s="986">
        <v>0</v>
      </c>
      <c r="L24" s="986">
        <v>0</v>
      </c>
      <c r="M24" s="986">
        <v>0</v>
      </c>
      <c r="N24" s="2361"/>
      <c r="O24" s="2361"/>
      <c r="P24" s="2364"/>
      <c r="Q24" s="2357"/>
      <c r="R24" s="987"/>
      <c r="S24" s="987"/>
      <c r="T24" s="987"/>
      <c r="U24" s="987"/>
      <c r="V24" s="987"/>
      <c r="W24" s="987"/>
      <c r="X24" s="987"/>
      <c r="Y24" s="987"/>
      <c r="Z24" s="987"/>
      <c r="AA24" s="987"/>
      <c r="AB24" s="987"/>
      <c r="AC24" s="987"/>
      <c r="AD24" s="987"/>
      <c r="AE24" s="987"/>
      <c r="AF24" s="987"/>
      <c r="AG24" s="987"/>
      <c r="AH24" s="987"/>
      <c r="AI24" s="987"/>
      <c r="AJ24" s="987"/>
      <c r="AK24" s="987"/>
    </row>
    <row r="25" spans="1:37" s="988" customFormat="1" ht="24" customHeight="1">
      <c r="A25" s="2334"/>
      <c r="B25" s="2335"/>
      <c r="C25" s="2336"/>
      <c r="D25" s="2339"/>
      <c r="E25" s="2336"/>
      <c r="F25" s="2359"/>
      <c r="G25" s="984" t="s">
        <v>12</v>
      </c>
      <c r="H25" s="986">
        <v>0</v>
      </c>
      <c r="I25" s="983">
        <f t="shared" si="4"/>
        <v>0</v>
      </c>
      <c r="J25" s="1164">
        <v>0</v>
      </c>
      <c r="K25" s="986">
        <v>0</v>
      </c>
      <c r="L25" s="986">
        <v>0</v>
      </c>
      <c r="M25" s="986">
        <v>0</v>
      </c>
      <c r="N25" s="2362"/>
      <c r="O25" s="2362"/>
      <c r="P25" s="2365"/>
      <c r="Q25" s="2358"/>
      <c r="R25" s="987"/>
      <c r="S25" s="987"/>
      <c r="T25" s="987"/>
      <c r="U25" s="987"/>
      <c r="V25" s="987"/>
      <c r="W25" s="987"/>
      <c r="X25" s="987"/>
      <c r="Y25" s="987"/>
      <c r="Z25" s="987"/>
      <c r="AA25" s="987"/>
      <c r="AB25" s="987"/>
      <c r="AC25" s="987"/>
      <c r="AD25" s="987"/>
      <c r="AE25" s="987"/>
      <c r="AF25" s="987"/>
      <c r="AG25" s="987"/>
      <c r="AH25" s="987"/>
      <c r="AI25" s="987"/>
      <c r="AJ25" s="987"/>
      <c r="AK25" s="987"/>
    </row>
    <row r="26" spans="1:37" s="988" customFormat="1" ht="24" customHeight="1">
      <c r="A26" s="991"/>
      <c r="B26" s="2353" t="s">
        <v>2944</v>
      </c>
      <c r="C26" s="2337" t="s">
        <v>3432</v>
      </c>
      <c r="D26" s="2337" t="s">
        <v>3429</v>
      </c>
      <c r="E26" s="2337" t="s">
        <v>3433</v>
      </c>
      <c r="F26" s="2369" t="s">
        <v>3434</v>
      </c>
      <c r="G26" s="984" t="s">
        <v>8</v>
      </c>
      <c r="H26" s="986">
        <f>SUM(H27:H30)</f>
        <v>0</v>
      </c>
      <c r="I26" s="983">
        <f t="shared" si="4"/>
        <v>0</v>
      </c>
      <c r="J26" s="1164">
        <f t="shared" ref="J26:M26" si="7">SUM(J27:J30)</f>
        <v>0</v>
      </c>
      <c r="K26" s="986">
        <f t="shared" si="7"/>
        <v>6815.8</v>
      </c>
      <c r="L26" s="986">
        <f t="shared" si="7"/>
        <v>0</v>
      </c>
      <c r="M26" s="986">
        <f t="shared" si="7"/>
        <v>6815.8</v>
      </c>
      <c r="N26" s="2876" t="e">
        <f>L26/J26</f>
        <v>#DIV/0!</v>
      </c>
      <c r="O26" s="2876">
        <v>0</v>
      </c>
      <c r="P26" s="2881">
        <v>0</v>
      </c>
      <c r="Q26" s="2379" t="s">
        <v>3435</v>
      </c>
      <c r="R26" s="987"/>
      <c r="S26" s="987"/>
      <c r="T26" s="987"/>
      <c r="U26" s="987"/>
      <c r="V26" s="987"/>
      <c r="W26" s="987"/>
      <c r="X26" s="987"/>
      <c r="Y26" s="987"/>
      <c r="Z26" s="987"/>
      <c r="AA26" s="987"/>
      <c r="AB26" s="987"/>
      <c r="AC26" s="987"/>
      <c r="AD26" s="987"/>
      <c r="AE26" s="987"/>
      <c r="AF26" s="987"/>
      <c r="AG26" s="987"/>
      <c r="AH26" s="987"/>
      <c r="AI26" s="987"/>
      <c r="AJ26" s="987"/>
      <c r="AK26" s="987"/>
    </row>
    <row r="27" spans="1:37" s="988" customFormat="1" ht="24" customHeight="1">
      <c r="A27" s="992"/>
      <c r="B27" s="2354"/>
      <c r="C27" s="2338"/>
      <c r="D27" s="2338"/>
      <c r="E27" s="2338"/>
      <c r="F27" s="2370"/>
      <c r="G27" s="984" t="s">
        <v>9</v>
      </c>
      <c r="H27" s="986">
        <v>0</v>
      </c>
      <c r="I27" s="983">
        <v>0</v>
      </c>
      <c r="J27" s="1164">
        <v>0</v>
      </c>
      <c r="K27" s="986">
        <v>6475</v>
      </c>
      <c r="L27" s="986">
        <v>0</v>
      </c>
      <c r="M27" s="986">
        <v>6475</v>
      </c>
      <c r="N27" s="2877"/>
      <c r="O27" s="2879"/>
      <c r="P27" s="2882"/>
      <c r="Q27" s="2380"/>
      <c r="R27" s="987"/>
      <c r="S27" s="987"/>
      <c r="T27" s="987"/>
      <c r="U27" s="987"/>
      <c r="V27" s="987"/>
      <c r="W27" s="987"/>
      <c r="X27" s="987"/>
      <c r="Y27" s="987"/>
      <c r="Z27" s="987"/>
      <c r="AA27" s="987"/>
      <c r="AB27" s="987"/>
      <c r="AC27" s="987"/>
      <c r="AD27" s="987"/>
      <c r="AE27" s="987"/>
      <c r="AF27" s="987"/>
      <c r="AG27" s="987"/>
      <c r="AH27" s="987"/>
      <c r="AI27" s="987"/>
      <c r="AJ27" s="987"/>
      <c r="AK27" s="987"/>
    </row>
    <row r="28" spans="1:37" s="988" customFormat="1" ht="24" customHeight="1">
      <c r="A28" s="992">
        <v>4</v>
      </c>
      <c r="B28" s="2354"/>
      <c r="C28" s="2338"/>
      <c r="D28" s="2338"/>
      <c r="E28" s="2338"/>
      <c r="F28" s="2370"/>
      <c r="G28" s="984" t="s">
        <v>10</v>
      </c>
      <c r="H28" s="986">
        <v>0</v>
      </c>
      <c r="I28" s="983">
        <v>0</v>
      </c>
      <c r="J28" s="1164">
        <v>0</v>
      </c>
      <c r="K28" s="986">
        <v>0</v>
      </c>
      <c r="L28" s="986">
        <v>0</v>
      </c>
      <c r="M28" s="986">
        <v>0</v>
      </c>
      <c r="N28" s="2877"/>
      <c r="O28" s="2879"/>
      <c r="P28" s="2882"/>
      <c r="Q28" s="2380"/>
      <c r="R28" s="987"/>
      <c r="S28" s="987"/>
      <c r="T28" s="987"/>
      <c r="U28" s="987"/>
      <c r="V28" s="987"/>
      <c r="W28" s="987"/>
      <c r="X28" s="987"/>
      <c r="Y28" s="987"/>
      <c r="Z28" s="987"/>
      <c r="AA28" s="987"/>
      <c r="AB28" s="987"/>
      <c r="AC28" s="987"/>
      <c r="AD28" s="987"/>
      <c r="AE28" s="987"/>
      <c r="AF28" s="987"/>
      <c r="AG28" s="987"/>
      <c r="AH28" s="987"/>
      <c r="AI28" s="987"/>
      <c r="AJ28" s="987"/>
      <c r="AK28" s="987"/>
    </row>
    <row r="29" spans="1:37" s="988" customFormat="1" ht="24" customHeight="1">
      <c r="A29" s="992"/>
      <c r="B29" s="2354"/>
      <c r="C29" s="2338"/>
      <c r="D29" s="2338"/>
      <c r="E29" s="2338"/>
      <c r="F29" s="2370"/>
      <c r="G29" s="984" t="s">
        <v>11</v>
      </c>
      <c r="H29" s="986">
        <v>0</v>
      </c>
      <c r="I29" s="983">
        <v>0</v>
      </c>
      <c r="J29" s="1164">
        <v>0</v>
      </c>
      <c r="K29" s="986">
        <v>340.8</v>
      </c>
      <c r="L29" s="986">
        <v>0</v>
      </c>
      <c r="M29" s="986">
        <v>340.8</v>
      </c>
      <c r="N29" s="2877"/>
      <c r="O29" s="2879"/>
      <c r="P29" s="2882"/>
      <c r="Q29" s="2380"/>
      <c r="R29" s="987"/>
      <c r="S29" s="987"/>
      <c r="T29" s="987"/>
      <c r="U29" s="987"/>
      <c r="V29" s="987"/>
      <c r="W29" s="987"/>
      <c r="X29" s="987"/>
      <c r="Y29" s="987"/>
      <c r="Z29" s="987"/>
      <c r="AA29" s="987"/>
      <c r="AB29" s="987"/>
      <c r="AC29" s="987"/>
      <c r="AD29" s="987"/>
      <c r="AE29" s="987"/>
      <c r="AF29" s="987"/>
      <c r="AG29" s="987"/>
      <c r="AH29" s="987"/>
      <c r="AI29" s="987"/>
      <c r="AJ29" s="987"/>
      <c r="AK29" s="987"/>
    </row>
    <row r="30" spans="1:37" s="988" customFormat="1" ht="24" customHeight="1">
      <c r="A30" s="993"/>
      <c r="B30" s="2355"/>
      <c r="C30" s="2339"/>
      <c r="D30" s="2339"/>
      <c r="E30" s="2339"/>
      <c r="F30" s="2371"/>
      <c r="G30" s="984" t="s">
        <v>12</v>
      </c>
      <c r="H30" s="986">
        <v>0</v>
      </c>
      <c r="I30" s="983">
        <v>0</v>
      </c>
      <c r="J30" s="1164">
        <v>0</v>
      </c>
      <c r="K30" s="986">
        <v>0</v>
      </c>
      <c r="L30" s="986">
        <v>0</v>
      </c>
      <c r="M30" s="986">
        <v>0</v>
      </c>
      <c r="N30" s="2878"/>
      <c r="O30" s="2880"/>
      <c r="P30" s="2883"/>
      <c r="Q30" s="2381"/>
      <c r="R30" s="987"/>
      <c r="S30" s="987"/>
      <c r="T30" s="987"/>
      <c r="U30" s="987"/>
      <c r="V30" s="987"/>
      <c r="W30" s="987"/>
      <c r="X30" s="987"/>
      <c r="Y30" s="987"/>
      <c r="Z30" s="987"/>
      <c r="AA30" s="987"/>
      <c r="AB30" s="987"/>
      <c r="AC30" s="987"/>
      <c r="AD30" s="987"/>
      <c r="AE30" s="987"/>
      <c r="AF30" s="987"/>
      <c r="AG30" s="987"/>
      <c r="AH30" s="987"/>
      <c r="AI30" s="987"/>
      <c r="AJ30" s="987"/>
      <c r="AK30" s="987"/>
    </row>
    <row r="31" spans="1:37" s="988" customFormat="1" ht="24" customHeight="1">
      <c r="A31" s="991"/>
      <c r="B31" s="2353" t="s">
        <v>2945</v>
      </c>
      <c r="C31" s="2337" t="s">
        <v>3436</v>
      </c>
      <c r="D31" s="2337" t="s">
        <v>3429</v>
      </c>
      <c r="E31" s="2337" t="s">
        <v>3437</v>
      </c>
      <c r="F31" s="2369">
        <v>6717.2</v>
      </c>
      <c r="G31" s="984" t="s">
        <v>8</v>
      </c>
      <c r="H31" s="986">
        <f>SUM(H32:H35)</f>
        <v>4802.3129999999992</v>
      </c>
      <c r="I31" s="986">
        <f>SUM(I32:I35)</f>
        <v>4802.3129999999992</v>
      </c>
      <c r="J31" s="1164">
        <f t="shared" ref="J31" si="8">SUM(J32:J35)</f>
        <v>1914.8587199999999</v>
      </c>
      <c r="K31" s="986">
        <f t="shared" ref="K31:M31" si="9">SUM(K32:K35)</f>
        <v>1914.8587199999999</v>
      </c>
      <c r="L31" s="1165">
        <f t="shared" si="9"/>
        <v>0</v>
      </c>
      <c r="M31" s="1165">
        <f t="shared" si="9"/>
        <v>1914.8587199999999</v>
      </c>
      <c r="N31" s="2884">
        <f>M31/J31</f>
        <v>1</v>
      </c>
      <c r="O31" s="2884">
        <f>(I31+L31+M31)/F31</f>
        <v>0.99999578991246341</v>
      </c>
      <c r="P31" s="2873">
        <f>F31-H31-K31</f>
        <v>2.8280000000677319E-2</v>
      </c>
      <c r="Q31" s="2379" t="s">
        <v>3435</v>
      </c>
      <c r="R31" s="987"/>
      <c r="S31" s="987"/>
      <c r="T31" s="987"/>
      <c r="U31" s="987"/>
      <c r="V31" s="987"/>
      <c r="W31" s="987"/>
      <c r="X31" s="987"/>
      <c r="Y31" s="987"/>
      <c r="Z31" s="987"/>
      <c r="AA31" s="987"/>
      <c r="AB31" s="987"/>
      <c r="AC31" s="987"/>
      <c r="AD31" s="987"/>
      <c r="AE31" s="987"/>
      <c r="AF31" s="987"/>
      <c r="AG31" s="987"/>
      <c r="AH31" s="987"/>
      <c r="AI31" s="987"/>
      <c r="AJ31" s="987"/>
      <c r="AK31" s="987"/>
    </row>
    <row r="32" spans="1:37" s="988" customFormat="1" ht="24" customHeight="1">
      <c r="A32" s="992"/>
      <c r="B32" s="2354"/>
      <c r="C32" s="2338"/>
      <c r="D32" s="2338"/>
      <c r="E32" s="2338"/>
      <c r="F32" s="2370"/>
      <c r="G32" s="984" t="s">
        <v>9</v>
      </c>
      <c r="H32" s="986">
        <v>4754.2898699999996</v>
      </c>
      <c r="I32" s="986">
        <v>4754.2898699999996</v>
      </c>
      <c r="J32" s="1164">
        <v>1895.7101299999999</v>
      </c>
      <c r="K32" s="986">
        <v>1895.7101299999999</v>
      </c>
      <c r="L32" s="1165">
        <v>0</v>
      </c>
      <c r="M32" s="1165">
        <v>1895.7101299999999</v>
      </c>
      <c r="N32" s="2885"/>
      <c r="O32" s="2885"/>
      <c r="P32" s="2874"/>
      <c r="Q32" s="2380"/>
      <c r="R32" s="987"/>
      <c r="S32" s="987"/>
      <c r="T32" s="987"/>
      <c r="U32" s="987"/>
      <c r="V32" s="987"/>
      <c r="W32" s="987"/>
      <c r="X32" s="987"/>
      <c r="Y32" s="987"/>
      <c r="Z32" s="987"/>
      <c r="AA32" s="987"/>
      <c r="AB32" s="987"/>
      <c r="AC32" s="987"/>
      <c r="AD32" s="987"/>
      <c r="AE32" s="987"/>
      <c r="AF32" s="987"/>
      <c r="AG32" s="987"/>
      <c r="AH32" s="987"/>
      <c r="AI32" s="987"/>
      <c r="AJ32" s="987"/>
      <c r="AK32" s="987"/>
    </row>
    <row r="33" spans="1:37" s="988" customFormat="1" ht="24" customHeight="1">
      <c r="A33" s="992">
        <v>5</v>
      </c>
      <c r="B33" s="2354"/>
      <c r="C33" s="2338"/>
      <c r="D33" s="2338"/>
      <c r="E33" s="2338"/>
      <c r="F33" s="2370"/>
      <c r="G33" s="984" t="s">
        <v>10</v>
      </c>
      <c r="H33" s="986">
        <v>0</v>
      </c>
      <c r="I33" s="986">
        <v>0</v>
      </c>
      <c r="J33" s="1164">
        <v>0</v>
      </c>
      <c r="K33" s="986">
        <v>0</v>
      </c>
      <c r="L33" s="1165">
        <v>0</v>
      </c>
      <c r="M33" s="1165">
        <v>0</v>
      </c>
      <c r="N33" s="2885"/>
      <c r="O33" s="2885"/>
      <c r="P33" s="2874"/>
      <c r="Q33" s="2380"/>
      <c r="R33" s="987"/>
      <c r="S33" s="987"/>
      <c r="T33" s="987"/>
      <c r="U33" s="987"/>
      <c r="V33" s="987"/>
      <c r="W33" s="987"/>
      <c r="X33" s="987"/>
      <c r="Y33" s="987"/>
      <c r="Z33" s="987"/>
      <c r="AA33" s="987"/>
      <c r="AB33" s="987"/>
      <c r="AC33" s="987"/>
      <c r="AD33" s="987"/>
      <c r="AE33" s="987"/>
      <c r="AF33" s="987"/>
      <c r="AG33" s="987"/>
      <c r="AH33" s="987"/>
      <c r="AI33" s="987"/>
      <c r="AJ33" s="987"/>
      <c r="AK33" s="987"/>
    </row>
    <row r="34" spans="1:37" s="988" customFormat="1" ht="24" customHeight="1">
      <c r="A34" s="992"/>
      <c r="B34" s="2354"/>
      <c r="C34" s="2338"/>
      <c r="D34" s="2338"/>
      <c r="E34" s="2338"/>
      <c r="F34" s="2370"/>
      <c r="G34" s="984" t="s">
        <v>11</v>
      </c>
      <c r="H34" s="986">
        <v>48.023130000000002</v>
      </c>
      <c r="I34" s="986">
        <v>48.023130000000002</v>
      </c>
      <c r="J34" s="1164">
        <v>19.148589999999999</v>
      </c>
      <c r="K34" s="986">
        <v>19.148589999999999</v>
      </c>
      <c r="L34" s="1165">
        <v>0</v>
      </c>
      <c r="M34" s="1165">
        <v>19.148589999999999</v>
      </c>
      <c r="N34" s="2885"/>
      <c r="O34" s="2885"/>
      <c r="P34" s="2874"/>
      <c r="Q34" s="2380"/>
      <c r="R34" s="987"/>
      <c r="S34" s="987"/>
      <c r="T34" s="987"/>
      <c r="U34" s="987"/>
      <c r="V34" s="987"/>
      <c r="W34" s="987"/>
      <c r="X34" s="987"/>
      <c r="Y34" s="987"/>
      <c r="Z34" s="987"/>
      <c r="AA34" s="987"/>
      <c r="AB34" s="987"/>
      <c r="AC34" s="987"/>
      <c r="AD34" s="987"/>
      <c r="AE34" s="987"/>
      <c r="AF34" s="987"/>
      <c r="AG34" s="987"/>
      <c r="AH34" s="987"/>
      <c r="AI34" s="987"/>
      <c r="AJ34" s="987"/>
      <c r="AK34" s="987"/>
    </row>
    <row r="35" spans="1:37" s="988" customFormat="1" ht="24" customHeight="1">
      <c r="A35" s="993"/>
      <c r="B35" s="2355"/>
      <c r="C35" s="2339"/>
      <c r="D35" s="2339"/>
      <c r="E35" s="2339"/>
      <c r="F35" s="2371"/>
      <c r="G35" s="984" t="s">
        <v>12</v>
      </c>
      <c r="H35" s="986">
        <v>0</v>
      </c>
      <c r="I35" s="983">
        <f t="shared" si="4"/>
        <v>0</v>
      </c>
      <c r="J35" s="1164">
        <v>0</v>
      </c>
      <c r="K35" s="986">
        <v>0</v>
      </c>
      <c r="L35" s="986">
        <v>0</v>
      </c>
      <c r="M35" s="986">
        <v>0</v>
      </c>
      <c r="N35" s="2886"/>
      <c r="O35" s="2886"/>
      <c r="P35" s="2875"/>
      <c r="Q35" s="2381"/>
      <c r="R35" s="987"/>
      <c r="S35" s="987"/>
      <c r="T35" s="987"/>
      <c r="U35" s="987"/>
      <c r="V35" s="987"/>
      <c r="W35" s="987"/>
      <c r="X35" s="987"/>
      <c r="Y35" s="987"/>
      <c r="Z35" s="987"/>
      <c r="AA35" s="987"/>
      <c r="AB35" s="987"/>
      <c r="AC35" s="987"/>
      <c r="AD35" s="987"/>
      <c r="AE35" s="987"/>
      <c r="AF35" s="987"/>
      <c r="AG35" s="987"/>
      <c r="AH35" s="987"/>
      <c r="AI35" s="987"/>
      <c r="AJ35" s="987"/>
      <c r="AK35" s="987"/>
    </row>
    <row r="36" spans="1:37" s="988" customFormat="1" ht="24" customHeight="1">
      <c r="A36" s="991"/>
      <c r="B36" s="2353" t="s">
        <v>3438</v>
      </c>
      <c r="C36" s="2337" t="s">
        <v>3439</v>
      </c>
      <c r="D36" s="2337" t="s">
        <v>3429</v>
      </c>
      <c r="E36" s="2890" t="s">
        <v>3507</v>
      </c>
      <c r="F36" s="2369">
        <v>349770.9</v>
      </c>
      <c r="G36" s="984" t="s">
        <v>8</v>
      </c>
      <c r="H36" s="986">
        <f>SUM(H37:H40)</f>
        <v>0</v>
      </c>
      <c r="I36" s="983">
        <f t="shared" si="4"/>
        <v>0</v>
      </c>
      <c r="J36" s="986">
        <f t="shared" ref="J36:M36" si="10">SUM(J37:J40)</f>
        <v>135522.9</v>
      </c>
      <c r="K36" s="986">
        <f t="shared" si="10"/>
        <v>67761.5</v>
      </c>
      <c r="L36" s="986">
        <f t="shared" si="10"/>
        <v>67761.5</v>
      </c>
      <c r="M36" s="986">
        <f t="shared" si="10"/>
        <v>0</v>
      </c>
      <c r="N36" s="2360">
        <f>L36/J36</f>
        <v>0.50000036894133759</v>
      </c>
      <c r="O36" s="2876">
        <f>(M36+L36+I36)/F36</f>
        <v>0.19373109655491635</v>
      </c>
      <c r="P36" s="2887">
        <f>F36-H36-K36</f>
        <v>282009.40000000002</v>
      </c>
      <c r="Q36" s="2372" t="s">
        <v>3508</v>
      </c>
      <c r="R36" s="987"/>
      <c r="S36" s="987"/>
      <c r="T36" s="987"/>
      <c r="U36" s="987"/>
      <c r="V36" s="987"/>
      <c r="W36" s="987"/>
      <c r="X36" s="987"/>
      <c r="Y36" s="987"/>
      <c r="Z36" s="987"/>
      <c r="AA36" s="987"/>
      <c r="AB36" s="987"/>
      <c r="AC36" s="987"/>
      <c r="AD36" s="987"/>
      <c r="AE36" s="987"/>
      <c r="AF36" s="987"/>
      <c r="AG36" s="987"/>
      <c r="AH36" s="987"/>
      <c r="AI36" s="987"/>
      <c r="AJ36" s="987"/>
      <c r="AK36" s="987"/>
    </row>
    <row r="37" spans="1:37" s="988" customFormat="1" ht="24" customHeight="1">
      <c r="A37" s="992"/>
      <c r="B37" s="2354"/>
      <c r="C37" s="2338"/>
      <c r="D37" s="2338"/>
      <c r="E37" s="2879"/>
      <c r="F37" s="2370"/>
      <c r="G37" s="984" t="s">
        <v>9</v>
      </c>
      <c r="H37" s="986">
        <v>0</v>
      </c>
      <c r="I37" s="983">
        <f t="shared" si="4"/>
        <v>0</v>
      </c>
      <c r="J37" s="986">
        <v>7725.3</v>
      </c>
      <c r="K37" s="1165">
        <v>3862.7</v>
      </c>
      <c r="L37" s="986">
        <v>3862.7</v>
      </c>
      <c r="M37" s="986">
        <v>0</v>
      </c>
      <c r="N37" s="2361"/>
      <c r="O37" s="2879"/>
      <c r="P37" s="2888"/>
      <c r="Q37" s="2373"/>
      <c r="R37" s="987"/>
      <c r="S37" s="987"/>
      <c r="T37" s="987"/>
      <c r="U37" s="987"/>
      <c r="V37" s="987"/>
      <c r="W37" s="987"/>
      <c r="X37" s="987"/>
      <c r="Y37" s="987"/>
      <c r="Z37" s="987"/>
      <c r="AA37" s="987"/>
      <c r="AB37" s="987"/>
      <c r="AC37" s="987"/>
      <c r="AD37" s="987"/>
      <c r="AE37" s="987"/>
      <c r="AF37" s="987"/>
      <c r="AG37" s="987"/>
      <c r="AH37" s="987"/>
      <c r="AI37" s="987"/>
      <c r="AJ37" s="987"/>
      <c r="AK37" s="987"/>
    </row>
    <row r="38" spans="1:37" s="988" customFormat="1" ht="24" customHeight="1">
      <c r="A38" s="992">
        <v>6</v>
      </c>
      <c r="B38" s="2354"/>
      <c r="C38" s="2338"/>
      <c r="D38" s="2338"/>
      <c r="E38" s="2879"/>
      <c r="F38" s="2370"/>
      <c r="G38" s="984" t="s">
        <v>10</v>
      </c>
      <c r="H38" s="986">
        <v>0</v>
      </c>
      <c r="I38" s="983">
        <f t="shared" si="4"/>
        <v>0</v>
      </c>
      <c r="J38" s="986">
        <v>127391</v>
      </c>
      <c r="K38" s="986">
        <v>63695.5</v>
      </c>
      <c r="L38" s="986">
        <v>63695.5</v>
      </c>
      <c r="M38" s="986">
        <v>0</v>
      </c>
      <c r="N38" s="2361"/>
      <c r="O38" s="2879"/>
      <c r="P38" s="2888"/>
      <c r="Q38" s="2373"/>
      <c r="R38" s="987"/>
      <c r="S38" s="987"/>
      <c r="T38" s="987"/>
      <c r="U38" s="987"/>
      <c r="V38" s="987"/>
      <c r="W38" s="987"/>
      <c r="X38" s="987"/>
      <c r="Y38" s="987"/>
      <c r="Z38" s="987"/>
      <c r="AA38" s="987"/>
      <c r="AB38" s="987"/>
      <c r="AC38" s="987"/>
      <c r="AD38" s="987"/>
      <c r="AE38" s="987"/>
      <c r="AF38" s="987"/>
      <c r="AG38" s="987"/>
      <c r="AH38" s="987"/>
      <c r="AI38" s="987"/>
      <c r="AJ38" s="987"/>
      <c r="AK38" s="987"/>
    </row>
    <row r="39" spans="1:37" s="988" customFormat="1" ht="24" customHeight="1">
      <c r="A39" s="992"/>
      <c r="B39" s="2354"/>
      <c r="C39" s="2338"/>
      <c r="D39" s="2338"/>
      <c r="E39" s="2879"/>
      <c r="F39" s="2370"/>
      <c r="G39" s="984" t="s">
        <v>11</v>
      </c>
      <c r="H39" s="986">
        <v>0</v>
      </c>
      <c r="I39" s="983">
        <f t="shared" si="4"/>
        <v>0</v>
      </c>
      <c r="J39" s="986">
        <v>406.6</v>
      </c>
      <c r="K39" s="986">
        <v>203.3</v>
      </c>
      <c r="L39" s="986">
        <v>203.3</v>
      </c>
      <c r="M39" s="986">
        <v>0</v>
      </c>
      <c r="N39" s="2361"/>
      <c r="O39" s="2879"/>
      <c r="P39" s="2888"/>
      <c r="Q39" s="2373"/>
      <c r="R39" s="987"/>
      <c r="S39" s="987"/>
      <c r="T39" s="987"/>
      <c r="U39" s="987"/>
      <c r="V39" s="987"/>
      <c r="W39" s="987"/>
      <c r="X39" s="987"/>
      <c r="Y39" s="987"/>
      <c r="Z39" s="987"/>
      <c r="AA39" s="987"/>
      <c r="AB39" s="987"/>
      <c r="AC39" s="987"/>
      <c r="AD39" s="987"/>
      <c r="AE39" s="987"/>
      <c r="AF39" s="987"/>
      <c r="AG39" s="987"/>
      <c r="AH39" s="987"/>
      <c r="AI39" s="987"/>
      <c r="AJ39" s="987"/>
      <c r="AK39" s="987"/>
    </row>
    <row r="40" spans="1:37" s="988" customFormat="1" ht="24" customHeight="1">
      <c r="A40" s="993"/>
      <c r="B40" s="2355"/>
      <c r="C40" s="2339"/>
      <c r="D40" s="2339"/>
      <c r="E40" s="2880"/>
      <c r="F40" s="2371"/>
      <c r="G40" s="984" t="s">
        <v>12</v>
      </c>
      <c r="H40" s="986">
        <v>0</v>
      </c>
      <c r="I40" s="983">
        <f t="shared" si="4"/>
        <v>0</v>
      </c>
      <c r="J40" s="986">
        <v>0</v>
      </c>
      <c r="K40" s="986">
        <v>0</v>
      </c>
      <c r="L40" s="986">
        <v>0</v>
      </c>
      <c r="M40" s="986">
        <v>0</v>
      </c>
      <c r="N40" s="2362"/>
      <c r="O40" s="2880"/>
      <c r="P40" s="2889"/>
      <c r="Q40" s="2374"/>
      <c r="R40" s="987"/>
      <c r="S40" s="987"/>
      <c r="T40" s="987"/>
      <c r="U40" s="987"/>
      <c r="V40" s="987"/>
      <c r="W40" s="987"/>
      <c r="X40" s="987"/>
      <c r="Y40" s="987"/>
      <c r="Z40" s="987"/>
      <c r="AA40" s="987"/>
      <c r="AB40" s="987"/>
      <c r="AC40" s="987"/>
      <c r="AD40" s="987"/>
      <c r="AE40" s="987"/>
      <c r="AF40" s="987"/>
      <c r="AG40" s="987"/>
      <c r="AH40" s="987"/>
      <c r="AI40" s="987"/>
      <c r="AJ40" s="987"/>
      <c r="AK40" s="987"/>
    </row>
    <row r="41" spans="1:37">
      <c r="A41" s="2382" t="s">
        <v>3440</v>
      </c>
      <c r="B41" s="2383"/>
      <c r="C41" s="2383"/>
      <c r="D41" s="2383"/>
      <c r="E41" s="2383"/>
      <c r="F41" s="2383"/>
      <c r="G41" s="2383"/>
      <c r="H41" s="2383"/>
      <c r="I41" s="2383"/>
      <c r="J41" s="2383"/>
      <c r="K41" s="2383"/>
      <c r="L41" s="2383"/>
      <c r="M41" s="2383"/>
      <c r="N41" s="2383"/>
      <c r="O41" s="2383"/>
      <c r="P41" s="2383"/>
      <c r="R41" s="994"/>
      <c r="S41" s="995"/>
    </row>
    <row r="42" spans="1:37">
      <c r="A42" s="2382" t="s">
        <v>3441</v>
      </c>
      <c r="B42" s="2383"/>
      <c r="C42" s="2383"/>
      <c r="D42" s="2383"/>
      <c r="E42" s="2383"/>
      <c r="F42" s="2383"/>
      <c r="G42" s="2383"/>
      <c r="H42" s="2383"/>
      <c r="I42" s="2383"/>
      <c r="J42" s="2383"/>
      <c r="K42" s="2383"/>
      <c r="L42" s="2383"/>
      <c r="M42" s="2383"/>
      <c r="N42" s="2383"/>
      <c r="O42" s="2383"/>
      <c r="P42" s="2383"/>
      <c r="Q42" s="994"/>
      <c r="R42" s="994"/>
      <c r="S42" s="995"/>
    </row>
    <row r="43" spans="1:37">
      <c r="A43" s="2382" t="s">
        <v>3442</v>
      </c>
      <c r="B43" s="2383"/>
      <c r="C43" s="2383"/>
      <c r="D43" s="2383"/>
      <c r="E43" s="2383"/>
      <c r="F43" s="2383"/>
      <c r="G43" s="2383"/>
      <c r="H43" s="2383"/>
      <c r="I43" s="2383"/>
      <c r="J43" s="2383"/>
      <c r="K43" s="2383"/>
      <c r="L43" s="2383"/>
      <c r="M43" s="2383"/>
      <c r="N43" s="2383"/>
      <c r="O43" s="2383"/>
      <c r="P43" s="2383"/>
      <c r="Q43" s="994"/>
      <c r="R43" s="994"/>
      <c r="S43" s="995"/>
    </row>
    <row r="44" spans="1:37">
      <c r="A44" s="2382" t="s">
        <v>3443</v>
      </c>
      <c r="B44" s="2383"/>
      <c r="C44" s="2383"/>
      <c r="D44" s="2383"/>
      <c r="E44" s="2383"/>
      <c r="F44" s="2383"/>
      <c r="G44" s="2383"/>
      <c r="H44" s="2383"/>
      <c r="I44" s="2383"/>
      <c r="J44" s="2383"/>
      <c r="K44" s="2383"/>
      <c r="L44" s="2383"/>
      <c r="M44" s="2383"/>
      <c r="N44" s="2383"/>
      <c r="O44" s="2383"/>
      <c r="P44" s="2383"/>
      <c r="R44" s="994"/>
      <c r="S44" s="995"/>
    </row>
  </sheetData>
  <mergeCells count="80">
    <mergeCell ref="A44:P44"/>
    <mergeCell ref="N36:N40"/>
    <mergeCell ref="O36:O40"/>
    <mergeCell ref="P36:P40"/>
    <mergeCell ref="B31:B35"/>
    <mergeCell ref="C31:C35"/>
    <mergeCell ref="D31:D35"/>
    <mergeCell ref="A42:P42"/>
    <mergeCell ref="A43:P43"/>
    <mergeCell ref="A41:P41"/>
    <mergeCell ref="B36:B40"/>
    <mergeCell ref="C36:C40"/>
    <mergeCell ref="D36:D40"/>
    <mergeCell ref="E36:E40"/>
    <mergeCell ref="F36:F40"/>
    <mergeCell ref="O31:O35"/>
    <mergeCell ref="P31:P35"/>
    <mergeCell ref="E26:E30"/>
    <mergeCell ref="F26:F30"/>
    <mergeCell ref="Q36:Q40"/>
    <mergeCell ref="N26:N30"/>
    <mergeCell ref="O26:O30"/>
    <mergeCell ref="P26:P30"/>
    <mergeCell ref="Q26:Q30"/>
    <mergeCell ref="Q31:Q35"/>
    <mergeCell ref="E31:E35"/>
    <mergeCell ref="F31:F35"/>
    <mergeCell ref="N31:N35"/>
    <mergeCell ref="B26:B30"/>
    <mergeCell ref="C26:C30"/>
    <mergeCell ref="D26:D30"/>
    <mergeCell ref="Q16:Q20"/>
    <mergeCell ref="F21:F25"/>
    <mergeCell ref="N21:N25"/>
    <mergeCell ref="O21:O25"/>
    <mergeCell ref="P21:P25"/>
    <mergeCell ref="Q21:Q25"/>
    <mergeCell ref="N16:N20"/>
    <mergeCell ref="O16:O20"/>
    <mergeCell ref="P16:P20"/>
    <mergeCell ref="A21:A25"/>
    <mergeCell ref="B21:B25"/>
    <mergeCell ref="C21:C25"/>
    <mergeCell ref="D21:D25"/>
    <mergeCell ref="E21:E25"/>
    <mergeCell ref="N12:N15"/>
    <mergeCell ref="O12:O15"/>
    <mergeCell ref="P12:P15"/>
    <mergeCell ref="Q12:Q15"/>
    <mergeCell ref="A16:A20"/>
    <mergeCell ref="B16:B20"/>
    <mergeCell ref="C16:C20"/>
    <mergeCell ref="D16:D20"/>
    <mergeCell ref="E16:E20"/>
    <mergeCell ref="F16:F20"/>
    <mergeCell ref="A12:A15"/>
    <mergeCell ref="B12:B15"/>
    <mergeCell ref="C12:C15"/>
    <mergeCell ref="D12:D15"/>
    <mergeCell ref="E12:E15"/>
    <mergeCell ref="F12:F15"/>
    <mergeCell ref="A6:A10"/>
    <mergeCell ref="B6:F10"/>
    <mergeCell ref="O6:O10"/>
    <mergeCell ref="P6:P10"/>
    <mergeCell ref="Q6:Q10"/>
    <mergeCell ref="A2:Q2"/>
    <mergeCell ref="A4:A5"/>
    <mergeCell ref="B4:B5"/>
    <mergeCell ref="C4:C5"/>
    <mergeCell ref="D4:D5"/>
    <mergeCell ref="E4:E5"/>
    <mergeCell ref="F4:F5"/>
    <mergeCell ref="G4:G5"/>
    <mergeCell ref="H4:I4"/>
    <mergeCell ref="J4:J5"/>
    <mergeCell ref="K4:N4"/>
    <mergeCell ref="O4:O5"/>
    <mergeCell ref="P4:P5"/>
    <mergeCell ref="Q4:Q5"/>
  </mergeCells>
  <pageMargins left="0.19685039370078741" right="0.19685039370078741" top="0.74803149606299213" bottom="0.74803149606299213" header="0.31496062992125984" footer="0.31496062992125984"/>
  <pageSetup paperSize="9" scale="6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1:M307"/>
  <sheetViews>
    <sheetView view="pageBreakPreview" topLeftCell="A48" zoomScale="60" zoomScaleNormal="93" workbookViewId="0">
      <selection activeCell="D56" sqref="D56"/>
    </sheetView>
  </sheetViews>
  <sheetFormatPr defaultRowHeight="12.75"/>
  <cols>
    <col min="1" max="1" width="9.140625" style="999"/>
    <col min="2" max="2" width="6.7109375" style="999" customWidth="1"/>
    <col min="3" max="3" width="96.7109375" style="999" customWidth="1"/>
    <col min="4" max="4" width="31.42578125" style="999" customWidth="1"/>
    <col min="5" max="7" width="26.85546875" style="999" customWidth="1"/>
    <col min="8" max="8" width="22.140625" style="999" customWidth="1"/>
    <col min="9" max="9" width="31.5703125" style="999" customWidth="1"/>
    <col min="10" max="10" width="18.7109375" style="999" customWidth="1"/>
    <col min="11" max="11" width="23.7109375" style="999" customWidth="1"/>
    <col min="12" max="12" width="29.28515625" style="999" customWidth="1"/>
    <col min="13" max="259" width="9.140625" style="999"/>
    <col min="260" max="260" width="6.7109375" style="999" customWidth="1"/>
    <col min="261" max="261" width="96.7109375" style="999" customWidth="1"/>
    <col min="262" max="262" width="31.42578125" style="999" customWidth="1"/>
    <col min="263" max="263" width="26.85546875" style="999" customWidth="1"/>
    <col min="264" max="264" width="22.140625" style="999" customWidth="1"/>
    <col min="265" max="265" width="31.5703125" style="999" customWidth="1"/>
    <col min="266" max="266" width="18.7109375" style="999" customWidth="1"/>
    <col min="267" max="267" width="23.7109375" style="999" customWidth="1"/>
    <col min="268" max="268" width="29.28515625" style="999" customWidth="1"/>
    <col min="269" max="515" width="9.140625" style="999"/>
    <col min="516" max="516" width="6.7109375" style="999" customWidth="1"/>
    <col min="517" max="517" width="96.7109375" style="999" customWidth="1"/>
    <col min="518" max="518" width="31.42578125" style="999" customWidth="1"/>
    <col min="519" max="519" width="26.85546875" style="999" customWidth="1"/>
    <col min="520" max="520" width="22.140625" style="999" customWidth="1"/>
    <col min="521" max="521" width="31.5703125" style="999" customWidth="1"/>
    <col min="522" max="522" width="18.7109375" style="999" customWidth="1"/>
    <col min="523" max="523" width="23.7109375" style="999" customWidth="1"/>
    <col min="524" max="524" width="29.28515625" style="999" customWidth="1"/>
    <col min="525" max="771" width="9.140625" style="999"/>
    <col min="772" max="772" width="6.7109375" style="999" customWidth="1"/>
    <col min="773" max="773" width="96.7109375" style="999" customWidth="1"/>
    <col min="774" max="774" width="31.42578125" style="999" customWidth="1"/>
    <col min="775" max="775" width="26.85546875" style="999" customWidth="1"/>
    <col min="776" max="776" width="22.140625" style="999" customWidth="1"/>
    <col min="777" max="777" width="31.5703125" style="999" customWidth="1"/>
    <col min="778" max="778" width="18.7109375" style="999" customWidth="1"/>
    <col min="779" max="779" width="23.7109375" style="999" customWidth="1"/>
    <col min="780" max="780" width="29.28515625" style="999" customWidth="1"/>
    <col min="781" max="1027" width="9.140625" style="999"/>
    <col min="1028" max="1028" width="6.7109375" style="999" customWidth="1"/>
    <col min="1029" max="1029" width="96.7109375" style="999" customWidth="1"/>
    <col min="1030" max="1030" width="31.42578125" style="999" customWidth="1"/>
    <col min="1031" max="1031" width="26.85546875" style="999" customWidth="1"/>
    <col min="1032" max="1032" width="22.140625" style="999" customWidth="1"/>
    <col min="1033" max="1033" width="31.5703125" style="999" customWidth="1"/>
    <col min="1034" max="1034" width="18.7109375" style="999" customWidth="1"/>
    <col min="1035" max="1035" width="23.7109375" style="999" customWidth="1"/>
    <col min="1036" max="1036" width="29.28515625" style="999" customWidth="1"/>
    <col min="1037" max="1283" width="9.140625" style="999"/>
    <col min="1284" max="1284" width="6.7109375" style="999" customWidth="1"/>
    <col min="1285" max="1285" width="96.7109375" style="999" customWidth="1"/>
    <col min="1286" max="1286" width="31.42578125" style="999" customWidth="1"/>
    <col min="1287" max="1287" width="26.85546875" style="999" customWidth="1"/>
    <col min="1288" max="1288" width="22.140625" style="999" customWidth="1"/>
    <col min="1289" max="1289" width="31.5703125" style="999" customWidth="1"/>
    <col min="1290" max="1290" width="18.7109375" style="999" customWidth="1"/>
    <col min="1291" max="1291" width="23.7109375" style="999" customWidth="1"/>
    <col min="1292" max="1292" width="29.28515625" style="999" customWidth="1"/>
    <col min="1293" max="1539" width="9.140625" style="999"/>
    <col min="1540" max="1540" width="6.7109375" style="999" customWidth="1"/>
    <col min="1541" max="1541" width="96.7109375" style="999" customWidth="1"/>
    <col min="1542" max="1542" width="31.42578125" style="999" customWidth="1"/>
    <col min="1543" max="1543" width="26.85546875" style="999" customWidth="1"/>
    <col min="1544" max="1544" width="22.140625" style="999" customWidth="1"/>
    <col min="1545" max="1545" width="31.5703125" style="999" customWidth="1"/>
    <col min="1546" max="1546" width="18.7109375" style="999" customWidth="1"/>
    <col min="1547" max="1547" width="23.7109375" style="999" customWidth="1"/>
    <col min="1548" max="1548" width="29.28515625" style="999" customWidth="1"/>
    <col min="1549" max="1795" width="9.140625" style="999"/>
    <col min="1796" max="1796" width="6.7109375" style="999" customWidth="1"/>
    <col min="1797" max="1797" width="96.7109375" style="999" customWidth="1"/>
    <col min="1798" max="1798" width="31.42578125" style="999" customWidth="1"/>
    <col min="1799" max="1799" width="26.85546875" style="999" customWidth="1"/>
    <col min="1800" max="1800" width="22.140625" style="999" customWidth="1"/>
    <col min="1801" max="1801" width="31.5703125" style="999" customWidth="1"/>
    <col min="1802" max="1802" width="18.7109375" style="999" customWidth="1"/>
    <col min="1803" max="1803" width="23.7109375" style="999" customWidth="1"/>
    <col min="1804" max="1804" width="29.28515625" style="999" customWidth="1"/>
    <col min="1805" max="2051" width="9.140625" style="999"/>
    <col min="2052" max="2052" width="6.7109375" style="999" customWidth="1"/>
    <col min="2053" max="2053" width="96.7109375" style="999" customWidth="1"/>
    <col min="2054" max="2054" width="31.42578125" style="999" customWidth="1"/>
    <col min="2055" max="2055" width="26.85546875" style="999" customWidth="1"/>
    <col min="2056" max="2056" width="22.140625" style="999" customWidth="1"/>
    <col min="2057" max="2057" width="31.5703125" style="999" customWidth="1"/>
    <col min="2058" max="2058" width="18.7109375" style="999" customWidth="1"/>
    <col min="2059" max="2059" width="23.7109375" style="999" customWidth="1"/>
    <col min="2060" max="2060" width="29.28515625" style="999" customWidth="1"/>
    <col min="2061" max="2307" width="9.140625" style="999"/>
    <col min="2308" max="2308" width="6.7109375" style="999" customWidth="1"/>
    <col min="2309" max="2309" width="96.7109375" style="999" customWidth="1"/>
    <col min="2310" max="2310" width="31.42578125" style="999" customWidth="1"/>
    <col min="2311" max="2311" width="26.85546875" style="999" customWidth="1"/>
    <col min="2312" max="2312" width="22.140625" style="999" customWidth="1"/>
    <col min="2313" max="2313" width="31.5703125" style="999" customWidth="1"/>
    <col min="2314" max="2314" width="18.7109375" style="999" customWidth="1"/>
    <col min="2315" max="2315" width="23.7109375" style="999" customWidth="1"/>
    <col min="2316" max="2316" width="29.28515625" style="999" customWidth="1"/>
    <col min="2317" max="2563" width="9.140625" style="999"/>
    <col min="2564" max="2564" width="6.7109375" style="999" customWidth="1"/>
    <col min="2565" max="2565" width="96.7109375" style="999" customWidth="1"/>
    <col min="2566" max="2566" width="31.42578125" style="999" customWidth="1"/>
    <col min="2567" max="2567" width="26.85546875" style="999" customWidth="1"/>
    <col min="2568" max="2568" width="22.140625" style="999" customWidth="1"/>
    <col min="2569" max="2569" width="31.5703125" style="999" customWidth="1"/>
    <col min="2570" max="2570" width="18.7109375" style="999" customWidth="1"/>
    <col min="2571" max="2571" width="23.7109375" style="999" customWidth="1"/>
    <col min="2572" max="2572" width="29.28515625" style="999" customWidth="1"/>
    <col min="2573" max="2819" width="9.140625" style="999"/>
    <col min="2820" max="2820" width="6.7109375" style="999" customWidth="1"/>
    <col min="2821" max="2821" width="96.7109375" style="999" customWidth="1"/>
    <col min="2822" max="2822" width="31.42578125" style="999" customWidth="1"/>
    <col min="2823" max="2823" width="26.85546875" style="999" customWidth="1"/>
    <col min="2824" max="2824" width="22.140625" style="999" customWidth="1"/>
    <col min="2825" max="2825" width="31.5703125" style="999" customWidth="1"/>
    <col min="2826" max="2826" width="18.7109375" style="999" customWidth="1"/>
    <col min="2827" max="2827" width="23.7109375" style="999" customWidth="1"/>
    <col min="2828" max="2828" width="29.28515625" style="999" customWidth="1"/>
    <col min="2829" max="3075" width="9.140625" style="999"/>
    <col min="3076" max="3076" width="6.7109375" style="999" customWidth="1"/>
    <col min="3077" max="3077" width="96.7109375" style="999" customWidth="1"/>
    <col min="3078" max="3078" width="31.42578125" style="999" customWidth="1"/>
    <col min="3079" max="3079" width="26.85546875" style="999" customWidth="1"/>
    <col min="3080" max="3080" width="22.140625" style="999" customWidth="1"/>
    <col min="3081" max="3081" width="31.5703125" style="999" customWidth="1"/>
    <col min="3082" max="3082" width="18.7109375" style="999" customWidth="1"/>
    <col min="3083" max="3083" width="23.7109375" style="999" customWidth="1"/>
    <col min="3084" max="3084" width="29.28515625" style="999" customWidth="1"/>
    <col min="3085" max="3331" width="9.140625" style="999"/>
    <col min="3332" max="3332" width="6.7109375" style="999" customWidth="1"/>
    <col min="3333" max="3333" width="96.7109375" style="999" customWidth="1"/>
    <col min="3334" max="3334" width="31.42578125" style="999" customWidth="1"/>
    <col min="3335" max="3335" width="26.85546875" style="999" customWidth="1"/>
    <col min="3336" max="3336" width="22.140625" style="999" customWidth="1"/>
    <col min="3337" max="3337" width="31.5703125" style="999" customWidth="1"/>
    <col min="3338" max="3338" width="18.7109375" style="999" customWidth="1"/>
    <col min="3339" max="3339" width="23.7109375" style="999" customWidth="1"/>
    <col min="3340" max="3340" width="29.28515625" style="999" customWidth="1"/>
    <col min="3341" max="3587" width="9.140625" style="999"/>
    <col min="3588" max="3588" width="6.7109375" style="999" customWidth="1"/>
    <col min="3589" max="3589" width="96.7109375" style="999" customWidth="1"/>
    <col min="3590" max="3590" width="31.42578125" style="999" customWidth="1"/>
    <col min="3591" max="3591" width="26.85546875" style="999" customWidth="1"/>
    <col min="3592" max="3592" width="22.140625" style="999" customWidth="1"/>
    <col min="3593" max="3593" width="31.5703125" style="999" customWidth="1"/>
    <col min="3594" max="3594" width="18.7109375" style="999" customWidth="1"/>
    <col min="3595" max="3595" width="23.7109375" style="999" customWidth="1"/>
    <col min="3596" max="3596" width="29.28515625" style="999" customWidth="1"/>
    <col min="3597" max="3843" width="9.140625" style="999"/>
    <col min="3844" max="3844" width="6.7109375" style="999" customWidth="1"/>
    <col min="3845" max="3845" width="96.7109375" style="999" customWidth="1"/>
    <col min="3846" max="3846" width="31.42578125" style="999" customWidth="1"/>
    <col min="3847" max="3847" width="26.85546875" style="999" customWidth="1"/>
    <col min="3848" max="3848" width="22.140625" style="999" customWidth="1"/>
    <col min="3849" max="3849" width="31.5703125" style="999" customWidth="1"/>
    <col min="3850" max="3850" width="18.7109375" style="999" customWidth="1"/>
    <col min="3851" max="3851" width="23.7109375" style="999" customWidth="1"/>
    <col min="3852" max="3852" width="29.28515625" style="999" customWidth="1"/>
    <col min="3853" max="4099" width="9.140625" style="999"/>
    <col min="4100" max="4100" width="6.7109375" style="999" customWidth="1"/>
    <col min="4101" max="4101" width="96.7109375" style="999" customWidth="1"/>
    <col min="4102" max="4102" width="31.42578125" style="999" customWidth="1"/>
    <col min="4103" max="4103" width="26.85546875" style="999" customWidth="1"/>
    <col min="4104" max="4104" width="22.140625" style="999" customWidth="1"/>
    <col min="4105" max="4105" width="31.5703125" style="999" customWidth="1"/>
    <col min="4106" max="4106" width="18.7109375" style="999" customWidth="1"/>
    <col min="4107" max="4107" width="23.7109375" style="999" customWidth="1"/>
    <col min="4108" max="4108" width="29.28515625" style="999" customWidth="1"/>
    <col min="4109" max="4355" width="9.140625" style="999"/>
    <col min="4356" max="4356" width="6.7109375" style="999" customWidth="1"/>
    <col min="4357" max="4357" width="96.7109375" style="999" customWidth="1"/>
    <col min="4358" max="4358" width="31.42578125" style="999" customWidth="1"/>
    <col min="4359" max="4359" width="26.85546875" style="999" customWidth="1"/>
    <col min="4360" max="4360" width="22.140625" style="999" customWidth="1"/>
    <col min="4361" max="4361" width="31.5703125" style="999" customWidth="1"/>
    <col min="4362" max="4362" width="18.7109375" style="999" customWidth="1"/>
    <col min="4363" max="4363" width="23.7109375" style="999" customWidth="1"/>
    <col min="4364" max="4364" width="29.28515625" style="999" customWidth="1"/>
    <col min="4365" max="4611" width="9.140625" style="999"/>
    <col min="4612" max="4612" width="6.7109375" style="999" customWidth="1"/>
    <col min="4613" max="4613" width="96.7109375" style="999" customWidth="1"/>
    <col min="4614" max="4614" width="31.42578125" style="999" customWidth="1"/>
    <col min="4615" max="4615" width="26.85546875" style="999" customWidth="1"/>
    <col min="4616" max="4616" width="22.140625" style="999" customWidth="1"/>
    <col min="4617" max="4617" width="31.5703125" style="999" customWidth="1"/>
    <col min="4618" max="4618" width="18.7109375" style="999" customWidth="1"/>
    <col min="4619" max="4619" width="23.7109375" style="999" customWidth="1"/>
    <col min="4620" max="4620" width="29.28515625" style="999" customWidth="1"/>
    <col min="4621" max="4867" width="9.140625" style="999"/>
    <col min="4868" max="4868" width="6.7109375" style="999" customWidth="1"/>
    <col min="4869" max="4869" width="96.7109375" style="999" customWidth="1"/>
    <col min="4870" max="4870" width="31.42578125" style="999" customWidth="1"/>
    <col min="4871" max="4871" width="26.85546875" style="999" customWidth="1"/>
    <col min="4872" max="4872" width="22.140625" style="999" customWidth="1"/>
    <col min="4873" max="4873" width="31.5703125" style="999" customWidth="1"/>
    <col min="4874" max="4874" width="18.7109375" style="999" customWidth="1"/>
    <col min="4875" max="4875" width="23.7109375" style="999" customWidth="1"/>
    <col min="4876" max="4876" width="29.28515625" style="999" customWidth="1"/>
    <col min="4877" max="5123" width="9.140625" style="999"/>
    <col min="5124" max="5124" width="6.7109375" style="999" customWidth="1"/>
    <col min="5125" max="5125" width="96.7109375" style="999" customWidth="1"/>
    <col min="5126" max="5126" width="31.42578125" style="999" customWidth="1"/>
    <col min="5127" max="5127" width="26.85546875" style="999" customWidth="1"/>
    <col min="5128" max="5128" width="22.140625" style="999" customWidth="1"/>
    <col min="5129" max="5129" width="31.5703125" style="999" customWidth="1"/>
    <col min="5130" max="5130" width="18.7109375" style="999" customWidth="1"/>
    <col min="5131" max="5131" width="23.7109375" style="999" customWidth="1"/>
    <col min="5132" max="5132" width="29.28515625" style="999" customWidth="1"/>
    <col min="5133" max="5379" width="9.140625" style="999"/>
    <col min="5380" max="5380" width="6.7109375" style="999" customWidth="1"/>
    <col min="5381" max="5381" width="96.7109375" style="999" customWidth="1"/>
    <col min="5382" max="5382" width="31.42578125" style="999" customWidth="1"/>
    <col min="5383" max="5383" width="26.85546875" style="999" customWidth="1"/>
    <col min="5384" max="5384" width="22.140625" style="999" customWidth="1"/>
    <col min="5385" max="5385" width="31.5703125" style="999" customWidth="1"/>
    <col min="5386" max="5386" width="18.7109375" style="999" customWidth="1"/>
    <col min="5387" max="5387" width="23.7109375" style="999" customWidth="1"/>
    <col min="5388" max="5388" width="29.28515625" style="999" customWidth="1"/>
    <col min="5389" max="5635" width="9.140625" style="999"/>
    <col min="5636" max="5636" width="6.7109375" style="999" customWidth="1"/>
    <col min="5637" max="5637" width="96.7109375" style="999" customWidth="1"/>
    <col min="5638" max="5638" width="31.42578125" style="999" customWidth="1"/>
    <col min="5639" max="5639" width="26.85546875" style="999" customWidth="1"/>
    <col min="5640" max="5640" width="22.140625" style="999" customWidth="1"/>
    <col min="5641" max="5641" width="31.5703125" style="999" customWidth="1"/>
    <col min="5642" max="5642" width="18.7109375" style="999" customWidth="1"/>
    <col min="5643" max="5643" width="23.7109375" style="999" customWidth="1"/>
    <col min="5644" max="5644" width="29.28515625" style="999" customWidth="1"/>
    <col min="5645" max="5891" width="9.140625" style="999"/>
    <col min="5892" max="5892" width="6.7109375" style="999" customWidth="1"/>
    <col min="5893" max="5893" width="96.7109375" style="999" customWidth="1"/>
    <col min="5894" max="5894" width="31.42578125" style="999" customWidth="1"/>
    <col min="5895" max="5895" width="26.85546875" style="999" customWidth="1"/>
    <col min="5896" max="5896" width="22.140625" style="999" customWidth="1"/>
    <col min="5897" max="5897" width="31.5703125" style="999" customWidth="1"/>
    <col min="5898" max="5898" width="18.7109375" style="999" customWidth="1"/>
    <col min="5899" max="5899" width="23.7109375" style="999" customWidth="1"/>
    <col min="5900" max="5900" width="29.28515625" style="999" customWidth="1"/>
    <col min="5901" max="6147" width="9.140625" style="999"/>
    <col min="6148" max="6148" width="6.7109375" style="999" customWidth="1"/>
    <col min="6149" max="6149" width="96.7109375" style="999" customWidth="1"/>
    <col min="6150" max="6150" width="31.42578125" style="999" customWidth="1"/>
    <col min="6151" max="6151" width="26.85546875" style="999" customWidth="1"/>
    <col min="6152" max="6152" width="22.140625" style="999" customWidth="1"/>
    <col min="6153" max="6153" width="31.5703125" style="999" customWidth="1"/>
    <col min="6154" max="6154" width="18.7109375" style="999" customWidth="1"/>
    <col min="6155" max="6155" width="23.7109375" style="999" customWidth="1"/>
    <col min="6156" max="6156" width="29.28515625" style="999" customWidth="1"/>
    <col min="6157" max="6403" width="9.140625" style="999"/>
    <col min="6404" max="6404" width="6.7109375" style="999" customWidth="1"/>
    <col min="6405" max="6405" width="96.7109375" style="999" customWidth="1"/>
    <col min="6406" max="6406" width="31.42578125" style="999" customWidth="1"/>
    <col min="6407" max="6407" width="26.85546875" style="999" customWidth="1"/>
    <col min="6408" max="6408" width="22.140625" style="999" customWidth="1"/>
    <col min="6409" max="6409" width="31.5703125" style="999" customWidth="1"/>
    <col min="6410" max="6410" width="18.7109375" style="999" customWidth="1"/>
    <col min="6411" max="6411" width="23.7109375" style="999" customWidth="1"/>
    <col min="6412" max="6412" width="29.28515625" style="999" customWidth="1"/>
    <col min="6413" max="6659" width="9.140625" style="999"/>
    <col min="6660" max="6660" width="6.7109375" style="999" customWidth="1"/>
    <col min="6661" max="6661" width="96.7109375" style="999" customWidth="1"/>
    <col min="6662" max="6662" width="31.42578125" style="999" customWidth="1"/>
    <col min="6663" max="6663" width="26.85546875" style="999" customWidth="1"/>
    <col min="6664" max="6664" width="22.140625" style="999" customWidth="1"/>
    <col min="6665" max="6665" width="31.5703125" style="999" customWidth="1"/>
    <col min="6666" max="6666" width="18.7109375" style="999" customWidth="1"/>
    <col min="6667" max="6667" width="23.7109375" style="999" customWidth="1"/>
    <col min="6668" max="6668" width="29.28515625" style="999" customWidth="1"/>
    <col min="6669" max="6915" width="9.140625" style="999"/>
    <col min="6916" max="6916" width="6.7109375" style="999" customWidth="1"/>
    <col min="6917" max="6917" width="96.7109375" style="999" customWidth="1"/>
    <col min="6918" max="6918" width="31.42578125" style="999" customWidth="1"/>
    <col min="6919" max="6919" width="26.85546875" style="999" customWidth="1"/>
    <col min="6920" max="6920" width="22.140625" style="999" customWidth="1"/>
    <col min="6921" max="6921" width="31.5703125" style="999" customWidth="1"/>
    <col min="6922" max="6922" width="18.7109375" style="999" customWidth="1"/>
    <col min="6923" max="6923" width="23.7109375" style="999" customWidth="1"/>
    <col min="6924" max="6924" width="29.28515625" style="999" customWidth="1"/>
    <col min="6925" max="7171" width="9.140625" style="999"/>
    <col min="7172" max="7172" width="6.7109375" style="999" customWidth="1"/>
    <col min="7173" max="7173" width="96.7109375" style="999" customWidth="1"/>
    <col min="7174" max="7174" width="31.42578125" style="999" customWidth="1"/>
    <col min="7175" max="7175" width="26.85546875" style="999" customWidth="1"/>
    <col min="7176" max="7176" width="22.140625" style="999" customWidth="1"/>
    <col min="7177" max="7177" width="31.5703125" style="999" customWidth="1"/>
    <col min="7178" max="7178" width="18.7109375" style="999" customWidth="1"/>
    <col min="7179" max="7179" width="23.7109375" style="999" customWidth="1"/>
    <col min="7180" max="7180" width="29.28515625" style="999" customWidth="1"/>
    <col min="7181" max="7427" width="9.140625" style="999"/>
    <col min="7428" max="7428" width="6.7109375" style="999" customWidth="1"/>
    <col min="7429" max="7429" width="96.7109375" style="999" customWidth="1"/>
    <col min="7430" max="7430" width="31.42578125" style="999" customWidth="1"/>
    <col min="7431" max="7431" width="26.85546875" style="999" customWidth="1"/>
    <col min="7432" max="7432" width="22.140625" style="999" customWidth="1"/>
    <col min="7433" max="7433" width="31.5703125" style="999" customWidth="1"/>
    <col min="7434" max="7434" width="18.7109375" style="999" customWidth="1"/>
    <col min="7435" max="7435" width="23.7109375" style="999" customWidth="1"/>
    <col min="7436" max="7436" width="29.28515625" style="999" customWidth="1"/>
    <col min="7437" max="7683" width="9.140625" style="999"/>
    <col min="7684" max="7684" width="6.7109375" style="999" customWidth="1"/>
    <col min="7685" max="7685" width="96.7109375" style="999" customWidth="1"/>
    <col min="7686" max="7686" width="31.42578125" style="999" customWidth="1"/>
    <col min="7687" max="7687" width="26.85546875" style="999" customWidth="1"/>
    <col min="7688" max="7688" width="22.140625" style="999" customWidth="1"/>
    <col min="7689" max="7689" width="31.5703125" style="999" customWidth="1"/>
    <col min="7690" max="7690" width="18.7109375" style="999" customWidth="1"/>
    <col min="7691" max="7691" width="23.7109375" style="999" customWidth="1"/>
    <col min="7692" max="7692" width="29.28515625" style="999" customWidth="1"/>
    <col min="7693" max="7939" width="9.140625" style="999"/>
    <col min="7940" max="7940" width="6.7109375" style="999" customWidth="1"/>
    <col min="7941" max="7941" width="96.7109375" style="999" customWidth="1"/>
    <col min="7942" max="7942" width="31.42578125" style="999" customWidth="1"/>
    <col min="7943" max="7943" width="26.85546875" style="999" customWidth="1"/>
    <col min="7944" max="7944" width="22.140625" style="999" customWidth="1"/>
    <col min="7945" max="7945" width="31.5703125" style="999" customWidth="1"/>
    <col min="7946" max="7946" width="18.7109375" style="999" customWidth="1"/>
    <col min="7947" max="7947" width="23.7109375" style="999" customWidth="1"/>
    <col min="7948" max="7948" width="29.28515625" style="999" customWidth="1"/>
    <col min="7949" max="8195" width="9.140625" style="999"/>
    <col min="8196" max="8196" width="6.7109375" style="999" customWidth="1"/>
    <col min="8197" max="8197" width="96.7109375" style="999" customWidth="1"/>
    <col min="8198" max="8198" width="31.42578125" style="999" customWidth="1"/>
    <col min="8199" max="8199" width="26.85546875" style="999" customWidth="1"/>
    <col min="8200" max="8200" width="22.140625" style="999" customWidth="1"/>
    <col min="8201" max="8201" width="31.5703125" style="999" customWidth="1"/>
    <col min="8202" max="8202" width="18.7109375" style="999" customWidth="1"/>
    <col min="8203" max="8203" width="23.7109375" style="999" customWidth="1"/>
    <col min="8204" max="8204" width="29.28515625" style="999" customWidth="1"/>
    <col min="8205" max="8451" width="9.140625" style="999"/>
    <col min="8452" max="8452" width="6.7109375" style="999" customWidth="1"/>
    <col min="8453" max="8453" width="96.7109375" style="999" customWidth="1"/>
    <col min="8454" max="8454" width="31.42578125" style="999" customWidth="1"/>
    <col min="8455" max="8455" width="26.85546875" style="999" customWidth="1"/>
    <col min="8456" max="8456" width="22.140625" style="999" customWidth="1"/>
    <col min="8457" max="8457" width="31.5703125" style="999" customWidth="1"/>
    <col min="8458" max="8458" width="18.7109375" style="999" customWidth="1"/>
    <col min="8459" max="8459" width="23.7109375" style="999" customWidth="1"/>
    <col min="8460" max="8460" width="29.28515625" style="999" customWidth="1"/>
    <col min="8461" max="8707" width="9.140625" style="999"/>
    <col min="8708" max="8708" width="6.7109375" style="999" customWidth="1"/>
    <col min="8709" max="8709" width="96.7109375" style="999" customWidth="1"/>
    <col min="8710" max="8710" width="31.42578125" style="999" customWidth="1"/>
    <col min="8711" max="8711" width="26.85546875" style="999" customWidth="1"/>
    <col min="8712" max="8712" width="22.140625" style="999" customWidth="1"/>
    <col min="8713" max="8713" width="31.5703125" style="999" customWidth="1"/>
    <col min="8714" max="8714" width="18.7109375" style="999" customWidth="1"/>
    <col min="8715" max="8715" width="23.7109375" style="999" customWidth="1"/>
    <col min="8716" max="8716" width="29.28515625" style="999" customWidth="1"/>
    <col min="8717" max="8963" width="9.140625" style="999"/>
    <col min="8964" max="8964" width="6.7109375" style="999" customWidth="1"/>
    <col min="8965" max="8965" width="96.7109375" style="999" customWidth="1"/>
    <col min="8966" max="8966" width="31.42578125" style="999" customWidth="1"/>
    <col min="8967" max="8967" width="26.85546875" style="999" customWidth="1"/>
    <col min="8968" max="8968" width="22.140625" style="999" customWidth="1"/>
    <col min="8969" max="8969" width="31.5703125" style="999" customWidth="1"/>
    <col min="8970" max="8970" width="18.7109375" style="999" customWidth="1"/>
    <col min="8971" max="8971" width="23.7109375" style="999" customWidth="1"/>
    <col min="8972" max="8972" width="29.28515625" style="999" customWidth="1"/>
    <col min="8973" max="9219" width="9.140625" style="999"/>
    <col min="9220" max="9220" width="6.7109375" style="999" customWidth="1"/>
    <col min="9221" max="9221" width="96.7109375" style="999" customWidth="1"/>
    <col min="9222" max="9222" width="31.42578125" style="999" customWidth="1"/>
    <col min="9223" max="9223" width="26.85546875" style="999" customWidth="1"/>
    <col min="9224" max="9224" width="22.140625" style="999" customWidth="1"/>
    <col min="9225" max="9225" width="31.5703125" style="999" customWidth="1"/>
    <col min="9226" max="9226" width="18.7109375" style="999" customWidth="1"/>
    <col min="9227" max="9227" width="23.7109375" style="999" customWidth="1"/>
    <col min="9228" max="9228" width="29.28515625" style="999" customWidth="1"/>
    <col min="9229" max="9475" width="9.140625" style="999"/>
    <col min="9476" max="9476" width="6.7109375" style="999" customWidth="1"/>
    <col min="9477" max="9477" width="96.7109375" style="999" customWidth="1"/>
    <col min="9478" max="9478" width="31.42578125" style="999" customWidth="1"/>
    <col min="9479" max="9479" width="26.85546875" style="999" customWidth="1"/>
    <col min="9480" max="9480" width="22.140625" style="999" customWidth="1"/>
    <col min="9481" max="9481" width="31.5703125" style="999" customWidth="1"/>
    <col min="9482" max="9482" width="18.7109375" style="999" customWidth="1"/>
    <col min="9483" max="9483" width="23.7109375" style="999" customWidth="1"/>
    <col min="9484" max="9484" width="29.28515625" style="999" customWidth="1"/>
    <col min="9485" max="9731" width="9.140625" style="999"/>
    <col min="9732" max="9732" width="6.7109375" style="999" customWidth="1"/>
    <col min="9733" max="9733" width="96.7109375" style="999" customWidth="1"/>
    <col min="9734" max="9734" width="31.42578125" style="999" customWidth="1"/>
    <col min="9735" max="9735" width="26.85546875" style="999" customWidth="1"/>
    <col min="9736" max="9736" width="22.140625" style="999" customWidth="1"/>
    <col min="9737" max="9737" width="31.5703125" style="999" customWidth="1"/>
    <col min="9738" max="9738" width="18.7109375" style="999" customWidth="1"/>
    <col min="9739" max="9739" width="23.7109375" style="999" customWidth="1"/>
    <col min="9740" max="9740" width="29.28515625" style="999" customWidth="1"/>
    <col min="9741" max="9987" width="9.140625" style="999"/>
    <col min="9988" max="9988" width="6.7109375" style="999" customWidth="1"/>
    <col min="9989" max="9989" width="96.7109375" style="999" customWidth="1"/>
    <col min="9990" max="9990" width="31.42578125" style="999" customWidth="1"/>
    <col min="9991" max="9991" width="26.85546875" style="999" customWidth="1"/>
    <col min="9992" max="9992" width="22.140625" style="999" customWidth="1"/>
    <col min="9993" max="9993" width="31.5703125" style="999" customWidth="1"/>
    <col min="9994" max="9994" width="18.7109375" style="999" customWidth="1"/>
    <col min="9995" max="9995" width="23.7109375" style="999" customWidth="1"/>
    <col min="9996" max="9996" width="29.28515625" style="999" customWidth="1"/>
    <col min="9997" max="10243" width="9.140625" style="999"/>
    <col min="10244" max="10244" width="6.7109375" style="999" customWidth="1"/>
    <col min="10245" max="10245" width="96.7109375" style="999" customWidth="1"/>
    <col min="10246" max="10246" width="31.42578125" style="999" customWidth="1"/>
    <col min="10247" max="10247" width="26.85546875" style="999" customWidth="1"/>
    <col min="10248" max="10248" width="22.140625" style="999" customWidth="1"/>
    <col min="10249" max="10249" width="31.5703125" style="999" customWidth="1"/>
    <col min="10250" max="10250" width="18.7109375" style="999" customWidth="1"/>
    <col min="10251" max="10251" width="23.7109375" style="999" customWidth="1"/>
    <col min="10252" max="10252" width="29.28515625" style="999" customWidth="1"/>
    <col min="10253" max="10499" width="9.140625" style="999"/>
    <col min="10500" max="10500" width="6.7109375" style="999" customWidth="1"/>
    <col min="10501" max="10501" width="96.7109375" style="999" customWidth="1"/>
    <col min="10502" max="10502" width="31.42578125" style="999" customWidth="1"/>
    <col min="10503" max="10503" width="26.85546875" style="999" customWidth="1"/>
    <col min="10504" max="10504" width="22.140625" style="999" customWidth="1"/>
    <col min="10505" max="10505" width="31.5703125" style="999" customWidth="1"/>
    <col min="10506" max="10506" width="18.7109375" style="999" customWidth="1"/>
    <col min="10507" max="10507" width="23.7109375" style="999" customWidth="1"/>
    <col min="10508" max="10508" width="29.28515625" style="999" customWidth="1"/>
    <col min="10509" max="10755" width="9.140625" style="999"/>
    <col min="10756" max="10756" width="6.7109375" style="999" customWidth="1"/>
    <col min="10757" max="10757" width="96.7109375" style="999" customWidth="1"/>
    <col min="10758" max="10758" width="31.42578125" style="999" customWidth="1"/>
    <col min="10759" max="10759" width="26.85546875" style="999" customWidth="1"/>
    <col min="10760" max="10760" width="22.140625" style="999" customWidth="1"/>
    <col min="10761" max="10761" width="31.5703125" style="999" customWidth="1"/>
    <col min="10762" max="10762" width="18.7109375" style="999" customWidth="1"/>
    <col min="10763" max="10763" width="23.7109375" style="999" customWidth="1"/>
    <col min="10764" max="10764" width="29.28515625" style="999" customWidth="1"/>
    <col min="10765" max="11011" width="9.140625" style="999"/>
    <col min="11012" max="11012" width="6.7109375" style="999" customWidth="1"/>
    <col min="11013" max="11013" width="96.7109375" style="999" customWidth="1"/>
    <col min="11014" max="11014" width="31.42578125" style="999" customWidth="1"/>
    <col min="11015" max="11015" width="26.85546875" style="999" customWidth="1"/>
    <col min="11016" max="11016" width="22.140625" style="999" customWidth="1"/>
    <col min="11017" max="11017" width="31.5703125" style="999" customWidth="1"/>
    <col min="11018" max="11018" width="18.7109375" style="999" customWidth="1"/>
    <col min="11019" max="11019" width="23.7109375" style="999" customWidth="1"/>
    <col min="11020" max="11020" width="29.28515625" style="999" customWidth="1"/>
    <col min="11021" max="11267" width="9.140625" style="999"/>
    <col min="11268" max="11268" width="6.7109375" style="999" customWidth="1"/>
    <col min="11269" max="11269" width="96.7109375" style="999" customWidth="1"/>
    <col min="11270" max="11270" width="31.42578125" style="999" customWidth="1"/>
    <col min="11271" max="11271" width="26.85546875" style="999" customWidth="1"/>
    <col min="11272" max="11272" width="22.140625" style="999" customWidth="1"/>
    <col min="11273" max="11273" width="31.5703125" style="999" customWidth="1"/>
    <col min="11274" max="11274" width="18.7109375" style="999" customWidth="1"/>
    <col min="11275" max="11275" width="23.7109375" style="999" customWidth="1"/>
    <col min="11276" max="11276" width="29.28515625" style="999" customWidth="1"/>
    <col min="11277" max="11523" width="9.140625" style="999"/>
    <col min="11524" max="11524" width="6.7109375" style="999" customWidth="1"/>
    <col min="11525" max="11525" width="96.7109375" style="999" customWidth="1"/>
    <col min="11526" max="11526" width="31.42578125" style="999" customWidth="1"/>
    <col min="11527" max="11527" width="26.85546875" style="999" customWidth="1"/>
    <col min="11528" max="11528" width="22.140625" style="999" customWidth="1"/>
    <col min="11529" max="11529" width="31.5703125" style="999" customWidth="1"/>
    <col min="11530" max="11530" width="18.7109375" style="999" customWidth="1"/>
    <col min="11531" max="11531" width="23.7109375" style="999" customWidth="1"/>
    <col min="11532" max="11532" width="29.28515625" style="999" customWidth="1"/>
    <col min="11533" max="11779" width="9.140625" style="999"/>
    <col min="11780" max="11780" width="6.7109375" style="999" customWidth="1"/>
    <col min="11781" max="11781" width="96.7109375" style="999" customWidth="1"/>
    <col min="11782" max="11782" width="31.42578125" style="999" customWidth="1"/>
    <col min="11783" max="11783" width="26.85546875" style="999" customWidth="1"/>
    <col min="11784" max="11784" width="22.140625" style="999" customWidth="1"/>
    <col min="11785" max="11785" width="31.5703125" style="999" customWidth="1"/>
    <col min="11786" max="11786" width="18.7109375" style="999" customWidth="1"/>
    <col min="11787" max="11787" width="23.7109375" style="999" customWidth="1"/>
    <col min="11788" max="11788" width="29.28515625" style="999" customWidth="1"/>
    <col min="11789" max="12035" width="9.140625" style="999"/>
    <col min="12036" max="12036" width="6.7109375" style="999" customWidth="1"/>
    <col min="12037" max="12037" width="96.7109375" style="999" customWidth="1"/>
    <col min="12038" max="12038" width="31.42578125" style="999" customWidth="1"/>
    <col min="12039" max="12039" width="26.85546875" style="999" customWidth="1"/>
    <col min="12040" max="12040" width="22.140625" style="999" customWidth="1"/>
    <col min="12041" max="12041" width="31.5703125" style="999" customWidth="1"/>
    <col min="12042" max="12042" width="18.7109375" style="999" customWidth="1"/>
    <col min="12043" max="12043" width="23.7109375" style="999" customWidth="1"/>
    <col min="12044" max="12044" width="29.28515625" style="999" customWidth="1"/>
    <col min="12045" max="12291" width="9.140625" style="999"/>
    <col min="12292" max="12292" width="6.7109375" style="999" customWidth="1"/>
    <col min="12293" max="12293" width="96.7109375" style="999" customWidth="1"/>
    <col min="12294" max="12294" width="31.42578125" style="999" customWidth="1"/>
    <col min="12295" max="12295" width="26.85546875" style="999" customWidth="1"/>
    <col min="12296" max="12296" width="22.140625" style="999" customWidth="1"/>
    <col min="12297" max="12297" width="31.5703125" style="999" customWidth="1"/>
    <col min="12298" max="12298" width="18.7109375" style="999" customWidth="1"/>
    <col min="12299" max="12299" width="23.7109375" style="999" customWidth="1"/>
    <col min="12300" max="12300" width="29.28515625" style="999" customWidth="1"/>
    <col min="12301" max="12547" width="9.140625" style="999"/>
    <col min="12548" max="12548" width="6.7109375" style="999" customWidth="1"/>
    <col min="12549" max="12549" width="96.7109375" style="999" customWidth="1"/>
    <col min="12550" max="12550" width="31.42578125" style="999" customWidth="1"/>
    <col min="12551" max="12551" width="26.85546875" style="999" customWidth="1"/>
    <col min="12552" max="12552" width="22.140625" style="999" customWidth="1"/>
    <col min="12553" max="12553" width="31.5703125" style="999" customWidth="1"/>
    <col min="12554" max="12554" width="18.7109375" style="999" customWidth="1"/>
    <col min="12555" max="12555" width="23.7109375" style="999" customWidth="1"/>
    <col min="12556" max="12556" width="29.28515625" style="999" customWidth="1"/>
    <col min="12557" max="12803" width="9.140625" style="999"/>
    <col min="12804" max="12804" width="6.7109375" style="999" customWidth="1"/>
    <col min="12805" max="12805" width="96.7109375" style="999" customWidth="1"/>
    <col min="12806" max="12806" width="31.42578125" style="999" customWidth="1"/>
    <col min="12807" max="12807" width="26.85546875" style="999" customWidth="1"/>
    <col min="12808" max="12808" width="22.140625" style="999" customWidth="1"/>
    <col min="12809" max="12809" width="31.5703125" style="999" customWidth="1"/>
    <col min="12810" max="12810" width="18.7109375" style="999" customWidth="1"/>
    <col min="12811" max="12811" width="23.7109375" style="999" customWidth="1"/>
    <col min="12812" max="12812" width="29.28515625" style="999" customWidth="1"/>
    <col min="12813" max="13059" width="9.140625" style="999"/>
    <col min="13060" max="13060" width="6.7109375" style="999" customWidth="1"/>
    <col min="13061" max="13061" width="96.7109375" style="999" customWidth="1"/>
    <col min="13062" max="13062" width="31.42578125" style="999" customWidth="1"/>
    <col min="13063" max="13063" width="26.85546875" style="999" customWidth="1"/>
    <col min="13064" max="13064" width="22.140625" style="999" customWidth="1"/>
    <col min="13065" max="13065" width="31.5703125" style="999" customWidth="1"/>
    <col min="13066" max="13066" width="18.7109375" style="999" customWidth="1"/>
    <col min="13067" max="13067" width="23.7109375" style="999" customWidth="1"/>
    <col min="13068" max="13068" width="29.28515625" style="999" customWidth="1"/>
    <col min="13069" max="13315" width="9.140625" style="999"/>
    <col min="13316" max="13316" width="6.7109375" style="999" customWidth="1"/>
    <col min="13317" max="13317" width="96.7109375" style="999" customWidth="1"/>
    <col min="13318" max="13318" width="31.42578125" style="999" customWidth="1"/>
    <col min="13319" max="13319" width="26.85546875" style="999" customWidth="1"/>
    <col min="13320" max="13320" width="22.140625" style="999" customWidth="1"/>
    <col min="13321" max="13321" width="31.5703125" style="999" customWidth="1"/>
    <col min="13322" max="13322" width="18.7109375" style="999" customWidth="1"/>
    <col min="13323" max="13323" width="23.7109375" style="999" customWidth="1"/>
    <col min="13324" max="13324" width="29.28515625" style="999" customWidth="1"/>
    <col min="13325" max="13571" width="9.140625" style="999"/>
    <col min="13572" max="13572" width="6.7109375" style="999" customWidth="1"/>
    <col min="13573" max="13573" width="96.7109375" style="999" customWidth="1"/>
    <col min="13574" max="13574" width="31.42578125" style="999" customWidth="1"/>
    <col min="13575" max="13575" width="26.85546875" style="999" customWidth="1"/>
    <col min="13576" max="13576" width="22.140625" style="999" customWidth="1"/>
    <col min="13577" max="13577" width="31.5703125" style="999" customWidth="1"/>
    <col min="13578" max="13578" width="18.7109375" style="999" customWidth="1"/>
    <col min="13579" max="13579" width="23.7109375" style="999" customWidth="1"/>
    <col min="13580" max="13580" width="29.28515625" style="999" customWidth="1"/>
    <col min="13581" max="13827" width="9.140625" style="999"/>
    <col min="13828" max="13828" width="6.7109375" style="999" customWidth="1"/>
    <col min="13829" max="13829" width="96.7109375" style="999" customWidth="1"/>
    <col min="13830" max="13830" width="31.42578125" style="999" customWidth="1"/>
    <col min="13831" max="13831" width="26.85546875" style="999" customWidth="1"/>
    <col min="13832" max="13832" width="22.140625" style="999" customWidth="1"/>
    <col min="13833" max="13833" width="31.5703125" style="999" customWidth="1"/>
    <col min="13834" max="13834" width="18.7109375" style="999" customWidth="1"/>
    <col min="13835" max="13835" width="23.7109375" style="999" customWidth="1"/>
    <col min="13836" max="13836" width="29.28515625" style="999" customWidth="1"/>
    <col min="13837" max="14083" width="9.140625" style="999"/>
    <col min="14084" max="14084" width="6.7109375" style="999" customWidth="1"/>
    <col min="14085" max="14085" width="96.7109375" style="999" customWidth="1"/>
    <col min="14086" max="14086" width="31.42578125" style="999" customWidth="1"/>
    <col min="14087" max="14087" width="26.85546875" style="999" customWidth="1"/>
    <col min="14088" max="14088" width="22.140625" style="999" customWidth="1"/>
    <col min="14089" max="14089" width="31.5703125" style="999" customWidth="1"/>
    <col min="14090" max="14090" width="18.7109375" style="999" customWidth="1"/>
    <col min="14091" max="14091" width="23.7109375" style="999" customWidth="1"/>
    <col min="14092" max="14092" width="29.28515625" style="999" customWidth="1"/>
    <col min="14093" max="14339" width="9.140625" style="999"/>
    <col min="14340" max="14340" width="6.7109375" style="999" customWidth="1"/>
    <col min="14341" max="14341" width="96.7109375" style="999" customWidth="1"/>
    <col min="14342" max="14342" width="31.42578125" style="999" customWidth="1"/>
    <col min="14343" max="14343" width="26.85546875" style="999" customWidth="1"/>
    <col min="14344" max="14344" width="22.140625" style="999" customWidth="1"/>
    <col min="14345" max="14345" width="31.5703125" style="999" customWidth="1"/>
    <col min="14346" max="14346" width="18.7109375" style="999" customWidth="1"/>
    <col min="14347" max="14347" width="23.7109375" style="999" customWidth="1"/>
    <col min="14348" max="14348" width="29.28515625" style="999" customWidth="1"/>
    <col min="14349" max="14595" width="9.140625" style="999"/>
    <col min="14596" max="14596" width="6.7109375" style="999" customWidth="1"/>
    <col min="14597" max="14597" width="96.7109375" style="999" customWidth="1"/>
    <col min="14598" max="14598" width="31.42578125" style="999" customWidth="1"/>
    <col min="14599" max="14599" width="26.85546875" style="999" customWidth="1"/>
    <col min="14600" max="14600" width="22.140625" style="999" customWidth="1"/>
    <col min="14601" max="14601" width="31.5703125" style="999" customWidth="1"/>
    <col min="14602" max="14602" width="18.7109375" style="999" customWidth="1"/>
    <col min="14603" max="14603" width="23.7109375" style="999" customWidth="1"/>
    <col min="14604" max="14604" width="29.28515625" style="999" customWidth="1"/>
    <col min="14605" max="14851" width="9.140625" style="999"/>
    <col min="14852" max="14852" width="6.7109375" style="999" customWidth="1"/>
    <col min="14853" max="14853" width="96.7109375" style="999" customWidth="1"/>
    <col min="14854" max="14854" width="31.42578125" style="999" customWidth="1"/>
    <col min="14855" max="14855" width="26.85546875" style="999" customWidth="1"/>
    <col min="14856" max="14856" width="22.140625" style="999" customWidth="1"/>
    <col min="14857" max="14857" width="31.5703125" style="999" customWidth="1"/>
    <col min="14858" max="14858" width="18.7109375" style="999" customWidth="1"/>
    <col min="14859" max="14859" width="23.7109375" style="999" customWidth="1"/>
    <col min="14860" max="14860" width="29.28515625" style="999" customWidth="1"/>
    <col min="14861" max="15107" width="9.140625" style="999"/>
    <col min="15108" max="15108" width="6.7109375" style="999" customWidth="1"/>
    <col min="15109" max="15109" width="96.7109375" style="999" customWidth="1"/>
    <col min="15110" max="15110" width="31.42578125" style="999" customWidth="1"/>
    <col min="15111" max="15111" width="26.85546875" style="999" customWidth="1"/>
    <col min="15112" max="15112" width="22.140625" style="999" customWidth="1"/>
    <col min="15113" max="15113" width="31.5703125" style="999" customWidth="1"/>
    <col min="15114" max="15114" width="18.7109375" style="999" customWidth="1"/>
    <col min="15115" max="15115" width="23.7109375" style="999" customWidth="1"/>
    <col min="15116" max="15116" width="29.28515625" style="999" customWidth="1"/>
    <col min="15117" max="15363" width="9.140625" style="999"/>
    <col min="15364" max="15364" width="6.7109375" style="999" customWidth="1"/>
    <col min="15365" max="15365" width="96.7109375" style="999" customWidth="1"/>
    <col min="15366" max="15366" width="31.42578125" style="999" customWidth="1"/>
    <col min="15367" max="15367" width="26.85546875" style="999" customWidth="1"/>
    <col min="15368" max="15368" width="22.140625" style="999" customWidth="1"/>
    <col min="15369" max="15369" width="31.5703125" style="999" customWidth="1"/>
    <col min="15370" max="15370" width="18.7109375" style="999" customWidth="1"/>
    <col min="15371" max="15371" width="23.7109375" style="999" customWidth="1"/>
    <col min="15372" max="15372" width="29.28515625" style="999" customWidth="1"/>
    <col min="15373" max="15619" width="9.140625" style="999"/>
    <col min="15620" max="15620" width="6.7109375" style="999" customWidth="1"/>
    <col min="15621" max="15621" width="96.7109375" style="999" customWidth="1"/>
    <col min="15622" max="15622" width="31.42578125" style="999" customWidth="1"/>
    <col min="15623" max="15623" width="26.85546875" style="999" customWidth="1"/>
    <col min="15624" max="15624" width="22.140625" style="999" customWidth="1"/>
    <col min="15625" max="15625" width="31.5703125" style="999" customWidth="1"/>
    <col min="15626" max="15626" width="18.7109375" style="999" customWidth="1"/>
    <col min="15627" max="15627" width="23.7109375" style="999" customWidth="1"/>
    <col min="15628" max="15628" width="29.28515625" style="999" customWidth="1"/>
    <col min="15629" max="15875" width="9.140625" style="999"/>
    <col min="15876" max="15876" width="6.7109375" style="999" customWidth="1"/>
    <col min="15877" max="15877" width="96.7109375" style="999" customWidth="1"/>
    <col min="15878" max="15878" width="31.42578125" style="999" customWidth="1"/>
    <col min="15879" max="15879" width="26.85546875" style="999" customWidth="1"/>
    <col min="15880" max="15880" width="22.140625" style="999" customWidth="1"/>
    <col min="15881" max="15881" width="31.5703125" style="999" customWidth="1"/>
    <col min="15882" max="15882" width="18.7109375" style="999" customWidth="1"/>
    <col min="15883" max="15883" width="23.7109375" style="999" customWidth="1"/>
    <col min="15884" max="15884" width="29.28515625" style="999" customWidth="1"/>
    <col min="15885" max="16131" width="9.140625" style="999"/>
    <col min="16132" max="16132" width="6.7109375" style="999" customWidth="1"/>
    <col min="16133" max="16133" width="96.7109375" style="999" customWidth="1"/>
    <col min="16134" max="16134" width="31.42578125" style="999" customWidth="1"/>
    <col min="16135" max="16135" width="26.85546875" style="999" customWidth="1"/>
    <col min="16136" max="16136" width="22.140625" style="999" customWidth="1"/>
    <col min="16137" max="16137" width="31.5703125" style="999" customWidth="1"/>
    <col min="16138" max="16138" width="18.7109375" style="999" customWidth="1"/>
    <col min="16139" max="16139" width="23.7109375" style="999" customWidth="1"/>
    <col min="16140" max="16140" width="29.28515625" style="999" customWidth="1"/>
    <col min="16141" max="16384" width="9.140625" style="999"/>
  </cols>
  <sheetData>
    <row r="1" spans="2:13" ht="28.15" customHeight="1">
      <c r="C1" s="2892" t="s">
        <v>3444</v>
      </c>
      <c r="D1" s="2892"/>
      <c r="E1" s="2892"/>
      <c r="F1" s="2892"/>
      <c r="G1" s="2892"/>
      <c r="H1" s="2892"/>
      <c r="I1" s="2892"/>
    </row>
    <row r="2" spans="2:13" ht="12" customHeight="1">
      <c r="C2" s="1000"/>
      <c r="D2" s="1000"/>
      <c r="E2" s="1000"/>
      <c r="F2" s="1000"/>
      <c r="G2" s="1000"/>
      <c r="H2" s="1000"/>
    </row>
    <row r="3" spans="2:13" ht="4.9000000000000004" customHeight="1">
      <c r="C3" s="1001"/>
    </row>
    <row r="4" spans="2:13" ht="48" customHeight="1">
      <c r="B4" s="2893" t="s">
        <v>454</v>
      </c>
      <c r="C4" s="2895">
        <v>1588</v>
      </c>
      <c r="D4" s="1002">
        <v>2023</v>
      </c>
      <c r="E4" s="1003" t="s">
        <v>440</v>
      </c>
      <c r="F4" s="1156"/>
      <c r="G4" s="1156"/>
      <c r="H4" s="2897" t="s">
        <v>456</v>
      </c>
      <c r="I4" s="2899" t="s">
        <v>457</v>
      </c>
      <c r="J4" s="2891" t="s">
        <v>458</v>
      </c>
    </row>
    <row r="5" spans="2:13" ht="52.15" customHeight="1">
      <c r="B5" s="2894"/>
      <c r="C5" s="2896"/>
      <c r="D5" s="1004" t="s">
        <v>459</v>
      </c>
      <c r="E5" s="1004" t="s">
        <v>3445</v>
      </c>
      <c r="F5" s="1005"/>
      <c r="G5" s="1005"/>
      <c r="H5" s="2898"/>
      <c r="I5" s="2900"/>
      <c r="J5" s="2891"/>
    </row>
    <row r="6" spans="2:13" ht="16.899999999999999" customHeight="1">
      <c r="B6" s="1006">
        <v>1</v>
      </c>
      <c r="C6" s="1007">
        <v>2</v>
      </c>
      <c r="D6" s="1008">
        <v>3</v>
      </c>
      <c r="E6" s="1008">
        <v>4</v>
      </c>
      <c r="F6" s="1009"/>
      <c r="G6" s="1009"/>
      <c r="H6" s="1009">
        <v>5</v>
      </c>
      <c r="I6" s="1006">
        <v>6</v>
      </c>
      <c r="J6" s="1010">
        <v>7</v>
      </c>
      <c r="L6" s="1011"/>
    </row>
    <row r="7" spans="2:13" ht="49.9" customHeight="1">
      <c r="B7" s="2901" t="s">
        <v>461</v>
      </c>
      <c r="C7" s="2901"/>
      <c r="D7" s="1012">
        <f>D8+D11</f>
        <v>1456086423.1470001</v>
      </c>
      <c r="E7" s="1012">
        <f>E8+E11</f>
        <v>771411543.95000017</v>
      </c>
      <c r="F7" s="1012"/>
      <c r="G7" s="1012"/>
      <c r="H7" s="1013">
        <f t="shared" ref="H7:H13" si="0">(E7/D7)*100</f>
        <v>52.978417468021533</v>
      </c>
      <c r="I7" s="1014">
        <f t="shared" ref="I7:I70" si="1">D7-E7</f>
        <v>684674879.19699991</v>
      </c>
      <c r="J7" s="1015"/>
      <c r="K7" s="1011">
        <f>771411543.95-E7</f>
        <v>0</v>
      </c>
    </row>
    <row r="8" spans="2:13" ht="33" customHeight="1">
      <c r="B8" s="1016"/>
      <c r="C8" s="1017" t="s">
        <v>462</v>
      </c>
      <c r="D8" s="1018">
        <f>D9+D10</f>
        <v>45945.88</v>
      </c>
      <c r="E8" s="1018">
        <v>45945.88</v>
      </c>
      <c r="F8" s="1018"/>
      <c r="G8" s="1018"/>
      <c r="H8" s="1019">
        <f t="shared" si="0"/>
        <v>100</v>
      </c>
      <c r="I8" s="1020">
        <f t="shared" si="1"/>
        <v>0</v>
      </c>
      <c r="J8" s="1021"/>
    </row>
    <row r="9" spans="2:13" ht="33" customHeight="1">
      <c r="B9" s="1016"/>
      <c r="C9" s="1022" t="s">
        <v>472</v>
      </c>
      <c r="D9" s="1023">
        <v>0</v>
      </c>
      <c r="E9" s="1023">
        <v>0</v>
      </c>
      <c r="F9" s="1023"/>
      <c r="G9" s="1023"/>
      <c r="H9" s="1023" t="e">
        <f t="shared" si="0"/>
        <v>#DIV/0!</v>
      </c>
      <c r="I9" s="1024">
        <f t="shared" si="1"/>
        <v>0</v>
      </c>
      <c r="J9" s="1021"/>
      <c r="K9" s="1011"/>
    </row>
    <row r="10" spans="2:13" ht="33" customHeight="1">
      <c r="B10" s="1016"/>
      <c r="C10" s="1022" t="s">
        <v>474</v>
      </c>
      <c r="D10" s="1023">
        <v>45945.88</v>
      </c>
      <c r="E10" s="1023">
        <v>45945.88</v>
      </c>
      <c r="F10" s="1023"/>
      <c r="G10" s="1023"/>
      <c r="H10" s="1023">
        <f t="shared" si="0"/>
        <v>100</v>
      </c>
      <c r="I10" s="1024">
        <f t="shared" si="1"/>
        <v>0</v>
      </c>
      <c r="J10" s="1021"/>
    </row>
    <row r="11" spans="2:13" ht="53.25" customHeight="1">
      <c r="B11" s="2902" t="s">
        <v>3446</v>
      </c>
      <c r="C11" s="2903"/>
      <c r="D11" s="1025">
        <f>D17+D46+D96+D106</f>
        <v>1456040477.267</v>
      </c>
      <c r="E11" s="1025">
        <f>E17+E46+E96+E106</f>
        <v>771365598.07000017</v>
      </c>
      <c r="F11" s="1025"/>
      <c r="G11" s="1025"/>
      <c r="H11" s="1026">
        <f t="shared" si="0"/>
        <v>52.976933685103297</v>
      </c>
      <c r="I11" s="1027">
        <f t="shared" si="1"/>
        <v>684674879.19699979</v>
      </c>
      <c r="J11" s="1028"/>
      <c r="K11" s="1011"/>
      <c r="L11" s="1011"/>
      <c r="M11" s="1029"/>
    </row>
    <row r="12" spans="2:13" ht="39.75" customHeight="1">
      <c r="B12" s="1030"/>
      <c r="C12" s="1031" t="s">
        <v>472</v>
      </c>
      <c r="D12" s="1032">
        <f>D44+D91+D94+D102+D104</f>
        <v>69085800</v>
      </c>
      <c r="E12" s="1032">
        <f>E44+E91+E94+E102+E104</f>
        <v>8798450.1899999995</v>
      </c>
      <c r="F12" s="1032"/>
      <c r="G12" s="1032"/>
      <c r="H12" s="1033">
        <f t="shared" si="0"/>
        <v>12.735540718932109</v>
      </c>
      <c r="I12" s="1034">
        <f t="shared" si="1"/>
        <v>60287349.810000002</v>
      </c>
      <c r="J12" s="1028"/>
    </row>
    <row r="13" spans="2:13" ht="28.5" customHeight="1">
      <c r="B13" s="1030"/>
      <c r="C13" s="1031" t="s">
        <v>474</v>
      </c>
      <c r="D13" s="1032">
        <f>D11-D12</f>
        <v>1386954677.267</v>
      </c>
      <c r="E13" s="1032">
        <f>E11-E12</f>
        <v>762567147.88000011</v>
      </c>
      <c r="F13" s="1032"/>
      <c r="G13" s="1032"/>
      <c r="H13" s="1033">
        <f t="shared" si="0"/>
        <v>54.981403529540117</v>
      </c>
      <c r="I13" s="1034">
        <f t="shared" si="1"/>
        <v>624387529.38699985</v>
      </c>
      <c r="J13" s="1028"/>
    </row>
    <row r="14" spans="2:13" ht="37.9" customHeight="1">
      <c r="B14" s="1035"/>
      <c r="C14" s="1036" t="s">
        <v>571</v>
      </c>
      <c r="D14" s="1037">
        <f>D39+D88+D99</f>
        <v>25092100.577</v>
      </c>
      <c r="E14" s="1037">
        <f>E39+E88+E99</f>
        <v>12327964.940000001</v>
      </c>
      <c r="F14" s="1037"/>
      <c r="G14" s="1037"/>
      <c r="H14" s="1038">
        <f>E14/D14*100</f>
        <v>49.130860535845692</v>
      </c>
      <c r="I14" s="1037">
        <f t="shared" si="1"/>
        <v>12764135.636999998</v>
      </c>
      <c r="J14" s="1039"/>
    </row>
    <row r="15" spans="2:13" ht="21.6" customHeight="1">
      <c r="B15" s="1035"/>
      <c r="C15" s="1040" t="s">
        <v>472</v>
      </c>
      <c r="D15" s="1037">
        <f>D44+D94+D91</f>
        <v>12694800</v>
      </c>
      <c r="E15" s="1037">
        <f>E44+E94+E91</f>
        <v>8798450.1899999995</v>
      </c>
      <c r="F15" s="1037"/>
      <c r="G15" s="1037"/>
      <c r="H15" s="1038">
        <f>E15/D15*100</f>
        <v>69.307513233765007</v>
      </c>
      <c r="I15" s="1037">
        <f t="shared" si="1"/>
        <v>3896349.8100000005</v>
      </c>
      <c r="J15" s="1039"/>
      <c r="K15" s="1011"/>
    </row>
    <row r="16" spans="2:13" ht="20.45" customHeight="1">
      <c r="B16" s="1035"/>
      <c r="C16" s="1040" t="s">
        <v>474</v>
      </c>
      <c r="D16" s="1037">
        <f>D14-D15</f>
        <v>12397300.577</v>
      </c>
      <c r="E16" s="1037">
        <f>E14-E15</f>
        <v>3529514.7500000019</v>
      </c>
      <c r="F16" s="1037"/>
      <c r="G16" s="1037"/>
      <c r="H16" s="1038">
        <f>E16/D16*100</f>
        <v>28.470026422914259</v>
      </c>
      <c r="I16" s="1037">
        <f t="shared" si="1"/>
        <v>8867785.8269999977</v>
      </c>
      <c r="J16" s="1039"/>
      <c r="K16" s="1011"/>
      <c r="L16" s="1011"/>
    </row>
    <row r="17" spans="2:10" ht="62.25" customHeight="1">
      <c r="B17" s="1041" t="s">
        <v>16</v>
      </c>
      <c r="C17" s="1042" t="s">
        <v>2910</v>
      </c>
      <c r="D17" s="1043">
        <f>D18+D19+D20+D21+D22+D23+D24+D25+D31+D39</f>
        <v>252122326.41000003</v>
      </c>
      <c r="E17" s="1043">
        <f>E18+E19+E20+E21+E22+E23+E24+E25+E31+E39</f>
        <v>148147386.61000001</v>
      </c>
      <c r="F17" s="1043"/>
      <c r="G17" s="1043"/>
      <c r="H17" s="1044">
        <f>E17/D17*100</f>
        <v>58.760122008823416</v>
      </c>
      <c r="I17" s="1045">
        <f t="shared" si="1"/>
        <v>103974939.80000001</v>
      </c>
      <c r="J17" s="1039"/>
    </row>
    <row r="18" spans="2:10" ht="66" customHeight="1">
      <c r="B18" s="1046"/>
      <c r="C18" s="1047" t="s">
        <v>3447</v>
      </c>
      <c r="D18" s="1048">
        <v>40000000</v>
      </c>
      <c r="E18" s="1048">
        <v>40000000</v>
      </c>
      <c r="F18" s="1048"/>
      <c r="G18" s="1048"/>
      <c r="H18" s="1049">
        <f>(E18/D18)*100</f>
        <v>100</v>
      </c>
      <c r="I18" s="1024">
        <f t="shared" si="1"/>
        <v>0</v>
      </c>
      <c r="J18" s="1050"/>
    </row>
    <row r="19" spans="2:10" ht="54" customHeight="1">
      <c r="B19" s="1046"/>
      <c r="C19" s="1047" t="s">
        <v>3207</v>
      </c>
      <c r="D19" s="1048">
        <v>40000000</v>
      </c>
      <c r="E19" s="1048">
        <v>25440000</v>
      </c>
      <c r="F19" s="1048"/>
      <c r="G19" s="1048"/>
      <c r="H19" s="1049">
        <f>(E19/D19)*100</f>
        <v>63.6</v>
      </c>
      <c r="I19" s="1024">
        <f t="shared" si="1"/>
        <v>14560000</v>
      </c>
      <c r="J19" s="1051"/>
    </row>
    <row r="20" spans="2:10" ht="51.75" customHeight="1">
      <c r="B20" s="1046"/>
      <c r="C20" s="1047" t="s">
        <v>3448</v>
      </c>
      <c r="D20" s="1048">
        <v>2316998.5</v>
      </c>
      <c r="E20" s="1048">
        <v>1934920.69</v>
      </c>
      <c r="F20" s="1048"/>
      <c r="G20" s="1048"/>
      <c r="H20" s="1049">
        <f>(E20/D20)*100</f>
        <v>83.509794676172646</v>
      </c>
      <c r="I20" s="1024">
        <f t="shared" si="1"/>
        <v>382077.81000000006</v>
      </c>
      <c r="J20" s="1051"/>
    </row>
    <row r="21" spans="2:10" ht="21" customHeight="1">
      <c r="B21" s="1046"/>
      <c r="C21" s="1047" t="s">
        <v>3449</v>
      </c>
      <c r="D21" s="1048">
        <v>56948036.420000002</v>
      </c>
      <c r="E21" s="1048">
        <v>31479533.699999999</v>
      </c>
      <c r="F21" s="1048"/>
      <c r="G21" s="1048"/>
      <c r="H21" s="1049">
        <f>(E21/D21)*100</f>
        <v>55.277645514998774</v>
      </c>
      <c r="I21" s="1024">
        <f t="shared" si="1"/>
        <v>25468502.720000003</v>
      </c>
      <c r="J21" s="1051" t="s">
        <v>3450</v>
      </c>
    </row>
    <row r="22" spans="2:10" ht="52.5" customHeight="1">
      <c r="B22" s="1046"/>
      <c r="C22" s="1052" t="s">
        <v>3451</v>
      </c>
      <c r="D22" s="1048">
        <v>20000000</v>
      </c>
      <c r="E22" s="1048">
        <v>10000000</v>
      </c>
      <c r="F22" s="1048"/>
      <c r="G22" s="1048"/>
      <c r="H22" s="1049">
        <f>(E22/D22)*100</f>
        <v>50</v>
      </c>
      <c r="I22" s="1053">
        <f t="shared" si="1"/>
        <v>10000000</v>
      </c>
      <c r="J22" s="1051"/>
    </row>
    <row r="23" spans="2:10" ht="52.5" customHeight="1">
      <c r="B23" s="1046"/>
      <c r="C23" s="1054" t="s">
        <v>3346</v>
      </c>
      <c r="D23" s="1018">
        <v>14000000</v>
      </c>
      <c r="E23" s="1018"/>
      <c r="F23" s="1018"/>
      <c r="G23" s="1018"/>
      <c r="H23" s="1019">
        <f t="shared" ref="H23:H33" si="2">(E23/D23)*100</f>
        <v>0</v>
      </c>
      <c r="I23" s="1020">
        <f t="shared" si="1"/>
        <v>14000000</v>
      </c>
      <c r="J23" s="1055"/>
    </row>
    <row r="24" spans="2:10" ht="52.5" customHeight="1">
      <c r="B24" s="1046"/>
      <c r="C24" s="1054" t="s">
        <v>3452</v>
      </c>
      <c r="D24" s="1018">
        <v>26000000</v>
      </c>
      <c r="E24" s="1018">
        <v>22500000</v>
      </c>
      <c r="F24" s="1018"/>
      <c r="G24" s="1018"/>
      <c r="H24" s="1019">
        <f t="shared" si="2"/>
        <v>86.538461538461547</v>
      </c>
      <c r="I24" s="1020">
        <f t="shared" si="1"/>
        <v>3500000</v>
      </c>
      <c r="J24" s="1055"/>
    </row>
    <row r="25" spans="2:10" ht="52.5" customHeight="1">
      <c r="B25" s="1046"/>
      <c r="C25" s="1054" t="s">
        <v>3453</v>
      </c>
      <c r="D25" s="1018">
        <f>D26+D27+D28+D29+D30</f>
        <v>9000000</v>
      </c>
      <c r="E25" s="1018">
        <f>E26+E27+E28+E29+E30</f>
        <v>0</v>
      </c>
      <c r="F25" s="1018"/>
      <c r="G25" s="1018"/>
      <c r="H25" s="1019">
        <f t="shared" si="2"/>
        <v>0</v>
      </c>
      <c r="I25" s="1020">
        <f t="shared" si="1"/>
        <v>9000000</v>
      </c>
      <c r="J25" s="1055" t="s">
        <v>3454</v>
      </c>
    </row>
    <row r="26" spans="2:10" ht="27.75" customHeight="1">
      <c r="B26" s="1046"/>
      <c r="C26" s="1056" t="s">
        <v>2557</v>
      </c>
      <c r="D26" s="1057">
        <v>5000000</v>
      </c>
      <c r="E26" s="1057">
        <v>0</v>
      </c>
      <c r="F26" s="1057"/>
      <c r="G26" s="1057"/>
      <c r="H26" s="1023">
        <f t="shared" si="2"/>
        <v>0</v>
      </c>
      <c r="I26" s="1024">
        <f t="shared" si="1"/>
        <v>5000000</v>
      </c>
      <c r="J26" s="1055"/>
    </row>
    <row r="27" spans="2:10" ht="27" customHeight="1">
      <c r="B27" s="1046"/>
      <c r="C27" s="1058" t="s">
        <v>3455</v>
      </c>
      <c r="D27" s="1057">
        <v>1000000</v>
      </c>
      <c r="E27" s="1057"/>
      <c r="F27" s="1057"/>
      <c r="G27" s="1057"/>
      <c r="H27" s="1023">
        <f t="shared" si="2"/>
        <v>0</v>
      </c>
      <c r="I27" s="1024">
        <f t="shared" si="1"/>
        <v>1000000</v>
      </c>
      <c r="J27" s="1055"/>
    </row>
    <row r="28" spans="2:10" ht="26.25" customHeight="1">
      <c r="B28" s="1046"/>
      <c r="C28" s="1058" t="s">
        <v>3456</v>
      </c>
      <c r="D28" s="1057">
        <v>1000000</v>
      </c>
      <c r="E28" s="1057"/>
      <c r="F28" s="1057"/>
      <c r="G28" s="1057"/>
      <c r="H28" s="1023">
        <f t="shared" si="2"/>
        <v>0</v>
      </c>
      <c r="I28" s="1024">
        <f t="shared" si="1"/>
        <v>1000000</v>
      </c>
      <c r="J28" s="1055"/>
    </row>
    <row r="29" spans="2:10" ht="27.75" customHeight="1">
      <c r="B29" s="1046"/>
      <c r="C29" s="1056" t="s">
        <v>3457</v>
      </c>
      <c r="D29" s="1057">
        <v>1000000</v>
      </c>
      <c r="E29" s="1057"/>
      <c r="F29" s="1057"/>
      <c r="G29" s="1057"/>
      <c r="H29" s="1023">
        <f t="shared" si="2"/>
        <v>0</v>
      </c>
      <c r="I29" s="1024">
        <f t="shared" si="1"/>
        <v>1000000</v>
      </c>
      <c r="J29" s="1055"/>
    </row>
    <row r="30" spans="2:10" ht="27.75" customHeight="1">
      <c r="B30" s="1046"/>
      <c r="C30" s="1059" t="s">
        <v>3458</v>
      </c>
      <c r="D30" s="1057">
        <v>1000000</v>
      </c>
      <c r="E30" s="1057"/>
      <c r="F30" s="1057"/>
      <c r="G30" s="1057"/>
      <c r="H30" s="1023">
        <f t="shared" si="2"/>
        <v>0</v>
      </c>
      <c r="I30" s="1024">
        <f t="shared" si="1"/>
        <v>1000000</v>
      </c>
      <c r="J30" s="1055"/>
    </row>
    <row r="31" spans="2:10" ht="52.5" customHeight="1">
      <c r="B31" s="1046"/>
      <c r="C31" s="1060" t="s">
        <v>2907</v>
      </c>
      <c r="D31" s="1061">
        <f>SUM(D32:D38)</f>
        <v>35000000</v>
      </c>
      <c r="E31" s="1061">
        <f>SUM(E32:E38)</f>
        <v>12638178.67</v>
      </c>
      <c r="F31" s="1061"/>
      <c r="G31" s="1061"/>
      <c r="H31" s="1019">
        <f t="shared" si="2"/>
        <v>36.10908191428571</v>
      </c>
      <c r="I31" s="1020">
        <f t="shared" si="1"/>
        <v>22361821.329999998</v>
      </c>
      <c r="J31" s="1062" t="s">
        <v>3454</v>
      </c>
    </row>
    <row r="32" spans="2:10" ht="19.5" customHeight="1">
      <c r="B32" s="1046"/>
      <c r="C32" s="1047" t="s">
        <v>3459</v>
      </c>
      <c r="D32" s="1048">
        <v>5000000</v>
      </c>
      <c r="E32" s="1048">
        <v>0</v>
      </c>
      <c r="F32" s="1048"/>
      <c r="G32" s="1048"/>
      <c r="H32" s="1049">
        <f t="shared" si="2"/>
        <v>0</v>
      </c>
      <c r="I32" s="1053">
        <f t="shared" si="1"/>
        <v>5000000</v>
      </c>
      <c r="J32" s="1051"/>
    </row>
    <row r="33" spans="2:12" ht="19.5" customHeight="1">
      <c r="B33" s="1046"/>
      <c r="C33" s="1047" t="s">
        <v>3460</v>
      </c>
      <c r="D33" s="1048">
        <v>5000000</v>
      </c>
      <c r="E33" s="1048">
        <v>5000000</v>
      </c>
      <c r="F33" s="1048"/>
      <c r="G33" s="1048"/>
      <c r="H33" s="1049">
        <f t="shared" si="2"/>
        <v>100</v>
      </c>
      <c r="I33" s="1053">
        <f t="shared" si="1"/>
        <v>0</v>
      </c>
      <c r="J33" s="1051"/>
    </row>
    <row r="34" spans="2:12" ht="19.5" customHeight="1">
      <c r="B34" s="1046"/>
      <c r="C34" s="1047" t="s">
        <v>3456</v>
      </c>
      <c r="D34" s="1048">
        <v>5000000</v>
      </c>
      <c r="E34" s="1048">
        <v>564293.25</v>
      </c>
      <c r="F34" s="1048"/>
      <c r="G34" s="1048"/>
      <c r="H34" s="1049">
        <f>(E34/D34)*100</f>
        <v>11.285865000000001</v>
      </c>
      <c r="I34" s="1053">
        <f t="shared" si="1"/>
        <v>4435706.75</v>
      </c>
      <c r="J34" s="1051"/>
    </row>
    <row r="35" spans="2:12" ht="23.25" customHeight="1">
      <c r="B35" s="1046"/>
      <c r="C35" s="1047" t="s">
        <v>3461</v>
      </c>
      <c r="D35" s="1048">
        <v>5000000</v>
      </c>
      <c r="E35" s="1048">
        <v>3012521.99</v>
      </c>
      <c r="F35" s="1048"/>
      <c r="G35" s="1048"/>
      <c r="H35" s="1049">
        <f>(E35/D35)*100</f>
        <v>60.250439800000002</v>
      </c>
      <c r="I35" s="1053">
        <f t="shared" si="1"/>
        <v>1987478.0099999998</v>
      </c>
      <c r="J35" s="1051"/>
    </row>
    <row r="36" spans="2:12" ht="23.25" customHeight="1">
      <c r="B36" s="1046"/>
      <c r="C36" s="1047" t="s">
        <v>3462</v>
      </c>
      <c r="D36" s="1048">
        <v>5000000</v>
      </c>
      <c r="E36" s="1048">
        <v>0</v>
      </c>
      <c r="F36" s="1048"/>
      <c r="G36" s="1048"/>
      <c r="H36" s="1049">
        <f>(E36/D36)*100</f>
        <v>0</v>
      </c>
      <c r="I36" s="1053">
        <f t="shared" si="1"/>
        <v>5000000</v>
      </c>
      <c r="J36" s="1051"/>
    </row>
    <row r="37" spans="2:12" ht="26.25" customHeight="1">
      <c r="B37" s="1046"/>
      <c r="C37" s="1047" t="s">
        <v>3463</v>
      </c>
      <c r="D37" s="1048">
        <v>5000000</v>
      </c>
      <c r="E37" s="1048">
        <v>0</v>
      </c>
      <c r="F37" s="1048"/>
      <c r="G37" s="1048"/>
      <c r="H37" s="1049">
        <f>(E37/D37)*100</f>
        <v>0</v>
      </c>
      <c r="I37" s="1053">
        <f t="shared" si="1"/>
        <v>5000000</v>
      </c>
      <c r="J37" s="1051"/>
    </row>
    <row r="38" spans="2:12" ht="24.75" customHeight="1">
      <c r="B38" s="1046"/>
      <c r="C38" s="1047" t="s">
        <v>3464</v>
      </c>
      <c r="D38" s="1048">
        <v>5000000</v>
      </c>
      <c r="E38" s="1048">
        <v>4061363.43</v>
      </c>
      <c r="F38" s="1048"/>
      <c r="G38" s="1048"/>
      <c r="H38" s="1049">
        <f>(E38/D38)*100</f>
        <v>81.227268600000002</v>
      </c>
      <c r="I38" s="1053">
        <f t="shared" si="1"/>
        <v>938636.56999999983</v>
      </c>
      <c r="J38" s="1051"/>
    </row>
    <row r="39" spans="2:12" ht="36.6" customHeight="1">
      <c r="B39" s="1046"/>
      <c r="C39" s="1063" t="s">
        <v>573</v>
      </c>
      <c r="D39" s="1064">
        <f>D40+D41+D42</f>
        <v>8857291.4900000002</v>
      </c>
      <c r="E39" s="1064">
        <f>E40+E41+E42</f>
        <v>4154753.55</v>
      </c>
      <c r="F39" s="1064"/>
      <c r="G39" s="1064"/>
      <c r="H39" s="1038">
        <f>E39/D39*100</f>
        <v>46.907720658067667</v>
      </c>
      <c r="I39" s="1064">
        <f t="shared" si="1"/>
        <v>4702537.9400000004</v>
      </c>
      <c r="J39" s="1051"/>
    </row>
    <row r="40" spans="2:12" ht="57.75" customHeight="1">
      <c r="B40" s="1046"/>
      <c r="C40" s="1065" t="s">
        <v>657</v>
      </c>
      <c r="D40" s="1066">
        <v>3159100</v>
      </c>
      <c r="E40" s="1066">
        <v>0</v>
      </c>
      <c r="F40" s="1066"/>
      <c r="G40" s="1066"/>
      <c r="H40" s="1038">
        <f t="shared" ref="H40:H97" si="3">(E40/D40)*100</f>
        <v>0</v>
      </c>
      <c r="I40" s="1067">
        <f t="shared" si="1"/>
        <v>3159100</v>
      </c>
      <c r="J40" s="1068" t="s">
        <v>3465</v>
      </c>
    </row>
    <row r="41" spans="2:12" ht="81.75" customHeight="1">
      <c r="B41" s="1046"/>
      <c r="C41" s="1065" t="s">
        <v>27</v>
      </c>
      <c r="D41" s="1066">
        <v>4000000</v>
      </c>
      <c r="E41" s="1066">
        <v>2967911.55</v>
      </c>
      <c r="F41" s="1066"/>
      <c r="G41" s="1066"/>
      <c r="H41" s="1069">
        <f t="shared" si="3"/>
        <v>74.197788749999987</v>
      </c>
      <c r="I41" s="1067">
        <f t="shared" si="1"/>
        <v>1032088.4500000002</v>
      </c>
      <c r="J41" s="1070" t="s">
        <v>3465</v>
      </c>
    </row>
    <row r="42" spans="2:12" ht="45.75" customHeight="1">
      <c r="B42" s="1046"/>
      <c r="C42" s="1065" t="s">
        <v>655</v>
      </c>
      <c r="D42" s="1071">
        <f>D43</f>
        <v>1698191.49</v>
      </c>
      <c r="E42" s="1071">
        <f>E43</f>
        <v>1186842</v>
      </c>
      <c r="F42" s="1071"/>
      <c r="G42" s="1071"/>
      <c r="H42" s="1038">
        <f t="shared" si="3"/>
        <v>69.888584826202376</v>
      </c>
      <c r="I42" s="1067">
        <f t="shared" si="1"/>
        <v>511349.49</v>
      </c>
      <c r="J42" s="1070" t="s">
        <v>3465</v>
      </c>
    </row>
    <row r="43" spans="2:12" ht="45.75" customHeight="1">
      <c r="B43" s="1046"/>
      <c r="C43" s="1072" t="s">
        <v>3466</v>
      </c>
      <c r="D43" s="1071">
        <f>D44+D45</f>
        <v>1698191.49</v>
      </c>
      <c r="E43" s="1071">
        <f>E44+E45</f>
        <v>1186842</v>
      </c>
      <c r="F43" s="1071"/>
      <c r="G43" s="1071"/>
      <c r="H43" s="1038">
        <f t="shared" si="3"/>
        <v>69.888584826202376</v>
      </c>
      <c r="I43" s="1067">
        <f t="shared" si="1"/>
        <v>511349.49</v>
      </c>
      <c r="J43" s="1070"/>
    </row>
    <row r="44" spans="2:12" ht="27.6" customHeight="1">
      <c r="B44" s="1046"/>
      <c r="C44" s="1040" t="s">
        <v>472</v>
      </c>
      <c r="D44" s="1073">
        <v>1596300</v>
      </c>
      <c r="E44" s="1073">
        <v>1115631.48</v>
      </c>
      <c r="F44" s="1073"/>
      <c r="G44" s="1073">
        <v>1115.63148</v>
      </c>
      <c r="H44" s="1069">
        <f t="shared" si="3"/>
        <v>69.88858485247134</v>
      </c>
      <c r="I44" s="1074">
        <f t="shared" si="1"/>
        <v>480668.52</v>
      </c>
      <c r="J44" s="1075"/>
    </row>
    <row r="45" spans="2:12" ht="25.9" customHeight="1">
      <c r="B45" s="1046"/>
      <c r="C45" s="1040" t="s">
        <v>474</v>
      </c>
      <c r="D45" s="1073">
        <v>101891.49</v>
      </c>
      <c r="E45" s="1073">
        <v>71210.52</v>
      </c>
      <c r="F45" s="1073"/>
      <c r="G45" s="1073">
        <v>71.210520000000002</v>
      </c>
      <c r="H45" s="1069">
        <f t="shared" si="3"/>
        <v>69.888584414655242</v>
      </c>
      <c r="I45" s="1074">
        <f t="shared" si="1"/>
        <v>30680.97</v>
      </c>
      <c r="J45" s="1075"/>
    </row>
    <row r="46" spans="2:12" ht="106.5" customHeight="1">
      <c r="B46" s="1076" t="s">
        <v>40</v>
      </c>
      <c r="C46" s="1077" t="s">
        <v>2916</v>
      </c>
      <c r="D46" s="1061">
        <f>D47+D50+D56+D66+D75+ D78+D80+D81+D82+D88</f>
        <v>1052550440.5470001</v>
      </c>
      <c r="E46" s="1061">
        <f>E47+E50+E56+E66+E75+ E78+E80+E81+E82+E88</f>
        <v>600443165.10000014</v>
      </c>
      <c r="F46" s="1061"/>
      <c r="G46" s="1061"/>
      <c r="H46" s="1019">
        <f t="shared" si="3"/>
        <v>57.046497913007933</v>
      </c>
      <c r="I46" s="1061">
        <f t="shared" si="1"/>
        <v>452107275.44699991</v>
      </c>
      <c r="J46" s="1039"/>
      <c r="L46" s="1011"/>
    </row>
    <row r="47" spans="2:12" ht="60" customHeight="1">
      <c r="B47" s="1078"/>
      <c r="C47" s="1079" t="s">
        <v>3467</v>
      </c>
      <c r="D47" s="1061">
        <f>D48+D49</f>
        <v>61601336.359999999</v>
      </c>
      <c r="E47" s="1061">
        <f>E48+E49</f>
        <v>59618010</v>
      </c>
      <c r="F47" s="1061"/>
      <c r="G47" s="1061"/>
      <c r="H47" s="1019">
        <f t="shared" si="3"/>
        <v>96.780384197496332</v>
      </c>
      <c r="I47" s="1061">
        <f t="shared" si="1"/>
        <v>1983326.3599999994</v>
      </c>
      <c r="J47" s="1039"/>
    </row>
    <row r="48" spans="2:12" ht="60" customHeight="1">
      <c r="B48" s="1078"/>
      <c r="C48" s="1080" t="s">
        <v>50</v>
      </c>
      <c r="D48" s="1048">
        <v>2106657.7000000002</v>
      </c>
      <c r="E48" s="1048">
        <v>218010</v>
      </c>
      <c r="F48" s="1048"/>
      <c r="G48" s="1048">
        <v>218.01</v>
      </c>
      <c r="H48" s="1049">
        <f t="shared" si="3"/>
        <v>10.348619996499668</v>
      </c>
      <c r="I48" s="1024">
        <f t="shared" si="1"/>
        <v>1888647.7000000002</v>
      </c>
      <c r="J48" s="2904" t="s">
        <v>3465</v>
      </c>
    </row>
    <row r="49" spans="2:12" ht="33.6" customHeight="1">
      <c r="B49" s="1046"/>
      <c r="C49" s="1056" t="s">
        <v>496</v>
      </c>
      <c r="D49" s="1081">
        <v>59494678.659999996</v>
      </c>
      <c r="E49" s="1081">
        <v>59400000</v>
      </c>
      <c r="F49" s="1081"/>
      <c r="G49" s="1081">
        <v>59400</v>
      </c>
      <c r="H49" s="1049">
        <f t="shared" si="3"/>
        <v>99.84086196928456</v>
      </c>
      <c r="I49" s="1024">
        <f t="shared" si="1"/>
        <v>94678.659999996424</v>
      </c>
      <c r="J49" s="2905"/>
    </row>
    <row r="50" spans="2:12" ht="61.5" customHeight="1">
      <c r="B50" s="1046"/>
      <c r="C50" s="1082" t="s">
        <v>152</v>
      </c>
      <c r="D50" s="1083">
        <f>D51+D52+D53+D54+D55</f>
        <v>32070</v>
      </c>
      <c r="E50" s="1083">
        <f>E51+E52+E53+E54+E55</f>
        <v>30921</v>
      </c>
      <c r="F50" s="1083"/>
      <c r="G50" s="1083">
        <v>30.920999999999999</v>
      </c>
      <c r="H50" s="1019">
        <f t="shared" si="3"/>
        <v>96.41721234798878</v>
      </c>
      <c r="I50" s="1020">
        <f t="shared" si="1"/>
        <v>1149</v>
      </c>
      <c r="J50" s="1039"/>
    </row>
    <row r="51" spans="2:12" ht="22.5" customHeight="1">
      <c r="B51" s="1046"/>
      <c r="C51" s="1084" t="s">
        <v>497</v>
      </c>
      <c r="D51" s="1081">
        <v>7290</v>
      </c>
      <c r="E51" s="1081">
        <v>7290</v>
      </c>
      <c r="F51" s="1081"/>
      <c r="G51" s="1081"/>
      <c r="H51" s="1049">
        <f t="shared" si="3"/>
        <v>100</v>
      </c>
      <c r="I51" s="1024">
        <f t="shared" si="1"/>
        <v>0</v>
      </c>
      <c r="J51" s="1039" t="s">
        <v>497</v>
      </c>
    </row>
    <row r="52" spans="2:12" ht="22.5" customHeight="1">
      <c r="B52" s="1046"/>
      <c r="C52" s="1084" t="s">
        <v>3468</v>
      </c>
      <c r="D52" s="1081">
        <v>3964</v>
      </c>
      <c r="E52" s="1081">
        <v>3959</v>
      </c>
      <c r="F52" s="1081"/>
      <c r="G52" s="1081"/>
      <c r="H52" s="1049">
        <f t="shared" si="3"/>
        <v>99.873864783047424</v>
      </c>
      <c r="I52" s="1024">
        <f t="shared" si="1"/>
        <v>5</v>
      </c>
      <c r="J52" s="1084" t="s">
        <v>3468</v>
      </c>
    </row>
    <row r="53" spans="2:12" ht="39" customHeight="1">
      <c r="B53" s="1046"/>
      <c r="C53" s="1084" t="s">
        <v>232</v>
      </c>
      <c r="D53" s="1081">
        <v>11346</v>
      </c>
      <c r="E53" s="1081">
        <v>11332</v>
      </c>
      <c r="F53" s="1081"/>
      <c r="G53" s="1081"/>
      <c r="H53" s="1049">
        <f t="shared" si="3"/>
        <v>99.876608496386382</v>
      </c>
      <c r="I53" s="1024">
        <f t="shared" si="1"/>
        <v>14</v>
      </c>
      <c r="J53" s="1085" t="s">
        <v>3469</v>
      </c>
    </row>
    <row r="54" spans="2:12" ht="44.25" customHeight="1">
      <c r="B54" s="1046"/>
      <c r="C54" s="1084" t="s">
        <v>498</v>
      </c>
      <c r="D54" s="1081">
        <v>5230</v>
      </c>
      <c r="E54" s="1081">
        <v>5230</v>
      </c>
      <c r="F54" s="1081"/>
      <c r="G54" s="1081"/>
      <c r="H54" s="1049">
        <f t="shared" si="3"/>
        <v>100</v>
      </c>
      <c r="I54" s="1024">
        <f t="shared" si="1"/>
        <v>0</v>
      </c>
      <c r="J54" s="1084" t="s">
        <v>498</v>
      </c>
    </row>
    <row r="55" spans="2:12" ht="25.15" customHeight="1">
      <c r="B55" s="1046"/>
      <c r="C55" s="1086" t="s">
        <v>499</v>
      </c>
      <c r="D55" s="1087">
        <v>4240</v>
      </c>
      <c r="E55" s="1087">
        <v>3110</v>
      </c>
      <c r="F55" s="1087"/>
      <c r="G55" s="1087"/>
      <c r="H55" s="1019">
        <f t="shared" si="3"/>
        <v>73.34905660377359</v>
      </c>
      <c r="I55" s="1024">
        <f t="shared" si="1"/>
        <v>1130</v>
      </c>
      <c r="J55" s="1086" t="s">
        <v>499</v>
      </c>
    </row>
    <row r="56" spans="2:12" ht="39.75" customHeight="1">
      <c r="B56" s="1046"/>
      <c r="C56" s="1088" t="s">
        <v>488</v>
      </c>
      <c r="D56" s="1061">
        <f>D57+D58+D59+D60+D61+D62+D63+D64+D65</f>
        <v>908707725.70999992</v>
      </c>
      <c r="E56" s="1061">
        <f>E57+E58+E59+E60+E61+E62+E63+E64+E65</f>
        <v>506351690.37000006</v>
      </c>
      <c r="F56" s="1157">
        <v>476163.86099999998</v>
      </c>
      <c r="G56" s="1158">
        <f>SUM(E64,E63,E62,E61,E60,E59,E58,E57)</f>
        <v>476163860.99999994</v>
      </c>
      <c r="H56" s="1019">
        <f t="shared" si="3"/>
        <v>55.722172932377426</v>
      </c>
      <c r="I56" s="1020">
        <f t="shared" si="1"/>
        <v>402356035.33999985</v>
      </c>
      <c r="J56" s="1039"/>
    </row>
    <row r="57" spans="2:12" ht="24.75" customHeight="1">
      <c r="B57" s="1046"/>
      <c r="C57" s="1089" t="s">
        <v>499</v>
      </c>
      <c r="D57" s="1048">
        <v>94564549.540000007</v>
      </c>
      <c r="E57" s="1048">
        <v>40850000</v>
      </c>
      <c r="F57" s="1048"/>
      <c r="G57" s="1048"/>
      <c r="H57" s="1049">
        <f t="shared" si="3"/>
        <v>43.198006228243905</v>
      </c>
      <c r="I57" s="1024">
        <f t="shared" si="1"/>
        <v>53714549.540000007</v>
      </c>
      <c r="J57" s="1090"/>
    </row>
    <row r="58" spans="2:12" ht="22.5" customHeight="1">
      <c r="B58" s="1046"/>
      <c r="C58" s="1089" t="s">
        <v>497</v>
      </c>
      <c r="D58" s="1048">
        <v>82186446.670000002</v>
      </c>
      <c r="E58" s="1048">
        <v>44800000</v>
      </c>
      <c r="F58" s="1048"/>
      <c r="G58" s="1048"/>
      <c r="H58" s="1049">
        <f t="shared" si="3"/>
        <v>54.510204316149199</v>
      </c>
      <c r="I58" s="1024">
        <f t="shared" si="1"/>
        <v>37386446.670000002</v>
      </c>
      <c r="J58" s="1090" t="s">
        <v>497</v>
      </c>
    </row>
    <row r="59" spans="2:12" ht="24.75" customHeight="1">
      <c r="B59" s="1046"/>
      <c r="C59" s="1089" t="s">
        <v>498</v>
      </c>
      <c r="D59" s="1048">
        <v>84352733.319999993</v>
      </c>
      <c r="E59" s="1048">
        <v>42000000</v>
      </c>
      <c r="F59" s="1048"/>
      <c r="G59" s="1048"/>
      <c r="H59" s="1049">
        <f t="shared" si="3"/>
        <v>49.790917670289438</v>
      </c>
      <c r="I59" s="1024">
        <f t="shared" si="1"/>
        <v>42352733.319999993</v>
      </c>
      <c r="J59" s="1090" t="s">
        <v>498</v>
      </c>
    </row>
    <row r="60" spans="2:12" ht="24.75" customHeight="1">
      <c r="B60" s="1046"/>
      <c r="C60" s="1084" t="s">
        <v>504</v>
      </c>
      <c r="D60" s="1091">
        <v>127409547.11</v>
      </c>
      <c r="E60" s="1081">
        <v>66077738.460000001</v>
      </c>
      <c r="F60" s="1081"/>
      <c r="G60" s="1081"/>
      <c r="H60" s="1049">
        <f t="shared" si="3"/>
        <v>51.862470245617686</v>
      </c>
      <c r="I60" s="1024">
        <f t="shared" si="1"/>
        <v>61331808.649999999</v>
      </c>
      <c r="J60" s="1086" t="s">
        <v>504</v>
      </c>
      <c r="L60" s="1011"/>
    </row>
    <row r="61" spans="2:12" ht="24.75" customHeight="1">
      <c r="B61" s="1046"/>
      <c r="C61" s="1084" t="s">
        <v>232</v>
      </c>
      <c r="D61" s="1091">
        <v>76556542.810000002</v>
      </c>
      <c r="E61" s="1081">
        <v>39150000</v>
      </c>
      <c r="F61" s="1081"/>
      <c r="G61" s="1081"/>
      <c r="H61" s="1049">
        <f t="shared" si="3"/>
        <v>51.138672885429891</v>
      </c>
      <c r="I61" s="1024">
        <f t="shared" si="1"/>
        <v>37406542.810000002</v>
      </c>
      <c r="J61" s="1086" t="s">
        <v>232</v>
      </c>
    </row>
    <row r="62" spans="2:12" ht="24.75" customHeight="1">
      <c r="B62" s="1046"/>
      <c r="C62" s="1084" t="s">
        <v>513</v>
      </c>
      <c r="D62" s="1091">
        <f>299554235.43+27982345</f>
        <v>327536580.43000001</v>
      </c>
      <c r="E62" s="1081">
        <v>196413861</v>
      </c>
      <c r="F62" s="1081"/>
      <c r="G62" s="1081"/>
      <c r="H62" s="1049">
        <f t="shared" si="3"/>
        <v>59.966999943072587</v>
      </c>
      <c r="I62" s="1024">
        <f t="shared" si="1"/>
        <v>131122719.43000001</v>
      </c>
      <c r="J62" s="1086" t="s">
        <v>513</v>
      </c>
    </row>
    <row r="63" spans="2:12" ht="24.75" customHeight="1">
      <c r="B63" s="1046"/>
      <c r="C63" s="1084" t="s">
        <v>3470</v>
      </c>
      <c r="D63" s="1091">
        <v>27841234.920000002</v>
      </c>
      <c r="E63" s="1081">
        <v>13800000</v>
      </c>
      <c r="F63" s="1081"/>
      <c r="G63" s="1081"/>
      <c r="H63" s="1049">
        <f t="shared" si="3"/>
        <v>49.56676684656199</v>
      </c>
      <c r="I63" s="1024">
        <f t="shared" si="1"/>
        <v>14041234.920000002</v>
      </c>
      <c r="J63" s="1086" t="s">
        <v>3471</v>
      </c>
    </row>
    <row r="64" spans="2:12" ht="34.5" customHeight="1">
      <c r="B64" s="1046"/>
      <c r="C64" s="1084" t="s">
        <v>3468</v>
      </c>
      <c r="D64" s="1091">
        <v>58072261.539999999</v>
      </c>
      <c r="E64" s="1081">
        <v>33072261.539999999</v>
      </c>
      <c r="F64" s="1081"/>
      <c r="G64" s="1081"/>
      <c r="H64" s="1049">
        <f t="shared" si="3"/>
        <v>56.950186996282085</v>
      </c>
      <c r="I64" s="1024">
        <f t="shared" si="1"/>
        <v>25000000</v>
      </c>
      <c r="J64" s="1086" t="s">
        <v>3468</v>
      </c>
      <c r="L64" s="1011"/>
    </row>
    <row r="65" spans="2:12" ht="34.5" customHeight="1">
      <c r="B65" s="1046"/>
      <c r="C65" s="1084" t="s">
        <v>48</v>
      </c>
      <c r="D65" s="1081">
        <v>30187829.370000001</v>
      </c>
      <c r="E65" s="1081">
        <v>30187829.370000001</v>
      </c>
      <c r="F65" s="1081">
        <v>30187.829369999999</v>
      </c>
      <c r="G65" s="1081"/>
      <c r="H65" s="1049">
        <f t="shared" si="3"/>
        <v>100</v>
      </c>
      <c r="I65" s="1024">
        <f t="shared" si="1"/>
        <v>0</v>
      </c>
      <c r="J65" s="1086" t="s">
        <v>513</v>
      </c>
      <c r="L65" s="1011"/>
    </row>
    <row r="66" spans="2:12" ht="65.25" customHeight="1">
      <c r="B66" s="2906"/>
      <c r="C66" s="1054" t="s">
        <v>508</v>
      </c>
      <c r="D66" s="1043">
        <f>D67+D74+D68+D69+D70+D71+D73+D72</f>
        <v>3561300</v>
      </c>
      <c r="E66" s="1043">
        <f>E67+E74+E68+E69+E70+E71+E72+E73</f>
        <v>2612000</v>
      </c>
      <c r="F66" s="1043">
        <v>2612</v>
      </c>
      <c r="G66" s="1043"/>
      <c r="H66" s="1092">
        <f t="shared" si="3"/>
        <v>73.344003594193126</v>
      </c>
      <c r="I66" s="1093">
        <f t="shared" si="1"/>
        <v>949300</v>
      </c>
      <c r="J66" s="1094"/>
    </row>
    <row r="67" spans="2:12" ht="33.75" customHeight="1">
      <c r="B67" s="2907"/>
      <c r="C67" s="1086" t="s">
        <v>3472</v>
      </c>
      <c r="D67" s="1087">
        <v>350000</v>
      </c>
      <c r="E67" s="1087">
        <v>250000</v>
      </c>
      <c r="F67" s="1087"/>
      <c r="G67" s="1087"/>
      <c r="H67" s="1049">
        <f t="shared" si="3"/>
        <v>71.428571428571431</v>
      </c>
      <c r="I67" s="1095">
        <f t="shared" si="1"/>
        <v>100000</v>
      </c>
      <c r="J67" s="1086" t="s">
        <v>3472</v>
      </c>
    </row>
    <row r="68" spans="2:12" ht="33.75" customHeight="1">
      <c r="B68" s="1096"/>
      <c r="C68" s="1097" t="s">
        <v>3473</v>
      </c>
      <c r="D68" s="1087">
        <v>300000</v>
      </c>
      <c r="E68" s="1087">
        <v>300000</v>
      </c>
      <c r="F68" s="1087"/>
      <c r="G68" s="1087"/>
      <c r="H68" s="1049">
        <f t="shared" si="3"/>
        <v>100</v>
      </c>
      <c r="I68" s="1095">
        <f t="shared" si="1"/>
        <v>0</v>
      </c>
      <c r="J68" s="1097" t="s">
        <v>3473</v>
      </c>
    </row>
    <row r="69" spans="2:12" ht="33.75" customHeight="1">
      <c r="B69" s="1098"/>
      <c r="C69" s="1097" t="s">
        <v>498</v>
      </c>
      <c r="D69" s="1087">
        <v>200000</v>
      </c>
      <c r="E69" s="1087">
        <v>200000</v>
      </c>
      <c r="F69" s="1087"/>
      <c r="G69" s="1087"/>
      <c r="H69" s="1049">
        <f t="shared" si="3"/>
        <v>100</v>
      </c>
      <c r="I69" s="1095">
        <f t="shared" si="1"/>
        <v>0</v>
      </c>
      <c r="J69" s="1097" t="s">
        <v>498</v>
      </c>
    </row>
    <row r="70" spans="2:12" ht="33.75" customHeight="1">
      <c r="B70" s="1098"/>
      <c r="C70" s="1097" t="s">
        <v>504</v>
      </c>
      <c r="D70" s="1087">
        <v>400000</v>
      </c>
      <c r="E70" s="1087">
        <v>150000</v>
      </c>
      <c r="F70" s="1087"/>
      <c r="G70" s="1087"/>
      <c r="H70" s="1049">
        <f t="shared" si="3"/>
        <v>37.5</v>
      </c>
      <c r="I70" s="1095">
        <f t="shared" si="1"/>
        <v>250000</v>
      </c>
      <c r="J70" s="1097" t="s">
        <v>504</v>
      </c>
    </row>
    <row r="71" spans="2:12" ht="33.75" customHeight="1">
      <c r="B71" s="1098"/>
      <c r="C71" s="1097" t="s">
        <v>232</v>
      </c>
      <c r="D71" s="1087">
        <v>350000</v>
      </c>
      <c r="E71" s="1087">
        <v>250000</v>
      </c>
      <c r="F71" s="1087"/>
      <c r="G71" s="1087"/>
      <c r="H71" s="1049">
        <f t="shared" si="3"/>
        <v>71.428571428571431</v>
      </c>
      <c r="I71" s="1095">
        <f t="shared" ref="I71:I87" si="4">D71-E71</f>
        <v>100000</v>
      </c>
      <c r="J71" s="1097" t="s">
        <v>232</v>
      </c>
    </row>
    <row r="72" spans="2:12" ht="33.75" customHeight="1">
      <c r="B72" s="1098"/>
      <c r="C72" s="1097" t="s">
        <v>23</v>
      </c>
      <c r="D72" s="1087">
        <v>1193600</v>
      </c>
      <c r="E72" s="1087">
        <v>950000</v>
      </c>
      <c r="F72" s="1087"/>
      <c r="G72" s="1087"/>
      <c r="H72" s="1049">
        <f t="shared" si="3"/>
        <v>79.591152815013402</v>
      </c>
      <c r="I72" s="1095">
        <f t="shared" si="4"/>
        <v>243600</v>
      </c>
      <c r="J72" s="1097" t="s">
        <v>23</v>
      </c>
    </row>
    <row r="73" spans="2:12" ht="33.75" customHeight="1">
      <c r="B73" s="1098"/>
      <c r="C73" s="1097" t="s">
        <v>3470</v>
      </c>
      <c r="D73" s="1087">
        <v>200000</v>
      </c>
      <c r="E73" s="1087">
        <v>200000</v>
      </c>
      <c r="F73" s="1087"/>
      <c r="G73" s="1087"/>
      <c r="H73" s="1049">
        <f t="shared" si="3"/>
        <v>100</v>
      </c>
      <c r="I73" s="1095">
        <f t="shared" si="4"/>
        <v>0</v>
      </c>
      <c r="J73" s="1097" t="s">
        <v>3471</v>
      </c>
    </row>
    <row r="74" spans="2:12" ht="24.75" customHeight="1">
      <c r="B74" s="1098"/>
      <c r="C74" s="1097" t="s">
        <v>3468</v>
      </c>
      <c r="D74" s="1099">
        <v>567700</v>
      </c>
      <c r="E74" s="1099">
        <v>312000</v>
      </c>
      <c r="F74" s="1099"/>
      <c r="G74" s="1099"/>
      <c r="H74" s="1049">
        <f t="shared" si="3"/>
        <v>54.958604896952615</v>
      </c>
      <c r="I74" s="1095">
        <f t="shared" si="4"/>
        <v>255700</v>
      </c>
      <c r="J74" s="1097" t="s">
        <v>3468</v>
      </c>
    </row>
    <row r="75" spans="2:12" ht="67.5" customHeight="1">
      <c r="B75" s="1098"/>
      <c r="C75" s="1054" t="s">
        <v>3474</v>
      </c>
      <c r="D75" s="1100">
        <f>D76+D77</f>
        <v>134432.19</v>
      </c>
      <c r="E75" s="1100">
        <f>E76+E77</f>
        <v>134432.19</v>
      </c>
      <c r="F75" s="1100"/>
      <c r="G75" s="1100"/>
      <c r="H75" s="1019">
        <f t="shared" si="3"/>
        <v>100</v>
      </c>
      <c r="I75" s="1095">
        <f t="shared" si="4"/>
        <v>0</v>
      </c>
      <c r="J75" s="1101"/>
    </row>
    <row r="76" spans="2:12" ht="67.5" customHeight="1">
      <c r="B76" s="1098"/>
      <c r="C76" s="1102" t="s">
        <v>3468</v>
      </c>
      <c r="D76" s="1057">
        <v>46621.2</v>
      </c>
      <c r="E76" s="1057">
        <f>D76</f>
        <v>46621.2</v>
      </c>
      <c r="F76" s="1057"/>
      <c r="G76" s="1057"/>
      <c r="H76" s="1049">
        <f t="shared" si="3"/>
        <v>100</v>
      </c>
      <c r="I76" s="1095">
        <f t="shared" si="4"/>
        <v>0</v>
      </c>
      <c r="J76" s="1102" t="s">
        <v>3468</v>
      </c>
    </row>
    <row r="77" spans="2:12" ht="67.5" customHeight="1">
      <c r="B77" s="1098"/>
      <c r="C77" s="1102" t="s">
        <v>23</v>
      </c>
      <c r="D77" s="1057">
        <v>87810.99</v>
      </c>
      <c r="E77" s="1057">
        <f>D77</f>
        <v>87810.99</v>
      </c>
      <c r="F77" s="1057"/>
      <c r="G77" s="1057"/>
      <c r="H77" s="1049">
        <f t="shared" si="3"/>
        <v>100</v>
      </c>
      <c r="I77" s="1095">
        <f t="shared" si="4"/>
        <v>0</v>
      </c>
      <c r="J77" s="1102" t="s">
        <v>23</v>
      </c>
    </row>
    <row r="78" spans="2:12" ht="93.75" customHeight="1">
      <c r="B78" s="1098"/>
      <c r="C78" s="1054" t="s">
        <v>2922</v>
      </c>
      <c r="D78" s="1018">
        <f>D79</f>
        <v>5000000</v>
      </c>
      <c r="E78" s="1018">
        <f>E79</f>
        <v>0</v>
      </c>
      <c r="F78" s="1018">
        <v>0</v>
      </c>
      <c r="G78" s="1018"/>
      <c r="H78" s="1019">
        <f t="shared" si="3"/>
        <v>0</v>
      </c>
      <c r="I78" s="1020">
        <f t="shared" si="4"/>
        <v>5000000</v>
      </c>
      <c r="J78" s="1101"/>
    </row>
    <row r="79" spans="2:12" ht="43.5" customHeight="1">
      <c r="B79" s="1098"/>
      <c r="C79" s="1103" t="s">
        <v>3475</v>
      </c>
      <c r="D79" s="1104">
        <v>5000000</v>
      </c>
      <c r="E79" s="1104">
        <v>0</v>
      </c>
      <c r="F79" s="1104"/>
      <c r="G79" s="1104"/>
      <c r="H79" s="1019">
        <f t="shared" si="3"/>
        <v>0</v>
      </c>
      <c r="I79" s="1095">
        <f t="shared" si="4"/>
        <v>5000000</v>
      </c>
      <c r="J79" s="1103"/>
    </row>
    <row r="80" spans="2:12" ht="43.5" customHeight="1">
      <c r="B80" s="1098"/>
      <c r="C80" s="1054" t="s">
        <v>3301</v>
      </c>
      <c r="D80" s="1100">
        <v>3628395</v>
      </c>
      <c r="E80" s="1104">
        <v>0</v>
      </c>
      <c r="F80" s="1104"/>
      <c r="G80" s="1104"/>
      <c r="H80" s="1019">
        <f t="shared" si="3"/>
        <v>0</v>
      </c>
      <c r="I80" s="1095">
        <f t="shared" si="4"/>
        <v>3628395</v>
      </c>
      <c r="J80" s="1054" t="s">
        <v>3476</v>
      </c>
    </row>
    <row r="81" spans="2:12" ht="43.5" customHeight="1">
      <c r="B81" s="1098"/>
      <c r="C81" s="1054" t="s">
        <v>3477</v>
      </c>
      <c r="D81" s="1100">
        <v>16200622.199999999</v>
      </c>
      <c r="E81" s="1104">
        <v>839000</v>
      </c>
      <c r="F81" s="1104">
        <v>839</v>
      </c>
      <c r="G81" s="1104"/>
      <c r="H81" s="1019">
        <f t="shared" si="3"/>
        <v>5.178813440881302</v>
      </c>
      <c r="I81" s="1095">
        <f t="shared" si="4"/>
        <v>15361622.199999999</v>
      </c>
      <c r="J81" s="1054"/>
    </row>
    <row r="82" spans="2:12" ht="88.5" customHeight="1">
      <c r="B82" s="1046"/>
      <c r="C82" s="1105" t="s">
        <v>2819</v>
      </c>
      <c r="D82" s="1106">
        <f>D83+D84+D85+D86+D87</f>
        <v>41400000</v>
      </c>
      <c r="E82" s="1106">
        <f>E83+E84+E85+E86+E87</f>
        <v>22683900.149999999</v>
      </c>
      <c r="F82" s="1106"/>
      <c r="G82" s="1106"/>
      <c r="H82" s="1107">
        <f t="shared" si="3"/>
        <v>54.792029347826087</v>
      </c>
      <c r="I82" s="1095">
        <f t="shared" si="4"/>
        <v>18716099.850000001</v>
      </c>
      <c r="J82" s="1108" t="s">
        <v>3454</v>
      </c>
      <c r="L82" s="1011"/>
    </row>
    <row r="83" spans="2:12" ht="38.25" customHeight="1">
      <c r="B83" s="1046"/>
      <c r="C83" s="1084" t="s">
        <v>3455</v>
      </c>
      <c r="D83" s="1109">
        <v>8081779</v>
      </c>
      <c r="E83" s="1087">
        <v>1841527.5</v>
      </c>
      <c r="F83" s="1087"/>
      <c r="G83" s="1087"/>
      <c r="H83" s="1107">
        <f t="shared" si="3"/>
        <v>22.786165026289385</v>
      </c>
      <c r="I83" s="1095">
        <f t="shared" si="4"/>
        <v>6240251.5</v>
      </c>
      <c r="J83" s="1110"/>
    </row>
    <row r="84" spans="2:12" ht="38.25" customHeight="1">
      <c r="B84" s="1046"/>
      <c r="C84" s="1084" t="s">
        <v>3478</v>
      </c>
      <c r="D84" s="1109">
        <v>2016227</v>
      </c>
      <c r="E84" s="1087">
        <v>26000</v>
      </c>
      <c r="F84" s="1087"/>
      <c r="G84" s="1087"/>
      <c r="H84" s="1107">
        <f t="shared" si="3"/>
        <v>1.2895373388016329</v>
      </c>
      <c r="I84" s="1095">
        <f t="shared" si="4"/>
        <v>1990227</v>
      </c>
      <c r="J84" s="1110"/>
    </row>
    <row r="85" spans="2:12" ht="29.25" customHeight="1">
      <c r="B85" s="1046"/>
      <c r="C85" s="1084" t="s">
        <v>3479</v>
      </c>
      <c r="D85" s="1109">
        <v>14565005</v>
      </c>
      <c r="E85" s="1087">
        <v>10422200.15</v>
      </c>
      <c r="F85" s="1087"/>
      <c r="G85" s="1087"/>
      <c r="H85" s="1107">
        <f t="shared" si="3"/>
        <v>71.556447457450247</v>
      </c>
      <c r="I85" s="1095">
        <f t="shared" si="4"/>
        <v>4142804.8499999996</v>
      </c>
      <c r="J85" s="1110"/>
    </row>
    <row r="86" spans="2:12" ht="29.25" customHeight="1">
      <c r="B86" s="1046"/>
      <c r="C86" s="1084" t="s">
        <v>2557</v>
      </c>
      <c r="D86" s="1109">
        <v>13904349</v>
      </c>
      <c r="E86" s="1087">
        <v>7561532.5</v>
      </c>
      <c r="F86" s="1087"/>
      <c r="G86" s="1087"/>
      <c r="H86" s="1107">
        <f t="shared" si="3"/>
        <v>54.382499317299938</v>
      </c>
      <c r="I86" s="1095">
        <f t="shared" si="4"/>
        <v>6342816.5</v>
      </c>
      <c r="J86" s="1110"/>
    </row>
    <row r="87" spans="2:12" ht="30.75" customHeight="1">
      <c r="B87" s="1046"/>
      <c r="C87" s="1084" t="s">
        <v>3480</v>
      </c>
      <c r="D87" s="1109">
        <v>2832640</v>
      </c>
      <c r="E87" s="1087">
        <v>2832640</v>
      </c>
      <c r="F87" s="1087"/>
      <c r="G87" s="1087"/>
      <c r="H87" s="1107">
        <f t="shared" si="3"/>
        <v>100</v>
      </c>
      <c r="I87" s="1095">
        <f t="shared" si="4"/>
        <v>0</v>
      </c>
      <c r="J87" s="1110"/>
    </row>
    <row r="88" spans="2:12" ht="39" customHeight="1">
      <c r="B88" s="1111"/>
      <c r="C88" s="1112" t="s">
        <v>573</v>
      </c>
      <c r="D88" s="1037">
        <f>D89+D93</f>
        <v>12284559.087000001</v>
      </c>
      <c r="E88" s="1037">
        <f>E89+E93</f>
        <v>8173211.3900000006</v>
      </c>
      <c r="F88" s="1037"/>
      <c r="G88" s="1037"/>
      <c r="H88" s="1113">
        <f t="shared" si="3"/>
        <v>66.532395115826432</v>
      </c>
      <c r="I88" s="1037">
        <f>I89+I93</f>
        <v>4111347.6969999997</v>
      </c>
      <c r="J88" s="1039"/>
    </row>
    <row r="89" spans="2:12" ht="50.25" customHeight="1">
      <c r="B89" s="1111"/>
      <c r="C89" s="1114" t="s">
        <v>3119</v>
      </c>
      <c r="D89" s="1071">
        <f>D90</f>
        <v>8156261.7000000002</v>
      </c>
      <c r="E89" s="1071">
        <f>E90</f>
        <v>7674450.3900000006</v>
      </c>
      <c r="F89" s="1071"/>
      <c r="G89" s="1071"/>
      <c r="H89" s="1038">
        <f t="shared" si="3"/>
        <v>94.092743370409522</v>
      </c>
      <c r="I89" s="1067">
        <f t="shared" ref="I89:I103" si="5">D89-E89</f>
        <v>481811.30999999959</v>
      </c>
      <c r="J89" s="1051" t="s">
        <v>3465</v>
      </c>
    </row>
    <row r="90" spans="2:12" ht="54.75" customHeight="1">
      <c r="B90" s="1111"/>
      <c r="C90" s="1115" t="s">
        <v>3481</v>
      </c>
      <c r="D90" s="1116">
        <f>D91+D92</f>
        <v>8156261.7000000002</v>
      </c>
      <c r="E90" s="1116">
        <f>E91+E92</f>
        <v>7674450.3900000006</v>
      </c>
      <c r="F90" s="1116"/>
      <c r="G90" s="1116"/>
      <c r="H90" s="1038">
        <f t="shared" si="3"/>
        <v>94.092743370409522</v>
      </c>
      <c r="I90" s="1067">
        <f t="shared" si="5"/>
        <v>481811.30999999959</v>
      </c>
      <c r="J90" s="1050"/>
    </row>
    <row r="91" spans="2:12" ht="22.9" customHeight="1">
      <c r="B91" s="1111"/>
      <c r="C91" s="1117" t="s">
        <v>511</v>
      </c>
      <c r="D91" s="1118">
        <v>7217900</v>
      </c>
      <c r="E91" s="1118">
        <v>7213983.3700000001</v>
      </c>
      <c r="F91" s="1118">
        <v>7213.9833699999999</v>
      </c>
      <c r="G91" s="1118"/>
      <c r="H91" s="1069">
        <f t="shared" si="3"/>
        <v>99.945737264301243</v>
      </c>
      <c r="I91" s="1074">
        <f t="shared" si="5"/>
        <v>3916.6299999998882</v>
      </c>
      <c r="J91" s="1050"/>
    </row>
    <row r="92" spans="2:12" ht="22.9" customHeight="1">
      <c r="B92" s="1111"/>
      <c r="C92" s="1117" t="s">
        <v>474</v>
      </c>
      <c r="D92" s="1118">
        <v>938361.7</v>
      </c>
      <c r="E92" s="1118">
        <v>460467.02</v>
      </c>
      <c r="F92" s="1118">
        <v>460.46701999999999</v>
      </c>
      <c r="G92" s="1118"/>
      <c r="H92" s="1069">
        <f t="shared" si="3"/>
        <v>49.071378339503845</v>
      </c>
      <c r="I92" s="1074">
        <f t="shared" si="5"/>
        <v>477894.67999999993</v>
      </c>
      <c r="J92" s="1050"/>
    </row>
    <row r="93" spans="2:12" ht="74.25" customHeight="1">
      <c r="B93" s="1111"/>
      <c r="C93" s="1114" t="s">
        <v>3116</v>
      </c>
      <c r="D93" s="1116">
        <f>D94+D95</f>
        <v>4128297.3870000001</v>
      </c>
      <c r="E93" s="1116">
        <f>E94+E95</f>
        <v>498761</v>
      </c>
      <c r="F93" s="1116"/>
      <c r="G93" s="1116"/>
      <c r="H93" s="1113">
        <f t="shared" si="3"/>
        <v>12.081518196111485</v>
      </c>
      <c r="I93" s="1067">
        <f t="shared" si="5"/>
        <v>3629536.3870000001</v>
      </c>
      <c r="J93" s="1051" t="s">
        <v>3465</v>
      </c>
      <c r="L93" s="1011"/>
    </row>
    <row r="94" spans="2:12" ht="23.45" customHeight="1">
      <c r="B94" s="1111"/>
      <c r="C94" s="1117" t="s">
        <v>511</v>
      </c>
      <c r="D94" s="1119">
        <v>3880600</v>
      </c>
      <c r="E94" s="1118">
        <v>468835.34</v>
      </c>
      <c r="F94" s="1118">
        <v>468.83533999999997</v>
      </c>
      <c r="G94" s="1118"/>
      <c r="H94" s="1113">
        <f t="shared" si="3"/>
        <v>12.081516775756326</v>
      </c>
      <c r="I94" s="1120">
        <f t="shared" si="5"/>
        <v>3411764.66</v>
      </c>
      <c r="J94" s="1050"/>
    </row>
    <row r="95" spans="2:12" ht="22.9" customHeight="1">
      <c r="B95" s="1111"/>
      <c r="C95" s="1117" t="s">
        <v>474</v>
      </c>
      <c r="D95" s="1121">
        <v>247697.38699999999</v>
      </c>
      <c r="E95" s="1118">
        <v>29925.66</v>
      </c>
      <c r="F95" s="1118">
        <v>29.925660000000001</v>
      </c>
      <c r="G95" s="1118"/>
      <c r="H95" s="1113">
        <f t="shared" si="3"/>
        <v>12.081540448385917</v>
      </c>
      <c r="I95" s="1074">
        <f t="shared" si="5"/>
        <v>217771.72699999998</v>
      </c>
      <c r="J95" s="1050"/>
    </row>
    <row r="96" spans="2:12" ht="38.450000000000003" customHeight="1">
      <c r="B96" s="1122" t="s">
        <v>76</v>
      </c>
      <c r="C96" s="1123" t="s">
        <v>77</v>
      </c>
      <c r="D96" s="1061">
        <f>D97+D99+D98+D101+D102+D103</f>
        <v>97242515.299999997</v>
      </c>
      <c r="E96" s="1061">
        <f>E97+E99+E98+E101+E102+E103</f>
        <v>0</v>
      </c>
      <c r="F96" s="1061"/>
      <c r="G96" s="1061"/>
      <c r="H96" s="1019">
        <f t="shared" si="3"/>
        <v>0</v>
      </c>
      <c r="I96" s="1020">
        <f t="shared" si="5"/>
        <v>97242515.299999997</v>
      </c>
      <c r="J96" s="1039"/>
    </row>
    <row r="97" spans="2:10" ht="46.5" customHeight="1">
      <c r="B97" s="1124"/>
      <c r="C97" s="1125" t="s">
        <v>3482</v>
      </c>
      <c r="D97" s="1023">
        <v>6000000</v>
      </c>
      <c r="E97" s="1048">
        <v>0</v>
      </c>
      <c r="F97" s="1048"/>
      <c r="G97" s="1048"/>
      <c r="H97" s="1049">
        <f t="shared" si="3"/>
        <v>0</v>
      </c>
      <c r="I97" s="1024">
        <f t="shared" si="5"/>
        <v>6000000</v>
      </c>
      <c r="J97" s="1126" t="s">
        <v>3138</v>
      </c>
    </row>
    <row r="98" spans="2:10" ht="64.5" customHeight="1">
      <c r="B98" s="1124"/>
      <c r="C98" s="1127" t="s">
        <v>3483</v>
      </c>
      <c r="D98" s="1023">
        <v>4400000</v>
      </c>
      <c r="E98" s="1057">
        <v>0</v>
      </c>
      <c r="F98" s="1057"/>
      <c r="G98" s="1057"/>
      <c r="H98" s="1049"/>
      <c r="I98" s="1024">
        <f t="shared" si="5"/>
        <v>4400000</v>
      </c>
      <c r="J98" s="1126" t="s">
        <v>3138</v>
      </c>
    </row>
    <row r="99" spans="2:10" ht="46.5" customHeight="1">
      <c r="B99" s="1128"/>
      <c r="C99" s="1063" t="s">
        <v>573</v>
      </c>
      <c r="D99" s="1116">
        <f>D100</f>
        <v>3950250</v>
      </c>
      <c r="E99" s="1116">
        <f>E100</f>
        <v>0</v>
      </c>
      <c r="F99" s="1116"/>
      <c r="G99" s="1116"/>
      <c r="H99" s="1038">
        <f>(E99/D99)*100</f>
        <v>0</v>
      </c>
      <c r="I99" s="1067">
        <f t="shared" si="5"/>
        <v>3950250</v>
      </c>
      <c r="J99" s="1021"/>
    </row>
    <row r="100" spans="2:10" ht="50.25" customHeight="1">
      <c r="B100" s="1129"/>
      <c r="C100" s="1130" t="s">
        <v>215</v>
      </c>
      <c r="D100" s="1118">
        <v>3950250</v>
      </c>
      <c r="E100" s="1131">
        <v>0</v>
      </c>
      <c r="F100" s="1131"/>
      <c r="G100" s="1131"/>
      <c r="H100" s="1069">
        <f>(E100/D100)*100</f>
        <v>0</v>
      </c>
      <c r="I100" s="1074">
        <f t="shared" si="5"/>
        <v>3950250</v>
      </c>
      <c r="J100" s="1132" t="s">
        <v>3465</v>
      </c>
    </row>
    <row r="101" spans="2:10" ht="50.25" customHeight="1">
      <c r="B101" s="1129"/>
      <c r="C101" s="1133" t="s">
        <v>3484</v>
      </c>
      <c r="D101" s="1018">
        <v>24463944.170000002</v>
      </c>
      <c r="E101" s="1061">
        <v>0</v>
      </c>
      <c r="F101" s="1061"/>
      <c r="G101" s="1061"/>
      <c r="H101" s="1019"/>
      <c r="I101" s="1024">
        <f t="shared" si="5"/>
        <v>24463944.170000002</v>
      </c>
      <c r="J101" s="1134" t="s">
        <v>3454</v>
      </c>
    </row>
    <row r="102" spans="2:10" ht="50.25" customHeight="1">
      <c r="B102" s="1129"/>
      <c r="C102" s="1133" t="s">
        <v>3485</v>
      </c>
      <c r="D102" s="1018">
        <v>51403100</v>
      </c>
      <c r="E102" s="1061">
        <v>0</v>
      </c>
      <c r="F102" s="1061"/>
      <c r="G102" s="1061"/>
      <c r="H102" s="1019"/>
      <c r="I102" s="1024">
        <f t="shared" si="5"/>
        <v>51403100</v>
      </c>
      <c r="J102" s="1134"/>
    </row>
    <row r="103" spans="2:10" ht="50.25" customHeight="1">
      <c r="B103" s="1129"/>
      <c r="C103" s="1135" t="s">
        <v>3265</v>
      </c>
      <c r="D103" s="1136">
        <f>D104+D105</f>
        <v>7025221.1299999999</v>
      </c>
      <c r="E103" s="1136">
        <f>E104+E105</f>
        <v>0</v>
      </c>
      <c r="F103" s="1136"/>
      <c r="G103" s="1136"/>
      <c r="H103" s="1137"/>
      <c r="I103" s="1138">
        <f t="shared" si="5"/>
        <v>7025221.1299999999</v>
      </c>
      <c r="J103" s="1139" t="s">
        <v>3486</v>
      </c>
    </row>
    <row r="104" spans="2:10" ht="50.25" customHeight="1">
      <c r="B104" s="1129"/>
      <c r="C104" s="1140" t="s">
        <v>472</v>
      </c>
      <c r="D104" s="1141">
        <v>4987900</v>
      </c>
      <c r="E104" s="1142"/>
      <c r="F104" s="1142"/>
      <c r="G104" s="1142"/>
      <c r="H104" s="1143"/>
      <c r="I104" s="1138"/>
      <c r="J104" s="1144"/>
    </row>
    <row r="105" spans="2:10" ht="50.25" customHeight="1">
      <c r="B105" s="1129"/>
      <c r="C105" s="1140" t="s">
        <v>474</v>
      </c>
      <c r="D105" s="1141">
        <v>2037321.13</v>
      </c>
      <c r="E105" s="1142"/>
      <c r="F105" s="1142"/>
      <c r="G105" s="1142"/>
      <c r="H105" s="1143"/>
      <c r="I105" s="1138"/>
      <c r="J105" s="1144"/>
    </row>
    <row r="106" spans="2:10" ht="19.5">
      <c r="B106" s="1145" t="s">
        <v>129</v>
      </c>
      <c r="C106" s="1146" t="s">
        <v>130</v>
      </c>
      <c r="D106" s="1061">
        <f>D107+D108+D109+D110</f>
        <v>54125195.009999998</v>
      </c>
      <c r="E106" s="1061">
        <f>E107+E108+E109+E110</f>
        <v>22775046.360000003</v>
      </c>
      <c r="F106" s="1061"/>
      <c r="G106" s="1061"/>
      <c r="H106" s="1019">
        <f>(E106/D106)*100</f>
        <v>42.07845598670297</v>
      </c>
      <c r="I106" s="1020">
        <f>D106-E106</f>
        <v>31350148.649999995</v>
      </c>
      <c r="J106" s="1039"/>
    </row>
    <row r="107" spans="2:10" ht="24.6" customHeight="1">
      <c r="B107" s="1147"/>
      <c r="C107" s="1086" t="s">
        <v>626</v>
      </c>
      <c r="D107" s="1057">
        <v>48788951.729999997</v>
      </c>
      <c r="E107" s="1048">
        <v>21050765.949999999</v>
      </c>
      <c r="F107" s="1048"/>
      <c r="G107" s="1048"/>
      <c r="H107" s="1049">
        <f>(E107/D107)*100</f>
        <v>43.146583813679328</v>
      </c>
      <c r="I107" s="1024">
        <f>D107-E107</f>
        <v>27738185.779999997</v>
      </c>
      <c r="J107" s="2904" t="s">
        <v>3465</v>
      </c>
    </row>
    <row r="108" spans="2:10" ht="24.6" customHeight="1">
      <c r="B108" s="1148"/>
      <c r="C108" s="1086" t="s">
        <v>627</v>
      </c>
      <c r="D108" s="1057">
        <v>585125</v>
      </c>
      <c r="E108" s="1048">
        <v>154351.6</v>
      </c>
      <c r="F108" s="1048"/>
      <c r="G108" s="1048"/>
      <c r="H108" s="1049">
        <f>(E108/D108)*100</f>
        <v>26.379252296517841</v>
      </c>
      <c r="I108" s="1024">
        <f>D108-E108</f>
        <v>430773.4</v>
      </c>
      <c r="J108" s="2905"/>
    </row>
    <row r="109" spans="2:10" ht="24.6" customHeight="1">
      <c r="B109" s="1148"/>
      <c r="C109" s="1086" t="s">
        <v>628</v>
      </c>
      <c r="D109" s="1057">
        <v>4372818.28</v>
      </c>
      <c r="E109" s="1048">
        <v>1550446.21</v>
      </c>
      <c r="F109" s="1048"/>
      <c r="G109" s="1048"/>
      <c r="H109" s="1049">
        <f>(E109/D109)*100</f>
        <v>35.456451897196146</v>
      </c>
      <c r="I109" s="1024">
        <f>D109-E109</f>
        <v>2822372.0700000003</v>
      </c>
      <c r="J109" s="2905"/>
    </row>
    <row r="110" spans="2:10" ht="24.6" customHeight="1">
      <c r="B110" s="1148"/>
      <c r="C110" s="1086" t="s">
        <v>629</v>
      </c>
      <c r="D110" s="1023">
        <v>378300</v>
      </c>
      <c r="E110" s="1149">
        <v>19482.599999999999</v>
      </c>
      <c r="F110" s="1149"/>
      <c r="G110" s="1149"/>
      <c r="H110" s="1049">
        <f>(E110/D110)*100</f>
        <v>5.1500396510705784</v>
      </c>
      <c r="I110" s="1024">
        <f>D110-E110</f>
        <v>358817.4</v>
      </c>
      <c r="J110" s="2908"/>
    </row>
    <row r="111" spans="2:10">
      <c r="C111" s="1150"/>
      <c r="D111" s="1151"/>
      <c r="E111" s="1152"/>
      <c r="F111" s="1152"/>
      <c r="G111" s="1152"/>
      <c r="H111" s="1152"/>
      <c r="I111" s="1152"/>
      <c r="J111" s="1153"/>
    </row>
    <row r="112" spans="2:10">
      <c r="C112" s="1150"/>
      <c r="D112" s="1151"/>
      <c r="E112" s="1152"/>
      <c r="F112" s="1152"/>
      <c r="G112" s="1152"/>
      <c r="H112" s="1152"/>
      <c r="I112" s="1152"/>
      <c r="J112" s="1153"/>
    </row>
    <row r="113" spans="3:10">
      <c r="C113" s="1150"/>
      <c r="D113" s="1151"/>
      <c r="E113" s="1152"/>
      <c r="F113" s="1152"/>
      <c r="G113" s="1152"/>
      <c r="H113" s="1152"/>
      <c r="I113" s="1152"/>
      <c r="J113" s="1153"/>
    </row>
    <row r="114" spans="3:10">
      <c r="C114" s="1150"/>
      <c r="D114" s="1151"/>
      <c r="E114" s="1152"/>
      <c r="F114" s="1152"/>
      <c r="G114" s="1152"/>
      <c r="H114" s="1152"/>
      <c r="I114" s="1152"/>
      <c r="J114" s="1153"/>
    </row>
    <row r="115" spans="3:10">
      <c r="C115" s="1150"/>
      <c r="D115" s="1151"/>
      <c r="E115" s="1152"/>
      <c r="F115" s="1152"/>
      <c r="G115" s="1152"/>
      <c r="H115" s="1152"/>
      <c r="I115" s="1152"/>
      <c r="J115" s="1153"/>
    </row>
    <row r="116" spans="3:10">
      <c r="C116" s="1150"/>
      <c r="D116" s="1151"/>
      <c r="E116" s="1152"/>
      <c r="F116" s="1152"/>
      <c r="G116" s="1152"/>
      <c r="H116" s="1152"/>
      <c r="I116" s="1152"/>
      <c r="J116" s="1153"/>
    </row>
    <row r="117" spans="3:10">
      <c r="C117" s="1150"/>
      <c r="D117" s="1151"/>
      <c r="E117" s="1152"/>
      <c r="F117" s="1152"/>
      <c r="G117" s="1152"/>
      <c r="H117" s="1152"/>
      <c r="I117" s="1152"/>
      <c r="J117" s="1153"/>
    </row>
    <row r="118" spans="3:10">
      <c r="C118" s="1150"/>
      <c r="D118" s="1151"/>
      <c r="E118" s="1152"/>
      <c r="F118" s="1152"/>
      <c r="G118" s="1152"/>
      <c r="H118" s="1152"/>
      <c r="I118" s="1152"/>
      <c r="J118" s="1153"/>
    </row>
    <row r="119" spans="3:10">
      <c r="C119" s="1150"/>
      <c r="D119" s="1151"/>
      <c r="E119" s="1153"/>
      <c r="F119" s="1153"/>
      <c r="G119" s="1153"/>
      <c r="H119" s="1153"/>
      <c r="I119" s="1152"/>
      <c r="J119" s="1153"/>
    </row>
    <row r="120" spans="3:10">
      <c r="C120" s="1150"/>
      <c r="D120" s="1151"/>
      <c r="E120" s="1153"/>
      <c r="F120" s="1153"/>
      <c r="G120" s="1153"/>
      <c r="H120" s="1153"/>
      <c r="I120" s="1152"/>
      <c r="J120" s="1153"/>
    </row>
    <row r="121" spans="3:10">
      <c r="C121" s="1150"/>
      <c r="D121" s="1151"/>
      <c r="E121" s="1153"/>
      <c r="F121" s="1153"/>
      <c r="G121" s="1153"/>
      <c r="H121" s="1153"/>
      <c r="I121" s="1152"/>
      <c r="J121" s="1153"/>
    </row>
    <row r="122" spans="3:10">
      <c r="C122" s="1150"/>
      <c r="D122" s="1151"/>
      <c r="E122" s="1153"/>
      <c r="F122" s="1153"/>
      <c r="G122" s="1153"/>
      <c r="H122" s="1153"/>
      <c r="I122" s="1152"/>
      <c r="J122" s="1153"/>
    </row>
    <row r="123" spans="3:10">
      <c r="C123" s="1150"/>
      <c r="D123" s="1151"/>
      <c r="E123" s="1153"/>
      <c r="F123" s="1153"/>
      <c r="G123" s="1153"/>
      <c r="H123" s="1153"/>
      <c r="I123" s="1152"/>
      <c r="J123" s="1153"/>
    </row>
    <row r="124" spans="3:10">
      <c r="C124" s="1150"/>
      <c r="D124" s="1151"/>
      <c r="E124" s="1153"/>
      <c r="F124" s="1153"/>
      <c r="G124" s="1153"/>
      <c r="H124" s="1153"/>
      <c r="I124" s="1152"/>
      <c r="J124" s="1153"/>
    </row>
    <row r="125" spans="3:10">
      <c r="C125" s="1150"/>
      <c r="D125" s="1151"/>
      <c r="E125" s="1153"/>
      <c r="F125" s="1153"/>
      <c r="G125" s="1153"/>
      <c r="H125" s="1153"/>
      <c r="I125" s="1152"/>
      <c r="J125" s="1153"/>
    </row>
    <row r="126" spans="3:10">
      <c r="C126" s="1150"/>
      <c r="D126" s="1151"/>
      <c r="E126" s="1153"/>
      <c r="F126" s="1153"/>
      <c r="G126" s="1153"/>
      <c r="H126" s="1153"/>
      <c r="I126" s="1152"/>
      <c r="J126" s="1153"/>
    </row>
    <row r="127" spans="3:10">
      <c r="C127" s="1150"/>
      <c r="D127" s="1151"/>
      <c r="E127" s="1153"/>
      <c r="F127" s="1153"/>
      <c r="G127" s="1153"/>
      <c r="H127" s="1153"/>
      <c r="I127" s="1152"/>
      <c r="J127" s="1153"/>
    </row>
    <row r="128" spans="3:10">
      <c r="C128" s="1150"/>
      <c r="D128" s="1151"/>
      <c r="E128" s="1153"/>
      <c r="F128" s="1153"/>
      <c r="G128" s="1153"/>
      <c r="H128" s="1153"/>
      <c r="I128" s="1152"/>
      <c r="J128" s="1153"/>
    </row>
    <row r="129" spans="3:10">
      <c r="C129" s="1150"/>
      <c r="D129" s="1151"/>
      <c r="E129" s="1153"/>
      <c r="F129" s="1153"/>
      <c r="G129" s="1153"/>
      <c r="H129" s="1153"/>
      <c r="I129" s="1152"/>
      <c r="J129" s="1153"/>
    </row>
    <row r="130" spans="3:10">
      <c r="C130" s="1150"/>
      <c r="D130" s="1151"/>
      <c r="E130" s="1153"/>
      <c r="F130" s="1153"/>
      <c r="G130" s="1153"/>
      <c r="H130" s="1153"/>
      <c r="I130" s="1152"/>
      <c r="J130" s="1153"/>
    </row>
    <row r="131" spans="3:10">
      <c r="C131" s="1150"/>
      <c r="D131" s="1151"/>
      <c r="E131" s="1153"/>
      <c r="F131" s="1153"/>
      <c r="G131" s="1153"/>
      <c r="H131" s="1153"/>
      <c r="I131" s="1152"/>
      <c r="J131" s="1153"/>
    </row>
    <row r="132" spans="3:10">
      <c r="C132" s="1150"/>
      <c r="D132" s="1151"/>
      <c r="E132" s="1153"/>
      <c r="F132" s="1153"/>
      <c r="G132" s="1153"/>
      <c r="H132" s="1153"/>
      <c r="I132" s="1152"/>
      <c r="J132" s="1153"/>
    </row>
    <row r="133" spans="3:10">
      <c r="C133" s="1150"/>
      <c r="D133" s="1151"/>
      <c r="E133" s="1153"/>
      <c r="F133" s="1153"/>
      <c r="G133" s="1153"/>
      <c r="H133" s="1153"/>
      <c r="I133" s="1152"/>
      <c r="J133" s="1153"/>
    </row>
    <row r="134" spans="3:10">
      <c r="C134" s="1150"/>
      <c r="D134" s="1151"/>
      <c r="E134" s="1153"/>
      <c r="F134" s="1153"/>
      <c r="G134" s="1153"/>
      <c r="H134" s="1153"/>
      <c r="I134" s="1152"/>
      <c r="J134" s="1153"/>
    </row>
    <row r="135" spans="3:10">
      <c r="C135" s="1150"/>
      <c r="D135" s="1151"/>
      <c r="E135" s="1153"/>
      <c r="F135" s="1153"/>
      <c r="G135" s="1153"/>
      <c r="H135" s="1153"/>
      <c r="I135" s="1152"/>
      <c r="J135" s="1153"/>
    </row>
    <row r="136" spans="3:10">
      <c r="C136" s="1150"/>
      <c r="D136" s="1151"/>
      <c r="E136" s="1153"/>
      <c r="F136" s="1153"/>
      <c r="G136" s="1153"/>
      <c r="H136" s="1153"/>
      <c r="I136" s="1152"/>
      <c r="J136" s="1153"/>
    </row>
    <row r="137" spans="3:10">
      <c r="C137" s="1150"/>
      <c r="D137" s="1151"/>
      <c r="E137" s="1153"/>
      <c r="F137" s="1153"/>
      <c r="G137" s="1153"/>
      <c r="H137" s="1153"/>
      <c r="I137" s="1152"/>
      <c r="J137" s="1153"/>
    </row>
    <row r="138" spans="3:10">
      <c r="C138" s="1150"/>
      <c r="D138" s="1151"/>
      <c r="E138" s="1153"/>
      <c r="F138" s="1153"/>
      <c r="G138" s="1153"/>
      <c r="H138" s="1153"/>
      <c r="I138" s="1152"/>
      <c r="J138" s="1153"/>
    </row>
    <row r="139" spans="3:10">
      <c r="C139" s="1150"/>
      <c r="D139" s="1151"/>
      <c r="E139" s="1153"/>
      <c r="F139" s="1153"/>
      <c r="G139" s="1153"/>
      <c r="H139" s="1153"/>
      <c r="I139" s="1152"/>
      <c r="J139" s="1153"/>
    </row>
    <row r="140" spans="3:10">
      <c r="C140" s="1150"/>
      <c r="D140" s="1151"/>
      <c r="E140" s="1153"/>
      <c r="F140" s="1153"/>
      <c r="G140" s="1153"/>
      <c r="H140" s="1153"/>
      <c r="I140" s="1152"/>
      <c r="J140" s="1153"/>
    </row>
    <row r="141" spans="3:10">
      <c r="C141" s="1150"/>
      <c r="D141" s="1151"/>
      <c r="E141" s="1153"/>
      <c r="F141" s="1153"/>
      <c r="G141" s="1153"/>
      <c r="H141" s="1153"/>
      <c r="I141" s="1152"/>
      <c r="J141" s="1153"/>
    </row>
    <row r="142" spans="3:10">
      <c r="C142" s="1150"/>
      <c r="D142" s="1151"/>
      <c r="E142" s="1153"/>
      <c r="F142" s="1153"/>
      <c r="G142" s="1153"/>
      <c r="H142" s="1153"/>
      <c r="I142" s="1152"/>
      <c r="J142" s="1153"/>
    </row>
    <row r="143" spans="3:10">
      <c r="C143" s="1150"/>
      <c r="D143" s="1151"/>
      <c r="E143" s="1153"/>
      <c r="F143" s="1153"/>
      <c r="G143" s="1153"/>
      <c r="H143" s="1153"/>
      <c r="I143" s="1152"/>
      <c r="J143" s="1153"/>
    </row>
    <row r="144" spans="3:10">
      <c r="C144" s="1150"/>
      <c r="D144" s="1151"/>
      <c r="E144" s="1153"/>
      <c r="F144" s="1153"/>
      <c r="G144" s="1153"/>
      <c r="H144" s="1153"/>
      <c r="I144" s="1152"/>
      <c r="J144" s="1153"/>
    </row>
    <row r="145" spans="3:10">
      <c r="C145" s="1150"/>
      <c r="D145" s="1151"/>
      <c r="E145" s="1153"/>
      <c r="F145" s="1153"/>
      <c r="G145" s="1153"/>
      <c r="H145" s="1153"/>
      <c r="I145" s="1152"/>
      <c r="J145" s="1153"/>
    </row>
    <row r="146" spans="3:10">
      <c r="C146" s="1150"/>
      <c r="D146" s="1151"/>
      <c r="E146" s="1153"/>
      <c r="F146" s="1153"/>
      <c r="G146" s="1153"/>
      <c r="H146" s="1153"/>
      <c r="I146" s="1152"/>
      <c r="J146" s="1153"/>
    </row>
    <row r="147" spans="3:10">
      <c r="C147" s="1150"/>
      <c r="D147" s="1151"/>
      <c r="E147" s="1153"/>
      <c r="F147" s="1153"/>
      <c r="G147" s="1153"/>
      <c r="H147" s="1153"/>
      <c r="I147" s="1152"/>
      <c r="J147" s="1153"/>
    </row>
    <row r="148" spans="3:10">
      <c r="C148" s="1150"/>
      <c r="D148" s="1151"/>
      <c r="E148" s="1153"/>
      <c r="F148" s="1153"/>
      <c r="G148" s="1153"/>
      <c r="H148" s="1153"/>
      <c r="I148" s="1152"/>
      <c r="J148" s="1153"/>
    </row>
    <row r="149" spans="3:10">
      <c r="C149" s="1150"/>
      <c r="D149" s="1151"/>
      <c r="E149" s="1153"/>
      <c r="F149" s="1153"/>
      <c r="G149" s="1153"/>
      <c r="H149" s="1153"/>
      <c r="I149" s="1152"/>
      <c r="J149" s="1153"/>
    </row>
    <row r="150" spans="3:10">
      <c r="C150" s="1150"/>
      <c r="D150" s="1151"/>
      <c r="E150" s="1153"/>
      <c r="F150" s="1153"/>
      <c r="G150" s="1153"/>
      <c r="H150" s="1153"/>
      <c r="I150" s="1152"/>
      <c r="J150" s="1153"/>
    </row>
    <row r="151" spans="3:10">
      <c r="C151" s="1150"/>
      <c r="D151" s="1151"/>
      <c r="E151" s="1153"/>
      <c r="F151" s="1153"/>
      <c r="G151" s="1153"/>
      <c r="H151" s="1153"/>
      <c r="I151" s="1152"/>
      <c r="J151" s="1153"/>
    </row>
    <row r="152" spans="3:10">
      <c r="C152" s="1150"/>
      <c r="D152" s="1151"/>
      <c r="E152" s="1153"/>
      <c r="F152" s="1153"/>
      <c r="G152" s="1153"/>
      <c r="H152" s="1153"/>
      <c r="I152" s="1152"/>
      <c r="J152" s="1153"/>
    </row>
    <row r="153" spans="3:10">
      <c r="C153" s="1150"/>
      <c r="D153" s="1151"/>
      <c r="E153" s="1153"/>
      <c r="F153" s="1153"/>
      <c r="G153" s="1153"/>
      <c r="H153" s="1153"/>
      <c r="I153" s="1152"/>
      <c r="J153" s="1153"/>
    </row>
    <row r="154" spans="3:10">
      <c r="C154" s="1150"/>
      <c r="D154" s="1151"/>
      <c r="E154" s="1153"/>
      <c r="F154" s="1153"/>
      <c r="G154" s="1153"/>
      <c r="H154" s="1153"/>
      <c r="I154" s="1152"/>
      <c r="J154" s="1153"/>
    </row>
    <row r="155" spans="3:10">
      <c r="C155" s="1150"/>
      <c r="D155" s="1151"/>
      <c r="E155" s="1153"/>
      <c r="F155" s="1153"/>
      <c r="G155" s="1153"/>
      <c r="H155" s="1153"/>
      <c r="I155" s="1152"/>
      <c r="J155" s="1153"/>
    </row>
    <row r="156" spans="3:10">
      <c r="C156" s="1150"/>
      <c r="D156" s="1151"/>
      <c r="E156" s="1153"/>
      <c r="F156" s="1153"/>
      <c r="G156" s="1153"/>
      <c r="H156" s="1153"/>
      <c r="I156" s="1152"/>
      <c r="J156" s="1153"/>
    </row>
    <row r="157" spans="3:10">
      <c r="C157" s="1150"/>
      <c r="D157" s="1151"/>
      <c r="E157" s="1153"/>
      <c r="F157" s="1153"/>
      <c r="G157" s="1153"/>
      <c r="H157" s="1153"/>
      <c r="I157" s="1152"/>
      <c r="J157" s="1153"/>
    </row>
    <row r="158" spans="3:10">
      <c r="C158" s="1150"/>
      <c r="D158" s="1151"/>
      <c r="E158" s="1153"/>
      <c r="F158" s="1153"/>
      <c r="G158" s="1153"/>
      <c r="H158" s="1153"/>
      <c r="I158" s="1152"/>
      <c r="J158" s="1153"/>
    </row>
    <row r="159" spans="3:10">
      <c r="C159" s="1150"/>
      <c r="D159" s="1151"/>
      <c r="E159" s="1153"/>
      <c r="F159" s="1153"/>
      <c r="G159" s="1153"/>
      <c r="H159" s="1153"/>
      <c r="I159" s="1152"/>
    </row>
    <row r="160" spans="3:10">
      <c r="C160" s="1150"/>
      <c r="D160" s="1151"/>
      <c r="E160" s="1153"/>
      <c r="F160" s="1153"/>
      <c r="G160" s="1153"/>
      <c r="H160" s="1153"/>
      <c r="I160" s="1152"/>
    </row>
    <row r="161" spans="3:9">
      <c r="C161" s="1150"/>
      <c r="D161" s="1152"/>
      <c r="E161" s="1153"/>
      <c r="F161" s="1153"/>
      <c r="G161" s="1153"/>
      <c r="H161" s="1153"/>
      <c r="I161" s="1152"/>
    </row>
    <row r="162" spans="3:9">
      <c r="C162" s="1150"/>
      <c r="D162" s="1152"/>
      <c r="E162" s="1153"/>
      <c r="F162" s="1153"/>
      <c r="G162" s="1153"/>
      <c r="H162" s="1153"/>
      <c r="I162" s="1152"/>
    </row>
    <row r="163" spans="3:9">
      <c r="C163" s="1150"/>
      <c r="D163" s="1152"/>
      <c r="E163" s="1153"/>
      <c r="F163" s="1153"/>
      <c r="G163" s="1153"/>
      <c r="H163" s="1153"/>
      <c r="I163" s="1152"/>
    </row>
    <row r="164" spans="3:9">
      <c r="C164" s="1150"/>
      <c r="D164" s="1152"/>
      <c r="E164" s="1153"/>
      <c r="F164" s="1153"/>
      <c r="G164" s="1153"/>
      <c r="H164" s="1153"/>
      <c r="I164" s="1152"/>
    </row>
    <row r="165" spans="3:9">
      <c r="C165" s="1150"/>
      <c r="D165" s="1152"/>
      <c r="E165" s="1153"/>
      <c r="F165" s="1153"/>
      <c r="G165" s="1153"/>
      <c r="H165" s="1153"/>
      <c r="I165" s="1152"/>
    </row>
    <row r="166" spans="3:9">
      <c r="C166" s="1150"/>
      <c r="D166" s="1152"/>
      <c r="E166" s="1153"/>
      <c r="F166" s="1153"/>
      <c r="G166" s="1153"/>
      <c r="H166" s="1153"/>
      <c r="I166" s="1152"/>
    </row>
    <row r="167" spans="3:9">
      <c r="C167" s="1150"/>
      <c r="D167" s="1152"/>
      <c r="E167" s="1153"/>
      <c r="F167" s="1153"/>
      <c r="G167" s="1153"/>
      <c r="H167" s="1153"/>
      <c r="I167" s="1152"/>
    </row>
    <row r="168" spans="3:9">
      <c r="C168" s="1150"/>
      <c r="D168" s="1152"/>
      <c r="E168" s="1153"/>
      <c r="F168" s="1153"/>
      <c r="G168" s="1153"/>
      <c r="H168" s="1153"/>
      <c r="I168" s="1152"/>
    </row>
    <row r="169" spans="3:9">
      <c r="C169" s="1150"/>
      <c r="D169" s="1152"/>
      <c r="E169" s="1153"/>
      <c r="F169" s="1153"/>
      <c r="G169" s="1153"/>
      <c r="H169" s="1153"/>
      <c r="I169" s="1152"/>
    </row>
    <row r="170" spans="3:9">
      <c r="C170" s="1150"/>
      <c r="D170" s="1152"/>
      <c r="E170" s="1153"/>
      <c r="F170" s="1153"/>
      <c r="G170" s="1153"/>
      <c r="H170" s="1153"/>
      <c r="I170" s="1152"/>
    </row>
    <row r="171" spans="3:9">
      <c r="C171" s="1150"/>
      <c r="D171" s="1152"/>
      <c r="E171" s="1153"/>
      <c r="F171" s="1153"/>
      <c r="G171" s="1153"/>
      <c r="H171" s="1153"/>
      <c r="I171" s="1152"/>
    </row>
    <row r="172" spans="3:9">
      <c r="C172" s="1150"/>
      <c r="D172" s="1152"/>
      <c r="E172" s="1153"/>
      <c r="F172" s="1153"/>
      <c r="G172" s="1153"/>
      <c r="H172" s="1153"/>
      <c r="I172" s="1152"/>
    </row>
    <row r="173" spans="3:9">
      <c r="C173" s="1150"/>
      <c r="D173" s="1152"/>
      <c r="E173" s="1153"/>
      <c r="F173" s="1153"/>
      <c r="G173" s="1153"/>
      <c r="H173" s="1153"/>
      <c r="I173" s="1152"/>
    </row>
    <row r="174" spans="3:9">
      <c r="C174" s="1150"/>
      <c r="D174" s="1152"/>
      <c r="E174" s="1153"/>
      <c r="F174" s="1153"/>
      <c r="G174" s="1153"/>
      <c r="H174" s="1153"/>
      <c r="I174" s="1152"/>
    </row>
    <row r="175" spans="3:9">
      <c r="C175" s="1150"/>
      <c r="D175" s="1152"/>
      <c r="E175" s="1153"/>
      <c r="F175" s="1153"/>
      <c r="G175" s="1153"/>
      <c r="H175" s="1153"/>
      <c r="I175" s="1152"/>
    </row>
    <row r="176" spans="3:9">
      <c r="C176" s="1150"/>
      <c r="D176" s="1152"/>
      <c r="E176" s="1153"/>
      <c r="F176" s="1153"/>
      <c r="G176" s="1153"/>
      <c r="H176" s="1153"/>
      <c r="I176" s="1152"/>
    </row>
    <row r="177" spans="3:9">
      <c r="C177" s="1150"/>
      <c r="D177" s="1152"/>
      <c r="E177" s="1153"/>
      <c r="F177" s="1153"/>
      <c r="G177" s="1153"/>
      <c r="H177" s="1153"/>
      <c r="I177" s="1152"/>
    </row>
    <row r="178" spans="3:9">
      <c r="C178" s="1150"/>
      <c r="D178" s="1152"/>
      <c r="E178" s="1153"/>
      <c r="F178" s="1153"/>
      <c r="G178" s="1153"/>
      <c r="H178" s="1153"/>
      <c r="I178" s="1152"/>
    </row>
    <row r="179" spans="3:9">
      <c r="C179" s="1150"/>
      <c r="D179" s="1152"/>
      <c r="E179" s="1153"/>
      <c r="F179" s="1153"/>
      <c r="G179" s="1153"/>
      <c r="H179" s="1153"/>
      <c r="I179" s="1152"/>
    </row>
    <row r="180" spans="3:9">
      <c r="C180" s="1150"/>
      <c r="D180" s="1152"/>
      <c r="E180" s="1153"/>
      <c r="F180" s="1153"/>
      <c r="G180" s="1153"/>
      <c r="H180" s="1153"/>
      <c r="I180" s="1152"/>
    </row>
    <row r="181" spans="3:9">
      <c r="C181" s="1150"/>
      <c r="D181" s="1152"/>
      <c r="E181" s="1153"/>
      <c r="F181" s="1153"/>
      <c r="G181" s="1153"/>
      <c r="H181" s="1153"/>
      <c r="I181" s="1152"/>
    </row>
    <row r="182" spans="3:9">
      <c r="C182" s="1150"/>
      <c r="D182" s="1152"/>
      <c r="E182" s="1153"/>
      <c r="F182" s="1153"/>
      <c r="G182" s="1153"/>
      <c r="H182" s="1153"/>
      <c r="I182" s="1152"/>
    </row>
    <row r="183" spans="3:9">
      <c r="C183" s="1150"/>
      <c r="D183" s="1152"/>
      <c r="E183" s="1153"/>
      <c r="F183" s="1153"/>
      <c r="G183" s="1153"/>
      <c r="H183" s="1153"/>
      <c r="I183" s="1152"/>
    </row>
    <row r="184" spans="3:9">
      <c r="C184" s="1150"/>
      <c r="D184" s="1152"/>
      <c r="E184" s="1153"/>
      <c r="F184" s="1153"/>
      <c r="G184" s="1153"/>
      <c r="H184" s="1153"/>
      <c r="I184" s="1152"/>
    </row>
    <row r="185" spans="3:9">
      <c r="C185" s="1150"/>
      <c r="D185" s="1152"/>
      <c r="E185" s="1153"/>
      <c r="F185" s="1153"/>
      <c r="G185" s="1153"/>
      <c r="H185" s="1153"/>
      <c r="I185" s="1152"/>
    </row>
    <row r="186" spans="3:9">
      <c r="C186" s="1150"/>
      <c r="D186" s="1152"/>
      <c r="E186" s="1153"/>
      <c r="F186" s="1153"/>
      <c r="G186" s="1153"/>
      <c r="H186" s="1153"/>
      <c r="I186" s="1152"/>
    </row>
    <row r="187" spans="3:9">
      <c r="C187" s="1150"/>
      <c r="D187" s="1152"/>
      <c r="E187" s="1153"/>
      <c r="F187" s="1153"/>
      <c r="G187" s="1153"/>
      <c r="H187" s="1153"/>
      <c r="I187" s="1152"/>
    </row>
    <row r="188" spans="3:9">
      <c r="C188" s="1150"/>
      <c r="D188" s="1152"/>
      <c r="E188" s="1153"/>
      <c r="F188" s="1153"/>
      <c r="G188" s="1153"/>
      <c r="H188" s="1153"/>
      <c r="I188" s="1152"/>
    </row>
    <row r="189" spans="3:9">
      <c r="C189" s="1150"/>
      <c r="D189" s="1152"/>
      <c r="E189" s="1153"/>
      <c r="F189" s="1153"/>
      <c r="G189" s="1153"/>
      <c r="H189" s="1153"/>
      <c r="I189" s="1152"/>
    </row>
    <row r="190" spans="3:9">
      <c r="C190" s="1150"/>
      <c r="D190" s="1152"/>
      <c r="E190" s="1153"/>
      <c r="F190" s="1153"/>
      <c r="G190" s="1153"/>
      <c r="H190" s="1153"/>
      <c r="I190" s="1152"/>
    </row>
    <row r="191" spans="3:9">
      <c r="C191" s="1150"/>
      <c r="D191" s="1152"/>
      <c r="E191" s="1153"/>
      <c r="F191" s="1153"/>
      <c r="G191" s="1153"/>
      <c r="H191" s="1153"/>
      <c r="I191" s="1152"/>
    </row>
    <row r="192" spans="3:9">
      <c r="C192" s="1150"/>
      <c r="D192" s="1152"/>
      <c r="E192" s="1153"/>
      <c r="F192" s="1153"/>
      <c r="G192" s="1153"/>
      <c r="H192" s="1153"/>
      <c r="I192" s="1152"/>
    </row>
    <row r="193" spans="3:9">
      <c r="C193" s="1150"/>
      <c r="D193" s="1152"/>
      <c r="E193" s="1153"/>
      <c r="F193" s="1153"/>
      <c r="G193" s="1153"/>
      <c r="H193" s="1153"/>
      <c r="I193" s="1152"/>
    </row>
    <row r="194" spans="3:9">
      <c r="C194" s="1150"/>
      <c r="D194" s="1152"/>
      <c r="E194" s="1153"/>
      <c r="F194" s="1153"/>
      <c r="G194" s="1153"/>
      <c r="H194" s="1153"/>
      <c r="I194" s="1152"/>
    </row>
    <row r="195" spans="3:9">
      <c r="C195" s="1150"/>
      <c r="D195" s="1152"/>
      <c r="E195" s="1153"/>
      <c r="F195" s="1153"/>
      <c r="G195" s="1153"/>
      <c r="H195" s="1153"/>
      <c r="I195" s="1152"/>
    </row>
    <row r="196" spans="3:9">
      <c r="C196" s="1150"/>
      <c r="D196" s="1152"/>
      <c r="E196" s="1153"/>
      <c r="F196" s="1153"/>
      <c r="G196" s="1153"/>
      <c r="H196" s="1153"/>
      <c r="I196" s="1152"/>
    </row>
    <row r="197" spans="3:9">
      <c r="C197" s="1150"/>
      <c r="D197" s="1152"/>
      <c r="E197" s="1153"/>
      <c r="F197" s="1153"/>
      <c r="G197" s="1153"/>
      <c r="H197" s="1153"/>
      <c r="I197" s="1152"/>
    </row>
    <row r="198" spans="3:9">
      <c r="C198" s="1150"/>
      <c r="D198" s="1152"/>
      <c r="E198" s="1153"/>
      <c r="F198" s="1153"/>
      <c r="G198" s="1153"/>
      <c r="H198" s="1153"/>
      <c r="I198" s="1152"/>
    </row>
    <row r="199" spans="3:9">
      <c r="C199" s="1150"/>
      <c r="D199" s="1152"/>
      <c r="E199" s="1153"/>
      <c r="F199" s="1153"/>
      <c r="G199" s="1153"/>
      <c r="H199" s="1153"/>
      <c r="I199" s="1152"/>
    </row>
    <row r="200" spans="3:9">
      <c r="C200" s="1150"/>
      <c r="D200" s="1152"/>
      <c r="E200" s="1153"/>
      <c r="F200" s="1153"/>
      <c r="G200" s="1153"/>
      <c r="H200" s="1153"/>
      <c r="I200" s="1152"/>
    </row>
    <row r="201" spans="3:9">
      <c r="C201" s="1150"/>
      <c r="D201" s="1152"/>
      <c r="E201" s="1153"/>
      <c r="F201" s="1153"/>
      <c r="G201" s="1153"/>
      <c r="H201" s="1153"/>
      <c r="I201" s="1152"/>
    </row>
    <row r="202" spans="3:9">
      <c r="C202" s="1150"/>
      <c r="D202" s="1152"/>
      <c r="E202" s="1153"/>
      <c r="F202" s="1153"/>
      <c r="G202" s="1153"/>
      <c r="H202" s="1153"/>
      <c r="I202" s="1152"/>
    </row>
    <row r="203" spans="3:9">
      <c r="C203" s="1150"/>
      <c r="D203" s="1152"/>
      <c r="E203" s="1153"/>
      <c r="F203" s="1153"/>
      <c r="G203" s="1153"/>
      <c r="H203" s="1153"/>
      <c r="I203" s="1152"/>
    </row>
    <row r="204" spans="3:9">
      <c r="C204" s="1150"/>
      <c r="D204" s="1152"/>
      <c r="E204" s="1153"/>
      <c r="F204" s="1153"/>
      <c r="G204" s="1153"/>
      <c r="H204" s="1153"/>
      <c r="I204" s="1152"/>
    </row>
    <row r="205" spans="3:9">
      <c r="C205" s="1150"/>
      <c r="D205" s="1152"/>
      <c r="E205" s="1153"/>
      <c r="F205" s="1153"/>
      <c r="G205" s="1153"/>
      <c r="H205" s="1153"/>
      <c r="I205" s="1152"/>
    </row>
    <row r="206" spans="3:9">
      <c r="C206" s="1150"/>
      <c r="D206" s="1152"/>
      <c r="E206" s="1153"/>
      <c r="F206" s="1153"/>
      <c r="G206" s="1153"/>
      <c r="H206" s="1153"/>
      <c r="I206" s="1152"/>
    </row>
    <row r="207" spans="3:9">
      <c r="C207" s="1150"/>
      <c r="D207" s="1152"/>
      <c r="E207" s="1153"/>
      <c r="F207" s="1153"/>
      <c r="G207" s="1153"/>
      <c r="H207" s="1153"/>
      <c r="I207" s="1152"/>
    </row>
    <row r="208" spans="3:9">
      <c r="C208" s="1150"/>
      <c r="D208" s="1152"/>
      <c r="E208" s="1153"/>
      <c r="F208" s="1153"/>
      <c r="G208" s="1153"/>
      <c r="H208" s="1153"/>
      <c r="I208" s="1152"/>
    </row>
    <row r="209" spans="3:9">
      <c r="C209" s="1150"/>
      <c r="D209" s="1152"/>
      <c r="E209" s="1153"/>
      <c r="F209" s="1153"/>
      <c r="G209" s="1153"/>
      <c r="H209" s="1153"/>
      <c r="I209" s="1152"/>
    </row>
    <row r="210" spans="3:9">
      <c r="C210" s="1150"/>
      <c r="D210" s="1152"/>
      <c r="E210" s="1153"/>
      <c r="F210" s="1153"/>
      <c r="G210" s="1153"/>
      <c r="H210" s="1153"/>
      <c r="I210" s="1152"/>
    </row>
    <row r="211" spans="3:9">
      <c r="C211" s="1150"/>
      <c r="D211" s="1152"/>
      <c r="E211" s="1153"/>
      <c r="F211" s="1153"/>
      <c r="G211" s="1153"/>
      <c r="H211" s="1153"/>
      <c r="I211" s="1152"/>
    </row>
    <row r="212" spans="3:9">
      <c r="C212" s="1150"/>
      <c r="D212" s="1152"/>
      <c r="E212" s="1153"/>
      <c r="F212" s="1153"/>
      <c r="G212" s="1153"/>
      <c r="H212" s="1153"/>
      <c r="I212" s="1152"/>
    </row>
    <row r="213" spans="3:9">
      <c r="C213" s="1150"/>
      <c r="D213" s="1152"/>
      <c r="E213" s="1153"/>
      <c r="F213" s="1153"/>
      <c r="G213" s="1153"/>
      <c r="H213" s="1153"/>
      <c r="I213" s="1152"/>
    </row>
    <row r="214" spans="3:9">
      <c r="C214" s="1150"/>
      <c r="D214" s="1152"/>
      <c r="E214" s="1153"/>
      <c r="F214" s="1153"/>
      <c r="G214" s="1153"/>
      <c r="H214" s="1153"/>
      <c r="I214" s="1152"/>
    </row>
    <row r="215" spans="3:9">
      <c r="C215" s="1150"/>
      <c r="D215" s="1152"/>
      <c r="E215" s="1153"/>
      <c r="F215" s="1153"/>
      <c r="G215" s="1153"/>
      <c r="H215" s="1153"/>
      <c r="I215" s="1152"/>
    </row>
    <row r="216" spans="3:9">
      <c r="C216" s="1150"/>
      <c r="D216" s="1152"/>
      <c r="E216" s="1153"/>
      <c r="F216" s="1153"/>
      <c r="G216" s="1153"/>
      <c r="H216" s="1153"/>
      <c r="I216" s="1152"/>
    </row>
    <row r="217" spans="3:9">
      <c r="C217" s="1150"/>
      <c r="D217" s="1152"/>
      <c r="E217" s="1153"/>
      <c r="F217" s="1153"/>
      <c r="G217" s="1153"/>
      <c r="H217" s="1153"/>
      <c r="I217" s="1152"/>
    </row>
    <row r="218" spans="3:9">
      <c r="C218" s="1150"/>
      <c r="D218" s="1152"/>
      <c r="E218" s="1153"/>
      <c r="F218" s="1153"/>
      <c r="G218" s="1153"/>
      <c r="H218" s="1153"/>
      <c r="I218" s="1152"/>
    </row>
    <row r="219" spans="3:9">
      <c r="C219" s="1150"/>
      <c r="D219" s="1152"/>
      <c r="E219" s="1153"/>
      <c r="F219" s="1153"/>
      <c r="G219" s="1153"/>
      <c r="H219" s="1153"/>
      <c r="I219" s="1152"/>
    </row>
    <row r="220" spans="3:9">
      <c r="C220" s="1150"/>
      <c r="D220" s="1152"/>
      <c r="E220" s="1153"/>
      <c r="F220" s="1153"/>
      <c r="G220" s="1153"/>
      <c r="H220" s="1153"/>
      <c r="I220" s="1152"/>
    </row>
    <row r="221" spans="3:9">
      <c r="C221" s="1150"/>
      <c r="D221" s="1152"/>
      <c r="E221" s="1153"/>
      <c r="F221" s="1153"/>
      <c r="G221" s="1153"/>
      <c r="H221" s="1153"/>
      <c r="I221" s="1152"/>
    </row>
    <row r="222" spans="3:9">
      <c r="C222" s="1150"/>
      <c r="D222" s="1152"/>
      <c r="E222" s="1153"/>
      <c r="F222" s="1153"/>
      <c r="G222" s="1153"/>
      <c r="H222" s="1153"/>
      <c r="I222" s="1152"/>
    </row>
    <row r="223" spans="3:9">
      <c r="C223" s="1150"/>
      <c r="D223" s="1152"/>
      <c r="E223" s="1153"/>
      <c r="F223" s="1153"/>
      <c r="G223" s="1153"/>
      <c r="H223" s="1153"/>
      <c r="I223" s="1152"/>
    </row>
    <row r="224" spans="3:9">
      <c r="C224" s="1154"/>
      <c r="D224" s="1155"/>
      <c r="I224" s="1155"/>
    </row>
    <row r="225" spans="3:9">
      <c r="C225" s="1154"/>
      <c r="D225" s="1155"/>
      <c r="I225" s="1155"/>
    </row>
    <row r="226" spans="3:9">
      <c r="C226" s="1154"/>
      <c r="D226" s="1155"/>
      <c r="I226" s="1155"/>
    </row>
    <row r="227" spans="3:9">
      <c r="C227" s="1154"/>
      <c r="D227" s="1155"/>
      <c r="I227" s="1155"/>
    </row>
    <row r="228" spans="3:9">
      <c r="C228" s="1154"/>
      <c r="D228" s="1155"/>
      <c r="I228" s="1155"/>
    </row>
    <row r="229" spans="3:9">
      <c r="C229" s="1154"/>
      <c r="D229" s="1155"/>
      <c r="I229" s="1155"/>
    </row>
    <row r="230" spans="3:9">
      <c r="C230" s="1154"/>
      <c r="D230" s="1155"/>
      <c r="I230" s="1155"/>
    </row>
    <row r="231" spans="3:9">
      <c r="C231" s="1154"/>
      <c r="D231" s="1155"/>
      <c r="I231" s="1155"/>
    </row>
    <row r="232" spans="3:9">
      <c r="C232" s="1154"/>
      <c r="D232" s="1155"/>
      <c r="I232" s="1155"/>
    </row>
    <row r="233" spans="3:9">
      <c r="C233" s="1154"/>
      <c r="D233" s="1155"/>
      <c r="I233" s="1155"/>
    </row>
    <row r="234" spans="3:9">
      <c r="C234" s="1154"/>
      <c r="D234" s="1155"/>
      <c r="I234" s="1155"/>
    </row>
    <row r="235" spans="3:9">
      <c r="C235" s="1154"/>
      <c r="D235" s="1155"/>
      <c r="I235" s="1155"/>
    </row>
    <row r="236" spans="3:9">
      <c r="C236" s="1154"/>
      <c r="D236" s="1155"/>
      <c r="I236" s="1155"/>
    </row>
    <row r="237" spans="3:9">
      <c r="C237" s="1154"/>
      <c r="D237" s="1155"/>
      <c r="I237" s="1155"/>
    </row>
    <row r="238" spans="3:9">
      <c r="C238" s="1154"/>
      <c r="D238" s="1155"/>
      <c r="I238" s="1155"/>
    </row>
    <row r="239" spans="3:9">
      <c r="C239" s="1154"/>
      <c r="D239" s="1155"/>
      <c r="I239" s="1155"/>
    </row>
    <row r="240" spans="3:9">
      <c r="C240" s="1154"/>
      <c r="D240" s="1155"/>
      <c r="I240" s="1155"/>
    </row>
    <row r="241" spans="3:9">
      <c r="C241" s="1154"/>
      <c r="D241" s="1155"/>
      <c r="I241" s="1155"/>
    </row>
    <row r="242" spans="3:9">
      <c r="C242" s="1154"/>
      <c r="D242" s="1155"/>
      <c r="I242" s="1155"/>
    </row>
    <row r="243" spans="3:9">
      <c r="C243" s="1154"/>
      <c r="D243" s="1155"/>
      <c r="I243" s="1155"/>
    </row>
    <row r="244" spans="3:9">
      <c r="C244" s="1154"/>
      <c r="D244" s="1155"/>
      <c r="I244" s="1155"/>
    </row>
    <row r="245" spans="3:9">
      <c r="C245" s="1154"/>
      <c r="D245" s="1155"/>
      <c r="I245" s="1155"/>
    </row>
    <row r="246" spans="3:9">
      <c r="C246" s="1154"/>
      <c r="D246" s="1155"/>
      <c r="I246" s="1155"/>
    </row>
    <row r="247" spans="3:9">
      <c r="C247" s="1154"/>
      <c r="D247" s="1155"/>
      <c r="I247" s="1155"/>
    </row>
    <row r="248" spans="3:9">
      <c r="C248" s="1154"/>
      <c r="D248" s="1155"/>
      <c r="I248" s="1155"/>
    </row>
    <row r="249" spans="3:9">
      <c r="C249" s="1154"/>
      <c r="D249" s="1155"/>
      <c r="I249" s="1155"/>
    </row>
    <row r="250" spans="3:9">
      <c r="C250" s="1154"/>
      <c r="D250" s="1155"/>
      <c r="I250" s="1155"/>
    </row>
    <row r="251" spans="3:9">
      <c r="C251" s="1154"/>
      <c r="D251" s="1155"/>
      <c r="I251" s="1155"/>
    </row>
    <row r="252" spans="3:9">
      <c r="C252" s="1154"/>
      <c r="D252" s="1155"/>
      <c r="I252" s="1155"/>
    </row>
    <row r="253" spans="3:9">
      <c r="C253" s="1154"/>
      <c r="D253" s="1155"/>
      <c r="I253" s="1155"/>
    </row>
    <row r="254" spans="3:9">
      <c r="C254" s="1154"/>
      <c r="D254" s="1155"/>
      <c r="I254" s="1155"/>
    </row>
    <row r="255" spans="3:9">
      <c r="C255" s="1154"/>
      <c r="D255" s="1155"/>
      <c r="I255" s="1155"/>
    </row>
    <row r="256" spans="3:9">
      <c r="C256" s="1154"/>
      <c r="D256" s="1155"/>
      <c r="I256" s="1155"/>
    </row>
    <row r="257" spans="3:9">
      <c r="C257" s="1154"/>
      <c r="D257" s="1155"/>
      <c r="I257" s="1155"/>
    </row>
    <row r="258" spans="3:9">
      <c r="C258" s="1154"/>
      <c r="D258" s="1155"/>
      <c r="I258" s="1155"/>
    </row>
    <row r="259" spans="3:9">
      <c r="C259" s="1154"/>
      <c r="D259" s="1155"/>
      <c r="I259" s="1155"/>
    </row>
    <row r="260" spans="3:9">
      <c r="C260" s="1154"/>
      <c r="D260" s="1155"/>
      <c r="I260" s="1155"/>
    </row>
    <row r="261" spans="3:9">
      <c r="C261" s="1154"/>
      <c r="D261" s="1155"/>
      <c r="I261" s="1155"/>
    </row>
    <row r="262" spans="3:9">
      <c r="C262" s="1154"/>
      <c r="D262" s="1155"/>
      <c r="I262" s="1155"/>
    </row>
    <row r="263" spans="3:9">
      <c r="C263" s="1154"/>
      <c r="D263" s="1155"/>
      <c r="I263" s="1155"/>
    </row>
    <row r="264" spans="3:9">
      <c r="C264" s="1154"/>
      <c r="D264" s="1155"/>
      <c r="I264" s="1155"/>
    </row>
    <row r="265" spans="3:9">
      <c r="C265" s="1154"/>
      <c r="D265" s="1155"/>
      <c r="I265" s="1155"/>
    </row>
    <row r="266" spans="3:9">
      <c r="C266" s="1154"/>
      <c r="D266" s="1155"/>
      <c r="I266" s="1155"/>
    </row>
    <row r="267" spans="3:9">
      <c r="C267" s="1154"/>
      <c r="D267" s="1155"/>
      <c r="I267" s="1155"/>
    </row>
    <row r="268" spans="3:9">
      <c r="C268" s="1154"/>
      <c r="D268" s="1155"/>
      <c r="I268" s="1155"/>
    </row>
    <row r="269" spans="3:9">
      <c r="C269" s="1154"/>
      <c r="D269" s="1155"/>
      <c r="I269" s="1155"/>
    </row>
    <row r="270" spans="3:9">
      <c r="C270" s="1154"/>
      <c r="D270" s="1155"/>
      <c r="I270" s="1155"/>
    </row>
    <row r="271" spans="3:9">
      <c r="D271" s="1155"/>
      <c r="I271" s="1155"/>
    </row>
    <row r="272" spans="3:9">
      <c r="D272" s="1155"/>
      <c r="I272" s="1155"/>
    </row>
    <row r="273" spans="4:9">
      <c r="D273" s="1155"/>
      <c r="I273" s="1155"/>
    </row>
    <row r="274" spans="4:9">
      <c r="D274" s="1155"/>
      <c r="I274" s="1155"/>
    </row>
    <row r="275" spans="4:9">
      <c r="D275" s="1155"/>
    </row>
    <row r="276" spans="4:9">
      <c r="D276" s="1155"/>
    </row>
    <row r="277" spans="4:9">
      <c r="D277" s="1155"/>
    </row>
    <row r="278" spans="4:9">
      <c r="D278" s="1155"/>
    </row>
    <row r="279" spans="4:9">
      <c r="D279" s="1155"/>
    </row>
    <row r="280" spans="4:9">
      <c r="D280" s="1155"/>
    </row>
    <row r="281" spans="4:9">
      <c r="D281" s="1155"/>
    </row>
    <row r="282" spans="4:9">
      <c r="D282" s="1155"/>
    </row>
    <row r="283" spans="4:9">
      <c r="D283" s="1155"/>
    </row>
    <row r="284" spans="4:9">
      <c r="D284" s="1155"/>
    </row>
    <row r="285" spans="4:9">
      <c r="D285" s="1155"/>
    </row>
    <row r="286" spans="4:9">
      <c r="D286" s="1155"/>
    </row>
    <row r="287" spans="4:9">
      <c r="D287" s="1155"/>
    </row>
    <row r="288" spans="4:9">
      <c r="D288" s="1155"/>
    </row>
    <row r="289" spans="4:4">
      <c r="D289" s="1155"/>
    </row>
    <row r="290" spans="4:4">
      <c r="D290" s="1155"/>
    </row>
    <row r="291" spans="4:4">
      <c r="D291" s="1155"/>
    </row>
    <row r="292" spans="4:4">
      <c r="D292" s="1155"/>
    </row>
    <row r="293" spans="4:4">
      <c r="D293" s="1155"/>
    </row>
    <row r="294" spans="4:4">
      <c r="D294" s="1155"/>
    </row>
    <row r="295" spans="4:4">
      <c r="D295" s="1155"/>
    </row>
    <row r="296" spans="4:4">
      <c r="D296" s="1155"/>
    </row>
    <row r="297" spans="4:4">
      <c r="D297" s="1155"/>
    </row>
    <row r="298" spans="4:4">
      <c r="D298" s="1155"/>
    </row>
    <row r="299" spans="4:4">
      <c r="D299" s="1155"/>
    </row>
    <row r="300" spans="4:4">
      <c r="D300" s="1155"/>
    </row>
    <row r="301" spans="4:4">
      <c r="D301" s="1155"/>
    </row>
    <row r="302" spans="4:4">
      <c r="D302" s="1155"/>
    </row>
    <row r="303" spans="4:4">
      <c r="D303" s="1155"/>
    </row>
    <row r="304" spans="4:4">
      <c r="D304" s="1155"/>
    </row>
    <row r="305" spans="4:4">
      <c r="D305" s="1155"/>
    </row>
    <row r="306" spans="4:4">
      <c r="D306" s="1155"/>
    </row>
    <row r="307" spans="4:4">
      <c r="D307" s="1155"/>
    </row>
  </sheetData>
  <mergeCells count="11">
    <mergeCell ref="B7:C7"/>
    <mergeCell ref="B11:C11"/>
    <mergeCell ref="J48:J49"/>
    <mergeCell ref="B66:B67"/>
    <mergeCell ref="J107:J110"/>
    <mergeCell ref="J4:J5"/>
    <mergeCell ref="C1:I1"/>
    <mergeCell ref="B4:B5"/>
    <mergeCell ref="C4:C5"/>
    <mergeCell ref="H4:H5"/>
    <mergeCell ref="I4:I5"/>
  </mergeCells>
  <pageMargins left="0.59055118110236227" right="0" top="0" bottom="0" header="0.31496062992125984" footer="0.31496062992125984"/>
  <pageSetup paperSize="9" scale="44" orientation="landscape" r:id="rId1"/>
  <headerFooter alignWithMargins="0"/>
  <rowBreaks count="3" manualBreakCount="3">
    <brk id="38" min="1" max="7" man="1"/>
    <brk id="65" min="1" max="7" man="1"/>
    <brk id="87" min="1" max="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891"/>
  <sheetViews>
    <sheetView showGridLines="0" topLeftCell="B1" workbookViewId="0">
      <pane ySplit="5" topLeftCell="A657" activePane="bottomLeft" state="frozen"/>
      <selection pane="bottomLeft" activeCell="H613" sqref="H613"/>
    </sheetView>
  </sheetViews>
  <sheetFormatPr defaultColWidth="9.140625" defaultRowHeight="15" outlineLevelRow="4"/>
  <cols>
    <col min="1" max="1" width="40.42578125" style="454" customWidth="1"/>
    <col min="2" max="2" width="14.7109375" style="454" customWidth="1"/>
    <col min="3" max="3" width="36.140625" style="454" customWidth="1"/>
    <col min="4" max="4" width="6.7109375" style="454" customWidth="1"/>
    <col min="5" max="8" width="17.7109375" style="454" customWidth="1"/>
    <col min="9" max="9" width="20.42578125" style="454" customWidth="1"/>
    <col min="10" max="16384" width="9.140625" style="454"/>
  </cols>
  <sheetData>
    <row r="1" spans="1:10" ht="15.2" customHeight="1">
      <c r="A1" s="2385" t="s">
        <v>674</v>
      </c>
      <c r="B1" s="2386"/>
      <c r="C1" s="2386"/>
      <c r="D1" s="2386"/>
      <c r="E1" s="2386"/>
      <c r="F1" s="2386"/>
      <c r="G1" s="2386"/>
      <c r="H1" s="2386"/>
      <c r="I1" s="2386"/>
    </row>
    <row r="2" spans="1:10" ht="15.2" customHeight="1">
      <c r="A2" s="2385" t="s">
        <v>675</v>
      </c>
      <c r="B2" s="2386"/>
      <c r="C2" s="2386"/>
      <c r="D2" s="2386"/>
      <c r="E2" s="2386"/>
      <c r="F2" s="2386"/>
      <c r="G2" s="2386"/>
      <c r="H2" s="2386"/>
      <c r="I2" s="2386"/>
    </row>
    <row r="3" spans="1:10" ht="15.2" customHeight="1">
      <c r="A3" s="2592" t="s">
        <v>676</v>
      </c>
      <c r="B3" s="2593"/>
      <c r="C3" s="2593"/>
      <c r="D3" s="2593"/>
      <c r="E3" s="2593"/>
      <c r="F3" s="2593"/>
      <c r="G3" s="2593"/>
      <c r="H3" s="2593"/>
      <c r="I3" s="2593"/>
    </row>
    <row r="4" spans="1:10" ht="38.25">
      <c r="A4" s="455" t="s">
        <v>677</v>
      </c>
      <c r="B4" s="456" t="s">
        <v>678</v>
      </c>
      <c r="C4" s="456" t="s">
        <v>679</v>
      </c>
      <c r="D4" s="456" t="s">
        <v>680</v>
      </c>
      <c r="E4" s="456" t="s">
        <v>681</v>
      </c>
      <c r="F4" s="456" t="s">
        <v>682</v>
      </c>
      <c r="G4" s="456" t="s">
        <v>683</v>
      </c>
      <c r="H4" s="456" t="s">
        <v>684</v>
      </c>
      <c r="I4" s="457" t="s">
        <v>685</v>
      </c>
      <c r="J4" s="457" t="s">
        <v>686</v>
      </c>
    </row>
    <row r="5" spans="1:10">
      <c r="A5" s="458" t="s">
        <v>687</v>
      </c>
      <c r="B5" s="459" t="s">
        <v>485</v>
      </c>
      <c r="C5" s="459" t="s">
        <v>688</v>
      </c>
      <c r="D5" s="459" t="s">
        <v>689</v>
      </c>
      <c r="E5" s="459" t="s">
        <v>690</v>
      </c>
      <c r="F5" s="459" t="s">
        <v>691</v>
      </c>
      <c r="G5" s="459" t="s">
        <v>692</v>
      </c>
      <c r="H5" s="459" t="s">
        <v>693</v>
      </c>
      <c r="I5" s="460" t="s">
        <v>694</v>
      </c>
      <c r="J5" s="460" t="s">
        <v>695</v>
      </c>
    </row>
    <row r="6" spans="1:10" ht="30.75" thickBot="1">
      <c r="A6" s="461" t="s">
        <v>696</v>
      </c>
      <c r="B6" s="462" t="s">
        <v>697</v>
      </c>
      <c r="C6" s="463"/>
      <c r="D6" s="462"/>
      <c r="E6" s="464">
        <v>14373789.99578</v>
      </c>
      <c r="F6" s="464">
        <v>14205891.473689999</v>
      </c>
      <c r="G6" s="464">
        <v>6436166.1412699996</v>
      </c>
      <c r="H6" s="464">
        <v>6397186.84882</v>
      </c>
      <c r="I6" s="465">
        <v>44.51</v>
      </c>
      <c r="J6" s="465"/>
    </row>
    <row r="7" spans="1:10" ht="51" hidden="1" outlineLevel="1">
      <c r="A7" s="466" t="s">
        <v>698</v>
      </c>
      <c r="B7" s="467" t="s">
        <v>699</v>
      </c>
      <c r="C7" s="468"/>
      <c r="D7" s="467"/>
      <c r="E7" s="469">
        <v>1562178.42897</v>
      </c>
      <c r="F7" s="469">
        <v>1559717.11897</v>
      </c>
      <c r="G7" s="469">
        <v>932792.83215000003</v>
      </c>
      <c r="H7" s="469">
        <v>905695.71062000003</v>
      </c>
      <c r="I7" s="470">
        <v>57.98</v>
      </c>
      <c r="J7" s="470"/>
    </row>
    <row r="8" spans="1:10" ht="38.25" hidden="1" outlineLevel="2">
      <c r="A8" s="471" t="s">
        <v>700</v>
      </c>
      <c r="B8" s="472" t="s">
        <v>701</v>
      </c>
      <c r="C8" s="473"/>
      <c r="D8" s="472"/>
      <c r="E8" s="474">
        <v>314.7</v>
      </c>
      <c r="F8" s="474">
        <v>184.684</v>
      </c>
      <c r="G8" s="474">
        <v>121.7</v>
      </c>
      <c r="H8" s="474">
        <v>121.7</v>
      </c>
      <c r="I8" s="475">
        <v>38.67</v>
      </c>
      <c r="J8" s="475"/>
    </row>
    <row r="9" spans="1:10" ht="76.5" hidden="1" outlineLevel="3">
      <c r="A9" s="476" t="s">
        <v>702</v>
      </c>
      <c r="B9" s="477" t="s">
        <v>703</v>
      </c>
      <c r="C9" s="478"/>
      <c r="D9" s="477"/>
      <c r="E9" s="479">
        <v>214.7</v>
      </c>
      <c r="F9" s="479">
        <v>84.683999999999997</v>
      </c>
      <c r="G9" s="479">
        <v>21.7</v>
      </c>
      <c r="H9" s="479">
        <v>21.7</v>
      </c>
      <c r="I9" s="480">
        <v>10.11</v>
      </c>
      <c r="J9" s="480"/>
    </row>
    <row r="10" spans="1:10" ht="76.5" hidden="1" outlineLevel="4">
      <c r="A10" s="481" t="s">
        <v>702</v>
      </c>
      <c r="B10" s="482" t="s">
        <v>703</v>
      </c>
      <c r="C10" s="483" t="s">
        <v>704</v>
      </c>
      <c r="D10" s="482" t="s">
        <v>705</v>
      </c>
      <c r="E10" s="484">
        <v>214.7</v>
      </c>
      <c r="F10" s="484">
        <v>84.683999999999997</v>
      </c>
      <c r="G10" s="484">
        <v>21.7</v>
      </c>
      <c r="H10" s="484">
        <v>21.7</v>
      </c>
      <c r="I10" s="480">
        <v>10.11</v>
      </c>
      <c r="J10" s="480"/>
    </row>
    <row r="11" spans="1:10" ht="25.5" hidden="1" outlineLevel="3">
      <c r="A11" s="476" t="s">
        <v>706</v>
      </c>
      <c r="B11" s="477" t="s">
        <v>707</v>
      </c>
      <c r="C11" s="478"/>
      <c r="D11" s="477"/>
      <c r="E11" s="479">
        <v>100</v>
      </c>
      <c r="F11" s="479">
        <v>100</v>
      </c>
      <c r="G11" s="479">
        <v>100</v>
      </c>
      <c r="H11" s="479">
        <v>100</v>
      </c>
      <c r="I11" s="480">
        <v>100</v>
      </c>
      <c r="J11" s="480"/>
    </row>
    <row r="12" spans="1:10" ht="25.5" hidden="1" outlineLevel="4">
      <c r="A12" s="481" t="s">
        <v>706</v>
      </c>
      <c r="B12" s="482" t="s">
        <v>707</v>
      </c>
      <c r="C12" s="483" t="s">
        <v>704</v>
      </c>
      <c r="D12" s="482" t="s">
        <v>705</v>
      </c>
      <c r="E12" s="484">
        <v>100</v>
      </c>
      <c r="F12" s="484">
        <v>100</v>
      </c>
      <c r="G12" s="484">
        <v>100</v>
      </c>
      <c r="H12" s="484">
        <v>100</v>
      </c>
      <c r="I12" s="480">
        <v>100</v>
      </c>
      <c r="J12" s="480"/>
    </row>
    <row r="13" spans="1:10" ht="63.75" hidden="1" outlineLevel="2">
      <c r="A13" s="471" t="s">
        <v>708</v>
      </c>
      <c r="B13" s="472" t="s">
        <v>709</v>
      </c>
      <c r="C13" s="473"/>
      <c r="D13" s="472"/>
      <c r="E13" s="474">
        <v>1166.877</v>
      </c>
      <c r="F13" s="474">
        <v>1126.877</v>
      </c>
      <c r="G13" s="474">
        <v>312.33622000000003</v>
      </c>
      <c r="H13" s="474">
        <v>312.33622000000003</v>
      </c>
      <c r="I13" s="475">
        <v>26.77</v>
      </c>
      <c r="J13" s="475"/>
    </row>
    <row r="14" spans="1:10" ht="76.5" hidden="1" outlineLevel="3">
      <c r="A14" s="476" t="s">
        <v>702</v>
      </c>
      <c r="B14" s="477" t="s">
        <v>710</v>
      </c>
      <c r="C14" s="478"/>
      <c r="D14" s="477"/>
      <c r="E14" s="479">
        <v>387.87700000000001</v>
      </c>
      <c r="F14" s="479">
        <v>347.87700000000001</v>
      </c>
      <c r="G14" s="479">
        <v>212.83622</v>
      </c>
      <c r="H14" s="479">
        <v>212.83622</v>
      </c>
      <c r="I14" s="480">
        <v>54.87</v>
      </c>
      <c r="J14" s="480"/>
    </row>
    <row r="15" spans="1:10" ht="76.5" hidden="1" outlineLevel="4">
      <c r="A15" s="481" t="s">
        <v>702</v>
      </c>
      <c r="B15" s="482" t="s">
        <v>710</v>
      </c>
      <c r="C15" s="483" t="s">
        <v>704</v>
      </c>
      <c r="D15" s="482" t="s">
        <v>705</v>
      </c>
      <c r="E15" s="484">
        <v>198.697</v>
      </c>
      <c r="F15" s="484">
        <v>158.697</v>
      </c>
      <c r="G15" s="484">
        <v>135.17449999999999</v>
      </c>
      <c r="H15" s="484">
        <v>135.17449999999999</v>
      </c>
      <c r="I15" s="480">
        <v>68.03</v>
      </c>
      <c r="J15" s="480"/>
    </row>
    <row r="16" spans="1:10" ht="76.5" hidden="1" outlineLevel="4">
      <c r="A16" s="481" t="s">
        <v>702</v>
      </c>
      <c r="B16" s="482" t="s">
        <v>710</v>
      </c>
      <c r="C16" s="483" t="s">
        <v>711</v>
      </c>
      <c r="D16" s="482" t="s">
        <v>712</v>
      </c>
      <c r="E16" s="484">
        <v>189.18</v>
      </c>
      <c r="F16" s="484">
        <v>189.18</v>
      </c>
      <c r="G16" s="484">
        <v>77.661720000000003</v>
      </c>
      <c r="H16" s="484">
        <v>77.661720000000003</v>
      </c>
      <c r="I16" s="480">
        <v>41.05</v>
      </c>
      <c r="J16" s="480"/>
    </row>
    <row r="17" spans="1:10" ht="25.5" hidden="1" outlineLevel="3">
      <c r="A17" s="476" t="s">
        <v>713</v>
      </c>
      <c r="B17" s="477" t="s">
        <v>714</v>
      </c>
      <c r="C17" s="478"/>
      <c r="D17" s="477"/>
      <c r="E17" s="479">
        <v>779</v>
      </c>
      <c r="F17" s="479">
        <v>779</v>
      </c>
      <c r="G17" s="479">
        <v>99.5</v>
      </c>
      <c r="H17" s="479">
        <v>99.5</v>
      </c>
      <c r="I17" s="480">
        <v>12.77</v>
      </c>
      <c r="J17" s="480"/>
    </row>
    <row r="18" spans="1:10" ht="25.5" hidden="1" outlineLevel="4">
      <c r="A18" s="481" t="s">
        <v>713</v>
      </c>
      <c r="B18" s="482" t="s">
        <v>714</v>
      </c>
      <c r="C18" s="483" t="s">
        <v>715</v>
      </c>
      <c r="D18" s="482" t="s">
        <v>716</v>
      </c>
      <c r="E18" s="484">
        <v>477</v>
      </c>
      <c r="F18" s="484">
        <v>477</v>
      </c>
      <c r="G18" s="484">
        <v>99.5</v>
      </c>
      <c r="H18" s="484">
        <v>99.5</v>
      </c>
      <c r="I18" s="480">
        <v>20.86</v>
      </c>
      <c r="J18" s="480"/>
    </row>
    <row r="19" spans="1:10" ht="25.5" hidden="1" outlineLevel="4">
      <c r="A19" s="481" t="s">
        <v>713</v>
      </c>
      <c r="B19" s="482" t="s">
        <v>714</v>
      </c>
      <c r="C19" s="483" t="s">
        <v>652</v>
      </c>
      <c r="D19" s="482" t="s">
        <v>717</v>
      </c>
      <c r="E19" s="484">
        <v>302</v>
      </c>
      <c r="F19" s="484">
        <v>302</v>
      </c>
      <c r="G19" s="484">
        <v>0</v>
      </c>
      <c r="H19" s="484">
        <v>0</v>
      </c>
      <c r="I19" s="480">
        <v>0</v>
      </c>
      <c r="J19" s="480"/>
    </row>
    <row r="20" spans="1:10" ht="38.25" hidden="1" outlineLevel="2">
      <c r="A20" s="471" t="s">
        <v>718</v>
      </c>
      <c r="B20" s="472" t="s">
        <v>719</v>
      </c>
      <c r="C20" s="473"/>
      <c r="D20" s="472"/>
      <c r="E20" s="474">
        <v>248463.95535</v>
      </c>
      <c r="F20" s="474">
        <v>246172.66135000001</v>
      </c>
      <c r="G20" s="474">
        <v>123599.97877</v>
      </c>
      <c r="H20" s="474">
        <v>123599.97877</v>
      </c>
      <c r="I20" s="475">
        <v>49.75</v>
      </c>
      <c r="J20" s="475"/>
    </row>
    <row r="21" spans="1:10" ht="76.5" hidden="1" outlineLevel="3">
      <c r="A21" s="476" t="s">
        <v>702</v>
      </c>
      <c r="B21" s="477" t="s">
        <v>720</v>
      </c>
      <c r="C21" s="478"/>
      <c r="D21" s="477"/>
      <c r="E21" s="479">
        <v>227914.22735</v>
      </c>
      <c r="F21" s="479">
        <v>225622.93335000001</v>
      </c>
      <c r="G21" s="479">
        <v>114624.43197000001</v>
      </c>
      <c r="H21" s="479">
        <v>114624.43197000001</v>
      </c>
      <c r="I21" s="480">
        <v>50.29</v>
      </c>
      <c r="J21" s="480"/>
    </row>
    <row r="22" spans="1:10" ht="76.5" hidden="1" outlineLevel="4">
      <c r="A22" s="481" t="s">
        <v>702</v>
      </c>
      <c r="B22" s="482" t="s">
        <v>720</v>
      </c>
      <c r="C22" s="483" t="s">
        <v>704</v>
      </c>
      <c r="D22" s="482" t="s">
        <v>705</v>
      </c>
      <c r="E22" s="484">
        <v>227914.22735</v>
      </c>
      <c r="F22" s="484">
        <v>225622.93335000001</v>
      </c>
      <c r="G22" s="484">
        <v>114624.43197000001</v>
      </c>
      <c r="H22" s="484">
        <v>114624.43197000001</v>
      </c>
      <c r="I22" s="480">
        <v>50.29</v>
      </c>
      <c r="J22" s="480"/>
    </row>
    <row r="23" spans="1:10" ht="25.5" hidden="1" outlineLevel="3">
      <c r="A23" s="476" t="s">
        <v>713</v>
      </c>
      <c r="B23" s="477" t="s">
        <v>721</v>
      </c>
      <c r="C23" s="478"/>
      <c r="D23" s="477"/>
      <c r="E23" s="479">
        <v>20549.727999999999</v>
      </c>
      <c r="F23" s="479">
        <v>20549.727999999999</v>
      </c>
      <c r="G23" s="479">
        <v>8975.5468000000001</v>
      </c>
      <c r="H23" s="479">
        <v>8975.5468000000001</v>
      </c>
      <c r="I23" s="480">
        <v>43.68</v>
      </c>
      <c r="J23" s="480"/>
    </row>
    <row r="24" spans="1:10" ht="25.5" hidden="1" outlineLevel="4">
      <c r="A24" s="481" t="s">
        <v>713</v>
      </c>
      <c r="B24" s="482" t="s">
        <v>721</v>
      </c>
      <c r="C24" s="483" t="s">
        <v>704</v>
      </c>
      <c r="D24" s="482" t="s">
        <v>705</v>
      </c>
      <c r="E24" s="484">
        <v>20549.727999999999</v>
      </c>
      <c r="F24" s="484">
        <v>20549.727999999999</v>
      </c>
      <c r="G24" s="484">
        <v>8975.5468000000001</v>
      </c>
      <c r="H24" s="484">
        <v>8975.5468000000001</v>
      </c>
      <c r="I24" s="480">
        <v>43.68</v>
      </c>
      <c r="J24" s="480"/>
    </row>
    <row r="25" spans="1:10" ht="89.25" hidden="1" outlineLevel="2">
      <c r="A25" s="471" t="s">
        <v>722</v>
      </c>
      <c r="B25" s="472" t="s">
        <v>723</v>
      </c>
      <c r="C25" s="473"/>
      <c r="D25" s="472"/>
      <c r="E25" s="474">
        <v>1121618.6498</v>
      </c>
      <c r="F25" s="474">
        <v>1121618.6498</v>
      </c>
      <c r="G25" s="474">
        <v>761970.76263000001</v>
      </c>
      <c r="H25" s="474">
        <v>734873.64110000001</v>
      </c>
      <c r="I25" s="475">
        <v>65.52</v>
      </c>
      <c r="J25" s="475"/>
    </row>
    <row r="26" spans="1:10" ht="25.5" hidden="1" outlineLevel="3">
      <c r="A26" s="476" t="s">
        <v>724</v>
      </c>
      <c r="B26" s="477" t="s">
        <v>725</v>
      </c>
      <c r="C26" s="478"/>
      <c r="D26" s="477"/>
      <c r="E26" s="479">
        <v>938896.34979999997</v>
      </c>
      <c r="F26" s="479">
        <v>938896.34979999997</v>
      </c>
      <c r="G26" s="479">
        <v>627891.38769999996</v>
      </c>
      <c r="H26" s="479">
        <v>604750.49857000005</v>
      </c>
      <c r="I26" s="480">
        <v>64.41</v>
      </c>
      <c r="J26" s="480"/>
    </row>
    <row r="27" spans="1:10" ht="25.5" hidden="1" outlineLevel="4">
      <c r="A27" s="481" t="s">
        <v>724</v>
      </c>
      <c r="B27" s="482" t="s">
        <v>725</v>
      </c>
      <c r="C27" s="483" t="s">
        <v>704</v>
      </c>
      <c r="D27" s="482" t="s">
        <v>705</v>
      </c>
      <c r="E27" s="484">
        <v>938896.34979999997</v>
      </c>
      <c r="F27" s="484">
        <v>938896.34979999997</v>
      </c>
      <c r="G27" s="484">
        <v>627891.38769999996</v>
      </c>
      <c r="H27" s="484">
        <v>604750.49857000005</v>
      </c>
      <c r="I27" s="480">
        <v>64.41</v>
      </c>
      <c r="J27" s="480"/>
    </row>
    <row r="28" spans="1:10" ht="25.5" hidden="1" outlineLevel="3">
      <c r="A28" s="476" t="s">
        <v>726</v>
      </c>
      <c r="B28" s="477" t="s">
        <v>727</v>
      </c>
      <c r="C28" s="478"/>
      <c r="D28" s="477"/>
      <c r="E28" s="479">
        <v>48327.7</v>
      </c>
      <c r="F28" s="479">
        <v>48327.7</v>
      </c>
      <c r="G28" s="479">
        <v>42363.106520000001</v>
      </c>
      <c r="H28" s="479">
        <v>41748.431320000003</v>
      </c>
      <c r="I28" s="480">
        <v>86.39</v>
      </c>
      <c r="J28" s="480"/>
    </row>
    <row r="29" spans="1:10" ht="25.5" hidden="1" outlineLevel="4">
      <c r="A29" s="481" t="s">
        <v>726</v>
      </c>
      <c r="B29" s="482" t="s">
        <v>727</v>
      </c>
      <c r="C29" s="483" t="s">
        <v>704</v>
      </c>
      <c r="D29" s="482" t="s">
        <v>705</v>
      </c>
      <c r="E29" s="484">
        <v>48327.7</v>
      </c>
      <c r="F29" s="484">
        <v>48327.7</v>
      </c>
      <c r="G29" s="484">
        <v>42363.106520000001</v>
      </c>
      <c r="H29" s="484">
        <v>41748.431320000003</v>
      </c>
      <c r="I29" s="480">
        <v>86.39</v>
      </c>
      <c r="J29" s="485" t="s">
        <v>10</v>
      </c>
    </row>
    <row r="30" spans="1:10" ht="114.75" hidden="1" outlineLevel="3">
      <c r="A30" s="476" t="s">
        <v>728</v>
      </c>
      <c r="B30" s="477" t="s">
        <v>729</v>
      </c>
      <c r="C30" s="478"/>
      <c r="D30" s="477"/>
      <c r="E30" s="479">
        <v>4169.7</v>
      </c>
      <c r="F30" s="479">
        <v>4169.7</v>
      </c>
      <c r="G30" s="479">
        <v>2117.5551999999998</v>
      </c>
      <c r="H30" s="479">
        <v>957.99</v>
      </c>
      <c r="I30" s="480">
        <v>22.98</v>
      </c>
      <c r="J30" s="480"/>
    </row>
    <row r="31" spans="1:10" ht="114.75" hidden="1" outlineLevel="4">
      <c r="A31" s="481" t="s">
        <v>728</v>
      </c>
      <c r="B31" s="482" t="s">
        <v>729</v>
      </c>
      <c r="C31" s="483" t="s">
        <v>704</v>
      </c>
      <c r="D31" s="482" t="s">
        <v>705</v>
      </c>
      <c r="E31" s="484">
        <v>4169.7</v>
      </c>
      <c r="F31" s="484">
        <v>4169.7</v>
      </c>
      <c r="G31" s="484">
        <v>2117.5551999999998</v>
      </c>
      <c r="H31" s="484">
        <v>957.99</v>
      </c>
      <c r="I31" s="480">
        <v>22.98</v>
      </c>
      <c r="J31" s="485" t="s">
        <v>10</v>
      </c>
    </row>
    <row r="32" spans="1:10" ht="204" hidden="1" outlineLevel="3">
      <c r="A32" s="476" t="s">
        <v>730</v>
      </c>
      <c r="B32" s="477" t="s">
        <v>731</v>
      </c>
      <c r="C32" s="478"/>
      <c r="D32" s="477"/>
      <c r="E32" s="479">
        <v>3921.2</v>
      </c>
      <c r="F32" s="479">
        <v>3921.2</v>
      </c>
      <c r="G32" s="479">
        <v>1222.192</v>
      </c>
      <c r="H32" s="479">
        <v>1222.192</v>
      </c>
      <c r="I32" s="480">
        <v>31.17</v>
      </c>
      <c r="J32" s="480"/>
    </row>
    <row r="33" spans="1:10" ht="204" hidden="1" outlineLevel="4">
      <c r="A33" s="481" t="s">
        <v>730</v>
      </c>
      <c r="B33" s="482" t="s">
        <v>731</v>
      </c>
      <c r="C33" s="483" t="s">
        <v>704</v>
      </c>
      <c r="D33" s="482" t="s">
        <v>705</v>
      </c>
      <c r="E33" s="484">
        <v>3921.2</v>
      </c>
      <c r="F33" s="484">
        <v>3921.2</v>
      </c>
      <c r="G33" s="484">
        <v>1222.192</v>
      </c>
      <c r="H33" s="484">
        <v>1222.192</v>
      </c>
      <c r="I33" s="480">
        <v>31.17</v>
      </c>
      <c r="J33" s="485" t="s">
        <v>10</v>
      </c>
    </row>
    <row r="34" spans="1:10" ht="114.75" hidden="1" outlineLevel="3">
      <c r="A34" s="476" t="s">
        <v>732</v>
      </c>
      <c r="B34" s="477" t="s">
        <v>733</v>
      </c>
      <c r="C34" s="478"/>
      <c r="D34" s="477"/>
      <c r="E34" s="479">
        <v>126303.7</v>
      </c>
      <c r="F34" s="479">
        <v>126303.7</v>
      </c>
      <c r="G34" s="479">
        <v>88376.521210000006</v>
      </c>
      <c r="H34" s="479">
        <v>86194.529209999993</v>
      </c>
      <c r="I34" s="480">
        <v>68.239999999999995</v>
      </c>
      <c r="J34" s="480"/>
    </row>
    <row r="35" spans="1:10" ht="114.75" hidden="1" outlineLevel="4">
      <c r="A35" s="481" t="s">
        <v>732</v>
      </c>
      <c r="B35" s="482" t="s">
        <v>733</v>
      </c>
      <c r="C35" s="483" t="s">
        <v>704</v>
      </c>
      <c r="D35" s="482" t="s">
        <v>705</v>
      </c>
      <c r="E35" s="484">
        <v>126303.7</v>
      </c>
      <c r="F35" s="484">
        <v>126303.7</v>
      </c>
      <c r="G35" s="484">
        <v>88376.521210000006</v>
      </c>
      <c r="H35" s="484">
        <v>86194.529209999993</v>
      </c>
      <c r="I35" s="480">
        <v>68.239999999999995</v>
      </c>
      <c r="J35" s="485" t="s">
        <v>10</v>
      </c>
    </row>
    <row r="36" spans="1:10" ht="38.25" hidden="1" outlineLevel="2">
      <c r="A36" s="471" t="s">
        <v>734</v>
      </c>
      <c r="B36" s="472" t="s">
        <v>735</v>
      </c>
      <c r="C36" s="473"/>
      <c r="D36" s="472"/>
      <c r="E36" s="474">
        <v>95000</v>
      </c>
      <c r="F36" s="474">
        <v>95000</v>
      </c>
      <c r="G36" s="474">
        <v>18073.845580000001</v>
      </c>
      <c r="H36" s="474">
        <v>18073.845580000001</v>
      </c>
      <c r="I36" s="475">
        <v>19.03</v>
      </c>
      <c r="J36" s="475"/>
    </row>
    <row r="37" spans="1:10" ht="63.75" hidden="1" outlineLevel="3">
      <c r="A37" s="476" t="s">
        <v>736</v>
      </c>
      <c r="B37" s="477" t="s">
        <v>737</v>
      </c>
      <c r="C37" s="478"/>
      <c r="D37" s="477"/>
      <c r="E37" s="479">
        <v>95000</v>
      </c>
      <c r="F37" s="479">
        <v>95000</v>
      </c>
      <c r="G37" s="479">
        <v>18073.845580000001</v>
      </c>
      <c r="H37" s="479">
        <v>18073.845580000001</v>
      </c>
      <c r="I37" s="480">
        <v>19.03</v>
      </c>
      <c r="J37" s="480"/>
    </row>
    <row r="38" spans="1:10" ht="63.75" hidden="1" outlineLevel="4">
      <c r="A38" s="481" t="s">
        <v>736</v>
      </c>
      <c r="B38" s="482" t="s">
        <v>737</v>
      </c>
      <c r="C38" s="483" t="s">
        <v>704</v>
      </c>
      <c r="D38" s="482" t="s">
        <v>705</v>
      </c>
      <c r="E38" s="484">
        <v>95000</v>
      </c>
      <c r="F38" s="484">
        <v>95000</v>
      </c>
      <c r="G38" s="484">
        <v>18073.845580000001</v>
      </c>
      <c r="H38" s="484">
        <v>18073.845580000001</v>
      </c>
      <c r="I38" s="480">
        <v>19.03</v>
      </c>
      <c r="J38" s="485" t="s">
        <v>10</v>
      </c>
    </row>
    <row r="39" spans="1:10" ht="25.5" hidden="1" outlineLevel="2">
      <c r="A39" s="471" t="s">
        <v>738</v>
      </c>
      <c r="B39" s="472" t="s">
        <v>739</v>
      </c>
      <c r="C39" s="473"/>
      <c r="D39" s="472"/>
      <c r="E39" s="474">
        <v>77012.66</v>
      </c>
      <c r="F39" s="474">
        <v>77012.66</v>
      </c>
      <c r="G39" s="474">
        <v>19999.168949999999</v>
      </c>
      <c r="H39" s="474">
        <v>19999.168949999999</v>
      </c>
      <c r="I39" s="475">
        <v>25.97</v>
      </c>
      <c r="J39" s="475"/>
    </row>
    <row r="40" spans="1:10" ht="63.75" hidden="1" outlineLevel="3">
      <c r="A40" s="476" t="s">
        <v>740</v>
      </c>
      <c r="B40" s="477" t="s">
        <v>741</v>
      </c>
      <c r="C40" s="478"/>
      <c r="D40" s="477"/>
      <c r="E40" s="479">
        <v>77012.66</v>
      </c>
      <c r="F40" s="479">
        <v>77012.66</v>
      </c>
      <c r="G40" s="479">
        <v>19999.168949999999</v>
      </c>
      <c r="H40" s="479">
        <v>19999.168949999999</v>
      </c>
      <c r="I40" s="480">
        <v>25.97</v>
      </c>
      <c r="J40" s="480"/>
    </row>
    <row r="41" spans="1:10" ht="63.75" hidden="1" outlineLevel="4">
      <c r="A41" s="481" t="s">
        <v>740</v>
      </c>
      <c r="B41" s="482" t="s">
        <v>741</v>
      </c>
      <c r="C41" s="483" t="s">
        <v>704</v>
      </c>
      <c r="D41" s="482" t="s">
        <v>705</v>
      </c>
      <c r="E41" s="484">
        <v>77012.66</v>
      </c>
      <c r="F41" s="484">
        <v>77012.66</v>
      </c>
      <c r="G41" s="484">
        <v>19999.168949999999</v>
      </c>
      <c r="H41" s="484">
        <v>19999.168949999999</v>
      </c>
      <c r="I41" s="480">
        <v>25.97</v>
      </c>
      <c r="J41" s="485" t="s">
        <v>10</v>
      </c>
    </row>
    <row r="42" spans="1:10" ht="25.5" hidden="1" outlineLevel="2">
      <c r="A42" s="471" t="s">
        <v>742</v>
      </c>
      <c r="B42" s="472" t="s">
        <v>743</v>
      </c>
      <c r="C42" s="473"/>
      <c r="D42" s="472"/>
      <c r="E42" s="474">
        <v>18601.58682</v>
      </c>
      <c r="F42" s="474">
        <v>18601.58682</v>
      </c>
      <c r="G42" s="474">
        <v>8715.0400000000009</v>
      </c>
      <c r="H42" s="474">
        <v>8715.0400000000009</v>
      </c>
      <c r="I42" s="475">
        <v>46.85</v>
      </c>
      <c r="J42" s="475"/>
    </row>
    <row r="43" spans="1:10" ht="38.25" hidden="1" outlineLevel="3">
      <c r="A43" s="476" t="s">
        <v>744</v>
      </c>
      <c r="B43" s="477" t="s">
        <v>745</v>
      </c>
      <c r="C43" s="478"/>
      <c r="D43" s="477"/>
      <c r="E43" s="479">
        <v>18601.58682</v>
      </c>
      <c r="F43" s="479">
        <v>18601.58682</v>
      </c>
      <c r="G43" s="479">
        <v>8715.0400000000009</v>
      </c>
      <c r="H43" s="479">
        <v>8715.0400000000009</v>
      </c>
      <c r="I43" s="480">
        <v>46.85</v>
      </c>
      <c r="J43" s="480"/>
    </row>
    <row r="44" spans="1:10" ht="38.25" hidden="1" outlineLevel="4">
      <c r="A44" s="481" t="s">
        <v>744</v>
      </c>
      <c r="B44" s="482" t="s">
        <v>745</v>
      </c>
      <c r="C44" s="483" t="s">
        <v>704</v>
      </c>
      <c r="D44" s="482" t="s">
        <v>705</v>
      </c>
      <c r="E44" s="484">
        <v>18601.58682</v>
      </c>
      <c r="F44" s="484">
        <v>18601.58682</v>
      </c>
      <c r="G44" s="484">
        <v>8715.0400000000009</v>
      </c>
      <c r="H44" s="484">
        <v>8715.0400000000009</v>
      </c>
      <c r="I44" s="480">
        <v>46.85</v>
      </c>
      <c r="J44" s="480"/>
    </row>
    <row r="45" spans="1:10" ht="102" hidden="1" outlineLevel="1">
      <c r="A45" s="466" t="s">
        <v>746</v>
      </c>
      <c r="B45" s="467" t="s">
        <v>747</v>
      </c>
      <c r="C45" s="468"/>
      <c r="D45" s="467"/>
      <c r="E45" s="469">
        <v>2810551.9245799999</v>
      </c>
      <c r="F45" s="469">
        <v>2791298.21214</v>
      </c>
      <c r="G45" s="469">
        <v>1182440.48275</v>
      </c>
      <c r="H45" s="469">
        <v>1179588.436</v>
      </c>
      <c r="I45" s="470">
        <v>41.97</v>
      </c>
      <c r="J45" s="470"/>
    </row>
    <row r="46" spans="1:10" ht="51" hidden="1" outlineLevel="2">
      <c r="A46" s="471" t="s">
        <v>748</v>
      </c>
      <c r="B46" s="472" t="s">
        <v>749</v>
      </c>
      <c r="C46" s="473"/>
      <c r="D46" s="472"/>
      <c r="E46" s="474">
        <v>1361186.3025</v>
      </c>
      <c r="F46" s="474">
        <v>1342390.4400599999</v>
      </c>
      <c r="G46" s="474">
        <v>632765.92558000004</v>
      </c>
      <c r="H46" s="474">
        <v>630393.02583000006</v>
      </c>
      <c r="I46" s="475">
        <v>46.31</v>
      </c>
      <c r="J46" s="475"/>
    </row>
    <row r="47" spans="1:10" ht="76.5" hidden="1" outlineLevel="3">
      <c r="A47" s="476" t="s">
        <v>702</v>
      </c>
      <c r="B47" s="477" t="s">
        <v>750</v>
      </c>
      <c r="C47" s="478"/>
      <c r="D47" s="477"/>
      <c r="E47" s="479">
        <v>1167416.27241</v>
      </c>
      <c r="F47" s="479">
        <v>1148620.4099699999</v>
      </c>
      <c r="G47" s="479">
        <v>554265.76670000004</v>
      </c>
      <c r="H47" s="479">
        <v>554265.76670000004</v>
      </c>
      <c r="I47" s="480">
        <v>47.48</v>
      </c>
      <c r="J47" s="480"/>
    </row>
    <row r="48" spans="1:10" ht="76.5" hidden="1" outlineLevel="4">
      <c r="A48" s="481" t="s">
        <v>702</v>
      </c>
      <c r="B48" s="482" t="s">
        <v>750</v>
      </c>
      <c r="C48" s="483" t="s">
        <v>704</v>
      </c>
      <c r="D48" s="482" t="s">
        <v>705</v>
      </c>
      <c r="E48" s="484">
        <v>1167416.27241</v>
      </c>
      <c r="F48" s="484">
        <v>1148620.4099699999</v>
      </c>
      <c r="G48" s="484">
        <v>554265.76670000004</v>
      </c>
      <c r="H48" s="484">
        <v>554265.76670000004</v>
      </c>
      <c r="I48" s="480">
        <v>47.48</v>
      </c>
      <c r="J48" s="480"/>
    </row>
    <row r="49" spans="1:10" ht="25.5" hidden="1" outlineLevel="3">
      <c r="A49" s="476" t="s">
        <v>724</v>
      </c>
      <c r="B49" s="477" t="s">
        <v>751</v>
      </c>
      <c r="C49" s="478"/>
      <c r="D49" s="477"/>
      <c r="E49" s="479">
        <v>80421.620999999999</v>
      </c>
      <c r="F49" s="479">
        <v>80421.620999999999</v>
      </c>
      <c r="G49" s="479">
        <v>31737.776600000001</v>
      </c>
      <c r="H49" s="479">
        <v>31737.776600000001</v>
      </c>
      <c r="I49" s="480">
        <v>39.46</v>
      </c>
      <c r="J49" s="480"/>
    </row>
    <row r="50" spans="1:10" ht="25.5" hidden="1" outlineLevel="4">
      <c r="A50" s="481" t="s">
        <v>724</v>
      </c>
      <c r="B50" s="482" t="s">
        <v>751</v>
      </c>
      <c r="C50" s="483" t="s">
        <v>704</v>
      </c>
      <c r="D50" s="482" t="s">
        <v>705</v>
      </c>
      <c r="E50" s="484">
        <v>80421.620999999999</v>
      </c>
      <c r="F50" s="484">
        <v>80421.620999999999</v>
      </c>
      <c r="G50" s="484">
        <v>31737.776600000001</v>
      </c>
      <c r="H50" s="484">
        <v>31737.776600000001</v>
      </c>
      <c r="I50" s="480">
        <v>39.46</v>
      </c>
      <c r="J50" s="480"/>
    </row>
    <row r="51" spans="1:10" ht="25.5" hidden="1" outlineLevel="3">
      <c r="A51" s="476" t="s">
        <v>713</v>
      </c>
      <c r="B51" s="477" t="s">
        <v>752</v>
      </c>
      <c r="C51" s="478"/>
      <c r="D51" s="477"/>
      <c r="E51" s="479">
        <v>59778.644809999998</v>
      </c>
      <c r="F51" s="479">
        <v>59778.644809999998</v>
      </c>
      <c r="G51" s="479">
        <v>26566.46588</v>
      </c>
      <c r="H51" s="479">
        <v>25682.093680000002</v>
      </c>
      <c r="I51" s="480">
        <v>42.96</v>
      </c>
      <c r="J51" s="480"/>
    </row>
    <row r="52" spans="1:10" ht="25.5" hidden="1" outlineLevel="4">
      <c r="A52" s="481" t="s">
        <v>713</v>
      </c>
      <c r="B52" s="482" t="s">
        <v>752</v>
      </c>
      <c r="C52" s="483" t="s">
        <v>704</v>
      </c>
      <c r="D52" s="482" t="s">
        <v>705</v>
      </c>
      <c r="E52" s="484">
        <v>59778.644809999998</v>
      </c>
      <c r="F52" s="484">
        <v>59778.644809999998</v>
      </c>
      <c r="G52" s="484">
        <v>26566.46588</v>
      </c>
      <c r="H52" s="484">
        <v>25682.093680000002</v>
      </c>
      <c r="I52" s="480">
        <v>42.96</v>
      </c>
      <c r="J52" s="480"/>
    </row>
    <row r="53" spans="1:10" ht="25.5" hidden="1" outlineLevel="3">
      <c r="A53" s="476" t="s">
        <v>753</v>
      </c>
      <c r="B53" s="477" t="s">
        <v>754</v>
      </c>
      <c r="C53" s="478"/>
      <c r="D53" s="477"/>
      <c r="E53" s="479">
        <v>25840.380280000001</v>
      </c>
      <c r="F53" s="479">
        <v>25840.380280000001</v>
      </c>
      <c r="G53" s="479">
        <v>6030.3986000000004</v>
      </c>
      <c r="H53" s="479">
        <v>6030.3986000000004</v>
      </c>
      <c r="I53" s="480">
        <v>23.34</v>
      </c>
      <c r="J53" s="480"/>
    </row>
    <row r="54" spans="1:10" ht="25.5" hidden="1" outlineLevel="4">
      <c r="A54" s="481" t="s">
        <v>753</v>
      </c>
      <c r="B54" s="482" t="s">
        <v>754</v>
      </c>
      <c r="C54" s="483" t="s">
        <v>704</v>
      </c>
      <c r="D54" s="482" t="s">
        <v>705</v>
      </c>
      <c r="E54" s="484">
        <v>25840.380280000001</v>
      </c>
      <c r="F54" s="484">
        <v>25840.380280000001</v>
      </c>
      <c r="G54" s="484">
        <v>6030.3986000000004</v>
      </c>
      <c r="H54" s="484">
        <v>6030.3986000000004</v>
      </c>
      <c r="I54" s="480">
        <v>23.34</v>
      </c>
      <c r="J54" s="480"/>
    </row>
    <row r="55" spans="1:10" ht="38.25" hidden="1" outlineLevel="3">
      <c r="A55" s="476" t="s">
        <v>755</v>
      </c>
      <c r="B55" s="477" t="s">
        <v>756</v>
      </c>
      <c r="C55" s="478"/>
      <c r="D55" s="477"/>
      <c r="E55" s="479">
        <v>27729.383999999998</v>
      </c>
      <c r="F55" s="479">
        <v>27729.383999999998</v>
      </c>
      <c r="G55" s="479">
        <v>14165.5178</v>
      </c>
      <c r="H55" s="479">
        <v>12676.990250000001</v>
      </c>
      <c r="I55" s="480">
        <v>45.72</v>
      </c>
      <c r="J55" s="480"/>
    </row>
    <row r="56" spans="1:10" ht="38.25" hidden="1" outlineLevel="4">
      <c r="A56" s="481" t="s">
        <v>755</v>
      </c>
      <c r="B56" s="482" t="s">
        <v>756</v>
      </c>
      <c r="C56" s="483" t="s">
        <v>704</v>
      </c>
      <c r="D56" s="482" t="s">
        <v>705</v>
      </c>
      <c r="E56" s="484">
        <v>27729.383999999998</v>
      </c>
      <c r="F56" s="484">
        <v>27729.383999999998</v>
      </c>
      <c r="G56" s="484">
        <v>14165.5178</v>
      </c>
      <c r="H56" s="484">
        <v>12676.990250000001</v>
      </c>
      <c r="I56" s="480">
        <v>45.72</v>
      </c>
      <c r="J56" s="480"/>
    </row>
    <row r="57" spans="1:10" ht="63.75" hidden="1" outlineLevel="2">
      <c r="A57" s="471" t="s">
        <v>757</v>
      </c>
      <c r="B57" s="472" t="s">
        <v>758</v>
      </c>
      <c r="C57" s="473"/>
      <c r="D57" s="472"/>
      <c r="E57" s="474">
        <v>500202.58815000003</v>
      </c>
      <c r="F57" s="474">
        <v>499744.73814999999</v>
      </c>
      <c r="G57" s="474">
        <v>171452.0925</v>
      </c>
      <c r="H57" s="474">
        <v>171452.0925</v>
      </c>
      <c r="I57" s="475">
        <v>34.28</v>
      </c>
      <c r="J57" s="475"/>
    </row>
    <row r="58" spans="1:10" ht="76.5" hidden="1" outlineLevel="3">
      <c r="A58" s="476" t="s">
        <v>702</v>
      </c>
      <c r="B58" s="477" t="s">
        <v>759</v>
      </c>
      <c r="C58" s="478"/>
      <c r="D58" s="477"/>
      <c r="E58" s="479">
        <v>42584.319000000003</v>
      </c>
      <c r="F58" s="479">
        <v>42126.468999999997</v>
      </c>
      <c r="G58" s="479">
        <v>5819.9805500000002</v>
      </c>
      <c r="H58" s="479">
        <v>5819.9805500000002</v>
      </c>
      <c r="I58" s="480">
        <v>13.67</v>
      </c>
      <c r="J58" s="480"/>
    </row>
    <row r="59" spans="1:10" ht="76.5" hidden="1" outlineLevel="4">
      <c r="A59" s="481" t="s">
        <v>702</v>
      </c>
      <c r="B59" s="482" t="s">
        <v>759</v>
      </c>
      <c r="C59" s="483" t="s">
        <v>704</v>
      </c>
      <c r="D59" s="482" t="s">
        <v>705</v>
      </c>
      <c r="E59" s="484">
        <v>42584.319000000003</v>
      </c>
      <c r="F59" s="484">
        <v>42126.468999999997</v>
      </c>
      <c r="G59" s="484">
        <v>5819.9805500000002</v>
      </c>
      <c r="H59" s="484">
        <v>5819.9805500000002</v>
      </c>
      <c r="I59" s="480">
        <v>13.67</v>
      </c>
      <c r="J59" s="480"/>
    </row>
    <row r="60" spans="1:10" ht="63.75" hidden="1" outlineLevel="3">
      <c r="A60" s="476" t="s">
        <v>760</v>
      </c>
      <c r="B60" s="477" t="s">
        <v>761</v>
      </c>
      <c r="C60" s="478"/>
      <c r="D60" s="477"/>
      <c r="E60" s="479">
        <v>457618.26915000001</v>
      </c>
      <c r="F60" s="479">
        <v>457618.26915000001</v>
      </c>
      <c r="G60" s="479">
        <v>165632.11194999999</v>
      </c>
      <c r="H60" s="479">
        <v>165632.11194999999</v>
      </c>
      <c r="I60" s="480">
        <v>36.19</v>
      </c>
      <c r="J60" s="480"/>
    </row>
    <row r="61" spans="1:10" ht="63.75" hidden="1" outlineLevel="4">
      <c r="A61" s="481" t="s">
        <v>760</v>
      </c>
      <c r="B61" s="482" t="s">
        <v>761</v>
      </c>
      <c r="C61" s="483" t="s">
        <v>704</v>
      </c>
      <c r="D61" s="482" t="s">
        <v>705</v>
      </c>
      <c r="E61" s="484">
        <v>457618.26915000001</v>
      </c>
      <c r="F61" s="484">
        <v>457618.26915000001</v>
      </c>
      <c r="G61" s="484">
        <v>165632.11194999999</v>
      </c>
      <c r="H61" s="484">
        <v>165632.11194999999</v>
      </c>
      <c r="I61" s="480">
        <v>36.19</v>
      </c>
      <c r="J61" s="480"/>
    </row>
    <row r="62" spans="1:10" ht="51" hidden="1" outlineLevel="2">
      <c r="A62" s="471" t="s">
        <v>762</v>
      </c>
      <c r="B62" s="472" t="s">
        <v>763</v>
      </c>
      <c r="C62" s="473"/>
      <c r="D62" s="472"/>
      <c r="E62" s="474">
        <v>273398.94692999998</v>
      </c>
      <c r="F62" s="474">
        <v>273398.94692999998</v>
      </c>
      <c r="G62" s="474">
        <v>135328.58885999999</v>
      </c>
      <c r="H62" s="474">
        <v>135328.58885999999</v>
      </c>
      <c r="I62" s="475">
        <v>49.5</v>
      </c>
      <c r="J62" s="475"/>
    </row>
    <row r="63" spans="1:10" ht="76.5" hidden="1" outlineLevel="3">
      <c r="A63" s="476" t="s">
        <v>702</v>
      </c>
      <c r="B63" s="477" t="s">
        <v>764</v>
      </c>
      <c r="C63" s="478"/>
      <c r="D63" s="477"/>
      <c r="E63" s="479">
        <v>273398.94692999998</v>
      </c>
      <c r="F63" s="479">
        <v>273398.94692999998</v>
      </c>
      <c r="G63" s="479">
        <v>135328.58885999999</v>
      </c>
      <c r="H63" s="479">
        <v>135328.58885999999</v>
      </c>
      <c r="I63" s="480">
        <v>49.5</v>
      </c>
      <c r="J63" s="480"/>
    </row>
    <row r="64" spans="1:10" ht="76.5" hidden="1" outlineLevel="4">
      <c r="A64" s="481" t="s">
        <v>702</v>
      </c>
      <c r="B64" s="482" t="s">
        <v>764</v>
      </c>
      <c r="C64" s="483" t="s">
        <v>704</v>
      </c>
      <c r="D64" s="482" t="s">
        <v>705</v>
      </c>
      <c r="E64" s="484">
        <v>273398.94692999998</v>
      </c>
      <c r="F64" s="484">
        <v>273398.94692999998</v>
      </c>
      <c r="G64" s="484">
        <v>135328.58885999999</v>
      </c>
      <c r="H64" s="484">
        <v>135328.58885999999</v>
      </c>
      <c r="I64" s="480">
        <v>49.5</v>
      </c>
      <c r="J64" s="480"/>
    </row>
    <row r="65" spans="1:10" ht="25.5" hidden="1" outlineLevel="2">
      <c r="A65" s="471" t="s">
        <v>765</v>
      </c>
      <c r="B65" s="472" t="s">
        <v>766</v>
      </c>
      <c r="C65" s="473"/>
      <c r="D65" s="472"/>
      <c r="E65" s="474">
        <v>15100.248229999999</v>
      </c>
      <c r="F65" s="474">
        <v>15100.248229999999</v>
      </c>
      <c r="G65" s="474">
        <v>6099.9830000000002</v>
      </c>
      <c r="H65" s="474">
        <v>5620.8360000000002</v>
      </c>
      <c r="I65" s="475">
        <v>37.22</v>
      </c>
      <c r="J65" s="475"/>
    </row>
    <row r="66" spans="1:10" ht="76.5" hidden="1" outlineLevel="3">
      <c r="A66" s="476" t="s">
        <v>702</v>
      </c>
      <c r="B66" s="477" t="s">
        <v>767</v>
      </c>
      <c r="C66" s="478"/>
      <c r="D66" s="477"/>
      <c r="E66" s="479">
        <v>15100.248229999999</v>
      </c>
      <c r="F66" s="479">
        <v>15100.248229999999</v>
      </c>
      <c r="G66" s="479">
        <v>6099.9830000000002</v>
      </c>
      <c r="H66" s="479">
        <v>5620.8360000000002</v>
      </c>
      <c r="I66" s="480">
        <v>37.22</v>
      </c>
      <c r="J66" s="480"/>
    </row>
    <row r="67" spans="1:10" ht="76.5" hidden="1" outlineLevel="4">
      <c r="A67" s="481" t="s">
        <v>702</v>
      </c>
      <c r="B67" s="482" t="s">
        <v>767</v>
      </c>
      <c r="C67" s="483" t="s">
        <v>704</v>
      </c>
      <c r="D67" s="482" t="s">
        <v>705</v>
      </c>
      <c r="E67" s="484">
        <v>15100.248229999999</v>
      </c>
      <c r="F67" s="484">
        <v>15100.248229999999</v>
      </c>
      <c r="G67" s="484">
        <v>6099.9830000000002</v>
      </c>
      <c r="H67" s="484">
        <v>5620.8360000000002</v>
      </c>
      <c r="I67" s="480">
        <v>37.22</v>
      </c>
      <c r="J67" s="480"/>
    </row>
    <row r="68" spans="1:10" ht="38.25" hidden="1" outlineLevel="2">
      <c r="A68" s="471" t="s">
        <v>768</v>
      </c>
      <c r="B68" s="472" t="s">
        <v>769</v>
      </c>
      <c r="C68" s="473"/>
      <c r="D68" s="472"/>
      <c r="E68" s="474">
        <v>217423.60527</v>
      </c>
      <c r="F68" s="474">
        <v>217423.60527</v>
      </c>
      <c r="G68" s="474">
        <v>95473.520629999999</v>
      </c>
      <c r="H68" s="474">
        <v>95473.520629999999</v>
      </c>
      <c r="I68" s="475">
        <v>43.91</v>
      </c>
      <c r="J68" s="475"/>
    </row>
    <row r="69" spans="1:10" ht="76.5" hidden="1" outlineLevel="3">
      <c r="A69" s="476" t="s">
        <v>702</v>
      </c>
      <c r="B69" s="477" t="s">
        <v>770</v>
      </c>
      <c r="C69" s="478"/>
      <c r="D69" s="477"/>
      <c r="E69" s="479">
        <v>217423.60527</v>
      </c>
      <c r="F69" s="479">
        <v>217423.60527</v>
      </c>
      <c r="G69" s="479">
        <v>95473.520629999999</v>
      </c>
      <c r="H69" s="479">
        <v>95473.520629999999</v>
      </c>
      <c r="I69" s="480">
        <v>43.91</v>
      </c>
      <c r="J69" s="480"/>
    </row>
    <row r="70" spans="1:10" ht="76.5" hidden="1" outlineLevel="4">
      <c r="A70" s="481" t="s">
        <v>702</v>
      </c>
      <c r="B70" s="482" t="s">
        <v>770</v>
      </c>
      <c r="C70" s="483" t="s">
        <v>704</v>
      </c>
      <c r="D70" s="482" t="s">
        <v>705</v>
      </c>
      <c r="E70" s="484">
        <v>217423.60527</v>
      </c>
      <c r="F70" s="484">
        <v>217423.60527</v>
      </c>
      <c r="G70" s="484">
        <v>95473.520629999999</v>
      </c>
      <c r="H70" s="484">
        <v>95473.520629999999</v>
      </c>
      <c r="I70" s="480">
        <v>43.91</v>
      </c>
      <c r="J70" s="480"/>
    </row>
    <row r="71" spans="1:10" ht="38.25" hidden="1" outlineLevel="2">
      <c r="A71" s="471" t="s">
        <v>771</v>
      </c>
      <c r="B71" s="472" t="s">
        <v>772</v>
      </c>
      <c r="C71" s="473"/>
      <c r="D71" s="472"/>
      <c r="E71" s="474">
        <v>138106.4155</v>
      </c>
      <c r="F71" s="474">
        <v>138106.4155</v>
      </c>
      <c r="G71" s="474">
        <v>75721.374410000004</v>
      </c>
      <c r="H71" s="474">
        <v>75721.374410000004</v>
      </c>
      <c r="I71" s="475">
        <v>54.83</v>
      </c>
      <c r="J71" s="475"/>
    </row>
    <row r="72" spans="1:10" ht="76.5" hidden="1" outlineLevel="3">
      <c r="A72" s="476" t="s">
        <v>702</v>
      </c>
      <c r="B72" s="477" t="s">
        <v>773</v>
      </c>
      <c r="C72" s="478"/>
      <c r="D72" s="477"/>
      <c r="E72" s="479">
        <v>138106.4155</v>
      </c>
      <c r="F72" s="479">
        <v>138106.4155</v>
      </c>
      <c r="G72" s="479">
        <v>75721.374410000004</v>
      </c>
      <c r="H72" s="479">
        <v>75721.374410000004</v>
      </c>
      <c r="I72" s="480">
        <v>54.83</v>
      </c>
      <c r="J72" s="480"/>
    </row>
    <row r="73" spans="1:10" ht="76.5" hidden="1" outlineLevel="4">
      <c r="A73" s="481" t="s">
        <v>702</v>
      </c>
      <c r="B73" s="482" t="s">
        <v>773</v>
      </c>
      <c r="C73" s="483" t="s">
        <v>704</v>
      </c>
      <c r="D73" s="482" t="s">
        <v>705</v>
      </c>
      <c r="E73" s="484">
        <v>138106.4155</v>
      </c>
      <c r="F73" s="484">
        <v>138106.4155</v>
      </c>
      <c r="G73" s="484">
        <v>75721.374410000004</v>
      </c>
      <c r="H73" s="484">
        <v>75721.374410000004</v>
      </c>
      <c r="I73" s="480">
        <v>54.83</v>
      </c>
      <c r="J73" s="480"/>
    </row>
    <row r="74" spans="1:10" ht="114.75" hidden="1" outlineLevel="2">
      <c r="A74" s="471" t="s">
        <v>774</v>
      </c>
      <c r="B74" s="472" t="s">
        <v>775</v>
      </c>
      <c r="C74" s="473"/>
      <c r="D74" s="472"/>
      <c r="E74" s="474">
        <v>19754.418000000001</v>
      </c>
      <c r="F74" s="474">
        <v>19754.418000000001</v>
      </c>
      <c r="G74" s="474">
        <v>5160.3692600000004</v>
      </c>
      <c r="H74" s="474">
        <v>5160.3692600000004</v>
      </c>
      <c r="I74" s="475">
        <v>26.12</v>
      </c>
      <c r="J74" s="475"/>
    </row>
    <row r="75" spans="1:10" ht="76.5" hidden="1" outlineLevel="3">
      <c r="A75" s="476" t="s">
        <v>702</v>
      </c>
      <c r="B75" s="477" t="s">
        <v>776</v>
      </c>
      <c r="C75" s="478"/>
      <c r="D75" s="477"/>
      <c r="E75" s="479">
        <v>19754.418000000001</v>
      </c>
      <c r="F75" s="479">
        <v>19754.418000000001</v>
      </c>
      <c r="G75" s="479">
        <v>5160.3692600000004</v>
      </c>
      <c r="H75" s="479">
        <v>5160.3692600000004</v>
      </c>
      <c r="I75" s="480">
        <v>26.12</v>
      </c>
      <c r="J75" s="480"/>
    </row>
    <row r="76" spans="1:10" ht="76.5" hidden="1" outlineLevel="4">
      <c r="A76" s="481" t="s">
        <v>702</v>
      </c>
      <c r="B76" s="482" t="s">
        <v>776</v>
      </c>
      <c r="C76" s="483" t="s">
        <v>704</v>
      </c>
      <c r="D76" s="482" t="s">
        <v>705</v>
      </c>
      <c r="E76" s="484">
        <v>19754.418000000001</v>
      </c>
      <c r="F76" s="484">
        <v>19754.418000000001</v>
      </c>
      <c r="G76" s="484">
        <v>5160.3692600000004</v>
      </c>
      <c r="H76" s="484">
        <v>5160.3692600000004</v>
      </c>
      <c r="I76" s="480">
        <v>26.12</v>
      </c>
      <c r="J76" s="480"/>
    </row>
    <row r="77" spans="1:10" ht="25.5" hidden="1" outlineLevel="2">
      <c r="A77" s="471" t="s">
        <v>738</v>
      </c>
      <c r="B77" s="472" t="s">
        <v>777</v>
      </c>
      <c r="C77" s="473"/>
      <c r="D77" s="472"/>
      <c r="E77" s="474">
        <v>60897</v>
      </c>
      <c r="F77" s="474">
        <v>60897</v>
      </c>
      <c r="G77" s="474">
        <v>55463.630499999999</v>
      </c>
      <c r="H77" s="474">
        <v>55463.630499999999</v>
      </c>
      <c r="I77" s="475">
        <v>91.08</v>
      </c>
      <c r="J77" s="475"/>
    </row>
    <row r="78" spans="1:10" ht="38.25" hidden="1" outlineLevel="3">
      <c r="A78" s="476" t="s">
        <v>778</v>
      </c>
      <c r="B78" s="477" t="s">
        <v>779</v>
      </c>
      <c r="C78" s="478"/>
      <c r="D78" s="477"/>
      <c r="E78" s="479">
        <v>60897</v>
      </c>
      <c r="F78" s="479">
        <v>60897</v>
      </c>
      <c r="G78" s="479">
        <v>55463.630499999999</v>
      </c>
      <c r="H78" s="479">
        <v>55463.630499999999</v>
      </c>
      <c r="I78" s="480">
        <v>91.08</v>
      </c>
      <c r="J78" s="480"/>
    </row>
    <row r="79" spans="1:10" ht="38.25" hidden="1" outlineLevel="4">
      <c r="A79" s="481" t="s">
        <v>778</v>
      </c>
      <c r="B79" s="482" t="s">
        <v>779</v>
      </c>
      <c r="C79" s="483" t="s">
        <v>704</v>
      </c>
      <c r="D79" s="482" t="s">
        <v>705</v>
      </c>
      <c r="E79" s="484">
        <v>60897</v>
      </c>
      <c r="F79" s="484">
        <v>60897</v>
      </c>
      <c r="G79" s="484">
        <v>55463.630499999999</v>
      </c>
      <c r="H79" s="484">
        <v>55463.630499999999</v>
      </c>
      <c r="I79" s="480">
        <v>91.08</v>
      </c>
      <c r="J79" s="485" t="s">
        <v>10</v>
      </c>
    </row>
    <row r="80" spans="1:10" ht="25.5" hidden="1" outlineLevel="2">
      <c r="A80" s="471" t="s">
        <v>780</v>
      </c>
      <c r="B80" s="472" t="s">
        <v>781</v>
      </c>
      <c r="C80" s="473"/>
      <c r="D80" s="472"/>
      <c r="E80" s="474">
        <v>224482.4</v>
      </c>
      <c r="F80" s="474">
        <v>224482.4</v>
      </c>
      <c r="G80" s="474">
        <v>4974.9980100000002</v>
      </c>
      <c r="H80" s="474">
        <v>4974.9980100000002</v>
      </c>
      <c r="I80" s="475">
        <v>2.2200000000000002</v>
      </c>
      <c r="J80" s="475"/>
    </row>
    <row r="81" spans="1:10" ht="114.75" hidden="1" outlineLevel="3">
      <c r="A81" s="476" t="s">
        <v>782</v>
      </c>
      <c r="B81" s="477" t="s">
        <v>783</v>
      </c>
      <c r="C81" s="478"/>
      <c r="D81" s="477"/>
      <c r="E81" s="479">
        <v>224482.4</v>
      </c>
      <c r="F81" s="479">
        <v>224482.4</v>
      </c>
      <c r="G81" s="479">
        <v>4974.9980100000002</v>
      </c>
      <c r="H81" s="479">
        <v>4974.9980100000002</v>
      </c>
      <c r="I81" s="480">
        <v>2.2200000000000002</v>
      </c>
      <c r="J81" s="480"/>
    </row>
    <row r="82" spans="1:10" ht="114.75" hidden="1" outlineLevel="4">
      <c r="A82" s="481" t="s">
        <v>782</v>
      </c>
      <c r="B82" s="482" t="s">
        <v>783</v>
      </c>
      <c r="C82" s="483" t="s">
        <v>704</v>
      </c>
      <c r="D82" s="482" t="s">
        <v>705</v>
      </c>
      <c r="E82" s="484">
        <v>224482.4</v>
      </c>
      <c r="F82" s="484">
        <v>224482.4</v>
      </c>
      <c r="G82" s="484">
        <v>4974.9980100000002</v>
      </c>
      <c r="H82" s="484">
        <v>4974.9980100000002</v>
      </c>
      <c r="I82" s="480">
        <v>2.2200000000000002</v>
      </c>
      <c r="J82" s="485" t="s">
        <v>10</v>
      </c>
    </row>
    <row r="83" spans="1:10" ht="25.5" hidden="1" outlineLevel="1">
      <c r="A83" s="466" t="s">
        <v>784</v>
      </c>
      <c r="B83" s="467" t="s">
        <v>785</v>
      </c>
      <c r="C83" s="468"/>
      <c r="D83" s="467"/>
      <c r="E83" s="469">
        <v>393298.60038000002</v>
      </c>
      <c r="F83" s="469">
        <v>393298.60038000002</v>
      </c>
      <c r="G83" s="469">
        <v>204773.09239000001</v>
      </c>
      <c r="H83" s="469">
        <v>204477.09239000001</v>
      </c>
      <c r="I83" s="470">
        <v>51.99</v>
      </c>
      <c r="J83" s="470"/>
    </row>
    <row r="84" spans="1:10" ht="38.25" hidden="1" outlineLevel="2">
      <c r="A84" s="471" t="s">
        <v>786</v>
      </c>
      <c r="B84" s="472" t="s">
        <v>787</v>
      </c>
      <c r="C84" s="473"/>
      <c r="D84" s="472"/>
      <c r="E84" s="474">
        <v>7456.51</v>
      </c>
      <c r="F84" s="474">
        <v>7456.51</v>
      </c>
      <c r="G84" s="474">
        <v>3554.1498799999999</v>
      </c>
      <c r="H84" s="474">
        <v>3554.1498799999999</v>
      </c>
      <c r="I84" s="475">
        <v>47.67</v>
      </c>
      <c r="J84" s="475"/>
    </row>
    <row r="85" spans="1:10" ht="76.5" hidden="1" outlineLevel="3">
      <c r="A85" s="476" t="s">
        <v>702</v>
      </c>
      <c r="B85" s="477" t="s">
        <v>788</v>
      </c>
      <c r="C85" s="478"/>
      <c r="D85" s="477"/>
      <c r="E85" s="479">
        <v>7456.51</v>
      </c>
      <c r="F85" s="479">
        <v>7456.51</v>
      </c>
      <c r="G85" s="479">
        <v>3554.1498799999999</v>
      </c>
      <c r="H85" s="479">
        <v>3554.1498799999999</v>
      </c>
      <c r="I85" s="480">
        <v>47.67</v>
      </c>
      <c r="J85" s="480"/>
    </row>
    <row r="86" spans="1:10" ht="76.5" hidden="1" outlineLevel="4">
      <c r="A86" s="481" t="s">
        <v>702</v>
      </c>
      <c r="B86" s="482" t="s">
        <v>788</v>
      </c>
      <c r="C86" s="483" t="s">
        <v>704</v>
      </c>
      <c r="D86" s="482" t="s">
        <v>705</v>
      </c>
      <c r="E86" s="484">
        <v>7456.51</v>
      </c>
      <c r="F86" s="484">
        <v>7456.51</v>
      </c>
      <c r="G86" s="484">
        <v>3554.1498799999999</v>
      </c>
      <c r="H86" s="484">
        <v>3554.1498799999999</v>
      </c>
      <c r="I86" s="480">
        <v>47.67</v>
      </c>
      <c r="J86" s="480"/>
    </row>
    <row r="87" spans="1:10" ht="63.75" hidden="1" outlineLevel="2">
      <c r="A87" s="471" t="s">
        <v>789</v>
      </c>
      <c r="B87" s="472" t="s">
        <v>790</v>
      </c>
      <c r="C87" s="473"/>
      <c r="D87" s="472"/>
      <c r="E87" s="474">
        <v>319801.16788000002</v>
      </c>
      <c r="F87" s="474">
        <v>319801.16788000002</v>
      </c>
      <c r="G87" s="474">
        <v>167045.24573</v>
      </c>
      <c r="H87" s="474">
        <v>167045.24573</v>
      </c>
      <c r="I87" s="475">
        <v>52.23</v>
      </c>
      <c r="J87" s="475"/>
    </row>
    <row r="88" spans="1:10" ht="76.5" hidden="1" outlineLevel="3">
      <c r="A88" s="476" t="s">
        <v>702</v>
      </c>
      <c r="B88" s="477" t="s">
        <v>791</v>
      </c>
      <c r="C88" s="478"/>
      <c r="D88" s="477"/>
      <c r="E88" s="479">
        <v>307635.86787999998</v>
      </c>
      <c r="F88" s="479">
        <v>307635.86787999998</v>
      </c>
      <c r="G88" s="479">
        <v>157315.666</v>
      </c>
      <c r="H88" s="479">
        <v>157315.666</v>
      </c>
      <c r="I88" s="480">
        <v>51.14</v>
      </c>
      <c r="J88" s="480"/>
    </row>
    <row r="89" spans="1:10" ht="76.5" hidden="1" outlineLevel="4">
      <c r="A89" s="481" t="s">
        <v>702</v>
      </c>
      <c r="B89" s="482" t="s">
        <v>791</v>
      </c>
      <c r="C89" s="483" t="s">
        <v>704</v>
      </c>
      <c r="D89" s="482" t="s">
        <v>705</v>
      </c>
      <c r="E89" s="484">
        <v>307635.86787999998</v>
      </c>
      <c r="F89" s="484">
        <v>307635.86787999998</v>
      </c>
      <c r="G89" s="484">
        <v>157315.666</v>
      </c>
      <c r="H89" s="484">
        <v>157315.666</v>
      </c>
      <c r="I89" s="480">
        <v>51.14</v>
      </c>
      <c r="J89" s="480"/>
    </row>
    <row r="90" spans="1:10" ht="25.5" hidden="1" outlineLevel="3">
      <c r="A90" s="476" t="s">
        <v>724</v>
      </c>
      <c r="B90" s="477" t="s">
        <v>792</v>
      </c>
      <c r="C90" s="478"/>
      <c r="D90" s="477"/>
      <c r="E90" s="479">
        <v>12165.3</v>
      </c>
      <c r="F90" s="479">
        <v>12165.3</v>
      </c>
      <c r="G90" s="479">
        <v>9729.5797299999995</v>
      </c>
      <c r="H90" s="479">
        <v>9729.5797299999995</v>
      </c>
      <c r="I90" s="480">
        <v>79.98</v>
      </c>
      <c r="J90" s="480"/>
    </row>
    <row r="91" spans="1:10" ht="25.5" hidden="1" outlineLevel="4">
      <c r="A91" s="481" t="s">
        <v>724</v>
      </c>
      <c r="B91" s="482" t="s">
        <v>792</v>
      </c>
      <c r="C91" s="483" t="s">
        <v>704</v>
      </c>
      <c r="D91" s="482" t="s">
        <v>705</v>
      </c>
      <c r="E91" s="484">
        <v>12165.3</v>
      </c>
      <c r="F91" s="484">
        <v>12165.3</v>
      </c>
      <c r="G91" s="484">
        <v>9729.5797299999995</v>
      </c>
      <c r="H91" s="484">
        <v>9729.5797299999995</v>
      </c>
      <c r="I91" s="480">
        <v>79.98</v>
      </c>
      <c r="J91" s="480"/>
    </row>
    <row r="92" spans="1:10" ht="51" hidden="1" outlineLevel="2">
      <c r="A92" s="471" t="s">
        <v>793</v>
      </c>
      <c r="B92" s="472" t="s">
        <v>794</v>
      </c>
      <c r="C92" s="473"/>
      <c r="D92" s="472"/>
      <c r="E92" s="474">
        <v>66040.922500000001</v>
      </c>
      <c r="F92" s="474">
        <v>66040.922500000001</v>
      </c>
      <c r="G92" s="474">
        <v>34173.696779999998</v>
      </c>
      <c r="H92" s="474">
        <v>33877.696779999998</v>
      </c>
      <c r="I92" s="475">
        <v>51.3</v>
      </c>
      <c r="J92" s="475"/>
    </row>
    <row r="93" spans="1:10" ht="63.75" hidden="1" outlineLevel="3">
      <c r="A93" s="476" t="s">
        <v>795</v>
      </c>
      <c r="B93" s="477" t="s">
        <v>796</v>
      </c>
      <c r="C93" s="478"/>
      <c r="D93" s="477"/>
      <c r="E93" s="479">
        <v>66040.922500000001</v>
      </c>
      <c r="F93" s="479">
        <v>66040.922500000001</v>
      </c>
      <c r="G93" s="479">
        <v>34173.696779999998</v>
      </c>
      <c r="H93" s="479">
        <v>33877.696779999998</v>
      </c>
      <c r="I93" s="480">
        <v>51.3</v>
      </c>
      <c r="J93" s="480"/>
    </row>
    <row r="94" spans="1:10" ht="63.75" hidden="1" outlineLevel="4">
      <c r="A94" s="481" t="s">
        <v>795</v>
      </c>
      <c r="B94" s="482" t="s">
        <v>796</v>
      </c>
      <c r="C94" s="483" t="s">
        <v>704</v>
      </c>
      <c r="D94" s="482" t="s">
        <v>705</v>
      </c>
      <c r="E94" s="484">
        <v>66040.922500000001</v>
      </c>
      <c r="F94" s="484">
        <v>66040.922500000001</v>
      </c>
      <c r="G94" s="484">
        <v>34173.696779999998</v>
      </c>
      <c r="H94" s="484">
        <v>33877.696779999998</v>
      </c>
      <c r="I94" s="480">
        <v>51.3</v>
      </c>
      <c r="J94" s="485" t="s">
        <v>10</v>
      </c>
    </row>
    <row r="95" spans="1:10" ht="38.25" hidden="1" outlineLevel="1">
      <c r="A95" s="466" t="s">
        <v>797</v>
      </c>
      <c r="B95" s="467" t="s">
        <v>798</v>
      </c>
      <c r="C95" s="468"/>
      <c r="D95" s="467"/>
      <c r="E95" s="469">
        <v>1602727.0597099999</v>
      </c>
      <c r="F95" s="469">
        <v>1456578.9640599999</v>
      </c>
      <c r="G95" s="469">
        <v>340336.70568000001</v>
      </c>
      <c r="H95" s="469">
        <v>336636.21094000002</v>
      </c>
      <c r="I95" s="470">
        <v>21</v>
      </c>
      <c r="J95" s="470"/>
    </row>
    <row r="96" spans="1:10" ht="38.25" hidden="1" outlineLevel="2">
      <c r="A96" s="471" t="s">
        <v>799</v>
      </c>
      <c r="B96" s="472" t="s">
        <v>800</v>
      </c>
      <c r="C96" s="473"/>
      <c r="D96" s="472"/>
      <c r="E96" s="474">
        <v>288647.39861999999</v>
      </c>
      <c r="F96" s="474">
        <v>222844.40397000001</v>
      </c>
      <c r="G96" s="474">
        <v>30820.725689999999</v>
      </c>
      <c r="H96" s="474">
        <v>27120.230950000001</v>
      </c>
      <c r="I96" s="475">
        <v>9.4</v>
      </c>
      <c r="J96" s="475"/>
    </row>
    <row r="97" spans="1:10" ht="51" hidden="1" outlineLevel="3">
      <c r="A97" s="476" t="s">
        <v>801</v>
      </c>
      <c r="B97" s="477" t="s">
        <v>802</v>
      </c>
      <c r="C97" s="478"/>
      <c r="D97" s="477"/>
      <c r="E97" s="479">
        <v>288647.39861999999</v>
      </c>
      <c r="F97" s="479">
        <v>222844.40397000001</v>
      </c>
      <c r="G97" s="479">
        <v>30820.725689999999</v>
      </c>
      <c r="H97" s="479">
        <v>27120.230950000001</v>
      </c>
      <c r="I97" s="480">
        <v>9.4</v>
      </c>
      <c r="J97" s="480"/>
    </row>
    <row r="98" spans="1:10" ht="51" hidden="1" outlineLevel="4">
      <c r="A98" s="481" t="s">
        <v>801</v>
      </c>
      <c r="B98" s="482" t="s">
        <v>802</v>
      </c>
      <c r="C98" s="483" t="s">
        <v>803</v>
      </c>
      <c r="D98" s="482" t="s">
        <v>804</v>
      </c>
      <c r="E98" s="484">
        <v>288647.39861999999</v>
      </c>
      <c r="F98" s="484">
        <v>222844.40397000001</v>
      </c>
      <c r="G98" s="484">
        <v>30820.725689999999</v>
      </c>
      <c r="H98" s="484">
        <v>27120.230950000001</v>
      </c>
      <c r="I98" s="480">
        <v>9.4</v>
      </c>
      <c r="J98" s="480"/>
    </row>
    <row r="99" spans="1:10" ht="38.25" hidden="1" outlineLevel="2">
      <c r="A99" s="471" t="s">
        <v>805</v>
      </c>
      <c r="B99" s="472" t="s">
        <v>806</v>
      </c>
      <c r="C99" s="473"/>
      <c r="D99" s="472"/>
      <c r="E99" s="474">
        <v>1294079.6610900001</v>
      </c>
      <c r="F99" s="474">
        <v>1213734.56009</v>
      </c>
      <c r="G99" s="474">
        <v>292775.97999000002</v>
      </c>
      <c r="H99" s="474">
        <v>292775.97999000002</v>
      </c>
      <c r="I99" s="475">
        <v>22.62</v>
      </c>
      <c r="J99" s="475"/>
    </row>
    <row r="100" spans="1:10" ht="76.5" hidden="1" outlineLevel="3">
      <c r="A100" s="476" t="s">
        <v>702</v>
      </c>
      <c r="B100" s="477" t="s">
        <v>807</v>
      </c>
      <c r="C100" s="478"/>
      <c r="D100" s="477"/>
      <c r="E100" s="479">
        <v>933140.64300000004</v>
      </c>
      <c r="F100" s="479">
        <v>852795.54200000002</v>
      </c>
      <c r="G100" s="479">
        <v>119463.35811</v>
      </c>
      <c r="H100" s="479">
        <v>119463.35811</v>
      </c>
      <c r="I100" s="480">
        <v>12.8</v>
      </c>
      <c r="J100" s="480"/>
    </row>
    <row r="101" spans="1:10" ht="76.5" hidden="1" outlineLevel="4">
      <c r="A101" s="481" t="s">
        <v>702</v>
      </c>
      <c r="B101" s="482" t="s">
        <v>807</v>
      </c>
      <c r="C101" s="483" t="s">
        <v>704</v>
      </c>
      <c r="D101" s="482" t="s">
        <v>705</v>
      </c>
      <c r="E101" s="484">
        <v>933140.64300000004</v>
      </c>
      <c r="F101" s="484">
        <v>852795.54200000002</v>
      </c>
      <c r="G101" s="484">
        <v>119463.35811</v>
      </c>
      <c r="H101" s="484">
        <v>119463.35811</v>
      </c>
      <c r="I101" s="480">
        <v>12.8</v>
      </c>
      <c r="J101" s="480"/>
    </row>
    <row r="102" spans="1:10" ht="25.5" hidden="1" outlineLevel="3">
      <c r="A102" s="476" t="s">
        <v>808</v>
      </c>
      <c r="B102" s="477" t="s">
        <v>809</v>
      </c>
      <c r="C102" s="478"/>
      <c r="D102" s="477"/>
      <c r="E102" s="479">
        <v>10000</v>
      </c>
      <c r="F102" s="479">
        <v>10000</v>
      </c>
      <c r="G102" s="479">
        <v>1498.1183699999999</v>
      </c>
      <c r="H102" s="479">
        <v>1498.1183699999999</v>
      </c>
      <c r="I102" s="480">
        <v>14.98</v>
      </c>
      <c r="J102" s="480"/>
    </row>
    <row r="103" spans="1:10" ht="25.5" hidden="1" outlineLevel="4">
      <c r="A103" s="481" t="s">
        <v>808</v>
      </c>
      <c r="B103" s="482" t="s">
        <v>809</v>
      </c>
      <c r="C103" s="483" t="s">
        <v>704</v>
      </c>
      <c r="D103" s="482" t="s">
        <v>705</v>
      </c>
      <c r="E103" s="484">
        <v>10000</v>
      </c>
      <c r="F103" s="484">
        <v>10000</v>
      </c>
      <c r="G103" s="484">
        <v>1498.1183699999999</v>
      </c>
      <c r="H103" s="484">
        <v>1498.1183699999999</v>
      </c>
      <c r="I103" s="480">
        <v>14.98</v>
      </c>
      <c r="J103" s="480"/>
    </row>
    <row r="104" spans="1:10" ht="25.5" hidden="1" outlineLevel="3">
      <c r="A104" s="476" t="s">
        <v>713</v>
      </c>
      <c r="B104" s="477" t="s">
        <v>810</v>
      </c>
      <c r="C104" s="478"/>
      <c r="D104" s="477"/>
      <c r="E104" s="479">
        <v>350939.01809000003</v>
      </c>
      <c r="F104" s="479">
        <v>350939.01809000003</v>
      </c>
      <c r="G104" s="479">
        <v>171814.50351000001</v>
      </c>
      <c r="H104" s="479">
        <v>171814.50351000001</v>
      </c>
      <c r="I104" s="480">
        <v>48.96</v>
      </c>
      <c r="J104" s="480"/>
    </row>
    <row r="105" spans="1:10" ht="25.5" hidden="1" outlineLevel="4">
      <c r="A105" s="481" t="s">
        <v>713</v>
      </c>
      <c r="B105" s="482" t="s">
        <v>810</v>
      </c>
      <c r="C105" s="483" t="s">
        <v>704</v>
      </c>
      <c r="D105" s="482" t="s">
        <v>705</v>
      </c>
      <c r="E105" s="484">
        <v>35378</v>
      </c>
      <c r="F105" s="484">
        <v>35378</v>
      </c>
      <c r="G105" s="484">
        <v>35378</v>
      </c>
      <c r="H105" s="484">
        <v>35378</v>
      </c>
      <c r="I105" s="480">
        <v>100</v>
      </c>
      <c r="J105" s="480"/>
    </row>
    <row r="106" spans="1:10" ht="25.5" hidden="1" outlineLevel="4">
      <c r="A106" s="481" t="s">
        <v>713</v>
      </c>
      <c r="B106" s="482" t="s">
        <v>810</v>
      </c>
      <c r="C106" s="483" t="s">
        <v>803</v>
      </c>
      <c r="D106" s="482" t="s">
        <v>804</v>
      </c>
      <c r="E106" s="484">
        <v>315561.01809000003</v>
      </c>
      <c r="F106" s="484">
        <v>315561.01809000003</v>
      </c>
      <c r="G106" s="484">
        <v>136436.50351000001</v>
      </c>
      <c r="H106" s="484">
        <v>136436.50351000001</v>
      </c>
      <c r="I106" s="480">
        <v>43.24</v>
      </c>
      <c r="J106" s="480"/>
    </row>
    <row r="107" spans="1:10" ht="38.25" hidden="1" outlineLevel="2">
      <c r="A107" s="471" t="s">
        <v>811</v>
      </c>
      <c r="B107" s="472" t="s">
        <v>812</v>
      </c>
      <c r="C107" s="473"/>
      <c r="D107" s="472"/>
      <c r="E107" s="474">
        <v>20000</v>
      </c>
      <c r="F107" s="474">
        <v>20000</v>
      </c>
      <c r="G107" s="474">
        <v>16740</v>
      </c>
      <c r="H107" s="474">
        <v>16740</v>
      </c>
      <c r="I107" s="475">
        <v>83.7</v>
      </c>
      <c r="J107" s="475"/>
    </row>
    <row r="108" spans="1:10" ht="76.5" hidden="1" outlineLevel="3">
      <c r="A108" s="476" t="s">
        <v>702</v>
      </c>
      <c r="B108" s="477" t="s">
        <v>813</v>
      </c>
      <c r="C108" s="478"/>
      <c r="D108" s="477"/>
      <c r="E108" s="479">
        <v>20000</v>
      </c>
      <c r="F108" s="479">
        <v>20000</v>
      </c>
      <c r="G108" s="479">
        <v>16740</v>
      </c>
      <c r="H108" s="479">
        <v>16740</v>
      </c>
      <c r="I108" s="480">
        <v>83.7</v>
      </c>
      <c r="J108" s="480"/>
    </row>
    <row r="109" spans="1:10" ht="76.5" hidden="1" outlineLevel="4">
      <c r="A109" s="481" t="s">
        <v>702</v>
      </c>
      <c r="B109" s="482" t="s">
        <v>813</v>
      </c>
      <c r="C109" s="483" t="s">
        <v>704</v>
      </c>
      <c r="D109" s="482" t="s">
        <v>705</v>
      </c>
      <c r="E109" s="484">
        <v>20000</v>
      </c>
      <c r="F109" s="484">
        <v>20000</v>
      </c>
      <c r="G109" s="484">
        <v>16740</v>
      </c>
      <c r="H109" s="484">
        <v>16740</v>
      </c>
      <c r="I109" s="480">
        <v>83.7</v>
      </c>
      <c r="J109" s="480"/>
    </row>
    <row r="110" spans="1:10" ht="38.25" hidden="1" outlineLevel="1">
      <c r="A110" s="466" t="s">
        <v>814</v>
      </c>
      <c r="B110" s="467" t="s">
        <v>815</v>
      </c>
      <c r="C110" s="468"/>
      <c r="D110" s="467"/>
      <c r="E110" s="469">
        <v>497063.43222000002</v>
      </c>
      <c r="F110" s="469">
        <v>497028.02821999998</v>
      </c>
      <c r="G110" s="469">
        <v>153829.82496999999</v>
      </c>
      <c r="H110" s="469">
        <v>151174.03748</v>
      </c>
      <c r="I110" s="470">
        <v>30.41</v>
      </c>
      <c r="J110" s="470"/>
    </row>
    <row r="111" spans="1:10" ht="51" hidden="1" outlineLevel="2">
      <c r="A111" s="471" t="s">
        <v>816</v>
      </c>
      <c r="B111" s="472" t="s">
        <v>817</v>
      </c>
      <c r="C111" s="473"/>
      <c r="D111" s="472"/>
      <c r="E111" s="474">
        <v>10855.404</v>
      </c>
      <c r="F111" s="474">
        <v>10820</v>
      </c>
      <c r="G111" s="474">
        <v>30</v>
      </c>
      <c r="H111" s="474">
        <v>20</v>
      </c>
      <c r="I111" s="475">
        <v>0.18</v>
      </c>
      <c r="J111" s="475"/>
    </row>
    <row r="112" spans="1:10" ht="76.5" hidden="1" outlineLevel="3">
      <c r="A112" s="476" t="s">
        <v>702</v>
      </c>
      <c r="B112" s="477" t="s">
        <v>818</v>
      </c>
      <c r="C112" s="478"/>
      <c r="D112" s="477"/>
      <c r="E112" s="479">
        <v>55.404000000000003</v>
      </c>
      <c r="F112" s="479">
        <v>20</v>
      </c>
      <c r="G112" s="479">
        <v>20</v>
      </c>
      <c r="H112" s="479">
        <v>20</v>
      </c>
      <c r="I112" s="480">
        <v>36.1</v>
      </c>
      <c r="J112" s="480"/>
    </row>
    <row r="113" spans="1:10" ht="76.5" hidden="1" outlineLevel="4">
      <c r="A113" s="481" t="s">
        <v>702</v>
      </c>
      <c r="B113" s="482" t="s">
        <v>818</v>
      </c>
      <c r="C113" s="483" t="s">
        <v>704</v>
      </c>
      <c r="D113" s="482" t="s">
        <v>705</v>
      </c>
      <c r="E113" s="484">
        <v>55.404000000000003</v>
      </c>
      <c r="F113" s="484">
        <v>20</v>
      </c>
      <c r="G113" s="484">
        <v>20</v>
      </c>
      <c r="H113" s="484">
        <v>20</v>
      </c>
      <c r="I113" s="480">
        <v>36.1</v>
      </c>
      <c r="J113" s="480"/>
    </row>
    <row r="114" spans="1:10" ht="63.75" hidden="1" outlineLevel="3">
      <c r="A114" s="476" t="s">
        <v>819</v>
      </c>
      <c r="B114" s="477" t="s">
        <v>820</v>
      </c>
      <c r="C114" s="478"/>
      <c r="D114" s="477"/>
      <c r="E114" s="479">
        <v>10800</v>
      </c>
      <c r="F114" s="479">
        <v>10800</v>
      </c>
      <c r="G114" s="479">
        <v>10</v>
      </c>
      <c r="H114" s="479">
        <v>0</v>
      </c>
      <c r="I114" s="480">
        <v>0</v>
      </c>
      <c r="J114" s="480"/>
    </row>
    <row r="115" spans="1:10" ht="63.75" hidden="1" outlineLevel="4">
      <c r="A115" s="481" t="s">
        <v>819</v>
      </c>
      <c r="B115" s="482" t="s">
        <v>820</v>
      </c>
      <c r="C115" s="483" t="s">
        <v>704</v>
      </c>
      <c r="D115" s="482" t="s">
        <v>705</v>
      </c>
      <c r="E115" s="484">
        <v>10800</v>
      </c>
      <c r="F115" s="484">
        <v>10800</v>
      </c>
      <c r="G115" s="484">
        <v>10</v>
      </c>
      <c r="H115" s="484">
        <v>0</v>
      </c>
      <c r="I115" s="480">
        <v>0</v>
      </c>
      <c r="J115" s="480"/>
    </row>
    <row r="116" spans="1:10" ht="63.75" hidden="1" outlineLevel="2">
      <c r="A116" s="471" t="s">
        <v>821</v>
      </c>
      <c r="B116" s="472" t="s">
        <v>822</v>
      </c>
      <c r="C116" s="473"/>
      <c r="D116" s="472"/>
      <c r="E116" s="474">
        <v>26742.795699999999</v>
      </c>
      <c r="F116" s="474">
        <v>26742.795699999999</v>
      </c>
      <c r="G116" s="474">
        <v>1984.00324</v>
      </c>
      <c r="H116" s="474">
        <v>984.00324000000001</v>
      </c>
      <c r="I116" s="475">
        <v>3.68</v>
      </c>
      <c r="J116" s="475"/>
    </row>
    <row r="117" spans="1:10" ht="76.5" hidden="1" outlineLevel="3">
      <c r="A117" s="476" t="s">
        <v>702</v>
      </c>
      <c r="B117" s="477" t="s">
        <v>823</v>
      </c>
      <c r="C117" s="478"/>
      <c r="D117" s="477"/>
      <c r="E117" s="479">
        <v>1742.7956999999999</v>
      </c>
      <c r="F117" s="479">
        <v>1742.7956999999999</v>
      </c>
      <c r="G117" s="479">
        <v>984.00324000000001</v>
      </c>
      <c r="H117" s="479">
        <v>984.00324000000001</v>
      </c>
      <c r="I117" s="480">
        <v>56.46</v>
      </c>
      <c r="J117" s="480"/>
    </row>
    <row r="118" spans="1:10" ht="76.5" hidden="1" outlineLevel="4">
      <c r="A118" s="481" t="s">
        <v>702</v>
      </c>
      <c r="B118" s="482" t="s">
        <v>823</v>
      </c>
      <c r="C118" s="483" t="s">
        <v>704</v>
      </c>
      <c r="D118" s="482" t="s">
        <v>705</v>
      </c>
      <c r="E118" s="484">
        <v>1742.7956999999999</v>
      </c>
      <c r="F118" s="484">
        <v>1742.7956999999999</v>
      </c>
      <c r="G118" s="484">
        <v>984.00324000000001</v>
      </c>
      <c r="H118" s="484">
        <v>984.00324000000001</v>
      </c>
      <c r="I118" s="480">
        <v>56.46</v>
      </c>
      <c r="J118" s="480"/>
    </row>
    <row r="119" spans="1:10" ht="127.5" hidden="1" outlineLevel="3">
      <c r="A119" s="476" t="s">
        <v>824</v>
      </c>
      <c r="B119" s="477" t="s">
        <v>825</v>
      </c>
      <c r="C119" s="478"/>
      <c r="D119" s="477"/>
      <c r="E119" s="479">
        <v>25000</v>
      </c>
      <c r="F119" s="479">
        <v>25000</v>
      </c>
      <c r="G119" s="479">
        <v>1000</v>
      </c>
      <c r="H119" s="479">
        <v>0</v>
      </c>
      <c r="I119" s="480">
        <v>0</v>
      </c>
      <c r="J119" s="480"/>
    </row>
    <row r="120" spans="1:10" ht="127.5" hidden="1" outlineLevel="4">
      <c r="A120" s="481" t="s">
        <v>824</v>
      </c>
      <c r="B120" s="482" t="s">
        <v>825</v>
      </c>
      <c r="C120" s="483" t="s">
        <v>704</v>
      </c>
      <c r="D120" s="482" t="s">
        <v>705</v>
      </c>
      <c r="E120" s="484">
        <v>25000</v>
      </c>
      <c r="F120" s="484">
        <v>25000</v>
      </c>
      <c r="G120" s="484">
        <v>1000</v>
      </c>
      <c r="H120" s="484">
        <v>0</v>
      </c>
      <c r="I120" s="480">
        <v>0</v>
      </c>
      <c r="J120" s="480"/>
    </row>
    <row r="121" spans="1:10" ht="51" hidden="1" outlineLevel="2">
      <c r="A121" s="471" t="s">
        <v>826</v>
      </c>
      <c r="B121" s="472" t="s">
        <v>827</v>
      </c>
      <c r="C121" s="473"/>
      <c r="D121" s="472"/>
      <c r="E121" s="474">
        <v>459465.23252000002</v>
      </c>
      <c r="F121" s="474">
        <v>459465.23252000002</v>
      </c>
      <c r="G121" s="474">
        <v>151815.82173</v>
      </c>
      <c r="H121" s="474">
        <v>150170.03424000001</v>
      </c>
      <c r="I121" s="475">
        <v>32.68</v>
      </c>
      <c r="J121" s="475"/>
    </row>
    <row r="122" spans="1:10" ht="76.5" hidden="1" outlineLevel="3">
      <c r="A122" s="476" t="s">
        <v>702</v>
      </c>
      <c r="B122" s="477" t="s">
        <v>828</v>
      </c>
      <c r="C122" s="478"/>
      <c r="D122" s="477"/>
      <c r="E122" s="479">
        <v>122966.63204</v>
      </c>
      <c r="F122" s="479">
        <v>122966.63204</v>
      </c>
      <c r="G122" s="479">
        <v>48585.119319999998</v>
      </c>
      <c r="H122" s="479">
        <v>48585.119319999998</v>
      </c>
      <c r="I122" s="480">
        <v>39.51</v>
      </c>
      <c r="J122" s="480"/>
    </row>
    <row r="123" spans="1:10" ht="76.5" hidden="1" outlineLevel="4">
      <c r="A123" s="481" t="s">
        <v>702</v>
      </c>
      <c r="B123" s="482" t="s">
        <v>828</v>
      </c>
      <c r="C123" s="483" t="s">
        <v>704</v>
      </c>
      <c r="D123" s="482" t="s">
        <v>705</v>
      </c>
      <c r="E123" s="484">
        <v>122966.63204</v>
      </c>
      <c r="F123" s="484">
        <v>122966.63204</v>
      </c>
      <c r="G123" s="484">
        <v>48585.119319999998</v>
      </c>
      <c r="H123" s="484">
        <v>48585.119319999998</v>
      </c>
      <c r="I123" s="480">
        <v>39.51</v>
      </c>
      <c r="J123" s="480"/>
    </row>
    <row r="124" spans="1:10" ht="51" hidden="1" outlineLevel="3">
      <c r="A124" s="476" t="s">
        <v>829</v>
      </c>
      <c r="B124" s="477" t="s">
        <v>830</v>
      </c>
      <c r="C124" s="478"/>
      <c r="D124" s="477"/>
      <c r="E124" s="479">
        <v>29000</v>
      </c>
      <c r="F124" s="479">
        <v>29000</v>
      </c>
      <c r="G124" s="479">
        <v>1500</v>
      </c>
      <c r="H124" s="479">
        <v>0</v>
      </c>
      <c r="I124" s="480">
        <v>0</v>
      </c>
      <c r="J124" s="480"/>
    </row>
    <row r="125" spans="1:10" ht="51" hidden="1" outlineLevel="4">
      <c r="A125" s="481" t="s">
        <v>829</v>
      </c>
      <c r="B125" s="482" t="s">
        <v>830</v>
      </c>
      <c r="C125" s="483" t="s">
        <v>704</v>
      </c>
      <c r="D125" s="482" t="s">
        <v>705</v>
      </c>
      <c r="E125" s="484">
        <v>29000</v>
      </c>
      <c r="F125" s="484">
        <v>29000</v>
      </c>
      <c r="G125" s="484">
        <v>1500</v>
      </c>
      <c r="H125" s="484">
        <v>0</v>
      </c>
      <c r="I125" s="480">
        <v>0</v>
      </c>
      <c r="J125" s="480"/>
    </row>
    <row r="126" spans="1:10" ht="63.75" hidden="1" outlineLevel="3">
      <c r="A126" s="476" t="s">
        <v>831</v>
      </c>
      <c r="B126" s="477" t="s">
        <v>832</v>
      </c>
      <c r="C126" s="478"/>
      <c r="D126" s="477"/>
      <c r="E126" s="479">
        <v>4710</v>
      </c>
      <c r="F126" s="479">
        <v>4710</v>
      </c>
      <c r="G126" s="479">
        <v>2360.7481699999998</v>
      </c>
      <c r="H126" s="479">
        <v>2360.7481699999998</v>
      </c>
      <c r="I126" s="480">
        <v>50.12</v>
      </c>
      <c r="J126" s="480"/>
    </row>
    <row r="127" spans="1:10" ht="63.75" hidden="1" outlineLevel="4">
      <c r="A127" s="481" t="s">
        <v>831</v>
      </c>
      <c r="B127" s="482" t="s">
        <v>832</v>
      </c>
      <c r="C127" s="483" t="s">
        <v>704</v>
      </c>
      <c r="D127" s="482" t="s">
        <v>705</v>
      </c>
      <c r="E127" s="484">
        <v>4710</v>
      </c>
      <c r="F127" s="484">
        <v>4710</v>
      </c>
      <c r="G127" s="484">
        <v>2360.7481699999998</v>
      </c>
      <c r="H127" s="484">
        <v>2360.7481699999998</v>
      </c>
      <c r="I127" s="480">
        <v>50.12</v>
      </c>
      <c r="J127" s="480"/>
    </row>
    <row r="128" spans="1:10" ht="51" hidden="1" outlineLevel="3">
      <c r="A128" s="476" t="s">
        <v>833</v>
      </c>
      <c r="B128" s="477" t="s">
        <v>834</v>
      </c>
      <c r="C128" s="478"/>
      <c r="D128" s="477"/>
      <c r="E128" s="479">
        <v>7500</v>
      </c>
      <c r="F128" s="479">
        <v>7500</v>
      </c>
      <c r="G128" s="479">
        <v>1000</v>
      </c>
      <c r="H128" s="479">
        <v>1000</v>
      </c>
      <c r="I128" s="480">
        <v>13.33</v>
      </c>
      <c r="J128" s="480"/>
    </row>
    <row r="129" spans="1:10" ht="51" hidden="1" outlineLevel="4">
      <c r="A129" s="481" t="s">
        <v>833</v>
      </c>
      <c r="B129" s="482" t="s">
        <v>834</v>
      </c>
      <c r="C129" s="483" t="s">
        <v>704</v>
      </c>
      <c r="D129" s="482" t="s">
        <v>705</v>
      </c>
      <c r="E129" s="484">
        <v>7500</v>
      </c>
      <c r="F129" s="484">
        <v>7500</v>
      </c>
      <c r="G129" s="484">
        <v>1000</v>
      </c>
      <c r="H129" s="484">
        <v>1000</v>
      </c>
      <c r="I129" s="480">
        <v>13.33</v>
      </c>
      <c r="J129" s="480"/>
    </row>
    <row r="130" spans="1:10" ht="76.5" hidden="1" outlineLevel="3">
      <c r="A130" s="476" t="s">
        <v>835</v>
      </c>
      <c r="B130" s="477" t="s">
        <v>836</v>
      </c>
      <c r="C130" s="478"/>
      <c r="D130" s="477"/>
      <c r="E130" s="479">
        <v>6296</v>
      </c>
      <c r="F130" s="479">
        <v>6296</v>
      </c>
      <c r="G130" s="479">
        <v>2400</v>
      </c>
      <c r="H130" s="479">
        <v>2352</v>
      </c>
      <c r="I130" s="480">
        <v>37.36</v>
      </c>
      <c r="J130" s="480"/>
    </row>
    <row r="131" spans="1:10" ht="76.5" hidden="1" outlineLevel="4">
      <c r="A131" s="481" t="s">
        <v>835</v>
      </c>
      <c r="B131" s="482" t="s">
        <v>836</v>
      </c>
      <c r="C131" s="483" t="s">
        <v>704</v>
      </c>
      <c r="D131" s="482" t="s">
        <v>705</v>
      </c>
      <c r="E131" s="484">
        <v>6296</v>
      </c>
      <c r="F131" s="484">
        <v>6296</v>
      </c>
      <c r="G131" s="484">
        <v>2400</v>
      </c>
      <c r="H131" s="484">
        <v>2352</v>
      </c>
      <c r="I131" s="480">
        <v>37.36</v>
      </c>
      <c r="J131" s="480"/>
    </row>
    <row r="132" spans="1:10" ht="51" hidden="1" outlineLevel="3">
      <c r="A132" s="476" t="s">
        <v>837</v>
      </c>
      <c r="B132" s="477" t="s">
        <v>838</v>
      </c>
      <c r="C132" s="478"/>
      <c r="D132" s="477"/>
      <c r="E132" s="479">
        <v>4480</v>
      </c>
      <c r="F132" s="479">
        <v>4480</v>
      </c>
      <c r="G132" s="479">
        <v>1775</v>
      </c>
      <c r="H132" s="479">
        <v>1770</v>
      </c>
      <c r="I132" s="480">
        <v>39.51</v>
      </c>
      <c r="J132" s="480"/>
    </row>
    <row r="133" spans="1:10" ht="51" hidden="1" outlineLevel="4">
      <c r="A133" s="481" t="s">
        <v>837</v>
      </c>
      <c r="B133" s="482" t="s">
        <v>838</v>
      </c>
      <c r="C133" s="483" t="s">
        <v>704</v>
      </c>
      <c r="D133" s="482" t="s">
        <v>705</v>
      </c>
      <c r="E133" s="484">
        <v>4480</v>
      </c>
      <c r="F133" s="484">
        <v>4480</v>
      </c>
      <c r="G133" s="484">
        <v>1775</v>
      </c>
      <c r="H133" s="484">
        <v>1770</v>
      </c>
      <c r="I133" s="480">
        <v>39.51</v>
      </c>
      <c r="J133" s="480"/>
    </row>
    <row r="134" spans="1:10" ht="63.75" hidden="1" outlineLevel="3">
      <c r="A134" s="476" t="s">
        <v>62</v>
      </c>
      <c r="B134" s="477" t="s">
        <v>839</v>
      </c>
      <c r="C134" s="478"/>
      <c r="D134" s="477"/>
      <c r="E134" s="479">
        <v>35449.810660000003</v>
      </c>
      <c r="F134" s="479">
        <v>35449.810660000003</v>
      </c>
      <c r="G134" s="479">
        <v>2899.2379500000002</v>
      </c>
      <c r="H134" s="479">
        <v>2806.45046</v>
      </c>
      <c r="I134" s="480">
        <v>7.92</v>
      </c>
      <c r="J134" s="480"/>
    </row>
    <row r="135" spans="1:10" ht="63.75" hidden="1" outlineLevel="4">
      <c r="A135" s="481" t="s">
        <v>62</v>
      </c>
      <c r="B135" s="482" t="s">
        <v>839</v>
      </c>
      <c r="C135" s="483" t="s">
        <v>704</v>
      </c>
      <c r="D135" s="482" t="s">
        <v>705</v>
      </c>
      <c r="E135" s="484">
        <v>35449.810660000003</v>
      </c>
      <c r="F135" s="484">
        <v>35449.810660000003</v>
      </c>
      <c r="G135" s="484">
        <v>2899.2379500000002</v>
      </c>
      <c r="H135" s="484">
        <v>2806.45046</v>
      </c>
      <c r="I135" s="480">
        <v>7.92</v>
      </c>
      <c r="J135" s="480"/>
    </row>
    <row r="136" spans="1:10" ht="63.75" hidden="1" outlineLevel="3">
      <c r="A136" s="476" t="s">
        <v>840</v>
      </c>
      <c r="B136" s="477" t="s">
        <v>841</v>
      </c>
      <c r="C136" s="478"/>
      <c r="D136" s="477"/>
      <c r="E136" s="479">
        <v>34420</v>
      </c>
      <c r="F136" s="479">
        <v>34420</v>
      </c>
      <c r="G136" s="479">
        <v>9029.9745000000003</v>
      </c>
      <c r="H136" s="479">
        <v>9029.9745000000003</v>
      </c>
      <c r="I136" s="480">
        <v>26.23</v>
      </c>
      <c r="J136" s="480"/>
    </row>
    <row r="137" spans="1:10" ht="63.75" hidden="1" outlineLevel="4">
      <c r="A137" s="481" t="s">
        <v>840</v>
      </c>
      <c r="B137" s="482" t="s">
        <v>841</v>
      </c>
      <c r="C137" s="483" t="s">
        <v>704</v>
      </c>
      <c r="D137" s="482" t="s">
        <v>705</v>
      </c>
      <c r="E137" s="484">
        <v>34420</v>
      </c>
      <c r="F137" s="484">
        <v>34420</v>
      </c>
      <c r="G137" s="484">
        <v>9029.9745000000003</v>
      </c>
      <c r="H137" s="484">
        <v>9029.9745000000003</v>
      </c>
      <c r="I137" s="480">
        <v>26.23</v>
      </c>
      <c r="J137" s="480"/>
    </row>
    <row r="138" spans="1:10" ht="140.25" hidden="1" outlineLevel="3">
      <c r="A138" s="476" t="s">
        <v>842</v>
      </c>
      <c r="B138" s="477" t="s">
        <v>843</v>
      </c>
      <c r="C138" s="478"/>
      <c r="D138" s="477"/>
      <c r="E138" s="479">
        <v>35329.404869999998</v>
      </c>
      <c r="F138" s="479">
        <v>35329.404869999998</v>
      </c>
      <c r="G138" s="479">
        <v>13101.95602</v>
      </c>
      <c r="H138" s="479">
        <v>13101.95602</v>
      </c>
      <c r="I138" s="480">
        <v>37.090000000000003</v>
      </c>
      <c r="J138" s="480"/>
    </row>
    <row r="139" spans="1:10" ht="140.25" hidden="1" outlineLevel="4">
      <c r="A139" s="481" t="s">
        <v>842</v>
      </c>
      <c r="B139" s="482" t="s">
        <v>843</v>
      </c>
      <c r="C139" s="483" t="s">
        <v>704</v>
      </c>
      <c r="D139" s="482" t="s">
        <v>705</v>
      </c>
      <c r="E139" s="484">
        <v>35329.404869999998</v>
      </c>
      <c r="F139" s="484">
        <v>35329.404869999998</v>
      </c>
      <c r="G139" s="484">
        <v>13101.95602</v>
      </c>
      <c r="H139" s="484">
        <v>13101.95602</v>
      </c>
      <c r="I139" s="480">
        <v>37.090000000000003</v>
      </c>
      <c r="J139" s="480"/>
    </row>
    <row r="140" spans="1:10" ht="140.25" hidden="1" outlineLevel="3">
      <c r="A140" s="476" t="s">
        <v>844</v>
      </c>
      <c r="B140" s="477" t="s">
        <v>845</v>
      </c>
      <c r="C140" s="478"/>
      <c r="D140" s="477"/>
      <c r="E140" s="479">
        <v>948.56574999999998</v>
      </c>
      <c r="F140" s="479">
        <v>948.56574999999998</v>
      </c>
      <c r="G140" s="479">
        <v>458.16858000000002</v>
      </c>
      <c r="H140" s="479">
        <v>458.16858000000002</v>
      </c>
      <c r="I140" s="480">
        <v>48.3</v>
      </c>
      <c r="J140" s="480"/>
    </row>
    <row r="141" spans="1:10" ht="140.25" hidden="1" outlineLevel="4">
      <c r="A141" s="481" t="s">
        <v>844</v>
      </c>
      <c r="B141" s="482" t="s">
        <v>845</v>
      </c>
      <c r="C141" s="483" t="s">
        <v>704</v>
      </c>
      <c r="D141" s="482" t="s">
        <v>705</v>
      </c>
      <c r="E141" s="484">
        <v>948.56574999999998</v>
      </c>
      <c r="F141" s="484">
        <v>948.56574999999998</v>
      </c>
      <c r="G141" s="484">
        <v>458.16858000000002</v>
      </c>
      <c r="H141" s="484">
        <v>458.16858000000002</v>
      </c>
      <c r="I141" s="480">
        <v>48.3</v>
      </c>
      <c r="J141" s="480"/>
    </row>
    <row r="142" spans="1:10" ht="25.5" hidden="1" outlineLevel="3">
      <c r="A142" s="476" t="s">
        <v>724</v>
      </c>
      <c r="B142" s="477" t="s">
        <v>846</v>
      </c>
      <c r="C142" s="478"/>
      <c r="D142" s="477"/>
      <c r="E142" s="479">
        <v>141605.93833</v>
      </c>
      <c r="F142" s="479">
        <v>141605.93833</v>
      </c>
      <c r="G142" s="479">
        <v>45777.127419999997</v>
      </c>
      <c r="H142" s="479">
        <v>45777.127419999997</v>
      </c>
      <c r="I142" s="480">
        <v>32.33</v>
      </c>
      <c r="J142" s="480"/>
    </row>
    <row r="143" spans="1:10" ht="25.5" hidden="1" outlineLevel="4">
      <c r="A143" s="481" t="s">
        <v>724</v>
      </c>
      <c r="B143" s="482" t="s">
        <v>846</v>
      </c>
      <c r="C143" s="483" t="s">
        <v>704</v>
      </c>
      <c r="D143" s="482" t="s">
        <v>705</v>
      </c>
      <c r="E143" s="484">
        <v>141605.93833</v>
      </c>
      <c r="F143" s="484">
        <v>141605.93833</v>
      </c>
      <c r="G143" s="484">
        <v>45777.127419999997</v>
      </c>
      <c r="H143" s="484">
        <v>45777.127419999997</v>
      </c>
      <c r="I143" s="480">
        <v>32.33</v>
      </c>
      <c r="J143" s="480"/>
    </row>
    <row r="144" spans="1:10" ht="38.25" hidden="1" outlineLevel="3">
      <c r="A144" s="476" t="s">
        <v>847</v>
      </c>
      <c r="B144" s="477" t="s">
        <v>848</v>
      </c>
      <c r="C144" s="478"/>
      <c r="D144" s="477"/>
      <c r="E144" s="479">
        <v>35904.47507</v>
      </c>
      <c r="F144" s="479">
        <v>35904.47507</v>
      </c>
      <c r="G144" s="479">
        <v>22855.912420000001</v>
      </c>
      <c r="H144" s="479">
        <v>22855.912420000001</v>
      </c>
      <c r="I144" s="480">
        <v>63.66</v>
      </c>
      <c r="J144" s="480"/>
    </row>
    <row r="145" spans="1:10" ht="38.25" hidden="1" outlineLevel="4">
      <c r="A145" s="481" t="s">
        <v>847</v>
      </c>
      <c r="B145" s="482" t="s">
        <v>848</v>
      </c>
      <c r="C145" s="483" t="s">
        <v>704</v>
      </c>
      <c r="D145" s="482" t="s">
        <v>705</v>
      </c>
      <c r="E145" s="484">
        <v>35904.47507</v>
      </c>
      <c r="F145" s="484">
        <v>35904.47507</v>
      </c>
      <c r="G145" s="484">
        <v>22855.912420000001</v>
      </c>
      <c r="H145" s="484">
        <v>22855.912420000001</v>
      </c>
      <c r="I145" s="480">
        <v>63.66</v>
      </c>
      <c r="J145" s="480"/>
    </row>
    <row r="146" spans="1:10" ht="25.5" hidden="1" outlineLevel="3">
      <c r="A146" s="476" t="s">
        <v>713</v>
      </c>
      <c r="B146" s="477" t="s">
        <v>849</v>
      </c>
      <c r="C146" s="478"/>
      <c r="D146" s="477"/>
      <c r="E146" s="479">
        <v>854.4058</v>
      </c>
      <c r="F146" s="479">
        <v>854.4058</v>
      </c>
      <c r="G146" s="479">
        <v>72.577349999999996</v>
      </c>
      <c r="H146" s="479">
        <v>72.577349999999996</v>
      </c>
      <c r="I146" s="480">
        <v>8.49</v>
      </c>
      <c r="J146" s="480"/>
    </row>
    <row r="147" spans="1:10" ht="25.5" hidden="1" outlineLevel="4">
      <c r="A147" s="481" t="s">
        <v>713</v>
      </c>
      <c r="B147" s="482" t="s">
        <v>849</v>
      </c>
      <c r="C147" s="483" t="s">
        <v>704</v>
      </c>
      <c r="D147" s="482" t="s">
        <v>705</v>
      </c>
      <c r="E147" s="484">
        <v>854.4058</v>
      </c>
      <c r="F147" s="484">
        <v>854.4058</v>
      </c>
      <c r="G147" s="484">
        <v>72.577349999999996</v>
      </c>
      <c r="H147" s="484">
        <v>72.577349999999996</v>
      </c>
      <c r="I147" s="480">
        <v>8.49</v>
      </c>
      <c r="J147" s="480"/>
    </row>
    <row r="148" spans="1:10" ht="25.5" hidden="1" outlineLevel="1">
      <c r="A148" s="466" t="s">
        <v>850</v>
      </c>
      <c r="B148" s="467" t="s">
        <v>851</v>
      </c>
      <c r="C148" s="468"/>
      <c r="D148" s="467"/>
      <c r="E148" s="469">
        <v>315690.00906999997</v>
      </c>
      <c r="F148" s="469">
        <v>315690.00906999997</v>
      </c>
      <c r="G148" s="469">
        <v>41534.186869999998</v>
      </c>
      <c r="H148" s="469">
        <v>41512.096870000001</v>
      </c>
      <c r="I148" s="470">
        <v>13.15</v>
      </c>
      <c r="J148" s="470"/>
    </row>
    <row r="149" spans="1:10" ht="63.75" hidden="1" outlineLevel="2">
      <c r="A149" s="471" t="s">
        <v>852</v>
      </c>
      <c r="B149" s="472" t="s">
        <v>853</v>
      </c>
      <c r="C149" s="473"/>
      <c r="D149" s="472"/>
      <c r="E149" s="474">
        <v>15490.63984</v>
      </c>
      <c r="F149" s="474">
        <v>15490.63984</v>
      </c>
      <c r="G149" s="474">
        <v>6967.7899100000004</v>
      </c>
      <c r="H149" s="474">
        <v>6967.7899100000004</v>
      </c>
      <c r="I149" s="475">
        <v>44.98</v>
      </c>
      <c r="J149" s="475"/>
    </row>
    <row r="150" spans="1:10" ht="38.25" hidden="1" outlineLevel="3">
      <c r="A150" s="476" t="s">
        <v>854</v>
      </c>
      <c r="B150" s="477" t="s">
        <v>855</v>
      </c>
      <c r="C150" s="478"/>
      <c r="D150" s="477"/>
      <c r="E150" s="479">
        <v>335</v>
      </c>
      <c r="F150" s="479">
        <v>335</v>
      </c>
      <c r="G150" s="479">
        <v>222.839</v>
      </c>
      <c r="H150" s="479">
        <v>222.839</v>
      </c>
      <c r="I150" s="480">
        <v>66.52</v>
      </c>
      <c r="J150" s="480"/>
    </row>
    <row r="151" spans="1:10" ht="38.25" hidden="1" outlineLevel="4">
      <c r="A151" s="481" t="s">
        <v>854</v>
      </c>
      <c r="B151" s="482" t="s">
        <v>855</v>
      </c>
      <c r="C151" s="483" t="s">
        <v>704</v>
      </c>
      <c r="D151" s="482" t="s">
        <v>705</v>
      </c>
      <c r="E151" s="484">
        <v>335</v>
      </c>
      <c r="F151" s="484">
        <v>335</v>
      </c>
      <c r="G151" s="484">
        <v>222.839</v>
      </c>
      <c r="H151" s="484">
        <v>222.839</v>
      </c>
      <c r="I151" s="480">
        <v>66.52</v>
      </c>
      <c r="J151" s="480"/>
    </row>
    <row r="152" spans="1:10" ht="76.5" hidden="1" outlineLevel="3">
      <c r="A152" s="476" t="s">
        <v>702</v>
      </c>
      <c r="B152" s="477" t="s">
        <v>856</v>
      </c>
      <c r="C152" s="478"/>
      <c r="D152" s="477"/>
      <c r="E152" s="479">
        <v>15155.63984</v>
      </c>
      <c r="F152" s="479">
        <v>15155.63984</v>
      </c>
      <c r="G152" s="479">
        <v>6744.9509099999996</v>
      </c>
      <c r="H152" s="479">
        <v>6744.9509099999996</v>
      </c>
      <c r="I152" s="480">
        <v>44.5</v>
      </c>
      <c r="J152" s="480"/>
    </row>
    <row r="153" spans="1:10" ht="76.5" hidden="1" outlineLevel="4">
      <c r="A153" s="481" t="s">
        <v>702</v>
      </c>
      <c r="B153" s="482" t="s">
        <v>856</v>
      </c>
      <c r="C153" s="483" t="s">
        <v>704</v>
      </c>
      <c r="D153" s="482" t="s">
        <v>705</v>
      </c>
      <c r="E153" s="484">
        <v>15155.63984</v>
      </c>
      <c r="F153" s="484">
        <v>15155.63984</v>
      </c>
      <c r="G153" s="484">
        <v>6744.9509099999996</v>
      </c>
      <c r="H153" s="484">
        <v>6744.9509099999996</v>
      </c>
      <c r="I153" s="480">
        <v>44.5</v>
      </c>
      <c r="J153" s="480"/>
    </row>
    <row r="154" spans="1:10" ht="63.75" hidden="1" outlineLevel="2">
      <c r="A154" s="471" t="s">
        <v>857</v>
      </c>
      <c r="B154" s="472" t="s">
        <v>858</v>
      </c>
      <c r="C154" s="473"/>
      <c r="D154" s="472"/>
      <c r="E154" s="474">
        <v>15719.582</v>
      </c>
      <c r="F154" s="474">
        <v>15719.582</v>
      </c>
      <c r="G154" s="474">
        <v>4774.3620199999996</v>
      </c>
      <c r="H154" s="474">
        <v>4774.3620199999996</v>
      </c>
      <c r="I154" s="475">
        <v>30.37</v>
      </c>
      <c r="J154" s="475"/>
    </row>
    <row r="155" spans="1:10" ht="38.25" hidden="1" outlineLevel="3">
      <c r="A155" s="476" t="s">
        <v>854</v>
      </c>
      <c r="B155" s="477" t="s">
        <v>859</v>
      </c>
      <c r="C155" s="478"/>
      <c r="D155" s="477"/>
      <c r="E155" s="479">
        <v>290</v>
      </c>
      <c r="F155" s="479">
        <v>290</v>
      </c>
      <c r="G155" s="479">
        <v>142.37360000000001</v>
      </c>
      <c r="H155" s="479">
        <v>142.37360000000001</v>
      </c>
      <c r="I155" s="480">
        <v>49.09</v>
      </c>
      <c r="J155" s="480"/>
    </row>
    <row r="156" spans="1:10" ht="38.25" hidden="1" outlineLevel="4">
      <c r="A156" s="481" t="s">
        <v>854</v>
      </c>
      <c r="B156" s="482" t="s">
        <v>859</v>
      </c>
      <c r="C156" s="483" t="s">
        <v>704</v>
      </c>
      <c r="D156" s="482" t="s">
        <v>705</v>
      </c>
      <c r="E156" s="484">
        <v>290</v>
      </c>
      <c r="F156" s="484">
        <v>290</v>
      </c>
      <c r="G156" s="484">
        <v>142.37360000000001</v>
      </c>
      <c r="H156" s="484">
        <v>142.37360000000001</v>
      </c>
      <c r="I156" s="480">
        <v>49.09</v>
      </c>
      <c r="J156" s="480"/>
    </row>
    <row r="157" spans="1:10" ht="76.5" hidden="1" outlineLevel="3">
      <c r="A157" s="476" t="s">
        <v>702</v>
      </c>
      <c r="B157" s="477" t="s">
        <v>860</v>
      </c>
      <c r="C157" s="478"/>
      <c r="D157" s="477"/>
      <c r="E157" s="479">
        <v>8908.3359999999993</v>
      </c>
      <c r="F157" s="479">
        <v>8908.3359999999993</v>
      </c>
      <c r="G157" s="479">
        <v>4631.9884199999997</v>
      </c>
      <c r="H157" s="479">
        <v>4631.9884199999997</v>
      </c>
      <c r="I157" s="480">
        <v>52</v>
      </c>
      <c r="J157" s="480"/>
    </row>
    <row r="158" spans="1:10" ht="76.5" hidden="1" outlineLevel="4">
      <c r="A158" s="481" t="s">
        <v>702</v>
      </c>
      <c r="B158" s="482" t="s">
        <v>860</v>
      </c>
      <c r="C158" s="483" t="s">
        <v>704</v>
      </c>
      <c r="D158" s="482" t="s">
        <v>705</v>
      </c>
      <c r="E158" s="484">
        <v>8908.3359999999993</v>
      </c>
      <c r="F158" s="484">
        <v>8908.3359999999993</v>
      </c>
      <c r="G158" s="484">
        <v>4631.9884199999997</v>
      </c>
      <c r="H158" s="484">
        <v>4631.9884199999997</v>
      </c>
      <c r="I158" s="480">
        <v>52</v>
      </c>
      <c r="J158" s="480"/>
    </row>
    <row r="159" spans="1:10" ht="51" hidden="1" outlineLevel="3">
      <c r="A159" s="476" t="s">
        <v>861</v>
      </c>
      <c r="B159" s="477" t="s">
        <v>862</v>
      </c>
      <c r="C159" s="478"/>
      <c r="D159" s="477"/>
      <c r="E159" s="479">
        <v>6521.2460000000001</v>
      </c>
      <c r="F159" s="479">
        <v>6521.2460000000001</v>
      </c>
      <c r="G159" s="479">
        <v>0</v>
      </c>
      <c r="H159" s="479">
        <v>0</v>
      </c>
      <c r="I159" s="480">
        <v>0</v>
      </c>
      <c r="J159" s="480"/>
    </row>
    <row r="160" spans="1:10" ht="51" hidden="1" outlineLevel="4">
      <c r="A160" s="481" t="s">
        <v>861</v>
      </c>
      <c r="B160" s="482" t="s">
        <v>862</v>
      </c>
      <c r="C160" s="483" t="s">
        <v>704</v>
      </c>
      <c r="D160" s="482" t="s">
        <v>705</v>
      </c>
      <c r="E160" s="484">
        <v>6521.2460000000001</v>
      </c>
      <c r="F160" s="484">
        <v>6521.2460000000001</v>
      </c>
      <c r="G160" s="484">
        <v>0</v>
      </c>
      <c r="H160" s="484">
        <v>0</v>
      </c>
      <c r="I160" s="480">
        <v>0</v>
      </c>
      <c r="J160" s="480"/>
    </row>
    <row r="161" spans="1:10" ht="63.75" hidden="1" outlineLevel="2">
      <c r="A161" s="471" t="s">
        <v>863</v>
      </c>
      <c r="B161" s="472" t="s">
        <v>864</v>
      </c>
      <c r="C161" s="473"/>
      <c r="D161" s="472"/>
      <c r="E161" s="474">
        <v>284479.78723000002</v>
      </c>
      <c r="F161" s="474">
        <v>284479.78723000002</v>
      </c>
      <c r="G161" s="474">
        <v>29792.034940000001</v>
      </c>
      <c r="H161" s="474">
        <v>29769.944940000001</v>
      </c>
      <c r="I161" s="475">
        <v>10.46</v>
      </c>
      <c r="J161" s="475"/>
    </row>
    <row r="162" spans="1:10" ht="51" hidden="1" outlineLevel="3">
      <c r="A162" s="476" t="s">
        <v>865</v>
      </c>
      <c r="B162" s="477" t="s">
        <v>866</v>
      </c>
      <c r="C162" s="478"/>
      <c r="D162" s="477"/>
      <c r="E162" s="479">
        <v>21250</v>
      </c>
      <c r="F162" s="479">
        <v>21250</v>
      </c>
      <c r="G162" s="479">
        <v>5557.2</v>
      </c>
      <c r="H162" s="479">
        <v>5557.2</v>
      </c>
      <c r="I162" s="480">
        <v>26.15</v>
      </c>
      <c r="J162" s="480"/>
    </row>
    <row r="163" spans="1:10" ht="51" hidden="1" outlineLevel="4">
      <c r="A163" s="481" t="s">
        <v>865</v>
      </c>
      <c r="B163" s="482" t="s">
        <v>866</v>
      </c>
      <c r="C163" s="483" t="s">
        <v>704</v>
      </c>
      <c r="D163" s="482" t="s">
        <v>705</v>
      </c>
      <c r="E163" s="484">
        <v>21250</v>
      </c>
      <c r="F163" s="484">
        <v>21250</v>
      </c>
      <c r="G163" s="484">
        <v>5557.2</v>
      </c>
      <c r="H163" s="484">
        <v>5557.2</v>
      </c>
      <c r="I163" s="480">
        <v>26.15</v>
      </c>
      <c r="J163" s="480"/>
    </row>
    <row r="164" spans="1:10" ht="63.75" hidden="1" outlineLevel="3">
      <c r="A164" s="476" t="s">
        <v>867</v>
      </c>
      <c r="B164" s="477" t="s">
        <v>868</v>
      </c>
      <c r="C164" s="478"/>
      <c r="D164" s="477"/>
      <c r="E164" s="479">
        <v>263229.78723000002</v>
      </c>
      <c r="F164" s="479">
        <v>263229.78723000002</v>
      </c>
      <c r="G164" s="479">
        <v>24234.834940000001</v>
      </c>
      <c r="H164" s="479">
        <v>24212.74494</v>
      </c>
      <c r="I164" s="480">
        <v>9.1999999999999993</v>
      </c>
      <c r="J164" s="480"/>
    </row>
    <row r="165" spans="1:10" ht="63.75" hidden="1" outlineLevel="4">
      <c r="A165" s="481" t="s">
        <v>867</v>
      </c>
      <c r="B165" s="482" t="s">
        <v>868</v>
      </c>
      <c r="C165" s="483" t="s">
        <v>704</v>
      </c>
      <c r="D165" s="482" t="s">
        <v>705</v>
      </c>
      <c r="E165" s="484">
        <v>263229.78723000002</v>
      </c>
      <c r="F165" s="484">
        <v>263229.78723000002</v>
      </c>
      <c r="G165" s="484">
        <v>24234.834940000001</v>
      </c>
      <c r="H165" s="484">
        <v>24212.74494</v>
      </c>
      <c r="I165" s="480">
        <v>9.1999999999999993</v>
      </c>
      <c r="J165" s="485" t="s">
        <v>10</v>
      </c>
    </row>
    <row r="166" spans="1:10" ht="51" hidden="1" outlineLevel="1">
      <c r="A166" s="466" t="s">
        <v>869</v>
      </c>
      <c r="B166" s="467" t="s">
        <v>870</v>
      </c>
      <c r="C166" s="468"/>
      <c r="D166" s="467"/>
      <c r="E166" s="469">
        <v>7192280.5408500005</v>
      </c>
      <c r="F166" s="469">
        <v>7192280.5408500005</v>
      </c>
      <c r="G166" s="469">
        <v>3580459.0164600001</v>
      </c>
      <c r="H166" s="469">
        <v>3578103.2645200002</v>
      </c>
      <c r="I166" s="470">
        <v>49.75</v>
      </c>
      <c r="J166" s="470"/>
    </row>
    <row r="167" spans="1:10" ht="127.5" hidden="1" outlineLevel="2">
      <c r="A167" s="471" t="s">
        <v>871</v>
      </c>
      <c r="B167" s="472" t="s">
        <v>872</v>
      </c>
      <c r="C167" s="473"/>
      <c r="D167" s="472"/>
      <c r="E167" s="474">
        <v>601727.94085000001</v>
      </c>
      <c r="F167" s="474">
        <v>601727.94085000001</v>
      </c>
      <c r="G167" s="474">
        <v>277582.66246000002</v>
      </c>
      <c r="H167" s="474">
        <v>275436.27784</v>
      </c>
      <c r="I167" s="475">
        <v>45.77</v>
      </c>
      <c r="J167" s="475"/>
    </row>
    <row r="168" spans="1:10" ht="25.5" hidden="1" outlineLevel="3">
      <c r="A168" s="476" t="s">
        <v>873</v>
      </c>
      <c r="B168" s="477" t="s">
        <v>874</v>
      </c>
      <c r="C168" s="478"/>
      <c r="D168" s="477"/>
      <c r="E168" s="479">
        <v>113463.90364</v>
      </c>
      <c r="F168" s="479">
        <v>113463.90364</v>
      </c>
      <c r="G168" s="479">
        <v>53931.055059999999</v>
      </c>
      <c r="H168" s="479">
        <v>51879.140290000003</v>
      </c>
      <c r="I168" s="480">
        <v>45.72</v>
      </c>
      <c r="J168" s="480"/>
    </row>
    <row r="169" spans="1:10" ht="25.5" hidden="1" outlineLevel="4">
      <c r="A169" s="481" t="s">
        <v>873</v>
      </c>
      <c r="B169" s="482" t="s">
        <v>874</v>
      </c>
      <c r="C169" s="483" t="s">
        <v>704</v>
      </c>
      <c r="D169" s="482" t="s">
        <v>705</v>
      </c>
      <c r="E169" s="484">
        <v>113463.90364</v>
      </c>
      <c r="F169" s="484">
        <v>113463.90364</v>
      </c>
      <c r="G169" s="484">
        <v>53931.055059999999</v>
      </c>
      <c r="H169" s="484">
        <v>51879.140290000003</v>
      </c>
      <c r="I169" s="480">
        <v>45.72</v>
      </c>
      <c r="J169" s="480"/>
    </row>
    <row r="170" spans="1:10" ht="38.25" hidden="1" outlineLevel="3">
      <c r="A170" s="476" t="s">
        <v>854</v>
      </c>
      <c r="B170" s="477" t="s">
        <v>875</v>
      </c>
      <c r="C170" s="478"/>
      <c r="D170" s="477"/>
      <c r="E170" s="479">
        <v>2411.5055600000001</v>
      </c>
      <c r="F170" s="479">
        <v>2411.5055600000001</v>
      </c>
      <c r="G170" s="479">
        <v>687.96569</v>
      </c>
      <c r="H170" s="479">
        <v>678.49584000000004</v>
      </c>
      <c r="I170" s="480">
        <v>28.14</v>
      </c>
      <c r="J170" s="480"/>
    </row>
    <row r="171" spans="1:10" ht="38.25" hidden="1" outlineLevel="4">
      <c r="A171" s="481" t="s">
        <v>854</v>
      </c>
      <c r="B171" s="482" t="s">
        <v>875</v>
      </c>
      <c r="C171" s="483" t="s">
        <v>704</v>
      </c>
      <c r="D171" s="482" t="s">
        <v>705</v>
      </c>
      <c r="E171" s="484">
        <v>2411.5055600000001</v>
      </c>
      <c r="F171" s="484">
        <v>2411.5055600000001</v>
      </c>
      <c r="G171" s="484">
        <v>687.96569</v>
      </c>
      <c r="H171" s="484">
        <v>678.49584000000004</v>
      </c>
      <c r="I171" s="480">
        <v>28.14</v>
      </c>
      <c r="J171" s="480"/>
    </row>
    <row r="172" spans="1:10" ht="76.5" hidden="1" outlineLevel="3">
      <c r="A172" s="476" t="s">
        <v>702</v>
      </c>
      <c r="B172" s="477" t="s">
        <v>876</v>
      </c>
      <c r="C172" s="478"/>
      <c r="D172" s="477"/>
      <c r="E172" s="479">
        <v>484929.40865</v>
      </c>
      <c r="F172" s="479">
        <v>484929.40865</v>
      </c>
      <c r="G172" s="479">
        <v>222733.97286000001</v>
      </c>
      <c r="H172" s="479">
        <v>222733.97286000001</v>
      </c>
      <c r="I172" s="480">
        <v>45.93</v>
      </c>
      <c r="J172" s="480"/>
    </row>
    <row r="173" spans="1:10" ht="76.5" hidden="1" outlineLevel="4">
      <c r="A173" s="481" t="s">
        <v>702</v>
      </c>
      <c r="B173" s="482" t="s">
        <v>876</v>
      </c>
      <c r="C173" s="483" t="s">
        <v>704</v>
      </c>
      <c r="D173" s="482" t="s">
        <v>705</v>
      </c>
      <c r="E173" s="484">
        <v>484929.40865</v>
      </c>
      <c r="F173" s="484">
        <v>484929.40865</v>
      </c>
      <c r="G173" s="484">
        <v>222733.97286000001</v>
      </c>
      <c r="H173" s="484">
        <v>222733.97286000001</v>
      </c>
      <c r="I173" s="480">
        <v>45.93</v>
      </c>
      <c r="J173" s="480"/>
    </row>
    <row r="174" spans="1:10" ht="63.75" hidden="1" outlineLevel="3">
      <c r="A174" s="476" t="s">
        <v>62</v>
      </c>
      <c r="B174" s="477" t="s">
        <v>877</v>
      </c>
      <c r="C174" s="478"/>
      <c r="D174" s="477"/>
      <c r="E174" s="479">
        <v>873.12300000000005</v>
      </c>
      <c r="F174" s="479">
        <v>873.12300000000005</v>
      </c>
      <c r="G174" s="479">
        <v>229.66884999999999</v>
      </c>
      <c r="H174" s="479">
        <v>144.66884999999999</v>
      </c>
      <c r="I174" s="480">
        <v>16.57</v>
      </c>
      <c r="J174" s="480"/>
    </row>
    <row r="175" spans="1:10" ht="63.75" hidden="1" outlineLevel="4">
      <c r="A175" s="481" t="s">
        <v>62</v>
      </c>
      <c r="B175" s="482" t="s">
        <v>877</v>
      </c>
      <c r="C175" s="483" t="s">
        <v>704</v>
      </c>
      <c r="D175" s="482" t="s">
        <v>705</v>
      </c>
      <c r="E175" s="484">
        <v>873.12300000000005</v>
      </c>
      <c r="F175" s="484">
        <v>873.12300000000005</v>
      </c>
      <c r="G175" s="484">
        <v>229.66884999999999</v>
      </c>
      <c r="H175" s="484">
        <v>144.66884999999999</v>
      </c>
      <c r="I175" s="480">
        <v>16.57</v>
      </c>
      <c r="J175" s="480"/>
    </row>
    <row r="176" spans="1:10" ht="25.5" hidden="1" outlineLevel="3">
      <c r="A176" s="476" t="s">
        <v>713</v>
      </c>
      <c r="B176" s="477" t="s">
        <v>878</v>
      </c>
      <c r="C176" s="478"/>
      <c r="D176" s="477"/>
      <c r="E176" s="479">
        <v>50</v>
      </c>
      <c r="F176" s="479">
        <v>50</v>
      </c>
      <c r="G176" s="479">
        <v>0</v>
      </c>
      <c r="H176" s="479">
        <v>0</v>
      </c>
      <c r="I176" s="480">
        <v>0</v>
      </c>
      <c r="J176" s="480"/>
    </row>
    <row r="177" spans="1:10" ht="25.5" hidden="1" outlineLevel="4">
      <c r="A177" s="481" t="s">
        <v>713</v>
      </c>
      <c r="B177" s="482" t="s">
        <v>878</v>
      </c>
      <c r="C177" s="483" t="s">
        <v>704</v>
      </c>
      <c r="D177" s="482" t="s">
        <v>705</v>
      </c>
      <c r="E177" s="484">
        <v>50</v>
      </c>
      <c r="F177" s="484">
        <v>50</v>
      </c>
      <c r="G177" s="484">
        <v>0</v>
      </c>
      <c r="H177" s="484">
        <v>0</v>
      </c>
      <c r="I177" s="480">
        <v>0</v>
      </c>
      <c r="J177" s="480"/>
    </row>
    <row r="178" spans="1:10" ht="89.25" hidden="1" outlineLevel="2">
      <c r="A178" s="471" t="s">
        <v>879</v>
      </c>
      <c r="B178" s="472" t="s">
        <v>880</v>
      </c>
      <c r="C178" s="473"/>
      <c r="D178" s="472"/>
      <c r="E178" s="474">
        <v>6589052.5</v>
      </c>
      <c r="F178" s="474">
        <v>6589052.5</v>
      </c>
      <c r="G178" s="474">
        <v>3301526.2540000002</v>
      </c>
      <c r="H178" s="474">
        <v>3301526.2540000002</v>
      </c>
      <c r="I178" s="475">
        <v>50.11</v>
      </c>
      <c r="J178" s="475"/>
    </row>
    <row r="179" spans="1:10" ht="38.25" hidden="1" outlineLevel="3">
      <c r="A179" s="476" t="s">
        <v>881</v>
      </c>
      <c r="B179" s="477" t="s">
        <v>882</v>
      </c>
      <c r="C179" s="478"/>
      <c r="D179" s="477"/>
      <c r="E179" s="479">
        <v>6089674.0999999996</v>
      </c>
      <c r="F179" s="479">
        <v>6089674.0999999996</v>
      </c>
      <c r="G179" s="479">
        <v>3044837.0520000001</v>
      </c>
      <c r="H179" s="479">
        <v>3044837.0520000001</v>
      </c>
      <c r="I179" s="480">
        <v>50</v>
      </c>
      <c r="J179" s="480"/>
    </row>
    <row r="180" spans="1:10" ht="38.25" hidden="1" outlineLevel="4">
      <c r="A180" s="481" t="s">
        <v>881</v>
      </c>
      <c r="B180" s="482" t="s">
        <v>882</v>
      </c>
      <c r="C180" s="483" t="s">
        <v>704</v>
      </c>
      <c r="D180" s="482" t="s">
        <v>705</v>
      </c>
      <c r="E180" s="484">
        <v>6089674.0999999996</v>
      </c>
      <c r="F180" s="484">
        <v>6089674.0999999996</v>
      </c>
      <c r="G180" s="484">
        <v>3044837.0520000001</v>
      </c>
      <c r="H180" s="484">
        <v>3044837.0520000001</v>
      </c>
      <c r="I180" s="480">
        <v>50</v>
      </c>
      <c r="J180" s="480"/>
    </row>
    <row r="181" spans="1:10" ht="63.75" hidden="1" outlineLevel="3">
      <c r="A181" s="476" t="s">
        <v>883</v>
      </c>
      <c r="B181" s="477" t="s">
        <v>884</v>
      </c>
      <c r="C181" s="478"/>
      <c r="D181" s="477"/>
      <c r="E181" s="479">
        <v>499378.4</v>
      </c>
      <c r="F181" s="479">
        <v>499378.4</v>
      </c>
      <c r="G181" s="479">
        <v>256689.20199999999</v>
      </c>
      <c r="H181" s="479">
        <v>256689.20199999999</v>
      </c>
      <c r="I181" s="480">
        <v>51.4</v>
      </c>
      <c r="J181" s="480"/>
    </row>
    <row r="182" spans="1:10" ht="63.75" hidden="1" outlineLevel="4">
      <c r="A182" s="481" t="s">
        <v>883</v>
      </c>
      <c r="B182" s="482" t="s">
        <v>884</v>
      </c>
      <c r="C182" s="483" t="s">
        <v>704</v>
      </c>
      <c r="D182" s="482" t="s">
        <v>705</v>
      </c>
      <c r="E182" s="484">
        <v>499378.4</v>
      </c>
      <c r="F182" s="484">
        <v>499378.4</v>
      </c>
      <c r="G182" s="484">
        <v>256689.20199999999</v>
      </c>
      <c r="H182" s="484">
        <v>256689.20199999999</v>
      </c>
      <c r="I182" s="480">
        <v>51.4</v>
      </c>
      <c r="J182" s="480"/>
    </row>
    <row r="183" spans="1:10" ht="76.5" hidden="1" outlineLevel="2">
      <c r="A183" s="471" t="s">
        <v>885</v>
      </c>
      <c r="B183" s="472" t="s">
        <v>886</v>
      </c>
      <c r="C183" s="473"/>
      <c r="D183" s="472"/>
      <c r="E183" s="474">
        <v>1500.1</v>
      </c>
      <c r="F183" s="474">
        <v>1500.1</v>
      </c>
      <c r="G183" s="474">
        <v>1350.1</v>
      </c>
      <c r="H183" s="474">
        <v>1140.7326800000001</v>
      </c>
      <c r="I183" s="475">
        <v>76.040000000000006</v>
      </c>
      <c r="J183" s="475"/>
    </row>
    <row r="184" spans="1:10" ht="102" hidden="1" outlineLevel="3">
      <c r="A184" s="476" t="s">
        <v>887</v>
      </c>
      <c r="B184" s="477" t="s">
        <v>888</v>
      </c>
      <c r="C184" s="478"/>
      <c r="D184" s="477"/>
      <c r="E184" s="479">
        <v>1500.1</v>
      </c>
      <c r="F184" s="479">
        <v>1500.1</v>
      </c>
      <c r="G184" s="479">
        <v>1350.1</v>
      </c>
      <c r="H184" s="479">
        <v>1140.7326800000001</v>
      </c>
      <c r="I184" s="480">
        <v>76.040000000000006</v>
      </c>
      <c r="J184" s="480"/>
    </row>
    <row r="185" spans="1:10" ht="102" hidden="1" outlineLevel="4">
      <c r="A185" s="481" t="s">
        <v>887</v>
      </c>
      <c r="B185" s="482" t="s">
        <v>888</v>
      </c>
      <c r="C185" s="483" t="s">
        <v>704</v>
      </c>
      <c r="D185" s="482" t="s">
        <v>705</v>
      </c>
      <c r="E185" s="484">
        <v>1500.1</v>
      </c>
      <c r="F185" s="484">
        <v>1500.1</v>
      </c>
      <c r="G185" s="484">
        <v>1350.1</v>
      </c>
      <c r="H185" s="484">
        <v>1140.7326800000001</v>
      </c>
      <c r="I185" s="480">
        <v>76.040000000000006</v>
      </c>
      <c r="J185" s="485" t="s">
        <v>10</v>
      </c>
    </row>
    <row r="186" spans="1:10" ht="30.75" collapsed="1" thickBot="1">
      <c r="A186" s="461" t="s">
        <v>889</v>
      </c>
      <c r="B186" s="462" t="s">
        <v>890</v>
      </c>
      <c r="C186" s="463"/>
      <c r="D186" s="462"/>
      <c r="E186" s="464">
        <v>19268801.064709999</v>
      </c>
      <c r="F186" s="464">
        <v>19113468.706440002</v>
      </c>
      <c r="G186" s="464">
        <v>10301095.13415</v>
      </c>
      <c r="H186" s="464">
        <v>10227345.43182</v>
      </c>
      <c r="I186" s="465">
        <v>53.08</v>
      </c>
      <c r="J186" s="465"/>
    </row>
    <row r="187" spans="1:10" ht="25.5" hidden="1" outlineLevel="1">
      <c r="A187" s="466" t="s">
        <v>891</v>
      </c>
      <c r="B187" s="467" t="s">
        <v>892</v>
      </c>
      <c r="C187" s="468"/>
      <c r="D187" s="467"/>
      <c r="E187" s="469">
        <v>1822758.77947</v>
      </c>
      <c r="F187" s="469">
        <v>1822758.77947</v>
      </c>
      <c r="G187" s="469">
        <v>1064802.6754600001</v>
      </c>
      <c r="H187" s="469">
        <v>1064802.6754600001</v>
      </c>
      <c r="I187" s="470">
        <v>58.42</v>
      </c>
      <c r="J187" s="470"/>
    </row>
    <row r="188" spans="1:10" ht="102" hidden="1" outlineLevel="2">
      <c r="A188" s="471" t="s">
        <v>893</v>
      </c>
      <c r="B188" s="472" t="s">
        <v>894</v>
      </c>
      <c r="C188" s="473"/>
      <c r="D188" s="472"/>
      <c r="E188" s="474">
        <v>1698568.02144</v>
      </c>
      <c r="F188" s="474">
        <v>1698568.02144</v>
      </c>
      <c r="G188" s="474">
        <v>1005880.89721</v>
      </c>
      <c r="H188" s="474">
        <v>1005880.89721</v>
      </c>
      <c r="I188" s="475">
        <v>59.22</v>
      </c>
      <c r="J188" s="475"/>
    </row>
    <row r="189" spans="1:10" ht="76.5" hidden="1" outlineLevel="3">
      <c r="A189" s="476" t="s">
        <v>702</v>
      </c>
      <c r="B189" s="477" t="s">
        <v>895</v>
      </c>
      <c r="C189" s="478"/>
      <c r="D189" s="477"/>
      <c r="E189" s="479">
        <v>1567771.9450000001</v>
      </c>
      <c r="F189" s="479">
        <v>1567771.9450000001</v>
      </c>
      <c r="G189" s="479">
        <v>930678.35750000004</v>
      </c>
      <c r="H189" s="479">
        <v>930678.35750000004</v>
      </c>
      <c r="I189" s="480">
        <v>59.36</v>
      </c>
      <c r="J189" s="480"/>
    </row>
    <row r="190" spans="1:10" ht="76.5" hidden="1" outlineLevel="4">
      <c r="A190" s="481" t="s">
        <v>702</v>
      </c>
      <c r="B190" s="482" t="s">
        <v>895</v>
      </c>
      <c r="C190" s="483" t="s">
        <v>896</v>
      </c>
      <c r="D190" s="482" t="s">
        <v>897</v>
      </c>
      <c r="E190" s="484">
        <v>102038.40300000001</v>
      </c>
      <c r="F190" s="484">
        <v>102038.40300000001</v>
      </c>
      <c r="G190" s="484">
        <v>62500</v>
      </c>
      <c r="H190" s="484">
        <v>62500</v>
      </c>
      <c r="I190" s="480">
        <v>61.25</v>
      </c>
      <c r="J190" s="480"/>
    </row>
    <row r="191" spans="1:10" ht="76.5" hidden="1" outlineLevel="4">
      <c r="A191" s="481" t="s">
        <v>702</v>
      </c>
      <c r="B191" s="482" t="s">
        <v>895</v>
      </c>
      <c r="C191" s="483" t="s">
        <v>711</v>
      </c>
      <c r="D191" s="482" t="s">
        <v>712</v>
      </c>
      <c r="E191" s="484">
        <v>1465733.5419999999</v>
      </c>
      <c r="F191" s="484">
        <v>1465733.5419999999</v>
      </c>
      <c r="G191" s="484">
        <v>868178.35750000004</v>
      </c>
      <c r="H191" s="484">
        <v>868178.35750000004</v>
      </c>
      <c r="I191" s="480">
        <v>59.23</v>
      </c>
      <c r="J191" s="480"/>
    </row>
    <row r="192" spans="1:10" ht="140.25" hidden="1" outlineLevel="3">
      <c r="A192" s="476" t="s">
        <v>842</v>
      </c>
      <c r="B192" s="477" t="s">
        <v>898</v>
      </c>
      <c r="C192" s="478"/>
      <c r="D192" s="477"/>
      <c r="E192" s="479">
        <v>3459.3877299999999</v>
      </c>
      <c r="F192" s="479">
        <v>3459.3877299999999</v>
      </c>
      <c r="G192" s="479">
        <v>1328.91794</v>
      </c>
      <c r="H192" s="479">
        <v>1328.91794</v>
      </c>
      <c r="I192" s="480">
        <v>38.409999999999997</v>
      </c>
      <c r="J192" s="480"/>
    </row>
    <row r="193" spans="1:10" ht="140.25" hidden="1" outlineLevel="4">
      <c r="A193" s="481" t="s">
        <v>842</v>
      </c>
      <c r="B193" s="482" t="s">
        <v>898</v>
      </c>
      <c r="C193" s="483" t="s">
        <v>711</v>
      </c>
      <c r="D193" s="482" t="s">
        <v>712</v>
      </c>
      <c r="E193" s="484">
        <v>3459.3877299999999</v>
      </c>
      <c r="F193" s="484">
        <v>3459.3877299999999</v>
      </c>
      <c r="G193" s="484">
        <v>1328.91794</v>
      </c>
      <c r="H193" s="484">
        <v>1328.91794</v>
      </c>
      <c r="I193" s="480">
        <v>38.409999999999997</v>
      </c>
      <c r="J193" s="480"/>
    </row>
    <row r="194" spans="1:10" ht="140.25" hidden="1" outlineLevel="3">
      <c r="A194" s="476" t="s">
        <v>844</v>
      </c>
      <c r="B194" s="477" t="s">
        <v>899</v>
      </c>
      <c r="C194" s="478"/>
      <c r="D194" s="477"/>
      <c r="E194" s="479">
        <v>1577.57671</v>
      </c>
      <c r="F194" s="479">
        <v>1577.57671</v>
      </c>
      <c r="G194" s="479">
        <v>697.84078</v>
      </c>
      <c r="H194" s="479">
        <v>697.84078</v>
      </c>
      <c r="I194" s="480">
        <v>44.23</v>
      </c>
      <c r="J194" s="480"/>
    </row>
    <row r="195" spans="1:10" ht="140.25" hidden="1" outlineLevel="4">
      <c r="A195" s="481" t="s">
        <v>844</v>
      </c>
      <c r="B195" s="482" t="s">
        <v>899</v>
      </c>
      <c r="C195" s="483" t="s">
        <v>711</v>
      </c>
      <c r="D195" s="482" t="s">
        <v>712</v>
      </c>
      <c r="E195" s="484">
        <v>1577.57671</v>
      </c>
      <c r="F195" s="484">
        <v>1577.57671</v>
      </c>
      <c r="G195" s="484">
        <v>697.84078</v>
      </c>
      <c r="H195" s="484">
        <v>697.84078</v>
      </c>
      <c r="I195" s="480">
        <v>44.23</v>
      </c>
      <c r="J195" s="480"/>
    </row>
    <row r="196" spans="1:10" ht="51" hidden="1" outlineLevel="3">
      <c r="A196" s="476" t="s">
        <v>900</v>
      </c>
      <c r="B196" s="477" t="s">
        <v>901</v>
      </c>
      <c r="C196" s="478"/>
      <c r="D196" s="477"/>
      <c r="E196" s="479">
        <v>108715.912</v>
      </c>
      <c r="F196" s="479">
        <v>108715.912</v>
      </c>
      <c r="G196" s="479">
        <v>57182.910320000003</v>
      </c>
      <c r="H196" s="479">
        <v>57182.910320000003</v>
      </c>
      <c r="I196" s="480">
        <v>52.6</v>
      </c>
      <c r="J196" s="480"/>
    </row>
    <row r="197" spans="1:10" ht="51" hidden="1" outlineLevel="4">
      <c r="A197" s="481" t="s">
        <v>900</v>
      </c>
      <c r="B197" s="482" t="s">
        <v>901</v>
      </c>
      <c r="C197" s="483" t="s">
        <v>896</v>
      </c>
      <c r="D197" s="482" t="s">
        <v>897</v>
      </c>
      <c r="E197" s="484">
        <v>2724.1</v>
      </c>
      <c r="F197" s="484">
        <v>2724.1</v>
      </c>
      <c r="G197" s="484">
        <v>1440</v>
      </c>
      <c r="H197" s="484">
        <v>1440</v>
      </c>
      <c r="I197" s="480">
        <v>52.86</v>
      </c>
      <c r="J197" s="480"/>
    </row>
    <row r="198" spans="1:10" ht="51" hidden="1" outlineLevel="4">
      <c r="A198" s="481" t="s">
        <v>900</v>
      </c>
      <c r="B198" s="482" t="s">
        <v>901</v>
      </c>
      <c r="C198" s="483" t="s">
        <v>711</v>
      </c>
      <c r="D198" s="482" t="s">
        <v>712</v>
      </c>
      <c r="E198" s="484">
        <v>105991.81200000001</v>
      </c>
      <c r="F198" s="484">
        <v>105991.81200000001</v>
      </c>
      <c r="G198" s="484">
        <v>55742.910320000003</v>
      </c>
      <c r="H198" s="484">
        <v>55742.910320000003</v>
      </c>
      <c r="I198" s="480">
        <v>52.59</v>
      </c>
      <c r="J198" s="480"/>
    </row>
    <row r="199" spans="1:10" ht="25.5" hidden="1" outlineLevel="3">
      <c r="A199" s="476" t="s">
        <v>713</v>
      </c>
      <c r="B199" s="477" t="s">
        <v>902</v>
      </c>
      <c r="C199" s="478"/>
      <c r="D199" s="477"/>
      <c r="E199" s="479">
        <v>17043.2</v>
      </c>
      <c r="F199" s="479">
        <v>17043.2</v>
      </c>
      <c r="G199" s="479">
        <v>15992.87067</v>
      </c>
      <c r="H199" s="479">
        <v>15992.87067</v>
      </c>
      <c r="I199" s="480">
        <v>93.84</v>
      </c>
      <c r="J199" s="480"/>
    </row>
    <row r="200" spans="1:10" ht="25.5" hidden="1" outlineLevel="4">
      <c r="A200" s="481" t="s">
        <v>713</v>
      </c>
      <c r="B200" s="482" t="s">
        <v>902</v>
      </c>
      <c r="C200" s="483" t="s">
        <v>711</v>
      </c>
      <c r="D200" s="482" t="s">
        <v>712</v>
      </c>
      <c r="E200" s="484">
        <v>17043.2</v>
      </c>
      <c r="F200" s="484">
        <v>17043.2</v>
      </c>
      <c r="G200" s="484">
        <v>15992.87067</v>
      </c>
      <c r="H200" s="484">
        <v>15992.87067</v>
      </c>
      <c r="I200" s="480">
        <v>93.84</v>
      </c>
      <c r="J200" s="480"/>
    </row>
    <row r="201" spans="1:10" ht="63.75" hidden="1" outlineLevel="2">
      <c r="A201" s="471" t="s">
        <v>903</v>
      </c>
      <c r="B201" s="472" t="s">
        <v>904</v>
      </c>
      <c r="C201" s="473"/>
      <c r="D201" s="472"/>
      <c r="E201" s="474">
        <v>92057</v>
      </c>
      <c r="F201" s="474">
        <v>92057</v>
      </c>
      <c r="G201" s="474">
        <v>50669.839979999997</v>
      </c>
      <c r="H201" s="474">
        <v>50669.839979999997</v>
      </c>
      <c r="I201" s="475">
        <v>55.04</v>
      </c>
      <c r="J201" s="475"/>
    </row>
    <row r="202" spans="1:10" ht="76.5" hidden="1" outlineLevel="3">
      <c r="A202" s="476" t="s">
        <v>702</v>
      </c>
      <c r="B202" s="477" t="s">
        <v>905</v>
      </c>
      <c r="C202" s="478"/>
      <c r="D202" s="477"/>
      <c r="E202" s="479">
        <v>89757</v>
      </c>
      <c r="F202" s="479">
        <v>89757</v>
      </c>
      <c r="G202" s="479">
        <v>50669.839979999997</v>
      </c>
      <c r="H202" s="479">
        <v>50669.839979999997</v>
      </c>
      <c r="I202" s="480">
        <v>56.45</v>
      </c>
      <c r="J202" s="480"/>
    </row>
    <row r="203" spans="1:10" ht="76.5" hidden="1" outlineLevel="4">
      <c r="A203" s="481" t="s">
        <v>702</v>
      </c>
      <c r="B203" s="482" t="s">
        <v>905</v>
      </c>
      <c r="C203" s="483" t="s">
        <v>711</v>
      </c>
      <c r="D203" s="482" t="s">
        <v>712</v>
      </c>
      <c r="E203" s="484">
        <v>89757</v>
      </c>
      <c r="F203" s="484">
        <v>89757</v>
      </c>
      <c r="G203" s="484">
        <v>50669.839979999997</v>
      </c>
      <c r="H203" s="484">
        <v>50669.839979999997</v>
      </c>
      <c r="I203" s="480">
        <v>56.45</v>
      </c>
      <c r="J203" s="480"/>
    </row>
    <row r="204" spans="1:10" ht="25.5" hidden="1" outlineLevel="3">
      <c r="A204" s="476" t="s">
        <v>713</v>
      </c>
      <c r="B204" s="477" t="s">
        <v>906</v>
      </c>
      <c r="C204" s="478"/>
      <c r="D204" s="477"/>
      <c r="E204" s="479">
        <v>2300</v>
      </c>
      <c r="F204" s="479">
        <v>2300</v>
      </c>
      <c r="G204" s="479">
        <v>0</v>
      </c>
      <c r="H204" s="479">
        <v>0</v>
      </c>
      <c r="I204" s="480">
        <v>0</v>
      </c>
      <c r="J204" s="480"/>
    </row>
    <row r="205" spans="1:10" ht="25.5" hidden="1" outlineLevel="4">
      <c r="A205" s="481" t="s">
        <v>713</v>
      </c>
      <c r="B205" s="482" t="s">
        <v>906</v>
      </c>
      <c r="C205" s="483" t="s">
        <v>711</v>
      </c>
      <c r="D205" s="482" t="s">
        <v>712</v>
      </c>
      <c r="E205" s="484">
        <v>2300</v>
      </c>
      <c r="F205" s="484">
        <v>2300</v>
      </c>
      <c r="G205" s="484">
        <v>0</v>
      </c>
      <c r="H205" s="484">
        <v>0</v>
      </c>
      <c r="I205" s="480">
        <v>0</v>
      </c>
      <c r="J205" s="480"/>
    </row>
    <row r="206" spans="1:10" ht="102" hidden="1" outlineLevel="2">
      <c r="A206" s="471" t="s">
        <v>907</v>
      </c>
      <c r="B206" s="472" t="s">
        <v>908</v>
      </c>
      <c r="C206" s="473"/>
      <c r="D206" s="472"/>
      <c r="E206" s="474">
        <v>25133.758030000001</v>
      </c>
      <c r="F206" s="474">
        <v>25133.758030000001</v>
      </c>
      <c r="G206" s="474">
        <v>2406.5011</v>
      </c>
      <c r="H206" s="474">
        <v>2406.5011</v>
      </c>
      <c r="I206" s="475">
        <v>9.57</v>
      </c>
      <c r="J206" s="475"/>
    </row>
    <row r="207" spans="1:10" ht="76.5" hidden="1" outlineLevel="3">
      <c r="A207" s="476" t="s">
        <v>702</v>
      </c>
      <c r="B207" s="477" t="s">
        <v>909</v>
      </c>
      <c r="C207" s="478"/>
      <c r="D207" s="477"/>
      <c r="E207" s="479">
        <v>12477.42</v>
      </c>
      <c r="F207" s="479">
        <v>12477.42</v>
      </c>
      <c r="G207" s="479">
        <v>119.1011</v>
      </c>
      <c r="H207" s="479">
        <v>119.1011</v>
      </c>
      <c r="I207" s="480">
        <v>0.95</v>
      </c>
      <c r="J207" s="480"/>
    </row>
    <row r="208" spans="1:10" ht="76.5" hidden="1" outlineLevel="4">
      <c r="A208" s="481" t="s">
        <v>702</v>
      </c>
      <c r="B208" s="482" t="s">
        <v>909</v>
      </c>
      <c r="C208" s="483" t="s">
        <v>711</v>
      </c>
      <c r="D208" s="482" t="s">
        <v>712</v>
      </c>
      <c r="E208" s="484">
        <v>12477.42</v>
      </c>
      <c r="F208" s="484">
        <v>12477.42</v>
      </c>
      <c r="G208" s="484">
        <v>119.1011</v>
      </c>
      <c r="H208" s="484">
        <v>119.1011</v>
      </c>
      <c r="I208" s="480">
        <v>0.95</v>
      </c>
      <c r="J208" s="480"/>
    </row>
    <row r="209" spans="1:10" ht="38.25" hidden="1" outlineLevel="3">
      <c r="A209" s="476" t="s">
        <v>910</v>
      </c>
      <c r="B209" s="477" t="s">
        <v>911</v>
      </c>
      <c r="C209" s="478"/>
      <c r="D209" s="477"/>
      <c r="E209" s="479">
        <v>12656.338030000001</v>
      </c>
      <c r="F209" s="479">
        <v>12656.338030000001</v>
      </c>
      <c r="G209" s="479">
        <v>2287.4</v>
      </c>
      <c r="H209" s="479">
        <v>2287.4</v>
      </c>
      <c r="I209" s="480">
        <v>18.07</v>
      </c>
      <c r="J209" s="480"/>
    </row>
    <row r="210" spans="1:10" ht="38.25" hidden="1" outlineLevel="4">
      <c r="A210" s="481" t="s">
        <v>910</v>
      </c>
      <c r="B210" s="482" t="s">
        <v>911</v>
      </c>
      <c r="C210" s="483" t="s">
        <v>711</v>
      </c>
      <c r="D210" s="482" t="s">
        <v>712</v>
      </c>
      <c r="E210" s="484">
        <v>12656.338030000001</v>
      </c>
      <c r="F210" s="484">
        <v>12656.338030000001</v>
      </c>
      <c r="G210" s="484">
        <v>2287.4</v>
      </c>
      <c r="H210" s="484">
        <v>2287.4</v>
      </c>
      <c r="I210" s="480">
        <v>18.07</v>
      </c>
      <c r="J210" s="480"/>
    </row>
    <row r="211" spans="1:10" ht="25.5" hidden="1" outlineLevel="2">
      <c r="A211" s="471" t="s">
        <v>912</v>
      </c>
      <c r="B211" s="472" t="s">
        <v>913</v>
      </c>
      <c r="C211" s="473"/>
      <c r="D211" s="472"/>
      <c r="E211" s="474">
        <v>7000</v>
      </c>
      <c r="F211" s="474">
        <v>7000</v>
      </c>
      <c r="G211" s="474">
        <v>5845.4371700000002</v>
      </c>
      <c r="H211" s="474">
        <v>5845.4371700000002</v>
      </c>
      <c r="I211" s="475">
        <v>83.51</v>
      </c>
      <c r="J211" s="475"/>
    </row>
    <row r="212" spans="1:10" ht="63.75" hidden="1" outlineLevel="3">
      <c r="A212" s="476" t="s">
        <v>914</v>
      </c>
      <c r="B212" s="477" t="s">
        <v>915</v>
      </c>
      <c r="C212" s="478"/>
      <c r="D212" s="477"/>
      <c r="E212" s="479">
        <v>7000</v>
      </c>
      <c r="F212" s="479">
        <v>7000</v>
      </c>
      <c r="G212" s="479">
        <v>5845.4371700000002</v>
      </c>
      <c r="H212" s="479">
        <v>5845.4371700000002</v>
      </c>
      <c r="I212" s="480">
        <v>83.51</v>
      </c>
      <c r="J212" s="480"/>
    </row>
    <row r="213" spans="1:10" ht="63.75" hidden="1" outlineLevel="4">
      <c r="A213" s="481" t="s">
        <v>914</v>
      </c>
      <c r="B213" s="482" t="s">
        <v>915</v>
      </c>
      <c r="C213" s="483" t="s">
        <v>711</v>
      </c>
      <c r="D213" s="482" t="s">
        <v>712</v>
      </c>
      <c r="E213" s="484">
        <v>7000</v>
      </c>
      <c r="F213" s="484">
        <v>7000</v>
      </c>
      <c r="G213" s="484">
        <v>5845.4371700000002</v>
      </c>
      <c r="H213" s="484">
        <v>5845.4371700000002</v>
      </c>
      <c r="I213" s="480">
        <v>83.51</v>
      </c>
      <c r="J213" s="480"/>
    </row>
    <row r="214" spans="1:10" ht="38.25" hidden="1" outlineLevel="1">
      <c r="A214" s="466" t="s">
        <v>916</v>
      </c>
      <c r="B214" s="467" t="s">
        <v>917</v>
      </c>
      <c r="C214" s="468"/>
      <c r="D214" s="467"/>
      <c r="E214" s="469">
        <v>14412023.963</v>
      </c>
      <c r="F214" s="469">
        <v>14329377.02713</v>
      </c>
      <c r="G214" s="469">
        <v>8621258.7377499994</v>
      </c>
      <c r="H214" s="469">
        <v>8578993.6071400009</v>
      </c>
      <c r="I214" s="470">
        <v>59.53</v>
      </c>
      <c r="J214" s="470"/>
    </row>
    <row r="215" spans="1:10" ht="51" hidden="1" outlineLevel="2">
      <c r="A215" s="471" t="s">
        <v>918</v>
      </c>
      <c r="B215" s="472" t="s">
        <v>919</v>
      </c>
      <c r="C215" s="473"/>
      <c r="D215" s="472"/>
      <c r="E215" s="474">
        <v>13832181.96242</v>
      </c>
      <c r="F215" s="474">
        <v>13830869.43523</v>
      </c>
      <c r="G215" s="474">
        <v>8457080.3029600009</v>
      </c>
      <c r="H215" s="474">
        <v>8425583.5814500004</v>
      </c>
      <c r="I215" s="475">
        <v>60.91</v>
      </c>
      <c r="J215" s="475"/>
    </row>
    <row r="216" spans="1:10" ht="76.5" hidden="1" outlineLevel="3">
      <c r="A216" s="476" t="s">
        <v>702</v>
      </c>
      <c r="B216" s="477" t="s">
        <v>920</v>
      </c>
      <c r="C216" s="478"/>
      <c r="D216" s="477"/>
      <c r="E216" s="479">
        <v>938271.46100000001</v>
      </c>
      <c r="F216" s="479">
        <v>938271.46100000001</v>
      </c>
      <c r="G216" s="479">
        <v>528629.02356999996</v>
      </c>
      <c r="H216" s="479">
        <v>527941.56337999995</v>
      </c>
      <c r="I216" s="480">
        <v>56.27</v>
      </c>
      <c r="J216" s="480"/>
    </row>
    <row r="217" spans="1:10" ht="76.5" hidden="1" outlineLevel="4">
      <c r="A217" s="481" t="s">
        <v>702</v>
      </c>
      <c r="B217" s="482" t="s">
        <v>920</v>
      </c>
      <c r="C217" s="483" t="s">
        <v>711</v>
      </c>
      <c r="D217" s="482" t="s">
        <v>712</v>
      </c>
      <c r="E217" s="484">
        <v>938271.46100000001</v>
      </c>
      <c r="F217" s="484">
        <v>938271.46100000001</v>
      </c>
      <c r="G217" s="484">
        <v>528629.02356999996</v>
      </c>
      <c r="H217" s="484">
        <v>527941.56337999995</v>
      </c>
      <c r="I217" s="480">
        <v>56.27</v>
      </c>
      <c r="J217" s="480"/>
    </row>
    <row r="218" spans="1:10" ht="140.25" hidden="1" outlineLevel="3">
      <c r="A218" s="476" t="s">
        <v>842</v>
      </c>
      <c r="B218" s="477" t="s">
        <v>921</v>
      </c>
      <c r="C218" s="478"/>
      <c r="D218" s="477"/>
      <c r="E218" s="479">
        <v>7322.9889499999999</v>
      </c>
      <c r="F218" s="479">
        <v>7322.9889499999999</v>
      </c>
      <c r="G218" s="479">
        <v>2670.10014</v>
      </c>
      <c r="H218" s="479">
        <v>2670.10014</v>
      </c>
      <c r="I218" s="480">
        <v>36.46</v>
      </c>
      <c r="J218" s="480"/>
    </row>
    <row r="219" spans="1:10" ht="140.25" hidden="1" outlineLevel="4">
      <c r="A219" s="481" t="s">
        <v>842</v>
      </c>
      <c r="B219" s="482" t="s">
        <v>921</v>
      </c>
      <c r="C219" s="483" t="s">
        <v>711</v>
      </c>
      <c r="D219" s="482" t="s">
        <v>712</v>
      </c>
      <c r="E219" s="484">
        <v>7322.9889499999999</v>
      </c>
      <c r="F219" s="484">
        <v>7322.9889499999999</v>
      </c>
      <c r="G219" s="484">
        <v>2670.10014</v>
      </c>
      <c r="H219" s="484">
        <v>2670.10014</v>
      </c>
      <c r="I219" s="480">
        <v>36.46</v>
      </c>
      <c r="J219" s="480"/>
    </row>
    <row r="220" spans="1:10" ht="63.75" hidden="1" outlineLevel="3">
      <c r="A220" s="476" t="s">
        <v>922</v>
      </c>
      <c r="B220" s="477" t="s">
        <v>923</v>
      </c>
      <c r="C220" s="478"/>
      <c r="D220" s="477"/>
      <c r="E220" s="479">
        <v>219839.3</v>
      </c>
      <c r="F220" s="479">
        <v>219839.3</v>
      </c>
      <c r="G220" s="479">
        <v>0</v>
      </c>
      <c r="H220" s="479">
        <v>0</v>
      </c>
      <c r="I220" s="480">
        <v>0</v>
      </c>
      <c r="J220" s="480"/>
    </row>
    <row r="221" spans="1:10" ht="63.75" hidden="1" outlineLevel="4">
      <c r="A221" s="481" t="s">
        <v>922</v>
      </c>
      <c r="B221" s="482" t="s">
        <v>923</v>
      </c>
      <c r="C221" s="483" t="s">
        <v>711</v>
      </c>
      <c r="D221" s="482" t="s">
        <v>712</v>
      </c>
      <c r="E221" s="484">
        <v>219839.3</v>
      </c>
      <c r="F221" s="484">
        <v>219839.3</v>
      </c>
      <c r="G221" s="484">
        <v>0</v>
      </c>
      <c r="H221" s="484">
        <v>0</v>
      </c>
      <c r="I221" s="480">
        <v>0</v>
      </c>
      <c r="J221" s="485" t="s">
        <v>10</v>
      </c>
    </row>
    <row r="222" spans="1:10" ht="25.5" hidden="1" outlineLevel="3">
      <c r="A222" s="476" t="s">
        <v>706</v>
      </c>
      <c r="B222" s="477" t="s">
        <v>924</v>
      </c>
      <c r="C222" s="478"/>
      <c r="D222" s="477"/>
      <c r="E222" s="479">
        <v>3946.8124699999998</v>
      </c>
      <c r="F222" s="479">
        <v>2634.2852800000001</v>
      </c>
      <c r="G222" s="479">
        <v>2634.2851999999998</v>
      </c>
      <c r="H222" s="479">
        <v>2634.2851999999998</v>
      </c>
      <c r="I222" s="480">
        <v>66.739999999999995</v>
      </c>
      <c r="J222" s="480"/>
    </row>
    <row r="223" spans="1:10" ht="25.5" hidden="1" outlineLevel="4">
      <c r="A223" s="481" t="s">
        <v>706</v>
      </c>
      <c r="B223" s="482" t="s">
        <v>924</v>
      </c>
      <c r="C223" s="483" t="s">
        <v>711</v>
      </c>
      <c r="D223" s="482" t="s">
        <v>712</v>
      </c>
      <c r="E223" s="484">
        <v>3946.8124699999998</v>
      </c>
      <c r="F223" s="484">
        <v>2634.2852800000001</v>
      </c>
      <c r="G223" s="484">
        <v>2634.2851999999998</v>
      </c>
      <c r="H223" s="484">
        <v>2634.2851999999998</v>
      </c>
      <c r="I223" s="480">
        <v>66.739999999999995</v>
      </c>
      <c r="J223" s="480"/>
    </row>
    <row r="224" spans="1:10" ht="76.5" hidden="1" outlineLevel="3">
      <c r="A224" s="476" t="s">
        <v>925</v>
      </c>
      <c r="B224" s="477" t="s">
        <v>926</v>
      </c>
      <c r="C224" s="478"/>
      <c r="D224" s="477"/>
      <c r="E224" s="479">
        <v>4897.2</v>
      </c>
      <c r="F224" s="479">
        <v>4897.2</v>
      </c>
      <c r="G224" s="479">
        <v>2356.5533700000001</v>
      </c>
      <c r="H224" s="479">
        <v>2356.5533700000001</v>
      </c>
      <c r="I224" s="480">
        <v>48.12</v>
      </c>
      <c r="J224" s="480"/>
    </row>
    <row r="225" spans="1:10" ht="76.5" hidden="1" outlineLevel="4">
      <c r="A225" s="481" t="s">
        <v>925</v>
      </c>
      <c r="B225" s="482" t="s">
        <v>926</v>
      </c>
      <c r="C225" s="483" t="s">
        <v>711</v>
      </c>
      <c r="D225" s="482" t="s">
        <v>712</v>
      </c>
      <c r="E225" s="484">
        <v>4897.2</v>
      </c>
      <c r="F225" s="484">
        <v>4897.2</v>
      </c>
      <c r="G225" s="484">
        <v>2356.5533700000001</v>
      </c>
      <c r="H225" s="484">
        <v>2356.5533700000001</v>
      </c>
      <c r="I225" s="480">
        <v>48.12</v>
      </c>
      <c r="J225" s="480"/>
    </row>
    <row r="226" spans="1:10" ht="76.5" hidden="1" outlineLevel="3">
      <c r="A226" s="476" t="s">
        <v>927</v>
      </c>
      <c r="B226" s="477" t="s">
        <v>928</v>
      </c>
      <c r="C226" s="478"/>
      <c r="D226" s="477"/>
      <c r="E226" s="479">
        <v>2877.4</v>
      </c>
      <c r="F226" s="479">
        <v>2877.4</v>
      </c>
      <c r="G226" s="479">
        <v>1146.03649</v>
      </c>
      <c r="H226" s="479">
        <v>1146.03649</v>
      </c>
      <c r="I226" s="480">
        <v>39.83</v>
      </c>
      <c r="J226" s="480"/>
    </row>
    <row r="227" spans="1:10" ht="76.5" hidden="1" outlineLevel="4">
      <c r="A227" s="481" t="s">
        <v>927</v>
      </c>
      <c r="B227" s="482" t="s">
        <v>928</v>
      </c>
      <c r="C227" s="483" t="s">
        <v>711</v>
      </c>
      <c r="D227" s="482" t="s">
        <v>712</v>
      </c>
      <c r="E227" s="484">
        <v>2877.4</v>
      </c>
      <c r="F227" s="484">
        <v>2877.4</v>
      </c>
      <c r="G227" s="484">
        <v>1146.03649</v>
      </c>
      <c r="H227" s="484">
        <v>1146.03649</v>
      </c>
      <c r="I227" s="480">
        <v>39.83</v>
      </c>
      <c r="J227" s="480"/>
    </row>
    <row r="228" spans="1:10" ht="63.75" hidden="1" outlineLevel="3">
      <c r="A228" s="476" t="s">
        <v>929</v>
      </c>
      <c r="B228" s="477" t="s">
        <v>930</v>
      </c>
      <c r="C228" s="478"/>
      <c r="D228" s="477"/>
      <c r="E228" s="479">
        <v>12371909</v>
      </c>
      <c r="F228" s="479">
        <v>12371909</v>
      </c>
      <c r="G228" s="479">
        <v>7800099.4291899996</v>
      </c>
      <c r="H228" s="479">
        <v>7800099.4291899996</v>
      </c>
      <c r="I228" s="480">
        <v>63.05</v>
      </c>
      <c r="J228" s="480"/>
    </row>
    <row r="229" spans="1:10" ht="63.75" hidden="1" outlineLevel="4">
      <c r="A229" s="481" t="s">
        <v>929</v>
      </c>
      <c r="B229" s="482" t="s">
        <v>930</v>
      </c>
      <c r="C229" s="483" t="s">
        <v>711</v>
      </c>
      <c r="D229" s="482" t="s">
        <v>712</v>
      </c>
      <c r="E229" s="484">
        <v>12371909</v>
      </c>
      <c r="F229" s="484">
        <v>12371909</v>
      </c>
      <c r="G229" s="484">
        <v>7800099.4291899996</v>
      </c>
      <c r="H229" s="484">
        <v>7800099.4291899996</v>
      </c>
      <c r="I229" s="480">
        <v>63.05</v>
      </c>
      <c r="J229" s="480"/>
    </row>
    <row r="230" spans="1:10" ht="140.25" hidden="1" outlineLevel="3">
      <c r="A230" s="476" t="s">
        <v>931</v>
      </c>
      <c r="B230" s="477" t="s">
        <v>932</v>
      </c>
      <c r="C230" s="478"/>
      <c r="D230" s="477"/>
      <c r="E230" s="479">
        <v>6245</v>
      </c>
      <c r="F230" s="479">
        <v>6245</v>
      </c>
      <c r="G230" s="479">
        <v>2311.375</v>
      </c>
      <c r="H230" s="479">
        <v>1950.7579000000001</v>
      </c>
      <c r="I230" s="480">
        <v>31.24</v>
      </c>
      <c r="J230" s="480"/>
    </row>
    <row r="231" spans="1:10" ht="140.25" hidden="1" outlineLevel="4">
      <c r="A231" s="481" t="s">
        <v>931</v>
      </c>
      <c r="B231" s="482" t="s">
        <v>932</v>
      </c>
      <c r="C231" s="483" t="s">
        <v>711</v>
      </c>
      <c r="D231" s="482" t="s">
        <v>712</v>
      </c>
      <c r="E231" s="484">
        <v>6245</v>
      </c>
      <c r="F231" s="484">
        <v>6245</v>
      </c>
      <c r="G231" s="484">
        <v>2311.375</v>
      </c>
      <c r="H231" s="484">
        <v>1950.7579000000001</v>
      </c>
      <c r="I231" s="480">
        <v>31.24</v>
      </c>
      <c r="J231" s="480"/>
    </row>
    <row r="232" spans="1:10" ht="76.5" hidden="1" outlineLevel="3">
      <c r="A232" s="476" t="s">
        <v>933</v>
      </c>
      <c r="B232" s="477" t="s">
        <v>934</v>
      </c>
      <c r="C232" s="478"/>
      <c r="D232" s="477"/>
      <c r="E232" s="479">
        <v>276872.8</v>
      </c>
      <c r="F232" s="479">
        <v>276872.8</v>
      </c>
      <c r="G232" s="479">
        <v>117233.5</v>
      </c>
      <c r="H232" s="479">
        <v>86784.855779999998</v>
      </c>
      <c r="I232" s="480">
        <v>31.34</v>
      </c>
      <c r="J232" s="480"/>
    </row>
    <row r="233" spans="1:10" ht="76.5" hidden="1" outlineLevel="4">
      <c r="A233" s="481" t="s">
        <v>933</v>
      </c>
      <c r="B233" s="482" t="s">
        <v>934</v>
      </c>
      <c r="C233" s="483" t="s">
        <v>711</v>
      </c>
      <c r="D233" s="482" t="s">
        <v>712</v>
      </c>
      <c r="E233" s="484">
        <v>276872.8</v>
      </c>
      <c r="F233" s="484">
        <v>276872.8</v>
      </c>
      <c r="G233" s="484">
        <v>117233.5</v>
      </c>
      <c r="H233" s="484">
        <v>86784.855779999998</v>
      </c>
      <c r="I233" s="480">
        <v>31.34</v>
      </c>
      <c r="J233" s="480"/>
    </row>
    <row r="234" spans="1:10" ht="63.75" hidden="1" outlineLevel="2">
      <c r="A234" s="471" t="s">
        <v>935</v>
      </c>
      <c r="B234" s="472" t="s">
        <v>936</v>
      </c>
      <c r="C234" s="473"/>
      <c r="D234" s="472"/>
      <c r="E234" s="474">
        <v>123063.51456</v>
      </c>
      <c r="F234" s="474">
        <v>41729.105880000003</v>
      </c>
      <c r="G234" s="474">
        <v>13089.1823</v>
      </c>
      <c r="H234" s="474">
        <v>13089.1823</v>
      </c>
      <c r="I234" s="475">
        <v>10.64</v>
      </c>
      <c r="J234" s="475"/>
    </row>
    <row r="235" spans="1:10" ht="76.5" hidden="1" outlineLevel="3">
      <c r="A235" s="476" t="s">
        <v>702</v>
      </c>
      <c r="B235" s="477" t="s">
        <v>937</v>
      </c>
      <c r="C235" s="478"/>
      <c r="D235" s="477"/>
      <c r="E235" s="479">
        <v>11447.5</v>
      </c>
      <c r="F235" s="479">
        <v>11447.5</v>
      </c>
      <c r="G235" s="479">
        <v>2654.105</v>
      </c>
      <c r="H235" s="479">
        <v>2654.105</v>
      </c>
      <c r="I235" s="480">
        <v>23.19</v>
      </c>
      <c r="J235" s="480"/>
    </row>
    <row r="236" spans="1:10" ht="76.5" hidden="1" outlineLevel="4">
      <c r="A236" s="481" t="s">
        <v>702</v>
      </c>
      <c r="B236" s="482" t="s">
        <v>937</v>
      </c>
      <c r="C236" s="483" t="s">
        <v>711</v>
      </c>
      <c r="D236" s="482" t="s">
        <v>712</v>
      </c>
      <c r="E236" s="484">
        <v>11447.5</v>
      </c>
      <c r="F236" s="484">
        <v>11447.5</v>
      </c>
      <c r="G236" s="484">
        <v>2654.105</v>
      </c>
      <c r="H236" s="484">
        <v>2654.105</v>
      </c>
      <c r="I236" s="480">
        <v>23.19</v>
      </c>
      <c r="J236" s="480"/>
    </row>
    <row r="237" spans="1:10" ht="25.5" hidden="1" outlineLevel="3">
      <c r="A237" s="476" t="s">
        <v>713</v>
      </c>
      <c r="B237" s="477" t="s">
        <v>938</v>
      </c>
      <c r="C237" s="478"/>
      <c r="D237" s="477"/>
      <c r="E237" s="479">
        <v>92559.254000000001</v>
      </c>
      <c r="F237" s="479">
        <v>11524.84532</v>
      </c>
      <c r="G237" s="479">
        <v>8933.2463200000002</v>
      </c>
      <c r="H237" s="479">
        <v>8933.2463200000002</v>
      </c>
      <c r="I237" s="480">
        <v>9.65</v>
      </c>
      <c r="J237" s="480"/>
    </row>
    <row r="238" spans="1:10" ht="25.5" hidden="1" outlineLevel="4">
      <c r="A238" s="481" t="s">
        <v>713</v>
      </c>
      <c r="B238" s="482" t="s">
        <v>938</v>
      </c>
      <c r="C238" s="483" t="s">
        <v>711</v>
      </c>
      <c r="D238" s="482" t="s">
        <v>712</v>
      </c>
      <c r="E238" s="484">
        <v>92559.254000000001</v>
      </c>
      <c r="F238" s="484">
        <v>11524.84532</v>
      </c>
      <c r="G238" s="484">
        <v>8933.2463200000002</v>
      </c>
      <c r="H238" s="484">
        <v>8933.2463200000002</v>
      </c>
      <c r="I238" s="480">
        <v>9.65</v>
      </c>
      <c r="J238" s="480"/>
    </row>
    <row r="239" spans="1:10" ht="38.25" hidden="1" outlineLevel="3">
      <c r="A239" s="476" t="s">
        <v>939</v>
      </c>
      <c r="B239" s="477" t="s">
        <v>940</v>
      </c>
      <c r="C239" s="478"/>
      <c r="D239" s="477"/>
      <c r="E239" s="479">
        <v>300</v>
      </c>
      <c r="F239" s="479">
        <v>0</v>
      </c>
      <c r="G239" s="479">
        <v>0</v>
      </c>
      <c r="H239" s="479">
        <v>0</v>
      </c>
      <c r="I239" s="480">
        <v>0</v>
      </c>
      <c r="J239" s="480"/>
    </row>
    <row r="240" spans="1:10" ht="38.25" hidden="1" outlineLevel="4">
      <c r="A240" s="481" t="s">
        <v>939</v>
      </c>
      <c r="B240" s="482" t="s">
        <v>940</v>
      </c>
      <c r="C240" s="483" t="s">
        <v>711</v>
      </c>
      <c r="D240" s="482" t="s">
        <v>712</v>
      </c>
      <c r="E240" s="484">
        <v>300</v>
      </c>
      <c r="F240" s="484">
        <v>0</v>
      </c>
      <c r="G240" s="484">
        <v>0</v>
      </c>
      <c r="H240" s="484">
        <v>0</v>
      </c>
      <c r="I240" s="480">
        <v>0</v>
      </c>
      <c r="J240" s="480"/>
    </row>
    <row r="241" spans="1:10" ht="76.5" hidden="1" outlineLevel="3">
      <c r="A241" s="476" t="s">
        <v>941</v>
      </c>
      <c r="B241" s="477" t="s">
        <v>942</v>
      </c>
      <c r="C241" s="478"/>
      <c r="D241" s="477"/>
      <c r="E241" s="479">
        <v>15000</v>
      </c>
      <c r="F241" s="479">
        <v>15000</v>
      </c>
      <c r="G241" s="479">
        <v>0</v>
      </c>
      <c r="H241" s="479">
        <v>0</v>
      </c>
      <c r="I241" s="480">
        <v>0</v>
      </c>
      <c r="J241" s="480"/>
    </row>
    <row r="242" spans="1:10" ht="76.5" hidden="1" outlineLevel="4">
      <c r="A242" s="481" t="s">
        <v>941</v>
      </c>
      <c r="B242" s="482" t="s">
        <v>942</v>
      </c>
      <c r="C242" s="483" t="s">
        <v>711</v>
      </c>
      <c r="D242" s="482" t="s">
        <v>712</v>
      </c>
      <c r="E242" s="484">
        <v>15000</v>
      </c>
      <c r="F242" s="484">
        <v>15000</v>
      </c>
      <c r="G242" s="484">
        <v>0</v>
      </c>
      <c r="H242" s="484">
        <v>0</v>
      </c>
      <c r="I242" s="480">
        <v>0</v>
      </c>
      <c r="J242" s="480"/>
    </row>
    <row r="243" spans="1:10" ht="89.25" hidden="1" outlineLevel="3">
      <c r="A243" s="476" t="s">
        <v>943</v>
      </c>
      <c r="B243" s="477" t="s">
        <v>944</v>
      </c>
      <c r="C243" s="478"/>
      <c r="D243" s="477"/>
      <c r="E243" s="479">
        <v>3756.7605600000002</v>
      </c>
      <c r="F243" s="479">
        <v>3756.7605600000002</v>
      </c>
      <c r="G243" s="479">
        <v>1501.83098</v>
      </c>
      <c r="H243" s="479">
        <v>1501.83098</v>
      </c>
      <c r="I243" s="480">
        <v>39.979999999999997</v>
      </c>
      <c r="J243" s="480"/>
    </row>
    <row r="244" spans="1:10" ht="89.25" hidden="1" outlineLevel="4">
      <c r="A244" s="481" t="s">
        <v>943</v>
      </c>
      <c r="B244" s="482" t="s">
        <v>944</v>
      </c>
      <c r="C244" s="483" t="s">
        <v>711</v>
      </c>
      <c r="D244" s="482" t="s">
        <v>712</v>
      </c>
      <c r="E244" s="484">
        <v>3756.7605600000002</v>
      </c>
      <c r="F244" s="484">
        <v>3756.7605600000002</v>
      </c>
      <c r="G244" s="484">
        <v>1501.83098</v>
      </c>
      <c r="H244" s="484">
        <v>1501.83098</v>
      </c>
      <c r="I244" s="480">
        <v>39.979999999999997</v>
      </c>
      <c r="J244" s="480"/>
    </row>
    <row r="245" spans="1:10" ht="38.25" hidden="1" outlineLevel="2">
      <c r="A245" s="471" t="s">
        <v>945</v>
      </c>
      <c r="B245" s="472" t="s">
        <v>946</v>
      </c>
      <c r="C245" s="473"/>
      <c r="D245" s="472"/>
      <c r="E245" s="474">
        <v>285852.11895999999</v>
      </c>
      <c r="F245" s="474">
        <v>285852.11895999999</v>
      </c>
      <c r="G245" s="474">
        <v>66327.224499999997</v>
      </c>
      <c r="H245" s="474">
        <v>59476.964090000001</v>
      </c>
      <c r="I245" s="475">
        <v>20.81</v>
      </c>
      <c r="J245" s="475"/>
    </row>
    <row r="246" spans="1:10" ht="25.5" hidden="1" outlineLevel="3">
      <c r="A246" s="476" t="s">
        <v>947</v>
      </c>
      <c r="B246" s="477" t="s">
        <v>948</v>
      </c>
      <c r="C246" s="478"/>
      <c r="D246" s="477"/>
      <c r="E246" s="479">
        <v>244576.74395999999</v>
      </c>
      <c r="F246" s="479">
        <v>244576.74395999999</v>
      </c>
      <c r="G246" s="479">
        <v>52666.623599999999</v>
      </c>
      <c r="H246" s="479">
        <v>52666.623599999999</v>
      </c>
      <c r="I246" s="480">
        <v>21.53</v>
      </c>
      <c r="J246" s="480"/>
    </row>
    <row r="247" spans="1:10" ht="25.5" hidden="1" outlineLevel="4">
      <c r="A247" s="481" t="s">
        <v>947</v>
      </c>
      <c r="B247" s="482" t="s">
        <v>948</v>
      </c>
      <c r="C247" s="483" t="s">
        <v>711</v>
      </c>
      <c r="D247" s="482" t="s">
        <v>712</v>
      </c>
      <c r="E247" s="484">
        <v>244576.74395999999</v>
      </c>
      <c r="F247" s="484">
        <v>244576.74395999999</v>
      </c>
      <c r="G247" s="484">
        <v>52666.623599999999</v>
      </c>
      <c r="H247" s="484">
        <v>52666.623599999999</v>
      </c>
      <c r="I247" s="480">
        <v>21.53</v>
      </c>
      <c r="J247" s="480"/>
    </row>
    <row r="248" spans="1:10" ht="38.25" hidden="1" outlineLevel="3">
      <c r="A248" s="476" t="s">
        <v>949</v>
      </c>
      <c r="B248" s="477" t="s">
        <v>950</v>
      </c>
      <c r="C248" s="478"/>
      <c r="D248" s="477"/>
      <c r="E248" s="479">
        <v>41275.375</v>
      </c>
      <c r="F248" s="479">
        <v>41275.375</v>
      </c>
      <c r="G248" s="479">
        <v>13660.600899999999</v>
      </c>
      <c r="H248" s="479">
        <v>6810.3404899999996</v>
      </c>
      <c r="I248" s="480">
        <v>16.5</v>
      </c>
      <c r="J248" s="480"/>
    </row>
    <row r="249" spans="1:10" ht="38.25" hidden="1" outlineLevel="4">
      <c r="A249" s="481" t="s">
        <v>949</v>
      </c>
      <c r="B249" s="482" t="s">
        <v>950</v>
      </c>
      <c r="C249" s="483" t="s">
        <v>711</v>
      </c>
      <c r="D249" s="482" t="s">
        <v>712</v>
      </c>
      <c r="E249" s="484">
        <v>41275.375</v>
      </c>
      <c r="F249" s="484">
        <v>41275.375</v>
      </c>
      <c r="G249" s="484">
        <v>13660.600899999999</v>
      </c>
      <c r="H249" s="484">
        <v>6810.3404899999996</v>
      </c>
      <c r="I249" s="480">
        <v>16.5</v>
      </c>
      <c r="J249" s="480"/>
    </row>
    <row r="250" spans="1:10" ht="25.5" hidden="1" outlineLevel="2">
      <c r="A250" s="471" t="s">
        <v>951</v>
      </c>
      <c r="B250" s="472" t="s">
        <v>952</v>
      </c>
      <c r="C250" s="473"/>
      <c r="D250" s="472"/>
      <c r="E250" s="474">
        <v>40209.786849999997</v>
      </c>
      <c r="F250" s="474">
        <v>40209.786849999997</v>
      </c>
      <c r="G250" s="474">
        <v>39425.192029999998</v>
      </c>
      <c r="H250" s="474">
        <v>35881.229050000002</v>
      </c>
      <c r="I250" s="475">
        <v>89.24</v>
      </c>
      <c r="J250" s="475"/>
    </row>
    <row r="251" spans="1:10" ht="51" hidden="1" outlineLevel="3">
      <c r="A251" s="476" t="s">
        <v>953</v>
      </c>
      <c r="B251" s="477" t="s">
        <v>954</v>
      </c>
      <c r="C251" s="478"/>
      <c r="D251" s="477"/>
      <c r="E251" s="479">
        <v>32394.680850000001</v>
      </c>
      <c r="F251" s="479">
        <v>32394.680850000001</v>
      </c>
      <c r="G251" s="479">
        <v>31610.086029999999</v>
      </c>
      <c r="H251" s="479">
        <v>28066.123049999998</v>
      </c>
      <c r="I251" s="480">
        <v>86.64</v>
      </c>
      <c r="J251" s="480"/>
    </row>
    <row r="252" spans="1:10" ht="51" hidden="1" outlineLevel="4">
      <c r="A252" s="481" t="s">
        <v>953</v>
      </c>
      <c r="B252" s="482" t="s">
        <v>954</v>
      </c>
      <c r="C252" s="483" t="s">
        <v>711</v>
      </c>
      <c r="D252" s="482" t="s">
        <v>712</v>
      </c>
      <c r="E252" s="484">
        <v>32394.680850000001</v>
      </c>
      <c r="F252" s="484">
        <v>32394.680850000001</v>
      </c>
      <c r="G252" s="484">
        <v>31610.086029999999</v>
      </c>
      <c r="H252" s="484">
        <v>28066.123049999998</v>
      </c>
      <c r="I252" s="480">
        <v>86.64</v>
      </c>
      <c r="J252" s="485" t="s">
        <v>10</v>
      </c>
    </row>
    <row r="253" spans="1:10" ht="25.5" hidden="1" outlineLevel="3">
      <c r="A253" s="476" t="s">
        <v>955</v>
      </c>
      <c r="B253" s="477" t="s">
        <v>956</v>
      </c>
      <c r="C253" s="478"/>
      <c r="D253" s="477"/>
      <c r="E253" s="479">
        <v>7815.1059999999998</v>
      </c>
      <c r="F253" s="479">
        <v>7815.1059999999998</v>
      </c>
      <c r="G253" s="479">
        <v>7815.1059999999998</v>
      </c>
      <c r="H253" s="479">
        <v>7815.1059999999998</v>
      </c>
      <c r="I253" s="480">
        <v>100</v>
      </c>
      <c r="J253" s="480"/>
    </row>
    <row r="254" spans="1:10" ht="25.5" hidden="1" outlineLevel="4">
      <c r="A254" s="481" t="s">
        <v>955</v>
      </c>
      <c r="B254" s="482" t="s">
        <v>956</v>
      </c>
      <c r="C254" s="483" t="s">
        <v>711</v>
      </c>
      <c r="D254" s="482" t="s">
        <v>712</v>
      </c>
      <c r="E254" s="484">
        <v>7815.1059999999998</v>
      </c>
      <c r="F254" s="484">
        <v>7815.1059999999998</v>
      </c>
      <c r="G254" s="484">
        <v>7815.1059999999998</v>
      </c>
      <c r="H254" s="484">
        <v>7815.1059999999998</v>
      </c>
      <c r="I254" s="480">
        <v>100</v>
      </c>
      <c r="J254" s="485" t="s">
        <v>10</v>
      </c>
    </row>
    <row r="255" spans="1:10" ht="25.5" hidden="1" outlineLevel="2">
      <c r="A255" s="471" t="s">
        <v>957</v>
      </c>
      <c r="B255" s="472" t="s">
        <v>958</v>
      </c>
      <c r="C255" s="473"/>
      <c r="D255" s="472"/>
      <c r="E255" s="474">
        <v>114362.37020999999</v>
      </c>
      <c r="F255" s="474">
        <v>114362.37020999999</v>
      </c>
      <c r="G255" s="474">
        <v>39986.835959999997</v>
      </c>
      <c r="H255" s="474">
        <v>39612.650249999999</v>
      </c>
      <c r="I255" s="475">
        <v>34.64</v>
      </c>
      <c r="J255" s="475"/>
    </row>
    <row r="256" spans="1:10" ht="25.5" hidden="1" outlineLevel="3">
      <c r="A256" s="476" t="s">
        <v>959</v>
      </c>
      <c r="B256" s="477" t="s">
        <v>960</v>
      </c>
      <c r="C256" s="478"/>
      <c r="D256" s="477"/>
      <c r="E256" s="479">
        <v>2500</v>
      </c>
      <c r="F256" s="479">
        <v>2500</v>
      </c>
      <c r="G256" s="479">
        <v>833.3</v>
      </c>
      <c r="H256" s="479">
        <v>833.3</v>
      </c>
      <c r="I256" s="480">
        <v>33.33</v>
      </c>
      <c r="J256" s="480"/>
    </row>
    <row r="257" spans="1:10" ht="25.5" hidden="1" outlineLevel="4">
      <c r="A257" s="481" t="s">
        <v>959</v>
      </c>
      <c r="B257" s="482" t="s">
        <v>960</v>
      </c>
      <c r="C257" s="483" t="s">
        <v>711</v>
      </c>
      <c r="D257" s="482" t="s">
        <v>712</v>
      </c>
      <c r="E257" s="484">
        <v>2500</v>
      </c>
      <c r="F257" s="484">
        <v>2500</v>
      </c>
      <c r="G257" s="484">
        <v>833.3</v>
      </c>
      <c r="H257" s="484">
        <v>833.3</v>
      </c>
      <c r="I257" s="480">
        <v>33.33</v>
      </c>
      <c r="J257" s="480"/>
    </row>
    <row r="258" spans="1:10" ht="25.5" hidden="1" outlineLevel="3">
      <c r="A258" s="476" t="s">
        <v>961</v>
      </c>
      <c r="B258" s="477" t="s">
        <v>962</v>
      </c>
      <c r="C258" s="478"/>
      <c r="D258" s="477"/>
      <c r="E258" s="479">
        <v>58660</v>
      </c>
      <c r="F258" s="479">
        <v>58660</v>
      </c>
      <c r="G258" s="479">
        <v>3525.53872</v>
      </c>
      <c r="H258" s="479">
        <v>3525.53872</v>
      </c>
      <c r="I258" s="480">
        <v>6.01</v>
      </c>
      <c r="J258" s="480"/>
    </row>
    <row r="259" spans="1:10" ht="25.5" hidden="1" outlineLevel="4">
      <c r="A259" s="481" t="s">
        <v>961</v>
      </c>
      <c r="B259" s="482" t="s">
        <v>962</v>
      </c>
      <c r="C259" s="483" t="s">
        <v>711</v>
      </c>
      <c r="D259" s="482" t="s">
        <v>712</v>
      </c>
      <c r="E259" s="484">
        <v>58660</v>
      </c>
      <c r="F259" s="484">
        <v>58660</v>
      </c>
      <c r="G259" s="484">
        <v>3525.53872</v>
      </c>
      <c r="H259" s="484">
        <v>3525.53872</v>
      </c>
      <c r="I259" s="480">
        <v>6.01</v>
      </c>
      <c r="J259" s="480"/>
    </row>
    <row r="260" spans="1:10" ht="25.5" hidden="1" outlineLevel="3">
      <c r="A260" s="476" t="s">
        <v>963</v>
      </c>
      <c r="B260" s="477" t="s">
        <v>964</v>
      </c>
      <c r="C260" s="478"/>
      <c r="D260" s="477"/>
      <c r="E260" s="479">
        <v>16933.936170000001</v>
      </c>
      <c r="F260" s="479">
        <v>16933.936170000001</v>
      </c>
      <c r="G260" s="479">
        <v>1235</v>
      </c>
      <c r="H260" s="479">
        <v>1235</v>
      </c>
      <c r="I260" s="480">
        <v>7.29</v>
      </c>
      <c r="J260" s="480"/>
    </row>
    <row r="261" spans="1:10" ht="25.5" hidden="1" outlineLevel="4">
      <c r="A261" s="481" t="s">
        <v>963</v>
      </c>
      <c r="B261" s="482" t="s">
        <v>964</v>
      </c>
      <c r="C261" s="483" t="s">
        <v>711</v>
      </c>
      <c r="D261" s="482" t="s">
        <v>712</v>
      </c>
      <c r="E261" s="484">
        <v>16933.936170000001</v>
      </c>
      <c r="F261" s="484">
        <v>16933.936170000001</v>
      </c>
      <c r="G261" s="484">
        <v>1235</v>
      </c>
      <c r="H261" s="484">
        <v>1235</v>
      </c>
      <c r="I261" s="480">
        <v>7.29</v>
      </c>
      <c r="J261" s="485" t="s">
        <v>10</v>
      </c>
    </row>
    <row r="262" spans="1:10" ht="63.75" hidden="1" outlineLevel="3">
      <c r="A262" s="476" t="s">
        <v>965</v>
      </c>
      <c r="B262" s="477" t="s">
        <v>966</v>
      </c>
      <c r="C262" s="478"/>
      <c r="D262" s="477"/>
      <c r="E262" s="479">
        <v>21762.234039999999</v>
      </c>
      <c r="F262" s="479">
        <v>21762.234039999999</v>
      </c>
      <c r="G262" s="479">
        <v>20340.521570000001</v>
      </c>
      <c r="H262" s="479">
        <v>19966.335859999999</v>
      </c>
      <c r="I262" s="480">
        <v>91.75</v>
      </c>
      <c r="J262" s="480"/>
    </row>
    <row r="263" spans="1:10" ht="63.75" hidden="1" outlineLevel="4">
      <c r="A263" s="481" t="s">
        <v>965</v>
      </c>
      <c r="B263" s="482" t="s">
        <v>966</v>
      </c>
      <c r="C263" s="483" t="s">
        <v>711</v>
      </c>
      <c r="D263" s="482" t="s">
        <v>712</v>
      </c>
      <c r="E263" s="484">
        <v>21762.234039999999</v>
      </c>
      <c r="F263" s="484">
        <v>21762.234039999999</v>
      </c>
      <c r="G263" s="484">
        <v>20340.521570000001</v>
      </c>
      <c r="H263" s="484">
        <v>19966.335859999999</v>
      </c>
      <c r="I263" s="480">
        <v>91.75</v>
      </c>
      <c r="J263" s="485" t="s">
        <v>10</v>
      </c>
    </row>
    <row r="264" spans="1:10" ht="63.75" hidden="1" outlineLevel="3">
      <c r="A264" s="476" t="s">
        <v>967</v>
      </c>
      <c r="B264" s="477" t="s">
        <v>968</v>
      </c>
      <c r="C264" s="478"/>
      <c r="D264" s="477"/>
      <c r="E264" s="479">
        <v>14506.2</v>
      </c>
      <c r="F264" s="479">
        <v>14506.2</v>
      </c>
      <c r="G264" s="479">
        <v>14052.47567</v>
      </c>
      <c r="H264" s="479">
        <v>14052.47567</v>
      </c>
      <c r="I264" s="480">
        <v>96.87</v>
      </c>
      <c r="J264" s="480"/>
    </row>
    <row r="265" spans="1:10" ht="63.75" hidden="1" outlineLevel="4">
      <c r="A265" s="481" t="s">
        <v>967</v>
      </c>
      <c r="B265" s="482" t="s">
        <v>968</v>
      </c>
      <c r="C265" s="483" t="s">
        <v>711</v>
      </c>
      <c r="D265" s="482" t="s">
        <v>712</v>
      </c>
      <c r="E265" s="484">
        <v>14506.2</v>
      </c>
      <c r="F265" s="484">
        <v>14506.2</v>
      </c>
      <c r="G265" s="484">
        <v>14052.47567</v>
      </c>
      <c r="H265" s="484">
        <v>14052.47567</v>
      </c>
      <c r="I265" s="480">
        <v>96.87</v>
      </c>
      <c r="J265" s="485" t="s">
        <v>10</v>
      </c>
    </row>
    <row r="266" spans="1:10" ht="25.5" hidden="1" outlineLevel="2">
      <c r="A266" s="471" t="s">
        <v>969</v>
      </c>
      <c r="B266" s="472" t="s">
        <v>970</v>
      </c>
      <c r="C266" s="473"/>
      <c r="D266" s="472"/>
      <c r="E266" s="474">
        <v>16354.21</v>
      </c>
      <c r="F266" s="474">
        <v>16354.21</v>
      </c>
      <c r="G266" s="474">
        <v>5350</v>
      </c>
      <c r="H266" s="474">
        <v>5350</v>
      </c>
      <c r="I266" s="475">
        <v>32.71</v>
      </c>
      <c r="J266" s="475"/>
    </row>
    <row r="267" spans="1:10" ht="63.75" hidden="1" outlineLevel="3">
      <c r="A267" s="476" t="s">
        <v>971</v>
      </c>
      <c r="B267" s="477" t="s">
        <v>972</v>
      </c>
      <c r="C267" s="478"/>
      <c r="D267" s="477"/>
      <c r="E267" s="479">
        <v>16354.21</v>
      </c>
      <c r="F267" s="479">
        <v>16354.21</v>
      </c>
      <c r="G267" s="479">
        <v>5350</v>
      </c>
      <c r="H267" s="479">
        <v>5350</v>
      </c>
      <c r="I267" s="480">
        <v>32.71</v>
      </c>
      <c r="J267" s="480"/>
    </row>
    <row r="268" spans="1:10" ht="63.75" hidden="1" outlineLevel="4">
      <c r="A268" s="481" t="s">
        <v>971</v>
      </c>
      <c r="B268" s="482" t="s">
        <v>972</v>
      </c>
      <c r="C268" s="483" t="s">
        <v>711</v>
      </c>
      <c r="D268" s="482" t="s">
        <v>712</v>
      </c>
      <c r="E268" s="484">
        <v>16354.21</v>
      </c>
      <c r="F268" s="484">
        <v>16354.21</v>
      </c>
      <c r="G268" s="484">
        <v>5350</v>
      </c>
      <c r="H268" s="484">
        <v>5350</v>
      </c>
      <c r="I268" s="480">
        <v>32.71</v>
      </c>
      <c r="J268" s="480"/>
    </row>
    <row r="269" spans="1:10" ht="38.25" hidden="1" outlineLevel="1">
      <c r="A269" s="466" t="s">
        <v>973</v>
      </c>
      <c r="B269" s="467" t="s">
        <v>974</v>
      </c>
      <c r="C269" s="468"/>
      <c r="D269" s="467"/>
      <c r="E269" s="469">
        <v>2831061.22854</v>
      </c>
      <c r="F269" s="469">
        <v>2758475.80614</v>
      </c>
      <c r="G269" s="469">
        <v>526737.20117000001</v>
      </c>
      <c r="H269" s="469">
        <v>500388.2452</v>
      </c>
      <c r="I269" s="470">
        <v>17.670000000000002</v>
      </c>
      <c r="J269" s="470"/>
    </row>
    <row r="270" spans="1:10" ht="51" hidden="1" outlineLevel="2">
      <c r="A270" s="471" t="s">
        <v>975</v>
      </c>
      <c r="B270" s="472" t="s">
        <v>976</v>
      </c>
      <c r="C270" s="473"/>
      <c r="D270" s="472"/>
      <c r="E270" s="474">
        <v>448232.45973</v>
      </c>
      <c r="F270" s="474">
        <v>375647.03733000002</v>
      </c>
      <c r="G270" s="474">
        <v>46458.951079999999</v>
      </c>
      <c r="H270" s="474">
        <v>39502.089359999998</v>
      </c>
      <c r="I270" s="475">
        <v>8.81</v>
      </c>
      <c r="J270" s="475"/>
    </row>
    <row r="271" spans="1:10" ht="76.5" hidden="1" outlineLevel="3">
      <c r="A271" s="476" t="s">
        <v>702</v>
      </c>
      <c r="B271" s="477" t="s">
        <v>977</v>
      </c>
      <c r="C271" s="478"/>
      <c r="D271" s="477"/>
      <c r="E271" s="479">
        <v>803.3</v>
      </c>
      <c r="F271" s="479">
        <v>803.3</v>
      </c>
      <c r="G271" s="479">
        <v>453.3</v>
      </c>
      <c r="H271" s="479">
        <v>453.3</v>
      </c>
      <c r="I271" s="480">
        <v>56.43</v>
      </c>
      <c r="J271" s="480"/>
    </row>
    <row r="272" spans="1:10" ht="76.5" hidden="1" outlineLevel="4">
      <c r="A272" s="481" t="s">
        <v>702</v>
      </c>
      <c r="B272" s="482" t="s">
        <v>977</v>
      </c>
      <c r="C272" s="483" t="s">
        <v>896</v>
      </c>
      <c r="D272" s="482" t="s">
        <v>897</v>
      </c>
      <c r="E272" s="484">
        <v>803.3</v>
      </c>
      <c r="F272" s="484">
        <v>803.3</v>
      </c>
      <c r="G272" s="484">
        <v>453.3</v>
      </c>
      <c r="H272" s="484">
        <v>453.3</v>
      </c>
      <c r="I272" s="480">
        <v>56.43</v>
      </c>
      <c r="J272" s="480"/>
    </row>
    <row r="273" spans="1:10" ht="25.5" hidden="1" outlineLevel="3">
      <c r="A273" s="476" t="s">
        <v>713</v>
      </c>
      <c r="B273" s="477" t="s">
        <v>978</v>
      </c>
      <c r="C273" s="478"/>
      <c r="D273" s="477"/>
      <c r="E273" s="479">
        <v>177175.62925</v>
      </c>
      <c r="F273" s="479">
        <v>132376.87974999999</v>
      </c>
      <c r="G273" s="479">
        <v>34618.924700000003</v>
      </c>
      <c r="H273" s="479">
        <v>34192.009680000003</v>
      </c>
      <c r="I273" s="480">
        <v>19.3</v>
      </c>
      <c r="J273" s="480"/>
    </row>
    <row r="274" spans="1:10" ht="25.5" hidden="1" outlineLevel="4">
      <c r="A274" s="481" t="s">
        <v>713</v>
      </c>
      <c r="B274" s="482" t="s">
        <v>978</v>
      </c>
      <c r="C274" s="483" t="s">
        <v>803</v>
      </c>
      <c r="D274" s="482" t="s">
        <v>804</v>
      </c>
      <c r="E274" s="484">
        <v>177175.62925</v>
      </c>
      <c r="F274" s="484">
        <v>132376.87974999999</v>
      </c>
      <c r="G274" s="484">
        <v>34618.924700000003</v>
      </c>
      <c r="H274" s="484">
        <v>34192.009680000003</v>
      </c>
      <c r="I274" s="480">
        <v>19.3</v>
      </c>
      <c r="J274" s="480"/>
    </row>
    <row r="275" spans="1:10" ht="51" hidden="1" outlineLevel="3">
      <c r="A275" s="476" t="s">
        <v>801</v>
      </c>
      <c r="B275" s="477" t="s">
        <v>979</v>
      </c>
      <c r="C275" s="478"/>
      <c r="D275" s="477"/>
      <c r="E275" s="479">
        <v>121422.49400000001</v>
      </c>
      <c r="F275" s="479">
        <v>93635.821100000001</v>
      </c>
      <c r="G275" s="479">
        <v>3500</v>
      </c>
      <c r="H275" s="479">
        <v>0</v>
      </c>
      <c r="I275" s="480">
        <v>0</v>
      </c>
      <c r="J275" s="480"/>
    </row>
    <row r="276" spans="1:10" ht="51" hidden="1" outlineLevel="4">
      <c r="A276" s="481" t="s">
        <v>801</v>
      </c>
      <c r="B276" s="482" t="s">
        <v>979</v>
      </c>
      <c r="C276" s="483" t="s">
        <v>803</v>
      </c>
      <c r="D276" s="482" t="s">
        <v>804</v>
      </c>
      <c r="E276" s="484">
        <v>121422.49400000001</v>
      </c>
      <c r="F276" s="484">
        <v>93635.821100000001</v>
      </c>
      <c r="G276" s="484">
        <v>3500</v>
      </c>
      <c r="H276" s="484">
        <v>0</v>
      </c>
      <c r="I276" s="480">
        <v>0</v>
      </c>
      <c r="J276" s="480"/>
    </row>
    <row r="277" spans="1:10" ht="38.25" hidden="1" outlineLevel="3">
      <c r="A277" s="476" t="s">
        <v>980</v>
      </c>
      <c r="B277" s="477" t="s">
        <v>981</v>
      </c>
      <c r="C277" s="478"/>
      <c r="D277" s="477"/>
      <c r="E277" s="479">
        <v>114436.02</v>
      </c>
      <c r="F277" s="479">
        <v>114436.02</v>
      </c>
      <c r="G277" s="479">
        <v>4856.7796799999996</v>
      </c>
      <c r="H277" s="479">
        <v>4856.7796799999996</v>
      </c>
      <c r="I277" s="480">
        <v>4.24</v>
      </c>
      <c r="J277" s="480"/>
    </row>
    <row r="278" spans="1:10" ht="38.25" hidden="1" outlineLevel="4">
      <c r="A278" s="481" t="s">
        <v>980</v>
      </c>
      <c r="B278" s="482" t="s">
        <v>981</v>
      </c>
      <c r="C278" s="483" t="s">
        <v>803</v>
      </c>
      <c r="D278" s="482" t="s">
        <v>804</v>
      </c>
      <c r="E278" s="484">
        <v>114436.02</v>
      </c>
      <c r="F278" s="484">
        <v>114436.02</v>
      </c>
      <c r="G278" s="484">
        <v>4856.7796799999996</v>
      </c>
      <c r="H278" s="484">
        <v>4856.7796799999996</v>
      </c>
      <c r="I278" s="480">
        <v>4.24</v>
      </c>
      <c r="J278" s="480"/>
    </row>
    <row r="279" spans="1:10" ht="38.25" hidden="1" outlineLevel="3">
      <c r="A279" s="476" t="s">
        <v>982</v>
      </c>
      <c r="B279" s="477" t="s">
        <v>983</v>
      </c>
      <c r="C279" s="478"/>
      <c r="D279" s="477"/>
      <c r="E279" s="479">
        <v>12877.27</v>
      </c>
      <c r="F279" s="479">
        <v>12877.27</v>
      </c>
      <c r="G279" s="479">
        <v>0</v>
      </c>
      <c r="H279" s="479">
        <v>0</v>
      </c>
      <c r="I279" s="480">
        <v>0</v>
      </c>
      <c r="J279" s="480"/>
    </row>
    <row r="280" spans="1:10" ht="38.25" hidden="1" outlineLevel="4">
      <c r="A280" s="481" t="s">
        <v>982</v>
      </c>
      <c r="B280" s="482" t="s">
        <v>983</v>
      </c>
      <c r="C280" s="483" t="s">
        <v>803</v>
      </c>
      <c r="D280" s="482" t="s">
        <v>804</v>
      </c>
      <c r="E280" s="484">
        <v>12877.27</v>
      </c>
      <c r="F280" s="484">
        <v>12877.27</v>
      </c>
      <c r="G280" s="484">
        <v>0</v>
      </c>
      <c r="H280" s="484">
        <v>0</v>
      </c>
      <c r="I280" s="480">
        <v>0</v>
      </c>
      <c r="J280" s="480"/>
    </row>
    <row r="281" spans="1:10" ht="63.75" hidden="1" outlineLevel="3">
      <c r="A281" s="476" t="s">
        <v>984</v>
      </c>
      <c r="B281" s="477" t="s">
        <v>985</v>
      </c>
      <c r="C281" s="478"/>
      <c r="D281" s="477"/>
      <c r="E281" s="479">
        <v>21517.746480000002</v>
      </c>
      <c r="F281" s="479">
        <v>21517.746480000002</v>
      </c>
      <c r="G281" s="479">
        <v>3029.9467</v>
      </c>
      <c r="H281" s="479">
        <v>0</v>
      </c>
      <c r="I281" s="480">
        <v>0</v>
      </c>
      <c r="J281" s="480"/>
    </row>
    <row r="282" spans="1:10" ht="63.75" hidden="1" outlineLevel="4">
      <c r="A282" s="481" t="s">
        <v>984</v>
      </c>
      <c r="B282" s="482" t="s">
        <v>985</v>
      </c>
      <c r="C282" s="483" t="s">
        <v>803</v>
      </c>
      <c r="D282" s="482" t="s">
        <v>804</v>
      </c>
      <c r="E282" s="484">
        <v>21517.746480000002</v>
      </c>
      <c r="F282" s="484">
        <v>21517.746480000002</v>
      </c>
      <c r="G282" s="484">
        <v>3029.9467</v>
      </c>
      <c r="H282" s="484">
        <v>0</v>
      </c>
      <c r="I282" s="480">
        <v>0</v>
      </c>
      <c r="J282" s="480"/>
    </row>
    <row r="283" spans="1:10" ht="38.25" hidden="1" outlineLevel="2">
      <c r="A283" s="471" t="s">
        <v>986</v>
      </c>
      <c r="B283" s="472" t="s">
        <v>987</v>
      </c>
      <c r="C283" s="473"/>
      <c r="D283" s="472"/>
      <c r="E283" s="474">
        <v>894058.04246999999</v>
      </c>
      <c r="F283" s="474">
        <v>894058.04246999999</v>
      </c>
      <c r="G283" s="474">
        <v>386988.32026000001</v>
      </c>
      <c r="H283" s="474">
        <v>369067.79135999997</v>
      </c>
      <c r="I283" s="475">
        <v>41.28</v>
      </c>
      <c r="J283" s="475"/>
    </row>
    <row r="284" spans="1:10" ht="76.5" hidden="1" outlineLevel="3">
      <c r="A284" s="476" t="s">
        <v>702</v>
      </c>
      <c r="B284" s="477" t="s">
        <v>988</v>
      </c>
      <c r="C284" s="478"/>
      <c r="D284" s="477"/>
      <c r="E284" s="479">
        <v>178293.94899999999</v>
      </c>
      <c r="F284" s="479">
        <v>178293.94899999999</v>
      </c>
      <c r="G284" s="479">
        <v>44245.987910000003</v>
      </c>
      <c r="H284" s="479">
        <v>44080.555910000003</v>
      </c>
      <c r="I284" s="480">
        <v>24.72</v>
      </c>
      <c r="J284" s="480"/>
    </row>
    <row r="285" spans="1:10" ht="76.5" hidden="1" outlineLevel="4">
      <c r="A285" s="481" t="s">
        <v>702</v>
      </c>
      <c r="B285" s="482" t="s">
        <v>988</v>
      </c>
      <c r="C285" s="483" t="s">
        <v>896</v>
      </c>
      <c r="D285" s="482" t="s">
        <v>897</v>
      </c>
      <c r="E285" s="484">
        <v>1192.5999999999999</v>
      </c>
      <c r="F285" s="484">
        <v>1192.5999999999999</v>
      </c>
      <c r="G285" s="484">
        <v>893.26499999999999</v>
      </c>
      <c r="H285" s="484">
        <v>893.26499999999999</v>
      </c>
      <c r="I285" s="480">
        <v>74.900000000000006</v>
      </c>
      <c r="J285" s="480"/>
    </row>
    <row r="286" spans="1:10" ht="76.5" hidden="1" outlineLevel="4">
      <c r="A286" s="481" t="s">
        <v>702</v>
      </c>
      <c r="B286" s="482" t="s">
        <v>988</v>
      </c>
      <c r="C286" s="483" t="s">
        <v>711</v>
      </c>
      <c r="D286" s="482" t="s">
        <v>712</v>
      </c>
      <c r="E286" s="484">
        <v>177101.34899999999</v>
      </c>
      <c r="F286" s="484">
        <v>177101.34899999999</v>
      </c>
      <c r="G286" s="484">
        <v>43352.722909999997</v>
      </c>
      <c r="H286" s="484">
        <v>43187.290910000003</v>
      </c>
      <c r="I286" s="480">
        <v>24.39</v>
      </c>
      <c r="J286" s="480"/>
    </row>
    <row r="287" spans="1:10" ht="25.5" hidden="1" outlineLevel="3">
      <c r="A287" s="476" t="s">
        <v>713</v>
      </c>
      <c r="B287" s="477" t="s">
        <v>989</v>
      </c>
      <c r="C287" s="478"/>
      <c r="D287" s="477"/>
      <c r="E287" s="479">
        <v>163923.70000000001</v>
      </c>
      <c r="F287" s="479">
        <v>163923.70000000001</v>
      </c>
      <c r="G287" s="479">
        <v>0</v>
      </c>
      <c r="H287" s="479">
        <v>0</v>
      </c>
      <c r="I287" s="480">
        <v>0</v>
      </c>
      <c r="J287" s="480"/>
    </row>
    <row r="288" spans="1:10" ht="25.5" hidden="1" outlineLevel="4">
      <c r="A288" s="481" t="s">
        <v>713</v>
      </c>
      <c r="B288" s="482" t="s">
        <v>989</v>
      </c>
      <c r="C288" s="483" t="s">
        <v>711</v>
      </c>
      <c r="D288" s="482" t="s">
        <v>712</v>
      </c>
      <c r="E288" s="484">
        <v>163923.70000000001</v>
      </c>
      <c r="F288" s="484">
        <v>163923.70000000001</v>
      </c>
      <c r="G288" s="484">
        <v>0</v>
      </c>
      <c r="H288" s="484">
        <v>0</v>
      </c>
      <c r="I288" s="480">
        <v>0</v>
      </c>
      <c r="J288" s="480"/>
    </row>
    <row r="289" spans="1:10" ht="89.25" hidden="1" outlineLevel="3">
      <c r="A289" s="476" t="s">
        <v>990</v>
      </c>
      <c r="B289" s="477" t="s">
        <v>991</v>
      </c>
      <c r="C289" s="478"/>
      <c r="D289" s="477"/>
      <c r="E289" s="479">
        <v>8553.2000000000007</v>
      </c>
      <c r="F289" s="479">
        <v>8553.2000000000007</v>
      </c>
      <c r="G289" s="479">
        <v>0</v>
      </c>
      <c r="H289" s="479">
        <v>0</v>
      </c>
      <c r="I289" s="480">
        <v>0</v>
      </c>
      <c r="J289" s="480"/>
    </row>
    <row r="290" spans="1:10" ht="89.25" hidden="1" outlineLevel="4">
      <c r="A290" s="481" t="s">
        <v>990</v>
      </c>
      <c r="B290" s="482" t="s">
        <v>991</v>
      </c>
      <c r="C290" s="483" t="s">
        <v>711</v>
      </c>
      <c r="D290" s="482" t="s">
        <v>712</v>
      </c>
      <c r="E290" s="484">
        <v>8553.2000000000007</v>
      </c>
      <c r="F290" s="484">
        <v>8553.2000000000007</v>
      </c>
      <c r="G290" s="484">
        <v>0</v>
      </c>
      <c r="H290" s="484">
        <v>0</v>
      </c>
      <c r="I290" s="480">
        <v>0</v>
      </c>
      <c r="J290" s="480"/>
    </row>
    <row r="291" spans="1:10" ht="38.25" hidden="1" outlineLevel="3">
      <c r="A291" s="476" t="s">
        <v>992</v>
      </c>
      <c r="B291" s="477" t="s">
        <v>993</v>
      </c>
      <c r="C291" s="478"/>
      <c r="D291" s="477"/>
      <c r="E291" s="479">
        <v>88784</v>
      </c>
      <c r="F291" s="479">
        <v>88784</v>
      </c>
      <c r="G291" s="479">
        <v>21985.755850000001</v>
      </c>
      <c r="H291" s="479">
        <v>11967.17146</v>
      </c>
      <c r="I291" s="480">
        <v>13.48</v>
      </c>
      <c r="J291" s="480"/>
    </row>
    <row r="292" spans="1:10" ht="38.25" hidden="1" outlineLevel="4">
      <c r="A292" s="481" t="s">
        <v>992</v>
      </c>
      <c r="B292" s="482" t="s">
        <v>993</v>
      </c>
      <c r="C292" s="483" t="s">
        <v>711</v>
      </c>
      <c r="D292" s="482" t="s">
        <v>712</v>
      </c>
      <c r="E292" s="484">
        <v>88784</v>
      </c>
      <c r="F292" s="484">
        <v>88784</v>
      </c>
      <c r="G292" s="484">
        <v>21985.755850000001</v>
      </c>
      <c r="H292" s="484">
        <v>11967.17146</v>
      </c>
      <c r="I292" s="480">
        <v>13.48</v>
      </c>
      <c r="J292" s="480"/>
    </row>
    <row r="293" spans="1:10" ht="89.25" hidden="1" outlineLevel="3">
      <c r="A293" s="476" t="s">
        <v>994</v>
      </c>
      <c r="B293" s="477" t="s">
        <v>995</v>
      </c>
      <c r="C293" s="478"/>
      <c r="D293" s="477"/>
      <c r="E293" s="479">
        <v>22081.1</v>
      </c>
      <c r="F293" s="479">
        <v>22081.1</v>
      </c>
      <c r="G293" s="479">
        <v>10492.726000000001</v>
      </c>
      <c r="H293" s="479">
        <v>9012.8555699999997</v>
      </c>
      <c r="I293" s="480">
        <v>40.82</v>
      </c>
      <c r="J293" s="480"/>
    </row>
    <row r="294" spans="1:10" ht="89.25" hidden="1" outlineLevel="4">
      <c r="A294" s="481" t="s">
        <v>994</v>
      </c>
      <c r="B294" s="482" t="s">
        <v>995</v>
      </c>
      <c r="C294" s="483" t="s">
        <v>711</v>
      </c>
      <c r="D294" s="482" t="s">
        <v>712</v>
      </c>
      <c r="E294" s="484">
        <v>22081.1</v>
      </c>
      <c r="F294" s="484">
        <v>22081.1</v>
      </c>
      <c r="G294" s="484">
        <v>10492.726000000001</v>
      </c>
      <c r="H294" s="484">
        <v>9012.8555699999997</v>
      </c>
      <c r="I294" s="480">
        <v>40.82</v>
      </c>
      <c r="J294" s="480"/>
    </row>
    <row r="295" spans="1:10" ht="38.25" hidden="1" outlineLevel="3">
      <c r="A295" s="476" t="s">
        <v>996</v>
      </c>
      <c r="B295" s="477" t="s">
        <v>997</v>
      </c>
      <c r="C295" s="478"/>
      <c r="D295" s="477"/>
      <c r="E295" s="479">
        <v>429506.99346999999</v>
      </c>
      <c r="F295" s="479">
        <v>429506.99346999999</v>
      </c>
      <c r="G295" s="479">
        <v>309572.34049999999</v>
      </c>
      <c r="H295" s="479">
        <v>303315.69841999997</v>
      </c>
      <c r="I295" s="480">
        <v>70.62</v>
      </c>
      <c r="J295" s="480"/>
    </row>
    <row r="296" spans="1:10" ht="38.25" hidden="1" outlineLevel="4">
      <c r="A296" s="481" t="s">
        <v>996</v>
      </c>
      <c r="B296" s="482" t="s">
        <v>997</v>
      </c>
      <c r="C296" s="483" t="s">
        <v>711</v>
      </c>
      <c r="D296" s="482" t="s">
        <v>712</v>
      </c>
      <c r="E296" s="484">
        <v>429506.99346999999</v>
      </c>
      <c r="F296" s="484">
        <v>429506.99346999999</v>
      </c>
      <c r="G296" s="484">
        <v>309572.34049999999</v>
      </c>
      <c r="H296" s="484">
        <v>303315.69841999997</v>
      </c>
      <c r="I296" s="480">
        <v>70.62</v>
      </c>
      <c r="J296" s="480"/>
    </row>
    <row r="297" spans="1:10" ht="38.25" hidden="1" outlineLevel="3">
      <c r="A297" s="476" t="s">
        <v>910</v>
      </c>
      <c r="B297" s="477" t="s">
        <v>998</v>
      </c>
      <c r="C297" s="478"/>
      <c r="D297" s="477"/>
      <c r="E297" s="479">
        <v>2915.1</v>
      </c>
      <c r="F297" s="479">
        <v>2915.1</v>
      </c>
      <c r="G297" s="479">
        <v>691.51</v>
      </c>
      <c r="H297" s="479">
        <v>691.51</v>
      </c>
      <c r="I297" s="480">
        <v>23.72</v>
      </c>
      <c r="J297" s="480"/>
    </row>
    <row r="298" spans="1:10" ht="38.25" hidden="1" outlineLevel="4">
      <c r="A298" s="481" t="s">
        <v>910</v>
      </c>
      <c r="B298" s="482" t="s">
        <v>998</v>
      </c>
      <c r="C298" s="483" t="s">
        <v>711</v>
      </c>
      <c r="D298" s="482" t="s">
        <v>712</v>
      </c>
      <c r="E298" s="484">
        <v>2915.1</v>
      </c>
      <c r="F298" s="484">
        <v>2915.1</v>
      </c>
      <c r="G298" s="484">
        <v>691.51</v>
      </c>
      <c r="H298" s="484">
        <v>691.51</v>
      </c>
      <c r="I298" s="480">
        <v>23.72</v>
      </c>
      <c r="J298" s="480"/>
    </row>
    <row r="299" spans="1:10" ht="25.5" hidden="1" outlineLevel="2">
      <c r="A299" s="471" t="s">
        <v>999</v>
      </c>
      <c r="B299" s="472" t="s">
        <v>1000</v>
      </c>
      <c r="C299" s="473"/>
      <c r="D299" s="472"/>
      <c r="E299" s="474">
        <v>6334</v>
      </c>
      <c r="F299" s="474">
        <v>6334</v>
      </c>
      <c r="G299" s="474">
        <v>1698.73</v>
      </c>
      <c r="H299" s="474">
        <v>1698.73</v>
      </c>
      <c r="I299" s="475">
        <v>26.82</v>
      </c>
      <c r="J299" s="475"/>
    </row>
    <row r="300" spans="1:10" ht="76.5" hidden="1" outlineLevel="3">
      <c r="A300" s="476" t="s">
        <v>702</v>
      </c>
      <c r="B300" s="477" t="s">
        <v>1001</v>
      </c>
      <c r="C300" s="478"/>
      <c r="D300" s="477"/>
      <c r="E300" s="479">
        <v>6084</v>
      </c>
      <c r="F300" s="479">
        <v>6084</v>
      </c>
      <c r="G300" s="479">
        <v>1628.78</v>
      </c>
      <c r="H300" s="479">
        <v>1628.78</v>
      </c>
      <c r="I300" s="480">
        <v>26.77</v>
      </c>
      <c r="J300" s="480"/>
    </row>
    <row r="301" spans="1:10" ht="76.5" hidden="1" outlineLevel="4">
      <c r="A301" s="481" t="s">
        <v>702</v>
      </c>
      <c r="B301" s="482" t="s">
        <v>1001</v>
      </c>
      <c r="C301" s="483" t="s">
        <v>711</v>
      </c>
      <c r="D301" s="482" t="s">
        <v>712</v>
      </c>
      <c r="E301" s="484">
        <v>6084</v>
      </c>
      <c r="F301" s="484">
        <v>6084</v>
      </c>
      <c r="G301" s="484">
        <v>1628.78</v>
      </c>
      <c r="H301" s="484">
        <v>1628.78</v>
      </c>
      <c r="I301" s="480">
        <v>26.77</v>
      </c>
      <c r="J301" s="480"/>
    </row>
    <row r="302" spans="1:10" ht="25.5" hidden="1" outlineLevel="3">
      <c r="A302" s="476" t="s">
        <v>713</v>
      </c>
      <c r="B302" s="477" t="s">
        <v>1002</v>
      </c>
      <c r="C302" s="478"/>
      <c r="D302" s="477"/>
      <c r="E302" s="479">
        <v>250</v>
      </c>
      <c r="F302" s="479">
        <v>250</v>
      </c>
      <c r="G302" s="479">
        <v>69.95</v>
      </c>
      <c r="H302" s="479">
        <v>69.95</v>
      </c>
      <c r="I302" s="480">
        <v>27.98</v>
      </c>
      <c r="J302" s="480"/>
    </row>
    <row r="303" spans="1:10" ht="25.5" hidden="1" outlineLevel="4">
      <c r="A303" s="481" t="s">
        <v>713</v>
      </c>
      <c r="B303" s="482" t="s">
        <v>1002</v>
      </c>
      <c r="C303" s="483" t="s">
        <v>711</v>
      </c>
      <c r="D303" s="482" t="s">
        <v>712</v>
      </c>
      <c r="E303" s="484">
        <v>250</v>
      </c>
      <c r="F303" s="484">
        <v>250</v>
      </c>
      <c r="G303" s="484">
        <v>69.95</v>
      </c>
      <c r="H303" s="484">
        <v>69.95</v>
      </c>
      <c r="I303" s="480">
        <v>27.98</v>
      </c>
      <c r="J303" s="480"/>
    </row>
    <row r="304" spans="1:10" ht="25.5" hidden="1" outlineLevel="2">
      <c r="A304" s="471" t="s">
        <v>951</v>
      </c>
      <c r="B304" s="472" t="s">
        <v>1003</v>
      </c>
      <c r="C304" s="473"/>
      <c r="D304" s="472"/>
      <c r="E304" s="474">
        <v>721396.2</v>
      </c>
      <c r="F304" s="474">
        <v>721396.2</v>
      </c>
      <c r="G304" s="474">
        <v>0</v>
      </c>
      <c r="H304" s="474">
        <v>0</v>
      </c>
      <c r="I304" s="475">
        <v>0</v>
      </c>
      <c r="J304" s="475"/>
    </row>
    <row r="305" spans="1:10" ht="51" hidden="1" outlineLevel="3">
      <c r="A305" s="476" t="s">
        <v>1004</v>
      </c>
      <c r="B305" s="477" t="s">
        <v>1005</v>
      </c>
      <c r="C305" s="478"/>
      <c r="D305" s="477"/>
      <c r="E305" s="479">
        <v>721396.2</v>
      </c>
      <c r="F305" s="479">
        <v>721396.2</v>
      </c>
      <c r="G305" s="479">
        <v>0</v>
      </c>
      <c r="H305" s="479">
        <v>0</v>
      </c>
      <c r="I305" s="480">
        <v>0</v>
      </c>
      <c r="J305" s="480"/>
    </row>
    <row r="306" spans="1:10" ht="51" hidden="1" outlineLevel="4">
      <c r="A306" s="481" t="s">
        <v>1004</v>
      </c>
      <c r="B306" s="482" t="s">
        <v>1005</v>
      </c>
      <c r="C306" s="483" t="s">
        <v>803</v>
      </c>
      <c r="D306" s="482" t="s">
        <v>804</v>
      </c>
      <c r="E306" s="484">
        <v>721396.2</v>
      </c>
      <c r="F306" s="484">
        <v>721396.2</v>
      </c>
      <c r="G306" s="484">
        <v>0</v>
      </c>
      <c r="H306" s="484">
        <v>0</v>
      </c>
      <c r="I306" s="480">
        <v>0</v>
      </c>
      <c r="J306" s="485" t="s">
        <v>10</v>
      </c>
    </row>
    <row r="307" spans="1:10" ht="25.5" hidden="1" outlineLevel="2">
      <c r="A307" s="471" t="s">
        <v>957</v>
      </c>
      <c r="B307" s="472" t="s">
        <v>1006</v>
      </c>
      <c r="C307" s="473"/>
      <c r="D307" s="472"/>
      <c r="E307" s="474">
        <v>5747.3239400000002</v>
      </c>
      <c r="F307" s="474">
        <v>5747.3239400000002</v>
      </c>
      <c r="G307" s="474">
        <v>1868.8309899999999</v>
      </c>
      <c r="H307" s="474">
        <v>1867.8802900000001</v>
      </c>
      <c r="I307" s="475">
        <v>32.5</v>
      </c>
      <c r="J307" s="475"/>
    </row>
    <row r="308" spans="1:10" ht="51" hidden="1" outlineLevel="3">
      <c r="A308" s="476" t="s">
        <v>1007</v>
      </c>
      <c r="B308" s="477" t="s">
        <v>1008</v>
      </c>
      <c r="C308" s="478"/>
      <c r="D308" s="477"/>
      <c r="E308" s="479">
        <v>5747.3239400000002</v>
      </c>
      <c r="F308" s="479">
        <v>5747.3239400000002</v>
      </c>
      <c r="G308" s="479">
        <v>1868.8309899999999</v>
      </c>
      <c r="H308" s="479">
        <v>1867.8802900000001</v>
      </c>
      <c r="I308" s="480">
        <v>32.5</v>
      </c>
      <c r="J308" s="480"/>
    </row>
    <row r="309" spans="1:10" ht="51" hidden="1" outlineLevel="4">
      <c r="A309" s="481" t="s">
        <v>1007</v>
      </c>
      <c r="B309" s="482" t="s">
        <v>1008</v>
      </c>
      <c r="C309" s="483" t="s">
        <v>711</v>
      </c>
      <c r="D309" s="482" t="s">
        <v>712</v>
      </c>
      <c r="E309" s="484">
        <v>5747.3239400000002</v>
      </c>
      <c r="F309" s="484">
        <v>5747.3239400000002</v>
      </c>
      <c r="G309" s="484">
        <v>1868.8309899999999</v>
      </c>
      <c r="H309" s="484">
        <v>1867.8802900000001</v>
      </c>
      <c r="I309" s="480">
        <v>32.5</v>
      </c>
      <c r="J309" s="485" t="s">
        <v>10</v>
      </c>
    </row>
    <row r="310" spans="1:10" ht="25.5" hidden="1" outlineLevel="2">
      <c r="A310" s="471" t="s">
        <v>1009</v>
      </c>
      <c r="B310" s="472" t="s">
        <v>1010</v>
      </c>
      <c r="C310" s="473"/>
      <c r="D310" s="472"/>
      <c r="E310" s="474">
        <v>256457.1894</v>
      </c>
      <c r="F310" s="474">
        <v>256457.1894</v>
      </c>
      <c r="G310" s="474">
        <v>13645.69894</v>
      </c>
      <c r="H310" s="474">
        <v>13645.69894</v>
      </c>
      <c r="I310" s="475">
        <v>5.32</v>
      </c>
      <c r="J310" s="475"/>
    </row>
    <row r="311" spans="1:10" ht="25.5" hidden="1" outlineLevel="3">
      <c r="A311" s="476" t="s">
        <v>1011</v>
      </c>
      <c r="B311" s="477" t="s">
        <v>1012</v>
      </c>
      <c r="C311" s="478"/>
      <c r="D311" s="477"/>
      <c r="E311" s="479">
        <v>28280.7</v>
      </c>
      <c r="F311" s="479">
        <v>28280.7</v>
      </c>
      <c r="G311" s="479">
        <v>13645.69894</v>
      </c>
      <c r="H311" s="479">
        <v>13645.69894</v>
      </c>
      <c r="I311" s="480">
        <v>48.25</v>
      </c>
      <c r="J311" s="480"/>
    </row>
    <row r="312" spans="1:10" ht="25.5" hidden="1" outlineLevel="4">
      <c r="A312" s="481" t="s">
        <v>1011</v>
      </c>
      <c r="B312" s="482" t="s">
        <v>1012</v>
      </c>
      <c r="C312" s="483" t="s">
        <v>711</v>
      </c>
      <c r="D312" s="482" t="s">
        <v>712</v>
      </c>
      <c r="E312" s="484">
        <v>28280.7</v>
      </c>
      <c r="F312" s="484">
        <v>28280.7</v>
      </c>
      <c r="G312" s="484">
        <v>13645.69894</v>
      </c>
      <c r="H312" s="484">
        <v>13645.69894</v>
      </c>
      <c r="I312" s="480">
        <v>48.25</v>
      </c>
      <c r="J312" s="480"/>
    </row>
    <row r="313" spans="1:10" ht="63.75" hidden="1" outlineLevel="3">
      <c r="A313" s="476" t="s">
        <v>1013</v>
      </c>
      <c r="B313" s="477" t="s">
        <v>1014</v>
      </c>
      <c r="C313" s="478"/>
      <c r="D313" s="477"/>
      <c r="E313" s="479">
        <v>228176.48939999999</v>
      </c>
      <c r="F313" s="479">
        <v>228176.48939999999</v>
      </c>
      <c r="G313" s="479">
        <v>0</v>
      </c>
      <c r="H313" s="479">
        <v>0</v>
      </c>
      <c r="I313" s="480">
        <v>0</v>
      </c>
      <c r="J313" s="480"/>
    </row>
    <row r="314" spans="1:10" ht="63.75" hidden="1" outlineLevel="4">
      <c r="A314" s="481" t="s">
        <v>1013</v>
      </c>
      <c r="B314" s="482" t="s">
        <v>1014</v>
      </c>
      <c r="C314" s="483" t="s">
        <v>711</v>
      </c>
      <c r="D314" s="482" t="s">
        <v>712</v>
      </c>
      <c r="E314" s="484">
        <v>228176.48939999999</v>
      </c>
      <c r="F314" s="484">
        <v>228176.48939999999</v>
      </c>
      <c r="G314" s="484">
        <v>0</v>
      </c>
      <c r="H314" s="484">
        <v>0</v>
      </c>
      <c r="I314" s="480">
        <v>0</v>
      </c>
      <c r="J314" s="485" t="s">
        <v>10</v>
      </c>
    </row>
    <row r="315" spans="1:10" ht="51" hidden="1" outlineLevel="2">
      <c r="A315" s="471" t="s">
        <v>1015</v>
      </c>
      <c r="B315" s="472" t="s">
        <v>1016</v>
      </c>
      <c r="C315" s="473"/>
      <c r="D315" s="472"/>
      <c r="E315" s="474">
        <v>498836.01299999998</v>
      </c>
      <c r="F315" s="474">
        <v>498836.01299999998</v>
      </c>
      <c r="G315" s="474">
        <v>76076.669899999994</v>
      </c>
      <c r="H315" s="474">
        <v>74606.055250000005</v>
      </c>
      <c r="I315" s="475">
        <v>14.96</v>
      </c>
      <c r="J315" s="475"/>
    </row>
    <row r="316" spans="1:10" ht="76.5" hidden="1" outlineLevel="3">
      <c r="A316" s="476" t="s">
        <v>1017</v>
      </c>
      <c r="B316" s="477" t="s">
        <v>1018</v>
      </c>
      <c r="C316" s="478"/>
      <c r="D316" s="477"/>
      <c r="E316" s="479">
        <v>498836.01299999998</v>
      </c>
      <c r="F316" s="479">
        <v>498836.01299999998</v>
      </c>
      <c r="G316" s="479">
        <v>76076.669899999994</v>
      </c>
      <c r="H316" s="479">
        <v>74606.055250000005</v>
      </c>
      <c r="I316" s="480">
        <v>14.96</v>
      </c>
      <c r="J316" s="480"/>
    </row>
    <row r="317" spans="1:10" ht="76.5" hidden="1" outlineLevel="4">
      <c r="A317" s="481" t="s">
        <v>1017</v>
      </c>
      <c r="B317" s="482" t="s">
        <v>1018</v>
      </c>
      <c r="C317" s="483" t="s">
        <v>803</v>
      </c>
      <c r="D317" s="482" t="s">
        <v>804</v>
      </c>
      <c r="E317" s="484">
        <v>498836.01299999998</v>
      </c>
      <c r="F317" s="484">
        <v>498836.01299999998</v>
      </c>
      <c r="G317" s="484">
        <v>76076.669899999994</v>
      </c>
      <c r="H317" s="484">
        <v>74606.055250000005</v>
      </c>
      <c r="I317" s="480">
        <v>14.96</v>
      </c>
      <c r="J317" s="485" t="s">
        <v>10</v>
      </c>
    </row>
    <row r="318" spans="1:10" ht="38.25" hidden="1" outlineLevel="1">
      <c r="A318" s="466" t="s">
        <v>1019</v>
      </c>
      <c r="B318" s="467" t="s">
        <v>1020</v>
      </c>
      <c r="C318" s="468"/>
      <c r="D318" s="467"/>
      <c r="E318" s="469">
        <v>202957.0937</v>
      </c>
      <c r="F318" s="469">
        <v>202857.0937</v>
      </c>
      <c r="G318" s="469">
        <v>88296.519769999999</v>
      </c>
      <c r="H318" s="469">
        <v>83160.904020000002</v>
      </c>
      <c r="I318" s="470">
        <v>40.97</v>
      </c>
      <c r="J318" s="470"/>
    </row>
    <row r="319" spans="1:10" ht="63.75" hidden="1" outlineLevel="2">
      <c r="A319" s="471" t="s">
        <v>1021</v>
      </c>
      <c r="B319" s="472" t="s">
        <v>1022</v>
      </c>
      <c r="C319" s="473"/>
      <c r="D319" s="472"/>
      <c r="E319" s="474">
        <v>85211.697620000006</v>
      </c>
      <c r="F319" s="474">
        <v>85211.697620000006</v>
      </c>
      <c r="G319" s="474">
        <v>44535.98648</v>
      </c>
      <c r="H319" s="474">
        <v>39400.370730000002</v>
      </c>
      <c r="I319" s="475">
        <v>46.24</v>
      </c>
      <c r="J319" s="475"/>
    </row>
    <row r="320" spans="1:10" ht="25.5" hidden="1" outlineLevel="3">
      <c r="A320" s="476" t="s">
        <v>873</v>
      </c>
      <c r="B320" s="477" t="s">
        <v>1023</v>
      </c>
      <c r="C320" s="478"/>
      <c r="D320" s="477"/>
      <c r="E320" s="479">
        <v>74946.583620000005</v>
      </c>
      <c r="F320" s="479">
        <v>74946.583620000005</v>
      </c>
      <c r="G320" s="479">
        <v>39439.771249999998</v>
      </c>
      <c r="H320" s="479">
        <v>34806.804669999998</v>
      </c>
      <c r="I320" s="480">
        <v>46.44</v>
      </c>
      <c r="J320" s="480"/>
    </row>
    <row r="321" spans="1:10" ht="25.5" hidden="1" outlineLevel="4">
      <c r="A321" s="481" t="s">
        <v>873</v>
      </c>
      <c r="B321" s="482" t="s">
        <v>1023</v>
      </c>
      <c r="C321" s="483" t="s">
        <v>711</v>
      </c>
      <c r="D321" s="482" t="s">
        <v>712</v>
      </c>
      <c r="E321" s="484">
        <v>74946.583620000005</v>
      </c>
      <c r="F321" s="484">
        <v>74946.583620000005</v>
      </c>
      <c r="G321" s="484">
        <v>39439.771249999998</v>
      </c>
      <c r="H321" s="484">
        <v>34806.804669999998</v>
      </c>
      <c r="I321" s="480">
        <v>46.44</v>
      </c>
      <c r="J321" s="480"/>
    </row>
    <row r="322" spans="1:10" ht="38.25" hidden="1" outlineLevel="3">
      <c r="A322" s="476" t="s">
        <v>854</v>
      </c>
      <c r="B322" s="477" t="s">
        <v>1024</v>
      </c>
      <c r="C322" s="478"/>
      <c r="D322" s="477"/>
      <c r="E322" s="479">
        <v>2670.9140000000002</v>
      </c>
      <c r="F322" s="479">
        <v>2670.9140000000002</v>
      </c>
      <c r="G322" s="479">
        <v>1269.6941899999999</v>
      </c>
      <c r="H322" s="479">
        <v>1202.89123</v>
      </c>
      <c r="I322" s="480">
        <v>45.04</v>
      </c>
      <c r="J322" s="480"/>
    </row>
    <row r="323" spans="1:10" ht="38.25" hidden="1" outlineLevel="4">
      <c r="A323" s="481" t="s">
        <v>854</v>
      </c>
      <c r="B323" s="482" t="s">
        <v>1024</v>
      </c>
      <c r="C323" s="483" t="s">
        <v>711</v>
      </c>
      <c r="D323" s="482" t="s">
        <v>712</v>
      </c>
      <c r="E323" s="484">
        <v>2670.9140000000002</v>
      </c>
      <c r="F323" s="484">
        <v>2670.9140000000002</v>
      </c>
      <c r="G323" s="484">
        <v>1269.6941899999999</v>
      </c>
      <c r="H323" s="484">
        <v>1202.89123</v>
      </c>
      <c r="I323" s="480">
        <v>45.04</v>
      </c>
      <c r="J323" s="480"/>
    </row>
    <row r="324" spans="1:10" ht="63.75" hidden="1" outlineLevel="3">
      <c r="A324" s="476" t="s">
        <v>62</v>
      </c>
      <c r="B324" s="477" t="s">
        <v>1025</v>
      </c>
      <c r="C324" s="478"/>
      <c r="D324" s="477"/>
      <c r="E324" s="479">
        <v>890</v>
      </c>
      <c r="F324" s="479">
        <v>890</v>
      </c>
      <c r="G324" s="479">
        <v>41.039000000000001</v>
      </c>
      <c r="H324" s="479">
        <v>39.856000000000002</v>
      </c>
      <c r="I324" s="480">
        <v>4.4800000000000004</v>
      </c>
      <c r="J324" s="480"/>
    </row>
    <row r="325" spans="1:10" ht="63.75" hidden="1" outlineLevel="4">
      <c r="A325" s="481" t="s">
        <v>62</v>
      </c>
      <c r="B325" s="482" t="s">
        <v>1025</v>
      </c>
      <c r="C325" s="483" t="s">
        <v>711</v>
      </c>
      <c r="D325" s="482" t="s">
        <v>712</v>
      </c>
      <c r="E325" s="484">
        <v>890</v>
      </c>
      <c r="F325" s="484">
        <v>890</v>
      </c>
      <c r="G325" s="484">
        <v>41.039000000000001</v>
      </c>
      <c r="H325" s="484">
        <v>39.856000000000002</v>
      </c>
      <c r="I325" s="480">
        <v>4.4800000000000004</v>
      </c>
      <c r="J325" s="480"/>
    </row>
    <row r="326" spans="1:10" ht="76.5" hidden="1" outlineLevel="3">
      <c r="A326" s="476" t="s">
        <v>156</v>
      </c>
      <c r="B326" s="477" t="s">
        <v>1026</v>
      </c>
      <c r="C326" s="478"/>
      <c r="D326" s="477"/>
      <c r="E326" s="479">
        <v>100</v>
      </c>
      <c r="F326" s="479">
        <v>100</v>
      </c>
      <c r="G326" s="479">
        <v>0</v>
      </c>
      <c r="H326" s="479">
        <v>0</v>
      </c>
      <c r="I326" s="480">
        <v>0</v>
      </c>
      <c r="J326" s="480"/>
    </row>
    <row r="327" spans="1:10" ht="76.5" hidden="1" outlineLevel="4">
      <c r="A327" s="481" t="s">
        <v>156</v>
      </c>
      <c r="B327" s="482" t="s">
        <v>1026</v>
      </c>
      <c r="C327" s="483" t="s">
        <v>711</v>
      </c>
      <c r="D327" s="482" t="s">
        <v>712</v>
      </c>
      <c r="E327" s="484">
        <v>100</v>
      </c>
      <c r="F327" s="484">
        <v>100</v>
      </c>
      <c r="G327" s="484">
        <v>0</v>
      </c>
      <c r="H327" s="484">
        <v>0</v>
      </c>
      <c r="I327" s="480">
        <v>0</v>
      </c>
      <c r="J327" s="480"/>
    </row>
    <row r="328" spans="1:10" ht="76.5" hidden="1" outlineLevel="3">
      <c r="A328" s="476" t="s">
        <v>1027</v>
      </c>
      <c r="B328" s="477" t="s">
        <v>1028</v>
      </c>
      <c r="C328" s="478"/>
      <c r="D328" s="477"/>
      <c r="E328" s="479">
        <v>50</v>
      </c>
      <c r="F328" s="479">
        <v>50</v>
      </c>
      <c r="G328" s="479">
        <v>0</v>
      </c>
      <c r="H328" s="479">
        <v>0</v>
      </c>
      <c r="I328" s="480">
        <v>0</v>
      </c>
      <c r="J328" s="480"/>
    </row>
    <row r="329" spans="1:10" ht="76.5" hidden="1" outlineLevel="4">
      <c r="A329" s="481" t="s">
        <v>1027</v>
      </c>
      <c r="B329" s="482" t="s">
        <v>1028</v>
      </c>
      <c r="C329" s="483" t="s">
        <v>711</v>
      </c>
      <c r="D329" s="482" t="s">
        <v>712</v>
      </c>
      <c r="E329" s="484">
        <v>50</v>
      </c>
      <c r="F329" s="484">
        <v>50</v>
      </c>
      <c r="G329" s="484">
        <v>0</v>
      </c>
      <c r="H329" s="484">
        <v>0</v>
      </c>
      <c r="I329" s="480">
        <v>0</v>
      </c>
      <c r="J329" s="480"/>
    </row>
    <row r="330" spans="1:10" ht="102" hidden="1" outlineLevel="3">
      <c r="A330" s="476" t="s">
        <v>1029</v>
      </c>
      <c r="B330" s="477" t="s">
        <v>1030</v>
      </c>
      <c r="C330" s="478"/>
      <c r="D330" s="477"/>
      <c r="E330" s="479">
        <v>6554.2</v>
      </c>
      <c r="F330" s="479">
        <v>6554.2</v>
      </c>
      <c r="G330" s="479">
        <v>3785.4820399999999</v>
      </c>
      <c r="H330" s="479">
        <v>3350.8188300000002</v>
      </c>
      <c r="I330" s="480">
        <v>51.12</v>
      </c>
      <c r="J330" s="480"/>
    </row>
    <row r="331" spans="1:10" ht="102" hidden="1" outlineLevel="4">
      <c r="A331" s="481" t="s">
        <v>1029</v>
      </c>
      <c r="B331" s="482" t="s">
        <v>1030</v>
      </c>
      <c r="C331" s="483" t="s">
        <v>711</v>
      </c>
      <c r="D331" s="482" t="s">
        <v>712</v>
      </c>
      <c r="E331" s="484">
        <v>6554.2</v>
      </c>
      <c r="F331" s="484">
        <v>6554.2</v>
      </c>
      <c r="G331" s="484">
        <v>3785.4820399999999</v>
      </c>
      <c r="H331" s="484">
        <v>3350.8188300000002</v>
      </c>
      <c r="I331" s="480">
        <v>51.12</v>
      </c>
      <c r="J331" s="485" t="s">
        <v>10</v>
      </c>
    </row>
    <row r="332" spans="1:10" ht="76.5" hidden="1" outlineLevel="2">
      <c r="A332" s="471" t="s">
        <v>1031</v>
      </c>
      <c r="B332" s="472" t="s">
        <v>1032</v>
      </c>
      <c r="C332" s="473"/>
      <c r="D332" s="472"/>
      <c r="E332" s="474">
        <v>117745.39608000001</v>
      </c>
      <c r="F332" s="474">
        <v>117645.39608000001</v>
      </c>
      <c r="G332" s="474">
        <v>43760.533289999999</v>
      </c>
      <c r="H332" s="474">
        <v>43760.533289999999</v>
      </c>
      <c r="I332" s="475">
        <v>37.17</v>
      </c>
      <c r="J332" s="475"/>
    </row>
    <row r="333" spans="1:10" ht="76.5" hidden="1" outlineLevel="3">
      <c r="A333" s="476" t="s">
        <v>702</v>
      </c>
      <c r="B333" s="477" t="s">
        <v>1033</v>
      </c>
      <c r="C333" s="478"/>
      <c r="D333" s="477"/>
      <c r="E333" s="479">
        <v>92507.302079999994</v>
      </c>
      <c r="F333" s="479">
        <v>92507.302079999994</v>
      </c>
      <c r="G333" s="479">
        <v>37157.681960000002</v>
      </c>
      <c r="H333" s="479">
        <v>37157.681960000002</v>
      </c>
      <c r="I333" s="480">
        <v>40.17</v>
      </c>
      <c r="J333" s="480"/>
    </row>
    <row r="334" spans="1:10" ht="76.5" hidden="1" outlineLevel="4">
      <c r="A334" s="481" t="s">
        <v>702</v>
      </c>
      <c r="B334" s="482" t="s">
        <v>1033</v>
      </c>
      <c r="C334" s="483" t="s">
        <v>711</v>
      </c>
      <c r="D334" s="482" t="s">
        <v>712</v>
      </c>
      <c r="E334" s="484">
        <v>92507.302079999994</v>
      </c>
      <c r="F334" s="484">
        <v>92507.302079999994</v>
      </c>
      <c r="G334" s="484">
        <v>37157.681960000002</v>
      </c>
      <c r="H334" s="484">
        <v>37157.681960000002</v>
      </c>
      <c r="I334" s="480">
        <v>40.17</v>
      </c>
      <c r="J334" s="480"/>
    </row>
    <row r="335" spans="1:10" ht="63.75" hidden="1" outlineLevel="3">
      <c r="A335" s="476" t="s">
        <v>62</v>
      </c>
      <c r="B335" s="477" t="s">
        <v>1034</v>
      </c>
      <c r="C335" s="478"/>
      <c r="D335" s="477"/>
      <c r="E335" s="479">
        <v>25017.878199999999</v>
      </c>
      <c r="F335" s="479">
        <v>25017.878199999999</v>
      </c>
      <c r="G335" s="479">
        <v>6539.7842300000002</v>
      </c>
      <c r="H335" s="479">
        <v>6539.7842300000002</v>
      </c>
      <c r="I335" s="480">
        <v>26.14</v>
      </c>
      <c r="J335" s="480"/>
    </row>
    <row r="336" spans="1:10" ht="63.75" hidden="1" outlineLevel="4">
      <c r="A336" s="481" t="s">
        <v>62</v>
      </c>
      <c r="B336" s="482" t="s">
        <v>1034</v>
      </c>
      <c r="C336" s="483" t="s">
        <v>711</v>
      </c>
      <c r="D336" s="482" t="s">
        <v>712</v>
      </c>
      <c r="E336" s="484">
        <v>25017.878199999999</v>
      </c>
      <c r="F336" s="484">
        <v>25017.878199999999</v>
      </c>
      <c r="G336" s="484">
        <v>6539.7842300000002</v>
      </c>
      <c r="H336" s="484">
        <v>6539.7842300000002</v>
      </c>
      <c r="I336" s="480">
        <v>26.14</v>
      </c>
      <c r="J336" s="480"/>
    </row>
    <row r="337" spans="1:10" ht="76.5" hidden="1" outlineLevel="3">
      <c r="A337" s="476" t="s">
        <v>156</v>
      </c>
      <c r="B337" s="477" t="s">
        <v>1035</v>
      </c>
      <c r="C337" s="478"/>
      <c r="D337" s="477"/>
      <c r="E337" s="479">
        <v>220.2158</v>
      </c>
      <c r="F337" s="479">
        <v>120.2158</v>
      </c>
      <c r="G337" s="479">
        <v>63.067100000000003</v>
      </c>
      <c r="H337" s="479">
        <v>63.067100000000003</v>
      </c>
      <c r="I337" s="480">
        <v>28.64</v>
      </c>
      <c r="J337" s="480"/>
    </row>
    <row r="338" spans="1:10" ht="76.5" hidden="1" outlineLevel="4">
      <c r="A338" s="481" t="s">
        <v>156</v>
      </c>
      <c r="B338" s="482" t="s">
        <v>1035</v>
      </c>
      <c r="C338" s="483" t="s">
        <v>711</v>
      </c>
      <c r="D338" s="482" t="s">
        <v>712</v>
      </c>
      <c r="E338" s="484">
        <v>220.2158</v>
      </c>
      <c r="F338" s="484">
        <v>120.2158</v>
      </c>
      <c r="G338" s="484">
        <v>63.067100000000003</v>
      </c>
      <c r="H338" s="484">
        <v>63.067100000000003</v>
      </c>
      <c r="I338" s="480">
        <v>28.64</v>
      </c>
      <c r="J338" s="480"/>
    </row>
    <row r="339" spans="1:10" ht="30.75" collapsed="1" thickBot="1">
      <c r="A339" s="461" t="s">
        <v>1036</v>
      </c>
      <c r="B339" s="462" t="s">
        <v>1037</v>
      </c>
      <c r="C339" s="463"/>
      <c r="D339" s="462"/>
      <c r="E339" s="464">
        <v>17138231.741909999</v>
      </c>
      <c r="F339" s="464">
        <v>17133810.910739999</v>
      </c>
      <c r="G339" s="464">
        <v>7611155.8873600001</v>
      </c>
      <c r="H339" s="464">
        <v>7232557.8358100001</v>
      </c>
      <c r="I339" s="465">
        <v>42.2</v>
      </c>
      <c r="J339" s="465"/>
    </row>
    <row r="340" spans="1:10" ht="38.25" hidden="1" outlineLevel="1">
      <c r="A340" s="466" t="s">
        <v>1038</v>
      </c>
      <c r="B340" s="467" t="s">
        <v>1039</v>
      </c>
      <c r="C340" s="468"/>
      <c r="D340" s="467"/>
      <c r="E340" s="469">
        <v>2823265.8607999999</v>
      </c>
      <c r="F340" s="469">
        <v>2819225.4720399999</v>
      </c>
      <c r="G340" s="469">
        <v>1528313.1427</v>
      </c>
      <c r="H340" s="469">
        <v>1315489.02391</v>
      </c>
      <c r="I340" s="470">
        <v>46.59</v>
      </c>
      <c r="J340" s="470"/>
    </row>
    <row r="341" spans="1:10" ht="63.75" hidden="1" outlineLevel="2">
      <c r="A341" s="471" t="s">
        <v>1040</v>
      </c>
      <c r="B341" s="472" t="s">
        <v>1041</v>
      </c>
      <c r="C341" s="473"/>
      <c r="D341" s="472"/>
      <c r="E341" s="474">
        <v>41521.760799999996</v>
      </c>
      <c r="F341" s="474">
        <v>37481.372040000002</v>
      </c>
      <c r="G341" s="474">
        <v>9703.7405199999994</v>
      </c>
      <c r="H341" s="474">
        <v>9648.1328099999992</v>
      </c>
      <c r="I341" s="475">
        <v>23.24</v>
      </c>
      <c r="J341" s="475"/>
    </row>
    <row r="342" spans="1:10" ht="76.5" hidden="1" outlineLevel="3">
      <c r="A342" s="476" t="s">
        <v>702</v>
      </c>
      <c r="B342" s="477" t="s">
        <v>1042</v>
      </c>
      <c r="C342" s="478"/>
      <c r="D342" s="477"/>
      <c r="E342" s="479">
        <v>14926.3</v>
      </c>
      <c r="F342" s="479">
        <v>14926.3</v>
      </c>
      <c r="G342" s="479">
        <v>2463.7405199999998</v>
      </c>
      <c r="H342" s="479">
        <v>2463.7405199999998</v>
      </c>
      <c r="I342" s="480">
        <v>16.510000000000002</v>
      </c>
      <c r="J342" s="480"/>
    </row>
    <row r="343" spans="1:10" ht="76.5" hidden="1" outlineLevel="4">
      <c r="A343" s="481" t="s">
        <v>702</v>
      </c>
      <c r="B343" s="482" t="s">
        <v>1042</v>
      </c>
      <c r="C343" s="483" t="s">
        <v>1043</v>
      </c>
      <c r="D343" s="482" t="s">
        <v>1044</v>
      </c>
      <c r="E343" s="484">
        <v>14926.3</v>
      </c>
      <c r="F343" s="484">
        <v>14926.3</v>
      </c>
      <c r="G343" s="484">
        <v>2463.7405199999998</v>
      </c>
      <c r="H343" s="484">
        <v>2463.7405199999998</v>
      </c>
      <c r="I343" s="480">
        <v>16.510000000000002</v>
      </c>
      <c r="J343" s="480"/>
    </row>
    <row r="344" spans="1:10" ht="25.5" hidden="1" outlineLevel="3">
      <c r="A344" s="476" t="s">
        <v>713</v>
      </c>
      <c r="B344" s="477" t="s">
        <v>1045</v>
      </c>
      <c r="C344" s="478"/>
      <c r="D344" s="477"/>
      <c r="E344" s="479">
        <v>26595.460800000001</v>
      </c>
      <c r="F344" s="479">
        <v>22555.072039999999</v>
      </c>
      <c r="G344" s="479">
        <v>7240</v>
      </c>
      <c r="H344" s="479">
        <v>7184.3922899999998</v>
      </c>
      <c r="I344" s="480">
        <v>27.01</v>
      </c>
      <c r="J344" s="480"/>
    </row>
    <row r="345" spans="1:10" ht="25.5" hidden="1" outlineLevel="4">
      <c r="A345" s="481" t="s">
        <v>713</v>
      </c>
      <c r="B345" s="482" t="s">
        <v>1045</v>
      </c>
      <c r="C345" s="483" t="s">
        <v>803</v>
      </c>
      <c r="D345" s="482" t="s">
        <v>804</v>
      </c>
      <c r="E345" s="484">
        <v>26595.460800000001</v>
      </c>
      <c r="F345" s="484">
        <v>22555.072039999999</v>
      </c>
      <c r="G345" s="484">
        <v>7240</v>
      </c>
      <c r="H345" s="484">
        <v>7184.3922899999998</v>
      </c>
      <c r="I345" s="480">
        <v>27.01</v>
      </c>
      <c r="J345" s="480"/>
    </row>
    <row r="346" spans="1:10" ht="114.75" hidden="1" outlineLevel="2">
      <c r="A346" s="471" t="s">
        <v>1046</v>
      </c>
      <c r="B346" s="472" t="s">
        <v>1047</v>
      </c>
      <c r="C346" s="473"/>
      <c r="D346" s="472"/>
      <c r="E346" s="474">
        <v>2733859.5</v>
      </c>
      <c r="F346" s="474">
        <v>2733859.5</v>
      </c>
      <c r="G346" s="474">
        <v>1511182.7140299999</v>
      </c>
      <c r="H346" s="474">
        <v>1298414.2029500001</v>
      </c>
      <c r="I346" s="475">
        <v>47.49</v>
      </c>
      <c r="J346" s="475"/>
    </row>
    <row r="347" spans="1:10" ht="76.5" hidden="1" outlineLevel="3">
      <c r="A347" s="476" t="s">
        <v>702</v>
      </c>
      <c r="B347" s="477" t="s">
        <v>1048</v>
      </c>
      <c r="C347" s="478"/>
      <c r="D347" s="477"/>
      <c r="E347" s="479">
        <v>2599985.4</v>
      </c>
      <c r="F347" s="479">
        <v>2599985.4</v>
      </c>
      <c r="G347" s="479">
        <v>1443448.3803999999</v>
      </c>
      <c r="H347" s="479">
        <v>1235712.3474000001</v>
      </c>
      <c r="I347" s="480">
        <v>47.53</v>
      </c>
      <c r="J347" s="480"/>
    </row>
    <row r="348" spans="1:10" ht="76.5" hidden="1" outlineLevel="4">
      <c r="A348" s="481" t="s">
        <v>702</v>
      </c>
      <c r="B348" s="482" t="s">
        <v>1048</v>
      </c>
      <c r="C348" s="483" t="s">
        <v>1043</v>
      </c>
      <c r="D348" s="482" t="s">
        <v>1044</v>
      </c>
      <c r="E348" s="484">
        <v>2599985.4</v>
      </c>
      <c r="F348" s="484">
        <v>2599985.4</v>
      </c>
      <c r="G348" s="484">
        <v>1443448.3803999999</v>
      </c>
      <c r="H348" s="484">
        <v>1235712.3474000001</v>
      </c>
      <c r="I348" s="480">
        <v>47.53</v>
      </c>
      <c r="J348" s="480"/>
    </row>
    <row r="349" spans="1:10" ht="63.75" hidden="1" outlineLevel="3">
      <c r="A349" s="476" t="s">
        <v>62</v>
      </c>
      <c r="B349" s="477" t="s">
        <v>1049</v>
      </c>
      <c r="C349" s="478"/>
      <c r="D349" s="477"/>
      <c r="E349" s="479">
        <v>35660.400000000001</v>
      </c>
      <c r="F349" s="479">
        <v>35660.400000000001</v>
      </c>
      <c r="G349" s="479">
        <v>4844.0897599999998</v>
      </c>
      <c r="H349" s="479">
        <v>4844.0897599999998</v>
      </c>
      <c r="I349" s="480">
        <v>13.58</v>
      </c>
      <c r="J349" s="480"/>
    </row>
    <row r="350" spans="1:10" ht="63.75" hidden="1" outlineLevel="4">
      <c r="A350" s="481" t="s">
        <v>62</v>
      </c>
      <c r="B350" s="482" t="s">
        <v>1049</v>
      </c>
      <c r="C350" s="483" t="s">
        <v>1043</v>
      </c>
      <c r="D350" s="482" t="s">
        <v>1044</v>
      </c>
      <c r="E350" s="484">
        <v>35660.400000000001</v>
      </c>
      <c r="F350" s="484">
        <v>35660.400000000001</v>
      </c>
      <c r="G350" s="484">
        <v>4844.0897599999998</v>
      </c>
      <c r="H350" s="484">
        <v>4844.0897599999998</v>
      </c>
      <c r="I350" s="480">
        <v>13.58</v>
      </c>
      <c r="J350" s="480"/>
    </row>
    <row r="351" spans="1:10" ht="76.5" hidden="1" outlineLevel="3">
      <c r="A351" s="476" t="s">
        <v>156</v>
      </c>
      <c r="B351" s="477" t="s">
        <v>1050</v>
      </c>
      <c r="C351" s="478"/>
      <c r="D351" s="477"/>
      <c r="E351" s="479">
        <v>150</v>
      </c>
      <c r="F351" s="479">
        <v>150</v>
      </c>
      <c r="G351" s="479">
        <v>35.625329999999998</v>
      </c>
      <c r="H351" s="479">
        <v>35.625329999999998</v>
      </c>
      <c r="I351" s="480">
        <v>23.75</v>
      </c>
      <c r="J351" s="480"/>
    </row>
    <row r="352" spans="1:10" ht="76.5" hidden="1" outlineLevel="4">
      <c r="A352" s="481" t="s">
        <v>156</v>
      </c>
      <c r="B352" s="482" t="s">
        <v>1050</v>
      </c>
      <c r="C352" s="483" t="s">
        <v>1043</v>
      </c>
      <c r="D352" s="482" t="s">
        <v>1044</v>
      </c>
      <c r="E352" s="484">
        <v>150</v>
      </c>
      <c r="F352" s="484">
        <v>150</v>
      </c>
      <c r="G352" s="484">
        <v>35.625329999999998</v>
      </c>
      <c r="H352" s="484">
        <v>35.625329999999998</v>
      </c>
      <c r="I352" s="480">
        <v>23.75</v>
      </c>
      <c r="J352" s="480"/>
    </row>
    <row r="353" spans="1:10" ht="140.25" hidden="1" outlineLevel="3">
      <c r="A353" s="476" t="s">
        <v>842</v>
      </c>
      <c r="B353" s="477" t="s">
        <v>1051</v>
      </c>
      <c r="C353" s="478"/>
      <c r="D353" s="477"/>
      <c r="E353" s="479">
        <v>5855.4</v>
      </c>
      <c r="F353" s="479">
        <v>5855.4</v>
      </c>
      <c r="G353" s="479">
        <v>2818.51854</v>
      </c>
      <c r="H353" s="479">
        <v>2793.1505400000001</v>
      </c>
      <c r="I353" s="480">
        <v>47.7</v>
      </c>
      <c r="J353" s="480"/>
    </row>
    <row r="354" spans="1:10" ht="140.25" hidden="1" outlineLevel="4">
      <c r="A354" s="481" t="s">
        <v>842</v>
      </c>
      <c r="B354" s="482" t="s">
        <v>1051</v>
      </c>
      <c r="C354" s="483" t="s">
        <v>1043</v>
      </c>
      <c r="D354" s="482" t="s">
        <v>1044</v>
      </c>
      <c r="E354" s="484">
        <v>5855.4</v>
      </c>
      <c r="F354" s="484">
        <v>5855.4</v>
      </c>
      <c r="G354" s="484">
        <v>2818.51854</v>
      </c>
      <c r="H354" s="484">
        <v>2793.1505400000001</v>
      </c>
      <c r="I354" s="480">
        <v>47.7</v>
      </c>
      <c r="J354" s="480"/>
    </row>
    <row r="355" spans="1:10" ht="242.25" hidden="1" outlineLevel="3">
      <c r="A355" s="476" t="s">
        <v>1052</v>
      </c>
      <c r="B355" s="477" t="s">
        <v>1053</v>
      </c>
      <c r="C355" s="478"/>
      <c r="D355" s="477"/>
      <c r="E355" s="479">
        <v>91.2</v>
      </c>
      <c r="F355" s="479">
        <v>91.2</v>
      </c>
      <c r="G355" s="479">
        <v>0</v>
      </c>
      <c r="H355" s="479">
        <v>0</v>
      </c>
      <c r="I355" s="480">
        <v>0</v>
      </c>
      <c r="J355" s="480"/>
    </row>
    <row r="356" spans="1:10" ht="242.25" hidden="1" outlineLevel="4">
      <c r="A356" s="481" t="s">
        <v>1052</v>
      </c>
      <c r="B356" s="482" t="s">
        <v>1053</v>
      </c>
      <c r="C356" s="483" t="s">
        <v>1043</v>
      </c>
      <c r="D356" s="482" t="s">
        <v>1044</v>
      </c>
      <c r="E356" s="484">
        <v>91.2</v>
      </c>
      <c r="F356" s="484">
        <v>91.2</v>
      </c>
      <c r="G356" s="484">
        <v>0</v>
      </c>
      <c r="H356" s="484">
        <v>0</v>
      </c>
      <c r="I356" s="480">
        <v>0</v>
      </c>
      <c r="J356" s="485" t="s">
        <v>10</v>
      </c>
    </row>
    <row r="357" spans="1:10" ht="127.5" hidden="1" outlineLevel="3">
      <c r="A357" s="476" t="s">
        <v>1054</v>
      </c>
      <c r="B357" s="477" t="s">
        <v>1055</v>
      </c>
      <c r="C357" s="478"/>
      <c r="D357" s="477"/>
      <c r="E357" s="479">
        <v>92117.1</v>
      </c>
      <c r="F357" s="479">
        <v>92117.1</v>
      </c>
      <c r="G357" s="479">
        <v>60036.1</v>
      </c>
      <c r="H357" s="479">
        <v>55028.98992</v>
      </c>
      <c r="I357" s="480">
        <v>59.74</v>
      </c>
      <c r="J357" s="480"/>
    </row>
    <row r="358" spans="1:10" ht="127.5" hidden="1" outlineLevel="4">
      <c r="A358" s="481" t="s">
        <v>1054</v>
      </c>
      <c r="B358" s="482" t="s">
        <v>1055</v>
      </c>
      <c r="C358" s="483" t="s">
        <v>1043</v>
      </c>
      <c r="D358" s="482" t="s">
        <v>1044</v>
      </c>
      <c r="E358" s="484">
        <v>92117.1</v>
      </c>
      <c r="F358" s="484">
        <v>92117.1</v>
      </c>
      <c r="G358" s="484">
        <v>60036.1</v>
      </c>
      <c r="H358" s="484">
        <v>55028.98992</v>
      </c>
      <c r="I358" s="480">
        <v>59.74</v>
      </c>
      <c r="J358" s="480"/>
    </row>
    <row r="359" spans="1:10" ht="76.5" hidden="1" outlineLevel="2">
      <c r="A359" s="471" t="s">
        <v>1056</v>
      </c>
      <c r="B359" s="472" t="s">
        <v>1057</v>
      </c>
      <c r="C359" s="473"/>
      <c r="D359" s="472"/>
      <c r="E359" s="474">
        <v>43884.6</v>
      </c>
      <c r="F359" s="474">
        <v>43884.6</v>
      </c>
      <c r="G359" s="474">
        <v>3426.68815</v>
      </c>
      <c r="H359" s="474">
        <v>3426.68815</v>
      </c>
      <c r="I359" s="475">
        <v>7.81</v>
      </c>
      <c r="J359" s="475"/>
    </row>
    <row r="360" spans="1:10" ht="76.5" hidden="1" outlineLevel="3">
      <c r="A360" s="476" t="s">
        <v>702</v>
      </c>
      <c r="B360" s="477" t="s">
        <v>1058</v>
      </c>
      <c r="C360" s="478"/>
      <c r="D360" s="477"/>
      <c r="E360" s="479">
        <v>43884.6</v>
      </c>
      <c r="F360" s="479">
        <v>43884.6</v>
      </c>
      <c r="G360" s="479">
        <v>3426.68815</v>
      </c>
      <c r="H360" s="479">
        <v>3426.68815</v>
      </c>
      <c r="I360" s="480">
        <v>7.81</v>
      </c>
      <c r="J360" s="480"/>
    </row>
    <row r="361" spans="1:10" ht="76.5" hidden="1" outlineLevel="4">
      <c r="A361" s="481" t="s">
        <v>702</v>
      </c>
      <c r="B361" s="482" t="s">
        <v>1058</v>
      </c>
      <c r="C361" s="483" t="s">
        <v>1043</v>
      </c>
      <c r="D361" s="482" t="s">
        <v>1044</v>
      </c>
      <c r="E361" s="484">
        <v>43884.6</v>
      </c>
      <c r="F361" s="484">
        <v>43884.6</v>
      </c>
      <c r="G361" s="484">
        <v>3426.68815</v>
      </c>
      <c r="H361" s="484">
        <v>3426.68815</v>
      </c>
      <c r="I361" s="480">
        <v>7.81</v>
      </c>
      <c r="J361" s="480"/>
    </row>
    <row r="362" spans="1:10" ht="63.75" hidden="1" outlineLevel="2">
      <c r="A362" s="471" t="s">
        <v>1059</v>
      </c>
      <c r="B362" s="472" t="s">
        <v>1060</v>
      </c>
      <c r="C362" s="473"/>
      <c r="D362" s="472"/>
      <c r="E362" s="474">
        <v>4000</v>
      </c>
      <c r="F362" s="474">
        <v>4000</v>
      </c>
      <c r="G362" s="474">
        <v>4000</v>
      </c>
      <c r="H362" s="474">
        <v>4000</v>
      </c>
      <c r="I362" s="475">
        <v>100</v>
      </c>
      <c r="J362" s="475"/>
    </row>
    <row r="363" spans="1:10" ht="25.5" hidden="1" outlineLevel="3">
      <c r="A363" s="476" t="s">
        <v>706</v>
      </c>
      <c r="B363" s="477" t="s">
        <v>1061</v>
      </c>
      <c r="C363" s="478"/>
      <c r="D363" s="477"/>
      <c r="E363" s="479">
        <v>4000</v>
      </c>
      <c r="F363" s="479">
        <v>4000</v>
      </c>
      <c r="G363" s="479">
        <v>4000</v>
      </c>
      <c r="H363" s="479">
        <v>4000</v>
      </c>
      <c r="I363" s="480">
        <v>100</v>
      </c>
      <c r="J363" s="480"/>
    </row>
    <row r="364" spans="1:10" ht="25.5" hidden="1" outlineLevel="4">
      <c r="A364" s="481" t="s">
        <v>706</v>
      </c>
      <c r="B364" s="482" t="s">
        <v>1061</v>
      </c>
      <c r="C364" s="483" t="s">
        <v>1043</v>
      </c>
      <c r="D364" s="482" t="s">
        <v>1044</v>
      </c>
      <c r="E364" s="484">
        <v>4000</v>
      </c>
      <c r="F364" s="484">
        <v>4000</v>
      </c>
      <c r="G364" s="484">
        <v>4000</v>
      </c>
      <c r="H364" s="484">
        <v>4000</v>
      </c>
      <c r="I364" s="480">
        <v>100</v>
      </c>
      <c r="J364" s="480"/>
    </row>
    <row r="365" spans="1:10" ht="38.25" hidden="1" outlineLevel="1">
      <c r="A365" s="466" t="s">
        <v>1062</v>
      </c>
      <c r="B365" s="467" t="s">
        <v>1063</v>
      </c>
      <c r="C365" s="468"/>
      <c r="D365" s="467"/>
      <c r="E365" s="469">
        <v>12308604.039179999</v>
      </c>
      <c r="F365" s="469">
        <v>12308359.548350001</v>
      </c>
      <c r="G365" s="469">
        <v>5147275.9076899998</v>
      </c>
      <c r="H365" s="469">
        <v>5037250.4332100004</v>
      </c>
      <c r="I365" s="470">
        <v>40.92</v>
      </c>
      <c r="J365" s="470"/>
    </row>
    <row r="366" spans="1:10" ht="25.5" hidden="1" outlineLevel="2">
      <c r="A366" s="471" t="s">
        <v>1064</v>
      </c>
      <c r="B366" s="472" t="s">
        <v>1065</v>
      </c>
      <c r="C366" s="473"/>
      <c r="D366" s="472"/>
      <c r="E366" s="474">
        <v>21438.1</v>
      </c>
      <c r="F366" s="474">
        <v>21438.1</v>
      </c>
      <c r="G366" s="474">
        <v>9616.2076099999995</v>
      </c>
      <c r="H366" s="474">
        <v>8746.7756100000006</v>
      </c>
      <c r="I366" s="475">
        <v>40.799999999999997</v>
      </c>
      <c r="J366" s="475"/>
    </row>
    <row r="367" spans="1:10" ht="25.5" hidden="1" outlineLevel="3">
      <c r="A367" s="476" t="s">
        <v>808</v>
      </c>
      <c r="B367" s="477" t="s">
        <v>1066</v>
      </c>
      <c r="C367" s="478"/>
      <c r="D367" s="477"/>
      <c r="E367" s="479">
        <v>12569.1</v>
      </c>
      <c r="F367" s="479">
        <v>12569.1</v>
      </c>
      <c r="G367" s="479">
        <v>3154.6514000000002</v>
      </c>
      <c r="H367" s="479">
        <v>2933.3524000000002</v>
      </c>
      <c r="I367" s="480">
        <v>23.34</v>
      </c>
      <c r="J367" s="480"/>
    </row>
    <row r="368" spans="1:10" ht="25.5" hidden="1" outlineLevel="4">
      <c r="A368" s="481" t="s">
        <v>808</v>
      </c>
      <c r="B368" s="482" t="s">
        <v>1066</v>
      </c>
      <c r="C368" s="483" t="s">
        <v>1043</v>
      </c>
      <c r="D368" s="482" t="s">
        <v>1044</v>
      </c>
      <c r="E368" s="484">
        <v>12569.1</v>
      </c>
      <c r="F368" s="484">
        <v>12569.1</v>
      </c>
      <c r="G368" s="484">
        <v>3154.6514000000002</v>
      </c>
      <c r="H368" s="484">
        <v>2933.3524000000002</v>
      </c>
      <c r="I368" s="480">
        <v>23.34</v>
      </c>
      <c r="J368" s="480"/>
    </row>
    <row r="369" spans="1:10" ht="38.25" hidden="1" outlineLevel="3">
      <c r="A369" s="476" t="s">
        <v>1067</v>
      </c>
      <c r="B369" s="477" t="s">
        <v>1068</v>
      </c>
      <c r="C369" s="478"/>
      <c r="D369" s="477"/>
      <c r="E369" s="479">
        <v>2010.4</v>
      </c>
      <c r="F369" s="479">
        <v>2010.4</v>
      </c>
      <c r="G369" s="479">
        <v>1362.2656999999999</v>
      </c>
      <c r="H369" s="479">
        <v>714.1327</v>
      </c>
      <c r="I369" s="480">
        <v>35.520000000000003</v>
      </c>
      <c r="J369" s="480"/>
    </row>
    <row r="370" spans="1:10" ht="38.25" hidden="1" outlineLevel="4">
      <c r="A370" s="481" t="s">
        <v>1067</v>
      </c>
      <c r="B370" s="482" t="s">
        <v>1068</v>
      </c>
      <c r="C370" s="483" t="s">
        <v>1043</v>
      </c>
      <c r="D370" s="482" t="s">
        <v>1044</v>
      </c>
      <c r="E370" s="484">
        <v>2010.4</v>
      </c>
      <c r="F370" s="484">
        <v>2010.4</v>
      </c>
      <c r="G370" s="484">
        <v>1362.2656999999999</v>
      </c>
      <c r="H370" s="484">
        <v>714.1327</v>
      </c>
      <c r="I370" s="480">
        <v>35.520000000000003</v>
      </c>
      <c r="J370" s="480"/>
    </row>
    <row r="371" spans="1:10" ht="25.5" hidden="1" outlineLevel="3">
      <c r="A371" s="476" t="s">
        <v>706</v>
      </c>
      <c r="B371" s="477" t="s">
        <v>1069</v>
      </c>
      <c r="C371" s="478"/>
      <c r="D371" s="477"/>
      <c r="E371" s="479">
        <v>3800</v>
      </c>
      <c r="F371" s="479">
        <v>3800</v>
      </c>
      <c r="G371" s="479">
        <v>3800</v>
      </c>
      <c r="H371" s="479">
        <v>3800</v>
      </c>
      <c r="I371" s="480">
        <v>100</v>
      </c>
      <c r="J371" s="480"/>
    </row>
    <row r="372" spans="1:10" ht="25.5" hidden="1" outlineLevel="4">
      <c r="A372" s="481" t="s">
        <v>706</v>
      </c>
      <c r="B372" s="482" t="s">
        <v>1069</v>
      </c>
      <c r="C372" s="483" t="s">
        <v>1043</v>
      </c>
      <c r="D372" s="482" t="s">
        <v>1044</v>
      </c>
      <c r="E372" s="484">
        <v>3800</v>
      </c>
      <c r="F372" s="484">
        <v>3800</v>
      </c>
      <c r="G372" s="484">
        <v>3800</v>
      </c>
      <c r="H372" s="484">
        <v>3800</v>
      </c>
      <c r="I372" s="480">
        <v>100</v>
      </c>
      <c r="J372" s="480"/>
    </row>
    <row r="373" spans="1:10" ht="38.25" hidden="1" outlineLevel="3">
      <c r="A373" s="476" t="s">
        <v>1070</v>
      </c>
      <c r="B373" s="477" t="s">
        <v>1071</v>
      </c>
      <c r="C373" s="478"/>
      <c r="D373" s="477"/>
      <c r="E373" s="479">
        <v>3058.6</v>
      </c>
      <c r="F373" s="479">
        <v>3058.6</v>
      </c>
      <c r="G373" s="479">
        <v>1299.29051</v>
      </c>
      <c r="H373" s="479">
        <v>1299.29051</v>
      </c>
      <c r="I373" s="480">
        <v>42.48</v>
      </c>
      <c r="J373" s="480"/>
    </row>
    <row r="374" spans="1:10" ht="38.25" hidden="1" outlineLevel="4">
      <c r="A374" s="481" t="s">
        <v>1070</v>
      </c>
      <c r="B374" s="482" t="s">
        <v>1071</v>
      </c>
      <c r="C374" s="483" t="s">
        <v>1043</v>
      </c>
      <c r="D374" s="482" t="s">
        <v>1044</v>
      </c>
      <c r="E374" s="484">
        <v>3058.6</v>
      </c>
      <c r="F374" s="484">
        <v>3058.6</v>
      </c>
      <c r="G374" s="484">
        <v>1299.29051</v>
      </c>
      <c r="H374" s="484">
        <v>1299.29051</v>
      </c>
      <c r="I374" s="480">
        <v>42.48</v>
      </c>
      <c r="J374" s="480"/>
    </row>
    <row r="375" spans="1:10" ht="38.25" hidden="1" outlineLevel="2">
      <c r="A375" s="471" t="s">
        <v>1072</v>
      </c>
      <c r="B375" s="472" t="s">
        <v>1073</v>
      </c>
      <c r="C375" s="473"/>
      <c r="D375" s="472"/>
      <c r="E375" s="474">
        <v>71.5</v>
      </c>
      <c r="F375" s="474">
        <v>64.2</v>
      </c>
      <c r="G375" s="474">
        <v>64.2</v>
      </c>
      <c r="H375" s="474">
        <v>64.2</v>
      </c>
      <c r="I375" s="475">
        <v>89.79</v>
      </c>
      <c r="J375" s="475"/>
    </row>
    <row r="376" spans="1:10" ht="25.5" hidden="1" outlineLevel="3">
      <c r="A376" s="476" t="s">
        <v>808</v>
      </c>
      <c r="B376" s="477" t="s">
        <v>1074</v>
      </c>
      <c r="C376" s="478"/>
      <c r="D376" s="477"/>
      <c r="E376" s="479">
        <v>71.5</v>
      </c>
      <c r="F376" s="479">
        <v>64.2</v>
      </c>
      <c r="G376" s="479">
        <v>64.2</v>
      </c>
      <c r="H376" s="479">
        <v>64.2</v>
      </c>
      <c r="I376" s="480">
        <v>89.79</v>
      </c>
      <c r="J376" s="480"/>
    </row>
    <row r="377" spans="1:10" ht="25.5" hidden="1" outlineLevel="4">
      <c r="A377" s="481" t="s">
        <v>808</v>
      </c>
      <c r="B377" s="482" t="s">
        <v>1074</v>
      </c>
      <c r="C377" s="483" t="s">
        <v>896</v>
      </c>
      <c r="D377" s="482" t="s">
        <v>897</v>
      </c>
      <c r="E377" s="484">
        <v>71.5</v>
      </c>
      <c r="F377" s="484">
        <v>64.2</v>
      </c>
      <c r="G377" s="484">
        <v>64.2</v>
      </c>
      <c r="H377" s="484">
        <v>64.2</v>
      </c>
      <c r="I377" s="480">
        <v>89.79</v>
      </c>
      <c r="J377" s="480"/>
    </row>
    <row r="378" spans="1:10" ht="76.5" hidden="1" outlineLevel="2">
      <c r="A378" s="471" t="s">
        <v>1075</v>
      </c>
      <c r="B378" s="472" t="s">
        <v>1076</v>
      </c>
      <c r="C378" s="473"/>
      <c r="D378" s="472"/>
      <c r="E378" s="474">
        <v>12699.5</v>
      </c>
      <c r="F378" s="474">
        <v>12462.30917</v>
      </c>
      <c r="G378" s="474">
        <v>2943.5605300000002</v>
      </c>
      <c r="H378" s="474">
        <v>2482.9605299999998</v>
      </c>
      <c r="I378" s="475">
        <v>19.55</v>
      </c>
      <c r="J378" s="475"/>
    </row>
    <row r="379" spans="1:10" ht="25.5" hidden="1" outlineLevel="3">
      <c r="A379" s="476" t="s">
        <v>1077</v>
      </c>
      <c r="B379" s="477" t="s">
        <v>1078</v>
      </c>
      <c r="C379" s="478"/>
      <c r="D379" s="477"/>
      <c r="E379" s="479">
        <v>5796</v>
      </c>
      <c r="F379" s="479">
        <v>5558.8091700000004</v>
      </c>
      <c r="G379" s="479">
        <v>2010.16227</v>
      </c>
      <c r="H379" s="479">
        <v>1549.5622699999999</v>
      </c>
      <c r="I379" s="480">
        <v>26.74</v>
      </c>
      <c r="J379" s="480"/>
    </row>
    <row r="380" spans="1:10" ht="25.5" hidden="1" outlineLevel="4">
      <c r="A380" s="481" t="s">
        <v>1077</v>
      </c>
      <c r="B380" s="482" t="s">
        <v>1078</v>
      </c>
      <c r="C380" s="483" t="s">
        <v>896</v>
      </c>
      <c r="D380" s="482" t="s">
        <v>897</v>
      </c>
      <c r="E380" s="484">
        <v>726.5</v>
      </c>
      <c r="F380" s="484">
        <v>539</v>
      </c>
      <c r="G380" s="484">
        <v>539</v>
      </c>
      <c r="H380" s="484">
        <v>539</v>
      </c>
      <c r="I380" s="480">
        <v>74.19</v>
      </c>
      <c r="J380" s="480"/>
    </row>
    <row r="381" spans="1:10" ht="25.5" hidden="1" outlineLevel="4">
      <c r="A381" s="481" t="s">
        <v>1077</v>
      </c>
      <c r="B381" s="482" t="s">
        <v>1078</v>
      </c>
      <c r="C381" s="483" t="s">
        <v>1043</v>
      </c>
      <c r="D381" s="482" t="s">
        <v>1044</v>
      </c>
      <c r="E381" s="484">
        <v>5069.5</v>
      </c>
      <c r="F381" s="484">
        <v>5019.8091700000004</v>
      </c>
      <c r="G381" s="484">
        <v>1471.16227</v>
      </c>
      <c r="H381" s="484">
        <v>1010.56227</v>
      </c>
      <c r="I381" s="480">
        <v>19.93</v>
      </c>
      <c r="J381" s="480"/>
    </row>
    <row r="382" spans="1:10" ht="25.5" hidden="1" outlineLevel="3">
      <c r="A382" s="476" t="s">
        <v>713</v>
      </c>
      <c r="B382" s="477" t="s">
        <v>1079</v>
      </c>
      <c r="C382" s="478"/>
      <c r="D382" s="477"/>
      <c r="E382" s="479">
        <v>5050.6000000000004</v>
      </c>
      <c r="F382" s="479">
        <v>5050.6000000000004</v>
      </c>
      <c r="G382" s="479">
        <v>853.39422999999999</v>
      </c>
      <c r="H382" s="479">
        <v>853.39422999999999</v>
      </c>
      <c r="I382" s="480">
        <v>16.899999999999999</v>
      </c>
      <c r="J382" s="480"/>
    </row>
    <row r="383" spans="1:10" ht="25.5" hidden="1" outlineLevel="4">
      <c r="A383" s="481" t="s">
        <v>713</v>
      </c>
      <c r="B383" s="482" t="s">
        <v>1079</v>
      </c>
      <c r="C383" s="483" t="s">
        <v>1043</v>
      </c>
      <c r="D383" s="482" t="s">
        <v>1044</v>
      </c>
      <c r="E383" s="484">
        <v>5050.6000000000004</v>
      </c>
      <c r="F383" s="484">
        <v>5050.6000000000004</v>
      </c>
      <c r="G383" s="484">
        <v>853.39422999999999</v>
      </c>
      <c r="H383" s="484">
        <v>853.39422999999999</v>
      </c>
      <c r="I383" s="480">
        <v>16.899999999999999</v>
      </c>
      <c r="J383" s="480"/>
    </row>
    <row r="384" spans="1:10" ht="25.5" hidden="1" outlineLevel="3">
      <c r="A384" s="476" t="s">
        <v>706</v>
      </c>
      <c r="B384" s="477" t="s">
        <v>1080</v>
      </c>
      <c r="C384" s="478"/>
      <c r="D384" s="477"/>
      <c r="E384" s="479">
        <v>859.8</v>
      </c>
      <c r="F384" s="479">
        <v>859.8</v>
      </c>
      <c r="G384" s="479">
        <v>80.00403</v>
      </c>
      <c r="H384" s="479">
        <v>80.00403</v>
      </c>
      <c r="I384" s="480">
        <v>9.3000000000000007</v>
      </c>
      <c r="J384" s="480"/>
    </row>
    <row r="385" spans="1:10" ht="25.5" hidden="1" outlineLevel="4">
      <c r="A385" s="481" t="s">
        <v>706</v>
      </c>
      <c r="B385" s="482" t="s">
        <v>1080</v>
      </c>
      <c r="C385" s="483" t="s">
        <v>1043</v>
      </c>
      <c r="D385" s="482" t="s">
        <v>1044</v>
      </c>
      <c r="E385" s="484">
        <v>859.8</v>
      </c>
      <c r="F385" s="484">
        <v>859.8</v>
      </c>
      <c r="G385" s="484">
        <v>80.00403</v>
      </c>
      <c r="H385" s="484">
        <v>80.00403</v>
      </c>
      <c r="I385" s="480">
        <v>9.3000000000000007</v>
      </c>
      <c r="J385" s="480"/>
    </row>
    <row r="386" spans="1:10" ht="38.25" hidden="1" outlineLevel="3">
      <c r="A386" s="476" t="s">
        <v>1070</v>
      </c>
      <c r="B386" s="477" t="s">
        <v>1081</v>
      </c>
      <c r="C386" s="478"/>
      <c r="D386" s="477"/>
      <c r="E386" s="479">
        <v>993.1</v>
      </c>
      <c r="F386" s="479">
        <v>993.1</v>
      </c>
      <c r="G386" s="479">
        <v>0</v>
      </c>
      <c r="H386" s="479">
        <v>0</v>
      </c>
      <c r="I386" s="480">
        <v>0</v>
      </c>
      <c r="J386" s="480"/>
    </row>
    <row r="387" spans="1:10" ht="38.25" hidden="1" outlineLevel="4">
      <c r="A387" s="481" t="s">
        <v>1070</v>
      </c>
      <c r="B387" s="482" t="s">
        <v>1081</v>
      </c>
      <c r="C387" s="483" t="s">
        <v>1043</v>
      </c>
      <c r="D387" s="482" t="s">
        <v>1044</v>
      </c>
      <c r="E387" s="484">
        <v>993.1</v>
      </c>
      <c r="F387" s="484">
        <v>993.1</v>
      </c>
      <c r="G387" s="484">
        <v>0</v>
      </c>
      <c r="H387" s="484">
        <v>0</v>
      </c>
      <c r="I387" s="480">
        <v>0</v>
      </c>
      <c r="J387" s="480"/>
    </row>
    <row r="388" spans="1:10" ht="51" hidden="1" outlineLevel="2">
      <c r="A388" s="471" t="s">
        <v>1082</v>
      </c>
      <c r="B388" s="472" t="s">
        <v>1083</v>
      </c>
      <c r="C388" s="473"/>
      <c r="D388" s="472"/>
      <c r="E388" s="474">
        <v>9586116.0999999996</v>
      </c>
      <c r="F388" s="474">
        <v>9586116.0999999996</v>
      </c>
      <c r="G388" s="474">
        <v>4358855.2219399996</v>
      </c>
      <c r="H388" s="474">
        <v>4262975.8340800004</v>
      </c>
      <c r="I388" s="475">
        <v>44.47</v>
      </c>
      <c r="J388" s="475"/>
    </row>
    <row r="389" spans="1:10" ht="51" hidden="1" outlineLevel="3">
      <c r="A389" s="476" t="s">
        <v>1084</v>
      </c>
      <c r="B389" s="477" t="s">
        <v>1085</v>
      </c>
      <c r="C389" s="478"/>
      <c r="D389" s="477"/>
      <c r="E389" s="479">
        <v>6804</v>
      </c>
      <c r="F389" s="479">
        <v>6804</v>
      </c>
      <c r="G389" s="479">
        <v>3269</v>
      </c>
      <c r="H389" s="479">
        <v>3248</v>
      </c>
      <c r="I389" s="480">
        <v>47.74</v>
      </c>
      <c r="J389" s="480"/>
    </row>
    <row r="390" spans="1:10" ht="51" hidden="1" outlineLevel="4">
      <c r="A390" s="481" t="s">
        <v>1084</v>
      </c>
      <c r="B390" s="482" t="s">
        <v>1085</v>
      </c>
      <c r="C390" s="483" t="s">
        <v>1043</v>
      </c>
      <c r="D390" s="482" t="s">
        <v>1044</v>
      </c>
      <c r="E390" s="484">
        <v>6804</v>
      </c>
      <c r="F390" s="484">
        <v>6804</v>
      </c>
      <c r="G390" s="484">
        <v>3269</v>
      </c>
      <c r="H390" s="484">
        <v>3248</v>
      </c>
      <c r="I390" s="480">
        <v>47.74</v>
      </c>
      <c r="J390" s="480"/>
    </row>
    <row r="391" spans="1:10" ht="51" hidden="1" outlineLevel="3">
      <c r="A391" s="476" t="s">
        <v>1086</v>
      </c>
      <c r="B391" s="477" t="s">
        <v>1087</v>
      </c>
      <c r="C391" s="478"/>
      <c r="D391" s="477"/>
      <c r="E391" s="479">
        <v>1788387.2</v>
      </c>
      <c r="F391" s="479">
        <v>1788387.2</v>
      </c>
      <c r="G391" s="479">
        <v>820440.99578999996</v>
      </c>
      <c r="H391" s="479">
        <v>816551.32059000002</v>
      </c>
      <c r="I391" s="480">
        <v>45.66</v>
      </c>
      <c r="J391" s="480"/>
    </row>
    <row r="392" spans="1:10" ht="51" hidden="1" outlineLevel="4">
      <c r="A392" s="481" t="s">
        <v>1086</v>
      </c>
      <c r="B392" s="482" t="s">
        <v>1087</v>
      </c>
      <c r="C392" s="483" t="s">
        <v>1043</v>
      </c>
      <c r="D392" s="482" t="s">
        <v>1044</v>
      </c>
      <c r="E392" s="484">
        <v>1788387.2</v>
      </c>
      <c r="F392" s="484">
        <v>1788387.2</v>
      </c>
      <c r="G392" s="484">
        <v>820440.99578999996</v>
      </c>
      <c r="H392" s="484">
        <v>816551.32059000002</v>
      </c>
      <c r="I392" s="480">
        <v>45.66</v>
      </c>
      <c r="J392" s="480"/>
    </row>
    <row r="393" spans="1:10" ht="51" hidden="1" outlineLevel="3">
      <c r="A393" s="476" t="s">
        <v>1088</v>
      </c>
      <c r="B393" s="477" t="s">
        <v>1089</v>
      </c>
      <c r="C393" s="478"/>
      <c r="D393" s="477"/>
      <c r="E393" s="479">
        <v>39699.4</v>
      </c>
      <c r="F393" s="479">
        <v>39699.4</v>
      </c>
      <c r="G393" s="479">
        <v>18042.141589999999</v>
      </c>
      <c r="H393" s="479">
        <v>17793.141629999998</v>
      </c>
      <c r="I393" s="480">
        <v>44.82</v>
      </c>
      <c r="J393" s="480"/>
    </row>
    <row r="394" spans="1:10" ht="51" hidden="1" outlineLevel="4">
      <c r="A394" s="481" t="s">
        <v>1088</v>
      </c>
      <c r="B394" s="482" t="s">
        <v>1089</v>
      </c>
      <c r="C394" s="483" t="s">
        <v>1043</v>
      </c>
      <c r="D394" s="482" t="s">
        <v>1044</v>
      </c>
      <c r="E394" s="484">
        <v>39699.4</v>
      </c>
      <c r="F394" s="484">
        <v>39699.4</v>
      </c>
      <c r="G394" s="484">
        <v>18042.141589999999</v>
      </c>
      <c r="H394" s="484">
        <v>17793.141629999998</v>
      </c>
      <c r="I394" s="480">
        <v>44.82</v>
      </c>
      <c r="J394" s="480"/>
    </row>
    <row r="395" spans="1:10" ht="25.5" hidden="1" outlineLevel="3">
      <c r="A395" s="476" t="s">
        <v>1090</v>
      </c>
      <c r="B395" s="477" t="s">
        <v>1091</v>
      </c>
      <c r="C395" s="478"/>
      <c r="D395" s="477"/>
      <c r="E395" s="479">
        <v>994374.4</v>
      </c>
      <c r="F395" s="479">
        <v>994374.4</v>
      </c>
      <c r="G395" s="479">
        <v>482301.99312</v>
      </c>
      <c r="H395" s="479">
        <v>480502.29651999997</v>
      </c>
      <c r="I395" s="480">
        <v>48.32</v>
      </c>
      <c r="J395" s="480"/>
    </row>
    <row r="396" spans="1:10" ht="25.5" hidden="1" outlineLevel="4">
      <c r="A396" s="481" t="s">
        <v>1090</v>
      </c>
      <c r="B396" s="482" t="s">
        <v>1091</v>
      </c>
      <c r="C396" s="483" t="s">
        <v>1043</v>
      </c>
      <c r="D396" s="482" t="s">
        <v>1044</v>
      </c>
      <c r="E396" s="484">
        <v>994374.4</v>
      </c>
      <c r="F396" s="484">
        <v>994374.4</v>
      </c>
      <c r="G396" s="484">
        <v>482301.99312</v>
      </c>
      <c r="H396" s="484">
        <v>480502.29651999997</v>
      </c>
      <c r="I396" s="480">
        <v>48.32</v>
      </c>
      <c r="J396" s="480"/>
    </row>
    <row r="397" spans="1:10" ht="25.5" hidden="1" outlineLevel="3">
      <c r="A397" s="476" t="s">
        <v>1092</v>
      </c>
      <c r="B397" s="477" t="s">
        <v>1093</v>
      </c>
      <c r="C397" s="478"/>
      <c r="D397" s="477"/>
      <c r="E397" s="479">
        <v>368.2</v>
      </c>
      <c r="F397" s="479">
        <v>368.2</v>
      </c>
      <c r="G397" s="479">
        <v>135.95506</v>
      </c>
      <c r="H397" s="479">
        <v>130.21047999999999</v>
      </c>
      <c r="I397" s="480">
        <v>35.36</v>
      </c>
      <c r="J397" s="480"/>
    </row>
    <row r="398" spans="1:10" ht="25.5" hidden="1" outlineLevel="4">
      <c r="A398" s="481" t="s">
        <v>1092</v>
      </c>
      <c r="B398" s="482" t="s">
        <v>1093</v>
      </c>
      <c r="C398" s="483" t="s">
        <v>1043</v>
      </c>
      <c r="D398" s="482" t="s">
        <v>1044</v>
      </c>
      <c r="E398" s="484">
        <v>368.2</v>
      </c>
      <c r="F398" s="484">
        <v>368.2</v>
      </c>
      <c r="G398" s="484">
        <v>135.95506</v>
      </c>
      <c r="H398" s="484">
        <v>130.21047999999999</v>
      </c>
      <c r="I398" s="480">
        <v>35.36</v>
      </c>
      <c r="J398" s="480"/>
    </row>
    <row r="399" spans="1:10" ht="51" hidden="1" outlineLevel="3">
      <c r="A399" s="476" t="s">
        <v>1094</v>
      </c>
      <c r="B399" s="477" t="s">
        <v>1095</v>
      </c>
      <c r="C399" s="478"/>
      <c r="D399" s="477"/>
      <c r="E399" s="479">
        <v>11288.7</v>
      </c>
      <c r="F399" s="479">
        <v>11288.7</v>
      </c>
      <c r="G399" s="479">
        <v>5332.6238000000003</v>
      </c>
      <c r="H399" s="479">
        <v>5250.6106600000003</v>
      </c>
      <c r="I399" s="480">
        <v>46.51</v>
      </c>
      <c r="J399" s="480"/>
    </row>
    <row r="400" spans="1:10" ht="51" hidden="1" outlineLevel="4">
      <c r="A400" s="481" t="s">
        <v>1094</v>
      </c>
      <c r="B400" s="482" t="s">
        <v>1095</v>
      </c>
      <c r="C400" s="483" t="s">
        <v>1043</v>
      </c>
      <c r="D400" s="482" t="s">
        <v>1044</v>
      </c>
      <c r="E400" s="484">
        <v>11288.7</v>
      </c>
      <c r="F400" s="484">
        <v>11288.7</v>
      </c>
      <c r="G400" s="484">
        <v>5332.6238000000003</v>
      </c>
      <c r="H400" s="484">
        <v>5250.6106600000003</v>
      </c>
      <c r="I400" s="480">
        <v>46.51</v>
      </c>
      <c r="J400" s="480"/>
    </row>
    <row r="401" spans="1:10" ht="38.25" hidden="1" outlineLevel="3">
      <c r="A401" s="476" t="s">
        <v>1096</v>
      </c>
      <c r="B401" s="477" t="s">
        <v>1097</v>
      </c>
      <c r="C401" s="478"/>
      <c r="D401" s="477"/>
      <c r="E401" s="479">
        <v>184520.6</v>
      </c>
      <c r="F401" s="479">
        <v>184520.6</v>
      </c>
      <c r="G401" s="479">
        <v>90099.560729999997</v>
      </c>
      <c r="H401" s="479">
        <v>89663.525349999996</v>
      </c>
      <c r="I401" s="480">
        <v>48.59</v>
      </c>
      <c r="J401" s="480"/>
    </row>
    <row r="402" spans="1:10" ht="38.25" hidden="1" outlineLevel="4">
      <c r="A402" s="481" t="s">
        <v>1096</v>
      </c>
      <c r="B402" s="482" t="s">
        <v>1097</v>
      </c>
      <c r="C402" s="483" t="s">
        <v>1043</v>
      </c>
      <c r="D402" s="482" t="s">
        <v>1044</v>
      </c>
      <c r="E402" s="484">
        <v>184520.6</v>
      </c>
      <c r="F402" s="484">
        <v>184520.6</v>
      </c>
      <c r="G402" s="484">
        <v>90099.560729999997</v>
      </c>
      <c r="H402" s="484">
        <v>89663.525349999996</v>
      </c>
      <c r="I402" s="480">
        <v>48.59</v>
      </c>
      <c r="J402" s="480"/>
    </row>
    <row r="403" spans="1:10" ht="38.25" hidden="1" outlineLevel="3">
      <c r="A403" s="476" t="s">
        <v>1098</v>
      </c>
      <c r="B403" s="477" t="s">
        <v>1099</v>
      </c>
      <c r="C403" s="478"/>
      <c r="D403" s="477"/>
      <c r="E403" s="479">
        <v>271628</v>
      </c>
      <c r="F403" s="479">
        <v>271628</v>
      </c>
      <c r="G403" s="479">
        <v>124570.72444999999</v>
      </c>
      <c r="H403" s="479">
        <v>122742.20653</v>
      </c>
      <c r="I403" s="480">
        <v>45.19</v>
      </c>
      <c r="J403" s="480"/>
    </row>
    <row r="404" spans="1:10" ht="38.25" hidden="1" outlineLevel="4">
      <c r="A404" s="481" t="s">
        <v>1098</v>
      </c>
      <c r="B404" s="482" t="s">
        <v>1099</v>
      </c>
      <c r="C404" s="483" t="s">
        <v>1043</v>
      </c>
      <c r="D404" s="482" t="s">
        <v>1044</v>
      </c>
      <c r="E404" s="484">
        <v>271628</v>
      </c>
      <c r="F404" s="484">
        <v>271628</v>
      </c>
      <c r="G404" s="484">
        <v>124570.72444999999</v>
      </c>
      <c r="H404" s="484">
        <v>122742.20653</v>
      </c>
      <c r="I404" s="480">
        <v>45.19</v>
      </c>
      <c r="J404" s="480"/>
    </row>
    <row r="405" spans="1:10" hidden="1" outlineLevel="3">
      <c r="A405" s="476" t="s">
        <v>1100</v>
      </c>
      <c r="B405" s="477" t="s">
        <v>1101</v>
      </c>
      <c r="C405" s="478"/>
      <c r="D405" s="477"/>
      <c r="E405" s="479">
        <v>237589.4</v>
      </c>
      <c r="F405" s="479">
        <v>237589.4</v>
      </c>
      <c r="G405" s="479">
        <v>126163.18424</v>
      </c>
      <c r="H405" s="479">
        <v>125217.75632</v>
      </c>
      <c r="I405" s="480">
        <v>52.7</v>
      </c>
      <c r="J405" s="480"/>
    </row>
    <row r="406" spans="1:10" ht="25.5" hidden="1" outlineLevel="4">
      <c r="A406" s="481" t="s">
        <v>1100</v>
      </c>
      <c r="B406" s="482" t="s">
        <v>1101</v>
      </c>
      <c r="C406" s="483" t="s">
        <v>1043</v>
      </c>
      <c r="D406" s="482" t="s">
        <v>1044</v>
      </c>
      <c r="E406" s="484">
        <v>237589.4</v>
      </c>
      <c r="F406" s="484">
        <v>237589.4</v>
      </c>
      <c r="G406" s="484">
        <v>126163.18424</v>
      </c>
      <c r="H406" s="484">
        <v>125217.75632</v>
      </c>
      <c r="I406" s="480">
        <v>52.7</v>
      </c>
      <c r="J406" s="480"/>
    </row>
    <row r="407" spans="1:10" ht="25.5" hidden="1" outlineLevel="3">
      <c r="A407" s="476" t="s">
        <v>1102</v>
      </c>
      <c r="B407" s="477" t="s">
        <v>1103</v>
      </c>
      <c r="C407" s="478"/>
      <c r="D407" s="477"/>
      <c r="E407" s="479">
        <v>160626.4</v>
      </c>
      <c r="F407" s="479">
        <v>160626.4</v>
      </c>
      <c r="G407" s="479">
        <v>72422.782770000005</v>
      </c>
      <c r="H407" s="479">
        <v>67645.283420000007</v>
      </c>
      <c r="I407" s="480">
        <v>42.11</v>
      </c>
      <c r="J407" s="480"/>
    </row>
    <row r="408" spans="1:10" ht="25.5" hidden="1" outlineLevel="4">
      <c r="A408" s="481" t="s">
        <v>1102</v>
      </c>
      <c r="B408" s="482" t="s">
        <v>1103</v>
      </c>
      <c r="C408" s="483" t="s">
        <v>1043</v>
      </c>
      <c r="D408" s="482" t="s">
        <v>1044</v>
      </c>
      <c r="E408" s="484">
        <v>160626.4</v>
      </c>
      <c r="F408" s="484">
        <v>160626.4</v>
      </c>
      <c r="G408" s="484">
        <v>72422.782770000005</v>
      </c>
      <c r="H408" s="484">
        <v>67645.283420000007</v>
      </c>
      <c r="I408" s="480">
        <v>42.11</v>
      </c>
      <c r="J408" s="480"/>
    </row>
    <row r="409" spans="1:10" ht="25.5" hidden="1" outlineLevel="3">
      <c r="A409" s="476" t="s">
        <v>1104</v>
      </c>
      <c r="B409" s="477" t="s">
        <v>1105</v>
      </c>
      <c r="C409" s="478"/>
      <c r="D409" s="477"/>
      <c r="E409" s="479">
        <v>10550.7</v>
      </c>
      <c r="F409" s="479">
        <v>10550.7</v>
      </c>
      <c r="G409" s="479">
        <v>457.22147999999999</v>
      </c>
      <c r="H409" s="479">
        <v>203.49204</v>
      </c>
      <c r="I409" s="480">
        <v>1.93</v>
      </c>
      <c r="J409" s="480"/>
    </row>
    <row r="410" spans="1:10" ht="25.5" hidden="1" outlineLevel="4">
      <c r="A410" s="481" t="s">
        <v>1104</v>
      </c>
      <c r="B410" s="482" t="s">
        <v>1105</v>
      </c>
      <c r="C410" s="483" t="s">
        <v>1043</v>
      </c>
      <c r="D410" s="482" t="s">
        <v>1044</v>
      </c>
      <c r="E410" s="484">
        <v>10550.7</v>
      </c>
      <c r="F410" s="484">
        <v>10550.7</v>
      </c>
      <c r="G410" s="484">
        <v>457.22147999999999</v>
      </c>
      <c r="H410" s="484">
        <v>203.49204</v>
      </c>
      <c r="I410" s="480">
        <v>1.93</v>
      </c>
      <c r="J410" s="480"/>
    </row>
    <row r="411" spans="1:10" ht="38.25" hidden="1" outlineLevel="3">
      <c r="A411" s="476" t="s">
        <v>1106</v>
      </c>
      <c r="B411" s="477" t="s">
        <v>1107</v>
      </c>
      <c r="C411" s="478"/>
      <c r="D411" s="477"/>
      <c r="E411" s="479">
        <v>3330.1</v>
      </c>
      <c r="F411" s="479">
        <v>3330.1</v>
      </c>
      <c r="G411" s="479">
        <v>999.0027</v>
      </c>
      <c r="H411" s="479">
        <v>999.0027</v>
      </c>
      <c r="I411" s="480">
        <v>30</v>
      </c>
      <c r="J411" s="480"/>
    </row>
    <row r="412" spans="1:10" ht="38.25" hidden="1" outlineLevel="4">
      <c r="A412" s="481" t="s">
        <v>1106</v>
      </c>
      <c r="B412" s="482" t="s">
        <v>1107</v>
      </c>
      <c r="C412" s="483" t="s">
        <v>1043</v>
      </c>
      <c r="D412" s="482" t="s">
        <v>1044</v>
      </c>
      <c r="E412" s="484">
        <v>3330.1</v>
      </c>
      <c r="F412" s="484">
        <v>3330.1</v>
      </c>
      <c r="G412" s="484">
        <v>999.0027</v>
      </c>
      <c r="H412" s="484">
        <v>999.0027</v>
      </c>
      <c r="I412" s="480">
        <v>30</v>
      </c>
      <c r="J412" s="480"/>
    </row>
    <row r="413" spans="1:10" ht="51" hidden="1" outlineLevel="3">
      <c r="A413" s="476" t="s">
        <v>1108</v>
      </c>
      <c r="B413" s="477" t="s">
        <v>1109</v>
      </c>
      <c r="C413" s="478"/>
      <c r="D413" s="477"/>
      <c r="E413" s="479">
        <v>85</v>
      </c>
      <c r="F413" s="479">
        <v>85</v>
      </c>
      <c r="G413" s="479">
        <v>75</v>
      </c>
      <c r="H413" s="479">
        <v>75</v>
      </c>
      <c r="I413" s="480">
        <v>88.24</v>
      </c>
      <c r="J413" s="480"/>
    </row>
    <row r="414" spans="1:10" ht="51" hidden="1" outlineLevel="4">
      <c r="A414" s="481" t="s">
        <v>1108</v>
      </c>
      <c r="B414" s="482" t="s">
        <v>1109</v>
      </c>
      <c r="C414" s="483" t="s">
        <v>1043</v>
      </c>
      <c r="D414" s="482" t="s">
        <v>1044</v>
      </c>
      <c r="E414" s="484">
        <v>85</v>
      </c>
      <c r="F414" s="484">
        <v>85</v>
      </c>
      <c r="G414" s="484">
        <v>75</v>
      </c>
      <c r="H414" s="484">
        <v>75</v>
      </c>
      <c r="I414" s="480">
        <v>88.24</v>
      </c>
      <c r="J414" s="480"/>
    </row>
    <row r="415" spans="1:10" ht="38.25" hidden="1" outlineLevel="3">
      <c r="A415" s="476" t="s">
        <v>1110</v>
      </c>
      <c r="B415" s="477" t="s">
        <v>1111</v>
      </c>
      <c r="C415" s="478"/>
      <c r="D415" s="477"/>
      <c r="E415" s="479">
        <v>7321.5</v>
      </c>
      <c r="F415" s="479">
        <v>7321.5</v>
      </c>
      <c r="G415" s="479">
        <v>3775</v>
      </c>
      <c r="H415" s="479">
        <v>3735</v>
      </c>
      <c r="I415" s="480">
        <v>51.01</v>
      </c>
      <c r="J415" s="480"/>
    </row>
    <row r="416" spans="1:10" ht="38.25" hidden="1" outlineLevel="4">
      <c r="A416" s="481" t="s">
        <v>1110</v>
      </c>
      <c r="B416" s="482" t="s">
        <v>1111</v>
      </c>
      <c r="C416" s="483" t="s">
        <v>1043</v>
      </c>
      <c r="D416" s="482" t="s">
        <v>1044</v>
      </c>
      <c r="E416" s="484">
        <v>7321.5</v>
      </c>
      <c r="F416" s="484">
        <v>7321.5</v>
      </c>
      <c r="G416" s="484">
        <v>3775</v>
      </c>
      <c r="H416" s="484">
        <v>3735</v>
      </c>
      <c r="I416" s="480">
        <v>51.01</v>
      </c>
      <c r="J416" s="480"/>
    </row>
    <row r="417" spans="1:10" ht="25.5" hidden="1" outlineLevel="3">
      <c r="A417" s="476" t="s">
        <v>1112</v>
      </c>
      <c r="B417" s="477" t="s">
        <v>1113</v>
      </c>
      <c r="C417" s="478"/>
      <c r="D417" s="477"/>
      <c r="E417" s="479">
        <v>1110.5</v>
      </c>
      <c r="F417" s="479">
        <v>1110.5</v>
      </c>
      <c r="G417" s="479">
        <v>1110.1188</v>
      </c>
      <c r="H417" s="479">
        <v>1108.9187999999999</v>
      </c>
      <c r="I417" s="480">
        <v>99.86</v>
      </c>
      <c r="J417" s="480"/>
    </row>
    <row r="418" spans="1:10" ht="25.5" hidden="1" outlineLevel="4">
      <c r="A418" s="481" t="s">
        <v>1112</v>
      </c>
      <c r="B418" s="482" t="s">
        <v>1113</v>
      </c>
      <c r="C418" s="483" t="s">
        <v>1043</v>
      </c>
      <c r="D418" s="482" t="s">
        <v>1044</v>
      </c>
      <c r="E418" s="484">
        <v>1110.5</v>
      </c>
      <c r="F418" s="484">
        <v>1110.5</v>
      </c>
      <c r="G418" s="484">
        <v>1110.1188</v>
      </c>
      <c r="H418" s="484">
        <v>1108.9187999999999</v>
      </c>
      <c r="I418" s="480">
        <v>99.86</v>
      </c>
      <c r="J418" s="480"/>
    </row>
    <row r="419" spans="1:10" ht="38.25" hidden="1" outlineLevel="3">
      <c r="A419" s="476" t="s">
        <v>1114</v>
      </c>
      <c r="B419" s="477" t="s">
        <v>1115</v>
      </c>
      <c r="C419" s="478"/>
      <c r="D419" s="477"/>
      <c r="E419" s="479">
        <v>27822</v>
      </c>
      <c r="F419" s="479">
        <v>27822</v>
      </c>
      <c r="G419" s="479">
        <v>25948.68</v>
      </c>
      <c r="H419" s="479">
        <v>25578.32</v>
      </c>
      <c r="I419" s="480">
        <v>91.94</v>
      </c>
      <c r="J419" s="480"/>
    </row>
    <row r="420" spans="1:10" ht="38.25" hidden="1" outlineLevel="4">
      <c r="A420" s="481" t="s">
        <v>1114</v>
      </c>
      <c r="B420" s="482" t="s">
        <v>1115</v>
      </c>
      <c r="C420" s="483" t="s">
        <v>1043</v>
      </c>
      <c r="D420" s="482" t="s">
        <v>1044</v>
      </c>
      <c r="E420" s="484">
        <v>27822</v>
      </c>
      <c r="F420" s="484">
        <v>27822</v>
      </c>
      <c r="G420" s="484">
        <v>25948.68</v>
      </c>
      <c r="H420" s="484">
        <v>25578.32</v>
      </c>
      <c r="I420" s="480">
        <v>91.94</v>
      </c>
      <c r="J420" s="480"/>
    </row>
    <row r="421" spans="1:10" ht="38.25" hidden="1" outlineLevel="3">
      <c r="A421" s="476" t="s">
        <v>1116</v>
      </c>
      <c r="B421" s="477" t="s">
        <v>1117</v>
      </c>
      <c r="C421" s="478"/>
      <c r="D421" s="477"/>
      <c r="E421" s="479">
        <v>1167.2</v>
      </c>
      <c r="F421" s="479">
        <v>1167.2</v>
      </c>
      <c r="G421" s="479">
        <v>0</v>
      </c>
      <c r="H421" s="479">
        <v>0</v>
      </c>
      <c r="I421" s="480">
        <v>0</v>
      </c>
      <c r="J421" s="480"/>
    </row>
    <row r="422" spans="1:10" ht="38.25" hidden="1" outlineLevel="4">
      <c r="A422" s="481" t="s">
        <v>1116</v>
      </c>
      <c r="B422" s="482" t="s">
        <v>1117</v>
      </c>
      <c r="C422" s="483" t="s">
        <v>1043</v>
      </c>
      <c r="D422" s="482" t="s">
        <v>1044</v>
      </c>
      <c r="E422" s="484">
        <v>1167.2</v>
      </c>
      <c r="F422" s="484">
        <v>1167.2</v>
      </c>
      <c r="G422" s="484">
        <v>0</v>
      </c>
      <c r="H422" s="484">
        <v>0</v>
      </c>
      <c r="I422" s="480">
        <v>0</v>
      </c>
      <c r="J422" s="480"/>
    </row>
    <row r="423" spans="1:10" ht="38.25" hidden="1" outlineLevel="3">
      <c r="A423" s="476" t="s">
        <v>1118</v>
      </c>
      <c r="B423" s="477" t="s">
        <v>1119</v>
      </c>
      <c r="C423" s="478"/>
      <c r="D423" s="477"/>
      <c r="E423" s="479">
        <v>31957</v>
      </c>
      <c r="F423" s="479">
        <v>31957</v>
      </c>
      <c r="G423" s="479">
        <v>30899.173999999999</v>
      </c>
      <c r="H423" s="479">
        <v>30624.03</v>
      </c>
      <c r="I423" s="480">
        <v>95.83</v>
      </c>
      <c r="J423" s="480"/>
    </row>
    <row r="424" spans="1:10" ht="38.25" hidden="1" outlineLevel="4">
      <c r="A424" s="481" t="s">
        <v>1118</v>
      </c>
      <c r="B424" s="482" t="s">
        <v>1119</v>
      </c>
      <c r="C424" s="483" t="s">
        <v>1043</v>
      </c>
      <c r="D424" s="482" t="s">
        <v>1044</v>
      </c>
      <c r="E424" s="484">
        <v>31957</v>
      </c>
      <c r="F424" s="484">
        <v>31957</v>
      </c>
      <c r="G424" s="484">
        <v>30899.173999999999</v>
      </c>
      <c r="H424" s="484">
        <v>30624.03</v>
      </c>
      <c r="I424" s="480">
        <v>95.83</v>
      </c>
      <c r="J424" s="480"/>
    </row>
    <row r="425" spans="1:10" ht="38.25" hidden="1" outlineLevel="3">
      <c r="A425" s="476" t="s">
        <v>1120</v>
      </c>
      <c r="B425" s="477" t="s">
        <v>1121</v>
      </c>
      <c r="C425" s="478"/>
      <c r="D425" s="477"/>
      <c r="E425" s="479">
        <v>76477.7</v>
      </c>
      <c r="F425" s="479">
        <v>76477.7</v>
      </c>
      <c r="G425" s="479">
        <v>72623.793669999999</v>
      </c>
      <c r="H425" s="479">
        <v>72253.790609999996</v>
      </c>
      <c r="I425" s="480">
        <v>94.48</v>
      </c>
      <c r="J425" s="480"/>
    </row>
    <row r="426" spans="1:10" ht="38.25" hidden="1" outlineLevel="4">
      <c r="A426" s="481" t="s">
        <v>1120</v>
      </c>
      <c r="B426" s="482" t="s">
        <v>1121</v>
      </c>
      <c r="C426" s="483" t="s">
        <v>1043</v>
      </c>
      <c r="D426" s="482" t="s">
        <v>1044</v>
      </c>
      <c r="E426" s="484">
        <v>76477.7</v>
      </c>
      <c r="F426" s="484">
        <v>76477.7</v>
      </c>
      <c r="G426" s="484">
        <v>72623.793669999999</v>
      </c>
      <c r="H426" s="484">
        <v>72253.790609999996</v>
      </c>
      <c r="I426" s="480">
        <v>94.48</v>
      </c>
      <c r="J426" s="480"/>
    </row>
    <row r="427" spans="1:10" ht="51" hidden="1" outlineLevel="3">
      <c r="A427" s="476" t="s">
        <v>1122</v>
      </c>
      <c r="B427" s="477" t="s">
        <v>1123</v>
      </c>
      <c r="C427" s="478"/>
      <c r="D427" s="477"/>
      <c r="E427" s="479">
        <v>6976.6</v>
      </c>
      <c r="F427" s="479">
        <v>6976.6</v>
      </c>
      <c r="G427" s="479">
        <v>3472.3081000000002</v>
      </c>
      <c r="H427" s="479">
        <v>2939.8413500000001</v>
      </c>
      <c r="I427" s="480">
        <v>42.14</v>
      </c>
      <c r="J427" s="480"/>
    </row>
    <row r="428" spans="1:10" ht="51" hidden="1" outlineLevel="4">
      <c r="A428" s="481" t="s">
        <v>1122</v>
      </c>
      <c r="B428" s="482" t="s">
        <v>1123</v>
      </c>
      <c r="C428" s="483" t="s">
        <v>1043</v>
      </c>
      <c r="D428" s="482" t="s">
        <v>1044</v>
      </c>
      <c r="E428" s="484">
        <v>6976.6</v>
      </c>
      <c r="F428" s="484">
        <v>6976.6</v>
      </c>
      <c r="G428" s="484">
        <v>3472.3081000000002</v>
      </c>
      <c r="H428" s="484">
        <v>2939.8413500000001</v>
      </c>
      <c r="I428" s="480">
        <v>42.14</v>
      </c>
      <c r="J428" s="480"/>
    </row>
    <row r="429" spans="1:10" ht="38.25" hidden="1" outlineLevel="3">
      <c r="A429" s="476" t="s">
        <v>1124</v>
      </c>
      <c r="B429" s="477" t="s">
        <v>1125</v>
      </c>
      <c r="C429" s="478"/>
      <c r="D429" s="477"/>
      <c r="E429" s="479">
        <v>8159.8</v>
      </c>
      <c r="F429" s="479">
        <v>8159.8</v>
      </c>
      <c r="G429" s="479">
        <v>2375.06648</v>
      </c>
      <c r="H429" s="479">
        <v>2243.9278399999998</v>
      </c>
      <c r="I429" s="480">
        <v>27.5</v>
      </c>
      <c r="J429" s="480"/>
    </row>
    <row r="430" spans="1:10" ht="38.25" hidden="1" outlineLevel="4">
      <c r="A430" s="481" t="s">
        <v>1124</v>
      </c>
      <c r="B430" s="482" t="s">
        <v>1125</v>
      </c>
      <c r="C430" s="483" t="s">
        <v>1043</v>
      </c>
      <c r="D430" s="482" t="s">
        <v>1044</v>
      </c>
      <c r="E430" s="484">
        <v>8159.8</v>
      </c>
      <c r="F430" s="484">
        <v>8159.8</v>
      </c>
      <c r="G430" s="484">
        <v>2375.06648</v>
      </c>
      <c r="H430" s="484">
        <v>2243.9278399999998</v>
      </c>
      <c r="I430" s="480">
        <v>27.5</v>
      </c>
      <c r="J430" s="480"/>
    </row>
    <row r="431" spans="1:10" ht="25.5" hidden="1" outlineLevel="3">
      <c r="A431" s="476" t="s">
        <v>1126</v>
      </c>
      <c r="B431" s="477" t="s">
        <v>1127</v>
      </c>
      <c r="C431" s="478"/>
      <c r="D431" s="477"/>
      <c r="E431" s="479">
        <v>540</v>
      </c>
      <c r="F431" s="479">
        <v>540</v>
      </c>
      <c r="G431" s="479">
        <v>414</v>
      </c>
      <c r="H431" s="479">
        <v>414</v>
      </c>
      <c r="I431" s="480">
        <v>76.67</v>
      </c>
      <c r="J431" s="480"/>
    </row>
    <row r="432" spans="1:10" ht="25.5" hidden="1" outlineLevel="4">
      <c r="A432" s="481" t="s">
        <v>1126</v>
      </c>
      <c r="B432" s="482" t="s">
        <v>1127</v>
      </c>
      <c r="C432" s="483" t="s">
        <v>1043</v>
      </c>
      <c r="D432" s="482" t="s">
        <v>1044</v>
      </c>
      <c r="E432" s="484">
        <v>540</v>
      </c>
      <c r="F432" s="484">
        <v>540</v>
      </c>
      <c r="G432" s="484">
        <v>414</v>
      </c>
      <c r="H432" s="484">
        <v>414</v>
      </c>
      <c r="I432" s="480">
        <v>76.67</v>
      </c>
      <c r="J432" s="480"/>
    </row>
    <row r="433" spans="1:10" ht="102" hidden="1" outlineLevel="3">
      <c r="A433" s="476" t="s">
        <v>1128</v>
      </c>
      <c r="B433" s="477" t="s">
        <v>1129</v>
      </c>
      <c r="C433" s="478"/>
      <c r="D433" s="477"/>
      <c r="E433" s="479">
        <v>3698.4</v>
      </c>
      <c r="F433" s="479">
        <v>3698.4</v>
      </c>
      <c r="G433" s="479">
        <v>1773.3240000000001</v>
      </c>
      <c r="H433" s="479">
        <v>1773.3240000000001</v>
      </c>
      <c r="I433" s="480">
        <v>47.95</v>
      </c>
      <c r="J433" s="480"/>
    </row>
    <row r="434" spans="1:10" ht="102" hidden="1" outlineLevel="4">
      <c r="A434" s="481" t="s">
        <v>1128</v>
      </c>
      <c r="B434" s="482" t="s">
        <v>1129</v>
      </c>
      <c r="C434" s="483" t="s">
        <v>1043</v>
      </c>
      <c r="D434" s="482" t="s">
        <v>1044</v>
      </c>
      <c r="E434" s="484">
        <v>3698.4</v>
      </c>
      <c r="F434" s="484">
        <v>3698.4</v>
      </c>
      <c r="G434" s="484">
        <v>1773.3240000000001</v>
      </c>
      <c r="H434" s="484">
        <v>1773.3240000000001</v>
      </c>
      <c r="I434" s="480">
        <v>47.95</v>
      </c>
      <c r="J434" s="480"/>
    </row>
    <row r="435" spans="1:10" ht="102" hidden="1" outlineLevel="3">
      <c r="A435" s="476" t="s">
        <v>1130</v>
      </c>
      <c r="B435" s="477" t="s">
        <v>1131</v>
      </c>
      <c r="C435" s="478"/>
      <c r="D435" s="477"/>
      <c r="E435" s="479">
        <v>67540.5</v>
      </c>
      <c r="F435" s="479">
        <v>67540.5</v>
      </c>
      <c r="G435" s="479">
        <v>28593.19526</v>
      </c>
      <c r="H435" s="479">
        <v>28054.33</v>
      </c>
      <c r="I435" s="480">
        <v>41.54</v>
      </c>
      <c r="J435" s="480"/>
    </row>
    <row r="436" spans="1:10" ht="102" hidden="1" outlineLevel="4">
      <c r="A436" s="481" t="s">
        <v>1130</v>
      </c>
      <c r="B436" s="482" t="s">
        <v>1131</v>
      </c>
      <c r="C436" s="483" t="s">
        <v>1043</v>
      </c>
      <c r="D436" s="482" t="s">
        <v>1044</v>
      </c>
      <c r="E436" s="484">
        <v>67540.5</v>
      </c>
      <c r="F436" s="484">
        <v>67540.5</v>
      </c>
      <c r="G436" s="484">
        <v>28593.19526</v>
      </c>
      <c r="H436" s="484">
        <v>28054.33</v>
      </c>
      <c r="I436" s="480">
        <v>41.54</v>
      </c>
      <c r="J436" s="480"/>
    </row>
    <row r="437" spans="1:10" ht="89.25" hidden="1" outlineLevel="3">
      <c r="A437" s="476" t="s">
        <v>1132</v>
      </c>
      <c r="B437" s="477" t="s">
        <v>1133</v>
      </c>
      <c r="C437" s="478"/>
      <c r="D437" s="477"/>
      <c r="E437" s="479">
        <v>1.5</v>
      </c>
      <c r="F437" s="479">
        <v>1.5</v>
      </c>
      <c r="G437" s="479">
        <v>0</v>
      </c>
      <c r="H437" s="479">
        <v>0</v>
      </c>
      <c r="I437" s="480">
        <v>0</v>
      </c>
      <c r="J437" s="480"/>
    </row>
    <row r="438" spans="1:10" ht="89.25" hidden="1" outlineLevel="4">
      <c r="A438" s="481" t="s">
        <v>1132</v>
      </c>
      <c r="B438" s="482" t="s">
        <v>1133</v>
      </c>
      <c r="C438" s="483" t="s">
        <v>1043</v>
      </c>
      <c r="D438" s="482" t="s">
        <v>1044</v>
      </c>
      <c r="E438" s="484">
        <v>1.5</v>
      </c>
      <c r="F438" s="484">
        <v>1.5</v>
      </c>
      <c r="G438" s="484">
        <v>0</v>
      </c>
      <c r="H438" s="484">
        <v>0</v>
      </c>
      <c r="I438" s="480">
        <v>0</v>
      </c>
      <c r="J438" s="480"/>
    </row>
    <row r="439" spans="1:10" ht="63.75" hidden="1" outlineLevel="3">
      <c r="A439" s="476" t="s">
        <v>1134</v>
      </c>
      <c r="B439" s="477" t="s">
        <v>1135</v>
      </c>
      <c r="C439" s="478"/>
      <c r="D439" s="477"/>
      <c r="E439" s="479">
        <v>60575.199999999997</v>
      </c>
      <c r="F439" s="479">
        <v>60575.199999999997</v>
      </c>
      <c r="G439" s="479">
        <v>32232.714240000001</v>
      </c>
      <c r="H439" s="479">
        <v>31682.462189999998</v>
      </c>
      <c r="I439" s="480">
        <v>52.3</v>
      </c>
      <c r="J439" s="480"/>
    </row>
    <row r="440" spans="1:10" ht="63.75" hidden="1" outlineLevel="4">
      <c r="A440" s="481" t="s">
        <v>1134</v>
      </c>
      <c r="B440" s="482" t="s">
        <v>1135</v>
      </c>
      <c r="C440" s="483" t="s">
        <v>1043</v>
      </c>
      <c r="D440" s="482" t="s">
        <v>1044</v>
      </c>
      <c r="E440" s="484">
        <v>60575.199999999997</v>
      </c>
      <c r="F440" s="484">
        <v>60575.199999999997</v>
      </c>
      <c r="G440" s="484">
        <v>32232.714240000001</v>
      </c>
      <c r="H440" s="484">
        <v>31682.462189999998</v>
      </c>
      <c r="I440" s="480">
        <v>52.3</v>
      </c>
      <c r="J440" s="480"/>
    </row>
    <row r="441" spans="1:10" ht="25.5" hidden="1" outlineLevel="3">
      <c r="A441" s="476" t="s">
        <v>1136</v>
      </c>
      <c r="B441" s="477" t="s">
        <v>1137</v>
      </c>
      <c r="C441" s="478"/>
      <c r="D441" s="477"/>
      <c r="E441" s="479">
        <v>56728.7</v>
      </c>
      <c r="F441" s="479">
        <v>56728.7</v>
      </c>
      <c r="G441" s="479">
        <v>0</v>
      </c>
      <c r="H441" s="479">
        <v>-3.6347499999999999</v>
      </c>
      <c r="I441" s="480">
        <v>-0.01</v>
      </c>
      <c r="J441" s="480"/>
    </row>
    <row r="442" spans="1:10" ht="25.5" hidden="1" outlineLevel="4">
      <c r="A442" s="481" t="s">
        <v>1136</v>
      </c>
      <c r="B442" s="482" t="s">
        <v>1137</v>
      </c>
      <c r="C442" s="483" t="s">
        <v>1043</v>
      </c>
      <c r="D442" s="482" t="s">
        <v>1044</v>
      </c>
      <c r="E442" s="484">
        <v>56728.7</v>
      </c>
      <c r="F442" s="484">
        <v>56728.7</v>
      </c>
      <c r="G442" s="484">
        <v>0</v>
      </c>
      <c r="H442" s="484">
        <v>-3.6347499999999999</v>
      </c>
      <c r="I442" s="480">
        <v>-0.01</v>
      </c>
      <c r="J442" s="480"/>
    </row>
    <row r="443" spans="1:10" ht="38.25" hidden="1" outlineLevel="3">
      <c r="A443" s="476" t="s">
        <v>1138</v>
      </c>
      <c r="B443" s="477" t="s">
        <v>1139</v>
      </c>
      <c r="C443" s="478"/>
      <c r="D443" s="477"/>
      <c r="E443" s="479">
        <v>169388.7</v>
      </c>
      <c r="F443" s="479">
        <v>169388.7</v>
      </c>
      <c r="G443" s="479">
        <v>83700</v>
      </c>
      <c r="H443" s="479">
        <v>83400.635920000001</v>
      </c>
      <c r="I443" s="480">
        <v>49.24</v>
      </c>
      <c r="J443" s="480"/>
    </row>
    <row r="444" spans="1:10" ht="38.25" hidden="1" outlineLevel="4">
      <c r="A444" s="481" t="s">
        <v>1138</v>
      </c>
      <c r="B444" s="482" t="s">
        <v>1139</v>
      </c>
      <c r="C444" s="483" t="s">
        <v>1043</v>
      </c>
      <c r="D444" s="482" t="s">
        <v>1044</v>
      </c>
      <c r="E444" s="484">
        <v>169388.7</v>
      </c>
      <c r="F444" s="484">
        <v>169388.7</v>
      </c>
      <c r="G444" s="484">
        <v>83700</v>
      </c>
      <c r="H444" s="484">
        <v>83400.635920000001</v>
      </c>
      <c r="I444" s="480">
        <v>49.24</v>
      </c>
      <c r="J444" s="480"/>
    </row>
    <row r="445" spans="1:10" ht="63.75" hidden="1" outlineLevel="3">
      <c r="A445" s="476" t="s">
        <v>1140</v>
      </c>
      <c r="B445" s="477" t="s">
        <v>1141</v>
      </c>
      <c r="C445" s="478"/>
      <c r="D445" s="477"/>
      <c r="E445" s="479">
        <v>1152</v>
      </c>
      <c r="F445" s="479">
        <v>1152</v>
      </c>
      <c r="G445" s="479">
        <v>330</v>
      </c>
      <c r="H445" s="479">
        <v>312.87</v>
      </c>
      <c r="I445" s="480">
        <v>27.16</v>
      </c>
      <c r="J445" s="480"/>
    </row>
    <row r="446" spans="1:10" ht="63.75" hidden="1" outlineLevel="4">
      <c r="A446" s="481" t="s">
        <v>1140</v>
      </c>
      <c r="B446" s="482" t="s">
        <v>1141</v>
      </c>
      <c r="C446" s="483" t="s">
        <v>1043</v>
      </c>
      <c r="D446" s="482" t="s">
        <v>1044</v>
      </c>
      <c r="E446" s="484">
        <v>1152</v>
      </c>
      <c r="F446" s="484">
        <v>1152</v>
      </c>
      <c r="G446" s="484">
        <v>330</v>
      </c>
      <c r="H446" s="484">
        <v>312.87</v>
      </c>
      <c r="I446" s="480">
        <v>27.16</v>
      </c>
      <c r="J446" s="480"/>
    </row>
    <row r="447" spans="1:10" ht="89.25" hidden="1" outlineLevel="3">
      <c r="A447" s="476" t="s">
        <v>1142</v>
      </c>
      <c r="B447" s="477" t="s">
        <v>1143</v>
      </c>
      <c r="C447" s="478"/>
      <c r="D447" s="477"/>
      <c r="E447" s="479">
        <v>8508.5</v>
      </c>
      <c r="F447" s="479">
        <v>8508.5</v>
      </c>
      <c r="G447" s="479">
        <v>0</v>
      </c>
      <c r="H447" s="479">
        <v>0</v>
      </c>
      <c r="I447" s="480">
        <v>0</v>
      </c>
      <c r="J447" s="480"/>
    </row>
    <row r="448" spans="1:10" ht="89.25" hidden="1" outlineLevel="4">
      <c r="A448" s="481" t="s">
        <v>1142</v>
      </c>
      <c r="B448" s="482" t="s">
        <v>1143</v>
      </c>
      <c r="C448" s="483" t="s">
        <v>1043</v>
      </c>
      <c r="D448" s="482" t="s">
        <v>1044</v>
      </c>
      <c r="E448" s="484">
        <v>8508.5</v>
      </c>
      <c r="F448" s="484">
        <v>8508.5</v>
      </c>
      <c r="G448" s="484">
        <v>0</v>
      </c>
      <c r="H448" s="484">
        <v>0</v>
      </c>
      <c r="I448" s="480">
        <v>0</v>
      </c>
      <c r="J448" s="480"/>
    </row>
    <row r="449" spans="1:10" ht="38.25" hidden="1" outlineLevel="3">
      <c r="A449" s="476" t="s">
        <v>1144</v>
      </c>
      <c r="B449" s="477" t="s">
        <v>1145</v>
      </c>
      <c r="C449" s="478"/>
      <c r="D449" s="477"/>
      <c r="E449" s="479">
        <v>1847898.3</v>
      </c>
      <c r="F449" s="479">
        <v>1847898.3</v>
      </c>
      <c r="G449" s="479">
        <v>894052.44542999996</v>
      </c>
      <c r="H449" s="479">
        <v>890262.00818999996</v>
      </c>
      <c r="I449" s="480">
        <v>48.18</v>
      </c>
      <c r="J449" s="480"/>
    </row>
    <row r="450" spans="1:10" ht="38.25" hidden="1" outlineLevel="4">
      <c r="A450" s="481" t="s">
        <v>1144</v>
      </c>
      <c r="B450" s="482" t="s">
        <v>1145</v>
      </c>
      <c r="C450" s="483" t="s">
        <v>1043</v>
      </c>
      <c r="D450" s="482" t="s">
        <v>1044</v>
      </c>
      <c r="E450" s="484">
        <v>1847898.3</v>
      </c>
      <c r="F450" s="484">
        <v>1847898.3</v>
      </c>
      <c r="G450" s="484">
        <v>894052.44542999996</v>
      </c>
      <c r="H450" s="484">
        <v>890262.00818999996</v>
      </c>
      <c r="I450" s="480">
        <v>48.18</v>
      </c>
      <c r="J450" s="480"/>
    </row>
    <row r="451" spans="1:10" ht="38.25" hidden="1" outlineLevel="3">
      <c r="A451" s="476" t="s">
        <v>1146</v>
      </c>
      <c r="B451" s="477" t="s">
        <v>1147</v>
      </c>
      <c r="C451" s="478"/>
      <c r="D451" s="477"/>
      <c r="E451" s="479">
        <v>95964.6</v>
      </c>
      <c r="F451" s="479">
        <v>95964.6</v>
      </c>
      <c r="G451" s="479">
        <v>44354.126680000001</v>
      </c>
      <c r="H451" s="479">
        <v>43015.127139999997</v>
      </c>
      <c r="I451" s="480">
        <v>44.82</v>
      </c>
      <c r="J451" s="480"/>
    </row>
    <row r="452" spans="1:10" ht="38.25" hidden="1" outlineLevel="4">
      <c r="A452" s="481" t="s">
        <v>1146</v>
      </c>
      <c r="B452" s="482" t="s">
        <v>1147</v>
      </c>
      <c r="C452" s="483" t="s">
        <v>1043</v>
      </c>
      <c r="D452" s="482" t="s">
        <v>1044</v>
      </c>
      <c r="E452" s="484">
        <v>95964.6</v>
      </c>
      <c r="F452" s="484">
        <v>95964.6</v>
      </c>
      <c r="G452" s="484">
        <v>44354.126680000001</v>
      </c>
      <c r="H452" s="484">
        <v>43015.127139999997</v>
      </c>
      <c r="I452" s="480">
        <v>44.82</v>
      </c>
      <c r="J452" s="480"/>
    </row>
    <row r="453" spans="1:10" ht="25.5" hidden="1" outlineLevel="3">
      <c r="A453" s="476" t="s">
        <v>1148</v>
      </c>
      <c r="B453" s="477" t="s">
        <v>1149</v>
      </c>
      <c r="C453" s="478"/>
      <c r="D453" s="477"/>
      <c r="E453" s="479">
        <v>166314</v>
      </c>
      <c r="F453" s="479">
        <v>166314</v>
      </c>
      <c r="G453" s="479">
        <v>85407.646999999997</v>
      </c>
      <c r="H453" s="479">
        <v>84232.257769999997</v>
      </c>
      <c r="I453" s="480">
        <v>50.65</v>
      </c>
      <c r="J453" s="480"/>
    </row>
    <row r="454" spans="1:10" ht="25.5" hidden="1" outlineLevel="4">
      <c r="A454" s="481" t="s">
        <v>1148</v>
      </c>
      <c r="B454" s="482" t="s">
        <v>1149</v>
      </c>
      <c r="C454" s="483" t="s">
        <v>1043</v>
      </c>
      <c r="D454" s="482" t="s">
        <v>1044</v>
      </c>
      <c r="E454" s="484">
        <v>166314</v>
      </c>
      <c r="F454" s="484">
        <v>166314</v>
      </c>
      <c r="G454" s="484">
        <v>85407.646999999997</v>
      </c>
      <c r="H454" s="484">
        <v>84232.257769999997</v>
      </c>
      <c r="I454" s="480">
        <v>50.65</v>
      </c>
      <c r="J454" s="480"/>
    </row>
    <row r="455" spans="1:10" ht="38.25" hidden="1" outlineLevel="3">
      <c r="A455" s="476" t="s">
        <v>1150</v>
      </c>
      <c r="B455" s="477" t="s">
        <v>1151</v>
      </c>
      <c r="C455" s="478"/>
      <c r="D455" s="477"/>
      <c r="E455" s="479">
        <v>23.53773</v>
      </c>
      <c r="F455" s="479">
        <v>23.53773</v>
      </c>
      <c r="G455" s="479">
        <v>23.53773</v>
      </c>
      <c r="H455" s="479">
        <v>23.53773</v>
      </c>
      <c r="I455" s="480">
        <v>100</v>
      </c>
      <c r="J455" s="480"/>
    </row>
    <row r="456" spans="1:10" ht="38.25" hidden="1" outlineLevel="4">
      <c r="A456" s="481" t="s">
        <v>1150</v>
      </c>
      <c r="B456" s="482" t="s">
        <v>1151</v>
      </c>
      <c r="C456" s="483" t="s">
        <v>1043</v>
      </c>
      <c r="D456" s="482" t="s">
        <v>1044</v>
      </c>
      <c r="E456" s="484">
        <v>23.53773</v>
      </c>
      <c r="F456" s="484">
        <v>23.53773</v>
      </c>
      <c r="G456" s="484">
        <v>23.53773</v>
      </c>
      <c r="H456" s="484">
        <v>23.53773</v>
      </c>
      <c r="I456" s="480">
        <v>100</v>
      </c>
      <c r="J456" s="480"/>
    </row>
    <row r="457" spans="1:10" ht="38.25" hidden="1" outlineLevel="3">
      <c r="A457" s="476" t="s">
        <v>1152</v>
      </c>
      <c r="B457" s="477" t="s">
        <v>1153</v>
      </c>
      <c r="C457" s="478"/>
      <c r="D457" s="477"/>
      <c r="E457" s="479">
        <v>19.5</v>
      </c>
      <c r="F457" s="479">
        <v>19.5</v>
      </c>
      <c r="G457" s="479">
        <v>4.3362999999999996</v>
      </c>
      <c r="H457" s="479">
        <v>4.3362999999999996</v>
      </c>
      <c r="I457" s="480">
        <v>22.24</v>
      </c>
      <c r="J457" s="480"/>
    </row>
    <row r="458" spans="1:10" ht="38.25" hidden="1" outlineLevel="4">
      <c r="A458" s="481" t="s">
        <v>1152</v>
      </c>
      <c r="B458" s="482" t="s">
        <v>1153</v>
      </c>
      <c r="C458" s="483" t="s">
        <v>1043</v>
      </c>
      <c r="D458" s="482" t="s">
        <v>1044</v>
      </c>
      <c r="E458" s="484">
        <v>19.5</v>
      </c>
      <c r="F458" s="484">
        <v>19.5</v>
      </c>
      <c r="G458" s="484">
        <v>4.3362999999999996</v>
      </c>
      <c r="H458" s="484">
        <v>4.3362999999999996</v>
      </c>
      <c r="I458" s="480">
        <v>22.24</v>
      </c>
      <c r="J458" s="480"/>
    </row>
    <row r="459" spans="1:10" ht="51" hidden="1" outlineLevel="3">
      <c r="A459" s="476" t="s">
        <v>1154</v>
      </c>
      <c r="B459" s="477" t="s">
        <v>1155</v>
      </c>
      <c r="C459" s="478"/>
      <c r="D459" s="477"/>
      <c r="E459" s="479">
        <v>9.5</v>
      </c>
      <c r="F459" s="479">
        <v>9.5</v>
      </c>
      <c r="G459" s="479">
        <v>0</v>
      </c>
      <c r="H459" s="479">
        <v>0</v>
      </c>
      <c r="I459" s="480">
        <v>0</v>
      </c>
      <c r="J459" s="480"/>
    </row>
    <row r="460" spans="1:10" ht="51" hidden="1" outlineLevel="4">
      <c r="A460" s="481" t="s">
        <v>1154</v>
      </c>
      <c r="B460" s="482" t="s">
        <v>1155</v>
      </c>
      <c r="C460" s="483" t="s">
        <v>1043</v>
      </c>
      <c r="D460" s="482" t="s">
        <v>1044</v>
      </c>
      <c r="E460" s="484">
        <v>9.5</v>
      </c>
      <c r="F460" s="484">
        <v>9.5</v>
      </c>
      <c r="G460" s="484">
        <v>0</v>
      </c>
      <c r="H460" s="484">
        <v>0</v>
      </c>
      <c r="I460" s="480">
        <v>0</v>
      </c>
      <c r="J460" s="480"/>
    </row>
    <row r="461" spans="1:10" ht="63.75" hidden="1" outlineLevel="3">
      <c r="A461" s="476" t="s">
        <v>1156</v>
      </c>
      <c r="B461" s="477" t="s">
        <v>1157</v>
      </c>
      <c r="C461" s="478"/>
      <c r="D461" s="477"/>
      <c r="E461" s="479">
        <v>123.5</v>
      </c>
      <c r="F461" s="479">
        <v>123.5</v>
      </c>
      <c r="G461" s="479">
        <v>14.860900000000001</v>
      </c>
      <c r="H461" s="479">
        <v>9.9717000000000002</v>
      </c>
      <c r="I461" s="480">
        <v>8.07</v>
      </c>
      <c r="J461" s="480"/>
    </row>
    <row r="462" spans="1:10" ht="63.75" hidden="1" outlineLevel="4">
      <c r="A462" s="481" t="s">
        <v>1156</v>
      </c>
      <c r="B462" s="482" t="s">
        <v>1157</v>
      </c>
      <c r="C462" s="483" t="s">
        <v>1043</v>
      </c>
      <c r="D462" s="482" t="s">
        <v>1044</v>
      </c>
      <c r="E462" s="484">
        <v>123.5</v>
      </c>
      <c r="F462" s="484">
        <v>123.5</v>
      </c>
      <c r="G462" s="484">
        <v>14.860900000000001</v>
      </c>
      <c r="H462" s="484">
        <v>9.9717000000000002</v>
      </c>
      <c r="I462" s="480">
        <v>8.07</v>
      </c>
      <c r="J462" s="480"/>
    </row>
    <row r="463" spans="1:10" ht="51" hidden="1" outlineLevel="3">
      <c r="A463" s="476" t="s">
        <v>1158</v>
      </c>
      <c r="B463" s="477" t="s">
        <v>1159</v>
      </c>
      <c r="C463" s="478"/>
      <c r="D463" s="477"/>
      <c r="E463" s="479">
        <v>30961.46227</v>
      </c>
      <c r="F463" s="479">
        <v>30961.46227</v>
      </c>
      <c r="G463" s="479">
        <v>2273.7302</v>
      </c>
      <c r="H463" s="479">
        <v>1921.0651399999999</v>
      </c>
      <c r="I463" s="480">
        <v>6.2</v>
      </c>
      <c r="J463" s="480"/>
    </row>
    <row r="464" spans="1:10" ht="51" hidden="1" outlineLevel="4">
      <c r="A464" s="481" t="s">
        <v>1158</v>
      </c>
      <c r="B464" s="482" t="s">
        <v>1159</v>
      </c>
      <c r="C464" s="483" t="s">
        <v>1043</v>
      </c>
      <c r="D464" s="482" t="s">
        <v>1044</v>
      </c>
      <c r="E464" s="484">
        <v>30961.46227</v>
      </c>
      <c r="F464" s="484">
        <v>30961.46227</v>
      </c>
      <c r="G464" s="484">
        <v>2273.7302</v>
      </c>
      <c r="H464" s="484">
        <v>1921.0651399999999</v>
      </c>
      <c r="I464" s="480">
        <v>6.2</v>
      </c>
      <c r="J464" s="480"/>
    </row>
    <row r="465" spans="1:10" ht="38.25" hidden="1" outlineLevel="3">
      <c r="A465" s="476" t="s">
        <v>1160</v>
      </c>
      <c r="B465" s="477" t="s">
        <v>1161</v>
      </c>
      <c r="C465" s="478"/>
      <c r="D465" s="477"/>
      <c r="E465" s="479">
        <v>2000</v>
      </c>
      <c r="F465" s="479">
        <v>2000</v>
      </c>
      <c r="G465" s="479">
        <v>1200</v>
      </c>
      <c r="H465" s="479">
        <v>776.9</v>
      </c>
      <c r="I465" s="480">
        <v>38.85</v>
      </c>
      <c r="J465" s="480"/>
    </row>
    <row r="466" spans="1:10" ht="38.25" hidden="1" outlineLevel="4">
      <c r="A466" s="481" t="s">
        <v>1160</v>
      </c>
      <c r="B466" s="482" t="s">
        <v>1161</v>
      </c>
      <c r="C466" s="483" t="s">
        <v>1043</v>
      </c>
      <c r="D466" s="482" t="s">
        <v>1044</v>
      </c>
      <c r="E466" s="484">
        <v>2000</v>
      </c>
      <c r="F466" s="484">
        <v>2000</v>
      </c>
      <c r="G466" s="484">
        <v>1200</v>
      </c>
      <c r="H466" s="484">
        <v>776.9</v>
      </c>
      <c r="I466" s="480">
        <v>38.85</v>
      </c>
      <c r="J466" s="480"/>
    </row>
    <row r="467" spans="1:10" ht="51" hidden="1" outlineLevel="3">
      <c r="A467" s="476" t="s">
        <v>1162</v>
      </c>
      <c r="B467" s="477" t="s">
        <v>1163</v>
      </c>
      <c r="C467" s="478"/>
      <c r="D467" s="477"/>
      <c r="E467" s="479">
        <v>2000</v>
      </c>
      <c r="F467" s="479">
        <v>2000</v>
      </c>
      <c r="G467" s="479">
        <v>1200</v>
      </c>
      <c r="H467" s="479">
        <v>1013</v>
      </c>
      <c r="I467" s="480">
        <v>50.65</v>
      </c>
      <c r="J467" s="480"/>
    </row>
    <row r="468" spans="1:10" ht="51" hidden="1" outlineLevel="4">
      <c r="A468" s="481" t="s">
        <v>1162</v>
      </c>
      <c r="B468" s="482" t="s">
        <v>1163</v>
      </c>
      <c r="C468" s="483" t="s">
        <v>1043</v>
      </c>
      <c r="D468" s="482" t="s">
        <v>1044</v>
      </c>
      <c r="E468" s="484">
        <v>2000</v>
      </c>
      <c r="F468" s="484">
        <v>2000</v>
      </c>
      <c r="G468" s="484">
        <v>1200</v>
      </c>
      <c r="H468" s="484">
        <v>1013</v>
      </c>
      <c r="I468" s="480">
        <v>50.65</v>
      </c>
      <c r="J468" s="480"/>
    </row>
    <row r="469" spans="1:10" ht="76.5" hidden="1" outlineLevel="3">
      <c r="A469" s="476" t="s">
        <v>1164</v>
      </c>
      <c r="B469" s="477" t="s">
        <v>1165</v>
      </c>
      <c r="C469" s="478"/>
      <c r="D469" s="477"/>
      <c r="E469" s="479">
        <v>46.8</v>
      </c>
      <c r="F469" s="479">
        <v>46.8</v>
      </c>
      <c r="G469" s="479">
        <v>0</v>
      </c>
      <c r="H469" s="479">
        <v>0</v>
      </c>
      <c r="I469" s="480">
        <v>0</v>
      </c>
      <c r="J469" s="480"/>
    </row>
    <row r="470" spans="1:10" ht="76.5" hidden="1" outlineLevel="4">
      <c r="A470" s="481" t="s">
        <v>1164</v>
      </c>
      <c r="B470" s="482" t="s">
        <v>1165</v>
      </c>
      <c r="C470" s="483" t="s">
        <v>1043</v>
      </c>
      <c r="D470" s="482" t="s">
        <v>1044</v>
      </c>
      <c r="E470" s="484">
        <v>46.8</v>
      </c>
      <c r="F470" s="484">
        <v>46.8</v>
      </c>
      <c r="G470" s="484">
        <v>0</v>
      </c>
      <c r="H470" s="484">
        <v>0</v>
      </c>
      <c r="I470" s="480">
        <v>0</v>
      </c>
      <c r="J470" s="480"/>
    </row>
    <row r="471" spans="1:10" ht="114.75" hidden="1" outlineLevel="3">
      <c r="A471" s="476" t="s">
        <v>1166</v>
      </c>
      <c r="B471" s="477" t="s">
        <v>1167</v>
      </c>
      <c r="C471" s="478"/>
      <c r="D471" s="477"/>
      <c r="E471" s="479">
        <v>385</v>
      </c>
      <c r="F471" s="479">
        <v>385</v>
      </c>
      <c r="G471" s="479">
        <v>95.161580000000001</v>
      </c>
      <c r="H471" s="479">
        <v>90.161580000000001</v>
      </c>
      <c r="I471" s="480">
        <v>23.42</v>
      </c>
      <c r="J471" s="480"/>
    </row>
    <row r="472" spans="1:10" ht="114.75" hidden="1" outlineLevel="4">
      <c r="A472" s="481" t="s">
        <v>1166</v>
      </c>
      <c r="B472" s="482" t="s">
        <v>1167</v>
      </c>
      <c r="C472" s="483" t="s">
        <v>1043</v>
      </c>
      <c r="D472" s="482" t="s">
        <v>1044</v>
      </c>
      <c r="E472" s="484">
        <v>385</v>
      </c>
      <c r="F472" s="484">
        <v>385</v>
      </c>
      <c r="G472" s="484">
        <v>95.161580000000001</v>
      </c>
      <c r="H472" s="484">
        <v>90.161580000000001</v>
      </c>
      <c r="I472" s="480">
        <v>23.42</v>
      </c>
      <c r="J472" s="480"/>
    </row>
    <row r="473" spans="1:10" ht="89.25" hidden="1" outlineLevel="3">
      <c r="A473" s="476" t="s">
        <v>1168</v>
      </c>
      <c r="B473" s="477" t="s">
        <v>1169</v>
      </c>
      <c r="C473" s="478"/>
      <c r="D473" s="477"/>
      <c r="E473" s="479">
        <v>1092</v>
      </c>
      <c r="F473" s="479">
        <v>1092</v>
      </c>
      <c r="G473" s="479">
        <v>700</v>
      </c>
      <c r="H473" s="479">
        <v>695.39185999999995</v>
      </c>
      <c r="I473" s="480">
        <v>63.68</v>
      </c>
      <c r="J473" s="480"/>
    </row>
    <row r="474" spans="1:10" ht="89.25" hidden="1" outlineLevel="4">
      <c r="A474" s="481" t="s">
        <v>1168</v>
      </c>
      <c r="B474" s="482" t="s">
        <v>1169</v>
      </c>
      <c r="C474" s="483" t="s">
        <v>1043</v>
      </c>
      <c r="D474" s="482" t="s">
        <v>1044</v>
      </c>
      <c r="E474" s="484">
        <v>1092</v>
      </c>
      <c r="F474" s="484">
        <v>1092</v>
      </c>
      <c r="G474" s="484">
        <v>700</v>
      </c>
      <c r="H474" s="484">
        <v>695.39185999999995</v>
      </c>
      <c r="I474" s="480">
        <v>63.68</v>
      </c>
      <c r="J474" s="480"/>
    </row>
    <row r="475" spans="1:10" ht="114.75" hidden="1" outlineLevel="3">
      <c r="A475" s="476" t="s">
        <v>1170</v>
      </c>
      <c r="B475" s="477" t="s">
        <v>1171</v>
      </c>
      <c r="C475" s="478"/>
      <c r="D475" s="477"/>
      <c r="E475" s="479">
        <v>3236.2</v>
      </c>
      <c r="F475" s="479">
        <v>3236.2</v>
      </c>
      <c r="G475" s="479">
        <v>1664.5245399999999</v>
      </c>
      <c r="H475" s="479">
        <v>1664.5245399999999</v>
      </c>
      <c r="I475" s="480">
        <v>51.43</v>
      </c>
      <c r="J475" s="480"/>
    </row>
    <row r="476" spans="1:10" ht="114.75" hidden="1" outlineLevel="4">
      <c r="A476" s="481" t="s">
        <v>1170</v>
      </c>
      <c r="B476" s="482" t="s">
        <v>1171</v>
      </c>
      <c r="C476" s="483" t="s">
        <v>1043</v>
      </c>
      <c r="D476" s="482" t="s">
        <v>1044</v>
      </c>
      <c r="E476" s="484">
        <v>3236.2</v>
      </c>
      <c r="F476" s="484">
        <v>3236.2</v>
      </c>
      <c r="G476" s="484">
        <v>1664.5245399999999</v>
      </c>
      <c r="H476" s="484">
        <v>1664.5245399999999</v>
      </c>
      <c r="I476" s="480">
        <v>51.43</v>
      </c>
      <c r="J476" s="480"/>
    </row>
    <row r="477" spans="1:10" ht="102" hidden="1" outlineLevel="3">
      <c r="A477" s="476" t="s">
        <v>1172</v>
      </c>
      <c r="B477" s="477" t="s">
        <v>1173</v>
      </c>
      <c r="C477" s="478"/>
      <c r="D477" s="477"/>
      <c r="E477" s="479">
        <v>83685.3</v>
      </c>
      <c r="F477" s="479">
        <v>83685.3</v>
      </c>
      <c r="G477" s="479">
        <v>42083.13248</v>
      </c>
      <c r="H477" s="479">
        <v>41836.034469999999</v>
      </c>
      <c r="I477" s="480">
        <v>49.99</v>
      </c>
      <c r="J477" s="480"/>
    </row>
    <row r="478" spans="1:10" ht="102" hidden="1" outlineLevel="4">
      <c r="A478" s="481" t="s">
        <v>1172</v>
      </c>
      <c r="B478" s="482" t="s">
        <v>1173</v>
      </c>
      <c r="C478" s="483" t="s">
        <v>1043</v>
      </c>
      <c r="D478" s="482" t="s">
        <v>1044</v>
      </c>
      <c r="E478" s="484">
        <v>83685.3</v>
      </c>
      <c r="F478" s="484">
        <v>83685.3</v>
      </c>
      <c r="G478" s="484">
        <v>42083.13248</v>
      </c>
      <c r="H478" s="484">
        <v>41836.034469999999</v>
      </c>
      <c r="I478" s="480">
        <v>49.99</v>
      </c>
      <c r="J478" s="480"/>
    </row>
    <row r="479" spans="1:10" ht="76.5" hidden="1" outlineLevel="3">
      <c r="A479" s="476" t="s">
        <v>1174</v>
      </c>
      <c r="B479" s="477" t="s">
        <v>1175</v>
      </c>
      <c r="C479" s="478"/>
      <c r="D479" s="477"/>
      <c r="E479" s="479">
        <v>5211.1000000000004</v>
      </c>
      <c r="F479" s="479">
        <v>5211.1000000000004</v>
      </c>
      <c r="G479" s="479">
        <v>1757.1376</v>
      </c>
      <c r="H479" s="479">
        <v>1663.4219399999999</v>
      </c>
      <c r="I479" s="480">
        <v>31.92</v>
      </c>
      <c r="J479" s="480"/>
    </row>
    <row r="480" spans="1:10" ht="76.5" hidden="1" outlineLevel="4">
      <c r="A480" s="481" t="s">
        <v>1174</v>
      </c>
      <c r="B480" s="482" t="s">
        <v>1175</v>
      </c>
      <c r="C480" s="483" t="s">
        <v>1043</v>
      </c>
      <c r="D480" s="482" t="s">
        <v>1044</v>
      </c>
      <c r="E480" s="484">
        <v>5211.1000000000004</v>
      </c>
      <c r="F480" s="484">
        <v>5211.1000000000004</v>
      </c>
      <c r="G480" s="484">
        <v>1757.1376</v>
      </c>
      <c r="H480" s="484">
        <v>1663.4219399999999</v>
      </c>
      <c r="I480" s="480">
        <v>31.92</v>
      </c>
      <c r="J480" s="480"/>
    </row>
    <row r="481" spans="1:10" ht="25.5" hidden="1" outlineLevel="3">
      <c r="A481" s="476" t="s">
        <v>713</v>
      </c>
      <c r="B481" s="477" t="s">
        <v>1176</v>
      </c>
      <c r="C481" s="478"/>
      <c r="D481" s="477"/>
      <c r="E481" s="479">
        <v>20461.8</v>
      </c>
      <c r="F481" s="479">
        <v>20461.8</v>
      </c>
      <c r="G481" s="479">
        <v>614.64216999999996</v>
      </c>
      <c r="H481" s="479">
        <v>591.51625000000001</v>
      </c>
      <c r="I481" s="480">
        <v>2.89</v>
      </c>
      <c r="J481" s="480"/>
    </row>
    <row r="482" spans="1:10" ht="25.5" hidden="1" outlineLevel="4">
      <c r="A482" s="481" t="s">
        <v>713</v>
      </c>
      <c r="B482" s="482" t="s">
        <v>1176</v>
      </c>
      <c r="C482" s="483" t="s">
        <v>1043</v>
      </c>
      <c r="D482" s="482" t="s">
        <v>1044</v>
      </c>
      <c r="E482" s="484">
        <v>20461.8</v>
      </c>
      <c r="F482" s="484">
        <v>20461.8</v>
      </c>
      <c r="G482" s="484">
        <v>614.64216999999996</v>
      </c>
      <c r="H482" s="484">
        <v>591.51625000000001</v>
      </c>
      <c r="I482" s="480">
        <v>2.89</v>
      </c>
      <c r="J482" s="480"/>
    </row>
    <row r="483" spans="1:10" ht="63.75" hidden="1" outlineLevel="3">
      <c r="A483" s="476" t="s">
        <v>1177</v>
      </c>
      <c r="B483" s="477" t="s">
        <v>1178</v>
      </c>
      <c r="C483" s="478"/>
      <c r="D483" s="477"/>
      <c r="E483" s="479">
        <v>9353.2000000000007</v>
      </c>
      <c r="F483" s="479">
        <v>9353.2000000000007</v>
      </c>
      <c r="G483" s="479">
        <v>3620.8261299999999</v>
      </c>
      <c r="H483" s="479">
        <v>3619.2085999999999</v>
      </c>
      <c r="I483" s="480">
        <v>38.69</v>
      </c>
      <c r="J483" s="480"/>
    </row>
    <row r="484" spans="1:10" ht="63.75" hidden="1" outlineLevel="4">
      <c r="A484" s="481" t="s">
        <v>1177</v>
      </c>
      <c r="B484" s="482" t="s">
        <v>1178</v>
      </c>
      <c r="C484" s="483" t="s">
        <v>1043</v>
      </c>
      <c r="D484" s="482" t="s">
        <v>1044</v>
      </c>
      <c r="E484" s="484">
        <v>9353.2000000000007</v>
      </c>
      <c r="F484" s="484">
        <v>9353.2000000000007</v>
      </c>
      <c r="G484" s="484">
        <v>3620.8261299999999</v>
      </c>
      <c r="H484" s="484">
        <v>3619.2085999999999</v>
      </c>
      <c r="I484" s="480">
        <v>38.69</v>
      </c>
      <c r="J484" s="485" t="s">
        <v>10</v>
      </c>
    </row>
    <row r="485" spans="1:10" ht="63.75" hidden="1" outlineLevel="3">
      <c r="A485" s="476" t="s">
        <v>1179</v>
      </c>
      <c r="B485" s="477" t="s">
        <v>1180</v>
      </c>
      <c r="C485" s="478"/>
      <c r="D485" s="477"/>
      <c r="E485" s="479">
        <v>68474.7</v>
      </c>
      <c r="F485" s="479">
        <v>68474.7</v>
      </c>
      <c r="G485" s="479">
        <v>64924.422420000003</v>
      </c>
      <c r="H485" s="479">
        <v>64218.171369999996</v>
      </c>
      <c r="I485" s="480">
        <v>93.78</v>
      </c>
      <c r="J485" s="480"/>
    </row>
    <row r="486" spans="1:10" ht="63.75" hidden="1" outlineLevel="4">
      <c r="A486" s="481" t="s">
        <v>1179</v>
      </c>
      <c r="B486" s="482" t="s">
        <v>1180</v>
      </c>
      <c r="C486" s="483" t="s">
        <v>1043</v>
      </c>
      <c r="D486" s="482" t="s">
        <v>1044</v>
      </c>
      <c r="E486" s="484">
        <v>68474.7</v>
      </c>
      <c r="F486" s="484">
        <v>68474.7</v>
      </c>
      <c r="G486" s="484">
        <v>64924.422420000003</v>
      </c>
      <c r="H486" s="484">
        <v>64218.171369999996</v>
      </c>
      <c r="I486" s="480">
        <v>93.78</v>
      </c>
      <c r="J486" s="485" t="s">
        <v>10</v>
      </c>
    </row>
    <row r="487" spans="1:10" ht="102" hidden="1" outlineLevel="3">
      <c r="A487" s="476" t="s">
        <v>1181</v>
      </c>
      <c r="B487" s="477" t="s">
        <v>1182</v>
      </c>
      <c r="C487" s="478"/>
      <c r="D487" s="477"/>
      <c r="E487" s="479">
        <v>16.600000000000001</v>
      </c>
      <c r="F487" s="479">
        <v>16.600000000000001</v>
      </c>
      <c r="G487" s="479">
        <v>8.0168999999999997</v>
      </c>
      <c r="H487" s="479">
        <v>8.0168999999999997</v>
      </c>
      <c r="I487" s="480">
        <v>48.29</v>
      </c>
      <c r="J487" s="480"/>
    </row>
    <row r="488" spans="1:10" ht="102" hidden="1" outlineLevel="4">
      <c r="A488" s="481" t="s">
        <v>1181</v>
      </c>
      <c r="B488" s="482" t="s">
        <v>1182</v>
      </c>
      <c r="C488" s="483" t="s">
        <v>1043</v>
      </c>
      <c r="D488" s="482" t="s">
        <v>1044</v>
      </c>
      <c r="E488" s="484">
        <v>16.600000000000001</v>
      </c>
      <c r="F488" s="484">
        <v>16.600000000000001</v>
      </c>
      <c r="G488" s="484">
        <v>8.0168999999999997</v>
      </c>
      <c r="H488" s="484">
        <v>8.0168999999999997</v>
      </c>
      <c r="I488" s="480">
        <v>48.29</v>
      </c>
      <c r="J488" s="485" t="s">
        <v>10</v>
      </c>
    </row>
    <row r="489" spans="1:10" ht="25.5" hidden="1" outlineLevel="3">
      <c r="A489" s="476" t="s">
        <v>1183</v>
      </c>
      <c r="B489" s="477" t="s">
        <v>1184</v>
      </c>
      <c r="C489" s="478"/>
      <c r="D489" s="477"/>
      <c r="E489" s="479">
        <v>596632.9</v>
      </c>
      <c r="F489" s="479">
        <v>596632.9</v>
      </c>
      <c r="G489" s="479">
        <v>190768.78779999999</v>
      </c>
      <c r="H489" s="479">
        <v>187691.3628</v>
      </c>
      <c r="I489" s="480">
        <v>31.46</v>
      </c>
      <c r="J489" s="480"/>
    </row>
    <row r="490" spans="1:10" ht="25.5" hidden="1" outlineLevel="4">
      <c r="A490" s="481" t="s">
        <v>1183</v>
      </c>
      <c r="B490" s="482" t="s">
        <v>1184</v>
      </c>
      <c r="C490" s="483" t="s">
        <v>1043</v>
      </c>
      <c r="D490" s="482" t="s">
        <v>1044</v>
      </c>
      <c r="E490" s="484">
        <v>596632.9</v>
      </c>
      <c r="F490" s="484">
        <v>596632.9</v>
      </c>
      <c r="G490" s="484">
        <v>190768.78779999999</v>
      </c>
      <c r="H490" s="484">
        <v>187691.3628</v>
      </c>
      <c r="I490" s="480">
        <v>31.46</v>
      </c>
      <c r="J490" s="485" t="s">
        <v>10</v>
      </c>
    </row>
    <row r="491" spans="1:10" ht="114.75" hidden="1" outlineLevel="3">
      <c r="A491" s="476" t="s">
        <v>1185</v>
      </c>
      <c r="B491" s="477" t="s">
        <v>1186</v>
      </c>
      <c r="C491" s="478"/>
      <c r="D491" s="477"/>
      <c r="E491" s="479">
        <v>4398.3999999999996</v>
      </c>
      <c r="F491" s="479">
        <v>4398.3999999999996</v>
      </c>
      <c r="G491" s="479">
        <v>1313.0216399999999</v>
      </c>
      <c r="H491" s="479">
        <v>1303.6404700000001</v>
      </c>
      <c r="I491" s="480">
        <v>29.64</v>
      </c>
      <c r="J491" s="480"/>
    </row>
    <row r="492" spans="1:10" ht="114.75" hidden="1" outlineLevel="4">
      <c r="A492" s="481" t="s">
        <v>1185</v>
      </c>
      <c r="B492" s="482" t="s">
        <v>1186</v>
      </c>
      <c r="C492" s="483" t="s">
        <v>1043</v>
      </c>
      <c r="D492" s="482" t="s">
        <v>1044</v>
      </c>
      <c r="E492" s="484">
        <v>4398.3999999999996</v>
      </c>
      <c r="F492" s="484">
        <v>4398.3999999999996</v>
      </c>
      <c r="G492" s="484">
        <v>1313.0216399999999</v>
      </c>
      <c r="H492" s="484">
        <v>1303.6404700000001</v>
      </c>
      <c r="I492" s="480">
        <v>29.64</v>
      </c>
      <c r="J492" s="485" t="s">
        <v>10</v>
      </c>
    </row>
    <row r="493" spans="1:10" ht="114.75" hidden="1" outlineLevel="3">
      <c r="A493" s="476" t="s">
        <v>1187</v>
      </c>
      <c r="B493" s="477" t="s">
        <v>1188</v>
      </c>
      <c r="C493" s="478"/>
      <c r="D493" s="477"/>
      <c r="E493" s="479">
        <v>108.8</v>
      </c>
      <c r="F493" s="479">
        <v>108.8</v>
      </c>
      <c r="G493" s="479">
        <v>98.240759999999995</v>
      </c>
      <c r="H493" s="479">
        <v>98.240759999999995</v>
      </c>
      <c r="I493" s="480">
        <v>90.29</v>
      </c>
      <c r="J493" s="480"/>
    </row>
    <row r="494" spans="1:10" ht="114.75" hidden="1" outlineLevel="4">
      <c r="A494" s="481" t="s">
        <v>1187</v>
      </c>
      <c r="B494" s="482" t="s">
        <v>1188</v>
      </c>
      <c r="C494" s="483" t="s">
        <v>1043</v>
      </c>
      <c r="D494" s="482" t="s">
        <v>1044</v>
      </c>
      <c r="E494" s="484">
        <v>108.8</v>
      </c>
      <c r="F494" s="484">
        <v>108.8</v>
      </c>
      <c r="G494" s="484">
        <v>98.240759999999995</v>
      </c>
      <c r="H494" s="484">
        <v>98.240759999999995</v>
      </c>
      <c r="I494" s="480">
        <v>90.29</v>
      </c>
      <c r="J494" s="485" t="s">
        <v>10</v>
      </c>
    </row>
    <row r="495" spans="1:10" ht="140.25" hidden="1" outlineLevel="3">
      <c r="A495" s="476" t="s">
        <v>1189</v>
      </c>
      <c r="B495" s="477" t="s">
        <v>1190</v>
      </c>
      <c r="C495" s="478"/>
      <c r="D495" s="477"/>
      <c r="E495" s="479">
        <v>355731.1</v>
      </c>
      <c r="F495" s="479">
        <v>355731.1</v>
      </c>
      <c r="G495" s="479">
        <v>155861.67378000001</v>
      </c>
      <c r="H495" s="479">
        <v>154288.15416000001</v>
      </c>
      <c r="I495" s="480">
        <v>43.37</v>
      </c>
      <c r="J495" s="480"/>
    </row>
    <row r="496" spans="1:10" ht="140.25" hidden="1" outlineLevel="4">
      <c r="A496" s="481" t="s">
        <v>1189</v>
      </c>
      <c r="B496" s="482" t="s">
        <v>1190</v>
      </c>
      <c r="C496" s="483" t="s">
        <v>1043</v>
      </c>
      <c r="D496" s="482" t="s">
        <v>1044</v>
      </c>
      <c r="E496" s="484">
        <v>355731.1</v>
      </c>
      <c r="F496" s="484">
        <v>355731.1</v>
      </c>
      <c r="G496" s="484">
        <v>155861.67378000001</v>
      </c>
      <c r="H496" s="484">
        <v>154288.15416000001</v>
      </c>
      <c r="I496" s="480">
        <v>43.37</v>
      </c>
      <c r="J496" s="485" t="s">
        <v>10</v>
      </c>
    </row>
    <row r="497" spans="1:10" ht="140.25" hidden="1" outlineLevel="3">
      <c r="A497" s="476" t="s">
        <v>1189</v>
      </c>
      <c r="B497" s="477" t="s">
        <v>1191</v>
      </c>
      <c r="C497" s="478"/>
      <c r="D497" s="477"/>
      <c r="E497" s="479">
        <v>40601.800000000003</v>
      </c>
      <c r="F497" s="479">
        <v>40601.800000000003</v>
      </c>
      <c r="G497" s="479">
        <v>0</v>
      </c>
      <c r="H497" s="479">
        <v>0</v>
      </c>
      <c r="I497" s="480">
        <v>0</v>
      </c>
      <c r="J497" s="480"/>
    </row>
    <row r="498" spans="1:10" ht="140.25" hidden="1" outlineLevel="4">
      <c r="A498" s="481" t="s">
        <v>1189</v>
      </c>
      <c r="B498" s="482" t="s">
        <v>1191</v>
      </c>
      <c r="C498" s="483" t="s">
        <v>1043</v>
      </c>
      <c r="D498" s="482" t="s">
        <v>1044</v>
      </c>
      <c r="E498" s="484">
        <v>40601.800000000003</v>
      </c>
      <c r="F498" s="484">
        <v>40601.800000000003</v>
      </c>
      <c r="G498" s="484">
        <v>0</v>
      </c>
      <c r="H498" s="484">
        <v>0</v>
      </c>
      <c r="I498" s="480">
        <v>0</v>
      </c>
      <c r="J498" s="485" t="s">
        <v>10</v>
      </c>
    </row>
    <row r="499" spans="1:10" ht="89.25" hidden="1" outlineLevel="3">
      <c r="A499" s="476" t="s">
        <v>1192</v>
      </c>
      <c r="B499" s="477" t="s">
        <v>1193</v>
      </c>
      <c r="C499" s="478"/>
      <c r="D499" s="477"/>
      <c r="E499" s="479">
        <v>985.6</v>
      </c>
      <c r="F499" s="479">
        <v>985.6</v>
      </c>
      <c r="G499" s="479">
        <v>518.85299999999995</v>
      </c>
      <c r="H499" s="479">
        <v>327.52032000000003</v>
      </c>
      <c r="I499" s="480">
        <v>33.229999999999997</v>
      </c>
      <c r="J499" s="480"/>
    </row>
    <row r="500" spans="1:10" ht="89.25" hidden="1" outlineLevel="4">
      <c r="A500" s="481" t="s">
        <v>1192</v>
      </c>
      <c r="B500" s="482" t="s">
        <v>1193</v>
      </c>
      <c r="C500" s="483" t="s">
        <v>1043</v>
      </c>
      <c r="D500" s="482" t="s">
        <v>1044</v>
      </c>
      <c r="E500" s="484">
        <v>985.6</v>
      </c>
      <c r="F500" s="484">
        <v>985.6</v>
      </c>
      <c r="G500" s="484">
        <v>518.85299999999995</v>
      </c>
      <c r="H500" s="484">
        <v>327.52032000000003</v>
      </c>
      <c r="I500" s="480">
        <v>33.229999999999997</v>
      </c>
      <c r="J500" s="480"/>
    </row>
    <row r="501" spans="1:10" ht="89.25" hidden="1" outlineLevel="3">
      <c r="A501" s="476" t="s">
        <v>1194</v>
      </c>
      <c r="B501" s="477" t="s">
        <v>1195</v>
      </c>
      <c r="C501" s="478"/>
      <c r="D501" s="477"/>
      <c r="E501" s="479">
        <v>151077.20000000001</v>
      </c>
      <c r="F501" s="479">
        <v>151077.20000000001</v>
      </c>
      <c r="G501" s="479">
        <v>69931.505879999997</v>
      </c>
      <c r="H501" s="479">
        <v>64608.938620000001</v>
      </c>
      <c r="I501" s="480">
        <v>42.77</v>
      </c>
      <c r="J501" s="480"/>
    </row>
    <row r="502" spans="1:10" ht="89.25" hidden="1" outlineLevel="4">
      <c r="A502" s="481" t="s">
        <v>1194</v>
      </c>
      <c r="B502" s="482" t="s">
        <v>1195</v>
      </c>
      <c r="C502" s="483" t="s">
        <v>1043</v>
      </c>
      <c r="D502" s="482" t="s">
        <v>1044</v>
      </c>
      <c r="E502" s="484">
        <v>151077.20000000001</v>
      </c>
      <c r="F502" s="484">
        <v>151077.20000000001</v>
      </c>
      <c r="G502" s="484">
        <v>69931.505879999997</v>
      </c>
      <c r="H502" s="484">
        <v>64608.938620000001</v>
      </c>
      <c r="I502" s="480">
        <v>42.77</v>
      </c>
      <c r="J502" s="480"/>
    </row>
    <row r="503" spans="1:10" ht="204" hidden="1" outlineLevel="3">
      <c r="A503" s="476" t="s">
        <v>1196</v>
      </c>
      <c r="B503" s="477" t="s">
        <v>1197</v>
      </c>
      <c r="C503" s="478"/>
      <c r="D503" s="477"/>
      <c r="E503" s="479">
        <v>5153.1000000000004</v>
      </c>
      <c r="F503" s="479">
        <v>5153.1000000000004</v>
      </c>
      <c r="G503" s="479">
        <v>2800</v>
      </c>
      <c r="H503" s="479">
        <v>2251.9627500000001</v>
      </c>
      <c r="I503" s="480">
        <v>43.7</v>
      </c>
      <c r="J503" s="480"/>
    </row>
    <row r="504" spans="1:10" ht="204" hidden="1" outlineLevel="4">
      <c r="A504" s="481" t="s">
        <v>1196</v>
      </c>
      <c r="B504" s="482" t="s">
        <v>1197</v>
      </c>
      <c r="C504" s="483" t="s">
        <v>1043</v>
      </c>
      <c r="D504" s="482" t="s">
        <v>1044</v>
      </c>
      <c r="E504" s="484">
        <v>5153.1000000000004</v>
      </c>
      <c r="F504" s="484">
        <v>5153.1000000000004</v>
      </c>
      <c r="G504" s="484">
        <v>2800</v>
      </c>
      <c r="H504" s="484">
        <v>2251.9627500000001</v>
      </c>
      <c r="I504" s="480">
        <v>43.7</v>
      </c>
      <c r="J504" s="480"/>
    </row>
    <row r="505" spans="1:10" ht="204" hidden="1" outlineLevel="3">
      <c r="A505" s="476" t="s">
        <v>1198</v>
      </c>
      <c r="B505" s="477" t="s">
        <v>1199</v>
      </c>
      <c r="C505" s="478"/>
      <c r="D505" s="477"/>
      <c r="E505" s="479">
        <v>36.799999999999997</v>
      </c>
      <c r="F505" s="479">
        <v>36.799999999999997</v>
      </c>
      <c r="G505" s="479">
        <v>0</v>
      </c>
      <c r="H505" s="479">
        <v>0</v>
      </c>
      <c r="I505" s="480">
        <v>0</v>
      </c>
      <c r="J505" s="480"/>
    </row>
    <row r="506" spans="1:10" ht="204" hidden="1" outlineLevel="4">
      <c r="A506" s="481" t="s">
        <v>1198</v>
      </c>
      <c r="B506" s="482" t="s">
        <v>1199</v>
      </c>
      <c r="C506" s="483" t="s">
        <v>1043</v>
      </c>
      <c r="D506" s="482" t="s">
        <v>1044</v>
      </c>
      <c r="E506" s="484">
        <v>36.799999999999997</v>
      </c>
      <c r="F506" s="484">
        <v>36.799999999999997</v>
      </c>
      <c r="G506" s="484">
        <v>0</v>
      </c>
      <c r="H506" s="484">
        <v>0</v>
      </c>
      <c r="I506" s="480">
        <v>0</v>
      </c>
      <c r="J506" s="480"/>
    </row>
    <row r="507" spans="1:10" ht="38.25" hidden="1" outlineLevel="3">
      <c r="A507" s="476" t="s">
        <v>1200</v>
      </c>
      <c r="B507" s="477" t="s">
        <v>1201</v>
      </c>
      <c r="C507" s="478"/>
      <c r="D507" s="477"/>
      <c r="E507" s="479">
        <v>2707.8</v>
      </c>
      <c r="F507" s="479">
        <v>2707.8</v>
      </c>
      <c r="G507" s="479">
        <v>794.80373999999995</v>
      </c>
      <c r="H507" s="479">
        <v>713.66423999999995</v>
      </c>
      <c r="I507" s="480">
        <v>26.36</v>
      </c>
      <c r="J507" s="480"/>
    </row>
    <row r="508" spans="1:10" ht="38.25" hidden="1" outlineLevel="4">
      <c r="A508" s="481" t="s">
        <v>1200</v>
      </c>
      <c r="B508" s="482" t="s">
        <v>1201</v>
      </c>
      <c r="C508" s="483" t="s">
        <v>1043</v>
      </c>
      <c r="D508" s="482" t="s">
        <v>1044</v>
      </c>
      <c r="E508" s="484">
        <v>2707.8</v>
      </c>
      <c r="F508" s="484">
        <v>2707.8</v>
      </c>
      <c r="G508" s="484">
        <v>794.80373999999995</v>
      </c>
      <c r="H508" s="484">
        <v>713.66423999999995</v>
      </c>
      <c r="I508" s="480">
        <v>26.36</v>
      </c>
      <c r="J508" s="480"/>
    </row>
    <row r="509" spans="1:10" ht="102" hidden="1" outlineLevel="3">
      <c r="A509" s="476" t="s">
        <v>1202</v>
      </c>
      <c r="B509" s="477" t="s">
        <v>1203</v>
      </c>
      <c r="C509" s="478"/>
      <c r="D509" s="477"/>
      <c r="E509" s="479">
        <v>15927.7</v>
      </c>
      <c r="F509" s="479">
        <v>15927.7</v>
      </c>
      <c r="G509" s="479">
        <v>7237.9442099999997</v>
      </c>
      <c r="H509" s="479">
        <v>5746.0810199999996</v>
      </c>
      <c r="I509" s="480">
        <v>36.08</v>
      </c>
      <c r="J509" s="480"/>
    </row>
    <row r="510" spans="1:10" ht="102" hidden="1" outlineLevel="4">
      <c r="A510" s="481" t="s">
        <v>1202</v>
      </c>
      <c r="B510" s="482" t="s">
        <v>1203</v>
      </c>
      <c r="C510" s="483" t="s">
        <v>1043</v>
      </c>
      <c r="D510" s="482" t="s">
        <v>1044</v>
      </c>
      <c r="E510" s="484">
        <v>15927.7</v>
      </c>
      <c r="F510" s="484">
        <v>15927.7</v>
      </c>
      <c r="G510" s="484">
        <v>7237.9442099999997</v>
      </c>
      <c r="H510" s="484">
        <v>5746.0810199999996</v>
      </c>
      <c r="I510" s="480">
        <v>36.08</v>
      </c>
      <c r="J510" s="480"/>
    </row>
    <row r="511" spans="1:10" ht="102" hidden="1" outlineLevel="3">
      <c r="A511" s="476" t="s">
        <v>1204</v>
      </c>
      <c r="B511" s="477" t="s">
        <v>1205</v>
      </c>
      <c r="C511" s="478"/>
      <c r="D511" s="477"/>
      <c r="E511" s="479">
        <v>3362.5</v>
      </c>
      <c r="F511" s="479">
        <v>3362.5</v>
      </c>
      <c r="G511" s="479">
        <v>1874.6410000000001</v>
      </c>
      <c r="H511" s="479">
        <v>1791.9139500000001</v>
      </c>
      <c r="I511" s="480">
        <v>53.29</v>
      </c>
      <c r="J511" s="480"/>
    </row>
    <row r="512" spans="1:10" ht="102" hidden="1" outlineLevel="4">
      <c r="A512" s="481" t="s">
        <v>1204</v>
      </c>
      <c r="B512" s="482" t="s">
        <v>1205</v>
      </c>
      <c r="C512" s="483" t="s">
        <v>1043</v>
      </c>
      <c r="D512" s="482" t="s">
        <v>1044</v>
      </c>
      <c r="E512" s="484">
        <v>3362.5</v>
      </c>
      <c r="F512" s="484">
        <v>3362.5</v>
      </c>
      <c r="G512" s="484">
        <v>1874.6410000000001</v>
      </c>
      <c r="H512" s="484">
        <v>1791.9139500000001</v>
      </c>
      <c r="I512" s="480">
        <v>53.29</v>
      </c>
      <c r="J512" s="480"/>
    </row>
    <row r="513" spans="1:10" ht="25.5" hidden="1" outlineLevel="3">
      <c r="A513" s="476" t="s">
        <v>1206</v>
      </c>
      <c r="B513" s="477" t="s">
        <v>1207</v>
      </c>
      <c r="C513" s="478"/>
      <c r="D513" s="477"/>
      <c r="E513" s="479">
        <v>995573.5</v>
      </c>
      <c r="F513" s="479">
        <v>995573.5</v>
      </c>
      <c r="G513" s="479">
        <v>531161.47601999994</v>
      </c>
      <c r="H513" s="479">
        <v>524885.20675999997</v>
      </c>
      <c r="I513" s="480">
        <v>52.72</v>
      </c>
      <c r="J513" s="480"/>
    </row>
    <row r="514" spans="1:10" ht="25.5" hidden="1" outlineLevel="4">
      <c r="A514" s="481" t="s">
        <v>1206</v>
      </c>
      <c r="B514" s="482" t="s">
        <v>1207</v>
      </c>
      <c r="C514" s="483" t="s">
        <v>1043</v>
      </c>
      <c r="D514" s="482" t="s">
        <v>1044</v>
      </c>
      <c r="E514" s="484">
        <v>995573.5</v>
      </c>
      <c r="F514" s="484">
        <v>995573.5</v>
      </c>
      <c r="G514" s="484">
        <v>531161.47601999994</v>
      </c>
      <c r="H514" s="484">
        <v>524885.20675999997</v>
      </c>
      <c r="I514" s="480">
        <v>52.72</v>
      </c>
      <c r="J514" s="480"/>
    </row>
    <row r="515" spans="1:10" ht="25.5" hidden="1" outlineLevel="3">
      <c r="A515" s="476" t="s">
        <v>1208</v>
      </c>
      <c r="B515" s="477" t="s">
        <v>1209</v>
      </c>
      <c r="C515" s="478"/>
      <c r="D515" s="477"/>
      <c r="E515" s="479">
        <v>775438.7</v>
      </c>
      <c r="F515" s="479">
        <v>775438.7</v>
      </c>
      <c r="G515" s="479">
        <v>200737.2</v>
      </c>
      <c r="H515" s="479">
        <v>149766.74340000001</v>
      </c>
      <c r="I515" s="480">
        <v>19.309999999999999</v>
      </c>
      <c r="J515" s="480"/>
    </row>
    <row r="516" spans="1:10" ht="25.5" hidden="1" outlineLevel="4">
      <c r="A516" s="481" t="s">
        <v>1208</v>
      </c>
      <c r="B516" s="482" t="s">
        <v>1209</v>
      </c>
      <c r="C516" s="483" t="s">
        <v>1043</v>
      </c>
      <c r="D516" s="482" t="s">
        <v>1044</v>
      </c>
      <c r="E516" s="484">
        <v>775438.7</v>
      </c>
      <c r="F516" s="484">
        <v>775438.7</v>
      </c>
      <c r="G516" s="484">
        <v>200737.2</v>
      </c>
      <c r="H516" s="484">
        <v>149766.74340000001</v>
      </c>
      <c r="I516" s="480">
        <v>19.309999999999999</v>
      </c>
      <c r="J516" s="480"/>
    </row>
    <row r="517" spans="1:10" ht="51" hidden="1" outlineLevel="3">
      <c r="A517" s="476" t="s">
        <v>1210</v>
      </c>
      <c r="B517" s="477" t="s">
        <v>1211</v>
      </c>
      <c r="C517" s="478"/>
      <c r="D517" s="477"/>
      <c r="E517" s="479">
        <v>62725.2</v>
      </c>
      <c r="F517" s="479">
        <v>62725.2</v>
      </c>
      <c r="G517" s="479">
        <v>20200.965769999999</v>
      </c>
      <c r="H517" s="479">
        <v>19718.09115</v>
      </c>
      <c r="I517" s="480">
        <v>31.44</v>
      </c>
      <c r="J517" s="480"/>
    </row>
    <row r="518" spans="1:10" ht="51" hidden="1" outlineLevel="4">
      <c r="A518" s="481" t="s">
        <v>1210</v>
      </c>
      <c r="B518" s="482" t="s">
        <v>1211</v>
      </c>
      <c r="C518" s="483" t="s">
        <v>1043</v>
      </c>
      <c r="D518" s="482" t="s">
        <v>1044</v>
      </c>
      <c r="E518" s="484">
        <v>62725.2</v>
      </c>
      <c r="F518" s="484">
        <v>62725.2</v>
      </c>
      <c r="G518" s="484">
        <v>20200.965769999999</v>
      </c>
      <c r="H518" s="484">
        <v>19718.09115</v>
      </c>
      <c r="I518" s="480">
        <v>31.44</v>
      </c>
      <c r="J518" s="480"/>
    </row>
    <row r="519" spans="1:10" ht="76.5" hidden="1" outlineLevel="2">
      <c r="A519" s="471" t="s">
        <v>1212</v>
      </c>
      <c r="B519" s="472" t="s">
        <v>1213</v>
      </c>
      <c r="C519" s="473"/>
      <c r="D519" s="472"/>
      <c r="E519" s="474">
        <v>44890.9</v>
      </c>
      <c r="F519" s="474">
        <v>44890.9</v>
      </c>
      <c r="G519" s="474">
        <v>5833.1073399999996</v>
      </c>
      <c r="H519" s="474">
        <v>5629.973</v>
      </c>
      <c r="I519" s="475">
        <v>12.54</v>
      </c>
      <c r="J519" s="475"/>
    </row>
    <row r="520" spans="1:10" ht="25.5" hidden="1" outlineLevel="3">
      <c r="A520" s="476" t="s">
        <v>1077</v>
      </c>
      <c r="B520" s="477" t="s">
        <v>1214</v>
      </c>
      <c r="C520" s="478"/>
      <c r="D520" s="477"/>
      <c r="E520" s="479">
        <v>44890.9</v>
      </c>
      <c r="F520" s="479">
        <v>44890.9</v>
      </c>
      <c r="G520" s="479">
        <v>5833.1073399999996</v>
      </c>
      <c r="H520" s="479">
        <v>5629.973</v>
      </c>
      <c r="I520" s="480">
        <v>12.54</v>
      </c>
      <c r="J520" s="480"/>
    </row>
    <row r="521" spans="1:10" ht="25.5" hidden="1" outlineLevel="4">
      <c r="A521" s="481" t="s">
        <v>1077</v>
      </c>
      <c r="B521" s="482" t="s">
        <v>1214</v>
      </c>
      <c r="C521" s="483" t="s">
        <v>1043</v>
      </c>
      <c r="D521" s="482" t="s">
        <v>1044</v>
      </c>
      <c r="E521" s="484">
        <v>44890.9</v>
      </c>
      <c r="F521" s="484">
        <v>44890.9</v>
      </c>
      <c r="G521" s="484">
        <v>5833.1073399999996</v>
      </c>
      <c r="H521" s="484">
        <v>5629.973</v>
      </c>
      <c r="I521" s="480">
        <v>12.54</v>
      </c>
      <c r="J521" s="480"/>
    </row>
    <row r="522" spans="1:10" ht="153" hidden="1" outlineLevel="2">
      <c r="A522" s="471" t="s">
        <v>1215</v>
      </c>
      <c r="B522" s="472" t="s">
        <v>1216</v>
      </c>
      <c r="C522" s="473"/>
      <c r="D522" s="472"/>
      <c r="E522" s="474">
        <v>115601</v>
      </c>
      <c r="F522" s="474">
        <v>115601</v>
      </c>
      <c r="G522" s="474">
        <v>24796.492600000001</v>
      </c>
      <c r="H522" s="474">
        <v>16008.21681</v>
      </c>
      <c r="I522" s="475">
        <v>13.85</v>
      </c>
      <c r="J522" s="475"/>
    </row>
    <row r="523" spans="1:10" ht="25.5" hidden="1" outlineLevel="3">
      <c r="A523" s="476" t="s">
        <v>1077</v>
      </c>
      <c r="B523" s="477" t="s">
        <v>1217</v>
      </c>
      <c r="C523" s="478"/>
      <c r="D523" s="477"/>
      <c r="E523" s="479">
        <v>115601</v>
      </c>
      <c r="F523" s="479">
        <v>115601</v>
      </c>
      <c r="G523" s="479">
        <v>24796.492600000001</v>
      </c>
      <c r="H523" s="479">
        <v>16008.21681</v>
      </c>
      <c r="I523" s="480">
        <v>13.85</v>
      </c>
      <c r="J523" s="480"/>
    </row>
    <row r="524" spans="1:10" ht="25.5" hidden="1" outlineLevel="4">
      <c r="A524" s="481" t="s">
        <v>1077</v>
      </c>
      <c r="B524" s="482" t="s">
        <v>1217</v>
      </c>
      <c r="C524" s="483" t="s">
        <v>1043</v>
      </c>
      <c r="D524" s="482" t="s">
        <v>1044</v>
      </c>
      <c r="E524" s="484">
        <v>115601</v>
      </c>
      <c r="F524" s="484">
        <v>115601</v>
      </c>
      <c r="G524" s="484">
        <v>24796.492600000001</v>
      </c>
      <c r="H524" s="484">
        <v>16008.21681</v>
      </c>
      <c r="I524" s="480">
        <v>13.85</v>
      </c>
      <c r="J524" s="480"/>
    </row>
    <row r="525" spans="1:10" ht="38.25" hidden="1" outlineLevel="2">
      <c r="A525" s="471" t="s">
        <v>1218</v>
      </c>
      <c r="B525" s="472" t="s">
        <v>1219</v>
      </c>
      <c r="C525" s="473"/>
      <c r="D525" s="472"/>
      <c r="E525" s="474">
        <v>160234.53917999999</v>
      </c>
      <c r="F525" s="474">
        <v>160234.53917999999</v>
      </c>
      <c r="G525" s="474">
        <v>64881.830260000002</v>
      </c>
      <c r="H525" s="474">
        <v>64881.830260000002</v>
      </c>
      <c r="I525" s="475">
        <v>40.49</v>
      </c>
      <c r="J525" s="475"/>
    </row>
    <row r="526" spans="1:10" ht="51" hidden="1" outlineLevel="3">
      <c r="A526" s="476" t="s">
        <v>1220</v>
      </c>
      <c r="B526" s="477" t="s">
        <v>1221</v>
      </c>
      <c r="C526" s="478"/>
      <c r="D526" s="477"/>
      <c r="E526" s="479">
        <v>153519.93012999999</v>
      </c>
      <c r="F526" s="479">
        <v>153519.93012999999</v>
      </c>
      <c r="G526" s="479">
        <v>59768.483260000001</v>
      </c>
      <c r="H526" s="479">
        <v>59768.483260000001</v>
      </c>
      <c r="I526" s="480">
        <v>38.93</v>
      </c>
      <c r="J526" s="480"/>
    </row>
    <row r="527" spans="1:10" ht="51" hidden="1" outlineLevel="4">
      <c r="A527" s="481" t="s">
        <v>1220</v>
      </c>
      <c r="B527" s="482" t="s">
        <v>1221</v>
      </c>
      <c r="C527" s="483" t="s">
        <v>704</v>
      </c>
      <c r="D527" s="482" t="s">
        <v>705</v>
      </c>
      <c r="E527" s="484">
        <v>153519.93012999999</v>
      </c>
      <c r="F527" s="484">
        <v>153519.93012999999</v>
      </c>
      <c r="G527" s="484">
        <v>59768.483260000001</v>
      </c>
      <c r="H527" s="484">
        <v>59768.483260000001</v>
      </c>
      <c r="I527" s="480">
        <v>38.93</v>
      </c>
      <c r="J527" s="480"/>
    </row>
    <row r="528" spans="1:10" ht="38.25" hidden="1" outlineLevel="3">
      <c r="A528" s="476" t="s">
        <v>1222</v>
      </c>
      <c r="B528" s="477" t="s">
        <v>1223</v>
      </c>
      <c r="C528" s="478"/>
      <c r="D528" s="477"/>
      <c r="E528" s="479">
        <v>3909.94589</v>
      </c>
      <c r="F528" s="479">
        <v>3909.94589</v>
      </c>
      <c r="G528" s="479">
        <v>3905.192</v>
      </c>
      <c r="H528" s="479">
        <v>3905.192</v>
      </c>
      <c r="I528" s="480">
        <v>99.88</v>
      </c>
      <c r="J528" s="480"/>
    </row>
    <row r="529" spans="1:10" ht="38.25" hidden="1" outlineLevel="4">
      <c r="A529" s="481" t="s">
        <v>1222</v>
      </c>
      <c r="B529" s="482" t="s">
        <v>1223</v>
      </c>
      <c r="C529" s="483" t="s">
        <v>704</v>
      </c>
      <c r="D529" s="482" t="s">
        <v>705</v>
      </c>
      <c r="E529" s="484">
        <v>3909.94589</v>
      </c>
      <c r="F529" s="484">
        <v>3909.94589</v>
      </c>
      <c r="G529" s="484">
        <v>3905.192</v>
      </c>
      <c r="H529" s="484">
        <v>3905.192</v>
      </c>
      <c r="I529" s="480">
        <v>99.88</v>
      </c>
      <c r="J529" s="480"/>
    </row>
    <row r="530" spans="1:10" ht="25.5" hidden="1" outlineLevel="3">
      <c r="A530" s="476" t="s">
        <v>1224</v>
      </c>
      <c r="B530" s="477" t="s">
        <v>1225</v>
      </c>
      <c r="C530" s="478"/>
      <c r="D530" s="477"/>
      <c r="E530" s="479">
        <v>2804.6631600000001</v>
      </c>
      <c r="F530" s="479">
        <v>2804.6631600000001</v>
      </c>
      <c r="G530" s="479">
        <v>1208.155</v>
      </c>
      <c r="H530" s="479">
        <v>1208.155</v>
      </c>
      <c r="I530" s="480">
        <v>43.08</v>
      </c>
      <c r="J530" s="480"/>
    </row>
    <row r="531" spans="1:10" ht="25.5" hidden="1" outlineLevel="4">
      <c r="A531" s="481" t="s">
        <v>1224</v>
      </c>
      <c r="B531" s="482" t="s">
        <v>1225</v>
      </c>
      <c r="C531" s="483" t="s">
        <v>704</v>
      </c>
      <c r="D531" s="482" t="s">
        <v>705</v>
      </c>
      <c r="E531" s="484">
        <v>2804.6631600000001</v>
      </c>
      <c r="F531" s="484">
        <v>2804.6631600000001</v>
      </c>
      <c r="G531" s="484">
        <v>1208.155</v>
      </c>
      <c r="H531" s="484">
        <v>1208.155</v>
      </c>
      <c r="I531" s="480">
        <v>43.08</v>
      </c>
      <c r="J531" s="480"/>
    </row>
    <row r="532" spans="1:10" ht="25.5" hidden="1" outlineLevel="2">
      <c r="A532" s="471" t="s">
        <v>1226</v>
      </c>
      <c r="B532" s="472" t="s">
        <v>1227</v>
      </c>
      <c r="C532" s="473"/>
      <c r="D532" s="472"/>
      <c r="E532" s="474">
        <v>2367406.4</v>
      </c>
      <c r="F532" s="474">
        <v>2367406.4</v>
      </c>
      <c r="G532" s="474">
        <v>680163.19360999996</v>
      </c>
      <c r="H532" s="474">
        <v>676338.54911999998</v>
      </c>
      <c r="I532" s="475">
        <v>28.57</v>
      </c>
      <c r="J532" s="475"/>
    </row>
    <row r="533" spans="1:10" ht="51" hidden="1" outlineLevel="3">
      <c r="A533" s="476" t="s">
        <v>1228</v>
      </c>
      <c r="B533" s="477" t="s">
        <v>1229</v>
      </c>
      <c r="C533" s="478"/>
      <c r="D533" s="477"/>
      <c r="E533" s="479">
        <v>693322.8</v>
      </c>
      <c r="F533" s="479">
        <v>693322.8</v>
      </c>
      <c r="G533" s="479">
        <v>383507.48053</v>
      </c>
      <c r="H533" s="479">
        <v>380856.64934</v>
      </c>
      <c r="I533" s="480">
        <v>54.93</v>
      </c>
      <c r="J533" s="480"/>
    </row>
    <row r="534" spans="1:10" ht="51" hidden="1" outlineLevel="4">
      <c r="A534" s="481" t="s">
        <v>1228</v>
      </c>
      <c r="B534" s="482" t="s">
        <v>1229</v>
      </c>
      <c r="C534" s="483" t="s">
        <v>1043</v>
      </c>
      <c r="D534" s="482" t="s">
        <v>1044</v>
      </c>
      <c r="E534" s="484">
        <v>693322.8</v>
      </c>
      <c r="F534" s="484">
        <v>693322.8</v>
      </c>
      <c r="G534" s="484">
        <v>383507.48053</v>
      </c>
      <c r="H534" s="484">
        <v>380856.64934</v>
      </c>
      <c r="I534" s="480">
        <v>54.93</v>
      </c>
      <c r="J534" s="485" t="s">
        <v>10</v>
      </c>
    </row>
    <row r="535" spans="1:10" ht="51" hidden="1" outlineLevel="3">
      <c r="A535" s="476" t="s">
        <v>1230</v>
      </c>
      <c r="B535" s="477" t="s">
        <v>1231</v>
      </c>
      <c r="C535" s="478"/>
      <c r="D535" s="477"/>
      <c r="E535" s="479">
        <v>1527023.1</v>
      </c>
      <c r="F535" s="479">
        <v>1527023.1</v>
      </c>
      <c r="G535" s="479">
        <v>296655.71308000002</v>
      </c>
      <c r="H535" s="479">
        <v>295481.89977999998</v>
      </c>
      <c r="I535" s="480">
        <v>19.350000000000001</v>
      </c>
      <c r="J535" s="480"/>
    </row>
    <row r="536" spans="1:10" ht="51" hidden="1" outlineLevel="4">
      <c r="A536" s="481" t="s">
        <v>1230</v>
      </c>
      <c r="B536" s="482" t="s">
        <v>1231</v>
      </c>
      <c r="C536" s="483" t="s">
        <v>1043</v>
      </c>
      <c r="D536" s="482" t="s">
        <v>1044</v>
      </c>
      <c r="E536" s="484">
        <v>1527023.1</v>
      </c>
      <c r="F536" s="484">
        <v>1527023.1</v>
      </c>
      <c r="G536" s="484">
        <v>296655.71308000002</v>
      </c>
      <c r="H536" s="484">
        <v>295481.89977999998</v>
      </c>
      <c r="I536" s="480">
        <v>19.350000000000001</v>
      </c>
      <c r="J536" s="485" t="s">
        <v>10</v>
      </c>
    </row>
    <row r="537" spans="1:10" ht="51" hidden="1" outlineLevel="3">
      <c r="A537" s="476" t="s">
        <v>1228</v>
      </c>
      <c r="B537" s="477" t="s">
        <v>1232</v>
      </c>
      <c r="C537" s="478"/>
      <c r="D537" s="477"/>
      <c r="E537" s="479">
        <v>147060.5</v>
      </c>
      <c r="F537" s="479">
        <v>147060.5</v>
      </c>
      <c r="G537" s="479">
        <v>0</v>
      </c>
      <c r="H537" s="479">
        <v>0</v>
      </c>
      <c r="I537" s="480">
        <v>0</v>
      </c>
      <c r="J537" s="480"/>
    </row>
    <row r="538" spans="1:10" ht="51" hidden="1" outlineLevel="4">
      <c r="A538" s="481" t="s">
        <v>1228</v>
      </c>
      <c r="B538" s="482" t="s">
        <v>1232</v>
      </c>
      <c r="C538" s="483" t="s">
        <v>1043</v>
      </c>
      <c r="D538" s="482" t="s">
        <v>1044</v>
      </c>
      <c r="E538" s="484">
        <v>147060.5</v>
      </c>
      <c r="F538" s="484">
        <v>147060.5</v>
      </c>
      <c r="G538" s="484">
        <v>0</v>
      </c>
      <c r="H538" s="484">
        <v>0</v>
      </c>
      <c r="I538" s="480">
        <v>0</v>
      </c>
      <c r="J538" s="480"/>
    </row>
    <row r="539" spans="1:10" ht="25.5" hidden="1" outlineLevel="2">
      <c r="A539" s="471" t="s">
        <v>1233</v>
      </c>
      <c r="B539" s="472" t="s">
        <v>1234</v>
      </c>
      <c r="C539" s="473"/>
      <c r="D539" s="472"/>
      <c r="E539" s="474">
        <v>146</v>
      </c>
      <c r="F539" s="474">
        <v>146</v>
      </c>
      <c r="G539" s="474">
        <v>122.0938</v>
      </c>
      <c r="H539" s="474">
        <v>122.0938</v>
      </c>
      <c r="I539" s="475">
        <v>83.63</v>
      </c>
      <c r="J539" s="475"/>
    </row>
    <row r="540" spans="1:10" ht="63.75" hidden="1" outlineLevel="3">
      <c r="A540" s="476" t="s">
        <v>1235</v>
      </c>
      <c r="B540" s="477" t="s">
        <v>1236</v>
      </c>
      <c r="C540" s="478"/>
      <c r="D540" s="477"/>
      <c r="E540" s="479">
        <v>146</v>
      </c>
      <c r="F540" s="479">
        <v>146</v>
      </c>
      <c r="G540" s="479">
        <v>122.0938</v>
      </c>
      <c r="H540" s="479">
        <v>122.0938</v>
      </c>
      <c r="I540" s="480">
        <v>83.63</v>
      </c>
      <c r="J540" s="480"/>
    </row>
    <row r="541" spans="1:10" ht="63.75" hidden="1" outlineLevel="4">
      <c r="A541" s="481" t="s">
        <v>1235</v>
      </c>
      <c r="B541" s="482" t="s">
        <v>1236</v>
      </c>
      <c r="C541" s="483" t="s">
        <v>704</v>
      </c>
      <c r="D541" s="482" t="s">
        <v>705</v>
      </c>
      <c r="E541" s="484">
        <v>146</v>
      </c>
      <c r="F541" s="484">
        <v>146</v>
      </c>
      <c r="G541" s="484">
        <v>122.0938</v>
      </c>
      <c r="H541" s="484">
        <v>122.0938</v>
      </c>
      <c r="I541" s="480">
        <v>83.63</v>
      </c>
      <c r="J541" s="485" t="s">
        <v>10</v>
      </c>
    </row>
    <row r="542" spans="1:10" ht="51" hidden="1" outlineLevel="1">
      <c r="A542" s="466" t="s">
        <v>1237</v>
      </c>
      <c r="B542" s="467" t="s">
        <v>1238</v>
      </c>
      <c r="C542" s="468"/>
      <c r="D542" s="467"/>
      <c r="E542" s="469">
        <v>1395002.96346</v>
      </c>
      <c r="F542" s="469">
        <v>1395002.96346</v>
      </c>
      <c r="G542" s="469">
        <v>636054.84745</v>
      </c>
      <c r="H542" s="469">
        <v>593695.46534999995</v>
      </c>
      <c r="I542" s="470">
        <v>42.56</v>
      </c>
      <c r="J542" s="470"/>
    </row>
    <row r="543" spans="1:10" ht="63.75" hidden="1" outlineLevel="2">
      <c r="A543" s="471" t="s">
        <v>1239</v>
      </c>
      <c r="B543" s="472" t="s">
        <v>1240</v>
      </c>
      <c r="C543" s="473"/>
      <c r="D543" s="472"/>
      <c r="E543" s="474">
        <v>864367.86711999995</v>
      </c>
      <c r="F543" s="474">
        <v>864367.86711999995</v>
      </c>
      <c r="G543" s="474">
        <v>447083.65581999999</v>
      </c>
      <c r="H543" s="474">
        <v>412086.17706999998</v>
      </c>
      <c r="I543" s="475">
        <v>47.67</v>
      </c>
      <c r="J543" s="475"/>
    </row>
    <row r="544" spans="1:10" ht="76.5" hidden="1" outlineLevel="3">
      <c r="A544" s="476" t="s">
        <v>702</v>
      </c>
      <c r="B544" s="477" t="s">
        <v>1241</v>
      </c>
      <c r="C544" s="478"/>
      <c r="D544" s="477"/>
      <c r="E544" s="479">
        <v>183.10499999999999</v>
      </c>
      <c r="F544" s="479">
        <v>183.10499999999999</v>
      </c>
      <c r="G544" s="479">
        <v>0</v>
      </c>
      <c r="H544" s="479">
        <v>0</v>
      </c>
      <c r="I544" s="480">
        <v>0</v>
      </c>
      <c r="J544" s="480"/>
    </row>
    <row r="545" spans="1:10" ht="76.5" hidden="1" outlineLevel="4">
      <c r="A545" s="481" t="s">
        <v>702</v>
      </c>
      <c r="B545" s="482" t="s">
        <v>1241</v>
      </c>
      <c r="C545" s="483" t="s">
        <v>711</v>
      </c>
      <c r="D545" s="482" t="s">
        <v>712</v>
      </c>
      <c r="E545" s="484">
        <v>183.10499999999999</v>
      </c>
      <c r="F545" s="484">
        <v>183.10499999999999</v>
      </c>
      <c r="G545" s="484">
        <v>0</v>
      </c>
      <c r="H545" s="484">
        <v>0</v>
      </c>
      <c r="I545" s="480">
        <v>0</v>
      </c>
      <c r="J545" s="480"/>
    </row>
    <row r="546" spans="1:10" ht="51" hidden="1" outlineLevel="3">
      <c r="A546" s="476" t="s">
        <v>1242</v>
      </c>
      <c r="B546" s="477" t="s">
        <v>1243</v>
      </c>
      <c r="C546" s="478"/>
      <c r="D546" s="477"/>
      <c r="E546" s="479">
        <v>4841.2420000000002</v>
      </c>
      <c r="F546" s="479">
        <v>4841.2420000000002</v>
      </c>
      <c r="G546" s="479">
        <v>605.15520000000004</v>
      </c>
      <c r="H546" s="479">
        <v>605.15520000000004</v>
      </c>
      <c r="I546" s="480">
        <v>12.5</v>
      </c>
      <c r="J546" s="480"/>
    </row>
    <row r="547" spans="1:10" ht="51" hidden="1" outlineLevel="4">
      <c r="A547" s="481" t="s">
        <v>1242</v>
      </c>
      <c r="B547" s="482" t="s">
        <v>1243</v>
      </c>
      <c r="C547" s="483" t="s">
        <v>711</v>
      </c>
      <c r="D547" s="482" t="s">
        <v>712</v>
      </c>
      <c r="E547" s="484">
        <v>4841.2420000000002</v>
      </c>
      <c r="F547" s="484">
        <v>4841.2420000000002</v>
      </c>
      <c r="G547" s="484">
        <v>605.15520000000004</v>
      </c>
      <c r="H547" s="484">
        <v>605.15520000000004</v>
      </c>
      <c r="I547" s="480">
        <v>12.5</v>
      </c>
      <c r="J547" s="480"/>
    </row>
    <row r="548" spans="1:10" ht="25.5" hidden="1" outlineLevel="3">
      <c r="A548" s="476" t="s">
        <v>713</v>
      </c>
      <c r="B548" s="477" t="s">
        <v>1244</v>
      </c>
      <c r="C548" s="478"/>
      <c r="D548" s="477"/>
      <c r="E548" s="479">
        <v>378.8</v>
      </c>
      <c r="F548" s="479">
        <v>378.8</v>
      </c>
      <c r="G548" s="479">
        <v>0</v>
      </c>
      <c r="H548" s="479">
        <v>0</v>
      </c>
      <c r="I548" s="480">
        <v>0</v>
      </c>
      <c r="J548" s="480"/>
    </row>
    <row r="549" spans="1:10" ht="25.5" hidden="1" outlineLevel="4">
      <c r="A549" s="481" t="s">
        <v>713</v>
      </c>
      <c r="B549" s="482" t="s">
        <v>1244</v>
      </c>
      <c r="C549" s="483" t="s">
        <v>711</v>
      </c>
      <c r="D549" s="482" t="s">
        <v>712</v>
      </c>
      <c r="E549" s="484">
        <v>378.8</v>
      </c>
      <c r="F549" s="484">
        <v>378.8</v>
      </c>
      <c r="G549" s="484">
        <v>0</v>
      </c>
      <c r="H549" s="484">
        <v>0</v>
      </c>
      <c r="I549" s="480">
        <v>0</v>
      </c>
      <c r="J549" s="480"/>
    </row>
    <row r="550" spans="1:10" ht="38.25" hidden="1" outlineLevel="3">
      <c r="A550" s="476" t="s">
        <v>1245</v>
      </c>
      <c r="B550" s="477" t="s">
        <v>1246</v>
      </c>
      <c r="C550" s="478"/>
      <c r="D550" s="477"/>
      <c r="E550" s="479">
        <v>10909.5</v>
      </c>
      <c r="F550" s="479">
        <v>10909.5</v>
      </c>
      <c r="G550" s="479">
        <v>3488.4504000000002</v>
      </c>
      <c r="H550" s="479">
        <v>3488.4504000000002</v>
      </c>
      <c r="I550" s="480">
        <v>31.98</v>
      </c>
      <c r="J550" s="480"/>
    </row>
    <row r="551" spans="1:10" ht="38.25" hidden="1" outlineLevel="4">
      <c r="A551" s="481" t="s">
        <v>1245</v>
      </c>
      <c r="B551" s="482" t="s">
        <v>1246</v>
      </c>
      <c r="C551" s="483" t="s">
        <v>711</v>
      </c>
      <c r="D551" s="482" t="s">
        <v>712</v>
      </c>
      <c r="E551" s="484">
        <v>10909.5</v>
      </c>
      <c r="F551" s="484">
        <v>10909.5</v>
      </c>
      <c r="G551" s="484">
        <v>3488.4504000000002</v>
      </c>
      <c r="H551" s="484">
        <v>3488.4504000000002</v>
      </c>
      <c r="I551" s="480">
        <v>31.98</v>
      </c>
      <c r="J551" s="485" t="s">
        <v>10</v>
      </c>
    </row>
    <row r="552" spans="1:10" ht="51" hidden="1" outlineLevel="3">
      <c r="A552" s="476" t="s">
        <v>1247</v>
      </c>
      <c r="B552" s="477" t="s">
        <v>1248</v>
      </c>
      <c r="C552" s="478"/>
      <c r="D552" s="477"/>
      <c r="E552" s="479">
        <v>770524.22011999995</v>
      </c>
      <c r="F552" s="479">
        <v>770524.22011999995</v>
      </c>
      <c r="G552" s="479">
        <v>402404.13731000002</v>
      </c>
      <c r="H552" s="479">
        <v>374787.05369999999</v>
      </c>
      <c r="I552" s="480">
        <v>48.64</v>
      </c>
      <c r="J552" s="480"/>
    </row>
    <row r="553" spans="1:10" ht="51" hidden="1" outlineLevel="4">
      <c r="A553" s="481" t="s">
        <v>1247</v>
      </c>
      <c r="B553" s="482" t="s">
        <v>1248</v>
      </c>
      <c r="C553" s="483" t="s">
        <v>711</v>
      </c>
      <c r="D553" s="482" t="s">
        <v>712</v>
      </c>
      <c r="E553" s="484">
        <v>770524.22011999995</v>
      </c>
      <c r="F553" s="484">
        <v>770524.22011999995</v>
      </c>
      <c r="G553" s="484">
        <v>402404.13731000002</v>
      </c>
      <c r="H553" s="484">
        <v>374787.05369999999</v>
      </c>
      <c r="I553" s="480">
        <v>48.64</v>
      </c>
      <c r="J553" s="480"/>
    </row>
    <row r="554" spans="1:10" ht="102" hidden="1" outlineLevel="3">
      <c r="A554" s="476" t="s">
        <v>1249</v>
      </c>
      <c r="B554" s="477" t="s">
        <v>1250</v>
      </c>
      <c r="C554" s="478"/>
      <c r="D554" s="477"/>
      <c r="E554" s="479">
        <v>77531</v>
      </c>
      <c r="F554" s="479">
        <v>77531</v>
      </c>
      <c r="G554" s="479">
        <v>40585.912909999999</v>
      </c>
      <c r="H554" s="479">
        <v>33205.517769999999</v>
      </c>
      <c r="I554" s="480">
        <v>42.83</v>
      </c>
      <c r="J554" s="480"/>
    </row>
    <row r="555" spans="1:10" ht="102" hidden="1" outlineLevel="4">
      <c r="A555" s="481" t="s">
        <v>1249</v>
      </c>
      <c r="B555" s="482" t="s">
        <v>1250</v>
      </c>
      <c r="C555" s="483" t="s">
        <v>711</v>
      </c>
      <c r="D555" s="482" t="s">
        <v>712</v>
      </c>
      <c r="E555" s="484">
        <v>77531</v>
      </c>
      <c r="F555" s="484">
        <v>77531</v>
      </c>
      <c r="G555" s="484">
        <v>40585.912909999999</v>
      </c>
      <c r="H555" s="484">
        <v>33205.517769999999</v>
      </c>
      <c r="I555" s="480">
        <v>42.83</v>
      </c>
      <c r="J555" s="480"/>
    </row>
    <row r="556" spans="1:10" ht="76.5" hidden="1" outlineLevel="2">
      <c r="A556" s="471" t="s">
        <v>1251</v>
      </c>
      <c r="B556" s="472" t="s">
        <v>1252</v>
      </c>
      <c r="C556" s="473"/>
      <c r="D556" s="472"/>
      <c r="E556" s="474">
        <v>268471.69634000002</v>
      </c>
      <c r="F556" s="474">
        <v>268471.69634000002</v>
      </c>
      <c r="G556" s="474">
        <v>123980.93889</v>
      </c>
      <c r="H556" s="474">
        <v>123235.0429</v>
      </c>
      <c r="I556" s="475">
        <v>45.9</v>
      </c>
      <c r="J556" s="475"/>
    </row>
    <row r="557" spans="1:10" ht="76.5" hidden="1" outlineLevel="3">
      <c r="A557" s="476" t="s">
        <v>702</v>
      </c>
      <c r="B557" s="477" t="s">
        <v>1253</v>
      </c>
      <c r="C557" s="478"/>
      <c r="D557" s="477"/>
      <c r="E557" s="479">
        <v>255816.25028000001</v>
      </c>
      <c r="F557" s="479">
        <v>255816.25028000001</v>
      </c>
      <c r="G557" s="479">
        <v>118319.45634999999</v>
      </c>
      <c r="H557" s="479">
        <v>118319.45634999999</v>
      </c>
      <c r="I557" s="480">
        <v>46.25</v>
      </c>
      <c r="J557" s="480"/>
    </row>
    <row r="558" spans="1:10" ht="76.5" hidden="1" outlineLevel="4">
      <c r="A558" s="481" t="s">
        <v>702</v>
      </c>
      <c r="B558" s="482" t="s">
        <v>1253</v>
      </c>
      <c r="C558" s="483" t="s">
        <v>896</v>
      </c>
      <c r="D558" s="482" t="s">
        <v>897</v>
      </c>
      <c r="E558" s="484">
        <v>1245</v>
      </c>
      <c r="F558" s="484">
        <v>1245</v>
      </c>
      <c r="G558" s="484">
        <v>480.1</v>
      </c>
      <c r="H558" s="484">
        <v>480.1</v>
      </c>
      <c r="I558" s="480">
        <v>38.56</v>
      </c>
      <c r="J558" s="480"/>
    </row>
    <row r="559" spans="1:10" ht="76.5" hidden="1" outlineLevel="4">
      <c r="A559" s="481" t="s">
        <v>702</v>
      </c>
      <c r="B559" s="482" t="s">
        <v>1253</v>
      </c>
      <c r="C559" s="483" t="s">
        <v>711</v>
      </c>
      <c r="D559" s="482" t="s">
        <v>712</v>
      </c>
      <c r="E559" s="484">
        <v>254571.25028000001</v>
      </c>
      <c r="F559" s="484">
        <v>254571.25028000001</v>
      </c>
      <c r="G559" s="484">
        <v>117839.35635</v>
      </c>
      <c r="H559" s="484">
        <v>117839.35635</v>
      </c>
      <c r="I559" s="480">
        <v>46.29</v>
      </c>
      <c r="J559" s="480"/>
    </row>
    <row r="560" spans="1:10" ht="140.25" hidden="1" outlineLevel="3">
      <c r="A560" s="476" t="s">
        <v>842</v>
      </c>
      <c r="B560" s="477" t="s">
        <v>1254</v>
      </c>
      <c r="C560" s="478"/>
      <c r="D560" s="477"/>
      <c r="E560" s="479">
        <v>1130.9620600000001</v>
      </c>
      <c r="F560" s="479">
        <v>1130.9620600000001</v>
      </c>
      <c r="G560" s="479">
        <v>280.96785999999997</v>
      </c>
      <c r="H560" s="479">
        <v>280.96785999999997</v>
      </c>
      <c r="I560" s="480">
        <v>24.84</v>
      </c>
      <c r="J560" s="480"/>
    </row>
    <row r="561" spans="1:10" ht="140.25" hidden="1" outlineLevel="4">
      <c r="A561" s="481" t="s">
        <v>842</v>
      </c>
      <c r="B561" s="482" t="s">
        <v>1254</v>
      </c>
      <c r="C561" s="483" t="s">
        <v>711</v>
      </c>
      <c r="D561" s="482" t="s">
        <v>712</v>
      </c>
      <c r="E561" s="484">
        <v>1130.9620600000001</v>
      </c>
      <c r="F561" s="484">
        <v>1130.9620600000001</v>
      </c>
      <c r="G561" s="484">
        <v>280.96785999999997</v>
      </c>
      <c r="H561" s="484">
        <v>280.96785999999997</v>
      </c>
      <c r="I561" s="480">
        <v>24.84</v>
      </c>
      <c r="J561" s="480"/>
    </row>
    <row r="562" spans="1:10" ht="153" hidden="1" outlineLevel="3">
      <c r="A562" s="476" t="s">
        <v>1255</v>
      </c>
      <c r="B562" s="477" t="s">
        <v>1256</v>
      </c>
      <c r="C562" s="478"/>
      <c r="D562" s="477"/>
      <c r="E562" s="479">
        <v>238.584</v>
      </c>
      <c r="F562" s="479">
        <v>238.584</v>
      </c>
      <c r="G562" s="479">
        <v>0</v>
      </c>
      <c r="H562" s="479">
        <v>0</v>
      </c>
      <c r="I562" s="480">
        <v>0</v>
      </c>
      <c r="J562" s="480"/>
    </row>
    <row r="563" spans="1:10" ht="153" hidden="1" outlineLevel="4">
      <c r="A563" s="481" t="s">
        <v>1255</v>
      </c>
      <c r="B563" s="482" t="s">
        <v>1256</v>
      </c>
      <c r="C563" s="483" t="s">
        <v>711</v>
      </c>
      <c r="D563" s="482" t="s">
        <v>712</v>
      </c>
      <c r="E563" s="484">
        <v>238.584</v>
      </c>
      <c r="F563" s="484">
        <v>238.584</v>
      </c>
      <c r="G563" s="484">
        <v>0</v>
      </c>
      <c r="H563" s="484">
        <v>0</v>
      </c>
      <c r="I563" s="480">
        <v>0</v>
      </c>
      <c r="J563" s="480"/>
    </row>
    <row r="564" spans="1:10" ht="89.25" hidden="1" outlineLevel="3">
      <c r="A564" s="476" t="s">
        <v>1257</v>
      </c>
      <c r="B564" s="477" t="s">
        <v>1258</v>
      </c>
      <c r="C564" s="478"/>
      <c r="D564" s="477"/>
      <c r="E564" s="479">
        <v>11285.9</v>
      </c>
      <c r="F564" s="479">
        <v>11285.9</v>
      </c>
      <c r="G564" s="479">
        <v>5380.5146800000002</v>
      </c>
      <c r="H564" s="479">
        <v>4634.6186900000002</v>
      </c>
      <c r="I564" s="480">
        <v>41.07</v>
      </c>
      <c r="J564" s="480"/>
    </row>
    <row r="565" spans="1:10" ht="89.25" hidden="1" outlineLevel="4">
      <c r="A565" s="481" t="s">
        <v>1257</v>
      </c>
      <c r="B565" s="482" t="s">
        <v>1258</v>
      </c>
      <c r="C565" s="483" t="s">
        <v>711</v>
      </c>
      <c r="D565" s="482" t="s">
        <v>712</v>
      </c>
      <c r="E565" s="484">
        <v>11285.9</v>
      </c>
      <c r="F565" s="484">
        <v>11285.9</v>
      </c>
      <c r="G565" s="484">
        <v>5380.5146800000002</v>
      </c>
      <c r="H565" s="484">
        <v>4634.6186900000002</v>
      </c>
      <c r="I565" s="480">
        <v>41.07</v>
      </c>
      <c r="J565" s="480"/>
    </row>
    <row r="566" spans="1:10" ht="178.5" hidden="1" outlineLevel="2">
      <c r="A566" s="471" t="s">
        <v>1259</v>
      </c>
      <c r="B566" s="472" t="s">
        <v>1260</v>
      </c>
      <c r="C566" s="473"/>
      <c r="D566" s="472"/>
      <c r="E566" s="474">
        <v>210333.1</v>
      </c>
      <c r="F566" s="474">
        <v>210333.1</v>
      </c>
      <c r="G566" s="474">
        <v>40090</v>
      </c>
      <c r="H566" s="474">
        <v>35626.724580000002</v>
      </c>
      <c r="I566" s="475">
        <v>16.940000000000001</v>
      </c>
      <c r="J566" s="475"/>
    </row>
    <row r="567" spans="1:10" ht="63.75" hidden="1" outlineLevel="3">
      <c r="A567" s="476" t="s">
        <v>1261</v>
      </c>
      <c r="B567" s="477" t="s">
        <v>1262</v>
      </c>
      <c r="C567" s="478"/>
      <c r="D567" s="477"/>
      <c r="E567" s="479">
        <v>204550.2831</v>
      </c>
      <c r="F567" s="479">
        <v>204550.2831</v>
      </c>
      <c r="G567" s="479">
        <v>34307.183100000002</v>
      </c>
      <c r="H567" s="479">
        <v>29843.90768</v>
      </c>
      <c r="I567" s="480">
        <v>14.59</v>
      </c>
      <c r="J567" s="480"/>
    </row>
    <row r="568" spans="1:10" ht="63.75" hidden="1" outlineLevel="4">
      <c r="A568" s="481" t="s">
        <v>1261</v>
      </c>
      <c r="B568" s="482" t="s">
        <v>1262</v>
      </c>
      <c r="C568" s="483" t="s">
        <v>711</v>
      </c>
      <c r="D568" s="482" t="s">
        <v>712</v>
      </c>
      <c r="E568" s="484">
        <v>204550.2831</v>
      </c>
      <c r="F568" s="484">
        <v>204550.2831</v>
      </c>
      <c r="G568" s="484">
        <v>34307.183100000002</v>
      </c>
      <c r="H568" s="484">
        <v>29843.90768</v>
      </c>
      <c r="I568" s="480">
        <v>14.59</v>
      </c>
      <c r="J568" s="480"/>
    </row>
    <row r="569" spans="1:10" ht="63.75" hidden="1" outlineLevel="3">
      <c r="A569" s="476" t="s">
        <v>1263</v>
      </c>
      <c r="B569" s="477" t="s">
        <v>1264</v>
      </c>
      <c r="C569" s="478"/>
      <c r="D569" s="477"/>
      <c r="E569" s="479">
        <v>5782.8168999999998</v>
      </c>
      <c r="F569" s="479">
        <v>5782.8168999999998</v>
      </c>
      <c r="G569" s="479">
        <v>5782.8168999999998</v>
      </c>
      <c r="H569" s="479">
        <v>5782.8168999999998</v>
      </c>
      <c r="I569" s="480">
        <v>100</v>
      </c>
      <c r="J569" s="480"/>
    </row>
    <row r="570" spans="1:10" ht="63.75" hidden="1" outlineLevel="4">
      <c r="A570" s="481" t="s">
        <v>1263</v>
      </c>
      <c r="B570" s="482" t="s">
        <v>1264</v>
      </c>
      <c r="C570" s="483" t="s">
        <v>711</v>
      </c>
      <c r="D570" s="482" t="s">
        <v>712</v>
      </c>
      <c r="E570" s="484">
        <v>5782.8168999999998</v>
      </c>
      <c r="F570" s="484">
        <v>5782.8168999999998</v>
      </c>
      <c r="G570" s="484">
        <v>5782.8168999999998</v>
      </c>
      <c r="H570" s="484">
        <v>5782.8168999999998</v>
      </c>
      <c r="I570" s="480">
        <v>100</v>
      </c>
      <c r="J570" s="480"/>
    </row>
    <row r="571" spans="1:10" ht="76.5" hidden="1" outlineLevel="2">
      <c r="A571" s="471" t="s">
        <v>1265</v>
      </c>
      <c r="B571" s="472" t="s">
        <v>1266</v>
      </c>
      <c r="C571" s="473"/>
      <c r="D571" s="472"/>
      <c r="E571" s="474">
        <v>51830.3</v>
      </c>
      <c r="F571" s="474">
        <v>51830.3</v>
      </c>
      <c r="G571" s="474">
        <v>24900.25274</v>
      </c>
      <c r="H571" s="474">
        <v>22747.520799999998</v>
      </c>
      <c r="I571" s="475">
        <v>43.89</v>
      </c>
      <c r="J571" s="475"/>
    </row>
    <row r="572" spans="1:10" ht="89.25" hidden="1" outlineLevel="3">
      <c r="A572" s="476" t="s">
        <v>1267</v>
      </c>
      <c r="B572" s="477" t="s">
        <v>1268</v>
      </c>
      <c r="C572" s="478"/>
      <c r="D572" s="477"/>
      <c r="E572" s="479">
        <v>45891.5</v>
      </c>
      <c r="F572" s="479">
        <v>45891.5</v>
      </c>
      <c r="G572" s="479">
        <v>21042.743770000001</v>
      </c>
      <c r="H572" s="479">
        <v>19655.095010000001</v>
      </c>
      <c r="I572" s="480">
        <v>42.83</v>
      </c>
      <c r="J572" s="480"/>
    </row>
    <row r="573" spans="1:10" ht="89.25" hidden="1" outlineLevel="4">
      <c r="A573" s="481" t="s">
        <v>1267</v>
      </c>
      <c r="B573" s="482" t="s">
        <v>1268</v>
      </c>
      <c r="C573" s="483" t="s">
        <v>711</v>
      </c>
      <c r="D573" s="482" t="s">
        <v>712</v>
      </c>
      <c r="E573" s="484">
        <v>45891.5</v>
      </c>
      <c r="F573" s="484">
        <v>45891.5</v>
      </c>
      <c r="G573" s="484">
        <v>21042.743770000001</v>
      </c>
      <c r="H573" s="484">
        <v>19655.095010000001</v>
      </c>
      <c r="I573" s="480">
        <v>42.83</v>
      </c>
      <c r="J573" s="480"/>
    </row>
    <row r="574" spans="1:10" ht="89.25" hidden="1" outlineLevel="3">
      <c r="A574" s="476" t="s">
        <v>1269</v>
      </c>
      <c r="B574" s="477" t="s">
        <v>1270</v>
      </c>
      <c r="C574" s="478"/>
      <c r="D574" s="477"/>
      <c r="E574" s="479">
        <v>809.4</v>
      </c>
      <c r="F574" s="479">
        <v>809.4</v>
      </c>
      <c r="G574" s="479">
        <v>322.66500000000002</v>
      </c>
      <c r="H574" s="479">
        <v>182.43082000000001</v>
      </c>
      <c r="I574" s="480">
        <v>22.54</v>
      </c>
      <c r="J574" s="480"/>
    </row>
    <row r="575" spans="1:10" ht="89.25" hidden="1" outlineLevel="4">
      <c r="A575" s="481" t="s">
        <v>1269</v>
      </c>
      <c r="B575" s="482" t="s">
        <v>1270</v>
      </c>
      <c r="C575" s="483" t="s">
        <v>711</v>
      </c>
      <c r="D575" s="482" t="s">
        <v>712</v>
      </c>
      <c r="E575" s="484">
        <v>809.4</v>
      </c>
      <c r="F575" s="484">
        <v>809.4</v>
      </c>
      <c r="G575" s="484">
        <v>322.66500000000002</v>
      </c>
      <c r="H575" s="484">
        <v>182.43082000000001</v>
      </c>
      <c r="I575" s="480">
        <v>22.54</v>
      </c>
      <c r="J575" s="480"/>
    </row>
    <row r="576" spans="1:10" ht="153" hidden="1" outlineLevel="3">
      <c r="A576" s="476" t="s">
        <v>1271</v>
      </c>
      <c r="B576" s="477" t="s">
        <v>1272</v>
      </c>
      <c r="C576" s="478"/>
      <c r="D576" s="477"/>
      <c r="E576" s="479">
        <v>5129.3999999999996</v>
      </c>
      <c r="F576" s="479">
        <v>5129.3999999999996</v>
      </c>
      <c r="G576" s="479">
        <v>3534.8439699999999</v>
      </c>
      <c r="H576" s="479">
        <v>2909.9949700000002</v>
      </c>
      <c r="I576" s="480">
        <v>56.73</v>
      </c>
      <c r="J576" s="480"/>
    </row>
    <row r="577" spans="1:10" ht="153" hidden="1" outlineLevel="4">
      <c r="A577" s="481" t="s">
        <v>1271</v>
      </c>
      <c r="B577" s="482" t="s">
        <v>1272</v>
      </c>
      <c r="C577" s="483" t="s">
        <v>711</v>
      </c>
      <c r="D577" s="482" t="s">
        <v>712</v>
      </c>
      <c r="E577" s="484">
        <v>5129.3999999999996</v>
      </c>
      <c r="F577" s="484">
        <v>5129.3999999999996</v>
      </c>
      <c r="G577" s="484">
        <v>3534.8439699999999</v>
      </c>
      <c r="H577" s="484">
        <v>2909.9949700000002</v>
      </c>
      <c r="I577" s="480">
        <v>56.73</v>
      </c>
      <c r="J577" s="480"/>
    </row>
    <row r="578" spans="1:10" ht="38.25" hidden="1" outlineLevel="1">
      <c r="A578" s="466" t="s">
        <v>1273</v>
      </c>
      <c r="B578" s="467" t="s">
        <v>1274</v>
      </c>
      <c r="C578" s="468"/>
      <c r="D578" s="467"/>
      <c r="E578" s="469">
        <v>611358.87847</v>
      </c>
      <c r="F578" s="469">
        <v>611222.92689</v>
      </c>
      <c r="G578" s="469">
        <v>299511.98952</v>
      </c>
      <c r="H578" s="469">
        <v>286122.91334000003</v>
      </c>
      <c r="I578" s="470">
        <v>46.8</v>
      </c>
      <c r="J578" s="470"/>
    </row>
    <row r="579" spans="1:10" ht="63.75" hidden="1" outlineLevel="2">
      <c r="A579" s="471" t="s">
        <v>1275</v>
      </c>
      <c r="B579" s="472" t="s">
        <v>1276</v>
      </c>
      <c r="C579" s="473"/>
      <c r="D579" s="472"/>
      <c r="E579" s="474">
        <v>603599.63691999996</v>
      </c>
      <c r="F579" s="474">
        <v>603509.17313999997</v>
      </c>
      <c r="G579" s="474">
        <v>296247.76211000001</v>
      </c>
      <c r="H579" s="474">
        <v>282888.5956</v>
      </c>
      <c r="I579" s="475">
        <v>46.87</v>
      </c>
      <c r="J579" s="475"/>
    </row>
    <row r="580" spans="1:10" ht="25.5" hidden="1" outlineLevel="3">
      <c r="A580" s="476" t="s">
        <v>873</v>
      </c>
      <c r="B580" s="477" t="s">
        <v>1277</v>
      </c>
      <c r="C580" s="478"/>
      <c r="D580" s="477"/>
      <c r="E580" s="479">
        <v>84408.419779999997</v>
      </c>
      <c r="F580" s="479">
        <v>84408.419779999997</v>
      </c>
      <c r="G580" s="479">
        <v>41508.110359999999</v>
      </c>
      <c r="H580" s="479">
        <v>37139.788330000003</v>
      </c>
      <c r="I580" s="480">
        <v>44</v>
      </c>
      <c r="J580" s="480"/>
    </row>
    <row r="581" spans="1:10" ht="25.5" hidden="1" outlineLevel="4">
      <c r="A581" s="481" t="s">
        <v>873</v>
      </c>
      <c r="B581" s="482" t="s">
        <v>1277</v>
      </c>
      <c r="C581" s="483" t="s">
        <v>1043</v>
      </c>
      <c r="D581" s="482" t="s">
        <v>1044</v>
      </c>
      <c r="E581" s="484">
        <v>84408.419779999997</v>
      </c>
      <c r="F581" s="484">
        <v>84408.419779999997</v>
      </c>
      <c r="G581" s="484">
        <v>41508.110359999999</v>
      </c>
      <c r="H581" s="484">
        <v>37139.788330000003</v>
      </c>
      <c r="I581" s="480">
        <v>44</v>
      </c>
      <c r="J581" s="480"/>
    </row>
    <row r="582" spans="1:10" ht="38.25" hidden="1" outlineLevel="3">
      <c r="A582" s="476" t="s">
        <v>854</v>
      </c>
      <c r="B582" s="477" t="s">
        <v>1278</v>
      </c>
      <c r="C582" s="478"/>
      <c r="D582" s="477"/>
      <c r="E582" s="479">
        <v>1672.15869</v>
      </c>
      <c r="F582" s="479">
        <v>1669.15869</v>
      </c>
      <c r="G582" s="479">
        <v>718.63810000000001</v>
      </c>
      <c r="H582" s="479">
        <v>403.31067000000002</v>
      </c>
      <c r="I582" s="480">
        <v>24.12</v>
      </c>
      <c r="J582" s="480"/>
    </row>
    <row r="583" spans="1:10" ht="38.25" hidden="1" outlineLevel="4">
      <c r="A583" s="481" t="s">
        <v>854</v>
      </c>
      <c r="B583" s="482" t="s">
        <v>1278</v>
      </c>
      <c r="C583" s="483" t="s">
        <v>1043</v>
      </c>
      <c r="D583" s="482" t="s">
        <v>1044</v>
      </c>
      <c r="E583" s="484">
        <v>1672.15869</v>
      </c>
      <c r="F583" s="484">
        <v>1669.15869</v>
      </c>
      <c r="G583" s="484">
        <v>718.63810000000001</v>
      </c>
      <c r="H583" s="484">
        <v>403.31067000000002</v>
      </c>
      <c r="I583" s="480">
        <v>24.12</v>
      </c>
      <c r="J583" s="480"/>
    </row>
    <row r="584" spans="1:10" ht="76.5" hidden="1" outlineLevel="3">
      <c r="A584" s="476" t="s">
        <v>702</v>
      </c>
      <c r="B584" s="477" t="s">
        <v>1279</v>
      </c>
      <c r="C584" s="478"/>
      <c r="D584" s="477"/>
      <c r="E584" s="479">
        <v>505298.45844999998</v>
      </c>
      <c r="F584" s="479">
        <v>505210.99466999999</v>
      </c>
      <c r="G584" s="479">
        <v>251732.05940999999</v>
      </c>
      <c r="H584" s="479">
        <v>243229.11288</v>
      </c>
      <c r="I584" s="480">
        <v>48.14</v>
      </c>
      <c r="J584" s="480"/>
    </row>
    <row r="585" spans="1:10" ht="76.5" hidden="1" outlineLevel="4">
      <c r="A585" s="481" t="s">
        <v>702</v>
      </c>
      <c r="B585" s="482" t="s">
        <v>1279</v>
      </c>
      <c r="C585" s="483" t="s">
        <v>1043</v>
      </c>
      <c r="D585" s="482" t="s">
        <v>1044</v>
      </c>
      <c r="E585" s="484">
        <v>505298.45844999998</v>
      </c>
      <c r="F585" s="484">
        <v>505210.99466999999</v>
      </c>
      <c r="G585" s="484">
        <v>251732.05940999999</v>
      </c>
      <c r="H585" s="484">
        <v>243229.11288</v>
      </c>
      <c r="I585" s="480">
        <v>48.14</v>
      </c>
      <c r="J585" s="480"/>
    </row>
    <row r="586" spans="1:10" ht="63.75" hidden="1" outlineLevel="3">
      <c r="A586" s="476" t="s">
        <v>62</v>
      </c>
      <c r="B586" s="477" t="s">
        <v>1280</v>
      </c>
      <c r="C586" s="478"/>
      <c r="D586" s="477"/>
      <c r="E586" s="479">
        <v>12170.6</v>
      </c>
      <c r="F586" s="479">
        <v>12170.6</v>
      </c>
      <c r="G586" s="479">
        <v>2247.9322400000001</v>
      </c>
      <c r="H586" s="479">
        <v>2075.3617199999999</v>
      </c>
      <c r="I586" s="480">
        <v>17.05</v>
      </c>
      <c r="J586" s="480"/>
    </row>
    <row r="587" spans="1:10" ht="63.75" hidden="1" outlineLevel="4">
      <c r="A587" s="481" t="s">
        <v>62</v>
      </c>
      <c r="B587" s="482" t="s">
        <v>1280</v>
      </c>
      <c r="C587" s="483" t="s">
        <v>1043</v>
      </c>
      <c r="D587" s="482" t="s">
        <v>1044</v>
      </c>
      <c r="E587" s="484">
        <v>12170.6</v>
      </c>
      <c r="F587" s="484">
        <v>12170.6</v>
      </c>
      <c r="G587" s="484">
        <v>2247.9322400000001</v>
      </c>
      <c r="H587" s="484">
        <v>2075.3617199999999</v>
      </c>
      <c r="I587" s="480">
        <v>17.05</v>
      </c>
      <c r="J587" s="480"/>
    </row>
    <row r="588" spans="1:10" ht="76.5" hidden="1" outlineLevel="3">
      <c r="A588" s="476" t="s">
        <v>156</v>
      </c>
      <c r="B588" s="477" t="s">
        <v>1281</v>
      </c>
      <c r="C588" s="478"/>
      <c r="D588" s="477"/>
      <c r="E588" s="479">
        <v>50</v>
      </c>
      <c r="F588" s="479">
        <v>50</v>
      </c>
      <c r="G588" s="479">
        <v>41.021999999999998</v>
      </c>
      <c r="H588" s="479">
        <v>41.021999999999998</v>
      </c>
      <c r="I588" s="480">
        <v>82.04</v>
      </c>
      <c r="J588" s="480"/>
    </row>
    <row r="589" spans="1:10" ht="76.5" hidden="1" outlineLevel="4">
      <c r="A589" s="481" t="s">
        <v>156</v>
      </c>
      <c r="B589" s="482" t="s">
        <v>1281</v>
      </c>
      <c r="C589" s="483" t="s">
        <v>1043</v>
      </c>
      <c r="D589" s="482" t="s">
        <v>1044</v>
      </c>
      <c r="E589" s="484">
        <v>50</v>
      </c>
      <c r="F589" s="484">
        <v>50</v>
      </c>
      <c r="G589" s="484">
        <v>41.021999999999998</v>
      </c>
      <c r="H589" s="484">
        <v>41.021999999999998</v>
      </c>
      <c r="I589" s="480">
        <v>82.04</v>
      </c>
      <c r="J589" s="480"/>
    </row>
    <row r="590" spans="1:10" ht="38.25" hidden="1" outlineLevel="2">
      <c r="A590" s="471" t="s">
        <v>1282</v>
      </c>
      <c r="B590" s="472" t="s">
        <v>1283</v>
      </c>
      <c r="C590" s="473"/>
      <c r="D590" s="472"/>
      <c r="E590" s="474">
        <v>7759.2415499999997</v>
      </c>
      <c r="F590" s="474">
        <v>7713.7537499999999</v>
      </c>
      <c r="G590" s="474">
        <v>3264.22741</v>
      </c>
      <c r="H590" s="474">
        <v>3234.31774</v>
      </c>
      <c r="I590" s="475">
        <v>41.68</v>
      </c>
      <c r="J590" s="475"/>
    </row>
    <row r="591" spans="1:10" ht="38.25" hidden="1" outlineLevel="3">
      <c r="A591" s="476" t="s">
        <v>854</v>
      </c>
      <c r="B591" s="477" t="s">
        <v>1284</v>
      </c>
      <c r="C591" s="478"/>
      <c r="D591" s="477"/>
      <c r="E591" s="479">
        <v>437.8</v>
      </c>
      <c r="F591" s="479">
        <v>437.8</v>
      </c>
      <c r="G591" s="479">
        <v>163.28062</v>
      </c>
      <c r="H591" s="479">
        <v>154.98061999999999</v>
      </c>
      <c r="I591" s="480">
        <v>35.4</v>
      </c>
      <c r="J591" s="480"/>
    </row>
    <row r="592" spans="1:10" ht="38.25" hidden="1" outlineLevel="4">
      <c r="A592" s="481" t="s">
        <v>854</v>
      </c>
      <c r="B592" s="482" t="s">
        <v>1284</v>
      </c>
      <c r="C592" s="483" t="s">
        <v>1043</v>
      </c>
      <c r="D592" s="482" t="s">
        <v>1044</v>
      </c>
      <c r="E592" s="484">
        <v>437.8</v>
      </c>
      <c r="F592" s="484">
        <v>437.8</v>
      </c>
      <c r="G592" s="484">
        <v>163.28062</v>
      </c>
      <c r="H592" s="484">
        <v>154.98061999999999</v>
      </c>
      <c r="I592" s="480">
        <v>35.4</v>
      </c>
      <c r="J592" s="480"/>
    </row>
    <row r="593" spans="1:10" ht="51" hidden="1" outlineLevel="3">
      <c r="A593" s="476" t="s">
        <v>861</v>
      </c>
      <c r="B593" s="477" t="s">
        <v>1285</v>
      </c>
      <c r="C593" s="478"/>
      <c r="D593" s="477"/>
      <c r="E593" s="479">
        <v>7321.4415499999996</v>
      </c>
      <c r="F593" s="479">
        <v>7275.9537499999997</v>
      </c>
      <c r="G593" s="479">
        <v>3100.94679</v>
      </c>
      <c r="H593" s="479">
        <v>3079.3371200000001</v>
      </c>
      <c r="I593" s="480">
        <v>42.06</v>
      </c>
      <c r="J593" s="480"/>
    </row>
    <row r="594" spans="1:10" ht="51" hidden="1" outlineLevel="4">
      <c r="A594" s="481" t="s">
        <v>861</v>
      </c>
      <c r="B594" s="482" t="s">
        <v>1285</v>
      </c>
      <c r="C594" s="483" t="s">
        <v>1043</v>
      </c>
      <c r="D594" s="482" t="s">
        <v>1044</v>
      </c>
      <c r="E594" s="484">
        <v>7321.4415499999996</v>
      </c>
      <c r="F594" s="484">
        <v>7275.9537499999997</v>
      </c>
      <c r="G594" s="484">
        <v>3100.94679</v>
      </c>
      <c r="H594" s="484">
        <v>3079.3371200000001</v>
      </c>
      <c r="I594" s="480">
        <v>42.06</v>
      </c>
      <c r="J594" s="480"/>
    </row>
    <row r="595" spans="1:10" ht="45.75" collapsed="1" thickBot="1">
      <c r="A595" s="461" t="s">
        <v>1286</v>
      </c>
      <c r="B595" s="462" t="s">
        <v>1287</v>
      </c>
      <c r="C595" s="463"/>
      <c r="D595" s="462"/>
      <c r="E595" s="464">
        <v>2349736.7499299999</v>
      </c>
      <c r="F595" s="464">
        <v>2273780.1741300002</v>
      </c>
      <c r="G595" s="464">
        <v>644909.92969999998</v>
      </c>
      <c r="H595" s="464">
        <v>604021.47143999999</v>
      </c>
      <c r="I595" s="465">
        <v>25.71</v>
      </c>
      <c r="J595" s="465"/>
    </row>
    <row r="596" spans="1:10" ht="25.5" outlineLevel="1">
      <c r="A596" s="466" t="s">
        <v>1288</v>
      </c>
      <c r="B596" s="467" t="s">
        <v>1289</v>
      </c>
      <c r="C596" s="468"/>
      <c r="D596" s="467"/>
      <c r="E596" s="469">
        <v>129389.03087</v>
      </c>
      <c r="F596" s="469">
        <v>129389.03087</v>
      </c>
      <c r="G596" s="469">
        <v>14257.29464</v>
      </c>
      <c r="H596" s="469">
        <v>14208.494640000001</v>
      </c>
      <c r="I596" s="470">
        <v>10.98</v>
      </c>
      <c r="J596" s="470"/>
    </row>
    <row r="597" spans="1:10" ht="51" outlineLevel="2">
      <c r="A597" s="471" t="s">
        <v>1290</v>
      </c>
      <c r="B597" s="472" t="s">
        <v>1291</v>
      </c>
      <c r="C597" s="473"/>
      <c r="D597" s="472"/>
      <c r="E597" s="474">
        <v>19000</v>
      </c>
      <c r="F597" s="474">
        <v>19000</v>
      </c>
      <c r="G597" s="474">
        <v>0</v>
      </c>
      <c r="H597" s="474">
        <v>0</v>
      </c>
      <c r="I597" s="475">
        <v>0</v>
      </c>
      <c r="J597" s="475"/>
    </row>
    <row r="598" spans="1:10" ht="25.5" outlineLevel="3">
      <c r="A598" s="476" t="s">
        <v>713</v>
      </c>
      <c r="B598" s="477" t="s">
        <v>1292</v>
      </c>
      <c r="C598" s="478"/>
      <c r="D598" s="477"/>
      <c r="E598" s="479">
        <v>19000</v>
      </c>
      <c r="F598" s="479">
        <v>19000</v>
      </c>
      <c r="G598" s="479">
        <v>0</v>
      </c>
      <c r="H598" s="479">
        <v>0</v>
      </c>
      <c r="I598" s="480">
        <v>0</v>
      </c>
      <c r="J598" s="480"/>
    </row>
    <row r="599" spans="1:10" ht="25.5" outlineLevel="4">
      <c r="A599" s="481" t="s">
        <v>713</v>
      </c>
      <c r="B599" s="482" t="s">
        <v>1292</v>
      </c>
      <c r="C599" s="483" t="s">
        <v>652</v>
      </c>
      <c r="D599" s="482" t="s">
        <v>717</v>
      </c>
      <c r="E599" s="484">
        <v>19000</v>
      </c>
      <c r="F599" s="484">
        <v>19000</v>
      </c>
      <c r="G599" s="484">
        <v>0</v>
      </c>
      <c r="H599" s="484">
        <v>0</v>
      </c>
      <c r="I599" s="480">
        <v>0</v>
      </c>
      <c r="J599" s="480"/>
    </row>
    <row r="600" spans="1:10" ht="63.75" outlineLevel="2">
      <c r="A600" s="471" t="s">
        <v>1293</v>
      </c>
      <c r="B600" s="472" t="s">
        <v>1294</v>
      </c>
      <c r="C600" s="473"/>
      <c r="D600" s="472"/>
      <c r="E600" s="474">
        <v>427.5</v>
      </c>
      <c r="F600" s="474">
        <v>427.5</v>
      </c>
      <c r="G600" s="474">
        <v>71.25</v>
      </c>
      <c r="H600" s="474">
        <v>71.25</v>
      </c>
      <c r="I600" s="475">
        <v>16.670000000000002</v>
      </c>
      <c r="J600" s="475"/>
    </row>
    <row r="601" spans="1:10" ht="76.5" outlineLevel="3">
      <c r="A601" s="476" t="s">
        <v>702</v>
      </c>
      <c r="B601" s="477" t="s">
        <v>1295</v>
      </c>
      <c r="C601" s="478"/>
      <c r="D601" s="477"/>
      <c r="E601" s="479">
        <v>427.5</v>
      </c>
      <c r="F601" s="479">
        <v>427.5</v>
      </c>
      <c r="G601" s="479">
        <v>71.25</v>
      </c>
      <c r="H601" s="479">
        <v>71.25</v>
      </c>
      <c r="I601" s="480">
        <v>16.670000000000002</v>
      </c>
      <c r="J601" s="480"/>
    </row>
    <row r="602" spans="1:10" ht="76.5" outlineLevel="4">
      <c r="A602" s="481" t="s">
        <v>702</v>
      </c>
      <c r="B602" s="482" t="s">
        <v>1295</v>
      </c>
      <c r="C602" s="483" t="s">
        <v>652</v>
      </c>
      <c r="D602" s="482" t="s">
        <v>717</v>
      </c>
      <c r="E602" s="484">
        <v>427.5</v>
      </c>
      <c r="F602" s="484">
        <v>427.5</v>
      </c>
      <c r="G602" s="484">
        <v>71.25</v>
      </c>
      <c r="H602" s="484">
        <v>71.25</v>
      </c>
      <c r="I602" s="480">
        <v>16.670000000000002</v>
      </c>
      <c r="J602" s="480"/>
    </row>
    <row r="603" spans="1:10" ht="25.5" outlineLevel="2">
      <c r="A603" s="471" t="s">
        <v>1296</v>
      </c>
      <c r="B603" s="472" t="s">
        <v>1297</v>
      </c>
      <c r="C603" s="473"/>
      <c r="D603" s="472"/>
      <c r="E603" s="474">
        <v>109961.53087</v>
      </c>
      <c r="F603" s="474">
        <v>109961.53087</v>
      </c>
      <c r="G603" s="474">
        <v>14186.04464</v>
      </c>
      <c r="H603" s="474">
        <v>14137.244640000001</v>
      </c>
      <c r="I603" s="475">
        <v>12.86</v>
      </c>
      <c r="J603" s="475"/>
    </row>
    <row r="604" spans="1:10" ht="76.5" outlineLevel="3">
      <c r="A604" s="476" t="s">
        <v>702</v>
      </c>
      <c r="B604" s="477" t="s">
        <v>1298</v>
      </c>
      <c r="C604" s="478"/>
      <c r="D604" s="477"/>
      <c r="E604" s="479">
        <v>50713.312980000002</v>
      </c>
      <c r="F604" s="479">
        <v>50713.312980000002</v>
      </c>
      <c r="G604" s="479">
        <v>14069.91563</v>
      </c>
      <c r="H604" s="479">
        <v>14069.91563</v>
      </c>
      <c r="I604" s="480">
        <v>27.74</v>
      </c>
      <c r="J604" s="480"/>
    </row>
    <row r="605" spans="1:10" ht="76.5" outlineLevel="4">
      <c r="A605" s="481" t="s">
        <v>702</v>
      </c>
      <c r="B605" s="482" t="s">
        <v>1298</v>
      </c>
      <c r="C605" s="483" t="s">
        <v>652</v>
      </c>
      <c r="D605" s="482" t="s">
        <v>717</v>
      </c>
      <c r="E605" s="484">
        <v>50713.312980000002</v>
      </c>
      <c r="F605" s="484">
        <v>50713.312980000002</v>
      </c>
      <c r="G605" s="484">
        <v>14069.91563</v>
      </c>
      <c r="H605" s="484">
        <v>14069.91563</v>
      </c>
      <c r="I605" s="480">
        <v>27.74</v>
      </c>
      <c r="J605" s="480"/>
    </row>
    <row r="606" spans="1:10" ht="25.5" outlineLevel="3">
      <c r="A606" s="476" t="s">
        <v>713</v>
      </c>
      <c r="B606" s="477" t="s">
        <v>1299</v>
      </c>
      <c r="C606" s="478"/>
      <c r="D606" s="477"/>
      <c r="E606" s="479">
        <v>6336.1202000000003</v>
      </c>
      <c r="F606" s="479">
        <v>6336.1202000000003</v>
      </c>
      <c r="G606" s="479">
        <v>67.329009999999997</v>
      </c>
      <c r="H606" s="479">
        <v>67.329009999999997</v>
      </c>
      <c r="I606" s="480">
        <v>1.06</v>
      </c>
      <c r="J606" s="480"/>
    </row>
    <row r="607" spans="1:10" ht="25.5" outlineLevel="4">
      <c r="A607" s="481" t="s">
        <v>713</v>
      </c>
      <c r="B607" s="482" t="s">
        <v>1299</v>
      </c>
      <c r="C607" s="483" t="s">
        <v>652</v>
      </c>
      <c r="D607" s="482" t="s">
        <v>717</v>
      </c>
      <c r="E607" s="484">
        <v>6336.1202000000003</v>
      </c>
      <c r="F607" s="484">
        <v>6336.1202000000003</v>
      </c>
      <c r="G607" s="484">
        <v>67.329009999999997</v>
      </c>
      <c r="H607" s="484">
        <v>67.329009999999997</v>
      </c>
      <c r="I607" s="480">
        <v>1.06</v>
      </c>
      <c r="J607" s="480"/>
    </row>
    <row r="608" spans="1:10" ht="38.25" outlineLevel="3">
      <c r="A608" s="476" t="s">
        <v>577</v>
      </c>
      <c r="B608" s="477" t="s">
        <v>1300</v>
      </c>
      <c r="C608" s="478"/>
      <c r="D608" s="477"/>
      <c r="E608" s="479">
        <v>45897.872340000002</v>
      </c>
      <c r="F608" s="479">
        <v>45897.872340000002</v>
      </c>
      <c r="G608" s="479">
        <v>0</v>
      </c>
      <c r="H608" s="479">
        <v>0</v>
      </c>
      <c r="I608" s="480">
        <v>0</v>
      </c>
      <c r="J608" s="480"/>
    </row>
    <row r="609" spans="1:10" ht="38.25" outlineLevel="4">
      <c r="A609" s="481" t="s">
        <v>577</v>
      </c>
      <c r="B609" s="482" t="s">
        <v>1300</v>
      </c>
      <c r="C609" s="483" t="s">
        <v>652</v>
      </c>
      <c r="D609" s="482" t="s">
        <v>717</v>
      </c>
      <c r="E609" s="484">
        <v>45897.872340000002</v>
      </c>
      <c r="F609" s="484">
        <v>45897.872340000002</v>
      </c>
      <c r="G609" s="484">
        <v>0</v>
      </c>
      <c r="H609" s="484">
        <v>0</v>
      </c>
      <c r="I609" s="480">
        <v>0</v>
      </c>
      <c r="J609" s="485" t="s">
        <v>10</v>
      </c>
    </row>
    <row r="610" spans="1:10" ht="38.25" outlineLevel="3">
      <c r="A610" s="476" t="s">
        <v>1301</v>
      </c>
      <c r="B610" s="477" t="s">
        <v>1302</v>
      </c>
      <c r="C610" s="478"/>
      <c r="D610" s="477"/>
      <c r="E610" s="479">
        <v>7014.2253499999997</v>
      </c>
      <c r="F610" s="479">
        <v>7014.2253499999997</v>
      </c>
      <c r="G610" s="479">
        <v>48.8</v>
      </c>
      <c r="H610" s="479">
        <v>0</v>
      </c>
      <c r="I610" s="480">
        <v>0</v>
      </c>
      <c r="J610" s="480"/>
    </row>
    <row r="611" spans="1:10" ht="38.25" outlineLevel="4">
      <c r="A611" s="481" t="s">
        <v>1301</v>
      </c>
      <c r="B611" s="482" t="s">
        <v>1302</v>
      </c>
      <c r="C611" s="483" t="s">
        <v>652</v>
      </c>
      <c r="D611" s="482" t="s">
        <v>717</v>
      </c>
      <c r="E611" s="484">
        <v>7014.2253499999997</v>
      </c>
      <c r="F611" s="484">
        <v>7014.2253499999997</v>
      </c>
      <c r="G611" s="484">
        <v>48.8</v>
      </c>
      <c r="H611" s="484">
        <v>0</v>
      </c>
      <c r="I611" s="480">
        <v>0</v>
      </c>
      <c r="J611" s="485" t="s">
        <v>10</v>
      </c>
    </row>
    <row r="612" spans="1:10" ht="25.5" outlineLevel="1">
      <c r="A612" s="466" t="s">
        <v>1303</v>
      </c>
      <c r="B612" s="467" t="s">
        <v>1304</v>
      </c>
      <c r="C612" s="468"/>
      <c r="D612" s="467"/>
      <c r="E612" s="469">
        <v>776079.68698999996</v>
      </c>
      <c r="F612" s="469">
        <v>764833.17591999995</v>
      </c>
      <c r="G612" s="469">
        <v>273072.91282000003</v>
      </c>
      <c r="H612" s="469">
        <v>272273.73262000002</v>
      </c>
      <c r="I612" s="470">
        <v>35.08</v>
      </c>
      <c r="J612" s="470"/>
    </row>
    <row r="613" spans="1:10" ht="51" outlineLevel="2">
      <c r="A613" s="471" t="s">
        <v>1305</v>
      </c>
      <c r="B613" s="472" t="s">
        <v>1306</v>
      </c>
      <c r="C613" s="473"/>
      <c r="D613" s="472"/>
      <c r="E613" s="474">
        <v>64637.327700000002</v>
      </c>
      <c r="F613" s="474">
        <v>55903.579700000002</v>
      </c>
      <c r="G613" s="474">
        <v>24901.881000000001</v>
      </c>
      <c r="H613" s="474">
        <v>24901.881000000001</v>
      </c>
      <c r="I613" s="475">
        <v>38.53</v>
      </c>
      <c r="J613" s="475"/>
    </row>
    <row r="614" spans="1:10" ht="76.5" outlineLevel="3">
      <c r="A614" s="476" t="s">
        <v>702</v>
      </c>
      <c r="B614" s="477" t="s">
        <v>1307</v>
      </c>
      <c r="C614" s="478"/>
      <c r="D614" s="477"/>
      <c r="E614" s="479">
        <v>25032.07</v>
      </c>
      <c r="F614" s="479">
        <v>24298.322</v>
      </c>
      <c r="G614" s="479">
        <v>16.3</v>
      </c>
      <c r="H614" s="479">
        <v>16.3</v>
      </c>
      <c r="I614" s="480">
        <v>7.0000000000000007E-2</v>
      </c>
      <c r="J614" s="480"/>
    </row>
    <row r="615" spans="1:10" ht="76.5" outlineLevel="4">
      <c r="A615" s="481" t="s">
        <v>702</v>
      </c>
      <c r="B615" s="482" t="s">
        <v>1307</v>
      </c>
      <c r="C615" s="483" t="s">
        <v>652</v>
      </c>
      <c r="D615" s="482" t="s">
        <v>717</v>
      </c>
      <c r="E615" s="484">
        <v>25032.07</v>
      </c>
      <c r="F615" s="484">
        <v>24298.322</v>
      </c>
      <c r="G615" s="484">
        <v>16.3</v>
      </c>
      <c r="H615" s="484">
        <v>16.3</v>
      </c>
      <c r="I615" s="480">
        <v>7.0000000000000007E-2</v>
      </c>
      <c r="J615" s="480"/>
    </row>
    <row r="616" spans="1:10" ht="25.5" outlineLevel="3">
      <c r="A616" s="476" t="s">
        <v>713</v>
      </c>
      <c r="B616" s="477" t="s">
        <v>1308</v>
      </c>
      <c r="C616" s="478"/>
      <c r="D616" s="477"/>
      <c r="E616" s="479">
        <v>1605.2577000000001</v>
      </c>
      <c r="F616" s="479">
        <v>1605.2577000000001</v>
      </c>
      <c r="G616" s="479">
        <v>304</v>
      </c>
      <c r="H616" s="479">
        <v>304</v>
      </c>
      <c r="I616" s="480">
        <v>18.940000000000001</v>
      </c>
      <c r="J616" s="480"/>
    </row>
    <row r="617" spans="1:10" ht="25.5" outlineLevel="4">
      <c r="A617" s="481" t="s">
        <v>713</v>
      </c>
      <c r="B617" s="482" t="s">
        <v>1308</v>
      </c>
      <c r="C617" s="483" t="s">
        <v>652</v>
      </c>
      <c r="D617" s="482" t="s">
        <v>717</v>
      </c>
      <c r="E617" s="484">
        <v>1605.2577000000001</v>
      </c>
      <c r="F617" s="484">
        <v>1605.2577000000001</v>
      </c>
      <c r="G617" s="484">
        <v>304</v>
      </c>
      <c r="H617" s="484">
        <v>304</v>
      </c>
      <c r="I617" s="480">
        <v>18.940000000000001</v>
      </c>
      <c r="J617" s="480"/>
    </row>
    <row r="618" spans="1:10" ht="38.25" outlineLevel="3">
      <c r="A618" s="476" t="s">
        <v>1067</v>
      </c>
      <c r="B618" s="477" t="s">
        <v>1309</v>
      </c>
      <c r="C618" s="478"/>
      <c r="D618" s="477"/>
      <c r="E618" s="479">
        <v>38000</v>
      </c>
      <c r="F618" s="479">
        <v>30000</v>
      </c>
      <c r="G618" s="479">
        <v>24581.580999999998</v>
      </c>
      <c r="H618" s="479">
        <v>24581.580999999998</v>
      </c>
      <c r="I618" s="480">
        <v>64.69</v>
      </c>
      <c r="J618" s="480"/>
    </row>
    <row r="619" spans="1:10" ht="38.25" outlineLevel="4">
      <c r="A619" s="481" t="s">
        <v>1067</v>
      </c>
      <c r="B619" s="482" t="s">
        <v>1309</v>
      </c>
      <c r="C619" s="483" t="s">
        <v>652</v>
      </c>
      <c r="D619" s="482" t="s">
        <v>717</v>
      </c>
      <c r="E619" s="484">
        <v>38000</v>
      </c>
      <c r="F619" s="484">
        <v>30000</v>
      </c>
      <c r="G619" s="484">
        <v>24581.580999999998</v>
      </c>
      <c r="H619" s="484">
        <v>24581.580999999998</v>
      </c>
      <c r="I619" s="480">
        <v>64.69</v>
      </c>
      <c r="J619" s="480"/>
    </row>
    <row r="620" spans="1:10" ht="51" outlineLevel="2">
      <c r="A620" s="471" t="s">
        <v>1310</v>
      </c>
      <c r="B620" s="472" t="s">
        <v>1311</v>
      </c>
      <c r="C620" s="473"/>
      <c r="D620" s="472"/>
      <c r="E620" s="474">
        <v>145851.67032</v>
      </c>
      <c r="F620" s="474">
        <v>143780.56291000001</v>
      </c>
      <c r="G620" s="474">
        <v>58325.776960000003</v>
      </c>
      <c r="H620" s="474">
        <v>58303.316760000002</v>
      </c>
      <c r="I620" s="475">
        <v>39.97</v>
      </c>
      <c r="J620" s="475"/>
    </row>
    <row r="621" spans="1:10" ht="76.5" outlineLevel="3">
      <c r="A621" s="476" t="s">
        <v>702</v>
      </c>
      <c r="B621" s="477" t="s">
        <v>1312</v>
      </c>
      <c r="C621" s="478"/>
      <c r="D621" s="477"/>
      <c r="E621" s="479">
        <v>142290.37031999999</v>
      </c>
      <c r="F621" s="479">
        <v>142290.37031999999</v>
      </c>
      <c r="G621" s="479">
        <v>57576.584369999997</v>
      </c>
      <c r="H621" s="479">
        <v>57576.584369999997</v>
      </c>
      <c r="I621" s="480">
        <v>40.46</v>
      </c>
      <c r="J621" s="480"/>
    </row>
    <row r="622" spans="1:10" ht="76.5" outlineLevel="4">
      <c r="A622" s="481" t="s">
        <v>702</v>
      </c>
      <c r="B622" s="482" t="s">
        <v>1312</v>
      </c>
      <c r="C622" s="483" t="s">
        <v>652</v>
      </c>
      <c r="D622" s="482" t="s">
        <v>717</v>
      </c>
      <c r="E622" s="484">
        <v>142290.37031999999</v>
      </c>
      <c r="F622" s="484">
        <v>142290.37031999999</v>
      </c>
      <c r="G622" s="484">
        <v>57576.584369999997</v>
      </c>
      <c r="H622" s="484">
        <v>57576.584369999997</v>
      </c>
      <c r="I622" s="480">
        <v>40.46</v>
      </c>
      <c r="J622" s="480"/>
    </row>
    <row r="623" spans="1:10" ht="63.75" outlineLevel="3">
      <c r="A623" s="476" t="s">
        <v>62</v>
      </c>
      <c r="B623" s="477" t="s">
        <v>1313</v>
      </c>
      <c r="C623" s="478"/>
      <c r="D623" s="477"/>
      <c r="E623" s="479">
        <v>3483.18361</v>
      </c>
      <c r="F623" s="479">
        <v>1412.0762</v>
      </c>
      <c r="G623" s="479">
        <v>671.07619999999997</v>
      </c>
      <c r="H623" s="479">
        <v>648.61599999999999</v>
      </c>
      <c r="I623" s="480">
        <v>18.62</v>
      </c>
      <c r="J623" s="480"/>
    </row>
    <row r="624" spans="1:10" ht="63.75" outlineLevel="4">
      <c r="A624" s="481" t="s">
        <v>62</v>
      </c>
      <c r="B624" s="482" t="s">
        <v>1313</v>
      </c>
      <c r="C624" s="483" t="s">
        <v>652</v>
      </c>
      <c r="D624" s="482" t="s">
        <v>717</v>
      </c>
      <c r="E624" s="484">
        <v>3483.18361</v>
      </c>
      <c r="F624" s="484">
        <v>1412.0762</v>
      </c>
      <c r="G624" s="484">
        <v>671.07619999999997</v>
      </c>
      <c r="H624" s="484">
        <v>648.61599999999999</v>
      </c>
      <c r="I624" s="480">
        <v>18.62</v>
      </c>
      <c r="J624" s="480"/>
    </row>
    <row r="625" spans="1:10" ht="76.5" outlineLevel="3">
      <c r="A625" s="476" t="s">
        <v>156</v>
      </c>
      <c r="B625" s="477" t="s">
        <v>1314</v>
      </c>
      <c r="C625" s="478"/>
      <c r="D625" s="477"/>
      <c r="E625" s="479">
        <v>78.116389999999996</v>
      </c>
      <c r="F625" s="479">
        <v>78.116389999999996</v>
      </c>
      <c r="G625" s="479">
        <v>78.116389999999996</v>
      </c>
      <c r="H625" s="479">
        <v>78.116389999999996</v>
      </c>
      <c r="I625" s="480">
        <v>100</v>
      </c>
      <c r="J625" s="480"/>
    </row>
    <row r="626" spans="1:10" ht="76.5" outlineLevel="4">
      <c r="A626" s="481" t="s">
        <v>156</v>
      </c>
      <c r="B626" s="482" t="s">
        <v>1314</v>
      </c>
      <c r="C626" s="483" t="s">
        <v>652</v>
      </c>
      <c r="D626" s="482" t="s">
        <v>717</v>
      </c>
      <c r="E626" s="484">
        <v>78.116389999999996</v>
      </c>
      <c r="F626" s="484">
        <v>78.116389999999996</v>
      </c>
      <c r="G626" s="484">
        <v>78.116389999999996</v>
      </c>
      <c r="H626" s="484">
        <v>78.116389999999996</v>
      </c>
      <c r="I626" s="480">
        <v>100</v>
      </c>
      <c r="J626" s="480"/>
    </row>
    <row r="627" spans="1:10" ht="38.25" outlineLevel="2">
      <c r="A627" s="471" t="s">
        <v>1315</v>
      </c>
      <c r="B627" s="472" t="s">
        <v>1316</v>
      </c>
      <c r="C627" s="473"/>
      <c r="D627" s="472"/>
      <c r="E627" s="474">
        <v>523.38566000000003</v>
      </c>
      <c r="F627" s="474">
        <v>81.73</v>
      </c>
      <c r="G627" s="474">
        <v>64.790000000000006</v>
      </c>
      <c r="H627" s="474">
        <v>64.790000000000006</v>
      </c>
      <c r="I627" s="475">
        <v>12.38</v>
      </c>
      <c r="J627" s="475"/>
    </row>
    <row r="628" spans="1:10" ht="76.5" outlineLevel="3">
      <c r="A628" s="476" t="s">
        <v>702</v>
      </c>
      <c r="B628" s="477" t="s">
        <v>1317</v>
      </c>
      <c r="C628" s="478"/>
      <c r="D628" s="477"/>
      <c r="E628" s="479">
        <v>523.38566000000003</v>
      </c>
      <c r="F628" s="479">
        <v>81.73</v>
      </c>
      <c r="G628" s="479">
        <v>64.790000000000006</v>
      </c>
      <c r="H628" s="479">
        <v>64.790000000000006</v>
      </c>
      <c r="I628" s="480">
        <v>12.38</v>
      </c>
      <c r="J628" s="480"/>
    </row>
    <row r="629" spans="1:10" ht="76.5" outlineLevel="4">
      <c r="A629" s="481" t="s">
        <v>702</v>
      </c>
      <c r="B629" s="482" t="s">
        <v>1317</v>
      </c>
      <c r="C629" s="483" t="s">
        <v>652</v>
      </c>
      <c r="D629" s="482" t="s">
        <v>717</v>
      </c>
      <c r="E629" s="484">
        <v>523.38566000000003</v>
      </c>
      <c r="F629" s="484">
        <v>81.73</v>
      </c>
      <c r="G629" s="484">
        <v>64.790000000000006</v>
      </c>
      <c r="H629" s="484">
        <v>64.790000000000006</v>
      </c>
      <c r="I629" s="480">
        <v>12.38</v>
      </c>
      <c r="J629" s="480"/>
    </row>
    <row r="630" spans="1:10" ht="25.5" outlineLevel="2">
      <c r="A630" s="471" t="s">
        <v>1296</v>
      </c>
      <c r="B630" s="472" t="s">
        <v>1318</v>
      </c>
      <c r="C630" s="473"/>
      <c r="D630" s="472"/>
      <c r="E630" s="474">
        <v>565067.30330999999</v>
      </c>
      <c r="F630" s="474">
        <v>565067.30330999999</v>
      </c>
      <c r="G630" s="474">
        <v>189780.46486000001</v>
      </c>
      <c r="H630" s="474">
        <v>189003.74486000001</v>
      </c>
      <c r="I630" s="475">
        <v>33.450000000000003</v>
      </c>
      <c r="J630" s="475"/>
    </row>
    <row r="631" spans="1:10" ht="76.5" outlineLevel="3">
      <c r="A631" s="476" t="s">
        <v>702</v>
      </c>
      <c r="B631" s="477" t="s">
        <v>1319</v>
      </c>
      <c r="C631" s="478"/>
      <c r="D631" s="477"/>
      <c r="E631" s="479">
        <v>498631.47976000002</v>
      </c>
      <c r="F631" s="479">
        <v>498631.47976000002</v>
      </c>
      <c r="G631" s="479">
        <v>162059.45139999999</v>
      </c>
      <c r="H631" s="479">
        <v>162059.45139999999</v>
      </c>
      <c r="I631" s="480">
        <v>32.5</v>
      </c>
      <c r="J631" s="480"/>
    </row>
    <row r="632" spans="1:10" ht="76.5" outlineLevel="4">
      <c r="A632" s="481" t="s">
        <v>702</v>
      </c>
      <c r="B632" s="482" t="s">
        <v>1319</v>
      </c>
      <c r="C632" s="483" t="s">
        <v>652</v>
      </c>
      <c r="D632" s="482" t="s">
        <v>717</v>
      </c>
      <c r="E632" s="484">
        <v>498631.47976000002</v>
      </c>
      <c r="F632" s="484">
        <v>498631.47976000002</v>
      </c>
      <c r="G632" s="484">
        <v>162059.45139999999</v>
      </c>
      <c r="H632" s="484">
        <v>162059.45139999999</v>
      </c>
      <c r="I632" s="480">
        <v>32.5</v>
      </c>
      <c r="J632" s="480"/>
    </row>
    <row r="633" spans="1:10" ht="51" outlineLevel="3">
      <c r="A633" s="476" t="s">
        <v>1320</v>
      </c>
      <c r="B633" s="477" t="s">
        <v>1321</v>
      </c>
      <c r="C633" s="478"/>
      <c r="D633" s="477"/>
      <c r="E633" s="479">
        <v>8416.4788700000008</v>
      </c>
      <c r="F633" s="479">
        <v>8416.4788700000008</v>
      </c>
      <c r="G633" s="479">
        <v>6253.4788699999999</v>
      </c>
      <c r="H633" s="479">
        <v>6253.4788699999999</v>
      </c>
      <c r="I633" s="480">
        <v>74.3</v>
      </c>
      <c r="J633" s="480"/>
    </row>
    <row r="634" spans="1:10" ht="51" outlineLevel="4">
      <c r="A634" s="481" t="s">
        <v>1320</v>
      </c>
      <c r="B634" s="482" t="s">
        <v>1321</v>
      </c>
      <c r="C634" s="483" t="s">
        <v>652</v>
      </c>
      <c r="D634" s="482" t="s">
        <v>717</v>
      </c>
      <c r="E634" s="484">
        <v>8416.4788700000008</v>
      </c>
      <c r="F634" s="484">
        <v>8416.4788700000008</v>
      </c>
      <c r="G634" s="484">
        <v>6253.4788699999999</v>
      </c>
      <c r="H634" s="484">
        <v>6253.4788699999999</v>
      </c>
      <c r="I634" s="480">
        <v>74.3</v>
      </c>
      <c r="J634" s="485" t="s">
        <v>10</v>
      </c>
    </row>
    <row r="635" spans="1:10" ht="51" outlineLevel="3">
      <c r="A635" s="476" t="s">
        <v>1322</v>
      </c>
      <c r="B635" s="477" t="s">
        <v>1323</v>
      </c>
      <c r="C635" s="478"/>
      <c r="D635" s="477"/>
      <c r="E635" s="479">
        <v>26595.74468</v>
      </c>
      <c r="F635" s="479">
        <v>26595.74468</v>
      </c>
      <c r="G635" s="479">
        <v>0</v>
      </c>
      <c r="H635" s="479">
        <v>0</v>
      </c>
      <c r="I635" s="480">
        <v>0</v>
      </c>
      <c r="J635" s="480"/>
    </row>
    <row r="636" spans="1:10" ht="51" outlineLevel="4">
      <c r="A636" s="481" t="s">
        <v>1322</v>
      </c>
      <c r="B636" s="482" t="s">
        <v>1323</v>
      </c>
      <c r="C636" s="483" t="s">
        <v>652</v>
      </c>
      <c r="D636" s="482" t="s">
        <v>717</v>
      </c>
      <c r="E636" s="484">
        <v>26595.74468</v>
      </c>
      <c r="F636" s="484">
        <v>26595.74468</v>
      </c>
      <c r="G636" s="484">
        <v>0</v>
      </c>
      <c r="H636" s="484">
        <v>0</v>
      </c>
      <c r="I636" s="480">
        <v>0</v>
      </c>
      <c r="J636" s="485" t="s">
        <v>10</v>
      </c>
    </row>
    <row r="637" spans="1:10" ht="76.5" outlineLevel="3">
      <c r="A637" s="476" t="s">
        <v>1324</v>
      </c>
      <c r="B637" s="477" t="s">
        <v>1325</v>
      </c>
      <c r="C637" s="478"/>
      <c r="D637" s="477"/>
      <c r="E637" s="479">
        <v>31423.599999999999</v>
      </c>
      <c r="F637" s="479">
        <v>31423.599999999999</v>
      </c>
      <c r="G637" s="479">
        <v>21467.534589999999</v>
      </c>
      <c r="H637" s="479">
        <v>20690.814590000002</v>
      </c>
      <c r="I637" s="480">
        <v>65.84</v>
      </c>
      <c r="J637" s="480"/>
    </row>
    <row r="638" spans="1:10" ht="76.5" outlineLevel="4">
      <c r="A638" s="481" t="s">
        <v>1324</v>
      </c>
      <c r="B638" s="482" t="s">
        <v>1325</v>
      </c>
      <c r="C638" s="483" t="s">
        <v>652</v>
      </c>
      <c r="D638" s="482" t="s">
        <v>717</v>
      </c>
      <c r="E638" s="484">
        <v>31423.599999999999</v>
      </c>
      <c r="F638" s="484">
        <v>31423.599999999999</v>
      </c>
      <c r="G638" s="484">
        <v>21467.534589999999</v>
      </c>
      <c r="H638" s="484">
        <v>20690.814590000002</v>
      </c>
      <c r="I638" s="480">
        <v>65.84</v>
      </c>
      <c r="J638" s="480"/>
    </row>
    <row r="639" spans="1:10" ht="25.5" outlineLevel="1">
      <c r="A639" s="466" t="s">
        <v>1326</v>
      </c>
      <c r="B639" s="467" t="s">
        <v>1327</v>
      </c>
      <c r="C639" s="468"/>
      <c r="D639" s="467"/>
      <c r="E639" s="469">
        <v>1397460.64102</v>
      </c>
      <c r="F639" s="469">
        <v>1332750.57629</v>
      </c>
      <c r="G639" s="469">
        <v>336593.31672</v>
      </c>
      <c r="H639" s="469">
        <v>297864.17632999999</v>
      </c>
      <c r="I639" s="470">
        <v>21.31</v>
      </c>
      <c r="J639" s="470"/>
    </row>
    <row r="640" spans="1:10" ht="51" outlineLevel="2">
      <c r="A640" s="471" t="s">
        <v>1328</v>
      </c>
      <c r="B640" s="472" t="s">
        <v>1329</v>
      </c>
      <c r="C640" s="473"/>
      <c r="D640" s="472"/>
      <c r="E640" s="474">
        <v>341668.62689999997</v>
      </c>
      <c r="F640" s="474">
        <v>313659.76189999998</v>
      </c>
      <c r="G640" s="474">
        <v>23131.08365</v>
      </c>
      <c r="H640" s="474">
        <v>20622.847969999999</v>
      </c>
      <c r="I640" s="475">
        <v>6.04</v>
      </c>
      <c r="J640" s="475"/>
    </row>
    <row r="641" spans="1:10" ht="51" outlineLevel="3">
      <c r="A641" s="476" t="s">
        <v>801</v>
      </c>
      <c r="B641" s="477" t="s">
        <v>1330</v>
      </c>
      <c r="C641" s="478"/>
      <c r="D641" s="477"/>
      <c r="E641" s="479">
        <v>74096.635420000006</v>
      </c>
      <c r="F641" s="479">
        <v>54096.635419999999</v>
      </c>
      <c r="G641" s="479">
        <v>17659.802169999999</v>
      </c>
      <c r="H641" s="479">
        <v>15151.566489999999</v>
      </c>
      <c r="I641" s="480">
        <v>20.45</v>
      </c>
      <c r="J641" s="480"/>
    </row>
    <row r="642" spans="1:10" ht="51" outlineLevel="4">
      <c r="A642" s="481" t="s">
        <v>801</v>
      </c>
      <c r="B642" s="482" t="s">
        <v>1330</v>
      </c>
      <c r="C642" s="483" t="s">
        <v>803</v>
      </c>
      <c r="D642" s="482" t="s">
        <v>804</v>
      </c>
      <c r="E642" s="484">
        <v>74096.635420000006</v>
      </c>
      <c r="F642" s="484">
        <v>54096.635419999999</v>
      </c>
      <c r="G642" s="484">
        <v>17659.802169999999</v>
      </c>
      <c r="H642" s="484">
        <v>15151.566489999999</v>
      </c>
      <c r="I642" s="480">
        <v>20.45</v>
      </c>
      <c r="J642" s="480"/>
    </row>
    <row r="643" spans="1:10" ht="38.25" outlineLevel="3">
      <c r="A643" s="476" t="s">
        <v>982</v>
      </c>
      <c r="B643" s="477" t="s">
        <v>1331</v>
      </c>
      <c r="C643" s="478"/>
      <c r="D643" s="477"/>
      <c r="E643" s="479">
        <v>25076.046480000001</v>
      </c>
      <c r="F643" s="479">
        <v>17067.181479999999</v>
      </c>
      <c r="G643" s="479">
        <v>5471.2814799999996</v>
      </c>
      <c r="H643" s="479">
        <v>5471.2814799999996</v>
      </c>
      <c r="I643" s="480">
        <v>21.82</v>
      </c>
      <c r="J643" s="480"/>
    </row>
    <row r="644" spans="1:10" ht="38.25" outlineLevel="4">
      <c r="A644" s="481" t="s">
        <v>982</v>
      </c>
      <c r="B644" s="482" t="s">
        <v>1331</v>
      </c>
      <c r="C644" s="483" t="s">
        <v>803</v>
      </c>
      <c r="D644" s="482" t="s">
        <v>804</v>
      </c>
      <c r="E644" s="484">
        <v>25076.046480000001</v>
      </c>
      <c r="F644" s="484">
        <v>17067.181479999999</v>
      </c>
      <c r="G644" s="484">
        <v>5471.2814799999996</v>
      </c>
      <c r="H644" s="484">
        <v>5471.2814799999996</v>
      </c>
      <c r="I644" s="480">
        <v>21.82</v>
      </c>
      <c r="J644" s="480"/>
    </row>
    <row r="645" spans="1:10" ht="38.25" outlineLevel="3">
      <c r="A645" s="476" t="s">
        <v>1332</v>
      </c>
      <c r="B645" s="477" t="s">
        <v>1333</v>
      </c>
      <c r="C645" s="478"/>
      <c r="D645" s="477"/>
      <c r="E645" s="479">
        <v>242495.94500000001</v>
      </c>
      <c r="F645" s="479">
        <v>242495.94500000001</v>
      </c>
      <c r="G645" s="479">
        <v>0</v>
      </c>
      <c r="H645" s="479">
        <v>0</v>
      </c>
      <c r="I645" s="480">
        <v>0</v>
      </c>
      <c r="J645" s="480"/>
    </row>
    <row r="646" spans="1:10" ht="38.25" outlineLevel="4">
      <c r="A646" s="481" t="s">
        <v>1332</v>
      </c>
      <c r="B646" s="482" t="s">
        <v>1333</v>
      </c>
      <c r="C646" s="483" t="s">
        <v>803</v>
      </c>
      <c r="D646" s="482" t="s">
        <v>804</v>
      </c>
      <c r="E646" s="484">
        <v>242495.94500000001</v>
      </c>
      <c r="F646" s="484">
        <v>242495.94500000001</v>
      </c>
      <c r="G646" s="484">
        <v>0</v>
      </c>
      <c r="H646" s="484">
        <v>0</v>
      </c>
      <c r="I646" s="480">
        <v>0</v>
      </c>
      <c r="J646" s="480"/>
    </row>
    <row r="647" spans="1:10" ht="63.75" outlineLevel="2">
      <c r="A647" s="471" t="s">
        <v>1334</v>
      </c>
      <c r="B647" s="472" t="s">
        <v>1335</v>
      </c>
      <c r="C647" s="473"/>
      <c r="D647" s="472"/>
      <c r="E647" s="474">
        <v>186346.55752</v>
      </c>
      <c r="F647" s="474">
        <v>149645.35779000001</v>
      </c>
      <c r="G647" s="474">
        <v>12629.695820000001</v>
      </c>
      <c r="H647" s="474">
        <v>7853.9370699999999</v>
      </c>
      <c r="I647" s="475">
        <v>4.21</v>
      </c>
      <c r="J647" s="475"/>
    </row>
    <row r="648" spans="1:10" ht="76.5" outlineLevel="3">
      <c r="A648" s="476" t="s">
        <v>702</v>
      </c>
      <c r="B648" s="477" t="s">
        <v>1336</v>
      </c>
      <c r="C648" s="478"/>
      <c r="D648" s="477"/>
      <c r="E648" s="479">
        <v>14240.052799999999</v>
      </c>
      <c r="F648" s="479">
        <v>7915.0530699999999</v>
      </c>
      <c r="G648" s="479">
        <v>4435.7070700000004</v>
      </c>
      <c r="H648" s="479">
        <v>4335.5170699999999</v>
      </c>
      <c r="I648" s="480">
        <v>30.45</v>
      </c>
      <c r="J648" s="480"/>
    </row>
    <row r="649" spans="1:10" ht="76.5" outlineLevel="4">
      <c r="A649" s="481" t="s">
        <v>702</v>
      </c>
      <c r="B649" s="482" t="s">
        <v>1336</v>
      </c>
      <c r="C649" s="483" t="s">
        <v>652</v>
      </c>
      <c r="D649" s="482" t="s">
        <v>717</v>
      </c>
      <c r="E649" s="484">
        <v>14240.052799999999</v>
      </c>
      <c r="F649" s="484">
        <v>7915.0530699999999</v>
      </c>
      <c r="G649" s="484">
        <v>4435.7070700000004</v>
      </c>
      <c r="H649" s="484">
        <v>4335.5170699999999</v>
      </c>
      <c r="I649" s="480">
        <v>30.45</v>
      </c>
      <c r="J649" s="480"/>
    </row>
    <row r="650" spans="1:10" ht="25.5" outlineLevel="3">
      <c r="A650" s="476" t="s">
        <v>706</v>
      </c>
      <c r="B650" s="477" t="s">
        <v>1337</v>
      </c>
      <c r="C650" s="478"/>
      <c r="D650" s="477"/>
      <c r="E650" s="479">
        <v>6000</v>
      </c>
      <c r="F650" s="479">
        <v>6000</v>
      </c>
      <c r="G650" s="479">
        <v>0</v>
      </c>
      <c r="H650" s="479">
        <v>0</v>
      </c>
      <c r="I650" s="480">
        <v>0</v>
      </c>
      <c r="J650" s="480"/>
    </row>
    <row r="651" spans="1:10" ht="25.5" outlineLevel="4">
      <c r="A651" s="481" t="s">
        <v>706</v>
      </c>
      <c r="B651" s="482" t="s">
        <v>1337</v>
      </c>
      <c r="C651" s="483" t="s">
        <v>652</v>
      </c>
      <c r="D651" s="482" t="s">
        <v>717</v>
      </c>
      <c r="E651" s="484">
        <v>6000</v>
      </c>
      <c r="F651" s="484">
        <v>6000</v>
      </c>
      <c r="G651" s="484">
        <v>0</v>
      </c>
      <c r="H651" s="484">
        <v>0</v>
      </c>
      <c r="I651" s="480">
        <v>0</v>
      </c>
      <c r="J651" s="480"/>
    </row>
    <row r="652" spans="1:10" ht="51" outlineLevel="3">
      <c r="A652" s="476" t="s">
        <v>1338</v>
      </c>
      <c r="B652" s="477" t="s">
        <v>1339</v>
      </c>
      <c r="C652" s="478"/>
      <c r="D652" s="477"/>
      <c r="E652" s="479">
        <v>166106.50472</v>
      </c>
      <c r="F652" s="479">
        <v>135730.30471999999</v>
      </c>
      <c r="G652" s="479">
        <v>8193.9887500000004</v>
      </c>
      <c r="H652" s="479">
        <v>3518.42</v>
      </c>
      <c r="I652" s="480">
        <v>2.12</v>
      </c>
      <c r="J652" s="480"/>
    </row>
    <row r="653" spans="1:10" ht="51" outlineLevel="4">
      <c r="A653" s="481" t="s">
        <v>1338</v>
      </c>
      <c r="B653" s="482" t="s">
        <v>1339</v>
      </c>
      <c r="C653" s="483" t="s">
        <v>652</v>
      </c>
      <c r="D653" s="482" t="s">
        <v>717</v>
      </c>
      <c r="E653" s="484">
        <v>13638.696239999999</v>
      </c>
      <c r="F653" s="484">
        <v>13638.696239999999</v>
      </c>
      <c r="G653" s="484">
        <v>0</v>
      </c>
      <c r="H653" s="484">
        <v>0</v>
      </c>
      <c r="I653" s="480">
        <v>0</v>
      </c>
      <c r="J653" s="480"/>
    </row>
    <row r="654" spans="1:10" ht="51" outlineLevel="4">
      <c r="A654" s="481" t="s">
        <v>1338</v>
      </c>
      <c r="B654" s="482" t="s">
        <v>1339</v>
      </c>
      <c r="C654" s="483" t="s">
        <v>803</v>
      </c>
      <c r="D654" s="482" t="s">
        <v>804</v>
      </c>
      <c r="E654" s="484">
        <v>152467.80848000001</v>
      </c>
      <c r="F654" s="484">
        <v>122091.60848</v>
      </c>
      <c r="G654" s="484">
        <v>8193.9887500000004</v>
      </c>
      <c r="H654" s="484">
        <v>3518.42</v>
      </c>
      <c r="I654" s="480">
        <v>2.31</v>
      </c>
      <c r="J654" s="480"/>
    </row>
    <row r="655" spans="1:10" ht="25.5" outlineLevel="2">
      <c r="A655" s="471" t="s">
        <v>1296</v>
      </c>
      <c r="B655" s="472" t="s">
        <v>1340</v>
      </c>
      <c r="C655" s="473"/>
      <c r="D655" s="472"/>
      <c r="E655" s="474">
        <v>869445.45660000003</v>
      </c>
      <c r="F655" s="474">
        <v>869445.45660000003</v>
      </c>
      <c r="G655" s="474">
        <v>300832.53724999999</v>
      </c>
      <c r="H655" s="474">
        <v>269387.39129</v>
      </c>
      <c r="I655" s="475">
        <v>30.98</v>
      </c>
      <c r="J655" s="475"/>
    </row>
    <row r="656" spans="1:10" ht="25.5" outlineLevel="3">
      <c r="A656" s="476" t="s">
        <v>713</v>
      </c>
      <c r="B656" s="477" t="s">
        <v>1341</v>
      </c>
      <c r="C656" s="478"/>
      <c r="D656" s="477"/>
      <c r="E656" s="479">
        <v>4050</v>
      </c>
      <c r="F656" s="479">
        <v>4050</v>
      </c>
      <c r="G656" s="479">
        <v>0</v>
      </c>
      <c r="H656" s="479">
        <v>0</v>
      </c>
      <c r="I656" s="480">
        <v>0</v>
      </c>
      <c r="J656" s="480"/>
    </row>
    <row r="657" spans="1:10" ht="25.5" outlineLevel="4">
      <c r="A657" s="481" t="s">
        <v>713</v>
      </c>
      <c r="B657" s="482" t="s">
        <v>1341</v>
      </c>
      <c r="C657" s="483" t="s">
        <v>652</v>
      </c>
      <c r="D657" s="482" t="s">
        <v>717</v>
      </c>
      <c r="E657" s="484">
        <v>4050</v>
      </c>
      <c r="F657" s="484">
        <v>4050</v>
      </c>
      <c r="G657" s="484">
        <v>0</v>
      </c>
      <c r="H657" s="484">
        <v>0</v>
      </c>
      <c r="I657" s="480">
        <v>0</v>
      </c>
      <c r="J657" s="480"/>
    </row>
    <row r="658" spans="1:10" ht="38.25" outlineLevel="3">
      <c r="A658" s="476" t="s">
        <v>1301</v>
      </c>
      <c r="B658" s="477" t="s">
        <v>1342</v>
      </c>
      <c r="C658" s="478"/>
      <c r="D658" s="477"/>
      <c r="E658" s="479">
        <v>819090.48010000004</v>
      </c>
      <c r="F658" s="479">
        <v>819090.48010000004</v>
      </c>
      <c r="G658" s="479">
        <v>300832.53724999999</v>
      </c>
      <c r="H658" s="479">
        <v>269387.39129</v>
      </c>
      <c r="I658" s="480">
        <v>32.89</v>
      </c>
      <c r="J658" s="480"/>
    </row>
    <row r="659" spans="1:10" ht="38.25" outlineLevel="4">
      <c r="A659" s="481" t="s">
        <v>1301</v>
      </c>
      <c r="B659" s="482" t="s">
        <v>1342</v>
      </c>
      <c r="C659" s="483" t="s">
        <v>803</v>
      </c>
      <c r="D659" s="482" t="s">
        <v>804</v>
      </c>
      <c r="E659" s="484">
        <v>819090.48010000004</v>
      </c>
      <c r="F659" s="484">
        <v>819090.48010000004</v>
      </c>
      <c r="G659" s="484">
        <v>300832.53724999999</v>
      </c>
      <c r="H659" s="484">
        <v>269387.39129</v>
      </c>
      <c r="I659" s="480">
        <v>32.89</v>
      </c>
      <c r="J659" s="485" t="s">
        <v>10</v>
      </c>
    </row>
    <row r="660" spans="1:10" ht="51" outlineLevel="3">
      <c r="A660" s="476" t="s">
        <v>1338</v>
      </c>
      <c r="B660" s="477" t="s">
        <v>1343</v>
      </c>
      <c r="C660" s="478"/>
      <c r="D660" s="477"/>
      <c r="E660" s="479">
        <v>25000</v>
      </c>
      <c r="F660" s="479">
        <v>25000</v>
      </c>
      <c r="G660" s="479">
        <v>0</v>
      </c>
      <c r="H660" s="479">
        <v>0</v>
      </c>
      <c r="I660" s="480">
        <v>0</v>
      </c>
      <c r="J660" s="480"/>
    </row>
    <row r="661" spans="1:10" ht="51" outlineLevel="4">
      <c r="A661" s="481" t="s">
        <v>1338</v>
      </c>
      <c r="B661" s="482" t="s">
        <v>1343</v>
      </c>
      <c r="C661" s="483" t="s">
        <v>652</v>
      </c>
      <c r="D661" s="482" t="s">
        <v>717</v>
      </c>
      <c r="E661" s="484">
        <v>25000</v>
      </c>
      <c r="F661" s="484">
        <v>25000</v>
      </c>
      <c r="G661" s="484">
        <v>0</v>
      </c>
      <c r="H661" s="484">
        <v>0</v>
      </c>
      <c r="I661" s="480">
        <v>0</v>
      </c>
      <c r="J661" s="480"/>
    </row>
    <row r="662" spans="1:10" ht="38.25" outlineLevel="3">
      <c r="A662" s="476" t="s">
        <v>982</v>
      </c>
      <c r="B662" s="477" t="s">
        <v>1344</v>
      </c>
      <c r="C662" s="478"/>
      <c r="D662" s="477"/>
      <c r="E662" s="479">
        <v>21304.976500000001</v>
      </c>
      <c r="F662" s="479">
        <v>21304.976500000001</v>
      </c>
      <c r="G662" s="479">
        <v>0</v>
      </c>
      <c r="H662" s="479">
        <v>0</v>
      </c>
      <c r="I662" s="480">
        <v>0</v>
      </c>
      <c r="J662" s="480"/>
    </row>
    <row r="663" spans="1:10" ht="38.25" outlineLevel="4">
      <c r="A663" s="481" t="s">
        <v>982</v>
      </c>
      <c r="B663" s="482" t="s">
        <v>1344</v>
      </c>
      <c r="C663" s="483" t="s">
        <v>803</v>
      </c>
      <c r="D663" s="482" t="s">
        <v>804</v>
      </c>
      <c r="E663" s="484">
        <v>21304.976500000001</v>
      </c>
      <c r="F663" s="484">
        <v>21304.976500000001</v>
      </c>
      <c r="G663" s="484">
        <v>0</v>
      </c>
      <c r="H663" s="484">
        <v>0</v>
      </c>
      <c r="I663" s="480">
        <v>0</v>
      </c>
      <c r="J663" s="480"/>
    </row>
    <row r="664" spans="1:10" ht="38.25" outlineLevel="1">
      <c r="A664" s="466" t="s">
        <v>1019</v>
      </c>
      <c r="B664" s="467" t="s">
        <v>1345</v>
      </c>
      <c r="C664" s="468"/>
      <c r="D664" s="467"/>
      <c r="E664" s="469">
        <v>46807.391049999998</v>
      </c>
      <c r="F664" s="469">
        <v>46807.391049999998</v>
      </c>
      <c r="G664" s="469">
        <v>20986.40552</v>
      </c>
      <c r="H664" s="469">
        <v>19675.067849999999</v>
      </c>
      <c r="I664" s="470">
        <v>42.03</v>
      </c>
      <c r="J664" s="470"/>
    </row>
    <row r="665" spans="1:10" ht="51" outlineLevel="2">
      <c r="A665" s="471" t="s">
        <v>1346</v>
      </c>
      <c r="B665" s="472" t="s">
        <v>1347</v>
      </c>
      <c r="C665" s="473"/>
      <c r="D665" s="472"/>
      <c r="E665" s="474">
        <v>46807.391049999998</v>
      </c>
      <c r="F665" s="474">
        <v>46807.391049999998</v>
      </c>
      <c r="G665" s="474">
        <v>20986.40552</v>
      </c>
      <c r="H665" s="474">
        <v>19675.067849999999</v>
      </c>
      <c r="I665" s="475">
        <v>42.03</v>
      </c>
      <c r="J665" s="475"/>
    </row>
    <row r="666" spans="1:10" ht="25.5" outlineLevel="3">
      <c r="A666" s="476" t="s">
        <v>873</v>
      </c>
      <c r="B666" s="477" t="s">
        <v>1348</v>
      </c>
      <c r="C666" s="478"/>
      <c r="D666" s="477"/>
      <c r="E666" s="479">
        <v>42378.923860000003</v>
      </c>
      <c r="F666" s="479">
        <v>42378.923860000003</v>
      </c>
      <c r="G666" s="479">
        <v>19150</v>
      </c>
      <c r="H666" s="479">
        <v>18398.699670000002</v>
      </c>
      <c r="I666" s="480">
        <v>43.41</v>
      </c>
      <c r="J666" s="480"/>
    </row>
    <row r="667" spans="1:10" ht="25.5" outlineLevel="4">
      <c r="A667" s="481" t="s">
        <v>873</v>
      </c>
      <c r="B667" s="482" t="s">
        <v>1348</v>
      </c>
      <c r="C667" s="483" t="s">
        <v>652</v>
      </c>
      <c r="D667" s="482" t="s">
        <v>717</v>
      </c>
      <c r="E667" s="484">
        <v>42378.923860000003</v>
      </c>
      <c r="F667" s="484">
        <v>42378.923860000003</v>
      </c>
      <c r="G667" s="484">
        <v>19150</v>
      </c>
      <c r="H667" s="484">
        <v>18398.699670000002</v>
      </c>
      <c r="I667" s="480">
        <v>43.41</v>
      </c>
      <c r="J667" s="480"/>
    </row>
    <row r="668" spans="1:10" ht="38.25" outlineLevel="3">
      <c r="A668" s="476" t="s">
        <v>854</v>
      </c>
      <c r="B668" s="477" t="s">
        <v>1349</v>
      </c>
      <c r="C668" s="478"/>
      <c r="D668" s="477"/>
      <c r="E668" s="479">
        <v>4050.1671900000001</v>
      </c>
      <c r="F668" s="479">
        <v>4050.1671900000001</v>
      </c>
      <c r="G668" s="479">
        <v>1836.40552</v>
      </c>
      <c r="H668" s="479">
        <v>1276.3681799999999</v>
      </c>
      <c r="I668" s="480">
        <v>31.51</v>
      </c>
      <c r="J668" s="480"/>
    </row>
    <row r="669" spans="1:10" ht="38.25" outlineLevel="4">
      <c r="A669" s="481" t="s">
        <v>854</v>
      </c>
      <c r="B669" s="482" t="s">
        <v>1349</v>
      </c>
      <c r="C669" s="483" t="s">
        <v>652</v>
      </c>
      <c r="D669" s="482" t="s">
        <v>717</v>
      </c>
      <c r="E669" s="484">
        <v>4050.1671900000001</v>
      </c>
      <c r="F669" s="484">
        <v>4050.1671900000001</v>
      </c>
      <c r="G669" s="484">
        <v>1836.40552</v>
      </c>
      <c r="H669" s="484">
        <v>1276.3681799999999</v>
      </c>
      <c r="I669" s="480">
        <v>31.51</v>
      </c>
      <c r="J669" s="480"/>
    </row>
    <row r="670" spans="1:10" ht="63.75" outlineLevel="3">
      <c r="A670" s="476" t="s">
        <v>62</v>
      </c>
      <c r="B670" s="477" t="s">
        <v>1350</v>
      </c>
      <c r="C670" s="478"/>
      <c r="D670" s="477"/>
      <c r="E670" s="479">
        <v>378.3</v>
      </c>
      <c r="F670" s="479">
        <v>378.3</v>
      </c>
      <c r="G670" s="479">
        <v>0</v>
      </c>
      <c r="H670" s="479">
        <v>0</v>
      </c>
      <c r="I670" s="480">
        <v>0</v>
      </c>
      <c r="J670" s="480"/>
    </row>
    <row r="671" spans="1:10" ht="63.75" outlineLevel="4">
      <c r="A671" s="481" t="s">
        <v>62</v>
      </c>
      <c r="B671" s="482" t="s">
        <v>1350</v>
      </c>
      <c r="C671" s="483" t="s">
        <v>652</v>
      </c>
      <c r="D671" s="482" t="s">
        <v>717</v>
      </c>
      <c r="E671" s="484">
        <v>378.3</v>
      </c>
      <c r="F671" s="484">
        <v>378.3</v>
      </c>
      <c r="G671" s="484">
        <v>0</v>
      </c>
      <c r="H671" s="484">
        <v>0</v>
      </c>
      <c r="I671" s="480">
        <v>0</v>
      </c>
      <c r="J671" s="480"/>
    </row>
    <row r="672" spans="1:10" ht="45.75" thickBot="1">
      <c r="A672" s="461" t="s">
        <v>1351</v>
      </c>
      <c r="B672" s="462" t="s">
        <v>1352</v>
      </c>
      <c r="C672" s="463"/>
      <c r="D672" s="462"/>
      <c r="E672" s="464">
        <v>2100095.93249</v>
      </c>
      <c r="F672" s="464">
        <v>1857430.66704</v>
      </c>
      <c r="G672" s="464">
        <v>653918.72216999996</v>
      </c>
      <c r="H672" s="464">
        <v>587480.33854999999</v>
      </c>
      <c r="I672" s="465">
        <v>27.97</v>
      </c>
      <c r="J672" s="465"/>
    </row>
    <row r="673" spans="1:10" outlineLevel="1">
      <c r="A673" s="466" t="s">
        <v>1353</v>
      </c>
      <c r="B673" s="467" t="s">
        <v>1354</v>
      </c>
      <c r="C673" s="468"/>
      <c r="D673" s="467"/>
      <c r="E673" s="469">
        <v>609204.91293999995</v>
      </c>
      <c r="F673" s="469">
        <v>605536.35017999995</v>
      </c>
      <c r="G673" s="469">
        <v>229893.82821000001</v>
      </c>
      <c r="H673" s="469">
        <v>223812.26845999999</v>
      </c>
      <c r="I673" s="470">
        <v>36.74</v>
      </c>
      <c r="J673" s="470"/>
    </row>
    <row r="674" spans="1:10" ht="38.25" outlineLevel="2">
      <c r="A674" s="471" t="s">
        <v>1355</v>
      </c>
      <c r="B674" s="472" t="s">
        <v>1356</v>
      </c>
      <c r="C674" s="473"/>
      <c r="D674" s="472"/>
      <c r="E674" s="474">
        <v>205903.77499999999</v>
      </c>
      <c r="F674" s="474">
        <v>204903.77499999999</v>
      </c>
      <c r="G674" s="474">
        <v>102580.02800000001</v>
      </c>
      <c r="H674" s="474">
        <v>102580.02800000001</v>
      </c>
      <c r="I674" s="475">
        <v>49.82</v>
      </c>
      <c r="J674" s="475"/>
    </row>
    <row r="675" spans="1:10" ht="76.5" outlineLevel="3">
      <c r="A675" s="476" t="s">
        <v>702</v>
      </c>
      <c r="B675" s="477" t="s">
        <v>1357</v>
      </c>
      <c r="C675" s="478"/>
      <c r="D675" s="477"/>
      <c r="E675" s="479">
        <v>205903.77499999999</v>
      </c>
      <c r="F675" s="479">
        <v>204903.77499999999</v>
      </c>
      <c r="G675" s="479">
        <v>102580.02800000001</v>
      </c>
      <c r="H675" s="479">
        <v>102580.02800000001</v>
      </c>
      <c r="I675" s="480">
        <v>49.82</v>
      </c>
      <c r="J675" s="480"/>
    </row>
    <row r="676" spans="1:10" ht="76.5" outlineLevel="4">
      <c r="A676" s="481" t="s">
        <v>702</v>
      </c>
      <c r="B676" s="482" t="s">
        <v>1357</v>
      </c>
      <c r="C676" s="483" t="s">
        <v>896</v>
      </c>
      <c r="D676" s="482" t="s">
        <v>897</v>
      </c>
      <c r="E676" s="484">
        <v>205903.77499999999</v>
      </c>
      <c r="F676" s="484">
        <v>204903.77499999999</v>
      </c>
      <c r="G676" s="484">
        <v>102580.02800000001</v>
      </c>
      <c r="H676" s="484">
        <v>102580.02800000001</v>
      </c>
      <c r="I676" s="480">
        <v>49.82</v>
      </c>
      <c r="J676" s="480"/>
    </row>
    <row r="677" spans="1:10" ht="51" outlineLevel="2">
      <c r="A677" s="471" t="s">
        <v>1358</v>
      </c>
      <c r="B677" s="472" t="s">
        <v>1359</v>
      </c>
      <c r="C677" s="473"/>
      <c r="D677" s="472"/>
      <c r="E677" s="474">
        <v>14434.37</v>
      </c>
      <c r="F677" s="474">
        <v>14434.37</v>
      </c>
      <c r="G677" s="474">
        <v>5066.4920000000002</v>
      </c>
      <c r="H677" s="474">
        <v>5066.4920000000002</v>
      </c>
      <c r="I677" s="475">
        <v>35.1</v>
      </c>
      <c r="J677" s="475"/>
    </row>
    <row r="678" spans="1:10" ht="76.5" outlineLevel="3">
      <c r="A678" s="476" t="s">
        <v>702</v>
      </c>
      <c r="B678" s="477" t="s">
        <v>1360</v>
      </c>
      <c r="C678" s="478"/>
      <c r="D678" s="477"/>
      <c r="E678" s="479">
        <v>13478.87</v>
      </c>
      <c r="F678" s="479">
        <v>13478.87</v>
      </c>
      <c r="G678" s="479">
        <v>5066.4920000000002</v>
      </c>
      <c r="H678" s="479">
        <v>5066.4920000000002</v>
      </c>
      <c r="I678" s="480">
        <v>37.590000000000003</v>
      </c>
      <c r="J678" s="480"/>
    </row>
    <row r="679" spans="1:10" ht="76.5" outlineLevel="4">
      <c r="A679" s="481" t="s">
        <v>702</v>
      </c>
      <c r="B679" s="482" t="s">
        <v>1360</v>
      </c>
      <c r="C679" s="483" t="s">
        <v>896</v>
      </c>
      <c r="D679" s="482" t="s">
        <v>897</v>
      </c>
      <c r="E679" s="484">
        <v>13478.87</v>
      </c>
      <c r="F679" s="484">
        <v>13478.87</v>
      </c>
      <c r="G679" s="484">
        <v>5066.4920000000002</v>
      </c>
      <c r="H679" s="484">
        <v>5066.4920000000002</v>
      </c>
      <c r="I679" s="480">
        <v>37.590000000000003</v>
      </c>
      <c r="J679" s="480"/>
    </row>
    <row r="680" spans="1:10" ht="51" outlineLevel="3">
      <c r="A680" s="476" t="s">
        <v>801</v>
      </c>
      <c r="B680" s="477" t="s">
        <v>1361</v>
      </c>
      <c r="C680" s="478"/>
      <c r="D680" s="477"/>
      <c r="E680" s="479">
        <v>955.5</v>
      </c>
      <c r="F680" s="479">
        <v>955.5</v>
      </c>
      <c r="G680" s="479">
        <v>0</v>
      </c>
      <c r="H680" s="479">
        <v>0</v>
      </c>
      <c r="I680" s="480">
        <v>0</v>
      </c>
      <c r="J680" s="480"/>
    </row>
    <row r="681" spans="1:10" ht="51" outlineLevel="4">
      <c r="A681" s="481" t="s">
        <v>801</v>
      </c>
      <c r="B681" s="482" t="s">
        <v>1361</v>
      </c>
      <c r="C681" s="483" t="s">
        <v>803</v>
      </c>
      <c r="D681" s="482" t="s">
        <v>804</v>
      </c>
      <c r="E681" s="484">
        <v>955.5</v>
      </c>
      <c r="F681" s="484">
        <v>955.5</v>
      </c>
      <c r="G681" s="484">
        <v>0</v>
      </c>
      <c r="H681" s="484">
        <v>0</v>
      </c>
      <c r="I681" s="480">
        <v>0</v>
      </c>
      <c r="J681" s="480"/>
    </row>
    <row r="682" spans="1:10" ht="25.5" outlineLevel="2">
      <c r="A682" s="471" t="s">
        <v>1362</v>
      </c>
      <c r="B682" s="472" t="s">
        <v>1363</v>
      </c>
      <c r="C682" s="473"/>
      <c r="D682" s="472"/>
      <c r="E682" s="474">
        <v>155622.88412999999</v>
      </c>
      <c r="F682" s="474">
        <v>152954.32136999999</v>
      </c>
      <c r="G682" s="474">
        <v>72973.26496</v>
      </c>
      <c r="H682" s="474">
        <v>72973.26496</v>
      </c>
      <c r="I682" s="475">
        <v>46.89</v>
      </c>
      <c r="J682" s="475"/>
    </row>
    <row r="683" spans="1:10" ht="76.5" outlineLevel="3">
      <c r="A683" s="476" t="s">
        <v>702</v>
      </c>
      <c r="B683" s="477" t="s">
        <v>1364</v>
      </c>
      <c r="C683" s="478"/>
      <c r="D683" s="477"/>
      <c r="E683" s="479">
        <v>155444.334</v>
      </c>
      <c r="F683" s="479">
        <v>152808.43400000001</v>
      </c>
      <c r="G683" s="479">
        <v>72918.365000000005</v>
      </c>
      <c r="H683" s="479">
        <v>72918.365000000005</v>
      </c>
      <c r="I683" s="480">
        <v>46.91</v>
      </c>
      <c r="J683" s="480"/>
    </row>
    <row r="684" spans="1:10" ht="76.5" outlineLevel="4">
      <c r="A684" s="481" t="s">
        <v>702</v>
      </c>
      <c r="B684" s="482" t="s">
        <v>1364</v>
      </c>
      <c r="C684" s="483" t="s">
        <v>896</v>
      </c>
      <c r="D684" s="482" t="s">
        <v>897</v>
      </c>
      <c r="E684" s="484">
        <v>155444.334</v>
      </c>
      <c r="F684" s="484">
        <v>152808.43400000001</v>
      </c>
      <c r="G684" s="484">
        <v>72918.365000000005</v>
      </c>
      <c r="H684" s="484">
        <v>72918.365000000005</v>
      </c>
      <c r="I684" s="480">
        <v>46.91</v>
      </c>
      <c r="J684" s="480"/>
    </row>
    <row r="685" spans="1:10" ht="140.25" outlineLevel="3">
      <c r="A685" s="476" t="s">
        <v>842</v>
      </c>
      <c r="B685" s="477" t="s">
        <v>1365</v>
      </c>
      <c r="C685" s="478"/>
      <c r="D685" s="477"/>
      <c r="E685" s="479">
        <v>178.55013</v>
      </c>
      <c r="F685" s="479">
        <v>145.88737</v>
      </c>
      <c r="G685" s="479">
        <v>54.89996</v>
      </c>
      <c r="H685" s="479">
        <v>54.89996</v>
      </c>
      <c r="I685" s="480">
        <v>30.75</v>
      </c>
      <c r="J685" s="480"/>
    </row>
    <row r="686" spans="1:10" ht="140.25" outlineLevel="4">
      <c r="A686" s="481" t="s">
        <v>842</v>
      </c>
      <c r="B686" s="482" t="s">
        <v>1365</v>
      </c>
      <c r="C686" s="483" t="s">
        <v>896</v>
      </c>
      <c r="D686" s="482" t="s">
        <v>897</v>
      </c>
      <c r="E686" s="484">
        <v>178.55013</v>
      </c>
      <c r="F686" s="484">
        <v>145.88737</v>
      </c>
      <c r="G686" s="484">
        <v>54.89996</v>
      </c>
      <c r="H686" s="484">
        <v>54.89996</v>
      </c>
      <c r="I686" s="480">
        <v>30.75</v>
      </c>
      <c r="J686" s="480"/>
    </row>
    <row r="687" spans="1:10" ht="51" outlineLevel="2">
      <c r="A687" s="471" t="s">
        <v>1366</v>
      </c>
      <c r="B687" s="472" t="s">
        <v>1367</v>
      </c>
      <c r="C687" s="473"/>
      <c r="D687" s="472"/>
      <c r="E687" s="474">
        <v>133269.97</v>
      </c>
      <c r="F687" s="474">
        <v>133269.97</v>
      </c>
      <c r="G687" s="474">
        <v>3351.62</v>
      </c>
      <c r="H687" s="474">
        <v>2891.9487399999998</v>
      </c>
      <c r="I687" s="475">
        <v>2.17</v>
      </c>
      <c r="J687" s="475"/>
    </row>
    <row r="688" spans="1:10" ht="76.5" outlineLevel="3">
      <c r="A688" s="476" t="s">
        <v>702</v>
      </c>
      <c r="B688" s="477" t="s">
        <v>1368</v>
      </c>
      <c r="C688" s="478"/>
      <c r="D688" s="477"/>
      <c r="E688" s="479">
        <v>11047.02</v>
      </c>
      <c r="F688" s="479">
        <v>11047.02</v>
      </c>
      <c r="G688" s="479">
        <v>589.62</v>
      </c>
      <c r="H688" s="479">
        <v>589.62</v>
      </c>
      <c r="I688" s="480">
        <v>5.34</v>
      </c>
      <c r="J688" s="480"/>
    </row>
    <row r="689" spans="1:10" ht="76.5" outlineLevel="4">
      <c r="A689" s="481" t="s">
        <v>702</v>
      </c>
      <c r="B689" s="482" t="s">
        <v>1368</v>
      </c>
      <c r="C689" s="483" t="s">
        <v>896</v>
      </c>
      <c r="D689" s="482" t="s">
        <v>897</v>
      </c>
      <c r="E689" s="484">
        <v>11047.02</v>
      </c>
      <c r="F689" s="484">
        <v>11047.02</v>
      </c>
      <c r="G689" s="484">
        <v>589.62</v>
      </c>
      <c r="H689" s="484">
        <v>589.62</v>
      </c>
      <c r="I689" s="480">
        <v>5.34</v>
      </c>
      <c r="J689" s="480"/>
    </row>
    <row r="690" spans="1:10" ht="25.5" outlineLevel="3">
      <c r="A690" s="476" t="s">
        <v>713</v>
      </c>
      <c r="B690" s="477" t="s">
        <v>1369</v>
      </c>
      <c r="C690" s="478"/>
      <c r="D690" s="477"/>
      <c r="E690" s="479">
        <v>12862.85</v>
      </c>
      <c r="F690" s="479">
        <v>12862.85</v>
      </c>
      <c r="G690" s="479">
        <v>2642</v>
      </c>
      <c r="H690" s="479">
        <v>2302.3287399999999</v>
      </c>
      <c r="I690" s="480">
        <v>17.899999999999999</v>
      </c>
      <c r="J690" s="480"/>
    </row>
    <row r="691" spans="1:10" ht="25.5" outlineLevel="4">
      <c r="A691" s="481" t="s">
        <v>713</v>
      </c>
      <c r="B691" s="482" t="s">
        <v>1369</v>
      </c>
      <c r="C691" s="483" t="s">
        <v>803</v>
      </c>
      <c r="D691" s="482" t="s">
        <v>804</v>
      </c>
      <c r="E691" s="484">
        <v>12862.85</v>
      </c>
      <c r="F691" s="484">
        <v>12862.85</v>
      </c>
      <c r="G691" s="484">
        <v>2642</v>
      </c>
      <c r="H691" s="484">
        <v>2302.3287399999999</v>
      </c>
      <c r="I691" s="480">
        <v>17.899999999999999</v>
      </c>
      <c r="J691" s="480"/>
    </row>
    <row r="692" spans="1:10" ht="38.25" outlineLevel="3">
      <c r="A692" s="476" t="s">
        <v>1332</v>
      </c>
      <c r="B692" s="477" t="s">
        <v>1370</v>
      </c>
      <c r="C692" s="478"/>
      <c r="D692" s="477"/>
      <c r="E692" s="479">
        <v>109360.1</v>
      </c>
      <c r="F692" s="479">
        <v>109360.1</v>
      </c>
      <c r="G692" s="479">
        <v>120</v>
      </c>
      <c r="H692" s="479">
        <v>0</v>
      </c>
      <c r="I692" s="480">
        <v>0</v>
      </c>
      <c r="J692" s="480"/>
    </row>
    <row r="693" spans="1:10" ht="38.25" outlineLevel="4">
      <c r="A693" s="481" t="s">
        <v>1332</v>
      </c>
      <c r="B693" s="482" t="s">
        <v>1370</v>
      </c>
      <c r="C693" s="483" t="s">
        <v>896</v>
      </c>
      <c r="D693" s="482" t="s">
        <v>897</v>
      </c>
      <c r="E693" s="484">
        <v>33400</v>
      </c>
      <c r="F693" s="484">
        <v>33400</v>
      </c>
      <c r="G693" s="484">
        <v>0</v>
      </c>
      <c r="H693" s="484">
        <v>0</v>
      </c>
      <c r="I693" s="480">
        <v>0</v>
      </c>
      <c r="J693" s="480"/>
    </row>
    <row r="694" spans="1:10" ht="38.25" outlineLevel="4">
      <c r="A694" s="481" t="s">
        <v>1332</v>
      </c>
      <c r="B694" s="482" t="s">
        <v>1370</v>
      </c>
      <c r="C694" s="483" t="s">
        <v>803</v>
      </c>
      <c r="D694" s="482" t="s">
        <v>804</v>
      </c>
      <c r="E694" s="484">
        <v>75960.100000000006</v>
      </c>
      <c r="F694" s="484">
        <v>75960.100000000006</v>
      </c>
      <c r="G694" s="484">
        <v>120</v>
      </c>
      <c r="H694" s="484">
        <v>0</v>
      </c>
      <c r="I694" s="480">
        <v>0</v>
      </c>
      <c r="J694" s="480"/>
    </row>
    <row r="695" spans="1:10" ht="38.25" outlineLevel="2">
      <c r="A695" s="471" t="s">
        <v>1371</v>
      </c>
      <c r="B695" s="472" t="s">
        <v>1372</v>
      </c>
      <c r="C695" s="473"/>
      <c r="D695" s="472"/>
      <c r="E695" s="474">
        <v>99973.913809999998</v>
      </c>
      <c r="F695" s="474">
        <v>99973.913809999998</v>
      </c>
      <c r="G695" s="474">
        <v>45922.42325</v>
      </c>
      <c r="H695" s="474">
        <v>40300.534760000002</v>
      </c>
      <c r="I695" s="475">
        <v>40.31</v>
      </c>
      <c r="J695" s="475"/>
    </row>
    <row r="696" spans="1:10" ht="76.5" outlineLevel="3">
      <c r="A696" s="476" t="s">
        <v>702</v>
      </c>
      <c r="B696" s="477" t="s">
        <v>1373</v>
      </c>
      <c r="C696" s="478"/>
      <c r="D696" s="477"/>
      <c r="E696" s="479">
        <v>98573.913809999998</v>
      </c>
      <c r="F696" s="479">
        <v>98573.913809999998</v>
      </c>
      <c r="G696" s="479">
        <v>45322.42325</v>
      </c>
      <c r="H696" s="479">
        <v>40275.949760000003</v>
      </c>
      <c r="I696" s="480">
        <v>40.86</v>
      </c>
      <c r="J696" s="480"/>
    </row>
    <row r="697" spans="1:10" ht="76.5" outlineLevel="4">
      <c r="A697" s="481" t="s">
        <v>702</v>
      </c>
      <c r="B697" s="482" t="s">
        <v>1373</v>
      </c>
      <c r="C697" s="483" t="s">
        <v>896</v>
      </c>
      <c r="D697" s="482" t="s">
        <v>897</v>
      </c>
      <c r="E697" s="484">
        <v>98573.913809999998</v>
      </c>
      <c r="F697" s="484">
        <v>98573.913809999998</v>
      </c>
      <c r="G697" s="484">
        <v>45322.42325</v>
      </c>
      <c r="H697" s="484">
        <v>40275.949760000003</v>
      </c>
      <c r="I697" s="480">
        <v>40.86</v>
      </c>
      <c r="J697" s="480"/>
    </row>
    <row r="698" spans="1:10" ht="63.75" outlineLevel="3">
      <c r="A698" s="476" t="s">
        <v>62</v>
      </c>
      <c r="B698" s="477" t="s">
        <v>1374</v>
      </c>
      <c r="C698" s="478"/>
      <c r="D698" s="477"/>
      <c r="E698" s="479">
        <v>1400</v>
      </c>
      <c r="F698" s="479">
        <v>1400</v>
      </c>
      <c r="G698" s="479">
        <v>600</v>
      </c>
      <c r="H698" s="479">
        <v>24.585000000000001</v>
      </c>
      <c r="I698" s="480">
        <v>1.76</v>
      </c>
      <c r="J698" s="480"/>
    </row>
    <row r="699" spans="1:10" ht="63.75" outlineLevel="4">
      <c r="A699" s="481" t="s">
        <v>62</v>
      </c>
      <c r="B699" s="482" t="s">
        <v>1374</v>
      </c>
      <c r="C699" s="483" t="s">
        <v>896</v>
      </c>
      <c r="D699" s="482" t="s">
        <v>897</v>
      </c>
      <c r="E699" s="484">
        <v>1400</v>
      </c>
      <c r="F699" s="484">
        <v>1400</v>
      </c>
      <c r="G699" s="484">
        <v>600</v>
      </c>
      <c r="H699" s="484">
        <v>24.585000000000001</v>
      </c>
      <c r="I699" s="480">
        <v>1.76</v>
      </c>
      <c r="J699" s="480"/>
    </row>
    <row r="700" spans="1:10" outlineLevel="1">
      <c r="A700" s="466" t="s">
        <v>1375</v>
      </c>
      <c r="B700" s="467" t="s">
        <v>1376</v>
      </c>
      <c r="C700" s="468"/>
      <c r="D700" s="467"/>
      <c r="E700" s="469">
        <v>888769.15879999998</v>
      </c>
      <c r="F700" s="469">
        <v>853975.74528999999</v>
      </c>
      <c r="G700" s="469">
        <v>305916.75238000002</v>
      </c>
      <c r="H700" s="469">
        <v>254832.09815999999</v>
      </c>
      <c r="I700" s="470">
        <v>28.67</v>
      </c>
      <c r="J700" s="470"/>
    </row>
    <row r="701" spans="1:10" ht="38.25" outlineLevel="2">
      <c r="A701" s="471" t="s">
        <v>1377</v>
      </c>
      <c r="B701" s="472" t="s">
        <v>1378</v>
      </c>
      <c r="C701" s="473"/>
      <c r="D701" s="472"/>
      <c r="E701" s="474">
        <v>257508.51245000001</v>
      </c>
      <c r="F701" s="474">
        <v>251821.57818000001</v>
      </c>
      <c r="G701" s="474">
        <v>135659.31117999999</v>
      </c>
      <c r="H701" s="474">
        <v>135659.31117999999</v>
      </c>
      <c r="I701" s="475">
        <v>52.68</v>
      </c>
      <c r="J701" s="475"/>
    </row>
    <row r="702" spans="1:10" ht="76.5" outlineLevel="3">
      <c r="A702" s="476" t="s">
        <v>702</v>
      </c>
      <c r="B702" s="477" t="s">
        <v>1379</v>
      </c>
      <c r="C702" s="478"/>
      <c r="D702" s="477"/>
      <c r="E702" s="479">
        <v>248071.12245</v>
      </c>
      <c r="F702" s="479">
        <v>242384.18818</v>
      </c>
      <c r="G702" s="479">
        <v>133179.01118</v>
      </c>
      <c r="H702" s="479">
        <v>133179.01118</v>
      </c>
      <c r="I702" s="480">
        <v>53.69</v>
      </c>
      <c r="J702" s="480"/>
    </row>
    <row r="703" spans="1:10" ht="76.5" outlineLevel="4">
      <c r="A703" s="481" t="s">
        <v>702</v>
      </c>
      <c r="B703" s="482" t="s">
        <v>1379</v>
      </c>
      <c r="C703" s="483" t="s">
        <v>896</v>
      </c>
      <c r="D703" s="482" t="s">
        <v>897</v>
      </c>
      <c r="E703" s="484">
        <v>248071.12245</v>
      </c>
      <c r="F703" s="484">
        <v>242384.18818</v>
      </c>
      <c r="G703" s="484">
        <v>133179.01118</v>
      </c>
      <c r="H703" s="484">
        <v>133179.01118</v>
      </c>
      <c r="I703" s="480">
        <v>53.69</v>
      </c>
      <c r="J703" s="480"/>
    </row>
    <row r="704" spans="1:10" ht="38.25" outlineLevel="3">
      <c r="A704" s="476" t="s">
        <v>1380</v>
      </c>
      <c r="B704" s="477" t="s">
        <v>1381</v>
      </c>
      <c r="C704" s="478"/>
      <c r="D704" s="477"/>
      <c r="E704" s="479">
        <v>9437.39</v>
      </c>
      <c r="F704" s="479">
        <v>9437.39</v>
      </c>
      <c r="G704" s="479">
        <v>2480.3000000000002</v>
      </c>
      <c r="H704" s="479">
        <v>2480.3000000000002</v>
      </c>
      <c r="I704" s="480">
        <v>26.28</v>
      </c>
      <c r="J704" s="480"/>
    </row>
    <row r="705" spans="1:10" ht="38.25" outlineLevel="4">
      <c r="A705" s="481" t="s">
        <v>1380</v>
      </c>
      <c r="B705" s="482" t="s">
        <v>1381</v>
      </c>
      <c r="C705" s="483" t="s">
        <v>896</v>
      </c>
      <c r="D705" s="482" t="s">
        <v>897</v>
      </c>
      <c r="E705" s="484">
        <v>9437.39</v>
      </c>
      <c r="F705" s="484">
        <v>9437.39</v>
      </c>
      <c r="G705" s="484">
        <v>2480.3000000000002</v>
      </c>
      <c r="H705" s="484">
        <v>2480.3000000000002</v>
      </c>
      <c r="I705" s="480">
        <v>26.28</v>
      </c>
      <c r="J705" s="480"/>
    </row>
    <row r="706" spans="1:10" ht="63.75" outlineLevel="2">
      <c r="A706" s="471" t="s">
        <v>1382</v>
      </c>
      <c r="B706" s="472" t="s">
        <v>1383</v>
      </c>
      <c r="C706" s="473"/>
      <c r="D706" s="472"/>
      <c r="E706" s="474">
        <v>41771.532899999998</v>
      </c>
      <c r="F706" s="474">
        <v>41771.532899999998</v>
      </c>
      <c r="G706" s="474">
        <v>215.4</v>
      </c>
      <c r="H706" s="474">
        <v>215.4</v>
      </c>
      <c r="I706" s="475">
        <v>0.52</v>
      </c>
      <c r="J706" s="475"/>
    </row>
    <row r="707" spans="1:10" ht="76.5" outlineLevel="3">
      <c r="A707" s="476" t="s">
        <v>702</v>
      </c>
      <c r="B707" s="477" t="s">
        <v>1384</v>
      </c>
      <c r="C707" s="478"/>
      <c r="D707" s="477"/>
      <c r="E707" s="479">
        <v>10215.4</v>
      </c>
      <c r="F707" s="479">
        <v>10215.4</v>
      </c>
      <c r="G707" s="479">
        <v>215.4</v>
      </c>
      <c r="H707" s="479">
        <v>215.4</v>
      </c>
      <c r="I707" s="480">
        <v>2.11</v>
      </c>
      <c r="J707" s="480"/>
    </row>
    <row r="708" spans="1:10" ht="76.5" outlineLevel="4">
      <c r="A708" s="481" t="s">
        <v>702</v>
      </c>
      <c r="B708" s="482" t="s">
        <v>1384</v>
      </c>
      <c r="C708" s="483" t="s">
        <v>896</v>
      </c>
      <c r="D708" s="482" t="s">
        <v>897</v>
      </c>
      <c r="E708" s="484">
        <v>10215.4</v>
      </c>
      <c r="F708" s="484">
        <v>10215.4</v>
      </c>
      <c r="G708" s="484">
        <v>215.4</v>
      </c>
      <c r="H708" s="484">
        <v>215.4</v>
      </c>
      <c r="I708" s="480">
        <v>2.11</v>
      </c>
      <c r="J708" s="480"/>
    </row>
    <row r="709" spans="1:10" ht="25.5" outlineLevel="3">
      <c r="A709" s="476" t="s">
        <v>713</v>
      </c>
      <c r="B709" s="477" t="s">
        <v>1385</v>
      </c>
      <c r="C709" s="478"/>
      <c r="D709" s="477"/>
      <c r="E709" s="479">
        <v>2728.9</v>
      </c>
      <c r="F709" s="479">
        <v>2728.9</v>
      </c>
      <c r="G709" s="479">
        <v>0</v>
      </c>
      <c r="H709" s="479">
        <v>0</v>
      </c>
      <c r="I709" s="480">
        <v>0</v>
      </c>
      <c r="J709" s="480"/>
    </row>
    <row r="710" spans="1:10" ht="25.5" outlineLevel="4">
      <c r="A710" s="481" t="s">
        <v>713</v>
      </c>
      <c r="B710" s="482" t="s">
        <v>1385</v>
      </c>
      <c r="C710" s="483" t="s">
        <v>803</v>
      </c>
      <c r="D710" s="482" t="s">
        <v>804</v>
      </c>
      <c r="E710" s="484">
        <v>2728.9</v>
      </c>
      <c r="F710" s="484">
        <v>2728.9</v>
      </c>
      <c r="G710" s="484">
        <v>0</v>
      </c>
      <c r="H710" s="484">
        <v>0</v>
      </c>
      <c r="I710" s="480">
        <v>0</v>
      </c>
      <c r="J710" s="480"/>
    </row>
    <row r="711" spans="1:10" ht="51" outlineLevel="3">
      <c r="A711" s="476" t="s">
        <v>801</v>
      </c>
      <c r="B711" s="477" t="s">
        <v>1386</v>
      </c>
      <c r="C711" s="478"/>
      <c r="D711" s="477"/>
      <c r="E711" s="479">
        <v>28827.232899999999</v>
      </c>
      <c r="F711" s="479">
        <v>28827.232899999999</v>
      </c>
      <c r="G711" s="479">
        <v>0</v>
      </c>
      <c r="H711" s="479">
        <v>0</v>
      </c>
      <c r="I711" s="480">
        <v>0</v>
      </c>
      <c r="J711" s="480"/>
    </row>
    <row r="712" spans="1:10" ht="51" outlineLevel="4">
      <c r="A712" s="481" t="s">
        <v>801</v>
      </c>
      <c r="B712" s="482" t="s">
        <v>1386</v>
      </c>
      <c r="C712" s="483" t="s">
        <v>803</v>
      </c>
      <c r="D712" s="482" t="s">
        <v>804</v>
      </c>
      <c r="E712" s="484">
        <v>28827.232899999999</v>
      </c>
      <c r="F712" s="484">
        <v>28827.232899999999</v>
      </c>
      <c r="G712" s="484">
        <v>0</v>
      </c>
      <c r="H712" s="484">
        <v>0</v>
      </c>
      <c r="I712" s="480">
        <v>0</v>
      </c>
      <c r="J712" s="480"/>
    </row>
    <row r="713" spans="1:10" ht="38.25" outlineLevel="2">
      <c r="A713" s="471" t="s">
        <v>1387</v>
      </c>
      <c r="B713" s="472" t="s">
        <v>1388</v>
      </c>
      <c r="C713" s="473"/>
      <c r="D713" s="472"/>
      <c r="E713" s="474">
        <v>153417.70861</v>
      </c>
      <c r="F713" s="474">
        <v>140558.56568</v>
      </c>
      <c r="G713" s="474">
        <v>73898.688680000007</v>
      </c>
      <c r="H713" s="474">
        <v>73898.688680000007</v>
      </c>
      <c r="I713" s="475">
        <v>48.17</v>
      </c>
      <c r="J713" s="475"/>
    </row>
    <row r="714" spans="1:10" ht="76.5" outlineLevel="3">
      <c r="A714" s="476" t="s">
        <v>702</v>
      </c>
      <c r="B714" s="477" t="s">
        <v>1389</v>
      </c>
      <c r="C714" s="478"/>
      <c r="D714" s="477"/>
      <c r="E714" s="479">
        <v>134951.41500000001</v>
      </c>
      <c r="F714" s="479">
        <v>132951.41500000001</v>
      </c>
      <c r="G714" s="479">
        <v>67291.538</v>
      </c>
      <c r="H714" s="479">
        <v>67291.538</v>
      </c>
      <c r="I714" s="480">
        <v>49.86</v>
      </c>
      <c r="J714" s="480"/>
    </row>
    <row r="715" spans="1:10" ht="76.5" outlineLevel="4">
      <c r="A715" s="481" t="s">
        <v>702</v>
      </c>
      <c r="B715" s="482" t="s">
        <v>1389</v>
      </c>
      <c r="C715" s="483" t="s">
        <v>896</v>
      </c>
      <c r="D715" s="482" t="s">
        <v>897</v>
      </c>
      <c r="E715" s="484">
        <v>134951.41500000001</v>
      </c>
      <c r="F715" s="484">
        <v>132951.41500000001</v>
      </c>
      <c r="G715" s="484">
        <v>67291.538</v>
      </c>
      <c r="H715" s="484">
        <v>67291.538</v>
      </c>
      <c r="I715" s="480">
        <v>49.86</v>
      </c>
      <c r="J715" s="480"/>
    </row>
    <row r="716" spans="1:10" ht="25.5" outlineLevel="3">
      <c r="A716" s="476" t="s">
        <v>706</v>
      </c>
      <c r="B716" s="477" t="s">
        <v>1390</v>
      </c>
      <c r="C716" s="478"/>
      <c r="D716" s="477"/>
      <c r="E716" s="479">
        <v>18466.293610000001</v>
      </c>
      <c r="F716" s="479">
        <v>7607.1506799999997</v>
      </c>
      <c r="G716" s="479">
        <v>6607.1506799999997</v>
      </c>
      <c r="H716" s="479">
        <v>6607.1506799999997</v>
      </c>
      <c r="I716" s="480">
        <v>35.78</v>
      </c>
      <c r="J716" s="480"/>
    </row>
    <row r="717" spans="1:10" ht="25.5" outlineLevel="4">
      <c r="A717" s="481" t="s">
        <v>706</v>
      </c>
      <c r="B717" s="482" t="s">
        <v>1390</v>
      </c>
      <c r="C717" s="483" t="s">
        <v>896</v>
      </c>
      <c r="D717" s="482" t="s">
        <v>897</v>
      </c>
      <c r="E717" s="484">
        <v>18466.293610000001</v>
      </c>
      <c r="F717" s="484">
        <v>7607.1506799999997</v>
      </c>
      <c r="G717" s="484">
        <v>6607.1506799999997</v>
      </c>
      <c r="H717" s="484">
        <v>6607.1506799999997</v>
      </c>
      <c r="I717" s="480">
        <v>35.78</v>
      </c>
      <c r="J717" s="480"/>
    </row>
    <row r="718" spans="1:10" ht="51" outlineLevel="2">
      <c r="A718" s="471" t="s">
        <v>1391</v>
      </c>
      <c r="B718" s="472" t="s">
        <v>1392</v>
      </c>
      <c r="C718" s="473"/>
      <c r="D718" s="472"/>
      <c r="E718" s="474">
        <v>41314.644840000001</v>
      </c>
      <c r="F718" s="474">
        <v>25131.544839999999</v>
      </c>
      <c r="G718" s="474">
        <v>4177.4454599999999</v>
      </c>
      <c r="H718" s="474">
        <v>4177.4454599999999</v>
      </c>
      <c r="I718" s="475">
        <v>10.11</v>
      </c>
      <c r="J718" s="475"/>
    </row>
    <row r="719" spans="1:10" ht="76.5" outlineLevel="3">
      <c r="A719" s="476" t="s">
        <v>702</v>
      </c>
      <c r="B719" s="477" t="s">
        <v>1393</v>
      </c>
      <c r="C719" s="478"/>
      <c r="D719" s="477"/>
      <c r="E719" s="479">
        <v>5275.71</v>
      </c>
      <c r="F719" s="479">
        <v>5275.71</v>
      </c>
      <c r="G719" s="479">
        <v>160.149</v>
      </c>
      <c r="H719" s="479">
        <v>160.149</v>
      </c>
      <c r="I719" s="480">
        <v>3.04</v>
      </c>
      <c r="J719" s="480"/>
    </row>
    <row r="720" spans="1:10" ht="76.5" outlineLevel="4">
      <c r="A720" s="481" t="s">
        <v>702</v>
      </c>
      <c r="B720" s="482" t="s">
        <v>1393</v>
      </c>
      <c r="C720" s="483" t="s">
        <v>896</v>
      </c>
      <c r="D720" s="482" t="s">
        <v>897</v>
      </c>
      <c r="E720" s="484">
        <v>5275.71</v>
      </c>
      <c r="F720" s="484">
        <v>5275.71</v>
      </c>
      <c r="G720" s="484">
        <v>160.149</v>
      </c>
      <c r="H720" s="484">
        <v>160.149</v>
      </c>
      <c r="I720" s="480">
        <v>3.04</v>
      </c>
      <c r="J720" s="480"/>
    </row>
    <row r="721" spans="1:10" ht="25.5" outlineLevel="3">
      <c r="A721" s="476" t="s">
        <v>713</v>
      </c>
      <c r="B721" s="477" t="s">
        <v>1394</v>
      </c>
      <c r="C721" s="478"/>
      <c r="D721" s="477"/>
      <c r="E721" s="479">
        <v>932.4</v>
      </c>
      <c r="F721" s="479">
        <v>932.4</v>
      </c>
      <c r="G721" s="479">
        <v>895.6</v>
      </c>
      <c r="H721" s="479">
        <v>895.6</v>
      </c>
      <c r="I721" s="480">
        <v>96.05</v>
      </c>
      <c r="J721" s="480"/>
    </row>
    <row r="722" spans="1:10" ht="25.5" outlineLevel="4">
      <c r="A722" s="481" t="s">
        <v>713</v>
      </c>
      <c r="B722" s="482" t="s">
        <v>1394</v>
      </c>
      <c r="C722" s="483" t="s">
        <v>803</v>
      </c>
      <c r="D722" s="482" t="s">
        <v>804</v>
      </c>
      <c r="E722" s="484">
        <v>932.4</v>
      </c>
      <c r="F722" s="484">
        <v>932.4</v>
      </c>
      <c r="G722" s="484">
        <v>895.6</v>
      </c>
      <c r="H722" s="484">
        <v>895.6</v>
      </c>
      <c r="I722" s="480">
        <v>96.05</v>
      </c>
      <c r="J722" s="480"/>
    </row>
    <row r="723" spans="1:10" ht="51" outlineLevel="3">
      <c r="A723" s="476" t="s">
        <v>801</v>
      </c>
      <c r="B723" s="477" t="s">
        <v>1395</v>
      </c>
      <c r="C723" s="478"/>
      <c r="D723" s="477"/>
      <c r="E723" s="479">
        <v>26484.32</v>
      </c>
      <c r="F723" s="479">
        <v>10301.219999999999</v>
      </c>
      <c r="G723" s="479">
        <v>0</v>
      </c>
      <c r="H723" s="479">
        <v>0</v>
      </c>
      <c r="I723" s="480">
        <v>0</v>
      </c>
      <c r="J723" s="480"/>
    </row>
    <row r="724" spans="1:10" ht="51" outlineLevel="4">
      <c r="A724" s="481" t="s">
        <v>801</v>
      </c>
      <c r="B724" s="482" t="s">
        <v>1395</v>
      </c>
      <c r="C724" s="483" t="s">
        <v>803</v>
      </c>
      <c r="D724" s="482" t="s">
        <v>804</v>
      </c>
      <c r="E724" s="484">
        <v>26484.32</v>
      </c>
      <c r="F724" s="484">
        <v>10301.219999999999</v>
      </c>
      <c r="G724" s="484">
        <v>0</v>
      </c>
      <c r="H724" s="484">
        <v>0</v>
      </c>
      <c r="I724" s="480">
        <v>0</v>
      </c>
      <c r="J724" s="480"/>
    </row>
    <row r="725" spans="1:10" ht="51" outlineLevel="3">
      <c r="A725" s="476" t="s">
        <v>1396</v>
      </c>
      <c r="B725" s="477" t="s">
        <v>1397</v>
      </c>
      <c r="C725" s="478"/>
      <c r="D725" s="477"/>
      <c r="E725" s="479">
        <v>8622.2148400000005</v>
      </c>
      <c r="F725" s="479">
        <v>8622.2148400000005</v>
      </c>
      <c r="G725" s="479">
        <v>3121.6964600000001</v>
      </c>
      <c r="H725" s="479">
        <v>3121.6964600000001</v>
      </c>
      <c r="I725" s="480">
        <v>36.21</v>
      </c>
      <c r="J725" s="480"/>
    </row>
    <row r="726" spans="1:10" ht="51" outlineLevel="4">
      <c r="A726" s="481" t="s">
        <v>1396</v>
      </c>
      <c r="B726" s="482" t="s">
        <v>1397</v>
      </c>
      <c r="C726" s="483" t="s">
        <v>803</v>
      </c>
      <c r="D726" s="482" t="s">
        <v>804</v>
      </c>
      <c r="E726" s="484">
        <v>8622.2148400000005</v>
      </c>
      <c r="F726" s="484">
        <v>8622.2148400000005</v>
      </c>
      <c r="G726" s="484">
        <v>3121.6964600000001</v>
      </c>
      <c r="H726" s="484">
        <v>3121.6964600000001</v>
      </c>
      <c r="I726" s="480">
        <v>36.21</v>
      </c>
      <c r="J726" s="480"/>
    </row>
    <row r="727" spans="1:10" ht="25.5" outlineLevel="2">
      <c r="A727" s="471" t="s">
        <v>1398</v>
      </c>
      <c r="B727" s="472" t="s">
        <v>1399</v>
      </c>
      <c r="C727" s="473"/>
      <c r="D727" s="472"/>
      <c r="E727" s="474">
        <v>394756.76</v>
      </c>
      <c r="F727" s="474">
        <v>394692.52369</v>
      </c>
      <c r="G727" s="474">
        <v>91965.907059999998</v>
      </c>
      <c r="H727" s="474">
        <v>40881.252840000001</v>
      </c>
      <c r="I727" s="475">
        <v>10.36</v>
      </c>
      <c r="J727" s="475"/>
    </row>
    <row r="728" spans="1:10" outlineLevel="3">
      <c r="A728" s="476" t="s">
        <v>1400</v>
      </c>
      <c r="B728" s="477" t="s">
        <v>1401</v>
      </c>
      <c r="C728" s="478"/>
      <c r="D728" s="477"/>
      <c r="E728" s="479">
        <v>394756.76</v>
      </c>
      <c r="F728" s="479">
        <v>394692.52369</v>
      </c>
      <c r="G728" s="479">
        <v>91965.907059999998</v>
      </c>
      <c r="H728" s="479">
        <v>40881.252840000001</v>
      </c>
      <c r="I728" s="480">
        <v>10.36</v>
      </c>
      <c r="J728" s="480"/>
    </row>
    <row r="729" spans="1:10" ht="25.5" outlineLevel="4">
      <c r="A729" s="481" t="s">
        <v>1400</v>
      </c>
      <c r="B729" s="482" t="s">
        <v>1401</v>
      </c>
      <c r="C729" s="483" t="s">
        <v>803</v>
      </c>
      <c r="D729" s="482" t="s">
        <v>804</v>
      </c>
      <c r="E729" s="484">
        <v>394756.76</v>
      </c>
      <c r="F729" s="484">
        <v>394692.52369</v>
      </c>
      <c r="G729" s="484">
        <v>91965.907059999998</v>
      </c>
      <c r="H729" s="484">
        <v>40881.252840000001</v>
      </c>
      <c r="I729" s="480">
        <v>10.36</v>
      </c>
      <c r="J729" s="485" t="s">
        <v>10</v>
      </c>
    </row>
    <row r="730" spans="1:10" ht="38.25" outlineLevel="1">
      <c r="A730" s="466" t="s">
        <v>1402</v>
      </c>
      <c r="B730" s="467" t="s">
        <v>1403</v>
      </c>
      <c r="C730" s="468"/>
      <c r="D730" s="467"/>
      <c r="E730" s="469">
        <v>177634.85975</v>
      </c>
      <c r="F730" s="469">
        <v>176650.70675000001</v>
      </c>
      <c r="G730" s="469">
        <v>84802.080499999996</v>
      </c>
      <c r="H730" s="469">
        <v>84547.019480000003</v>
      </c>
      <c r="I730" s="470">
        <v>47.6</v>
      </c>
      <c r="J730" s="470"/>
    </row>
    <row r="731" spans="1:10" ht="51" outlineLevel="2">
      <c r="A731" s="471" t="s">
        <v>1404</v>
      </c>
      <c r="B731" s="472" t="s">
        <v>1405</v>
      </c>
      <c r="C731" s="473"/>
      <c r="D731" s="472"/>
      <c r="E731" s="474">
        <v>53169.120750000002</v>
      </c>
      <c r="F731" s="474">
        <v>52184.967750000003</v>
      </c>
      <c r="G731" s="474">
        <v>24952.0805</v>
      </c>
      <c r="H731" s="474">
        <v>24697.019479999999</v>
      </c>
      <c r="I731" s="475">
        <v>46.45</v>
      </c>
      <c r="J731" s="475"/>
    </row>
    <row r="732" spans="1:10" ht="25.5" outlineLevel="3">
      <c r="A732" s="476" t="s">
        <v>873</v>
      </c>
      <c r="B732" s="477" t="s">
        <v>1406</v>
      </c>
      <c r="C732" s="478"/>
      <c r="D732" s="477"/>
      <c r="E732" s="479">
        <v>38625.333630000001</v>
      </c>
      <c r="F732" s="479">
        <v>38625.333630000001</v>
      </c>
      <c r="G732" s="479">
        <v>18997.90868</v>
      </c>
      <c r="H732" s="479">
        <v>18952.163659999998</v>
      </c>
      <c r="I732" s="480">
        <v>49.07</v>
      </c>
      <c r="J732" s="480"/>
    </row>
    <row r="733" spans="1:10" ht="25.5" outlineLevel="4">
      <c r="A733" s="481" t="s">
        <v>873</v>
      </c>
      <c r="B733" s="482" t="s">
        <v>1406</v>
      </c>
      <c r="C733" s="483" t="s">
        <v>896</v>
      </c>
      <c r="D733" s="482" t="s">
        <v>897</v>
      </c>
      <c r="E733" s="484">
        <v>38625.333630000001</v>
      </c>
      <c r="F733" s="484">
        <v>38625.333630000001</v>
      </c>
      <c r="G733" s="484">
        <v>18997.90868</v>
      </c>
      <c r="H733" s="484">
        <v>18952.163659999998</v>
      </c>
      <c r="I733" s="480">
        <v>49.07</v>
      </c>
      <c r="J733" s="480"/>
    </row>
    <row r="734" spans="1:10" ht="38.25" outlineLevel="3">
      <c r="A734" s="476" t="s">
        <v>854</v>
      </c>
      <c r="B734" s="477" t="s">
        <v>1407</v>
      </c>
      <c r="C734" s="478"/>
      <c r="D734" s="477"/>
      <c r="E734" s="479">
        <v>1985.5121200000001</v>
      </c>
      <c r="F734" s="479">
        <v>1985.5121200000001</v>
      </c>
      <c r="G734" s="479">
        <v>810.03026</v>
      </c>
      <c r="H734" s="479">
        <v>650.71425999999997</v>
      </c>
      <c r="I734" s="480">
        <v>32.770000000000003</v>
      </c>
      <c r="J734" s="480"/>
    </row>
    <row r="735" spans="1:10" ht="38.25" outlineLevel="4">
      <c r="A735" s="481" t="s">
        <v>854</v>
      </c>
      <c r="B735" s="482" t="s">
        <v>1407</v>
      </c>
      <c r="C735" s="483" t="s">
        <v>896</v>
      </c>
      <c r="D735" s="482" t="s">
        <v>897</v>
      </c>
      <c r="E735" s="484">
        <v>1985.5121200000001</v>
      </c>
      <c r="F735" s="484">
        <v>1985.5121200000001</v>
      </c>
      <c r="G735" s="484">
        <v>810.03026</v>
      </c>
      <c r="H735" s="484">
        <v>650.71425999999997</v>
      </c>
      <c r="I735" s="480">
        <v>32.770000000000003</v>
      </c>
      <c r="J735" s="480"/>
    </row>
    <row r="736" spans="1:10" ht="63.75" outlineLevel="3">
      <c r="A736" s="476" t="s">
        <v>62</v>
      </c>
      <c r="B736" s="477" t="s">
        <v>1408</v>
      </c>
      <c r="C736" s="478"/>
      <c r="D736" s="477"/>
      <c r="E736" s="479">
        <v>6825.5749999999998</v>
      </c>
      <c r="F736" s="479">
        <v>5861.4219999999996</v>
      </c>
      <c r="G736" s="479">
        <v>4312.2949799999997</v>
      </c>
      <c r="H736" s="479">
        <v>4312.2949799999997</v>
      </c>
      <c r="I736" s="480">
        <v>63.18</v>
      </c>
      <c r="J736" s="480"/>
    </row>
    <row r="737" spans="1:10" ht="63.75" outlineLevel="4">
      <c r="A737" s="481" t="s">
        <v>62</v>
      </c>
      <c r="B737" s="482" t="s">
        <v>1408</v>
      </c>
      <c r="C737" s="483" t="s">
        <v>896</v>
      </c>
      <c r="D737" s="482" t="s">
        <v>897</v>
      </c>
      <c r="E737" s="484">
        <v>6825.5749999999998</v>
      </c>
      <c r="F737" s="484">
        <v>5861.4219999999996</v>
      </c>
      <c r="G737" s="484">
        <v>4312.2949799999997</v>
      </c>
      <c r="H737" s="484">
        <v>4312.2949799999997</v>
      </c>
      <c r="I737" s="480">
        <v>63.18</v>
      </c>
      <c r="J737" s="480"/>
    </row>
    <row r="738" spans="1:10" ht="25.5" outlineLevel="3">
      <c r="A738" s="476" t="s">
        <v>713</v>
      </c>
      <c r="B738" s="477" t="s">
        <v>1409</v>
      </c>
      <c r="C738" s="478"/>
      <c r="D738" s="477"/>
      <c r="E738" s="479">
        <v>4805</v>
      </c>
      <c r="F738" s="479">
        <v>4805</v>
      </c>
      <c r="G738" s="479">
        <v>390</v>
      </c>
      <c r="H738" s="479">
        <v>390</v>
      </c>
      <c r="I738" s="480">
        <v>8.1199999999999992</v>
      </c>
      <c r="J738" s="480"/>
    </row>
    <row r="739" spans="1:10" ht="25.5" outlineLevel="4">
      <c r="A739" s="481" t="s">
        <v>713</v>
      </c>
      <c r="B739" s="482" t="s">
        <v>1409</v>
      </c>
      <c r="C739" s="483" t="s">
        <v>896</v>
      </c>
      <c r="D739" s="482" t="s">
        <v>897</v>
      </c>
      <c r="E739" s="484">
        <v>4805</v>
      </c>
      <c r="F739" s="484">
        <v>4805</v>
      </c>
      <c r="G739" s="484">
        <v>390</v>
      </c>
      <c r="H739" s="484">
        <v>390</v>
      </c>
      <c r="I739" s="480">
        <v>8.1199999999999992</v>
      </c>
      <c r="J739" s="480"/>
    </row>
    <row r="740" spans="1:10" ht="127.5" outlineLevel="3">
      <c r="A740" s="476" t="s">
        <v>1410</v>
      </c>
      <c r="B740" s="477" t="s">
        <v>1411</v>
      </c>
      <c r="C740" s="478"/>
      <c r="D740" s="477"/>
      <c r="E740" s="479">
        <v>277.7</v>
      </c>
      <c r="F740" s="479">
        <v>277.7</v>
      </c>
      <c r="G740" s="479">
        <v>241.84657999999999</v>
      </c>
      <c r="H740" s="479">
        <v>241.84657999999999</v>
      </c>
      <c r="I740" s="480">
        <v>87.09</v>
      </c>
      <c r="J740" s="480"/>
    </row>
    <row r="741" spans="1:10" ht="127.5" outlineLevel="4">
      <c r="A741" s="481" t="s">
        <v>1410</v>
      </c>
      <c r="B741" s="482" t="s">
        <v>1411</v>
      </c>
      <c r="C741" s="483" t="s">
        <v>896</v>
      </c>
      <c r="D741" s="482" t="s">
        <v>897</v>
      </c>
      <c r="E741" s="484">
        <v>277.7</v>
      </c>
      <c r="F741" s="484">
        <v>277.7</v>
      </c>
      <c r="G741" s="484">
        <v>241.84657999999999</v>
      </c>
      <c r="H741" s="484">
        <v>241.84657999999999</v>
      </c>
      <c r="I741" s="480">
        <v>87.09</v>
      </c>
      <c r="J741" s="485" t="s">
        <v>10</v>
      </c>
    </row>
    <row r="742" spans="1:10" ht="25.5" outlineLevel="3">
      <c r="A742" s="476" t="s">
        <v>706</v>
      </c>
      <c r="B742" s="477" t="s">
        <v>1412</v>
      </c>
      <c r="C742" s="478"/>
      <c r="D742" s="477"/>
      <c r="E742" s="479">
        <v>450</v>
      </c>
      <c r="F742" s="479">
        <v>430</v>
      </c>
      <c r="G742" s="479">
        <v>0</v>
      </c>
      <c r="H742" s="479">
        <v>0</v>
      </c>
      <c r="I742" s="480">
        <v>0</v>
      </c>
      <c r="J742" s="480"/>
    </row>
    <row r="743" spans="1:10" ht="25.5" outlineLevel="4">
      <c r="A743" s="481" t="s">
        <v>706</v>
      </c>
      <c r="B743" s="482" t="s">
        <v>1412</v>
      </c>
      <c r="C743" s="483" t="s">
        <v>896</v>
      </c>
      <c r="D743" s="482" t="s">
        <v>897</v>
      </c>
      <c r="E743" s="484">
        <v>450</v>
      </c>
      <c r="F743" s="484">
        <v>430</v>
      </c>
      <c r="G743" s="484">
        <v>0</v>
      </c>
      <c r="H743" s="484">
        <v>0</v>
      </c>
      <c r="I743" s="480">
        <v>0</v>
      </c>
      <c r="J743" s="480"/>
    </row>
    <row r="744" spans="1:10" outlineLevel="3">
      <c r="A744" s="476" t="s">
        <v>1413</v>
      </c>
      <c r="B744" s="477" t="s">
        <v>1414</v>
      </c>
      <c r="C744" s="478"/>
      <c r="D744" s="477"/>
      <c r="E744" s="479">
        <v>200</v>
      </c>
      <c r="F744" s="479">
        <v>200</v>
      </c>
      <c r="G744" s="479">
        <v>200</v>
      </c>
      <c r="H744" s="479">
        <v>150</v>
      </c>
      <c r="I744" s="480">
        <v>75</v>
      </c>
      <c r="J744" s="480"/>
    </row>
    <row r="745" spans="1:10" ht="25.5" outlineLevel="4">
      <c r="A745" s="481" t="s">
        <v>1413</v>
      </c>
      <c r="B745" s="482" t="s">
        <v>1414</v>
      </c>
      <c r="C745" s="483" t="s">
        <v>896</v>
      </c>
      <c r="D745" s="482" t="s">
        <v>897</v>
      </c>
      <c r="E745" s="484">
        <v>200</v>
      </c>
      <c r="F745" s="484">
        <v>200</v>
      </c>
      <c r="G745" s="484">
        <v>200</v>
      </c>
      <c r="H745" s="484">
        <v>150</v>
      </c>
      <c r="I745" s="480">
        <v>75</v>
      </c>
      <c r="J745" s="480"/>
    </row>
    <row r="746" spans="1:10" ht="76.5" outlineLevel="2">
      <c r="A746" s="471" t="s">
        <v>1415</v>
      </c>
      <c r="B746" s="472" t="s">
        <v>1416</v>
      </c>
      <c r="C746" s="473"/>
      <c r="D746" s="472"/>
      <c r="E746" s="474">
        <v>124465.739</v>
      </c>
      <c r="F746" s="474">
        <v>124465.739</v>
      </c>
      <c r="G746" s="474">
        <v>59850</v>
      </c>
      <c r="H746" s="474">
        <v>59850</v>
      </c>
      <c r="I746" s="475">
        <v>48.09</v>
      </c>
      <c r="J746" s="475"/>
    </row>
    <row r="747" spans="1:10" ht="76.5" outlineLevel="3">
      <c r="A747" s="476" t="s">
        <v>702</v>
      </c>
      <c r="B747" s="477" t="s">
        <v>1417</v>
      </c>
      <c r="C747" s="478"/>
      <c r="D747" s="477"/>
      <c r="E747" s="479">
        <v>124465.739</v>
      </c>
      <c r="F747" s="479">
        <v>124465.739</v>
      </c>
      <c r="G747" s="479">
        <v>59850</v>
      </c>
      <c r="H747" s="479">
        <v>59850</v>
      </c>
      <c r="I747" s="480">
        <v>48.09</v>
      </c>
      <c r="J747" s="480"/>
    </row>
    <row r="748" spans="1:10" ht="76.5" outlineLevel="4">
      <c r="A748" s="481" t="s">
        <v>702</v>
      </c>
      <c r="B748" s="482" t="s">
        <v>1417</v>
      </c>
      <c r="C748" s="483" t="s">
        <v>896</v>
      </c>
      <c r="D748" s="482" t="s">
        <v>897</v>
      </c>
      <c r="E748" s="484">
        <v>124465.739</v>
      </c>
      <c r="F748" s="484">
        <v>124465.739</v>
      </c>
      <c r="G748" s="484">
        <v>59850</v>
      </c>
      <c r="H748" s="484">
        <v>59850</v>
      </c>
      <c r="I748" s="480">
        <v>48.09</v>
      </c>
      <c r="J748" s="480"/>
    </row>
    <row r="749" spans="1:10" ht="51" outlineLevel="1">
      <c r="A749" s="466" t="s">
        <v>1418</v>
      </c>
      <c r="B749" s="467" t="s">
        <v>1419</v>
      </c>
      <c r="C749" s="468"/>
      <c r="D749" s="467"/>
      <c r="E749" s="469">
        <v>424487.00099999999</v>
      </c>
      <c r="F749" s="469">
        <v>221267.86481999999</v>
      </c>
      <c r="G749" s="469">
        <v>33306.061079999999</v>
      </c>
      <c r="H749" s="469">
        <v>24288.952450000001</v>
      </c>
      <c r="I749" s="470">
        <v>5.72</v>
      </c>
      <c r="J749" s="470"/>
    </row>
    <row r="750" spans="1:10" ht="76.5" outlineLevel="2">
      <c r="A750" s="471" t="s">
        <v>1420</v>
      </c>
      <c r="B750" s="472" t="s">
        <v>1421</v>
      </c>
      <c r="C750" s="473"/>
      <c r="D750" s="472"/>
      <c r="E750" s="474">
        <v>394196.85100000002</v>
      </c>
      <c r="F750" s="474">
        <v>190977.71481999999</v>
      </c>
      <c r="G750" s="474">
        <v>12072.061079999999</v>
      </c>
      <c r="H750" s="474">
        <v>3054.9524500000002</v>
      </c>
      <c r="I750" s="475">
        <v>0.77</v>
      </c>
      <c r="J750" s="475"/>
    </row>
    <row r="751" spans="1:10" ht="51" outlineLevel="3">
      <c r="A751" s="476" t="s">
        <v>1338</v>
      </c>
      <c r="B751" s="477" t="s">
        <v>1422</v>
      </c>
      <c r="C751" s="478"/>
      <c r="D751" s="477"/>
      <c r="E751" s="479">
        <v>34376.500999999997</v>
      </c>
      <c r="F751" s="479">
        <v>34376.500999999997</v>
      </c>
      <c r="G751" s="479">
        <v>0</v>
      </c>
      <c r="H751" s="479">
        <v>0</v>
      </c>
      <c r="I751" s="480">
        <v>0</v>
      </c>
      <c r="J751" s="480"/>
    </row>
    <row r="752" spans="1:10" ht="51" outlineLevel="4">
      <c r="A752" s="481" t="s">
        <v>1338</v>
      </c>
      <c r="B752" s="482" t="s">
        <v>1422</v>
      </c>
      <c r="C752" s="483" t="s">
        <v>803</v>
      </c>
      <c r="D752" s="482" t="s">
        <v>804</v>
      </c>
      <c r="E752" s="484">
        <v>34376.500999999997</v>
      </c>
      <c r="F752" s="484">
        <v>34376.500999999997</v>
      </c>
      <c r="G752" s="484">
        <v>0</v>
      </c>
      <c r="H752" s="484">
        <v>0</v>
      </c>
      <c r="I752" s="480">
        <v>0</v>
      </c>
      <c r="J752" s="480"/>
    </row>
    <row r="753" spans="1:10" ht="51" outlineLevel="3">
      <c r="A753" s="476" t="s">
        <v>1396</v>
      </c>
      <c r="B753" s="477" t="s">
        <v>1423</v>
      </c>
      <c r="C753" s="478"/>
      <c r="D753" s="477"/>
      <c r="E753" s="479">
        <v>116439.53</v>
      </c>
      <c r="F753" s="479">
        <v>116439.53</v>
      </c>
      <c r="G753" s="479">
        <v>3983.14</v>
      </c>
      <c r="H753" s="479">
        <v>1029.55816</v>
      </c>
      <c r="I753" s="480">
        <v>0.88</v>
      </c>
      <c r="J753" s="480"/>
    </row>
    <row r="754" spans="1:10" ht="51" outlineLevel="4">
      <c r="A754" s="481" t="s">
        <v>1396</v>
      </c>
      <c r="B754" s="482" t="s">
        <v>1423</v>
      </c>
      <c r="C754" s="483" t="s">
        <v>896</v>
      </c>
      <c r="D754" s="482" t="s">
        <v>897</v>
      </c>
      <c r="E754" s="484">
        <v>116439.53</v>
      </c>
      <c r="F754" s="484">
        <v>116439.53</v>
      </c>
      <c r="G754" s="484">
        <v>3983.14</v>
      </c>
      <c r="H754" s="484">
        <v>1029.55816</v>
      </c>
      <c r="I754" s="480">
        <v>0.88</v>
      </c>
      <c r="J754" s="480"/>
    </row>
    <row r="755" spans="1:10" ht="38.25" outlineLevel="3">
      <c r="A755" s="476" t="s">
        <v>1424</v>
      </c>
      <c r="B755" s="477" t="s">
        <v>1425</v>
      </c>
      <c r="C755" s="478"/>
      <c r="D755" s="477"/>
      <c r="E755" s="479">
        <v>30870.783820000001</v>
      </c>
      <c r="F755" s="479">
        <v>30870.783820000001</v>
      </c>
      <c r="G755" s="479">
        <v>6063.5267899999999</v>
      </c>
      <c r="H755" s="479">
        <v>0</v>
      </c>
      <c r="I755" s="480">
        <v>0</v>
      </c>
      <c r="J755" s="480"/>
    </row>
    <row r="756" spans="1:10" ht="38.25" outlineLevel="4">
      <c r="A756" s="481" t="s">
        <v>1424</v>
      </c>
      <c r="B756" s="482" t="s">
        <v>1425</v>
      </c>
      <c r="C756" s="483" t="s">
        <v>803</v>
      </c>
      <c r="D756" s="482" t="s">
        <v>804</v>
      </c>
      <c r="E756" s="484">
        <v>30870.783820000001</v>
      </c>
      <c r="F756" s="484">
        <v>30870.783820000001</v>
      </c>
      <c r="G756" s="484">
        <v>6063.5267899999999</v>
      </c>
      <c r="H756" s="484">
        <v>0</v>
      </c>
      <c r="I756" s="480">
        <v>0</v>
      </c>
      <c r="J756" s="480"/>
    </row>
    <row r="757" spans="1:10" ht="38.25" outlineLevel="3">
      <c r="A757" s="476" t="s">
        <v>982</v>
      </c>
      <c r="B757" s="477" t="s">
        <v>1426</v>
      </c>
      <c r="C757" s="478"/>
      <c r="D757" s="477"/>
      <c r="E757" s="479">
        <v>124024</v>
      </c>
      <c r="F757" s="479">
        <v>5224</v>
      </c>
      <c r="G757" s="479">
        <v>0</v>
      </c>
      <c r="H757" s="479">
        <v>0</v>
      </c>
      <c r="I757" s="480">
        <v>0</v>
      </c>
      <c r="J757" s="480"/>
    </row>
    <row r="758" spans="1:10" ht="38.25" outlineLevel="4">
      <c r="A758" s="481" t="s">
        <v>982</v>
      </c>
      <c r="B758" s="482" t="s">
        <v>1426</v>
      </c>
      <c r="C758" s="483" t="s">
        <v>803</v>
      </c>
      <c r="D758" s="482" t="s">
        <v>804</v>
      </c>
      <c r="E758" s="484">
        <v>124024</v>
      </c>
      <c r="F758" s="484">
        <v>5224</v>
      </c>
      <c r="G758" s="484">
        <v>0</v>
      </c>
      <c r="H758" s="484">
        <v>0</v>
      </c>
      <c r="I758" s="480">
        <v>0</v>
      </c>
      <c r="J758" s="480"/>
    </row>
    <row r="759" spans="1:10" ht="76.5" outlineLevel="3">
      <c r="A759" s="476" t="s">
        <v>1427</v>
      </c>
      <c r="B759" s="477" t="s">
        <v>1428</v>
      </c>
      <c r="C759" s="478"/>
      <c r="D759" s="477"/>
      <c r="E759" s="479">
        <v>84419.136180000001</v>
      </c>
      <c r="F759" s="479">
        <v>0</v>
      </c>
      <c r="G759" s="479">
        <v>0</v>
      </c>
      <c r="H759" s="479">
        <v>0</v>
      </c>
      <c r="I759" s="480">
        <v>0</v>
      </c>
      <c r="J759" s="480"/>
    </row>
    <row r="760" spans="1:10" ht="76.5" outlineLevel="4">
      <c r="A760" s="481" t="s">
        <v>1427</v>
      </c>
      <c r="B760" s="482" t="s">
        <v>1428</v>
      </c>
      <c r="C760" s="483" t="s">
        <v>803</v>
      </c>
      <c r="D760" s="482" t="s">
        <v>804</v>
      </c>
      <c r="E760" s="484">
        <v>84419.136180000001</v>
      </c>
      <c r="F760" s="484">
        <v>0</v>
      </c>
      <c r="G760" s="484">
        <v>0</v>
      </c>
      <c r="H760" s="484">
        <v>0</v>
      </c>
      <c r="I760" s="480">
        <v>0</v>
      </c>
      <c r="J760" s="480"/>
    </row>
    <row r="761" spans="1:10" ht="38.25" outlineLevel="3">
      <c r="A761" s="476" t="s">
        <v>1429</v>
      </c>
      <c r="B761" s="477" t="s">
        <v>1430</v>
      </c>
      <c r="C761" s="478"/>
      <c r="D761" s="477"/>
      <c r="E761" s="479">
        <v>4066.9</v>
      </c>
      <c r="F761" s="479">
        <v>4066.9</v>
      </c>
      <c r="G761" s="479">
        <v>2025.39429</v>
      </c>
      <c r="H761" s="479">
        <v>2025.39429</v>
      </c>
      <c r="I761" s="480">
        <v>49.8</v>
      </c>
      <c r="J761" s="480"/>
    </row>
    <row r="762" spans="1:10" ht="38.25" outlineLevel="4">
      <c r="A762" s="481" t="s">
        <v>1429</v>
      </c>
      <c r="B762" s="482" t="s">
        <v>1430</v>
      </c>
      <c r="C762" s="483" t="s">
        <v>896</v>
      </c>
      <c r="D762" s="482" t="s">
        <v>897</v>
      </c>
      <c r="E762" s="484">
        <v>4066.9</v>
      </c>
      <c r="F762" s="484">
        <v>4066.9</v>
      </c>
      <c r="G762" s="484">
        <v>2025.39429</v>
      </c>
      <c r="H762" s="484">
        <v>2025.39429</v>
      </c>
      <c r="I762" s="480">
        <v>49.8</v>
      </c>
      <c r="J762" s="480"/>
    </row>
    <row r="763" spans="1:10" ht="51" outlineLevel="2">
      <c r="A763" s="471" t="s">
        <v>1431</v>
      </c>
      <c r="B763" s="472" t="s">
        <v>1432</v>
      </c>
      <c r="C763" s="473"/>
      <c r="D763" s="472"/>
      <c r="E763" s="474">
        <v>2590.15</v>
      </c>
      <c r="F763" s="474">
        <v>2590.15</v>
      </c>
      <c r="G763" s="474">
        <v>0</v>
      </c>
      <c r="H763" s="474">
        <v>0</v>
      </c>
      <c r="I763" s="475">
        <v>0</v>
      </c>
      <c r="J763" s="475"/>
    </row>
    <row r="764" spans="1:10" ht="38.25" outlineLevel="3">
      <c r="A764" s="476" t="s">
        <v>1433</v>
      </c>
      <c r="B764" s="477" t="s">
        <v>1434</v>
      </c>
      <c r="C764" s="478"/>
      <c r="D764" s="477"/>
      <c r="E764" s="479">
        <v>2590.15</v>
      </c>
      <c r="F764" s="479">
        <v>2590.15</v>
      </c>
      <c r="G764" s="479">
        <v>0</v>
      </c>
      <c r="H764" s="479">
        <v>0</v>
      </c>
      <c r="I764" s="480">
        <v>0</v>
      </c>
      <c r="J764" s="480"/>
    </row>
    <row r="765" spans="1:10" ht="38.25" outlineLevel="4">
      <c r="A765" s="481" t="s">
        <v>1433</v>
      </c>
      <c r="B765" s="482" t="s">
        <v>1434</v>
      </c>
      <c r="C765" s="483" t="s">
        <v>896</v>
      </c>
      <c r="D765" s="482" t="s">
        <v>897</v>
      </c>
      <c r="E765" s="484">
        <v>2590.15</v>
      </c>
      <c r="F765" s="484">
        <v>2590.15</v>
      </c>
      <c r="G765" s="484">
        <v>0</v>
      </c>
      <c r="H765" s="484">
        <v>0</v>
      </c>
      <c r="I765" s="480">
        <v>0</v>
      </c>
      <c r="J765" s="480"/>
    </row>
    <row r="766" spans="1:10" ht="25.5" outlineLevel="2">
      <c r="A766" s="471" t="s">
        <v>1398</v>
      </c>
      <c r="B766" s="472" t="s">
        <v>1435</v>
      </c>
      <c r="C766" s="473"/>
      <c r="D766" s="472"/>
      <c r="E766" s="474">
        <v>20000</v>
      </c>
      <c r="F766" s="474">
        <v>20000</v>
      </c>
      <c r="G766" s="474">
        <v>14234</v>
      </c>
      <c r="H766" s="474">
        <v>14234</v>
      </c>
      <c r="I766" s="475">
        <v>71.17</v>
      </c>
      <c r="J766" s="475"/>
    </row>
    <row r="767" spans="1:10" ht="25.5" outlineLevel="3">
      <c r="A767" s="476" t="s">
        <v>1436</v>
      </c>
      <c r="B767" s="477" t="s">
        <v>1437</v>
      </c>
      <c r="C767" s="478"/>
      <c r="D767" s="477"/>
      <c r="E767" s="479">
        <v>20000</v>
      </c>
      <c r="F767" s="479">
        <v>20000</v>
      </c>
      <c r="G767" s="479">
        <v>14234</v>
      </c>
      <c r="H767" s="479">
        <v>14234</v>
      </c>
      <c r="I767" s="480">
        <v>71.17</v>
      </c>
      <c r="J767" s="480"/>
    </row>
    <row r="768" spans="1:10" ht="25.5" outlineLevel="4">
      <c r="A768" s="481" t="s">
        <v>1436</v>
      </c>
      <c r="B768" s="482" t="s">
        <v>1437</v>
      </c>
      <c r="C768" s="483" t="s">
        <v>896</v>
      </c>
      <c r="D768" s="482" t="s">
        <v>897</v>
      </c>
      <c r="E768" s="484">
        <v>20000</v>
      </c>
      <c r="F768" s="484">
        <v>20000</v>
      </c>
      <c r="G768" s="484">
        <v>14234</v>
      </c>
      <c r="H768" s="484">
        <v>14234</v>
      </c>
      <c r="I768" s="480">
        <v>71.17</v>
      </c>
      <c r="J768" s="485" t="s">
        <v>10</v>
      </c>
    </row>
    <row r="769" spans="1:10" ht="25.5" outlineLevel="2">
      <c r="A769" s="471" t="s">
        <v>1438</v>
      </c>
      <c r="B769" s="472" t="s">
        <v>1439</v>
      </c>
      <c r="C769" s="473"/>
      <c r="D769" s="472"/>
      <c r="E769" s="474">
        <v>7700</v>
      </c>
      <c r="F769" s="474">
        <v>7700</v>
      </c>
      <c r="G769" s="474">
        <v>7000</v>
      </c>
      <c r="H769" s="474">
        <v>7000</v>
      </c>
      <c r="I769" s="475">
        <v>90.91</v>
      </c>
      <c r="J769" s="475"/>
    </row>
    <row r="770" spans="1:10" outlineLevel="3">
      <c r="A770" s="476" t="s">
        <v>1440</v>
      </c>
      <c r="B770" s="477" t="s">
        <v>1441</v>
      </c>
      <c r="C770" s="478"/>
      <c r="D770" s="477"/>
      <c r="E770" s="479">
        <v>7700</v>
      </c>
      <c r="F770" s="479">
        <v>7700</v>
      </c>
      <c r="G770" s="479">
        <v>7000</v>
      </c>
      <c r="H770" s="479">
        <v>7000</v>
      </c>
      <c r="I770" s="480">
        <v>90.91</v>
      </c>
      <c r="J770" s="480"/>
    </row>
    <row r="771" spans="1:10" ht="25.5" outlineLevel="4">
      <c r="A771" s="481" t="s">
        <v>1440</v>
      </c>
      <c r="B771" s="482" t="s">
        <v>1441</v>
      </c>
      <c r="C771" s="483" t="s">
        <v>896</v>
      </c>
      <c r="D771" s="482" t="s">
        <v>897</v>
      </c>
      <c r="E771" s="484">
        <v>7700</v>
      </c>
      <c r="F771" s="484">
        <v>7700</v>
      </c>
      <c r="G771" s="484">
        <v>7000</v>
      </c>
      <c r="H771" s="484">
        <v>7000</v>
      </c>
      <c r="I771" s="480">
        <v>90.91</v>
      </c>
      <c r="J771" s="485" t="s">
        <v>10</v>
      </c>
    </row>
    <row r="772" spans="1:10" ht="45.75" collapsed="1" thickBot="1">
      <c r="A772" s="461" t="s">
        <v>1442</v>
      </c>
      <c r="B772" s="462" t="s">
        <v>1443</v>
      </c>
      <c r="C772" s="463"/>
      <c r="D772" s="462"/>
      <c r="E772" s="464">
        <v>1358752.1001500001</v>
      </c>
      <c r="F772" s="464">
        <v>1358752.1001500001</v>
      </c>
      <c r="G772" s="464">
        <v>683393.68732999999</v>
      </c>
      <c r="H772" s="464">
        <v>511471.04291999998</v>
      </c>
      <c r="I772" s="465">
        <v>37.64</v>
      </c>
      <c r="J772" s="465"/>
    </row>
    <row r="773" spans="1:10" ht="25.5" outlineLevel="1">
      <c r="A773" s="466" t="s">
        <v>1444</v>
      </c>
      <c r="B773" s="467" t="s">
        <v>1445</v>
      </c>
      <c r="C773" s="468"/>
      <c r="D773" s="467"/>
      <c r="E773" s="469">
        <v>1310123.5016399999</v>
      </c>
      <c r="F773" s="469">
        <v>1310123.5016399999</v>
      </c>
      <c r="G773" s="469">
        <v>660524.09828999999</v>
      </c>
      <c r="H773" s="469">
        <v>492426.57577</v>
      </c>
      <c r="I773" s="470">
        <v>37.590000000000003</v>
      </c>
      <c r="J773" s="470"/>
    </row>
    <row r="774" spans="1:10" ht="38.25" outlineLevel="2">
      <c r="A774" s="471" t="s">
        <v>1446</v>
      </c>
      <c r="B774" s="472" t="s">
        <v>1447</v>
      </c>
      <c r="C774" s="473"/>
      <c r="D774" s="472"/>
      <c r="E774" s="474">
        <v>1296740.30164</v>
      </c>
      <c r="F774" s="474">
        <v>1296740.30164</v>
      </c>
      <c r="G774" s="474">
        <v>655183.45620000002</v>
      </c>
      <c r="H774" s="474">
        <v>487085.93368000002</v>
      </c>
      <c r="I774" s="475">
        <v>37.56</v>
      </c>
      <c r="J774" s="475"/>
    </row>
    <row r="775" spans="1:10" ht="76.5" outlineLevel="3">
      <c r="A775" s="476" t="s">
        <v>702</v>
      </c>
      <c r="B775" s="477" t="s">
        <v>1448</v>
      </c>
      <c r="C775" s="478"/>
      <c r="D775" s="477"/>
      <c r="E775" s="479">
        <v>339675.79564000003</v>
      </c>
      <c r="F775" s="479">
        <v>339675.79564000003</v>
      </c>
      <c r="G775" s="479">
        <v>189820.03894</v>
      </c>
      <c r="H775" s="479">
        <v>164131.42478</v>
      </c>
      <c r="I775" s="480">
        <v>48.32</v>
      </c>
      <c r="J775" s="480"/>
    </row>
    <row r="776" spans="1:10" ht="76.5" outlineLevel="4">
      <c r="A776" s="481" t="s">
        <v>702</v>
      </c>
      <c r="B776" s="482" t="s">
        <v>1448</v>
      </c>
      <c r="C776" s="483" t="s">
        <v>1043</v>
      </c>
      <c r="D776" s="482" t="s">
        <v>1044</v>
      </c>
      <c r="E776" s="484">
        <v>339675.79564000003</v>
      </c>
      <c r="F776" s="484">
        <v>339675.79564000003</v>
      </c>
      <c r="G776" s="484">
        <v>189820.03894</v>
      </c>
      <c r="H776" s="484">
        <v>164131.42478</v>
      </c>
      <c r="I776" s="480">
        <v>48.32</v>
      </c>
      <c r="J776" s="480"/>
    </row>
    <row r="777" spans="1:10" ht="63.75" outlineLevel="3">
      <c r="A777" s="476" t="s">
        <v>62</v>
      </c>
      <c r="B777" s="477" t="s">
        <v>1449</v>
      </c>
      <c r="C777" s="478"/>
      <c r="D777" s="477"/>
      <c r="E777" s="479">
        <v>4756.4059999999999</v>
      </c>
      <c r="F777" s="479">
        <v>4756.4059999999999</v>
      </c>
      <c r="G777" s="479">
        <v>797.92642000000001</v>
      </c>
      <c r="H777" s="479">
        <v>762.92642000000001</v>
      </c>
      <c r="I777" s="480">
        <v>16.04</v>
      </c>
      <c r="J777" s="480"/>
    </row>
    <row r="778" spans="1:10" ht="63.75" outlineLevel="4">
      <c r="A778" s="481" t="s">
        <v>62</v>
      </c>
      <c r="B778" s="482" t="s">
        <v>1449</v>
      </c>
      <c r="C778" s="483" t="s">
        <v>1043</v>
      </c>
      <c r="D778" s="482" t="s">
        <v>1044</v>
      </c>
      <c r="E778" s="484">
        <v>4756.4059999999999</v>
      </c>
      <c r="F778" s="484">
        <v>4756.4059999999999</v>
      </c>
      <c r="G778" s="484">
        <v>797.92642000000001</v>
      </c>
      <c r="H778" s="484">
        <v>762.92642000000001</v>
      </c>
      <c r="I778" s="480">
        <v>16.04</v>
      </c>
      <c r="J778" s="480"/>
    </row>
    <row r="779" spans="1:10" ht="63.75" outlineLevel="3">
      <c r="A779" s="476" t="s">
        <v>1450</v>
      </c>
      <c r="B779" s="477" t="s">
        <v>1451</v>
      </c>
      <c r="C779" s="478"/>
      <c r="D779" s="477"/>
      <c r="E779" s="479">
        <v>495021.9</v>
      </c>
      <c r="F779" s="479">
        <v>495021.9</v>
      </c>
      <c r="G779" s="479">
        <v>462045.49083999998</v>
      </c>
      <c r="H779" s="479">
        <v>320631.58247999998</v>
      </c>
      <c r="I779" s="480">
        <v>64.77</v>
      </c>
      <c r="J779" s="480"/>
    </row>
    <row r="780" spans="1:10" ht="63.75" outlineLevel="4">
      <c r="A780" s="481" t="s">
        <v>1450</v>
      </c>
      <c r="B780" s="482" t="s">
        <v>1451</v>
      </c>
      <c r="C780" s="483" t="s">
        <v>1043</v>
      </c>
      <c r="D780" s="482" t="s">
        <v>1044</v>
      </c>
      <c r="E780" s="484">
        <v>495021.9</v>
      </c>
      <c r="F780" s="484">
        <v>495021.9</v>
      </c>
      <c r="G780" s="484">
        <v>462045.49083999998</v>
      </c>
      <c r="H780" s="484">
        <v>320631.58247999998</v>
      </c>
      <c r="I780" s="480">
        <v>64.77</v>
      </c>
      <c r="J780" s="485" t="s">
        <v>10</v>
      </c>
    </row>
    <row r="781" spans="1:10" ht="89.25" outlineLevel="3">
      <c r="A781" s="476" t="s">
        <v>1452</v>
      </c>
      <c r="B781" s="477" t="s">
        <v>1453</v>
      </c>
      <c r="C781" s="478"/>
      <c r="D781" s="477"/>
      <c r="E781" s="479">
        <v>454286.2</v>
      </c>
      <c r="F781" s="479">
        <v>454286.2</v>
      </c>
      <c r="G781" s="479">
        <v>0</v>
      </c>
      <c r="H781" s="479">
        <v>0</v>
      </c>
      <c r="I781" s="480">
        <v>0</v>
      </c>
      <c r="J781" s="480"/>
    </row>
    <row r="782" spans="1:10" ht="89.25" outlineLevel="4">
      <c r="A782" s="481" t="s">
        <v>1452</v>
      </c>
      <c r="B782" s="482" t="s">
        <v>1453</v>
      </c>
      <c r="C782" s="483" t="s">
        <v>1043</v>
      </c>
      <c r="D782" s="482" t="s">
        <v>1044</v>
      </c>
      <c r="E782" s="484">
        <v>454286.2</v>
      </c>
      <c r="F782" s="484">
        <v>454286.2</v>
      </c>
      <c r="G782" s="484">
        <v>0</v>
      </c>
      <c r="H782" s="484">
        <v>0</v>
      </c>
      <c r="I782" s="480">
        <v>0</v>
      </c>
      <c r="J782" s="485" t="s">
        <v>10</v>
      </c>
    </row>
    <row r="783" spans="1:10" ht="25.5" outlineLevel="3">
      <c r="A783" s="476" t="s">
        <v>706</v>
      </c>
      <c r="B783" s="477" t="s">
        <v>1454</v>
      </c>
      <c r="C783" s="478"/>
      <c r="D783" s="477"/>
      <c r="E783" s="479">
        <v>3000</v>
      </c>
      <c r="F783" s="479">
        <v>3000</v>
      </c>
      <c r="G783" s="479">
        <v>2520</v>
      </c>
      <c r="H783" s="479">
        <v>1560</v>
      </c>
      <c r="I783" s="480">
        <v>52</v>
      </c>
      <c r="J783" s="480"/>
    </row>
    <row r="784" spans="1:10" ht="25.5" outlineLevel="4">
      <c r="A784" s="481" t="s">
        <v>706</v>
      </c>
      <c r="B784" s="482" t="s">
        <v>1454</v>
      </c>
      <c r="C784" s="483" t="s">
        <v>1043</v>
      </c>
      <c r="D784" s="482" t="s">
        <v>1044</v>
      </c>
      <c r="E784" s="484">
        <v>3000</v>
      </c>
      <c r="F784" s="484">
        <v>3000</v>
      </c>
      <c r="G784" s="484">
        <v>2520</v>
      </c>
      <c r="H784" s="484">
        <v>1560</v>
      </c>
      <c r="I784" s="480">
        <v>52</v>
      </c>
      <c r="J784" s="480"/>
    </row>
    <row r="785" spans="1:10" ht="51" outlineLevel="2">
      <c r="A785" s="471" t="s">
        <v>1455</v>
      </c>
      <c r="B785" s="472" t="s">
        <v>1456</v>
      </c>
      <c r="C785" s="473"/>
      <c r="D785" s="472"/>
      <c r="E785" s="474">
        <v>13383.2</v>
      </c>
      <c r="F785" s="474">
        <v>13383.2</v>
      </c>
      <c r="G785" s="474">
        <v>5340.6420900000003</v>
      </c>
      <c r="H785" s="474">
        <v>5340.6420900000003</v>
      </c>
      <c r="I785" s="475">
        <v>39.909999999999997</v>
      </c>
      <c r="J785" s="475"/>
    </row>
    <row r="786" spans="1:10" ht="38.25" outlineLevel="3">
      <c r="A786" s="476" t="s">
        <v>1457</v>
      </c>
      <c r="B786" s="477" t="s">
        <v>1458</v>
      </c>
      <c r="C786" s="478"/>
      <c r="D786" s="477"/>
      <c r="E786" s="479">
        <v>13383.2</v>
      </c>
      <c r="F786" s="479">
        <v>13383.2</v>
      </c>
      <c r="G786" s="479">
        <v>5340.6420900000003</v>
      </c>
      <c r="H786" s="479">
        <v>5340.6420900000003</v>
      </c>
      <c r="I786" s="480">
        <v>39.909999999999997</v>
      </c>
      <c r="J786" s="480"/>
    </row>
    <row r="787" spans="1:10" ht="38.25" outlineLevel="4">
      <c r="A787" s="481" t="s">
        <v>1457</v>
      </c>
      <c r="B787" s="482" t="s">
        <v>1458</v>
      </c>
      <c r="C787" s="483" t="s">
        <v>1043</v>
      </c>
      <c r="D787" s="482" t="s">
        <v>1044</v>
      </c>
      <c r="E787" s="484">
        <v>13383.2</v>
      </c>
      <c r="F787" s="484">
        <v>13383.2</v>
      </c>
      <c r="G787" s="484">
        <v>5340.6420900000003</v>
      </c>
      <c r="H787" s="484">
        <v>5340.6420900000003</v>
      </c>
      <c r="I787" s="480">
        <v>39.909999999999997</v>
      </c>
      <c r="J787" s="485" t="s">
        <v>10</v>
      </c>
    </row>
    <row r="788" spans="1:10" ht="63.75" outlineLevel="1">
      <c r="A788" s="466" t="s">
        <v>1459</v>
      </c>
      <c r="B788" s="467" t="s">
        <v>1460</v>
      </c>
      <c r="C788" s="468"/>
      <c r="D788" s="467"/>
      <c r="E788" s="469">
        <v>2707.3726299999998</v>
      </c>
      <c r="F788" s="469">
        <v>2707.3726299999998</v>
      </c>
      <c r="G788" s="469">
        <v>889.63235999999995</v>
      </c>
      <c r="H788" s="469">
        <v>677.86756000000003</v>
      </c>
      <c r="I788" s="470">
        <v>25.04</v>
      </c>
      <c r="J788" s="470"/>
    </row>
    <row r="789" spans="1:10" ht="51" outlineLevel="2">
      <c r="A789" s="471" t="s">
        <v>1461</v>
      </c>
      <c r="B789" s="472" t="s">
        <v>1462</v>
      </c>
      <c r="C789" s="473"/>
      <c r="D789" s="472"/>
      <c r="E789" s="474">
        <v>2707.3726299999998</v>
      </c>
      <c r="F789" s="474">
        <v>2707.3726299999998</v>
      </c>
      <c r="G789" s="474">
        <v>889.63235999999995</v>
      </c>
      <c r="H789" s="474">
        <v>677.86756000000003</v>
      </c>
      <c r="I789" s="475">
        <v>25.04</v>
      </c>
      <c r="J789" s="475"/>
    </row>
    <row r="790" spans="1:10" ht="76.5" outlineLevel="3">
      <c r="A790" s="476" t="s">
        <v>702</v>
      </c>
      <c r="B790" s="477" t="s">
        <v>1463</v>
      </c>
      <c r="C790" s="478"/>
      <c r="D790" s="477"/>
      <c r="E790" s="479">
        <v>1107.3726300000001</v>
      </c>
      <c r="F790" s="479">
        <v>1107.3726300000001</v>
      </c>
      <c r="G790" s="479">
        <v>177.86735999999999</v>
      </c>
      <c r="H790" s="479">
        <v>177.86735999999999</v>
      </c>
      <c r="I790" s="480">
        <v>16.059999999999999</v>
      </c>
      <c r="J790" s="480"/>
    </row>
    <row r="791" spans="1:10" ht="76.5" outlineLevel="4">
      <c r="A791" s="481" t="s">
        <v>702</v>
      </c>
      <c r="B791" s="482" t="s">
        <v>1463</v>
      </c>
      <c r="C791" s="483" t="s">
        <v>704</v>
      </c>
      <c r="D791" s="482" t="s">
        <v>705</v>
      </c>
      <c r="E791" s="484">
        <v>1107.3726300000001</v>
      </c>
      <c r="F791" s="484">
        <v>1107.3726300000001</v>
      </c>
      <c r="G791" s="484">
        <v>177.86735999999999</v>
      </c>
      <c r="H791" s="484">
        <v>177.86735999999999</v>
      </c>
      <c r="I791" s="480">
        <v>16.059999999999999</v>
      </c>
      <c r="J791" s="480"/>
    </row>
    <row r="792" spans="1:10" ht="63.75" outlineLevel="3">
      <c r="A792" s="476" t="s">
        <v>1464</v>
      </c>
      <c r="B792" s="477" t="s">
        <v>1465</v>
      </c>
      <c r="C792" s="478"/>
      <c r="D792" s="477"/>
      <c r="E792" s="479">
        <v>1600</v>
      </c>
      <c r="F792" s="479">
        <v>1600</v>
      </c>
      <c r="G792" s="479">
        <v>711.76499999999999</v>
      </c>
      <c r="H792" s="479">
        <v>500.00020000000001</v>
      </c>
      <c r="I792" s="480">
        <v>31.25</v>
      </c>
      <c r="J792" s="480"/>
    </row>
    <row r="793" spans="1:10" ht="63.75" outlineLevel="4">
      <c r="A793" s="481" t="s">
        <v>1464</v>
      </c>
      <c r="B793" s="482" t="s">
        <v>1465</v>
      </c>
      <c r="C793" s="483" t="s">
        <v>1043</v>
      </c>
      <c r="D793" s="482" t="s">
        <v>1044</v>
      </c>
      <c r="E793" s="484">
        <v>1600</v>
      </c>
      <c r="F793" s="484">
        <v>1600</v>
      </c>
      <c r="G793" s="484">
        <v>711.76499999999999</v>
      </c>
      <c r="H793" s="484">
        <v>500.00020000000001</v>
      </c>
      <c r="I793" s="480">
        <v>31.25</v>
      </c>
      <c r="J793" s="480"/>
    </row>
    <row r="794" spans="1:10" ht="38.25" outlineLevel="1">
      <c r="A794" s="466" t="s">
        <v>1466</v>
      </c>
      <c r="B794" s="467" t="s">
        <v>1467</v>
      </c>
      <c r="C794" s="468"/>
      <c r="D794" s="467"/>
      <c r="E794" s="469">
        <v>35872.262360000001</v>
      </c>
      <c r="F794" s="469">
        <v>35872.262360000001</v>
      </c>
      <c r="G794" s="469">
        <v>17545.732179999999</v>
      </c>
      <c r="H794" s="469">
        <v>13932.37509</v>
      </c>
      <c r="I794" s="470">
        <v>38.840000000000003</v>
      </c>
      <c r="J794" s="470"/>
    </row>
    <row r="795" spans="1:10" ht="63.75" outlineLevel="2">
      <c r="A795" s="471" t="s">
        <v>1468</v>
      </c>
      <c r="B795" s="472" t="s">
        <v>1469</v>
      </c>
      <c r="C795" s="473"/>
      <c r="D795" s="472"/>
      <c r="E795" s="474">
        <v>35872.262360000001</v>
      </c>
      <c r="F795" s="474">
        <v>35872.262360000001</v>
      </c>
      <c r="G795" s="474">
        <v>17545.732179999999</v>
      </c>
      <c r="H795" s="474">
        <v>13932.37509</v>
      </c>
      <c r="I795" s="475">
        <v>38.840000000000003</v>
      </c>
      <c r="J795" s="475"/>
    </row>
    <row r="796" spans="1:10" ht="25.5" outlineLevel="3">
      <c r="A796" s="476" t="s">
        <v>873</v>
      </c>
      <c r="B796" s="477" t="s">
        <v>1470</v>
      </c>
      <c r="C796" s="478"/>
      <c r="D796" s="477"/>
      <c r="E796" s="479">
        <v>29856.421480000001</v>
      </c>
      <c r="F796" s="479">
        <v>29856.421480000001</v>
      </c>
      <c r="G796" s="479">
        <v>16996.267970000001</v>
      </c>
      <c r="H796" s="479">
        <v>13382.910879999999</v>
      </c>
      <c r="I796" s="480">
        <v>44.82</v>
      </c>
      <c r="J796" s="480"/>
    </row>
    <row r="797" spans="1:10" ht="25.5" outlineLevel="4">
      <c r="A797" s="481" t="s">
        <v>873</v>
      </c>
      <c r="B797" s="482" t="s">
        <v>1470</v>
      </c>
      <c r="C797" s="483" t="s">
        <v>1043</v>
      </c>
      <c r="D797" s="482" t="s">
        <v>1044</v>
      </c>
      <c r="E797" s="484">
        <v>29856.421480000001</v>
      </c>
      <c r="F797" s="484">
        <v>29856.421480000001</v>
      </c>
      <c r="G797" s="484">
        <v>16996.267970000001</v>
      </c>
      <c r="H797" s="484">
        <v>13382.910879999999</v>
      </c>
      <c r="I797" s="480">
        <v>44.82</v>
      </c>
      <c r="J797" s="480"/>
    </row>
    <row r="798" spans="1:10" ht="38.25" outlineLevel="3">
      <c r="A798" s="476" t="s">
        <v>854</v>
      </c>
      <c r="B798" s="477" t="s">
        <v>1471</v>
      </c>
      <c r="C798" s="478"/>
      <c r="D798" s="477"/>
      <c r="E798" s="479">
        <v>956.69500000000005</v>
      </c>
      <c r="F798" s="479">
        <v>956.69500000000005</v>
      </c>
      <c r="G798" s="479">
        <v>28.375</v>
      </c>
      <c r="H798" s="479">
        <v>28.375</v>
      </c>
      <c r="I798" s="480">
        <v>2.97</v>
      </c>
      <c r="J798" s="480"/>
    </row>
    <row r="799" spans="1:10" ht="38.25" outlineLevel="4">
      <c r="A799" s="481" t="s">
        <v>854</v>
      </c>
      <c r="B799" s="482" t="s">
        <v>1471</v>
      </c>
      <c r="C799" s="483" t="s">
        <v>1043</v>
      </c>
      <c r="D799" s="482" t="s">
        <v>1044</v>
      </c>
      <c r="E799" s="484">
        <v>956.69500000000005</v>
      </c>
      <c r="F799" s="484">
        <v>956.69500000000005</v>
      </c>
      <c r="G799" s="484">
        <v>28.375</v>
      </c>
      <c r="H799" s="484">
        <v>28.375</v>
      </c>
      <c r="I799" s="480">
        <v>2.97</v>
      </c>
      <c r="J799" s="480"/>
    </row>
    <row r="800" spans="1:10" ht="63.75" outlineLevel="3">
      <c r="A800" s="476" t="s">
        <v>62</v>
      </c>
      <c r="B800" s="477" t="s">
        <v>1472</v>
      </c>
      <c r="C800" s="478"/>
      <c r="D800" s="477"/>
      <c r="E800" s="479">
        <v>19.145879999999998</v>
      </c>
      <c r="F800" s="479">
        <v>19.145879999999998</v>
      </c>
      <c r="G800" s="479">
        <v>19.145879999999998</v>
      </c>
      <c r="H800" s="479">
        <v>19.145879999999998</v>
      </c>
      <c r="I800" s="480">
        <v>100</v>
      </c>
      <c r="J800" s="480"/>
    </row>
    <row r="801" spans="1:10" ht="63.75" outlineLevel="4">
      <c r="A801" s="481" t="s">
        <v>62</v>
      </c>
      <c r="B801" s="482" t="s">
        <v>1472</v>
      </c>
      <c r="C801" s="483" t="s">
        <v>1043</v>
      </c>
      <c r="D801" s="482" t="s">
        <v>1044</v>
      </c>
      <c r="E801" s="484">
        <v>19.145879999999998</v>
      </c>
      <c r="F801" s="484">
        <v>19.145879999999998</v>
      </c>
      <c r="G801" s="484">
        <v>19.145879999999998</v>
      </c>
      <c r="H801" s="484">
        <v>19.145879999999998</v>
      </c>
      <c r="I801" s="480">
        <v>100</v>
      </c>
      <c r="J801" s="480"/>
    </row>
    <row r="802" spans="1:10" ht="76.5" outlineLevel="3">
      <c r="A802" s="476" t="s">
        <v>1027</v>
      </c>
      <c r="B802" s="477" t="s">
        <v>1473</v>
      </c>
      <c r="C802" s="478"/>
      <c r="D802" s="477"/>
      <c r="E802" s="479">
        <v>40</v>
      </c>
      <c r="F802" s="479">
        <v>40</v>
      </c>
      <c r="G802" s="479">
        <v>0</v>
      </c>
      <c r="H802" s="479">
        <v>0</v>
      </c>
      <c r="I802" s="480">
        <v>0</v>
      </c>
      <c r="J802" s="480"/>
    </row>
    <row r="803" spans="1:10" ht="76.5" outlineLevel="4">
      <c r="A803" s="481" t="s">
        <v>1027</v>
      </c>
      <c r="B803" s="482" t="s">
        <v>1473</v>
      </c>
      <c r="C803" s="483" t="s">
        <v>1043</v>
      </c>
      <c r="D803" s="482" t="s">
        <v>1044</v>
      </c>
      <c r="E803" s="484">
        <v>40</v>
      </c>
      <c r="F803" s="484">
        <v>40</v>
      </c>
      <c r="G803" s="484">
        <v>0</v>
      </c>
      <c r="H803" s="484">
        <v>0</v>
      </c>
      <c r="I803" s="480">
        <v>0</v>
      </c>
      <c r="J803" s="480"/>
    </row>
    <row r="804" spans="1:10" ht="63.75" outlineLevel="3">
      <c r="A804" s="476" t="s">
        <v>1450</v>
      </c>
      <c r="B804" s="477" t="s">
        <v>1474</v>
      </c>
      <c r="C804" s="478"/>
      <c r="D804" s="477"/>
      <c r="E804" s="479">
        <v>5000</v>
      </c>
      <c r="F804" s="479">
        <v>5000</v>
      </c>
      <c r="G804" s="479">
        <v>501.94333</v>
      </c>
      <c r="H804" s="479">
        <v>501.94333</v>
      </c>
      <c r="I804" s="480">
        <v>10.039999999999999</v>
      </c>
      <c r="J804" s="480"/>
    </row>
    <row r="805" spans="1:10" ht="63.75" outlineLevel="4">
      <c r="A805" s="481" t="s">
        <v>1450</v>
      </c>
      <c r="B805" s="482" t="s">
        <v>1474</v>
      </c>
      <c r="C805" s="483" t="s">
        <v>1043</v>
      </c>
      <c r="D805" s="482" t="s">
        <v>1044</v>
      </c>
      <c r="E805" s="484">
        <v>5000</v>
      </c>
      <c r="F805" s="484">
        <v>5000</v>
      </c>
      <c r="G805" s="484">
        <v>501.94333</v>
      </c>
      <c r="H805" s="484">
        <v>501.94333</v>
      </c>
      <c r="I805" s="480">
        <v>10.039999999999999</v>
      </c>
      <c r="J805" s="485" t="s">
        <v>10</v>
      </c>
    </row>
    <row r="806" spans="1:10" ht="25.5" outlineLevel="1">
      <c r="A806" s="466" t="s">
        <v>1475</v>
      </c>
      <c r="B806" s="467" t="s">
        <v>1476</v>
      </c>
      <c r="C806" s="468"/>
      <c r="D806" s="467"/>
      <c r="E806" s="469">
        <v>165</v>
      </c>
      <c r="F806" s="469">
        <v>165</v>
      </c>
      <c r="G806" s="469">
        <v>25.64</v>
      </c>
      <c r="H806" s="469">
        <v>25.64</v>
      </c>
      <c r="I806" s="470">
        <v>15.54</v>
      </c>
      <c r="J806" s="470"/>
    </row>
    <row r="807" spans="1:10" ht="89.25" outlineLevel="2">
      <c r="A807" s="471" t="s">
        <v>1477</v>
      </c>
      <c r="B807" s="472" t="s">
        <v>1478</v>
      </c>
      <c r="C807" s="473"/>
      <c r="D807" s="472"/>
      <c r="E807" s="474">
        <v>21</v>
      </c>
      <c r="F807" s="474">
        <v>21</v>
      </c>
      <c r="G807" s="474">
        <v>0</v>
      </c>
      <c r="H807" s="474">
        <v>0</v>
      </c>
      <c r="I807" s="475">
        <v>0</v>
      </c>
      <c r="J807" s="475"/>
    </row>
    <row r="808" spans="1:10" ht="76.5" outlineLevel="3">
      <c r="A808" s="476" t="s">
        <v>1027</v>
      </c>
      <c r="B808" s="477" t="s">
        <v>1479</v>
      </c>
      <c r="C808" s="478"/>
      <c r="D808" s="477"/>
      <c r="E808" s="479">
        <v>21</v>
      </c>
      <c r="F808" s="479">
        <v>21</v>
      </c>
      <c r="G808" s="479">
        <v>0</v>
      </c>
      <c r="H808" s="479">
        <v>0</v>
      </c>
      <c r="I808" s="480">
        <v>0</v>
      </c>
      <c r="J808" s="480"/>
    </row>
    <row r="809" spans="1:10" ht="76.5" outlineLevel="4">
      <c r="A809" s="481" t="s">
        <v>1027</v>
      </c>
      <c r="B809" s="482" t="s">
        <v>1479</v>
      </c>
      <c r="C809" s="483" t="s">
        <v>1043</v>
      </c>
      <c r="D809" s="482" t="s">
        <v>1044</v>
      </c>
      <c r="E809" s="484">
        <v>21</v>
      </c>
      <c r="F809" s="484">
        <v>21</v>
      </c>
      <c r="G809" s="484">
        <v>0</v>
      </c>
      <c r="H809" s="484">
        <v>0</v>
      </c>
      <c r="I809" s="480">
        <v>0</v>
      </c>
      <c r="J809" s="480"/>
    </row>
    <row r="810" spans="1:10" ht="51" outlineLevel="2">
      <c r="A810" s="471" t="s">
        <v>1480</v>
      </c>
      <c r="B810" s="472" t="s">
        <v>1481</v>
      </c>
      <c r="C810" s="473"/>
      <c r="D810" s="472"/>
      <c r="E810" s="474">
        <v>144</v>
      </c>
      <c r="F810" s="474">
        <v>144</v>
      </c>
      <c r="G810" s="474">
        <v>25.64</v>
      </c>
      <c r="H810" s="474">
        <v>25.64</v>
      </c>
      <c r="I810" s="475">
        <v>17.809999999999999</v>
      </c>
      <c r="J810" s="475"/>
    </row>
    <row r="811" spans="1:10" ht="25.5" outlineLevel="3">
      <c r="A811" s="476" t="s">
        <v>1482</v>
      </c>
      <c r="B811" s="477" t="s">
        <v>1483</v>
      </c>
      <c r="C811" s="478"/>
      <c r="D811" s="477"/>
      <c r="E811" s="479">
        <v>144</v>
      </c>
      <c r="F811" s="479">
        <v>144</v>
      </c>
      <c r="G811" s="479">
        <v>25.64</v>
      </c>
      <c r="H811" s="479">
        <v>25.64</v>
      </c>
      <c r="I811" s="480">
        <v>17.809999999999999</v>
      </c>
      <c r="J811" s="480"/>
    </row>
    <row r="812" spans="1:10" ht="25.5" outlineLevel="4">
      <c r="A812" s="481" t="s">
        <v>1482</v>
      </c>
      <c r="B812" s="482" t="s">
        <v>1483</v>
      </c>
      <c r="C812" s="483" t="s">
        <v>1043</v>
      </c>
      <c r="D812" s="482" t="s">
        <v>1044</v>
      </c>
      <c r="E812" s="484">
        <v>144</v>
      </c>
      <c r="F812" s="484">
        <v>144</v>
      </c>
      <c r="G812" s="484">
        <v>25.64</v>
      </c>
      <c r="H812" s="484">
        <v>25.64</v>
      </c>
      <c r="I812" s="480">
        <v>17.809999999999999</v>
      </c>
      <c r="J812" s="480"/>
    </row>
    <row r="813" spans="1:10" ht="63.75" outlineLevel="1">
      <c r="A813" s="466" t="s">
        <v>1484</v>
      </c>
      <c r="B813" s="467" t="s">
        <v>1485</v>
      </c>
      <c r="C813" s="468"/>
      <c r="D813" s="467"/>
      <c r="E813" s="469">
        <v>9883.9635199999993</v>
      </c>
      <c r="F813" s="469">
        <v>9883.9635199999993</v>
      </c>
      <c r="G813" s="469">
        <v>4408.5844999999999</v>
      </c>
      <c r="H813" s="469">
        <v>4408.5844999999999</v>
      </c>
      <c r="I813" s="470">
        <v>44.6</v>
      </c>
      <c r="J813" s="470"/>
    </row>
    <row r="814" spans="1:10" ht="25.5" outlineLevel="2">
      <c r="A814" s="471" t="s">
        <v>1233</v>
      </c>
      <c r="B814" s="472" t="s">
        <v>1486</v>
      </c>
      <c r="C814" s="473"/>
      <c r="D814" s="472"/>
      <c r="E814" s="474">
        <v>9883.9635199999993</v>
      </c>
      <c r="F814" s="474">
        <v>9883.9635199999993</v>
      </c>
      <c r="G814" s="474">
        <v>4408.5844999999999</v>
      </c>
      <c r="H814" s="474">
        <v>4408.5844999999999</v>
      </c>
      <c r="I814" s="475">
        <v>44.6</v>
      </c>
      <c r="J814" s="475"/>
    </row>
    <row r="815" spans="1:10" ht="38.25" outlineLevel="3">
      <c r="A815" s="476" t="s">
        <v>1487</v>
      </c>
      <c r="B815" s="477" t="s">
        <v>1488</v>
      </c>
      <c r="C815" s="478"/>
      <c r="D815" s="477"/>
      <c r="E815" s="479">
        <v>9883.9635199999993</v>
      </c>
      <c r="F815" s="479">
        <v>9883.9635199999993</v>
      </c>
      <c r="G815" s="479">
        <v>4408.5844999999999</v>
      </c>
      <c r="H815" s="479">
        <v>4408.5844999999999</v>
      </c>
      <c r="I815" s="480">
        <v>44.6</v>
      </c>
      <c r="J815" s="480"/>
    </row>
    <row r="816" spans="1:10" ht="38.25" outlineLevel="4">
      <c r="A816" s="481" t="s">
        <v>1487</v>
      </c>
      <c r="B816" s="482" t="s">
        <v>1488</v>
      </c>
      <c r="C816" s="483" t="s">
        <v>1043</v>
      </c>
      <c r="D816" s="482" t="s">
        <v>1044</v>
      </c>
      <c r="E816" s="484">
        <v>9883.9635199999993</v>
      </c>
      <c r="F816" s="484">
        <v>9883.9635199999993</v>
      </c>
      <c r="G816" s="484">
        <v>4408.5844999999999</v>
      </c>
      <c r="H816" s="484">
        <v>4408.5844999999999</v>
      </c>
      <c r="I816" s="480">
        <v>44.6</v>
      </c>
      <c r="J816" s="485" t="s">
        <v>10</v>
      </c>
    </row>
    <row r="817" spans="1:10" ht="45.75" collapsed="1" thickBot="1">
      <c r="A817" s="461" t="s">
        <v>1489</v>
      </c>
      <c r="B817" s="462" t="s">
        <v>1490</v>
      </c>
      <c r="C817" s="463"/>
      <c r="D817" s="462"/>
      <c r="E817" s="464">
        <v>6023340.8241499998</v>
      </c>
      <c r="F817" s="464">
        <v>4466740.94441</v>
      </c>
      <c r="G817" s="464">
        <v>2493551.4554499998</v>
      </c>
      <c r="H817" s="464">
        <v>2349292.1631399998</v>
      </c>
      <c r="I817" s="465">
        <v>39</v>
      </c>
      <c r="J817" s="465"/>
    </row>
    <row r="818" spans="1:10" ht="51" outlineLevel="1">
      <c r="A818" s="466" t="s">
        <v>1491</v>
      </c>
      <c r="B818" s="467" t="s">
        <v>1492</v>
      </c>
      <c r="C818" s="468"/>
      <c r="D818" s="467"/>
      <c r="E818" s="469">
        <v>2107975.7223100001</v>
      </c>
      <c r="F818" s="469">
        <v>1525060.8083200001</v>
      </c>
      <c r="G818" s="469">
        <v>385847.71591999999</v>
      </c>
      <c r="H818" s="469">
        <v>270143.44177999999</v>
      </c>
      <c r="I818" s="470">
        <v>12.82</v>
      </c>
      <c r="J818" s="470"/>
    </row>
    <row r="819" spans="1:10" ht="51" outlineLevel="2">
      <c r="A819" s="471" t="s">
        <v>1493</v>
      </c>
      <c r="B819" s="472" t="s">
        <v>1494</v>
      </c>
      <c r="C819" s="473"/>
      <c r="D819" s="472"/>
      <c r="E819" s="474">
        <v>4965.7</v>
      </c>
      <c r="F819" s="474">
        <v>4965.7</v>
      </c>
      <c r="G819" s="474">
        <v>0</v>
      </c>
      <c r="H819" s="474">
        <v>0</v>
      </c>
      <c r="I819" s="475">
        <v>0</v>
      </c>
      <c r="J819" s="475"/>
    </row>
    <row r="820" spans="1:10" ht="76.5" outlineLevel="3">
      <c r="A820" s="476" t="s">
        <v>1495</v>
      </c>
      <c r="B820" s="477" t="s">
        <v>1496</v>
      </c>
      <c r="C820" s="478"/>
      <c r="D820" s="477"/>
      <c r="E820" s="479">
        <v>2965.7</v>
      </c>
      <c r="F820" s="479">
        <v>2965.7</v>
      </c>
      <c r="G820" s="479">
        <v>0</v>
      </c>
      <c r="H820" s="479">
        <v>0</v>
      </c>
      <c r="I820" s="480">
        <v>0</v>
      </c>
      <c r="J820" s="480"/>
    </row>
    <row r="821" spans="1:10" ht="76.5" outlineLevel="4">
      <c r="A821" s="481" t="s">
        <v>1495</v>
      </c>
      <c r="B821" s="482" t="s">
        <v>1496</v>
      </c>
      <c r="C821" s="483" t="s">
        <v>803</v>
      </c>
      <c r="D821" s="482" t="s">
        <v>804</v>
      </c>
      <c r="E821" s="484">
        <v>2965.7</v>
      </c>
      <c r="F821" s="484">
        <v>2965.7</v>
      </c>
      <c r="G821" s="484">
        <v>0</v>
      </c>
      <c r="H821" s="484">
        <v>0</v>
      </c>
      <c r="I821" s="480">
        <v>0</v>
      </c>
      <c r="J821" s="480"/>
    </row>
    <row r="822" spans="1:10" ht="63.75" outlineLevel="3">
      <c r="A822" s="476" t="s">
        <v>1497</v>
      </c>
      <c r="B822" s="477" t="s">
        <v>1498</v>
      </c>
      <c r="C822" s="478"/>
      <c r="D822" s="477"/>
      <c r="E822" s="479">
        <v>2000</v>
      </c>
      <c r="F822" s="479">
        <v>2000</v>
      </c>
      <c r="G822" s="479">
        <v>0</v>
      </c>
      <c r="H822" s="479">
        <v>0</v>
      </c>
      <c r="I822" s="480">
        <v>0</v>
      </c>
      <c r="J822" s="480"/>
    </row>
    <row r="823" spans="1:10" ht="63.75" outlineLevel="4">
      <c r="A823" s="481" t="s">
        <v>1497</v>
      </c>
      <c r="B823" s="482" t="s">
        <v>1498</v>
      </c>
      <c r="C823" s="483" t="s">
        <v>803</v>
      </c>
      <c r="D823" s="482" t="s">
        <v>804</v>
      </c>
      <c r="E823" s="484">
        <v>2000</v>
      </c>
      <c r="F823" s="484">
        <v>2000</v>
      </c>
      <c r="G823" s="484">
        <v>0</v>
      </c>
      <c r="H823" s="484">
        <v>0</v>
      </c>
      <c r="I823" s="480">
        <v>0</v>
      </c>
      <c r="J823" s="480"/>
    </row>
    <row r="824" spans="1:10" ht="25.5" outlineLevel="2">
      <c r="A824" s="471" t="s">
        <v>1499</v>
      </c>
      <c r="B824" s="472" t="s">
        <v>1500</v>
      </c>
      <c r="C824" s="473"/>
      <c r="D824" s="472"/>
      <c r="E824" s="474">
        <v>93985.02</v>
      </c>
      <c r="F824" s="474">
        <v>53007.7</v>
      </c>
      <c r="G824" s="474">
        <v>0</v>
      </c>
      <c r="H824" s="474">
        <v>0</v>
      </c>
      <c r="I824" s="475">
        <v>0</v>
      </c>
      <c r="J824" s="475"/>
    </row>
    <row r="825" spans="1:10" ht="25.5" outlineLevel="3">
      <c r="A825" s="476" t="s">
        <v>713</v>
      </c>
      <c r="B825" s="477" t="s">
        <v>1501</v>
      </c>
      <c r="C825" s="478"/>
      <c r="D825" s="477"/>
      <c r="E825" s="479">
        <v>10000</v>
      </c>
      <c r="F825" s="479">
        <v>10000</v>
      </c>
      <c r="G825" s="479">
        <v>0</v>
      </c>
      <c r="H825" s="479">
        <v>0</v>
      </c>
      <c r="I825" s="480">
        <v>0</v>
      </c>
      <c r="J825" s="480"/>
    </row>
    <row r="826" spans="1:10" ht="25.5" outlineLevel="4">
      <c r="A826" s="481" t="s">
        <v>713</v>
      </c>
      <c r="B826" s="482" t="s">
        <v>1501</v>
      </c>
      <c r="C826" s="483" t="s">
        <v>1502</v>
      </c>
      <c r="D826" s="482" t="s">
        <v>1503</v>
      </c>
      <c r="E826" s="484">
        <v>10000</v>
      </c>
      <c r="F826" s="484">
        <v>10000</v>
      </c>
      <c r="G826" s="484">
        <v>0</v>
      </c>
      <c r="H826" s="484">
        <v>0</v>
      </c>
      <c r="I826" s="480">
        <v>0</v>
      </c>
      <c r="J826" s="480"/>
    </row>
    <row r="827" spans="1:10" ht="51" outlineLevel="3">
      <c r="A827" s="476" t="s">
        <v>801</v>
      </c>
      <c r="B827" s="477" t="s">
        <v>1504</v>
      </c>
      <c r="C827" s="478"/>
      <c r="D827" s="477"/>
      <c r="E827" s="479">
        <v>43007.7</v>
      </c>
      <c r="F827" s="479">
        <v>43007.7</v>
      </c>
      <c r="G827" s="479">
        <v>0</v>
      </c>
      <c r="H827" s="479">
        <v>0</v>
      </c>
      <c r="I827" s="480">
        <v>0</v>
      </c>
      <c r="J827" s="480"/>
    </row>
    <row r="828" spans="1:10" ht="51" outlineLevel="4">
      <c r="A828" s="481" t="s">
        <v>801</v>
      </c>
      <c r="B828" s="482" t="s">
        <v>1504</v>
      </c>
      <c r="C828" s="483" t="s">
        <v>803</v>
      </c>
      <c r="D828" s="482" t="s">
        <v>804</v>
      </c>
      <c r="E828" s="484">
        <v>43007.7</v>
      </c>
      <c r="F828" s="484">
        <v>43007.7</v>
      </c>
      <c r="G828" s="484">
        <v>0</v>
      </c>
      <c r="H828" s="484">
        <v>0</v>
      </c>
      <c r="I828" s="480">
        <v>0</v>
      </c>
      <c r="J828" s="480"/>
    </row>
    <row r="829" spans="1:10" ht="38.25" outlineLevel="3">
      <c r="A829" s="476" t="s">
        <v>1505</v>
      </c>
      <c r="B829" s="477" t="s">
        <v>1506</v>
      </c>
      <c r="C829" s="478"/>
      <c r="D829" s="477"/>
      <c r="E829" s="479">
        <v>40977.32</v>
      </c>
      <c r="F829" s="479">
        <v>0</v>
      </c>
      <c r="G829" s="479">
        <v>0</v>
      </c>
      <c r="H829" s="479">
        <v>0</v>
      </c>
      <c r="I829" s="480">
        <v>0</v>
      </c>
      <c r="J829" s="480"/>
    </row>
    <row r="830" spans="1:10" ht="38.25" outlineLevel="4">
      <c r="A830" s="481" t="s">
        <v>1505</v>
      </c>
      <c r="B830" s="482" t="s">
        <v>1506</v>
      </c>
      <c r="C830" s="483" t="s">
        <v>803</v>
      </c>
      <c r="D830" s="482" t="s">
        <v>804</v>
      </c>
      <c r="E830" s="484">
        <v>40977.32</v>
      </c>
      <c r="F830" s="484">
        <v>0</v>
      </c>
      <c r="G830" s="484">
        <v>0</v>
      </c>
      <c r="H830" s="484">
        <v>0</v>
      </c>
      <c r="I830" s="480">
        <v>0</v>
      </c>
      <c r="J830" s="480"/>
    </row>
    <row r="831" spans="1:10" ht="76.5" outlineLevel="2">
      <c r="A831" s="471" t="s">
        <v>1507</v>
      </c>
      <c r="B831" s="472" t="s">
        <v>1508</v>
      </c>
      <c r="C831" s="473"/>
      <c r="D831" s="472"/>
      <c r="E831" s="474">
        <v>2420.1</v>
      </c>
      <c r="F831" s="474">
        <v>2420.1</v>
      </c>
      <c r="G831" s="474">
        <v>1200</v>
      </c>
      <c r="H831" s="474">
        <v>1200</v>
      </c>
      <c r="I831" s="475">
        <v>49.58</v>
      </c>
      <c r="J831" s="475"/>
    </row>
    <row r="832" spans="1:10" ht="25.5" outlineLevel="3">
      <c r="A832" s="476" t="s">
        <v>713</v>
      </c>
      <c r="B832" s="477" t="s">
        <v>1509</v>
      </c>
      <c r="C832" s="478"/>
      <c r="D832" s="477"/>
      <c r="E832" s="479">
        <v>2420.1</v>
      </c>
      <c r="F832" s="479">
        <v>2420.1</v>
      </c>
      <c r="G832" s="479">
        <v>1200</v>
      </c>
      <c r="H832" s="479">
        <v>1200</v>
      </c>
      <c r="I832" s="480">
        <v>49.58</v>
      </c>
      <c r="J832" s="480"/>
    </row>
    <row r="833" spans="1:10" ht="25.5" outlineLevel="4">
      <c r="A833" s="481" t="s">
        <v>713</v>
      </c>
      <c r="B833" s="482" t="s">
        <v>1509</v>
      </c>
      <c r="C833" s="483" t="s">
        <v>803</v>
      </c>
      <c r="D833" s="482" t="s">
        <v>804</v>
      </c>
      <c r="E833" s="484">
        <v>2420.1</v>
      </c>
      <c r="F833" s="484">
        <v>2420.1</v>
      </c>
      <c r="G833" s="484">
        <v>1200</v>
      </c>
      <c r="H833" s="484">
        <v>1200</v>
      </c>
      <c r="I833" s="480">
        <v>49.58</v>
      </c>
      <c r="J833" s="480"/>
    </row>
    <row r="834" spans="1:10" ht="38.25" outlineLevel="2">
      <c r="A834" s="471" t="s">
        <v>1510</v>
      </c>
      <c r="B834" s="472" t="s">
        <v>1511</v>
      </c>
      <c r="C834" s="473"/>
      <c r="D834" s="472"/>
      <c r="E834" s="474">
        <v>122986.4</v>
      </c>
      <c r="F834" s="474">
        <v>122986.4</v>
      </c>
      <c r="G834" s="474">
        <v>0</v>
      </c>
      <c r="H834" s="474">
        <v>0</v>
      </c>
      <c r="I834" s="475">
        <v>0</v>
      </c>
      <c r="J834" s="475"/>
    </row>
    <row r="835" spans="1:10" ht="51" outlineLevel="3">
      <c r="A835" s="476" t="s">
        <v>801</v>
      </c>
      <c r="B835" s="477" t="s">
        <v>1512</v>
      </c>
      <c r="C835" s="478"/>
      <c r="D835" s="477"/>
      <c r="E835" s="479">
        <v>122986.4</v>
      </c>
      <c r="F835" s="479">
        <v>122986.4</v>
      </c>
      <c r="G835" s="479">
        <v>0</v>
      </c>
      <c r="H835" s="479">
        <v>0</v>
      </c>
      <c r="I835" s="480">
        <v>0</v>
      </c>
      <c r="J835" s="480"/>
    </row>
    <row r="836" spans="1:10" ht="51" outlineLevel="4">
      <c r="A836" s="481" t="s">
        <v>801</v>
      </c>
      <c r="B836" s="482" t="s">
        <v>1512</v>
      </c>
      <c r="C836" s="483" t="s">
        <v>803</v>
      </c>
      <c r="D836" s="482" t="s">
        <v>804</v>
      </c>
      <c r="E836" s="484">
        <v>122986.4</v>
      </c>
      <c r="F836" s="484">
        <v>122986.4</v>
      </c>
      <c r="G836" s="484">
        <v>0</v>
      </c>
      <c r="H836" s="484">
        <v>0</v>
      </c>
      <c r="I836" s="480">
        <v>0</v>
      </c>
      <c r="J836" s="480"/>
    </row>
    <row r="837" spans="1:10" ht="38.25" outlineLevel="2">
      <c r="A837" s="471" t="s">
        <v>1513</v>
      </c>
      <c r="B837" s="472" t="s">
        <v>1514</v>
      </c>
      <c r="C837" s="473"/>
      <c r="D837" s="472"/>
      <c r="E837" s="474">
        <v>146070.29999999999</v>
      </c>
      <c r="F837" s="474">
        <v>9078</v>
      </c>
      <c r="G837" s="474">
        <v>3138.7857300000001</v>
      </c>
      <c r="H837" s="474">
        <v>3138.7857300000001</v>
      </c>
      <c r="I837" s="475">
        <v>2.15</v>
      </c>
      <c r="J837" s="475"/>
    </row>
    <row r="838" spans="1:10" ht="51" outlineLevel="3">
      <c r="A838" s="476" t="s">
        <v>1515</v>
      </c>
      <c r="B838" s="477" t="s">
        <v>1516</v>
      </c>
      <c r="C838" s="478"/>
      <c r="D838" s="477"/>
      <c r="E838" s="479">
        <v>3800</v>
      </c>
      <c r="F838" s="479">
        <v>3800</v>
      </c>
      <c r="G838" s="479">
        <v>0</v>
      </c>
      <c r="H838" s="479">
        <v>0</v>
      </c>
      <c r="I838" s="480">
        <v>0</v>
      </c>
      <c r="J838" s="480"/>
    </row>
    <row r="839" spans="1:10" ht="51" outlineLevel="4">
      <c r="A839" s="481" t="s">
        <v>1515</v>
      </c>
      <c r="B839" s="482" t="s">
        <v>1516</v>
      </c>
      <c r="C839" s="483" t="s">
        <v>803</v>
      </c>
      <c r="D839" s="482" t="s">
        <v>804</v>
      </c>
      <c r="E839" s="484">
        <v>3800</v>
      </c>
      <c r="F839" s="484">
        <v>3800</v>
      </c>
      <c r="G839" s="484">
        <v>0</v>
      </c>
      <c r="H839" s="484">
        <v>0</v>
      </c>
      <c r="I839" s="480">
        <v>0</v>
      </c>
      <c r="J839" s="480"/>
    </row>
    <row r="840" spans="1:10" ht="63.75" outlineLevel="3">
      <c r="A840" s="476" t="s">
        <v>1517</v>
      </c>
      <c r="B840" s="477" t="s">
        <v>1518</v>
      </c>
      <c r="C840" s="478"/>
      <c r="D840" s="477"/>
      <c r="E840" s="479">
        <v>878</v>
      </c>
      <c r="F840" s="479">
        <v>878</v>
      </c>
      <c r="G840" s="479">
        <v>0</v>
      </c>
      <c r="H840" s="479">
        <v>0</v>
      </c>
      <c r="I840" s="480">
        <v>0</v>
      </c>
      <c r="J840" s="480"/>
    </row>
    <row r="841" spans="1:10" ht="63.75" outlineLevel="4">
      <c r="A841" s="481" t="s">
        <v>1517</v>
      </c>
      <c r="B841" s="482" t="s">
        <v>1518</v>
      </c>
      <c r="C841" s="483" t="s">
        <v>803</v>
      </c>
      <c r="D841" s="482" t="s">
        <v>804</v>
      </c>
      <c r="E841" s="484">
        <v>878</v>
      </c>
      <c r="F841" s="484">
        <v>878</v>
      </c>
      <c r="G841" s="484">
        <v>0</v>
      </c>
      <c r="H841" s="484">
        <v>0</v>
      </c>
      <c r="I841" s="480">
        <v>0</v>
      </c>
      <c r="J841" s="480"/>
    </row>
    <row r="842" spans="1:10" ht="25.5" outlineLevel="3">
      <c r="A842" s="476" t="s">
        <v>1519</v>
      </c>
      <c r="B842" s="477" t="s">
        <v>1520</v>
      </c>
      <c r="C842" s="478"/>
      <c r="D842" s="477"/>
      <c r="E842" s="479">
        <v>4400</v>
      </c>
      <c r="F842" s="479">
        <v>4400</v>
      </c>
      <c r="G842" s="479">
        <v>3138.7857300000001</v>
      </c>
      <c r="H842" s="479">
        <v>3138.7857300000001</v>
      </c>
      <c r="I842" s="480">
        <v>71.34</v>
      </c>
      <c r="J842" s="480"/>
    </row>
    <row r="843" spans="1:10" ht="25.5" outlineLevel="4">
      <c r="A843" s="481" t="s">
        <v>1519</v>
      </c>
      <c r="B843" s="482" t="s">
        <v>1520</v>
      </c>
      <c r="C843" s="483" t="s">
        <v>803</v>
      </c>
      <c r="D843" s="482" t="s">
        <v>804</v>
      </c>
      <c r="E843" s="484">
        <v>4400</v>
      </c>
      <c r="F843" s="484">
        <v>4400</v>
      </c>
      <c r="G843" s="484">
        <v>3138.7857300000001</v>
      </c>
      <c r="H843" s="484">
        <v>3138.7857300000001</v>
      </c>
      <c r="I843" s="480">
        <v>71.34</v>
      </c>
      <c r="J843" s="480"/>
    </row>
    <row r="844" spans="1:10" ht="25.5" outlineLevel="3">
      <c r="A844" s="476" t="s">
        <v>1521</v>
      </c>
      <c r="B844" s="477" t="s">
        <v>1522</v>
      </c>
      <c r="C844" s="478"/>
      <c r="D844" s="477"/>
      <c r="E844" s="479">
        <v>30000</v>
      </c>
      <c r="F844" s="479">
        <v>0</v>
      </c>
      <c r="G844" s="479">
        <v>0</v>
      </c>
      <c r="H844" s="479">
        <v>0</v>
      </c>
      <c r="I844" s="480">
        <v>0</v>
      </c>
      <c r="J844" s="480"/>
    </row>
    <row r="845" spans="1:10" ht="25.5" outlineLevel="4">
      <c r="A845" s="481" t="s">
        <v>1521</v>
      </c>
      <c r="B845" s="482" t="s">
        <v>1522</v>
      </c>
      <c r="C845" s="483" t="s">
        <v>803</v>
      </c>
      <c r="D845" s="482" t="s">
        <v>804</v>
      </c>
      <c r="E845" s="484">
        <v>30000</v>
      </c>
      <c r="F845" s="484">
        <v>0</v>
      </c>
      <c r="G845" s="484">
        <v>0</v>
      </c>
      <c r="H845" s="484">
        <v>0</v>
      </c>
      <c r="I845" s="480">
        <v>0</v>
      </c>
      <c r="J845" s="480"/>
    </row>
    <row r="846" spans="1:10" ht="255" outlineLevel="3">
      <c r="A846" s="476" t="s">
        <v>1523</v>
      </c>
      <c r="B846" s="477" t="s">
        <v>1524</v>
      </c>
      <c r="C846" s="478"/>
      <c r="D846" s="477"/>
      <c r="E846" s="479">
        <v>106992.3</v>
      </c>
      <c r="F846" s="479">
        <v>0</v>
      </c>
      <c r="G846" s="479">
        <v>0</v>
      </c>
      <c r="H846" s="479">
        <v>0</v>
      </c>
      <c r="I846" s="480">
        <v>0</v>
      </c>
      <c r="J846" s="480"/>
    </row>
    <row r="847" spans="1:10" ht="255" outlineLevel="4">
      <c r="A847" s="481" t="s">
        <v>1523</v>
      </c>
      <c r="B847" s="482" t="s">
        <v>1524</v>
      </c>
      <c r="C847" s="483" t="s">
        <v>803</v>
      </c>
      <c r="D847" s="482" t="s">
        <v>804</v>
      </c>
      <c r="E847" s="484">
        <v>106992.3</v>
      </c>
      <c r="F847" s="484">
        <v>0</v>
      </c>
      <c r="G847" s="484">
        <v>0</v>
      </c>
      <c r="H847" s="484">
        <v>0</v>
      </c>
      <c r="I847" s="480">
        <v>0</v>
      </c>
      <c r="J847" s="480"/>
    </row>
    <row r="848" spans="1:10" ht="76.5" outlineLevel="2">
      <c r="A848" s="471" t="s">
        <v>1525</v>
      </c>
      <c r="B848" s="472" t="s">
        <v>1526</v>
      </c>
      <c r="C848" s="473"/>
      <c r="D848" s="472"/>
      <c r="E848" s="474">
        <v>129848.8</v>
      </c>
      <c r="F848" s="474">
        <v>129848.8</v>
      </c>
      <c r="G848" s="474">
        <v>129848.8</v>
      </c>
      <c r="H848" s="474">
        <v>32243.931140000001</v>
      </c>
      <c r="I848" s="475">
        <v>24.83</v>
      </c>
      <c r="J848" s="475"/>
    </row>
    <row r="849" spans="1:10" ht="89.25" outlineLevel="3">
      <c r="A849" s="476" t="s">
        <v>1527</v>
      </c>
      <c r="B849" s="477" t="s">
        <v>1528</v>
      </c>
      <c r="C849" s="478"/>
      <c r="D849" s="477"/>
      <c r="E849" s="479">
        <v>3951.1</v>
      </c>
      <c r="F849" s="479">
        <v>3951.1</v>
      </c>
      <c r="G849" s="479">
        <v>3951.1</v>
      </c>
      <c r="H849" s="479">
        <v>3951.1</v>
      </c>
      <c r="I849" s="480">
        <v>100</v>
      </c>
      <c r="J849" s="480"/>
    </row>
    <row r="850" spans="1:10" ht="89.25" outlineLevel="4">
      <c r="A850" s="481" t="s">
        <v>1527</v>
      </c>
      <c r="B850" s="482" t="s">
        <v>1528</v>
      </c>
      <c r="C850" s="483" t="s">
        <v>803</v>
      </c>
      <c r="D850" s="482" t="s">
        <v>804</v>
      </c>
      <c r="E850" s="484">
        <v>3951.1</v>
      </c>
      <c r="F850" s="484">
        <v>3951.1</v>
      </c>
      <c r="G850" s="484">
        <v>3951.1</v>
      </c>
      <c r="H850" s="484">
        <v>3951.1</v>
      </c>
      <c r="I850" s="480">
        <v>100</v>
      </c>
      <c r="J850" s="485" t="s">
        <v>10</v>
      </c>
    </row>
    <row r="851" spans="1:10" ht="76.5" outlineLevel="3">
      <c r="A851" s="476" t="s">
        <v>1529</v>
      </c>
      <c r="B851" s="477" t="s">
        <v>1530</v>
      </c>
      <c r="C851" s="478"/>
      <c r="D851" s="477"/>
      <c r="E851" s="479">
        <v>6394.5</v>
      </c>
      <c r="F851" s="479">
        <v>6394.5</v>
      </c>
      <c r="G851" s="479">
        <v>6394.5</v>
      </c>
      <c r="H851" s="479">
        <v>6394.5</v>
      </c>
      <c r="I851" s="480">
        <v>100</v>
      </c>
      <c r="J851" s="480"/>
    </row>
    <row r="852" spans="1:10" ht="76.5" outlineLevel="4">
      <c r="A852" s="481" t="s">
        <v>1529</v>
      </c>
      <c r="B852" s="482" t="s">
        <v>1530</v>
      </c>
      <c r="C852" s="483" t="s">
        <v>803</v>
      </c>
      <c r="D852" s="482" t="s">
        <v>804</v>
      </c>
      <c r="E852" s="484">
        <v>6394.5</v>
      </c>
      <c r="F852" s="484">
        <v>6394.5</v>
      </c>
      <c r="G852" s="484">
        <v>6394.5</v>
      </c>
      <c r="H852" s="484">
        <v>6394.5</v>
      </c>
      <c r="I852" s="480">
        <v>100</v>
      </c>
      <c r="J852" s="485" t="s">
        <v>10</v>
      </c>
    </row>
    <row r="853" spans="1:10" ht="63.75" outlineLevel="3">
      <c r="A853" s="476" t="s">
        <v>1531</v>
      </c>
      <c r="B853" s="477" t="s">
        <v>1532</v>
      </c>
      <c r="C853" s="478"/>
      <c r="D853" s="477"/>
      <c r="E853" s="479">
        <v>119503.2</v>
      </c>
      <c r="F853" s="479">
        <v>119503.2</v>
      </c>
      <c r="G853" s="479">
        <v>119503.2</v>
      </c>
      <c r="H853" s="479">
        <v>21898.331139999998</v>
      </c>
      <c r="I853" s="480">
        <v>18.32</v>
      </c>
      <c r="J853" s="480"/>
    </row>
    <row r="854" spans="1:10" ht="63.75" outlineLevel="4">
      <c r="A854" s="481" t="s">
        <v>1531</v>
      </c>
      <c r="B854" s="482" t="s">
        <v>1532</v>
      </c>
      <c r="C854" s="483" t="s">
        <v>803</v>
      </c>
      <c r="D854" s="482" t="s">
        <v>804</v>
      </c>
      <c r="E854" s="484">
        <v>119503.2</v>
      </c>
      <c r="F854" s="484">
        <v>119503.2</v>
      </c>
      <c r="G854" s="484">
        <v>119503.2</v>
      </c>
      <c r="H854" s="484">
        <v>21898.331139999998</v>
      </c>
      <c r="I854" s="480">
        <v>18.32</v>
      </c>
      <c r="J854" s="480"/>
    </row>
    <row r="855" spans="1:10" ht="51" outlineLevel="2">
      <c r="A855" s="471" t="s">
        <v>1533</v>
      </c>
      <c r="B855" s="472" t="s">
        <v>1534</v>
      </c>
      <c r="C855" s="473"/>
      <c r="D855" s="472"/>
      <c r="E855" s="474">
        <v>54798.6</v>
      </c>
      <c r="F855" s="474">
        <v>54798.6</v>
      </c>
      <c r="G855" s="474">
        <v>54796.56</v>
      </c>
      <c r="H855" s="474">
        <v>54411.898099999999</v>
      </c>
      <c r="I855" s="475">
        <v>99.29</v>
      </c>
      <c r="J855" s="475"/>
    </row>
    <row r="856" spans="1:10" ht="25.5" outlineLevel="3">
      <c r="A856" s="476" t="s">
        <v>713</v>
      </c>
      <c r="B856" s="477" t="s">
        <v>1535</v>
      </c>
      <c r="C856" s="478"/>
      <c r="D856" s="477"/>
      <c r="E856" s="479">
        <v>4.5</v>
      </c>
      <c r="F856" s="479">
        <v>4.5</v>
      </c>
      <c r="G856" s="479">
        <v>2.46</v>
      </c>
      <c r="H856" s="479">
        <v>0</v>
      </c>
      <c r="I856" s="480">
        <v>0</v>
      </c>
      <c r="J856" s="480"/>
    </row>
    <row r="857" spans="1:10" ht="25.5" outlineLevel="4">
      <c r="A857" s="481" t="s">
        <v>713</v>
      </c>
      <c r="B857" s="482" t="s">
        <v>1535</v>
      </c>
      <c r="C857" s="483" t="s">
        <v>803</v>
      </c>
      <c r="D857" s="482" t="s">
        <v>804</v>
      </c>
      <c r="E857" s="484">
        <v>4.5</v>
      </c>
      <c r="F857" s="484">
        <v>4.5</v>
      </c>
      <c r="G857" s="484">
        <v>2.46</v>
      </c>
      <c r="H857" s="484">
        <v>0</v>
      </c>
      <c r="I857" s="480">
        <v>0</v>
      </c>
      <c r="J857" s="480"/>
    </row>
    <row r="858" spans="1:10" ht="25.5" outlineLevel="3">
      <c r="A858" s="476" t="s">
        <v>1536</v>
      </c>
      <c r="B858" s="477" t="s">
        <v>1537</v>
      </c>
      <c r="C858" s="478"/>
      <c r="D858" s="477"/>
      <c r="E858" s="479">
        <v>54794.1</v>
      </c>
      <c r="F858" s="479">
        <v>54794.1</v>
      </c>
      <c r="G858" s="479">
        <v>54794.1</v>
      </c>
      <c r="H858" s="479">
        <v>54411.898099999999</v>
      </c>
      <c r="I858" s="480">
        <v>99.3</v>
      </c>
      <c r="J858" s="480"/>
    </row>
    <row r="859" spans="1:10" ht="25.5" outlineLevel="4">
      <c r="A859" s="481" t="s">
        <v>1536</v>
      </c>
      <c r="B859" s="482" t="s">
        <v>1537</v>
      </c>
      <c r="C859" s="483" t="s">
        <v>803</v>
      </c>
      <c r="D859" s="482" t="s">
        <v>804</v>
      </c>
      <c r="E859" s="484">
        <v>54794.1</v>
      </c>
      <c r="F859" s="484">
        <v>54794.1</v>
      </c>
      <c r="G859" s="484">
        <v>54794.1</v>
      </c>
      <c r="H859" s="484">
        <v>54411.898099999999</v>
      </c>
      <c r="I859" s="480">
        <v>99.3</v>
      </c>
      <c r="J859" s="480"/>
    </row>
    <row r="860" spans="1:10" ht="76.5" outlineLevel="2">
      <c r="A860" s="471" t="s">
        <v>1538</v>
      </c>
      <c r="B860" s="472" t="s">
        <v>1539</v>
      </c>
      <c r="C860" s="473"/>
      <c r="D860" s="472"/>
      <c r="E860" s="474">
        <v>866492.56610000005</v>
      </c>
      <c r="F860" s="474">
        <v>461547.27211000002</v>
      </c>
      <c r="G860" s="474">
        <v>72351.705579999994</v>
      </c>
      <c r="H860" s="474">
        <v>72240.91906</v>
      </c>
      <c r="I860" s="475">
        <v>8.34</v>
      </c>
      <c r="J860" s="475"/>
    </row>
    <row r="861" spans="1:10" ht="76.5" outlineLevel="3">
      <c r="A861" s="476" t="s">
        <v>1540</v>
      </c>
      <c r="B861" s="477" t="s">
        <v>1541</v>
      </c>
      <c r="C861" s="478"/>
      <c r="D861" s="477"/>
      <c r="E861" s="479">
        <v>109133.735</v>
      </c>
      <c r="F861" s="479">
        <v>109133.735</v>
      </c>
      <c r="G861" s="479">
        <v>54566.8675</v>
      </c>
      <c r="H861" s="479">
        <v>54566.8675</v>
      </c>
      <c r="I861" s="480">
        <v>50</v>
      </c>
      <c r="J861" s="480"/>
    </row>
    <row r="862" spans="1:10" ht="76.5" outlineLevel="4">
      <c r="A862" s="481" t="s">
        <v>1540</v>
      </c>
      <c r="B862" s="482" t="s">
        <v>1541</v>
      </c>
      <c r="C862" s="483" t="s">
        <v>803</v>
      </c>
      <c r="D862" s="482" t="s">
        <v>804</v>
      </c>
      <c r="E862" s="484">
        <v>109133.735</v>
      </c>
      <c r="F862" s="484">
        <v>109133.735</v>
      </c>
      <c r="G862" s="484">
        <v>54566.8675</v>
      </c>
      <c r="H862" s="484">
        <v>54566.8675</v>
      </c>
      <c r="I862" s="480">
        <v>50</v>
      </c>
      <c r="J862" s="480"/>
    </row>
    <row r="863" spans="1:10" ht="51" outlineLevel="3">
      <c r="A863" s="476" t="s">
        <v>1542</v>
      </c>
      <c r="B863" s="477" t="s">
        <v>1543</v>
      </c>
      <c r="C863" s="478"/>
      <c r="D863" s="477"/>
      <c r="E863" s="479">
        <v>691748.59447999997</v>
      </c>
      <c r="F863" s="479">
        <v>286803.30048999999</v>
      </c>
      <c r="G863" s="479">
        <v>0</v>
      </c>
      <c r="H863" s="479">
        <v>0</v>
      </c>
      <c r="I863" s="480">
        <v>0</v>
      </c>
      <c r="J863" s="480"/>
    </row>
    <row r="864" spans="1:10" ht="51" outlineLevel="4">
      <c r="A864" s="481" t="s">
        <v>1542</v>
      </c>
      <c r="B864" s="482" t="s">
        <v>1543</v>
      </c>
      <c r="C864" s="483" t="s">
        <v>803</v>
      </c>
      <c r="D864" s="482" t="s">
        <v>804</v>
      </c>
      <c r="E864" s="484">
        <v>691748.59447999997</v>
      </c>
      <c r="F864" s="484">
        <v>286803.30048999999</v>
      </c>
      <c r="G864" s="484">
        <v>0</v>
      </c>
      <c r="H864" s="484">
        <v>0</v>
      </c>
      <c r="I864" s="480">
        <v>0</v>
      </c>
      <c r="J864" s="480"/>
    </row>
    <row r="865" spans="1:10" ht="51" outlineLevel="3">
      <c r="A865" s="476" t="s">
        <v>1544</v>
      </c>
      <c r="B865" s="477" t="s">
        <v>1545</v>
      </c>
      <c r="C865" s="478"/>
      <c r="D865" s="477"/>
      <c r="E865" s="479">
        <v>65610.236619999996</v>
      </c>
      <c r="F865" s="479">
        <v>65610.236619999996</v>
      </c>
      <c r="G865" s="479">
        <v>17784.838080000001</v>
      </c>
      <c r="H865" s="479">
        <v>17674.05156</v>
      </c>
      <c r="I865" s="480">
        <v>26.94</v>
      </c>
      <c r="J865" s="480"/>
    </row>
    <row r="866" spans="1:10" ht="51" outlineLevel="4">
      <c r="A866" s="481" t="s">
        <v>1544</v>
      </c>
      <c r="B866" s="482" t="s">
        <v>1545</v>
      </c>
      <c r="C866" s="483" t="s">
        <v>803</v>
      </c>
      <c r="D866" s="482" t="s">
        <v>804</v>
      </c>
      <c r="E866" s="484">
        <v>65610.236619999996</v>
      </c>
      <c r="F866" s="484">
        <v>65610.236619999996</v>
      </c>
      <c r="G866" s="484">
        <v>17784.838080000001</v>
      </c>
      <c r="H866" s="484">
        <v>17674.05156</v>
      </c>
      <c r="I866" s="480">
        <v>26.94</v>
      </c>
      <c r="J866" s="480"/>
    </row>
    <row r="867" spans="1:10" outlineLevel="2">
      <c r="A867" s="471" t="s">
        <v>1546</v>
      </c>
      <c r="B867" s="472" t="s">
        <v>1547</v>
      </c>
      <c r="C867" s="473"/>
      <c r="D867" s="472"/>
      <c r="E867" s="474">
        <v>66234.650210000007</v>
      </c>
      <c r="F867" s="474">
        <v>66234.650210000007</v>
      </c>
      <c r="G867" s="474">
        <v>7151.7538100000002</v>
      </c>
      <c r="H867" s="474">
        <v>7151.7538100000002</v>
      </c>
      <c r="I867" s="475">
        <v>10.8</v>
      </c>
      <c r="J867" s="475"/>
    </row>
    <row r="868" spans="1:10" ht="76.5" outlineLevel="3">
      <c r="A868" s="476" t="s">
        <v>1495</v>
      </c>
      <c r="B868" s="477" t="s">
        <v>1548</v>
      </c>
      <c r="C868" s="478"/>
      <c r="D868" s="477"/>
      <c r="E868" s="479">
        <v>66234.650210000007</v>
      </c>
      <c r="F868" s="479">
        <v>66234.650210000007</v>
      </c>
      <c r="G868" s="479">
        <v>7151.7538100000002</v>
      </c>
      <c r="H868" s="479">
        <v>7151.7538100000002</v>
      </c>
      <c r="I868" s="480">
        <v>10.8</v>
      </c>
      <c r="J868" s="480"/>
    </row>
    <row r="869" spans="1:10" ht="76.5" outlineLevel="4">
      <c r="A869" s="481" t="s">
        <v>1495</v>
      </c>
      <c r="B869" s="482" t="s">
        <v>1548</v>
      </c>
      <c r="C869" s="483" t="s">
        <v>803</v>
      </c>
      <c r="D869" s="482" t="s">
        <v>804</v>
      </c>
      <c r="E869" s="484">
        <v>66234.650210000007</v>
      </c>
      <c r="F869" s="484">
        <v>66234.650210000007</v>
      </c>
      <c r="G869" s="484">
        <v>7151.7538100000002</v>
      </c>
      <c r="H869" s="484">
        <v>7151.7538100000002</v>
      </c>
      <c r="I869" s="480">
        <v>10.8</v>
      </c>
      <c r="J869" s="480"/>
    </row>
    <row r="870" spans="1:10" ht="38.25" outlineLevel="2">
      <c r="A870" s="471" t="s">
        <v>1549</v>
      </c>
      <c r="B870" s="472" t="s">
        <v>1550</v>
      </c>
      <c r="C870" s="473"/>
      <c r="D870" s="472"/>
      <c r="E870" s="474">
        <v>564387.13600000006</v>
      </c>
      <c r="F870" s="474">
        <v>564387.13600000006</v>
      </c>
      <c r="G870" s="474">
        <v>102540.08702000001</v>
      </c>
      <c r="H870" s="474">
        <v>86919.141019999995</v>
      </c>
      <c r="I870" s="475">
        <v>15.4</v>
      </c>
      <c r="J870" s="475"/>
    </row>
    <row r="871" spans="1:10" ht="114.75" outlineLevel="3">
      <c r="A871" s="476" t="s">
        <v>1551</v>
      </c>
      <c r="B871" s="477" t="s">
        <v>1552</v>
      </c>
      <c r="C871" s="478"/>
      <c r="D871" s="477"/>
      <c r="E871" s="479">
        <v>506273.39241999999</v>
      </c>
      <c r="F871" s="479">
        <v>506273.39241999999</v>
      </c>
      <c r="G871" s="479">
        <v>94954.691319999998</v>
      </c>
      <c r="H871" s="479">
        <v>80578.089760000003</v>
      </c>
      <c r="I871" s="480">
        <v>15.92</v>
      </c>
      <c r="J871" s="480"/>
    </row>
    <row r="872" spans="1:10" ht="114.75" outlineLevel="4">
      <c r="A872" s="481" t="s">
        <v>1551</v>
      </c>
      <c r="B872" s="482" t="s">
        <v>1552</v>
      </c>
      <c r="C872" s="483" t="s">
        <v>803</v>
      </c>
      <c r="D872" s="482" t="s">
        <v>804</v>
      </c>
      <c r="E872" s="484">
        <v>506273.39241999999</v>
      </c>
      <c r="F872" s="484">
        <v>506273.39241999999</v>
      </c>
      <c r="G872" s="484">
        <v>94954.691319999998</v>
      </c>
      <c r="H872" s="484">
        <v>80578.089760000003</v>
      </c>
      <c r="I872" s="480">
        <v>15.92</v>
      </c>
      <c r="J872" s="480"/>
    </row>
    <row r="873" spans="1:10" ht="76.5" outlineLevel="3">
      <c r="A873" s="476" t="s">
        <v>1553</v>
      </c>
      <c r="B873" s="477" t="s">
        <v>1554</v>
      </c>
      <c r="C873" s="478"/>
      <c r="D873" s="477"/>
      <c r="E873" s="479">
        <v>58113.743580000002</v>
      </c>
      <c r="F873" s="479">
        <v>58113.743580000002</v>
      </c>
      <c r="G873" s="479">
        <v>7585.3957</v>
      </c>
      <c r="H873" s="479">
        <v>6341.0512600000002</v>
      </c>
      <c r="I873" s="480">
        <v>10.91</v>
      </c>
      <c r="J873" s="480"/>
    </row>
    <row r="874" spans="1:10" ht="76.5" outlineLevel="4">
      <c r="A874" s="481" t="s">
        <v>1553</v>
      </c>
      <c r="B874" s="482" t="s">
        <v>1554</v>
      </c>
      <c r="C874" s="483" t="s">
        <v>803</v>
      </c>
      <c r="D874" s="482" t="s">
        <v>804</v>
      </c>
      <c r="E874" s="484">
        <v>58113.743580000002</v>
      </c>
      <c r="F874" s="484">
        <v>58113.743580000002</v>
      </c>
      <c r="G874" s="484">
        <v>7585.3957</v>
      </c>
      <c r="H874" s="484">
        <v>6341.0512600000002</v>
      </c>
      <c r="I874" s="480">
        <v>10.91</v>
      </c>
      <c r="J874" s="480"/>
    </row>
    <row r="875" spans="1:10" outlineLevel="2">
      <c r="A875" s="471" t="s">
        <v>1555</v>
      </c>
      <c r="B875" s="472" t="s">
        <v>1556</v>
      </c>
      <c r="C875" s="473"/>
      <c r="D875" s="472"/>
      <c r="E875" s="474">
        <v>55786.45</v>
      </c>
      <c r="F875" s="474">
        <v>55786.45</v>
      </c>
      <c r="G875" s="474">
        <v>14820.02378</v>
      </c>
      <c r="H875" s="474">
        <v>12837.012919999999</v>
      </c>
      <c r="I875" s="475">
        <v>23.01</v>
      </c>
      <c r="J875" s="475"/>
    </row>
    <row r="876" spans="1:10" ht="38.25" outlineLevel="3">
      <c r="A876" s="476" t="s">
        <v>1557</v>
      </c>
      <c r="B876" s="477" t="s">
        <v>1558</v>
      </c>
      <c r="C876" s="478"/>
      <c r="D876" s="477"/>
      <c r="E876" s="479">
        <v>55786.45</v>
      </c>
      <c r="F876" s="479">
        <v>55786.45</v>
      </c>
      <c r="G876" s="479">
        <v>14820.02378</v>
      </c>
      <c r="H876" s="479">
        <v>12837.012919999999</v>
      </c>
      <c r="I876" s="480">
        <v>23.01</v>
      </c>
      <c r="J876" s="480"/>
    </row>
    <row r="877" spans="1:10" ht="38.25" outlineLevel="4">
      <c r="A877" s="481" t="s">
        <v>1557</v>
      </c>
      <c r="B877" s="482" t="s">
        <v>1558</v>
      </c>
      <c r="C877" s="483" t="s">
        <v>803</v>
      </c>
      <c r="D877" s="482" t="s">
        <v>804</v>
      </c>
      <c r="E877" s="484">
        <v>55786.45</v>
      </c>
      <c r="F877" s="484">
        <v>55786.45</v>
      </c>
      <c r="G877" s="484">
        <v>14820.02378</v>
      </c>
      <c r="H877" s="484">
        <v>12837.012919999999</v>
      </c>
      <c r="I877" s="480">
        <v>23.01</v>
      </c>
      <c r="J877" s="485" t="s">
        <v>10</v>
      </c>
    </row>
    <row r="878" spans="1:10" ht="51" outlineLevel="1">
      <c r="A878" s="466" t="s">
        <v>1559</v>
      </c>
      <c r="B878" s="467" t="s">
        <v>1560</v>
      </c>
      <c r="C878" s="468"/>
      <c r="D878" s="467"/>
      <c r="E878" s="469">
        <v>477709.48541000002</v>
      </c>
      <c r="F878" s="469">
        <v>477709.48541000002</v>
      </c>
      <c r="G878" s="469">
        <v>5354.7303199999997</v>
      </c>
      <c r="H878" s="469">
        <v>5354.7303199999997</v>
      </c>
      <c r="I878" s="470">
        <v>1.1200000000000001</v>
      </c>
      <c r="J878" s="470"/>
    </row>
    <row r="879" spans="1:10" ht="25.5" outlineLevel="2">
      <c r="A879" s="471" t="s">
        <v>1561</v>
      </c>
      <c r="B879" s="472" t="s">
        <v>1562</v>
      </c>
      <c r="C879" s="473"/>
      <c r="D879" s="472"/>
      <c r="E879" s="474">
        <v>132904.76908999999</v>
      </c>
      <c r="F879" s="474">
        <v>132904.76908999999</v>
      </c>
      <c r="G879" s="474">
        <v>635.25924999999995</v>
      </c>
      <c r="H879" s="474">
        <v>635.25924999999995</v>
      </c>
      <c r="I879" s="475">
        <v>0.48</v>
      </c>
      <c r="J879" s="475"/>
    </row>
    <row r="880" spans="1:10" ht="38.25" outlineLevel="3">
      <c r="A880" s="476" t="s">
        <v>982</v>
      </c>
      <c r="B880" s="477" t="s">
        <v>1563</v>
      </c>
      <c r="C880" s="478"/>
      <c r="D880" s="477"/>
      <c r="E880" s="479">
        <v>132904.76908999999</v>
      </c>
      <c r="F880" s="479">
        <v>132904.76908999999</v>
      </c>
      <c r="G880" s="479">
        <v>635.25924999999995</v>
      </c>
      <c r="H880" s="479">
        <v>635.25924999999995</v>
      </c>
      <c r="I880" s="480">
        <v>0.48</v>
      </c>
      <c r="J880" s="480"/>
    </row>
    <row r="881" spans="1:10" ht="38.25" outlineLevel="4">
      <c r="A881" s="481" t="s">
        <v>982</v>
      </c>
      <c r="B881" s="482" t="s">
        <v>1563</v>
      </c>
      <c r="C881" s="483" t="s">
        <v>803</v>
      </c>
      <c r="D881" s="482" t="s">
        <v>804</v>
      </c>
      <c r="E881" s="484">
        <v>132904.76908999999</v>
      </c>
      <c r="F881" s="484">
        <v>132904.76908999999</v>
      </c>
      <c r="G881" s="484">
        <v>635.25924999999995</v>
      </c>
      <c r="H881" s="484">
        <v>635.25924999999995</v>
      </c>
      <c r="I881" s="480">
        <v>0.48</v>
      </c>
      <c r="J881" s="480"/>
    </row>
    <row r="882" spans="1:10" ht="63.75" outlineLevel="2">
      <c r="A882" s="471" t="s">
        <v>1564</v>
      </c>
      <c r="B882" s="472" t="s">
        <v>1565</v>
      </c>
      <c r="C882" s="473"/>
      <c r="D882" s="472"/>
      <c r="E882" s="474">
        <v>344804.71632000001</v>
      </c>
      <c r="F882" s="474">
        <v>344804.71632000001</v>
      </c>
      <c r="G882" s="474">
        <v>4719.4710699999996</v>
      </c>
      <c r="H882" s="474">
        <v>4719.4710699999996</v>
      </c>
      <c r="I882" s="475">
        <v>1.37</v>
      </c>
      <c r="J882" s="475"/>
    </row>
    <row r="883" spans="1:10" ht="51" outlineLevel="3">
      <c r="A883" s="476" t="s">
        <v>1566</v>
      </c>
      <c r="B883" s="477" t="s">
        <v>1567</v>
      </c>
      <c r="C883" s="478"/>
      <c r="D883" s="477"/>
      <c r="E883" s="479">
        <v>344804.71632000001</v>
      </c>
      <c r="F883" s="479">
        <v>344804.71632000001</v>
      </c>
      <c r="G883" s="479">
        <v>4719.4710699999996</v>
      </c>
      <c r="H883" s="479">
        <v>4719.4710699999996</v>
      </c>
      <c r="I883" s="480">
        <v>1.37</v>
      </c>
      <c r="J883" s="480"/>
    </row>
    <row r="884" spans="1:10" ht="51" outlineLevel="4">
      <c r="A884" s="481" t="s">
        <v>1566</v>
      </c>
      <c r="B884" s="482" t="s">
        <v>1567</v>
      </c>
      <c r="C884" s="483" t="s">
        <v>1502</v>
      </c>
      <c r="D884" s="482" t="s">
        <v>1503</v>
      </c>
      <c r="E884" s="484">
        <v>54391.15451</v>
      </c>
      <c r="F884" s="484">
        <v>54391.15451</v>
      </c>
      <c r="G884" s="484">
        <v>4571.3265700000002</v>
      </c>
      <c r="H884" s="484">
        <v>4571.3265700000002</v>
      </c>
      <c r="I884" s="480">
        <v>8.4</v>
      </c>
      <c r="J884" s="480"/>
    </row>
    <row r="885" spans="1:10" ht="51" outlineLevel="4">
      <c r="A885" s="481" t="s">
        <v>1566</v>
      </c>
      <c r="B885" s="482" t="s">
        <v>1567</v>
      </c>
      <c r="C885" s="483" t="s">
        <v>1568</v>
      </c>
      <c r="D885" s="482" t="s">
        <v>1569</v>
      </c>
      <c r="E885" s="484">
        <v>290413.56180999998</v>
      </c>
      <c r="F885" s="484">
        <v>290413.56180999998</v>
      </c>
      <c r="G885" s="484">
        <v>148.14449999999999</v>
      </c>
      <c r="H885" s="484">
        <v>148.14449999999999</v>
      </c>
      <c r="I885" s="480">
        <v>0.05</v>
      </c>
      <c r="J885" s="480"/>
    </row>
    <row r="886" spans="1:10" ht="114.75" outlineLevel="1">
      <c r="A886" s="466" t="s">
        <v>1570</v>
      </c>
      <c r="B886" s="467" t="s">
        <v>1571</v>
      </c>
      <c r="C886" s="468"/>
      <c r="D886" s="467"/>
      <c r="E886" s="469">
        <v>243962.68345000001</v>
      </c>
      <c r="F886" s="469">
        <v>243962.68345000001</v>
      </c>
      <c r="G886" s="469">
        <v>111789.9374</v>
      </c>
      <c r="H886" s="469">
        <v>87329.07935</v>
      </c>
      <c r="I886" s="470">
        <v>35.799999999999997</v>
      </c>
      <c r="J886" s="470"/>
    </row>
    <row r="887" spans="1:10" ht="63.75" outlineLevel="2">
      <c r="A887" s="471" t="s">
        <v>1572</v>
      </c>
      <c r="B887" s="472" t="s">
        <v>1573</v>
      </c>
      <c r="C887" s="473"/>
      <c r="D887" s="472"/>
      <c r="E887" s="474">
        <v>164681.99713</v>
      </c>
      <c r="F887" s="474">
        <v>164681.99713</v>
      </c>
      <c r="G887" s="474">
        <v>78744.595279999994</v>
      </c>
      <c r="H887" s="474">
        <v>55841.946279999996</v>
      </c>
      <c r="I887" s="475">
        <v>33.909999999999997</v>
      </c>
      <c r="J887" s="475"/>
    </row>
    <row r="888" spans="1:10" ht="25.5" outlineLevel="3">
      <c r="A888" s="476" t="s">
        <v>873</v>
      </c>
      <c r="B888" s="477" t="s">
        <v>1574</v>
      </c>
      <c r="C888" s="478"/>
      <c r="D888" s="477"/>
      <c r="E888" s="479">
        <v>89664.168420000002</v>
      </c>
      <c r="F888" s="479">
        <v>89664.168420000002</v>
      </c>
      <c r="G888" s="479">
        <v>50150</v>
      </c>
      <c r="H888" s="479">
        <v>31039.93288</v>
      </c>
      <c r="I888" s="480">
        <v>34.619999999999997</v>
      </c>
      <c r="J888" s="480"/>
    </row>
    <row r="889" spans="1:10" ht="25.5" outlineLevel="4">
      <c r="A889" s="481" t="s">
        <v>873</v>
      </c>
      <c r="B889" s="482" t="s">
        <v>1574</v>
      </c>
      <c r="C889" s="483" t="s">
        <v>1502</v>
      </c>
      <c r="D889" s="482" t="s">
        <v>1503</v>
      </c>
      <c r="E889" s="484">
        <v>33073.878210000003</v>
      </c>
      <c r="F889" s="484">
        <v>33073.878210000003</v>
      </c>
      <c r="G889" s="484">
        <v>14500</v>
      </c>
      <c r="H889" s="484">
        <v>5709.3405599999996</v>
      </c>
      <c r="I889" s="480">
        <v>17.260000000000002</v>
      </c>
      <c r="J889" s="480"/>
    </row>
    <row r="890" spans="1:10" ht="25.5" outlineLevel="4">
      <c r="A890" s="481" t="s">
        <v>873</v>
      </c>
      <c r="B890" s="482" t="s">
        <v>1574</v>
      </c>
      <c r="C890" s="483" t="s">
        <v>803</v>
      </c>
      <c r="D890" s="482" t="s">
        <v>804</v>
      </c>
      <c r="E890" s="484">
        <v>56590.290209999999</v>
      </c>
      <c r="F890" s="484">
        <v>56590.290209999999</v>
      </c>
      <c r="G890" s="484">
        <v>35650</v>
      </c>
      <c r="H890" s="484">
        <v>25330.59232</v>
      </c>
      <c r="I890" s="480">
        <v>44.76</v>
      </c>
      <c r="J890" s="480"/>
    </row>
    <row r="891" spans="1:10" ht="38.25" outlineLevel="3">
      <c r="A891" s="476" t="s">
        <v>854</v>
      </c>
      <c r="B891" s="477" t="s">
        <v>1575</v>
      </c>
      <c r="C891" s="478"/>
      <c r="D891" s="477"/>
      <c r="E891" s="479">
        <v>4205.6925000000001</v>
      </c>
      <c r="F891" s="479">
        <v>4205.6925000000001</v>
      </c>
      <c r="G891" s="479">
        <v>2267.3803899999998</v>
      </c>
      <c r="H891" s="479">
        <v>2192.1563099999998</v>
      </c>
      <c r="I891" s="480">
        <v>52.12</v>
      </c>
      <c r="J891" s="480"/>
    </row>
    <row r="892" spans="1:10" ht="38.25" outlineLevel="4">
      <c r="A892" s="481" t="s">
        <v>854</v>
      </c>
      <c r="B892" s="482" t="s">
        <v>1575</v>
      </c>
      <c r="C892" s="483" t="s">
        <v>1502</v>
      </c>
      <c r="D892" s="482" t="s">
        <v>1503</v>
      </c>
      <c r="E892" s="484">
        <v>1704.7</v>
      </c>
      <c r="F892" s="484">
        <v>1704.7</v>
      </c>
      <c r="G892" s="484">
        <v>964.57273999999995</v>
      </c>
      <c r="H892" s="484">
        <v>932.05265999999995</v>
      </c>
      <c r="I892" s="480">
        <v>54.68</v>
      </c>
      <c r="J892" s="480"/>
    </row>
    <row r="893" spans="1:10" ht="38.25" outlineLevel="4">
      <c r="A893" s="481" t="s">
        <v>854</v>
      </c>
      <c r="B893" s="482" t="s">
        <v>1575</v>
      </c>
      <c r="C893" s="483" t="s">
        <v>803</v>
      </c>
      <c r="D893" s="482" t="s">
        <v>804</v>
      </c>
      <c r="E893" s="484">
        <v>2500.9924999999998</v>
      </c>
      <c r="F893" s="484">
        <v>2500.9924999999998</v>
      </c>
      <c r="G893" s="484">
        <v>1302.80765</v>
      </c>
      <c r="H893" s="484">
        <v>1260.10365</v>
      </c>
      <c r="I893" s="480">
        <v>50.38</v>
      </c>
      <c r="J893" s="480"/>
    </row>
    <row r="894" spans="1:10" ht="76.5" outlineLevel="3">
      <c r="A894" s="476" t="s">
        <v>702</v>
      </c>
      <c r="B894" s="477" t="s">
        <v>1576</v>
      </c>
      <c r="C894" s="478"/>
      <c r="D894" s="477"/>
      <c r="E894" s="479">
        <v>68807.136209999997</v>
      </c>
      <c r="F894" s="479">
        <v>68807.136209999997</v>
      </c>
      <c r="G894" s="479">
        <v>25892.800889999999</v>
      </c>
      <c r="H894" s="479">
        <v>22358.269830000001</v>
      </c>
      <c r="I894" s="480">
        <v>32.49</v>
      </c>
      <c r="J894" s="480"/>
    </row>
    <row r="895" spans="1:10" ht="76.5" outlineLevel="4">
      <c r="A895" s="481" t="s">
        <v>702</v>
      </c>
      <c r="B895" s="482" t="s">
        <v>1576</v>
      </c>
      <c r="C895" s="483" t="s">
        <v>803</v>
      </c>
      <c r="D895" s="482" t="s">
        <v>804</v>
      </c>
      <c r="E895" s="484">
        <v>68807.136209999997</v>
      </c>
      <c r="F895" s="484">
        <v>68807.136209999997</v>
      </c>
      <c r="G895" s="484">
        <v>25892.800889999999</v>
      </c>
      <c r="H895" s="484">
        <v>22358.269830000001</v>
      </c>
      <c r="I895" s="480">
        <v>32.49</v>
      </c>
      <c r="J895" s="480"/>
    </row>
    <row r="896" spans="1:10" ht="63.75" outlineLevel="3">
      <c r="A896" s="476" t="s">
        <v>62</v>
      </c>
      <c r="B896" s="477" t="s">
        <v>1577</v>
      </c>
      <c r="C896" s="478"/>
      <c r="D896" s="477"/>
      <c r="E896" s="479">
        <v>1870</v>
      </c>
      <c r="F896" s="479">
        <v>1870</v>
      </c>
      <c r="G896" s="479">
        <v>366.57400000000001</v>
      </c>
      <c r="H896" s="479">
        <v>192.74726000000001</v>
      </c>
      <c r="I896" s="480">
        <v>10.31</v>
      </c>
      <c r="J896" s="480"/>
    </row>
    <row r="897" spans="1:10" ht="63.75" outlineLevel="4">
      <c r="A897" s="481" t="s">
        <v>62</v>
      </c>
      <c r="B897" s="482" t="s">
        <v>1577</v>
      </c>
      <c r="C897" s="483" t="s">
        <v>1502</v>
      </c>
      <c r="D897" s="482" t="s">
        <v>1503</v>
      </c>
      <c r="E897" s="484">
        <v>500</v>
      </c>
      <c r="F897" s="484">
        <v>500</v>
      </c>
      <c r="G897" s="484">
        <v>0</v>
      </c>
      <c r="H897" s="484">
        <v>0</v>
      </c>
      <c r="I897" s="480">
        <v>0</v>
      </c>
      <c r="J897" s="480"/>
    </row>
    <row r="898" spans="1:10" ht="63.75" outlineLevel="4">
      <c r="A898" s="481" t="s">
        <v>62</v>
      </c>
      <c r="B898" s="482" t="s">
        <v>1577</v>
      </c>
      <c r="C898" s="483" t="s">
        <v>803</v>
      </c>
      <c r="D898" s="482" t="s">
        <v>804</v>
      </c>
      <c r="E898" s="484">
        <v>1370</v>
      </c>
      <c r="F898" s="484">
        <v>1370</v>
      </c>
      <c r="G898" s="484">
        <v>366.57400000000001</v>
      </c>
      <c r="H898" s="484">
        <v>192.74726000000001</v>
      </c>
      <c r="I898" s="480">
        <v>14.07</v>
      </c>
      <c r="J898" s="480"/>
    </row>
    <row r="899" spans="1:10" ht="76.5" outlineLevel="3">
      <c r="A899" s="476" t="s">
        <v>1027</v>
      </c>
      <c r="B899" s="477" t="s">
        <v>1578</v>
      </c>
      <c r="C899" s="478"/>
      <c r="D899" s="477"/>
      <c r="E899" s="479">
        <v>135</v>
      </c>
      <c r="F899" s="479">
        <v>135</v>
      </c>
      <c r="G899" s="479">
        <v>67.84</v>
      </c>
      <c r="H899" s="479">
        <v>58.84</v>
      </c>
      <c r="I899" s="480">
        <v>43.59</v>
      </c>
      <c r="J899" s="480"/>
    </row>
    <row r="900" spans="1:10" ht="76.5" outlineLevel="4">
      <c r="A900" s="481" t="s">
        <v>1027</v>
      </c>
      <c r="B900" s="482" t="s">
        <v>1578</v>
      </c>
      <c r="C900" s="483" t="s">
        <v>803</v>
      </c>
      <c r="D900" s="482" t="s">
        <v>804</v>
      </c>
      <c r="E900" s="484">
        <v>135</v>
      </c>
      <c r="F900" s="484">
        <v>135</v>
      </c>
      <c r="G900" s="484">
        <v>67.84</v>
      </c>
      <c r="H900" s="484">
        <v>58.84</v>
      </c>
      <c r="I900" s="480">
        <v>43.59</v>
      </c>
      <c r="J900" s="480"/>
    </row>
    <row r="901" spans="1:10" ht="102" outlineLevel="2">
      <c r="A901" s="471" t="s">
        <v>1579</v>
      </c>
      <c r="B901" s="472" t="s">
        <v>1580</v>
      </c>
      <c r="C901" s="473"/>
      <c r="D901" s="472"/>
      <c r="E901" s="474">
        <v>79280.686319999993</v>
      </c>
      <c r="F901" s="474">
        <v>79280.686319999993</v>
      </c>
      <c r="G901" s="474">
        <v>33045.342120000001</v>
      </c>
      <c r="H901" s="474">
        <v>31487.13307</v>
      </c>
      <c r="I901" s="475">
        <v>39.72</v>
      </c>
      <c r="J901" s="475"/>
    </row>
    <row r="902" spans="1:10" ht="25.5" outlineLevel="3">
      <c r="A902" s="476" t="s">
        <v>873</v>
      </c>
      <c r="B902" s="477" t="s">
        <v>1581</v>
      </c>
      <c r="C902" s="478"/>
      <c r="D902" s="477"/>
      <c r="E902" s="479">
        <v>55115.498319999999</v>
      </c>
      <c r="F902" s="479">
        <v>55115.498319999999</v>
      </c>
      <c r="G902" s="479">
        <v>22150</v>
      </c>
      <c r="H902" s="479">
        <v>21806.890299999999</v>
      </c>
      <c r="I902" s="480">
        <v>39.57</v>
      </c>
      <c r="J902" s="480"/>
    </row>
    <row r="903" spans="1:10" ht="38.25" outlineLevel="4">
      <c r="A903" s="481" t="s">
        <v>873</v>
      </c>
      <c r="B903" s="482" t="s">
        <v>1581</v>
      </c>
      <c r="C903" s="483" t="s">
        <v>1582</v>
      </c>
      <c r="D903" s="482" t="s">
        <v>1583</v>
      </c>
      <c r="E903" s="484">
        <v>55115.498319999999</v>
      </c>
      <c r="F903" s="484">
        <v>55115.498319999999</v>
      </c>
      <c r="G903" s="484">
        <v>22150</v>
      </c>
      <c r="H903" s="484">
        <v>21806.890299999999</v>
      </c>
      <c r="I903" s="480">
        <v>39.57</v>
      </c>
      <c r="J903" s="480"/>
    </row>
    <row r="904" spans="1:10" ht="38.25" outlineLevel="3">
      <c r="A904" s="476" t="s">
        <v>854</v>
      </c>
      <c r="B904" s="477" t="s">
        <v>1584</v>
      </c>
      <c r="C904" s="478"/>
      <c r="D904" s="477"/>
      <c r="E904" s="479">
        <v>1258.4793999999999</v>
      </c>
      <c r="F904" s="479">
        <v>1258.4793999999999</v>
      </c>
      <c r="G904" s="479">
        <v>317.00389999999999</v>
      </c>
      <c r="H904" s="479">
        <v>295.28136999999998</v>
      </c>
      <c r="I904" s="480">
        <v>23.46</v>
      </c>
      <c r="J904" s="480"/>
    </row>
    <row r="905" spans="1:10" ht="38.25" outlineLevel="4">
      <c r="A905" s="481" t="s">
        <v>854</v>
      </c>
      <c r="B905" s="482" t="s">
        <v>1584</v>
      </c>
      <c r="C905" s="483" t="s">
        <v>1582</v>
      </c>
      <c r="D905" s="482" t="s">
        <v>1583</v>
      </c>
      <c r="E905" s="484">
        <v>1258.4793999999999</v>
      </c>
      <c r="F905" s="484">
        <v>1258.4793999999999</v>
      </c>
      <c r="G905" s="484">
        <v>317.00389999999999</v>
      </c>
      <c r="H905" s="484">
        <v>295.28136999999998</v>
      </c>
      <c r="I905" s="480">
        <v>23.46</v>
      </c>
      <c r="J905" s="480"/>
    </row>
    <row r="906" spans="1:10" ht="76.5" outlineLevel="3">
      <c r="A906" s="476" t="s">
        <v>702</v>
      </c>
      <c r="B906" s="477" t="s">
        <v>1585</v>
      </c>
      <c r="C906" s="478"/>
      <c r="D906" s="477"/>
      <c r="E906" s="479">
        <v>21710.908599999999</v>
      </c>
      <c r="F906" s="479">
        <v>21710.908599999999</v>
      </c>
      <c r="G906" s="479">
        <v>10485.037270000001</v>
      </c>
      <c r="H906" s="479">
        <v>9298.4441800000004</v>
      </c>
      <c r="I906" s="480">
        <v>42.83</v>
      </c>
      <c r="J906" s="480"/>
    </row>
    <row r="907" spans="1:10" ht="76.5" outlineLevel="4">
      <c r="A907" s="481" t="s">
        <v>702</v>
      </c>
      <c r="B907" s="482" t="s">
        <v>1585</v>
      </c>
      <c r="C907" s="483" t="s">
        <v>1582</v>
      </c>
      <c r="D907" s="482" t="s">
        <v>1583</v>
      </c>
      <c r="E907" s="484">
        <v>21710.908599999999</v>
      </c>
      <c r="F907" s="484">
        <v>21710.908599999999</v>
      </c>
      <c r="G907" s="484">
        <v>10485.037270000001</v>
      </c>
      <c r="H907" s="484">
        <v>9298.4441800000004</v>
      </c>
      <c r="I907" s="480">
        <v>42.83</v>
      </c>
      <c r="J907" s="480"/>
    </row>
    <row r="908" spans="1:10" ht="63.75" outlineLevel="3">
      <c r="A908" s="476" t="s">
        <v>62</v>
      </c>
      <c r="B908" s="477" t="s">
        <v>1586</v>
      </c>
      <c r="C908" s="478"/>
      <c r="D908" s="477"/>
      <c r="E908" s="479">
        <v>1195.8</v>
      </c>
      <c r="F908" s="479">
        <v>1195.8</v>
      </c>
      <c r="G908" s="479">
        <v>93.30095</v>
      </c>
      <c r="H908" s="479">
        <v>86.517219999999995</v>
      </c>
      <c r="I908" s="480">
        <v>7.24</v>
      </c>
      <c r="J908" s="480"/>
    </row>
    <row r="909" spans="1:10" ht="63.75" outlineLevel="4">
      <c r="A909" s="481" t="s">
        <v>62</v>
      </c>
      <c r="B909" s="482" t="s">
        <v>1586</v>
      </c>
      <c r="C909" s="483" t="s">
        <v>1582</v>
      </c>
      <c r="D909" s="482" t="s">
        <v>1583</v>
      </c>
      <c r="E909" s="484">
        <v>1195.8</v>
      </c>
      <c r="F909" s="484">
        <v>1195.8</v>
      </c>
      <c r="G909" s="484">
        <v>93.30095</v>
      </c>
      <c r="H909" s="484">
        <v>86.517219999999995</v>
      </c>
      <c r="I909" s="480">
        <v>7.24</v>
      </c>
      <c r="J909" s="480"/>
    </row>
    <row r="910" spans="1:10" ht="51" outlineLevel="1">
      <c r="A910" s="466" t="s">
        <v>1587</v>
      </c>
      <c r="B910" s="467" t="s">
        <v>1588</v>
      </c>
      <c r="C910" s="468"/>
      <c r="D910" s="467"/>
      <c r="E910" s="469">
        <v>78733.511199999994</v>
      </c>
      <c r="F910" s="469">
        <v>73733.511199999994</v>
      </c>
      <c r="G910" s="469">
        <v>34516.515630000002</v>
      </c>
      <c r="H910" s="469">
        <v>33069.528160000002</v>
      </c>
      <c r="I910" s="470">
        <v>42</v>
      </c>
      <c r="J910" s="470"/>
    </row>
    <row r="911" spans="1:10" ht="140.25" outlineLevel="2">
      <c r="A911" s="471" t="s">
        <v>1589</v>
      </c>
      <c r="B911" s="472" t="s">
        <v>1590</v>
      </c>
      <c r="C911" s="473"/>
      <c r="D911" s="472"/>
      <c r="E911" s="474">
        <v>78733.511199999994</v>
      </c>
      <c r="F911" s="474">
        <v>73733.511199999994</v>
      </c>
      <c r="G911" s="474">
        <v>34516.515630000002</v>
      </c>
      <c r="H911" s="474">
        <v>33069.528160000002</v>
      </c>
      <c r="I911" s="475">
        <v>42</v>
      </c>
      <c r="J911" s="475"/>
    </row>
    <row r="912" spans="1:10" ht="25.5" outlineLevel="3">
      <c r="A912" s="476" t="s">
        <v>873</v>
      </c>
      <c r="B912" s="477" t="s">
        <v>1591</v>
      </c>
      <c r="C912" s="478"/>
      <c r="D912" s="477"/>
      <c r="E912" s="479">
        <v>68142.661189999999</v>
      </c>
      <c r="F912" s="479">
        <v>68142.661189999999</v>
      </c>
      <c r="G912" s="479">
        <v>33207.5</v>
      </c>
      <c r="H912" s="479">
        <v>31842.113549999998</v>
      </c>
      <c r="I912" s="480">
        <v>46.73</v>
      </c>
      <c r="J912" s="480"/>
    </row>
    <row r="913" spans="1:10" ht="25.5" outlineLevel="4">
      <c r="A913" s="481" t="s">
        <v>873</v>
      </c>
      <c r="B913" s="482" t="s">
        <v>1591</v>
      </c>
      <c r="C913" s="483" t="s">
        <v>1592</v>
      </c>
      <c r="D913" s="482" t="s">
        <v>1593</v>
      </c>
      <c r="E913" s="484">
        <v>68142.661189999999</v>
      </c>
      <c r="F913" s="484">
        <v>68142.661189999999</v>
      </c>
      <c r="G913" s="484">
        <v>33207.5</v>
      </c>
      <c r="H913" s="484">
        <v>31842.113549999998</v>
      </c>
      <c r="I913" s="480">
        <v>46.73</v>
      </c>
      <c r="J913" s="480"/>
    </row>
    <row r="914" spans="1:10" ht="38.25" outlineLevel="3">
      <c r="A914" s="476" t="s">
        <v>854</v>
      </c>
      <c r="B914" s="477" t="s">
        <v>1594</v>
      </c>
      <c r="C914" s="478"/>
      <c r="D914" s="477"/>
      <c r="E914" s="479">
        <v>9727.8507900000004</v>
      </c>
      <c r="F914" s="479">
        <v>4727.8507900000004</v>
      </c>
      <c r="G914" s="479">
        <v>1193.40128</v>
      </c>
      <c r="H914" s="479">
        <v>1165.1432</v>
      </c>
      <c r="I914" s="480">
        <v>11.98</v>
      </c>
      <c r="J914" s="480"/>
    </row>
    <row r="915" spans="1:10" ht="38.25" outlineLevel="4">
      <c r="A915" s="481" t="s">
        <v>854</v>
      </c>
      <c r="B915" s="482" t="s">
        <v>1594</v>
      </c>
      <c r="C915" s="483" t="s">
        <v>1592</v>
      </c>
      <c r="D915" s="482" t="s">
        <v>1593</v>
      </c>
      <c r="E915" s="484">
        <v>9727.8507900000004</v>
      </c>
      <c r="F915" s="484">
        <v>4727.8507900000004</v>
      </c>
      <c r="G915" s="484">
        <v>1193.40128</v>
      </c>
      <c r="H915" s="484">
        <v>1165.1432</v>
      </c>
      <c r="I915" s="480">
        <v>11.98</v>
      </c>
      <c r="J915" s="480"/>
    </row>
    <row r="916" spans="1:10" ht="63.75" outlineLevel="3">
      <c r="A916" s="476" t="s">
        <v>62</v>
      </c>
      <c r="B916" s="477" t="s">
        <v>1595</v>
      </c>
      <c r="C916" s="478"/>
      <c r="D916" s="477"/>
      <c r="E916" s="479">
        <v>862.99922000000004</v>
      </c>
      <c r="F916" s="479">
        <v>862.99922000000004</v>
      </c>
      <c r="G916" s="479">
        <v>115.61435</v>
      </c>
      <c r="H916" s="479">
        <v>62.271410000000003</v>
      </c>
      <c r="I916" s="480">
        <v>7.22</v>
      </c>
      <c r="J916" s="480"/>
    </row>
    <row r="917" spans="1:10" ht="63.75" outlineLevel="4">
      <c r="A917" s="481" t="s">
        <v>62</v>
      </c>
      <c r="B917" s="482" t="s">
        <v>1595</v>
      </c>
      <c r="C917" s="483" t="s">
        <v>1592</v>
      </c>
      <c r="D917" s="482" t="s">
        <v>1593</v>
      </c>
      <c r="E917" s="484">
        <v>862.99922000000004</v>
      </c>
      <c r="F917" s="484">
        <v>862.99922000000004</v>
      </c>
      <c r="G917" s="484">
        <v>115.61435</v>
      </c>
      <c r="H917" s="484">
        <v>62.271410000000003</v>
      </c>
      <c r="I917" s="480">
        <v>7.22</v>
      </c>
      <c r="J917" s="480"/>
    </row>
    <row r="918" spans="1:10" ht="63.75" outlineLevel="1">
      <c r="A918" s="466" t="s">
        <v>1596</v>
      </c>
      <c r="B918" s="467" t="s">
        <v>1597</v>
      </c>
      <c r="C918" s="468"/>
      <c r="D918" s="467"/>
      <c r="E918" s="469">
        <v>3114959.42178</v>
      </c>
      <c r="F918" s="469">
        <v>2146274.45603</v>
      </c>
      <c r="G918" s="469">
        <v>1956042.5561800001</v>
      </c>
      <c r="H918" s="469">
        <v>1953395.38353</v>
      </c>
      <c r="I918" s="470">
        <v>62.71</v>
      </c>
      <c r="J918" s="470"/>
    </row>
    <row r="919" spans="1:10" ht="102" outlineLevel="2">
      <c r="A919" s="471" t="s">
        <v>1598</v>
      </c>
      <c r="B919" s="472" t="s">
        <v>1599</v>
      </c>
      <c r="C919" s="473"/>
      <c r="D919" s="472"/>
      <c r="E919" s="474">
        <v>2250</v>
      </c>
      <c r="F919" s="474">
        <v>2250</v>
      </c>
      <c r="G919" s="474">
        <v>0</v>
      </c>
      <c r="H919" s="474">
        <v>0</v>
      </c>
      <c r="I919" s="475">
        <v>0</v>
      </c>
      <c r="J919" s="475"/>
    </row>
    <row r="920" spans="1:10" ht="25.5" outlineLevel="3">
      <c r="A920" s="476" t="s">
        <v>713</v>
      </c>
      <c r="B920" s="477" t="s">
        <v>1600</v>
      </c>
      <c r="C920" s="478"/>
      <c r="D920" s="477"/>
      <c r="E920" s="479">
        <v>2250</v>
      </c>
      <c r="F920" s="479">
        <v>2250</v>
      </c>
      <c r="G920" s="479">
        <v>0</v>
      </c>
      <c r="H920" s="479">
        <v>0</v>
      </c>
      <c r="I920" s="480">
        <v>0</v>
      </c>
      <c r="J920" s="480"/>
    </row>
    <row r="921" spans="1:10" ht="38.25" outlineLevel="4">
      <c r="A921" s="481" t="s">
        <v>713</v>
      </c>
      <c r="B921" s="482" t="s">
        <v>1600</v>
      </c>
      <c r="C921" s="483" t="s">
        <v>1582</v>
      </c>
      <c r="D921" s="482" t="s">
        <v>1583</v>
      </c>
      <c r="E921" s="484">
        <v>2250</v>
      </c>
      <c r="F921" s="484">
        <v>2250</v>
      </c>
      <c r="G921" s="484">
        <v>0</v>
      </c>
      <c r="H921" s="484">
        <v>0</v>
      </c>
      <c r="I921" s="480">
        <v>0</v>
      </c>
      <c r="J921" s="480"/>
    </row>
    <row r="922" spans="1:10" ht="38.25" outlineLevel="2">
      <c r="A922" s="471" t="s">
        <v>1601</v>
      </c>
      <c r="B922" s="472" t="s">
        <v>1602</v>
      </c>
      <c r="C922" s="473"/>
      <c r="D922" s="472"/>
      <c r="E922" s="474">
        <v>3690.5219999999999</v>
      </c>
      <c r="F922" s="474">
        <v>3690.5219999999999</v>
      </c>
      <c r="G922" s="474">
        <v>0</v>
      </c>
      <c r="H922" s="474">
        <v>0</v>
      </c>
      <c r="I922" s="475">
        <v>0</v>
      </c>
      <c r="J922" s="475"/>
    </row>
    <row r="923" spans="1:10" ht="38.25" outlineLevel="3">
      <c r="A923" s="476" t="s">
        <v>982</v>
      </c>
      <c r="B923" s="477" t="s">
        <v>1603</v>
      </c>
      <c r="C923" s="478"/>
      <c r="D923" s="477"/>
      <c r="E923" s="479">
        <v>3690.5219999999999</v>
      </c>
      <c r="F923" s="479">
        <v>3690.5219999999999</v>
      </c>
      <c r="G923" s="479">
        <v>0</v>
      </c>
      <c r="H923" s="479">
        <v>0</v>
      </c>
      <c r="I923" s="480">
        <v>0</v>
      </c>
      <c r="J923" s="480"/>
    </row>
    <row r="924" spans="1:10" ht="38.25" outlineLevel="4">
      <c r="A924" s="481" t="s">
        <v>982</v>
      </c>
      <c r="B924" s="482" t="s">
        <v>1603</v>
      </c>
      <c r="C924" s="483" t="s">
        <v>803</v>
      </c>
      <c r="D924" s="482" t="s">
        <v>804</v>
      </c>
      <c r="E924" s="484">
        <v>3690.5219999999999</v>
      </c>
      <c r="F924" s="484">
        <v>3690.5219999999999</v>
      </c>
      <c r="G924" s="484">
        <v>0</v>
      </c>
      <c r="H924" s="484">
        <v>0</v>
      </c>
      <c r="I924" s="480">
        <v>0</v>
      </c>
      <c r="J924" s="480"/>
    </row>
    <row r="925" spans="1:10" ht="38.25" outlineLevel="2">
      <c r="A925" s="471" t="s">
        <v>1604</v>
      </c>
      <c r="B925" s="472" t="s">
        <v>1605</v>
      </c>
      <c r="C925" s="473"/>
      <c r="D925" s="472"/>
      <c r="E925" s="474">
        <v>2900574.6201399998</v>
      </c>
      <c r="F925" s="474">
        <v>1934473.32589</v>
      </c>
      <c r="G925" s="474">
        <v>1916029.21209</v>
      </c>
      <c r="H925" s="474">
        <v>1913382.03944</v>
      </c>
      <c r="I925" s="475">
        <v>65.97</v>
      </c>
      <c r="J925" s="475"/>
    </row>
    <row r="926" spans="1:10" ht="76.5" outlineLevel="3">
      <c r="A926" s="476" t="s">
        <v>1606</v>
      </c>
      <c r="B926" s="477" t="s">
        <v>1607</v>
      </c>
      <c r="C926" s="478"/>
      <c r="D926" s="477"/>
      <c r="E926" s="479">
        <v>11635</v>
      </c>
      <c r="F926" s="479">
        <v>11635</v>
      </c>
      <c r="G926" s="479">
        <v>11635</v>
      </c>
      <c r="H926" s="479">
        <v>11635</v>
      </c>
      <c r="I926" s="480">
        <v>100</v>
      </c>
      <c r="J926" s="480"/>
    </row>
    <row r="927" spans="1:10" ht="76.5" outlineLevel="4">
      <c r="A927" s="481" t="s">
        <v>1606</v>
      </c>
      <c r="B927" s="482" t="s">
        <v>1607</v>
      </c>
      <c r="C927" s="483" t="s">
        <v>1582</v>
      </c>
      <c r="D927" s="482" t="s">
        <v>1583</v>
      </c>
      <c r="E927" s="484">
        <v>11635</v>
      </c>
      <c r="F927" s="484">
        <v>11635</v>
      </c>
      <c r="G927" s="484">
        <v>11635</v>
      </c>
      <c r="H927" s="484">
        <v>11635</v>
      </c>
      <c r="I927" s="480">
        <v>100</v>
      </c>
      <c r="J927" s="480"/>
    </row>
    <row r="928" spans="1:10" ht="76.5" outlineLevel="3">
      <c r="A928" s="476" t="s">
        <v>1608</v>
      </c>
      <c r="B928" s="477" t="s">
        <v>1609</v>
      </c>
      <c r="C928" s="478"/>
      <c r="D928" s="477"/>
      <c r="E928" s="479">
        <v>116000.5</v>
      </c>
      <c r="F928" s="479">
        <v>107847.45892</v>
      </c>
      <c r="G928" s="479">
        <v>89403.345119999998</v>
      </c>
      <c r="H928" s="479">
        <v>89403.345119999998</v>
      </c>
      <c r="I928" s="480">
        <v>77.069999999999993</v>
      </c>
      <c r="J928" s="480"/>
    </row>
    <row r="929" spans="1:10" ht="76.5" outlineLevel="4">
      <c r="A929" s="481" t="s">
        <v>1608</v>
      </c>
      <c r="B929" s="482" t="s">
        <v>1609</v>
      </c>
      <c r="C929" s="483" t="s">
        <v>1582</v>
      </c>
      <c r="D929" s="482" t="s">
        <v>1583</v>
      </c>
      <c r="E929" s="484">
        <v>116000.5</v>
      </c>
      <c r="F929" s="484">
        <v>107847.45892</v>
      </c>
      <c r="G929" s="484">
        <v>89403.345119999998</v>
      </c>
      <c r="H929" s="484">
        <v>89403.345119999998</v>
      </c>
      <c r="I929" s="480">
        <v>77.069999999999993</v>
      </c>
      <c r="J929" s="480"/>
    </row>
    <row r="930" spans="1:10" ht="63.75" outlineLevel="3">
      <c r="A930" s="476" t="s">
        <v>1610</v>
      </c>
      <c r="B930" s="477" t="s">
        <v>1611</v>
      </c>
      <c r="C930" s="478"/>
      <c r="D930" s="477"/>
      <c r="E930" s="479">
        <v>2570758.1884499998</v>
      </c>
      <c r="F930" s="479">
        <v>1623965.0058800001</v>
      </c>
      <c r="G930" s="479">
        <v>1623965.0058800001</v>
      </c>
      <c r="H930" s="479">
        <v>1621317.83323</v>
      </c>
      <c r="I930" s="480">
        <v>63.07</v>
      </c>
      <c r="J930" s="480"/>
    </row>
    <row r="931" spans="1:10" ht="63.75" outlineLevel="4">
      <c r="A931" s="481" t="s">
        <v>1610</v>
      </c>
      <c r="B931" s="482" t="s">
        <v>1611</v>
      </c>
      <c r="C931" s="483" t="s">
        <v>1582</v>
      </c>
      <c r="D931" s="482" t="s">
        <v>1583</v>
      </c>
      <c r="E931" s="484">
        <v>2570758.1884499998</v>
      </c>
      <c r="F931" s="484">
        <v>1623965.0058800001</v>
      </c>
      <c r="G931" s="484">
        <v>1623965.0058800001</v>
      </c>
      <c r="H931" s="484">
        <v>1621317.83323</v>
      </c>
      <c r="I931" s="480">
        <v>63.07</v>
      </c>
      <c r="J931" s="480"/>
    </row>
    <row r="932" spans="1:10" ht="51" outlineLevel="3">
      <c r="A932" s="476" t="s">
        <v>1612</v>
      </c>
      <c r="B932" s="477" t="s">
        <v>1613</v>
      </c>
      <c r="C932" s="478"/>
      <c r="D932" s="477"/>
      <c r="E932" s="479">
        <v>202180.93169</v>
      </c>
      <c r="F932" s="479">
        <v>191025.86108999999</v>
      </c>
      <c r="G932" s="479">
        <v>191025.86108999999</v>
      </c>
      <c r="H932" s="479">
        <v>191025.86108999999</v>
      </c>
      <c r="I932" s="480">
        <v>94.48</v>
      </c>
      <c r="J932" s="480"/>
    </row>
    <row r="933" spans="1:10" ht="51" outlineLevel="4">
      <c r="A933" s="481" t="s">
        <v>1612</v>
      </c>
      <c r="B933" s="482" t="s">
        <v>1613</v>
      </c>
      <c r="C933" s="483" t="s">
        <v>1582</v>
      </c>
      <c r="D933" s="482" t="s">
        <v>1583</v>
      </c>
      <c r="E933" s="484">
        <v>202180.93169</v>
      </c>
      <c r="F933" s="484">
        <v>191025.86108999999</v>
      </c>
      <c r="G933" s="484">
        <v>191025.86108999999</v>
      </c>
      <c r="H933" s="484">
        <v>191025.86108999999</v>
      </c>
      <c r="I933" s="480">
        <v>94.48</v>
      </c>
      <c r="J933" s="480"/>
    </row>
    <row r="934" spans="1:10" ht="76.5" outlineLevel="2">
      <c r="A934" s="471" t="s">
        <v>1614</v>
      </c>
      <c r="B934" s="472" t="s">
        <v>1615</v>
      </c>
      <c r="C934" s="473"/>
      <c r="D934" s="472"/>
      <c r="E934" s="474">
        <v>208444.27963999999</v>
      </c>
      <c r="F934" s="474">
        <v>205860.60814</v>
      </c>
      <c r="G934" s="474">
        <v>40013.344089999999</v>
      </c>
      <c r="H934" s="474">
        <v>40013.344089999999</v>
      </c>
      <c r="I934" s="475">
        <v>19.2</v>
      </c>
      <c r="J934" s="475"/>
    </row>
    <row r="935" spans="1:10" ht="63.75" outlineLevel="3">
      <c r="A935" s="476" t="s">
        <v>1616</v>
      </c>
      <c r="B935" s="477" t="s">
        <v>1617</v>
      </c>
      <c r="C935" s="478"/>
      <c r="D935" s="477"/>
      <c r="E935" s="479">
        <v>48979.758900000001</v>
      </c>
      <c r="F935" s="479">
        <v>48979.758900000001</v>
      </c>
      <c r="G935" s="479">
        <v>40013.344089999999</v>
      </c>
      <c r="H935" s="479">
        <v>40013.344089999999</v>
      </c>
      <c r="I935" s="480">
        <v>81.69</v>
      </c>
      <c r="J935" s="480"/>
    </row>
    <row r="936" spans="1:10" ht="63.75" outlineLevel="4">
      <c r="A936" s="481" t="s">
        <v>1616</v>
      </c>
      <c r="B936" s="482" t="s">
        <v>1617</v>
      </c>
      <c r="C936" s="483" t="s">
        <v>1582</v>
      </c>
      <c r="D936" s="482" t="s">
        <v>1583</v>
      </c>
      <c r="E936" s="484">
        <v>48979.758900000001</v>
      </c>
      <c r="F936" s="484">
        <v>48979.758900000001</v>
      </c>
      <c r="G936" s="484">
        <v>40013.344089999999</v>
      </c>
      <c r="H936" s="484">
        <v>40013.344089999999</v>
      </c>
      <c r="I936" s="480">
        <v>81.69</v>
      </c>
      <c r="J936" s="480"/>
    </row>
    <row r="937" spans="1:10" ht="38.25" outlineLevel="3">
      <c r="A937" s="476" t="s">
        <v>1618</v>
      </c>
      <c r="B937" s="477" t="s">
        <v>1619</v>
      </c>
      <c r="C937" s="478"/>
      <c r="D937" s="477"/>
      <c r="E937" s="479">
        <v>91267.3</v>
      </c>
      <c r="F937" s="479">
        <v>88757.713109999997</v>
      </c>
      <c r="G937" s="479">
        <v>0</v>
      </c>
      <c r="H937" s="479">
        <v>0</v>
      </c>
      <c r="I937" s="480">
        <v>0</v>
      </c>
      <c r="J937" s="480"/>
    </row>
    <row r="938" spans="1:10" ht="38.25" outlineLevel="4">
      <c r="A938" s="481" t="s">
        <v>1618</v>
      </c>
      <c r="B938" s="482" t="s">
        <v>1619</v>
      </c>
      <c r="C938" s="483" t="s">
        <v>1582</v>
      </c>
      <c r="D938" s="482" t="s">
        <v>1583</v>
      </c>
      <c r="E938" s="484">
        <v>91267.3</v>
      </c>
      <c r="F938" s="484">
        <v>88757.713109999997</v>
      </c>
      <c r="G938" s="484">
        <v>0</v>
      </c>
      <c r="H938" s="484">
        <v>0</v>
      </c>
      <c r="I938" s="480">
        <v>0</v>
      </c>
      <c r="J938" s="480"/>
    </row>
    <row r="939" spans="1:10" ht="51" outlineLevel="3">
      <c r="A939" s="476" t="s">
        <v>1620</v>
      </c>
      <c r="B939" s="477" t="s">
        <v>1621</v>
      </c>
      <c r="C939" s="478"/>
      <c r="D939" s="477"/>
      <c r="E939" s="479">
        <v>68197.220740000004</v>
      </c>
      <c r="F939" s="479">
        <v>68123.136129999999</v>
      </c>
      <c r="G939" s="479">
        <v>0</v>
      </c>
      <c r="H939" s="479">
        <v>0</v>
      </c>
      <c r="I939" s="480">
        <v>0</v>
      </c>
      <c r="J939" s="480"/>
    </row>
    <row r="940" spans="1:10" ht="51" outlineLevel="4">
      <c r="A940" s="481" t="s">
        <v>1620</v>
      </c>
      <c r="B940" s="482" t="s">
        <v>1621</v>
      </c>
      <c r="C940" s="483" t="s">
        <v>1582</v>
      </c>
      <c r="D940" s="482" t="s">
        <v>1583</v>
      </c>
      <c r="E940" s="484">
        <v>68197.220740000004</v>
      </c>
      <c r="F940" s="484">
        <v>68123.136129999999</v>
      </c>
      <c r="G940" s="484">
        <v>0</v>
      </c>
      <c r="H940" s="484">
        <v>0</v>
      </c>
      <c r="I940" s="480">
        <v>0</v>
      </c>
      <c r="J940" s="480"/>
    </row>
    <row r="941" spans="1:10" ht="60.75" collapsed="1" thickBot="1">
      <c r="A941" s="461" t="s">
        <v>1622</v>
      </c>
      <c r="B941" s="462" t="s">
        <v>1623</v>
      </c>
      <c r="C941" s="463"/>
      <c r="D941" s="462"/>
      <c r="E941" s="464">
        <v>1852716.7507799999</v>
      </c>
      <c r="F941" s="464">
        <v>1837220.4507800001</v>
      </c>
      <c r="G941" s="464">
        <v>837245.35230000003</v>
      </c>
      <c r="H941" s="464">
        <v>749939.91046000004</v>
      </c>
      <c r="I941" s="465">
        <v>40.479999999999997</v>
      </c>
      <c r="J941" s="465"/>
    </row>
    <row r="942" spans="1:10" ht="25.5" outlineLevel="1">
      <c r="A942" s="466" t="s">
        <v>1624</v>
      </c>
      <c r="B942" s="467" t="s">
        <v>1625</v>
      </c>
      <c r="C942" s="468"/>
      <c r="D942" s="467"/>
      <c r="E942" s="469">
        <v>129039.20001</v>
      </c>
      <c r="F942" s="469">
        <v>128976.20001</v>
      </c>
      <c r="G942" s="469">
        <v>14348.96336</v>
      </c>
      <c r="H942" s="469">
        <v>12087.925859999999</v>
      </c>
      <c r="I942" s="470">
        <v>9.3699999999999992</v>
      </c>
      <c r="J942" s="470"/>
    </row>
    <row r="943" spans="1:10" ht="38.25" outlineLevel="2">
      <c r="A943" s="471" t="s">
        <v>1626</v>
      </c>
      <c r="B943" s="472" t="s">
        <v>1627</v>
      </c>
      <c r="C943" s="473"/>
      <c r="D943" s="472"/>
      <c r="E943" s="474">
        <v>103</v>
      </c>
      <c r="F943" s="474">
        <v>40</v>
      </c>
      <c r="G943" s="474">
        <v>21.3</v>
      </c>
      <c r="H943" s="474">
        <v>21.3</v>
      </c>
      <c r="I943" s="475">
        <v>20.68</v>
      </c>
      <c r="J943" s="475"/>
    </row>
    <row r="944" spans="1:10" ht="76.5" outlineLevel="3">
      <c r="A944" s="476" t="s">
        <v>702</v>
      </c>
      <c r="B944" s="477" t="s">
        <v>1628</v>
      </c>
      <c r="C944" s="478"/>
      <c r="D944" s="477"/>
      <c r="E944" s="479">
        <v>63</v>
      </c>
      <c r="F944" s="479">
        <v>0</v>
      </c>
      <c r="G944" s="479">
        <v>0</v>
      </c>
      <c r="H944" s="479">
        <v>0</v>
      </c>
      <c r="I944" s="480">
        <v>0</v>
      </c>
      <c r="J944" s="480"/>
    </row>
    <row r="945" spans="1:10" ht="76.5" outlineLevel="4">
      <c r="A945" s="481" t="s">
        <v>702</v>
      </c>
      <c r="B945" s="482" t="s">
        <v>1628</v>
      </c>
      <c r="C945" s="483" t="s">
        <v>896</v>
      </c>
      <c r="D945" s="482" t="s">
        <v>897</v>
      </c>
      <c r="E945" s="484">
        <v>63</v>
      </c>
      <c r="F945" s="484">
        <v>0</v>
      </c>
      <c r="G945" s="484">
        <v>0</v>
      </c>
      <c r="H945" s="484">
        <v>0</v>
      </c>
      <c r="I945" s="480">
        <v>0</v>
      </c>
      <c r="J945" s="480"/>
    </row>
    <row r="946" spans="1:10" ht="25.5" outlineLevel="3">
      <c r="A946" s="476" t="s">
        <v>713</v>
      </c>
      <c r="B946" s="477" t="s">
        <v>1629</v>
      </c>
      <c r="C946" s="478"/>
      <c r="D946" s="477"/>
      <c r="E946" s="479">
        <v>40</v>
      </c>
      <c r="F946" s="479">
        <v>40</v>
      </c>
      <c r="G946" s="479">
        <v>21.3</v>
      </c>
      <c r="H946" s="479">
        <v>21.3</v>
      </c>
      <c r="I946" s="480">
        <v>53.25</v>
      </c>
      <c r="J946" s="480"/>
    </row>
    <row r="947" spans="1:10" ht="25.5" outlineLevel="4">
      <c r="A947" s="481" t="s">
        <v>713</v>
      </c>
      <c r="B947" s="482" t="s">
        <v>1629</v>
      </c>
      <c r="C947" s="483" t="s">
        <v>715</v>
      </c>
      <c r="D947" s="482" t="s">
        <v>716</v>
      </c>
      <c r="E947" s="484">
        <v>40</v>
      </c>
      <c r="F947" s="484">
        <v>40</v>
      </c>
      <c r="G947" s="484">
        <v>21.3</v>
      </c>
      <c r="H947" s="484">
        <v>21.3</v>
      </c>
      <c r="I947" s="480">
        <v>53.25</v>
      </c>
      <c r="J947" s="480"/>
    </row>
    <row r="948" spans="1:10" ht="63.75" outlineLevel="2">
      <c r="A948" s="471" t="s">
        <v>1630</v>
      </c>
      <c r="B948" s="472" t="s">
        <v>1631</v>
      </c>
      <c r="C948" s="473"/>
      <c r="D948" s="472"/>
      <c r="E948" s="474">
        <v>28631.800009999999</v>
      </c>
      <c r="F948" s="474">
        <v>28631.800009999999</v>
      </c>
      <c r="G948" s="474">
        <v>14275.807360000001</v>
      </c>
      <c r="H948" s="474">
        <v>12014.76986</v>
      </c>
      <c r="I948" s="475">
        <v>41.96</v>
      </c>
      <c r="J948" s="475"/>
    </row>
    <row r="949" spans="1:10" ht="51" outlineLevel="3">
      <c r="A949" s="476" t="s">
        <v>1632</v>
      </c>
      <c r="B949" s="477" t="s">
        <v>1633</v>
      </c>
      <c r="C949" s="478"/>
      <c r="D949" s="477"/>
      <c r="E949" s="479">
        <v>28631.800009999999</v>
      </c>
      <c r="F949" s="479">
        <v>28631.800009999999</v>
      </c>
      <c r="G949" s="479">
        <v>14275.807360000001</v>
      </c>
      <c r="H949" s="479">
        <v>12014.76986</v>
      </c>
      <c r="I949" s="480">
        <v>41.96</v>
      </c>
      <c r="J949" s="480"/>
    </row>
    <row r="950" spans="1:10" ht="51" outlineLevel="4">
      <c r="A950" s="481" t="s">
        <v>1632</v>
      </c>
      <c r="B950" s="482" t="s">
        <v>1633</v>
      </c>
      <c r="C950" s="483" t="s">
        <v>715</v>
      </c>
      <c r="D950" s="482" t="s">
        <v>716</v>
      </c>
      <c r="E950" s="484">
        <v>28631.800009999999</v>
      </c>
      <c r="F950" s="484">
        <v>28631.800009999999</v>
      </c>
      <c r="G950" s="484">
        <v>14275.807360000001</v>
      </c>
      <c r="H950" s="484">
        <v>12014.76986</v>
      </c>
      <c r="I950" s="480">
        <v>41.96</v>
      </c>
      <c r="J950" s="480"/>
    </row>
    <row r="951" spans="1:10" ht="63.75" outlineLevel="2">
      <c r="A951" s="471" t="s">
        <v>1634</v>
      </c>
      <c r="B951" s="472" t="s">
        <v>1635</v>
      </c>
      <c r="C951" s="473"/>
      <c r="D951" s="472"/>
      <c r="E951" s="474">
        <v>99666.7</v>
      </c>
      <c r="F951" s="474">
        <v>99666.7</v>
      </c>
      <c r="G951" s="474">
        <v>0</v>
      </c>
      <c r="H951" s="474">
        <v>0</v>
      </c>
      <c r="I951" s="475">
        <v>0</v>
      </c>
      <c r="J951" s="475"/>
    </row>
    <row r="952" spans="1:10" ht="25.5" outlineLevel="3">
      <c r="A952" s="476" t="s">
        <v>713</v>
      </c>
      <c r="B952" s="477" t="s">
        <v>1636</v>
      </c>
      <c r="C952" s="478"/>
      <c r="D952" s="477"/>
      <c r="E952" s="479">
        <v>99666.7</v>
      </c>
      <c r="F952" s="479">
        <v>99666.7</v>
      </c>
      <c r="G952" s="479">
        <v>0</v>
      </c>
      <c r="H952" s="479">
        <v>0</v>
      </c>
      <c r="I952" s="480">
        <v>0</v>
      </c>
      <c r="J952" s="480"/>
    </row>
    <row r="953" spans="1:10" ht="25.5" outlineLevel="4">
      <c r="A953" s="481" t="s">
        <v>713</v>
      </c>
      <c r="B953" s="482" t="s">
        <v>1636</v>
      </c>
      <c r="C953" s="483" t="s">
        <v>715</v>
      </c>
      <c r="D953" s="482" t="s">
        <v>716</v>
      </c>
      <c r="E953" s="484">
        <v>99666.7</v>
      </c>
      <c r="F953" s="484">
        <v>99666.7</v>
      </c>
      <c r="G953" s="484">
        <v>0</v>
      </c>
      <c r="H953" s="484">
        <v>0</v>
      </c>
      <c r="I953" s="480">
        <v>0</v>
      </c>
      <c r="J953" s="480"/>
    </row>
    <row r="954" spans="1:10" ht="89.25" outlineLevel="2">
      <c r="A954" s="471" t="s">
        <v>1637</v>
      </c>
      <c r="B954" s="472" t="s">
        <v>1638</v>
      </c>
      <c r="C954" s="473"/>
      <c r="D954" s="472"/>
      <c r="E954" s="474">
        <v>585.70000000000005</v>
      </c>
      <c r="F954" s="474">
        <v>585.70000000000005</v>
      </c>
      <c r="G954" s="474">
        <v>51.856000000000002</v>
      </c>
      <c r="H954" s="474">
        <v>51.856000000000002</v>
      </c>
      <c r="I954" s="475">
        <v>8.85</v>
      </c>
      <c r="J954" s="475"/>
    </row>
    <row r="955" spans="1:10" ht="76.5" outlineLevel="3">
      <c r="A955" s="476" t="s">
        <v>702</v>
      </c>
      <c r="B955" s="477" t="s">
        <v>1639</v>
      </c>
      <c r="C955" s="478"/>
      <c r="D955" s="477"/>
      <c r="E955" s="479">
        <v>55</v>
      </c>
      <c r="F955" s="479">
        <v>55</v>
      </c>
      <c r="G955" s="479">
        <v>51.856000000000002</v>
      </c>
      <c r="H955" s="479">
        <v>51.856000000000002</v>
      </c>
      <c r="I955" s="480">
        <v>94.28</v>
      </c>
      <c r="J955" s="480"/>
    </row>
    <row r="956" spans="1:10" ht="76.5" outlineLevel="4">
      <c r="A956" s="481" t="s">
        <v>702</v>
      </c>
      <c r="B956" s="482" t="s">
        <v>1639</v>
      </c>
      <c r="C956" s="483" t="s">
        <v>711</v>
      </c>
      <c r="D956" s="482" t="s">
        <v>712</v>
      </c>
      <c r="E956" s="484">
        <v>55</v>
      </c>
      <c r="F956" s="484">
        <v>55</v>
      </c>
      <c r="G956" s="484">
        <v>51.856000000000002</v>
      </c>
      <c r="H956" s="484">
        <v>51.856000000000002</v>
      </c>
      <c r="I956" s="480">
        <v>94.28</v>
      </c>
      <c r="J956" s="480"/>
    </row>
    <row r="957" spans="1:10" ht="25.5" outlineLevel="3">
      <c r="A957" s="476" t="s">
        <v>713</v>
      </c>
      <c r="B957" s="477" t="s">
        <v>1640</v>
      </c>
      <c r="C957" s="478"/>
      <c r="D957" s="477"/>
      <c r="E957" s="479">
        <v>530.70000000000005</v>
      </c>
      <c r="F957" s="479">
        <v>530.70000000000005</v>
      </c>
      <c r="G957" s="479">
        <v>0</v>
      </c>
      <c r="H957" s="479">
        <v>0</v>
      </c>
      <c r="I957" s="480">
        <v>0</v>
      </c>
      <c r="J957" s="480"/>
    </row>
    <row r="958" spans="1:10" ht="25.5" outlineLevel="4">
      <c r="A958" s="481" t="s">
        <v>713</v>
      </c>
      <c r="B958" s="482" t="s">
        <v>1640</v>
      </c>
      <c r="C958" s="483" t="s">
        <v>1641</v>
      </c>
      <c r="D958" s="482" t="s">
        <v>1642</v>
      </c>
      <c r="E958" s="484">
        <v>372.3</v>
      </c>
      <c r="F958" s="484">
        <v>372.3</v>
      </c>
      <c r="G958" s="484">
        <v>0</v>
      </c>
      <c r="H958" s="484">
        <v>0</v>
      </c>
      <c r="I958" s="480">
        <v>0</v>
      </c>
      <c r="J958" s="480"/>
    </row>
    <row r="959" spans="1:10" ht="25.5" outlineLevel="4">
      <c r="A959" s="481" t="s">
        <v>713</v>
      </c>
      <c r="B959" s="482" t="s">
        <v>1640</v>
      </c>
      <c r="C959" s="483" t="s">
        <v>896</v>
      </c>
      <c r="D959" s="482" t="s">
        <v>897</v>
      </c>
      <c r="E959" s="484">
        <v>158.4</v>
      </c>
      <c r="F959" s="484">
        <v>158.4</v>
      </c>
      <c r="G959" s="484">
        <v>0</v>
      </c>
      <c r="H959" s="484">
        <v>0</v>
      </c>
      <c r="I959" s="480">
        <v>0</v>
      </c>
      <c r="J959" s="480"/>
    </row>
    <row r="960" spans="1:10" ht="63.75" outlineLevel="2">
      <c r="A960" s="471" t="s">
        <v>1643</v>
      </c>
      <c r="B960" s="472" t="s">
        <v>1644</v>
      </c>
      <c r="C960" s="473"/>
      <c r="D960" s="472"/>
      <c r="E960" s="474">
        <v>52</v>
      </c>
      <c r="F960" s="474">
        <v>52</v>
      </c>
      <c r="G960" s="474">
        <v>0</v>
      </c>
      <c r="H960" s="474">
        <v>0</v>
      </c>
      <c r="I960" s="475">
        <v>0</v>
      </c>
      <c r="J960" s="475"/>
    </row>
    <row r="961" spans="1:10" ht="25.5" outlineLevel="3">
      <c r="A961" s="476" t="s">
        <v>713</v>
      </c>
      <c r="B961" s="477" t="s">
        <v>1645</v>
      </c>
      <c r="C961" s="478"/>
      <c r="D961" s="477"/>
      <c r="E961" s="479">
        <v>52</v>
      </c>
      <c r="F961" s="479">
        <v>52</v>
      </c>
      <c r="G961" s="479">
        <v>0</v>
      </c>
      <c r="H961" s="479">
        <v>0</v>
      </c>
      <c r="I961" s="480">
        <v>0</v>
      </c>
      <c r="J961" s="480"/>
    </row>
    <row r="962" spans="1:10" ht="25.5" outlineLevel="4">
      <c r="A962" s="481" t="s">
        <v>713</v>
      </c>
      <c r="B962" s="482" t="s">
        <v>1645</v>
      </c>
      <c r="C962" s="483" t="s">
        <v>715</v>
      </c>
      <c r="D962" s="482" t="s">
        <v>716</v>
      </c>
      <c r="E962" s="484">
        <v>52</v>
      </c>
      <c r="F962" s="484">
        <v>52</v>
      </c>
      <c r="G962" s="484">
        <v>0</v>
      </c>
      <c r="H962" s="484">
        <v>0</v>
      </c>
      <c r="I962" s="480">
        <v>0</v>
      </c>
      <c r="J962" s="480"/>
    </row>
    <row r="963" spans="1:10" ht="25.5" outlineLevel="1">
      <c r="A963" s="466" t="s">
        <v>1646</v>
      </c>
      <c r="B963" s="467" t="s">
        <v>1647</v>
      </c>
      <c r="C963" s="468"/>
      <c r="D963" s="467"/>
      <c r="E963" s="469">
        <v>1484474.8586899999</v>
      </c>
      <c r="F963" s="469">
        <v>1469041.5586900001</v>
      </c>
      <c r="G963" s="469">
        <v>717395.97944000002</v>
      </c>
      <c r="H963" s="469">
        <v>641584.98930000002</v>
      </c>
      <c r="I963" s="470">
        <v>43.22</v>
      </c>
      <c r="J963" s="470"/>
    </row>
    <row r="964" spans="1:10" ht="63.75" outlineLevel="2">
      <c r="A964" s="471" t="s">
        <v>1648</v>
      </c>
      <c r="B964" s="472" t="s">
        <v>1649</v>
      </c>
      <c r="C964" s="473"/>
      <c r="D964" s="472"/>
      <c r="E964" s="474">
        <v>106792.85707</v>
      </c>
      <c r="F964" s="474">
        <v>91359.557069999995</v>
      </c>
      <c r="G964" s="474">
        <v>39884.696759999999</v>
      </c>
      <c r="H964" s="474">
        <v>29092.09722</v>
      </c>
      <c r="I964" s="475">
        <v>27.24</v>
      </c>
      <c r="J964" s="475"/>
    </row>
    <row r="965" spans="1:10" ht="76.5" outlineLevel="3">
      <c r="A965" s="476" t="s">
        <v>702</v>
      </c>
      <c r="B965" s="477" t="s">
        <v>1650</v>
      </c>
      <c r="C965" s="478"/>
      <c r="D965" s="477"/>
      <c r="E965" s="479">
        <v>72581.147020000004</v>
      </c>
      <c r="F965" s="479">
        <v>57147.847020000001</v>
      </c>
      <c r="G965" s="479">
        <v>5672.9867100000001</v>
      </c>
      <c r="H965" s="479">
        <v>5072.8064800000002</v>
      </c>
      <c r="I965" s="480">
        <v>6.99</v>
      </c>
      <c r="J965" s="480"/>
    </row>
    <row r="966" spans="1:10" ht="76.5" outlineLevel="4">
      <c r="A966" s="481" t="s">
        <v>702</v>
      </c>
      <c r="B966" s="482" t="s">
        <v>1650</v>
      </c>
      <c r="C966" s="483" t="s">
        <v>715</v>
      </c>
      <c r="D966" s="482" t="s">
        <v>716</v>
      </c>
      <c r="E966" s="484">
        <v>72581.147020000004</v>
      </c>
      <c r="F966" s="484">
        <v>57147.847020000001</v>
      </c>
      <c r="G966" s="484">
        <v>5672.9867100000001</v>
      </c>
      <c r="H966" s="484">
        <v>5072.8064800000002</v>
      </c>
      <c r="I966" s="480">
        <v>6.99</v>
      </c>
      <c r="J966" s="480"/>
    </row>
    <row r="967" spans="1:10" ht="51" outlineLevel="3">
      <c r="A967" s="476" t="s">
        <v>801</v>
      </c>
      <c r="B967" s="477" t="s">
        <v>1651</v>
      </c>
      <c r="C967" s="478"/>
      <c r="D967" s="477"/>
      <c r="E967" s="479">
        <v>34211.710050000002</v>
      </c>
      <c r="F967" s="479">
        <v>34211.710050000002</v>
      </c>
      <c r="G967" s="479">
        <v>34211.710050000002</v>
      </c>
      <c r="H967" s="479">
        <v>24019.29074</v>
      </c>
      <c r="I967" s="480">
        <v>70.209999999999994</v>
      </c>
      <c r="J967" s="480"/>
    </row>
    <row r="968" spans="1:10" ht="51" outlineLevel="4">
      <c r="A968" s="481" t="s">
        <v>801</v>
      </c>
      <c r="B968" s="482" t="s">
        <v>1651</v>
      </c>
      <c r="C968" s="483" t="s">
        <v>803</v>
      </c>
      <c r="D968" s="482" t="s">
        <v>804</v>
      </c>
      <c r="E968" s="484">
        <v>34211.710050000002</v>
      </c>
      <c r="F968" s="484">
        <v>34211.710050000002</v>
      </c>
      <c r="G968" s="484">
        <v>34211.710050000002</v>
      </c>
      <c r="H968" s="484">
        <v>24019.29074</v>
      </c>
      <c r="I968" s="480">
        <v>70.209999999999994</v>
      </c>
      <c r="J968" s="480"/>
    </row>
    <row r="969" spans="1:10" ht="38.25" outlineLevel="2">
      <c r="A969" s="471" t="s">
        <v>1652</v>
      </c>
      <c r="B969" s="472" t="s">
        <v>1653</v>
      </c>
      <c r="C969" s="473"/>
      <c r="D969" s="472"/>
      <c r="E969" s="474">
        <v>1337842.27752</v>
      </c>
      <c r="F969" s="474">
        <v>1337842.27752</v>
      </c>
      <c r="G969" s="474">
        <v>669287.40020999999</v>
      </c>
      <c r="H969" s="474">
        <v>606553.28486000001</v>
      </c>
      <c r="I969" s="475">
        <v>45.34</v>
      </c>
      <c r="J969" s="475"/>
    </row>
    <row r="970" spans="1:10" ht="76.5" outlineLevel="3">
      <c r="A970" s="476" t="s">
        <v>702</v>
      </c>
      <c r="B970" s="477" t="s">
        <v>1654</v>
      </c>
      <c r="C970" s="478"/>
      <c r="D970" s="477"/>
      <c r="E970" s="479">
        <v>1322495.20655</v>
      </c>
      <c r="F970" s="479">
        <v>1322495.20655</v>
      </c>
      <c r="G970" s="479">
        <v>666171.67640999996</v>
      </c>
      <c r="H970" s="479">
        <v>604415.62248000002</v>
      </c>
      <c r="I970" s="480">
        <v>45.7</v>
      </c>
      <c r="J970" s="480"/>
    </row>
    <row r="971" spans="1:10" ht="76.5" outlineLevel="4">
      <c r="A971" s="481" t="s">
        <v>702</v>
      </c>
      <c r="B971" s="482" t="s">
        <v>1654</v>
      </c>
      <c r="C971" s="483" t="s">
        <v>715</v>
      </c>
      <c r="D971" s="482" t="s">
        <v>716</v>
      </c>
      <c r="E971" s="484">
        <v>1322495.20655</v>
      </c>
      <c r="F971" s="484">
        <v>1322495.20655</v>
      </c>
      <c r="G971" s="484">
        <v>666171.67640999996</v>
      </c>
      <c r="H971" s="484">
        <v>604415.62248000002</v>
      </c>
      <c r="I971" s="480">
        <v>45.7</v>
      </c>
      <c r="J971" s="480"/>
    </row>
    <row r="972" spans="1:10" ht="63.75" outlineLevel="3">
      <c r="A972" s="476" t="s">
        <v>62</v>
      </c>
      <c r="B972" s="477" t="s">
        <v>1655</v>
      </c>
      <c r="C972" s="478"/>
      <c r="D972" s="477"/>
      <c r="E972" s="479">
        <v>14742.999970000001</v>
      </c>
      <c r="F972" s="479">
        <v>14742.999970000001</v>
      </c>
      <c r="G972" s="479">
        <v>3044.0268099999998</v>
      </c>
      <c r="H972" s="479">
        <v>2072.4223900000002</v>
      </c>
      <c r="I972" s="480">
        <v>14.06</v>
      </c>
      <c r="J972" s="480"/>
    </row>
    <row r="973" spans="1:10" ht="63.75" outlineLevel="4">
      <c r="A973" s="481" t="s">
        <v>62</v>
      </c>
      <c r="B973" s="482" t="s">
        <v>1655</v>
      </c>
      <c r="C973" s="483" t="s">
        <v>715</v>
      </c>
      <c r="D973" s="482" t="s">
        <v>716</v>
      </c>
      <c r="E973" s="484">
        <v>14742.999970000001</v>
      </c>
      <c r="F973" s="484">
        <v>14742.999970000001</v>
      </c>
      <c r="G973" s="484">
        <v>3044.0268099999998</v>
      </c>
      <c r="H973" s="484">
        <v>2072.4223900000002</v>
      </c>
      <c r="I973" s="480">
        <v>14.06</v>
      </c>
      <c r="J973" s="480"/>
    </row>
    <row r="974" spans="1:10" ht="76.5" outlineLevel="3">
      <c r="A974" s="476" t="s">
        <v>156</v>
      </c>
      <c r="B974" s="477" t="s">
        <v>1656</v>
      </c>
      <c r="C974" s="478"/>
      <c r="D974" s="477"/>
      <c r="E974" s="479">
        <v>134.66499999999999</v>
      </c>
      <c r="F974" s="479">
        <v>134.66499999999999</v>
      </c>
      <c r="G974" s="479">
        <v>27.439990000000002</v>
      </c>
      <c r="H974" s="479">
        <v>27.439990000000002</v>
      </c>
      <c r="I974" s="480">
        <v>20.38</v>
      </c>
      <c r="J974" s="480"/>
    </row>
    <row r="975" spans="1:10" ht="76.5" outlineLevel="4">
      <c r="A975" s="481" t="s">
        <v>156</v>
      </c>
      <c r="B975" s="482" t="s">
        <v>1656</v>
      </c>
      <c r="C975" s="483" t="s">
        <v>715</v>
      </c>
      <c r="D975" s="482" t="s">
        <v>716</v>
      </c>
      <c r="E975" s="484">
        <v>134.66499999999999</v>
      </c>
      <c r="F975" s="484">
        <v>134.66499999999999</v>
      </c>
      <c r="G975" s="484">
        <v>27.439990000000002</v>
      </c>
      <c r="H975" s="484">
        <v>27.439990000000002</v>
      </c>
      <c r="I975" s="480">
        <v>20.38</v>
      </c>
      <c r="J975" s="480"/>
    </row>
    <row r="976" spans="1:10" ht="76.5" outlineLevel="3">
      <c r="A976" s="476" t="s">
        <v>1027</v>
      </c>
      <c r="B976" s="477" t="s">
        <v>1657</v>
      </c>
      <c r="C976" s="478"/>
      <c r="D976" s="477"/>
      <c r="E976" s="479">
        <v>469.40600000000001</v>
      </c>
      <c r="F976" s="479">
        <v>469.40600000000001</v>
      </c>
      <c r="G976" s="479">
        <v>44.256999999999998</v>
      </c>
      <c r="H976" s="479">
        <v>37.799999999999997</v>
      </c>
      <c r="I976" s="480">
        <v>8.0500000000000007</v>
      </c>
      <c r="J976" s="480"/>
    </row>
    <row r="977" spans="1:10" ht="76.5" outlineLevel="4">
      <c r="A977" s="481" t="s">
        <v>1027</v>
      </c>
      <c r="B977" s="482" t="s">
        <v>1657</v>
      </c>
      <c r="C977" s="483" t="s">
        <v>715</v>
      </c>
      <c r="D977" s="482" t="s">
        <v>716</v>
      </c>
      <c r="E977" s="484">
        <v>469.40600000000001</v>
      </c>
      <c r="F977" s="484">
        <v>469.40600000000001</v>
      </c>
      <c r="G977" s="484">
        <v>44.256999999999998</v>
      </c>
      <c r="H977" s="484">
        <v>37.799999999999997</v>
      </c>
      <c r="I977" s="480">
        <v>8.0500000000000007</v>
      </c>
      <c r="J977" s="480"/>
    </row>
    <row r="978" spans="1:10" ht="63.75" outlineLevel="2">
      <c r="A978" s="471" t="s">
        <v>1658</v>
      </c>
      <c r="B978" s="472" t="s">
        <v>1659</v>
      </c>
      <c r="C978" s="473"/>
      <c r="D978" s="472"/>
      <c r="E978" s="474">
        <v>38148.738700000002</v>
      </c>
      <c r="F978" s="474">
        <v>38148.738700000002</v>
      </c>
      <c r="G978" s="474">
        <v>6900.9744700000001</v>
      </c>
      <c r="H978" s="474">
        <v>4675.5100199999997</v>
      </c>
      <c r="I978" s="475">
        <v>12.26</v>
      </c>
      <c r="J978" s="475"/>
    </row>
    <row r="979" spans="1:10" ht="76.5" outlineLevel="3">
      <c r="A979" s="476" t="s">
        <v>702</v>
      </c>
      <c r="B979" s="477" t="s">
        <v>1660</v>
      </c>
      <c r="C979" s="478"/>
      <c r="D979" s="477"/>
      <c r="E979" s="479">
        <v>38148.738700000002</v>
      </c>
      <c r="F979" s="479">
        <v>38148.738700000002</v>
      </c>
      <c r="G979" s="479">
        <v>6900.9744700000001</v>
      </c>
      <c r="H979" s="479">
        <v>4675.5100199999997</v>
      </c>
      <c r="I979" s="480">
        <v>12.26</v>
      </c>
      <c r="J979" s="480"/>
    </row>
    <row r="980" spans="1:10" ht="76.5" outlineLevel="4">
      <c r="A980" s="481" t="s">
        <v>702</v>
      </c>
      <c r="B980" s="482" t="s">
        <v>1660</v>
      </c>
      <c r="C980" s="483" t="s">
        <v>715</v>
      </c>
      <c r="D980" s="482" t="s">
        <v>716</v>
      </c>
      <c r="E980" s="484">
        <v>38148.738700000002</v>
      </c>
      <c r="F980" s="484">
        <v>38148.738700000002</v>
      </c>
      <c r="G980" s="484">
        <v>6900.9744700000001</v>
      </c>
      <c r="H980" s="484">
        <v>4675.5100199999997</v>
      </c>
      <c r="I980" s="480">
        <v>12.26</v>
      </c>
      <c r="J980" s="480"/>
    </row>
    <row r="981" spans="1:10" ht="76.5" outlineLevel="2">
      <c r="A981" s="471" t="s">
        <v>1661</v>
      </c>
      <c r="B981" s="472" t="s">
        <v>1662</v>
      </c>
      <c r="C981" s="473"/>
      <c r="D981" s="472"/>
      <c r="E981" s="474">
        <v>486.48540000000003</v>
      </c>
      <c r="F981" s="474">
        <v>486.48540000000003</v>
      </c>
      <c r="G981" s="474">
        <v>118.408</v>
      </c>
      <c r="H981" s="474">
        <v>59.597200000000001</v>
      </c>
      <c r="I981" s="475">
        <v>12.25</v>
      </c>
      <c r="J981" s="475"/>
    </row>
    <row r="982" spans="1:10" ht="76.5" outlineLevel="3">
      <c r="A982" s="476" t="s">
        <v>702</v>
      </c>
      <c r="B982" s="477" t="s">
        <v>1663</v>
      </c>
      <c r="C982" s="478"/>
      <c r="D982" s="477"/>
      <c r="E982" s="479">
        <v>113.0654</v>
      </c>
      <c r="F982" s="479">
        <v>113.0654</v>
      </c>
      <c r="G982" s="479">
        <v>72.108000000000004</v>
      </c>
      <c r="H982" s="479">
        <v>13.2972</v>
      </c>
      <c r="I982" s="480">
        <v>11.76</v>
      </c>
      <c r="J982" s="480"/>
    </row>
    <row r="983" spans="1:10" ht="76.5" outlineLevel="4">
      <c r="A983" s="481" t="s">
        <v>702</v>
      </c>
      <c r="B983" s="482" t="s">
        <v>1663</v>
      </c>
      <c r="C983" s="483" t="s">
        <v>715</v>
      </c>
      <c r="D983" s="482" t="s">
        <v>716</v>
      </c>
      <c r="E983" s="484">
        <v>113.0654</v>
      </c>
      <c r="F983" s="484">
        <v>113.0654</v>
      </c>
      <c r="G983" s="484">
        <v>72.108000000000004</v>
      </c>
      <c r="H983" s="484">
        <v>13.2972</v>
      </c>
      <c r="I983" s="480">
        <v>11.76</v>
      </c>
      <c r="J983" s="480"/>
    </row>
    <row r="984" spans="1:10" ht="76.5" outlineLevel="3">
      <c r="A984" s="476" t="s">
        <v>1027</v>
      </c>
      <c r="B984" s="477" t="s">
        <v>1664</v>
      </c>
      <c r="C984" s="478"/>
      <c r="D984" s="477"/>
      <c r="E984" s="479">
        <v>373.42</v>
      </c>
      <c r="F984" s="479">
        <v>373.42</v>
      </c>
      <c r="G984" s="479">
        <v>46.3</v>
      </c>
      <c r="H984" s="479">
        <v>46.3</v>
      </c>
      <c r="I984" s="480">
        <v>12.4</v>
      </c>
      <c r="J984" s="480"/>
    </row>
    <row r="985" spans="1:10" ht="76.5" outlineLevel="4">
      <c r="A985" s="481" t="s">
        <v>1027</v>
      </c>
      <c r="B985" s="482" t="s">
        <v>1664</v>
      </c>
      <c r="C985" s="483" t="s">
        <v>715</v>
      </c>
      <c r="D985" s="482" t="s">
        <v>716</v>
      </c>
      <c r="E985" s="484">
        <v>373.42</v>
      </c>
      <c r="F985" s="484">
        <v>373.42</v>
      </c>
      <c r="G985" s="484">
        <v>46.3</v>
      </c>
      <c r="H985" s="484">
        <v>46.3</v>
      </c>
      <c r="I985" s="480">
        <v>12.4</v>
      </c>
      <c r="J985" s="480"/>
    </row>
    <row r="986" spans="1:10" ht="38.25" outlineLevel="2">
      <c r="A986" s="471" t="s">
        <v>1665</v>
      </c>
      <c r="B986" s="472" t="s">
        <v>1666</v>
      </c>
      <c r="C986" s="473"/>
      <c r="D986" s="472"/>
      <c r="E986" s="474">
        <v>1204.5</v>
      </c>
      <c r="F986" s="474">
        <v>1204.5</v>
      </c>
      <c r="G986" s="474">
        <v>1204.5</v>
      </c>
      <c r="H986" s="474">
        <v>1204.5</v>
      </c>
      <c r="I986" s="475">
        <v>100</v>
      </c>
      <c r="J986" s="475"/>
    </row>
    <row r="987" spans="1:10" ht="25.5" outlineLevel="3">
      <c r="A987" s="476" t="s">
        <v>713</v>
      </c>
      <c r="B987" s="477" t="s">
        <v>1667</v>
      </c>
      <c r="C987" s="478"/>
      <c r="D987" s="477"/>
      <c r="E987" s="479">
        <v>1204.5</v>
      </c>
      <c r="F987" s="479">
        <v>1204.5</v>
      </c>
      <c r="G987" s="479">
        <v>1204.5</v>
      </c>
      <c r="H987" s="479">
        <v>1204.5</v>
      </c>
      <c r="I987" s="480">
        <v>100</v>
      </c>
      <c r="J987" s="480"/>
    </row>
    <row r="988" spans="1:10" ht="25.5" outlineLevel="4">
      <c r="A988" s="481" t="s">
        <v>713</v>
      </c>
      <c r="B988" s="482" t="s">
        <v>1667</v>
      </c>
      <c r="C988" s="483" t="s">
        <v>715</v>
      </c>
      <c r="D988" s="482" t="s">
        <v>716</v>
      </c>
      <c r="E988" s="484">
        <v>1204.5</v>
      </c>
      <c r="F988" s="484">
        <v>1204.5</v>
      </c>
      <c r="G988" s="484">
        <v>1204.5</v>
      </c>
      <c r="H988" s="484">
        <v>1204.5</v>
      </c>
      <c r="I988" s="480">
        <v>100</v>
      </c>
      <c r="J988" s="480"/>
    </row>
    <row r="989" spans="1:10" ht="38.25" outlineLevel="1">
      <c r="A989" s="466" t="s">
        <v>1668</v>
      </c>
      <c r="B989" s="467" t="s">
        <v>1669</v>
      </c>
      <c r="C989" s="468"/>
      <c r="D989" s="467"/>
      <c r="E989" s="469">
        <v>203777.12555999999</v>
      </c>
      <c r="F989" s="469">
        <v>203777.12555999999</v>
      </c>
      <c r="G989" s="469">
        <v>88269.658800000005</v>
      </c>
      <c r="H989" s="469">
        <v>80391.618629999997</v>
      </c>
      <c r="I989" s="470">
        <v>39.450000000000003</v>
      </c>
      <c r="J989" s="470"/>
    </row>
    <row r="990" spans="1:10" ht="63.75" outlineLevel="2">
      <c r="A990" s="471" t="s">
        <v>1670</v>
      </c>
      <c r="B990" s="472" t="s">
        <v>1671</v>
      </c>
      <c r="C990" s="473"/>
      <c r="D990" s="472"/>
      <c r="E990" s="474">
        <v>14936.921</v>
      </c>
      <c r="F990" s="474">
        <v>14936.921</v>
      </c>
      <c r="G990" s="474">
        <v>494.01571999999999</v>
      </c>
      <c r="H990" s="474">
        <v>494.01571999999999</v>
      </c>
      <c r="I990" s="475">
        <v>3.31</v>
      </c>
      <c r="J990" s="475"/>
    </row>
    <row r="991" spans="1:10" ht="76.5" outlineLevel="3">
      <c r="A991" s="476" t="s">
        <v>702</v>
      </c>
      <c r="B991" s="477" t="s">
        <v>1672</v>
      </c>
      <c r="C991" s="478"/>
      <c r="D991" s="477"/>
      <c r="E991" s="479">
        <v>14751.421</v>
      </c>
      <c r="F991" s="479">
        <v>14751.421</v>
      </c>
      <c r="G991" s="479">
        <v>331.01571999999999</v>
      </c>
      <c r="H991" s="479">
        <v>331.01571999999999</v>
      </c>
      <c r="I991" s="480">
        <v>2.2400000000000002</v>
      </c>
      <c r="J991" s="480"/>
    </row>
    <row r="992" spans="1:10" ht="76.5" outlineLevel="4">
      <c r="A992" s="481" t="s">
        <v>702</v>
      </c>
      <c r="B992" s="482" t="s">
        <v>1672</v>
      </c>
      <c r="C992" s="483" t="s">
        <v>715</v>
      </c>
      <c r="D992" s="482" t="s">
        <v>716</v>
      </c>
      <c r="E992" s="484">
        <v>14751.421</v>
      </c>
      <c r="F992" s="484">
        <v>14751.421</v>
      </c>
      <c r="G992" s="484">
        <v>331.01571999999999</v>
      </c>
      <c r="H992" s="484">
        <v>331.01571999999999</v>
      </c>
      <c r="I992" s="480">
        <v>2.2400000000000002</v>
      </c>
      <c r="J992" s="480"/>
    </row>
    <row r="993" spans="1:10" ht="76.5" outlineLevel="3">
      <c r="A993" s="476" t="s">
        <v>1027</v>
      </c>
      <c r="B993" s="477" t="s">
        <v>1673</v>
      </c>
      <c r="C993" s="478"/>
      <c r="D993" s="477"/>
      <c r="E993" s="479">
        <v>185.5</v>
      </c>
      <c r="F993" s="479">
        <v>185.5</v>
      </c>
      <c r="G993" s="479">
        <v>163</v>
      </c>
      <c r="H993" s="479">
        <v>163</v>
      </c>
      <c r="I993" s="480">
        <v>87.87</v>
      </c>
      <c r="J993" s="480"/>
    </row>
    <row r="994" spans="1:10" ht="76.5" outlineLevel="4">
      <c r="A994" s="481" t="s">
        <v>1027</v>
      </c>
      <c r="B994" s="482" t="s">
        <v>1673</v>
      </c>
      <c r="C994" s="483" t="s">
        <v>715</v>
      </c>
      <c r="D994" s="482" t="s">
        <v>716</v>
      </c>
      <c r="E994" s="484">
        <v>185.5</v>
      </c>
      <c r="F994" s="484">
        <v>185.5</v>
      </c>
      <c r="G994" s="484">
        <v>163</v>
      </c>
      <c r="H994" s="484">
        <v>163</v>
      </c>
      <c r="I994" s="480">
        <v>87.87</v>
      </c>
      <c r="J994" s="480"/>
    </row>
    <row r="995" spans="1:10" ht="51" outlineLevel="2">
      <c r="A995" s="471" t="s">
        <v>1674</v>
      </c>
      <c r="B995" s="472" t="s">
        <v>1675</v>
      </c>
      <c r="C995" s="473"/>
      <c r="D995" s="472"/>
      <c r="E995" s="474">
        <v>155479.90067999999</v>
      </c>
      <c r="F995" s="474">
        <v>155479.90067999999</v>
      </c>
      <c r="G995" s="474">
        <v>81994.05773</v>
      </c>
      <c r="H995" s="474">
        <v>74116.017559999993</v>
      </c>
      <c r="I995" s="475">
        <v>47.67</v>
      </c>
      <c r="J995" s="475"/>
    </row>
    <row r="996" spans="1:10" ht="76.5" outlineLevel="3">
      <c r="A996" s="476" t="s">
        <v>702</v>
      </c>
      <c r="B996" s="477" t="s">
        <v>1676</v>
      </c>
      <c r="C996" s="478"/>
      <c r="D996" s="477"/>
      <c r="E996" s="479">
        <v>153420.70068000001</v>
      </c>
      <c r="F996" s="479">
        <v>153420.70068000001</v>
      </c>
      <c r="G996" s="479">
        <v>81644.05773</v>
      </c>
      <c r="H996" s="479">
        <v>73974.017559999993</v>
      </c>
      <c r="I996" s="480">
        <v>48.22</v>
      </c>
      <c r="J996" s="480"/>
    </row>
    <row r="997" spans="1:10" ht="76.5" outlineLevel="4">
      <c r="A997" s="481" t="s">
        <v>702</v>
      </c>
      <c r="B997" s="482" t="s">
        <v>1676</v>
      </c>
      <c r="C997" s="483" t="s">
        <v>715</v>
      </c>
      <c r="D997" s="482" t="s">
        <v>716</v>
      </c>
      <c r="E997" s="484">
        <v>153420.70068000001</v>
      </c>
      <c r="F997" s="484">
        <v>153420.70068000001</v>
      </c>
      <c r="G997" s="484">
        <v>81644.05773</v>
      </c>
      <c r="H997" s="484">
        <v>73974.017559999993</v>
      </c>
      <c r="I997" s="480">
        <v>48.22</v>
      </c>
      <c r="J997" s="480"/>
    </row>
    <row r="998" spans="1:10" ht="63.75" outlineLevel="3">
      <c r="A998" s="476" t="s">
        <v>62</v>
      </c>
      <c r="B998" s="477" t="s">
        <v>1677</v>
      </c>
      <c r="C998" s="478"/>
      <c r="D998" s="477"/>
      <c r="E998" s="479">
        <v>2019.2</v>
      </c>
      <c r="F998" s="479">
        <v>2019.2</v>
      </c>
      <c r="G998" s="479">
        <v>350</v>
      </c>
      <c r="H998" s="479">
        <v>142</v>
      </c>
      <c r="I998" s="480">
        <v>7.03</v>
      </c>
      <c r="J998" s="480"/>
    </row>
    <row r="999" spans="1:10" ht="63.75" outlineLevel="4">
      <c r="A999" s="481" t="s">
        <v>62</v>
      </c>
      <c r="B999" s="482" t="s">
        <v>1677</v>
      </c>
      <c r="C999" s="483" t="s">
        <v>715</v>
      </c>
      <c r="D999" s="482" t="s">
        <v>716</v>
      </c>
      <c r="E999" s="484">
        <v>2019.2</v>
      </c>
      <c r="F999" s="484">
        <v>2019.2</v>
      </c>
      <c r="G999" s="484">
        <v>350</v>
      </c>
      <c r="H999" s="484">
        <v>142</v>
      </c>
      <c r="I999" s="480">
        <v>7.03</v>
      </c>
      <c r="J999" s="480"/>
    </row>
    <row r="1000" spans="1:10" ht="76.5" outlineLevel="3">
      <c r="A1000" s="476" t="s">
        <v>1027</v>
      </c>
      <c r="B1000" s="477" t="s">
        <v>1678</v>
      </c>
      <c r="C1000" s="478"/>
      <c r="D1000" s="477"/>
      <c r="E1000" s="479">
        <v>40</v>
      </c>
      <c r="F1000" s="479">
        <v>40</v>
      </c>
      <c r="G1000" s="479">
        <v>0</v>
      </c>
      <c r="H1000" s="479">
        <v>0</v>
      </c>
      <c r="I1000" s="480">
        <v>0</v>
      </c>
      <c r="J1000" s="480"/>
    </row>
    <row r="1001" spans="1:10" ht="76.5" outlineLevel="4">
      <c r="A1001" s="481" t="s">
        <v>1027</v>
      </c>
      <c r="B1001" s="482" t="s">
        <v>1678</v>
      </c>
      <c r="C1001" s="483" t="s">
        <v>715</v>
      </c>
      <c r="D1001" s="482" t="s">
        <v>716</v>
      </c>
      <c r="E1001" s="484">
        <v>40</v>
      </c>
      <c r="F1001" s="484">
        <v>40</v>
      </c>
      <c r="G1001" s="484">
        <v>0</v>
      </c>
      <c r="H1001" s="484">
        <v>0</v>
      </c>
      <c r="I1001" s="480">
        <v>0</v>
      </c>
      <c r="J1001" s="480"/>
    </row>
    <row r="1002" spans="1:10" ht="38.25" outlineLevel="2">
      <c r="A1002" s="471" t="s">
        <v>1679</v>
      </c>
      <c r="B1002" s="472" t="s">
        <v>1680</v>
      </c>
      <c r="C1002" s="473"/>
      <c r="D1002" s="472"/>
      <c r="E1002" s="474">
        <v>15282.54688</v>
      </c>
      <c r="F1002" s="474">
        <v>15282.54688</v>
      </c>
      <c r="G1002" s="474">
        <v>5499.9629000000004</v>
      </c>
      <c r="H1002" s="474">
        <v>5499.9629000000004</v>
      </c>
      <c r="I1002" s="475">
        <v>35.99</v>
      </c>
      <c r="J1002" s="475"/>
    </row>
    <row r="1003" spans="1:10" ht="76.5" outlineLevel="3">
      <c r="A1003" s="476" t="s">
        <v>702</v>
      </c>
      <c r="B1003" s="477" t="s">
        <v>1681</v>
      </c>
      <c r="C1003" s="478"/>
      <c r="D1003" s="477"/>
      <c r="E1003" s="479">
        <v>15282.54688</v>
      </c>
      <c r="F1003" s="479">
        <v>15282.54688</v>
      </c>
      <c r="G1003" s="479">
        <v>5499.9629000000004</v>
      </c>
      <c r="H1003" s="479">
        <v>5499.9629000000004</v>
      </c>
      <c r="I1003" s="480">
        <v>35.99</v>
      </c>
      <c r="J1003" s="480"/>
    </row>
    <row r="1004" spans="1:10" ht="76.5" outlineLevel="4">
      <c r="A1004" s="481" t="s">
        <v>702</v>
      </c>
      <c r="B1004" s="482" t="s">
        <v>1681</v>
      </c>
      <c r="C1004" s="483" t="s">
        <v>715</v>
      </c>
      <c r="D1004" s="482" t="s">
        <v>716</v>
      </c>
      <c r="E1004" s="484">
        <v>15282.54688</v>
      </c>
      <c r="F1004" s="484">
        <v>15282.54688</v>
      </c>
      <c r="G1004" s="484">
        <v>5499.9629000000004</v>
      </c>
      <c r="H1004" s="484">
        <v>5499.9629000000004</v>
      </c>
      <c r="I1004" s="480">
        <v>35.99</v>
      </c>
      <c r="J1004" s="480"/>
    </row>
    <row r="1005" spans="1:10" ht="63.75" outlineLevel="2">
      <c r="A1005" s="471" t="s">
        <v>1682</v>
      </c>
      <c r="B1005" s="472" t="s">
        <v>1683</v>
      </c>
      <c r="C1005" s="473"/>
      <c r="D1005" s="472"/>
      <c r="E1005" s="474">
        <v>18077.757000000001</v>
      </c>
      <c r="F1005" s="474">
        <v>18077.757000000001</v>
      </c>
      <c r="G1005" s="474">
        <v>281.62245000000001</v>
      </c>
      <c r="H1005" s="474">
        <v>281.62245000000001</v>
      </c>
      <c r="I1005" s="475">
        <v>1.56</v>
      </c>
      <c r="J1005" s="475"/>
    </row>
    <row r="1006" spans="1:10" ht="76.5" outlineLevel="3">
      <c r="A1006" s="476" t="s">
        <v>702</v>
      </c>
      <c r="B1006" s="477" t="s">
        <v>1684</v>
      </c>
      <c r="C1006" s="478"/>
      <c r="D1006" s="477"/>
      <c r="E1006" s="479">
        <v>18002.757000000001</v>
      </c>
      <c r="F1006" s="479">
        <v>18002.757000000001</v>
      </c>
      <c r="G1006" s="479">
        <v>281.62245000000001</v>
      </c>
      <c r="H1006" s="479">
        <v>281.62245000000001</v>
      </c>
      <c r="I1006" s="480">
        <v>1.56</v>
      </c>
      <c r="J1006" s="480"/>
    </row>
    <row r="1007" spans="1:10" ht="76.5" outlineLevel="4">
      <c r="A1007" s="481" t="s">
        <v>702</v>
      </c>
      <c r="B1007" s="482" t="s">
        <v>1684</v>
      </c>
      <c r="C1007" s="483" t="s">
        <v>715</v>
      </c>
      <c r="D1007" s="482" t="s">
        <v>716</v>
      </c>
      <c r="E1007" s="484">
        <v>18002.757000000001</v>
      </c>
      <c r="F1007" s="484">
        <v>18002.757000000001</v>
      </c>
      <c r="G1007" s="484">
        <v>281.62245000000001</v>
      </c>
      <c r="H1007" s="484">
        <v>281.62245000000001</v>
      </c>
      <c r="I1007" s="480">
        <v>1.56</v>
      </c>
      <c r="J1007" s="480"/>
    </row>
    <row r="1008" spans="1:10" ht="76.5" outlineLevel="3">
      <c r="A1008" s="476" t="s">
        <v>1027</v>
      </c>
      <c r="B1008" s="477" t="s">
        <v>1685</v>
      </c>
      <c r="C1008" s="478"/>
      <c r="D1008" s="477"/>
      <c r="E1008" s="479">
        <v>75</v>
      </c>
      <c r="F1008" s="479">
        <v>75</v>
      </c>
      <c r="G1008" s="479">
        <v>0</v>
      </c>
      <c r="H1008" s="479">
        <v>0</v>
      </c>
      <c r="I1008" s="480">
        <v>0</v>
      </c>
      <c r="J1008" s="480"/>
    </row>
    <row r="1009" spans="1:10" ht="76.5" outlineLevel="4">
      <c r="A1009" s="481" t="s">
        <v>1027</v>
      </c>
      <c r="B1009" s="482" t="s">
        <v>1685</v>
      </c>
      <c r="C1009" s="483" t="s">
        <v>715</v>
      </c>
      <c r="D1009" s="482" t="s">
        <v>716</v>
      </c>
      <c r="E1009" s="484">
        <v>75</v>
      </c>
      <c r="F1009" s="484">
        <v>75</v>
      </c>
      <c r="G1009" s="484">
        <v>0</v>
      </c>
      <c r="H1009" s="484">
        <v>0</v>
      </c>
      <c r="I1009" s="480">
        <v>0</v>
      </c>
      <c r="J1009" s="480"/>
    </row>
    <row r="1010" spans="1:10" ht="38.25" outlineLevel="1">
      <c r="A1010" s="466" t="s">
        <v>1019</v>
      </c>
      <c r="B1010" s="467" t="s">
        <v>1686</v>
      </c>
      <c r="C1010" s="468"/>
      <c r="D1010" s="467"/>
      <c r="E1010" s="469">
        <v>35425.56652</v>
      </c>
      <c r="F1010" s="469">
        <v>35425.56652</v>
      </c>
      <c r="G1010" s="469">
        <v>17230.750700000001</v>
      </c>
      <c r="H1010" s="469">
        <v>15875.37667</v>
      </c>
      <c r="I1010" s="470">
        <v>44.81</v>
      </c>
      <c r="J1010" s="470"/>
    </row>
    <row r="1011" spans="1:10" ht="63.75" outlineLevel="2">
      <c r="A1011" s="471" t="s">
        <v>1687</v>
      </c>
      <c r="B1011" s="472" t="s">
        <v>1688</v>
      </c>
      <c r="C1011" s="473"/>
      <c r="D1011" s="472"/>
      <c r="E1011" s="474">
        <v>35425.56652</v>
      </c>
      <c r="F1011" s="474">
        <v>35425.56652</v>
      </c>
      <c r="G1011" s="474">
        <v>17230.750700000001</v>
      </c>
      <c r="H1011" s="474">
        <v>15875.37667</v>
      </c>
      <c r="I1011" s="475">
        <v>44.81</v>
      </c>
      <c r="J1011" s="475"/>
    </row>
    <row r="1012" spans="1:10" ht="25.5" outlineLevel="3">
      <c r="A1012" s="476" t="s">
        <v>873</v>
      </c>
      <c r="B1012" s="477" t="s">
        <v>1689</v>
      </c>
      <c r="C1012" s="478"/>
      <c r="D1012" s="477"/>
      <c r="E1012" s="479">
        <v>31051.714919999999</v>
      </c>
      <c r="F1012" s="479">
        <v>31051.714919999999</v>
      </c>
      <c r="G1012" s="479">
        <v>16625</v>
      </c>
      <c r="H1012" s="479">
        <v>15282.38327</v>
      </c>
      <c r="I1012" s="480">
        <v>49.22</v>
      </c>
      <c r="J1012" s="480"/>
    </row>
    <row r="1013" spans="1:10" ht="25.5" outlineLevel="4">
      <c r="A1013" s="481" t="s">
        <v>873</v>
      </c>
      <c r="B1013" s="482" t="s">
        <v>1689</v>
      </c>
      <c r="C1013" s="483" t="s">
        <v>715</v>
      </c>
      <c r="D1013" s="482" t="s">
        <v>716</v>
      </c>
      <c r="E1013" s="484">
        <v>31051.714919999999</v>
      </c>
      <c r="F1013" s="484">
        <v>31051.714919999999</v>
      </c>
      <c r="G1013" s="484">
        <v>16625</v>
      </c>
      <c r="H1013" s="484">
        <v>15282.38327</v>
      </c>
      <c r="I1013" s="480">
        <v>49.22</v>
      </c>
      <c r="J1013" s="480"/>
    </row>
    <row r="1014" spans="1:10" ht="38.25" outlineLevel="3">
      <c r="A1014" s="476" t="s">
        <v>854</v>
      </c>
      <c r="B1014" s="477" t="s">
        <v>1690</v>
      </c>
      <c r="C1014" s="478"/>
      <c r="D1014" s="477"/>
      <c r="E1014" s="479">
        <v>1740.8516</v>
      </c>
      <c r="F1014" s="479">
        <v>1740.8516</v>
      </c>
      <c r="G1014" s="479">
        <v>522.15440000000001</v>
      </c>
      <c r="H1014" s="479">
        <v>509.39710000000002</v>
      </c>
      <c r="I1014" s="480">
        <v>29.26</v>
      </c>
      <c r="J1014" s="480"/>
    </row>
    <row r="1015" spans="1:10" ht="38.25" outlineLevel="4">
      <c r="A1015" s="481" t="s">
        <v>854</v>
      </c>
      <c r="B1015" s="482" t="s">
        <v>1690</v>
      </c>
      <c r="C1015" s="483" t="s">
        <v>715</v>
      </c>
      <c r="D1015" s="482" t="s">
        <v>716</v>
      </c>
      <c r="E1015" s="484">
        <v>1740.8516</v>
      </c>
      <c r="F1015" s="484">
        <v>1740.8516</v>
      </c>
      <c r="G1015" s="484">
        <v>522.15440000000001</v>
      </c>
      <c r="H1015" s="484">
        <v>509.39710000000002</v>
      </c>
      <c r="I1015" s="480">
        <v>29.26</v>
      </c>
      <c r="J1015" s="480"/>
    </row>
    <row r="1016" spans="1:10" ht="63.75" outlineLevel="3">
      <c r="A1016" s="476" t="s">
        <v>62</v>
      </c>
      <c r="B1016" s="477" t="s">
        <v>1691</v>
      </c>
      <c r="C1016" s="478"/>
      <c r="D1016" s="477"/>
      <c r="E1016" s="479">
        <v>288</v>
      </c>
      <c r="F1016" s="479">
        <v>288</v>
      </c>
      <c r="G1016" s="479">
        <v>33.596299999999999</v>
      </c>
      <c r="H1016" s="479">
        <v>33.596299999999999</v>
      </c>
      <c r="I1016" s="480">
        <v>11.67</v>
      </c>
      <c r="J1016" s="480"/>
    </row>
    <row r="1017" spans="1:10" ht="63.75" outlineLevel="4">
      <c r="A1017" s="481" t="s">
        <v>62</v>
      </c>
      <c r="B1017" s="482" t="s">
        <v>1691</v>
      </c>
      <c r="C1017" s="483" t="s">
        <v>715</v>
      </c>
      <c r="D1017" s="482" t="s">
        <v>716</v>
      </c>
      <c r="E1017" s="484">
        <v>288</v>
      </c>
      <c r="F1017" s="484">
        <v>288</v>
      </c>
      <c r="G1017" s="484">
        <v>33.596299999999999</v>
      </c>
      <c r="H1017" s="484">
        <v>33.596299999999999</v>
      </c>
      <c r="I1017" s="480">
        <v>11.67</v>
      </c>
      <c r="J1017" s="480"/>
    </row>
    <row r="1018" spans="1:10" ht="76.5" outlineLevel="3">
      <c r="A1018" s="476" t="s">
        <v>1027</v>
      </c>
      <c r="B1018" s="477" t="s">
        <v>1692</v>
      </c>
      <c r="C1018" s="478"/>
      <c r="D1018" s="477"/>
      <c r="E1018" s="479">
        <v>2295</v>
      </c>
      <c r="F1018" s="479">
        <v>2295</v>
      </c>
      <c r="G1018" s="479">
        <v>0</v>
      </c>
      <c r="H1018" s="479">
        <v>0</v>
      </c>
      <c r="I1018" s="480">
        <v>0</v>
      </c>
      <c r="J1018" s="480"/>
    </row>
    <row r="1019" spans="1:10" ht="76.5" outlineLevel="4">
      <c r="A1019" s="481" t="s">
        <v>1027</v>
      </c>
      <c r="B1019" s="482" t="s">
        <v>1692</v>
      </c>
      <c r="C1019" s="483" t="s">
        <v>715</v>
      </c>
      <c r="D1019" s="482" t="s">
        <v>716</v>
      </c>
      <c r="E1019" s="484">
        <v>2295</v>
      </c>
      <c r="F1019" s="484">
        <v>2295</v>
      </c>
      <c r="G1019" s="484">
        <v>0</v>
      </c>
      <c r="H1019" s="484">
        <v>0</v>
      </c>
      <c r="I1019" s="480">
        <v>0</v>
      </c>
      <c r="J1019" s="480"/>
    </row>
    <row r="1020" spans="1:10" ht="25.5" outlineLevel="3">
      <c r="A1020" s="476" t="s">
        <v>713</v>
      </c>
      <c r="B1020" s="477" t="s">
        <v>1693</v>
      </c>
      <c r="C1020" s="478"/>
      <c r="D1020" s="477"/>
      <c r="E1020" s="479">
        <v>50</v>
      </c>
      <c r="F1020" s="479">
        <v>50</v>
      </c>
      <c r="G1020" s="479">
        <v>50</v>
      </c>
      <c r="H1020" s="479">
        <v>50</v>
      </c>
      <c r="I1020" s="480">
        <v>100</v>
      </c>
      <c r="J1020" s="480"/>
    </row>
    <row r="1021" spans="1:10" ht="25.5" outlineLevel="4">
      <c r="A1021" s="481" t="s">
        <v>713</v>
      </c>
      <c r="B1021" s="482" t="s">
        <v>1693</v>
      </c>
      <c r="C1021" s="483" t="s">
        <v>715</v>
      </c>
      <c r="D1021" s="482" t="s">
        <v>716</v>
      </c>
      <c r="E1021" s="484">
        <v>50</v>
      </c>
      <c r="F1021" s="484">
        <v>50</v>
      </c>
      <c r="G1021" s="484">
        <v>50</v>
      </c>
      <c r="H1021" s="484">
        <v>50</v>
      </c>
      <c r="I1021" s="480">
        <v>100</v>
      </c>
      <c r="J1021" s="480"/>
    </row>
    <row r="1022" spans="1:10" ht="60.75" collapsed="1" thickBot="1">
      <c r="A1022" s="461" t="s">
        <v>1694</v>
      </c>
      <c r="B1022" s="462" t="s">
        <v>1695</v>
      </c>
      <c r="C1022" s="463"/>
      <c r="D1022" s="462"/>
      <c r="E1022" s="464">
        <v>773368.20967999997</v>
      </c>
      <c r="F1022" s="464">
        <v>770519.81504999998</v>
      </c>
      <c r="G1022" s="464">
        <v>189832.84062999999</v>
      </c>
      <c r="H1022" s="464">
        <v>162949.00036000001</v>
      </c>
      <c r="I1022" s="465">
        <v>21.07</v>
      </c>
      <c r="J1022" s="465"/>
    </row>
    <row r="1023" spans="1:10" ht="25.5" outlineLevel="1">
      <c r="A1023" s="466" t="s">
        <v>1696</v>
      </c>
      <c r="B1023" s="467" t="s">
        <v>1697</v>
      </c>
      <c r="C1023" s="468"/>
      <c r="D1023" s="467"/>
      <c r="E1023" s="469">
        <v>8164.0800799999997</v>
      </c>
      <c r="F1023" s="469">
        <v>8164.0800799999997</v>
      </c>
      <c r="G1023" s="469">
        <v>474.56400000000002</v>
      </c>
      <c r="H1023" s="469">
        <v>474.56400000000002</v>
      </c>
      <c r="I1023" s="470">
        <v>5.81</v>
      </c>
      <c r="J1023" s="470"/>
    </row>
    <row r="1024" spans="1:10" ht="25.5" outlineLevel="2">
      <c r="A1024" s="471" t="s">
        <v>1698</v>
      </c>
      <c r="B1024" s="472" t="s">
        <v>1699</v>
      </c>
      <c r="C1024" s="473"/>
      <c r="D1024" s="472"/>
      <c r="E1024" s="474">
        <v>1500</v>
      </c>
      <c r="F1024" s="474">
        <v>1500</v>
      </c>
      <c r="G1024" s="474">
        <v>0</v>
      </c>
      <c r="H1024" s="474">
        <v>0</v>
      </c>
      <c r="I1024" s="475">
        <v>0</v>
      </c>
      <c r="J1024" s="475"/>
    </row>
    <row r="1025" spans="1:10" ht="25.5" outlineLevel="3">
      <c r="A1025" s="476" t="s">
        <v>713</v>
      </c>
      <c r="B1025" s="477" t="s">
        <v>1700</v>
      </c>
      <c r="C1025" s="478"/>
      <c r="D1025" s="477"/>
      <c r="E1025" s="479">
        <v>1500</v>
      </c>
      <c r="F1025" s="479">
        <v>1500</v>
      </c>
      <c r="G1025" s="479">
        <v>0</v>
      </c>
      <c r="H1025" s="479">
        <v>0</v>
      </c>
      <c r="I1025" s="480">
        <v>0</v>
      </c>
      <c r="J1025" s="480"/>
    </row>
    <row r="1026" spans="1:10" ht="25.5" outlineLevel="4">
      <c r="A1026" s="481" t="s">
        <v>713</v>
      </c>
      <c r="B1026" s="482" t="s">
        <v>1700</v>
      </c>
      <c r="C1026" s="483" t="s">
        <v>1701</v>
      </c>
      <c r="D1026" s="482" t="s">
        <v>1702</v>
      </c>
      <c r="E1026" s="484">
        <v>1500</v>
      </c>
      <c r="F1026" s="484">
        <v>1500</v>
      </c>
      <c r="G1026" s="484">
        <v>0</v>
      </c>
      <c r="H1026" s="484">
        <v>0</v>
      </c>
      <c r="I1026" s="480">
        <v>0</v>
      </c>
      <c r="J1026" s="480"/>
    </row>
    <row r="1027" spans="1:10" ht="51" outlineLevel="2">
      <c r="A1027" s="471" t="s">
        <v>1703</v>
      </c>
      <c r="B1027" s="472" t="s">
        <v>1704</v>
      </c>
      <c r="C1027" s="473"/>
      <c r="D1027" s="472"/>
      <c r="E1027" s="474">
        <v>3971.6600800000001</v>
      </c>
      <c r="F1027" s="474">
        <v>3971.6600800000001</v>
      </c>
      <c r="G1027" s="474">
        <v>407.5</v>
      </c>
      <c r="H1027" s="474">
        <v>407.5</v>
      </c>
      <c r="I1027" s="475">
        <v>10.26</v>
      </c>
      <c r="J1027" s="475"/>
    </row>
    <row r="1028" spans="1:10" ht="25.5" outlineLevel="3">
      <c r="A1028" s="476" t="s">
        <v>713</v>
      </c>
      <c r="B1028" s="477" t="s">
        <v>1705</v>
      </c>
      <c r="C1028" s="478"/>
      <c r="D1028" s="477"/>
      <c r="E1028" s="479">
        <v>3971.6600800000001</v>
      </c>
      <c r="F1028" s="479">
        <v>3971.6600800000001</v>
      </c>
      <c r="G1028" s="479">
        <v>407.5</v>
      </c>
      <c r="H1028" s="479">
        <v>407.5</v>
      </c>
      <c r="I1028" s="480">
        <v>10.26</v>
      </c>
      <c r="J1028" s="480"/>
    </row>
    <row r="1029" spans="1:10" ht="25.5" outlineLevel="4">
      <c r="A1029" s="481" t="s">
        <v>713</v>
      </c>
      <c r="B1029" s="482" t="s">
        <v>1705</v>
      </c>
      <c r="C1029" s="483" t="s">
        <v>1701</v>
      </c>
      <c r="D1029" s="482" t="s">
        <v>1702</v>
      </c>
      <c r="E1029" s="484">
        <v>3971.6600800000001</v>
      </c>
      <c r="F1029" s="484">
        <v>3971.6600800000001</v>
      </c>
      <c r="G1029" s="484">
        <v>407.5</v>
      </c>
      <c r="H1029" s="484">
        <v>407.5</v>
      </c>
      <c r="I1029" s="480">
        <v>10.26</v>
      </c>
      <c r="J1029" s="480"/>
    </row>
    <row r="1030" spans="1:10" ht="25.5" outlineLevel="2">
      <c r="A1030" s="471" t="s">
        <v>1706</v>
      </c>
      <c r="B1030" s="472" t="s">
        <v>1707</v>
      </c>
      <c r="C1030" s="473"/>
      <c r="D1030" s="472"/>
      <c r="E1030" s="474">
        <v>1100</v>
      </c>
      <c r="F1030" s="474">
        <v>1100</v>
      </c>
      <c r="G1030" s="474">
        <v>0</v>
      </c>
      <c r="H1030" s="474">
        <v>0</v>
      </c>
      <c r="I1030" s="475">
        <v>0</v>
      </c>
      <c r="J1030" s="475"/>
    </row>
    <row r="1031" spans="1:10" ht="25.5" outlineLevel="3">
      <c r="A1031" s="476" t="s">
        <v>713</v>
      </c>
      <c r="B1031" s="477" t="s">
        <v>1708</v>
      </c>
      <c r="C1031" s="478"/>
      <c r="D1031" s="477"/>
      <c r="E1031" s="479">
        <v>1100</v>
      </c>
      <c r="F1031" s="479">
        <v>1100</v>
      </c>
      <c r="G1031" s="479">
        <v>0</v>
      </c>
      <c r="H1031" s="479">
        <v>0</v>
      </c>
      <c r="I1031" s="480">
        <v>0</v>
      </c>
      <c r="J1031" s="480"/>
    </row>
    <row r="1032" spans="1:10" ht="25.5" outlineLevel="4">
      <c r="A1032" s="481" t="s">
        <v>713</v>
      </c>
      <c r="B1032" s="482" t="s">
        <v>1708</v>
      </c>
      <c r="C1032" s="483" t="s">
        <v>1701</v>
      </c>
      <c r="D1032" s="482" t="s">
        <v>1702</v>
      </c>
      <c r="E1032" s="484">
        <v>1100</v>
      </c>
      <c r="F1032" s="484">
        <v>1100</v>
      </c>
      <c r="G1032" s="484">
        <v>0</v>
      </c>
      <c r="H1032" s="484">
        <v>0</v>
      </c>
      <c r="I1032" s="480">
        <v>0</v>
      </c>
      <c r="J1032" s="480"/>
    </row>
    <row r="1033" spans="1:10" ht="51" outlineLevel="2">
      <c r="A1033" s="471" t="s">
        <v>1709</v>
      </c>
      <c r="B1033" s="472" t="s">
        <v>1710</v>
      </c>
      <c r="C1033" s="473"/>
      <c r="D1033" s="472"/>
      <c r="E1033" s="474">
        <v>1592.42</v>
      </c>
      <c r="F1033" s="474">
        <v>1592.42</v>
      </c>
      <c r="G1033" s="474">
        <v>67.063999999999993</v>
      </c>
      <c r="H1033" s="474">
        <v>67.063999999999993</v>
      </c>
      <c r="I1033" s="475">
        <v>4.21</v>
      </c>
      <c r="J1033" s="475"/>
    </row>
    <row r="1034" spans="1:10" ht="76.5" outlineLevel="3">
      <c r="A1034" s="476" t="s">
        <v>702</v>
      </c>
      <c r="B1034" s="477" t="s">
        <v>1711</v>
      </c>
      <c r="C1034" s="478"/>
      <c r="D1034" s="477"/>
      <c r="E1034" s="479">
        <v>192.42</v>
      </c>
      <c r="F1034" s="479">
        <v>192.42</v>
      </c>
      <c r="G1034" s="479">
        <v>67.063999999999993</v>
      </c>
      <c r="H1034" s="479">
        <v>67.063999999999993</v>
      </c>
      <c r="I1034" s="480">
        <v>34.85</v>
      </c>
      <c r="J1034" s="480"/>
    </row>
    <row r="1035" spans="1:10" ht="76.5" outlineLevel="4">
      <c r="A1035" s="481" t="s">
        <v>702</v>
      </c>
      <c r="B1035" s="482" t="s">
        <v>1711</v>
      </c>
      <c r="C1035" s="483" t="s">
        <v>711</v>
      </c>
      <c r="D1035" s="482" t="s">
        <v>712</v>
      </c>
      <c r="E1035" s="484">
        <v>192.42</v>
      </c>
      <c r="F1035" s="484">
        <v>192.42</v>
      </c>
      <c r="G1035" s="484">
        <v>67.063999999999993</v>
      </c>
      <c r="H1035" s="484">
        <v>67.063999999999993</v>
      </c>
      <c r="I1035" s="480">
        <v>34.85</v>
      </c>
      <c r="J1035" s="480"/>
    </row>
    <row r="1036" spans="1:10" ht="25.5" outlineLevel="3">
      <c r="A1036" s="476" t="s">
        <v>713</v>
      </c>
      <c r="B1036" s="477" t="s">
        <v>1712</v>
      </c>
      <c r="C1036" s="478"/>
      <c r="D1036" s="477"/>
      <c r="E1036" s="479">
        <v>1400</v>
      </c>
      <c r="F1036" s="479">
        <v>1400</v>
      </c>
      <c r="G1036" s="479">
        <v>0</v>
      </c>
      <c r="H1036" s="479">
        <v>0</v>
      </c>
      <c r="I1036" s="480">
        <v>0</v>
      </c>
      <c r="J1036" s="480"/>
    </row>
    <row r="1037" spans="1:10" ht="25.5" outlineLevel="4">
      <c r="A1037" s="481" t="s">
        <v>713</v>
      </c>
      <c r="B1037" s="482" t="s">
        <v>1712</v>
      </c>
      <c r="C1037" s="483" t="s">
        <v>1701</v>
      </c>
      <c r="D1037" s="482" t="s">
        <v>1702</v>
      </c>
      <c r="E1037" s="484">
        <v>1400</v>
      </c>
      <c r="F1037" s="484">
        <v>1400</v>
      </c>
      <c r="G1037" s="484">
        <v>0</v>
      </c>
      <c r="H1037" s="484">
        <v>0</v>
      </c>
      <c r="I1037" s="480">
        <v>0</v>
      </c>
      <c r="J1037" s="480"/>
    </row>
    <row r="1038" spans="1:10" ht="25.5" outlineLevel="1">
      <c r="A1038" s="466" t="s">
        <v>1713</v>
      </c>
      <c r="B1038" s="467" t="s">
        <v>1714</v>
      </c>
      <c r="C1038" s="468"/>
      <c r="D1038" s="467"/>
      <c r="E1038" s="469">
        <v>128366.64002000001</v>
      </c>
      <c r="F1038" s="469">
        <v>126005.51002</v>
      </c>
      <c r="G1038" s="469">
        <v>74407.671679999999</v>
      </c>
      <c r="H1038" s="469">
        <v>68444.202680000002</v>
      </c>
      <c r="I1038" s="470">
        <v>53.32</v>
      </c>
      <c r="J1038" s="470"/>
    </row>
    <row r="1039" spans="1:10" ht="25.5" outlineLevel="2">
      <c r="A1039" s="471" t="s">
        <v>1715</v>
      </c>
      <c r="B1039" s="472" t="s">
        <v>1716</v>
      </c>
      <c r="C1039" s="473"/>
      <c r="D1039" s="472"/>
      <c r="E1039" s="474">
        <v>81203.7448</v>
      </c>
      <c r="F1039" s="474">
        <v>78842.614799999996</v>
      </c>
      <c r="G1039" s="474">
        <v>50583.671679999999</v>
      </c>
      <c r="H1039" s="474">
        <v>45826.402679999999</v>
      </c>
      <c r="I1039" s="475">
        <v>56.43</v>
      </c>
      <c r="J1039" s="475"/>
    </row>
    <row r="1040" spans="1:10" ht="76.5" outlineLevel="3">
      <c r="A1040" s="476" t="s">
        <v>1717</v>
      </c>
      <c r="B1040" s="477" t="s">
        <v>1718</v>
      </c>
      <c r="C1040" s="478"/>
      <c r="D1040" s="477"/>
      <c r="E1040" s="479">
        <v>16031.1991</v>
      </c>
      <c r="F1040" s="479">
        <v>16031.1991</v>
      </c>
      <c r="G1040" s="479">
        <v>7124.9759999999997</v>
      </c>
      <c r="H1040" s="479">
        <v>5343.732</v>
      </c>
      <c r="I1040" s="480">
        <v>33.33</v>
      </c>
      <c r="J1040" s="480"/>
    </row>
    <row r="1041" spans="1:10" ht="76.5" outlineLevel="4">
      <c r="A1041" s="481" t="s">
        <v>1717</v>
      </c>
      <c r="B1041" s="482" t="s">
        <v>1718</v>
      </c>
      <c r="C1041" s="483" t="s">
        <v>1701</v>
      </c>
      <c r="D1041" s="482" t="s">
        <v>1702</v>
      </c>
      <c r="E1041" s="484">
        <v>16031.1991</v>
      </c>
      <c r="F1041" s="484">
        <v>16031.1991</v>
      </c>
      <c r="G1041" s="484">
        <v>7124.9759999999997</v>
      </c>
      <c r="H1041" s="484">
        <v>5343.732</v>
      </c>
      <c r="I1041" s="480">
        <v>33.33</v>
      </c>
      <c r="J1041" s="480"/>
    </row>
    <row r="1042" spans="1:10" ht="76.5" outlineLevel="3">
      <c r="A1042" s="476" t="s">
        <v>702</v>
      </c>
      <c r="B1042" s="477" t="s">
        <v>1719</v>
      </c>
      <c r="C1042" s="478"/>
      <c r="D1042" s="477"/>
      <c r="E1042" s="479">
        <v>8041.7336800000003</v>
      </c>
      <c r="F1042" s="479">
        <v>6105.6036800000002</v>
      </c>
      <c r="G1042" s="479">
        <v>6105.6036800000002</v>
      </c>
      <c r="H1042" s="479">
        <v>6105.6036800000002</v>
      </c>
      <c r="I1042" s="480">
        <v>75.92</v>
      </c>
      <c r="J1042" s="480"/>
    </row>
    <row r="1043" spans="1:10" ht="76.5" outlineLevel="4">
      <c r="A1043" s="481" t="s">
        <v>702</v>
      </c>
      <c r="B1043" s="482" t="s">
        <v>1719</v>
      </c>
      <c r="C1043" s="483" t="s">
        <v>1701</v>
      </c>
      <c r="D1043" s="482" t="s">
        <v>1702</v>
      </c>
      <c r="E1043" s="484">
        <v>8041.7336800000003</v>
      </c>
      <c r="F1043" s="484">
        <v>6105.6036800000002</v>
      </c>
      <c r="G1043" s="484">
        <v>6105.6036800000002</v>
      </c>
      <c r="H1043" s="484">
        <v>6105.6036800000002</v>
      </c>
      <c r="I1043" s="480">
        <v>75.92</v>
      </c>
      <c r="J1043" s="480"/>
    </row>
    <row r="1044" spans="1:10" ht="63.75" outlineLevel="3">
      <c r="A1044" s="476" t="s">
        <v>62</v>
      </c>
      <c r="B1044" s="477" t="s">
        <v>1720</v>
      </c>
      <c r="C1044" s="478"/>
      <c r="D1044" s="477"/>
      <c r="E1044" s="479">
        <v>425</v>
      </c>
      <c r="F1044" s="479">
        <v>0</v>
      </c>
      <c r="G1044" s="479">
        <v>0</v>
      </c>
      <c r="H1044" s="479">
        <v>0</v>
      </c>
      <c r="I1044" s="480">
        <v>0</v>
      </c>
      <c r="J1044" s="480"/>
    </row>
    <row r="1045" spans="1:10" ht="63.75" outlineLevel="4">
      <c r="A1045" s="481" t="s">
        <v>62</v>
      </c>
      <c r="B1045" s="482" t="s">
        <v>1720</v>
      </c>
      <c r="C1045" s="483" t="s">
        <v>1701</v>
      </c>
      <c r="D1045" s="482" t="s">
        <v>1702</v>
      </c>
      <c r="E1045" s="484">
        <v>425</v>
      </c>
      <c r="F1045" s="484">
        <v>0</v>
      </c>
      <c r="G1045" s="484">
        <v>0</v>
      </c>
      <c r="H1045" s="484">
        <v>0</v>
      </c>
      <c r="I1045" s="480">
        <v>0</v>
      </c>
      <c r="J1045" s="480"/>
    </row>
    <row r="1046" spans="1:10" ht="25.5" outlineLevel="3">
      <c r="A1046" s="476" t="s">
        <v>1721</v>
      </c>
      <c r="B1046" s="477" t="s">
        <v>1722</v>
      </c>
      <c r="C1046" s="478"/>
      <c r="D1046" s="477"/>
      <c r="E1046" s="479">
        <v>56705.812019999998</v>
      </c>
      <c r="F1046" s="479">
        <v>56705.812019999998</v>
      </c>
      <c r="G1046" s="479">
        <v>37353.091999999997</v>
      </c>
      <c r="H1046" s="479">
        <v>34377.067000000003</v>
      </c>
      <c r="I1046" s="480">
        <v>60.62</v>
      </c>
      <c r="J1046" s="480"/>
    </row>
    <row r="1047" spans="1:10" ht="25.5" outlineLevel="4">
      <c r="A1047" s="481" t="s">
        <v>1721</v>
      </c>
      <c r="B1047" s="482" t="s">
        <v>1722</v>
      </c>
      <c r="C1047" s="483" t="s">
        <v>1701</v>
      </c>
      <c r="D1047" s="482" t="s">
        <v>1702</v>
      </c>
      <c r="E1047" s="484">
        <v>56705.812019999998</v>
      </c>
      <c r="F1047" s="484">
        <v>56705.812019999998</v>
      </c>
      <c r="G1047" s="484">
        <v>37353.091999999997</v>
      </c>
      <c r="H1047" s="484">
        <v>34377.067000000003</v>
      </c>
      <c r="I1047" s="480">
        <v>60.62</v>
      </c>
      <c r="J1047" s="485" t="s">
        <v>10</v>
      </c>
    </row>
    <row r="1048" spans="1:10" ht="38.25" outlineLevel="2">
      <c r="A1048" s="471" t="s">
        <v>1723</v>
      </c>
      <c r="B1048" s="472" t="s">
        <v>1724</v>
      </c>
      <c r="C1048" s="473"/>
      <c r="D1048" s="472"/>
      <c r="E1048" s="474">
        <v>500</v>
      </c>
      <c r="F1048" s="474">
        <v>500</v>
      </c>
      <c r="G1048" s="474">
        <v>0</v>
      </c>
      <c r="H1048" s="474">
        <v>0</v>
      </c>
      <c r="I1048" s="475">
        <v>0</v>
      </c>
      <c r="J1048" s="475"/>
    </row>
    <row r="1049" spans="1:10" ht="25.5" outlineLevel="3">
      <c r="A1049" s="476" t="s">
        <v>1721</v>
      </c>
      <c r="B1049" s="477" t="s">
        <v>1725</v>
      </c>
      <c r="C1049" s="478"/>
      <c r="D1049" s="477"/>
      <c r="E1049" s="479">
        <v>500</v>
      </c>
      <c r="F1049" s="479">
        <v>500</v>
      </c>
      <c r="G1049" s="479">
        <v>0</v>
      </c>
      <c r="H1049" s="479">
        <v>0</v>
      </c>
      <c r="I1049" s="480">
        <v>0</v>
      </c>
      <c r="J1049" s="480"/>
    </row>
    <row r="1050" spans="1:10" ht="25.5" outlineLevel="4">
      <c r="A1050" s="481" t="s">
        <v>1721</v>
      </c>
      <c r="B1050" s="482" t="s">
        <v>1725</v>
      </c>
      <c r="C1050" s="483" t="s">
        <v>1701</v>
      </c>
      <c r="D1050" s="482" t="s">
        <v>1702</v>
      </c>
      <c r="E1050" s="484">
        <v>500</v>
      </c>
      <c r="F1050" s="484">
        <v>500</v>
      </c>
      <c r="G1050" s="484">
        <v>0</v>
      </c>
      <c r="H1050" s="484">
        <v>0</v>
      </c>
      <c r="I1050" s="480">
        <v>0</v>
      </c>
      <c r="J1050" s="485" t="s">
        <v>10</v>
      </c>
    </row>
    <row r="1051" spans="1:10" ht="25.5" outlineLevel="2">
      <c r="A1051" s="471" t="s">
        <v>1726</v>
      </c>
      <c r="B1051" s="472" t="s">
        <v>1727</v>
      </c>
      <c r="C1051" s="473"/>
      <c r="D1051" s="472"/>
      <c r="E1051" s="474">
        <v>339.19522000000001</v>
      </c>
      <c r="F1051" s="474">
        <v>339.19522000000001</v>
      </c>
      <c r="G1051" s="474">
        <v>0</v>
      </c>
      <c r="H1051" s="474">
        <v>0</v>
      </c>
      <c r="I1051" s="475">
        <v>0</v>
      </c>
      <c r="J1051" s="475"/>
    </row>
    <row r="1052" spans="1:10" ht="25.5" outlineLevel="3">
      <c r="A1052" s="476" t="s">
        <v>713</v>
      </c>
      <c r="B1052" s="477" t="s">
        <v>1728</v>
      </c>
      <c r="C1052" s="478"/>
      <c r="D1052" s="477"/>
      <c r="E1052" s="479">
        <v>339.19522000000001</v>
      </c>
      <c r="F1052" s="479">
        <v>339.19522000000001</v>
      </c>
      <c r="G1052" s="479">
        <v>0</v>
      </c>
      <c r="H1052" s="479">
        <v>0</v>
      </c>
      <c r="I1052" s="480">
        <v>0</v>
      </c>
      <c r="J1052" s="480"/>
    </row>
    <row r="1053" spans="1:10" ht="25.5" outlineLevel="4">
      <c r="A1053" s="481" t="s">
        <v>713</v>
      </c>
      <c r="B1053" s="482" t="s">
        <v>1728</v>
      </c>
      <c r="C1053" s="483" t="s">
        <v>1701</v>
      </c>
      <c r="D1053" s="482" t="s">
        <v>1702</v>
      </c>
      <c r="E1053" s="484">
        <v>339.19522000000001</v>
      </c>
      <c r="F1053" s="484">
        <v>339.19522000000001</v>
      </c>
      <c r="G1053" s="484">
        <v>0</v>
      </c>
      <c r="H1053" s="484">
        <v>0</v>
      </c>
      <c r="I1053" s="480">
        <v>0</v>
      </c>
      <c r="J1053" s="480"/>
    </row>
    <row r="1054" spans="1:10" ht="38.25" outlineLevel="2">
      <c r="A1054" s="471" t="s">
        <v>1729</v>
      </c>
      <c r="B1054" s="472" t="s">
        <v>1730</v>
      </c>
      <c r="C1054" s="473"/>
      <c r="D1054" s="472"/>
      <c r="E1054" s="474">
        <v>16379</v>
      </c>
      <c r="F1054" s="474">
        <v>16379</v>
      </c>
      <c r="G1054" s="474">
        <v>0</v>
      </c>
      <c r="H1054" s="474">
        <v>0</v>
      </c>
      <c r="I1054" s="475">
        <v>0</v>
      </c>
      <c r="J1054" s="475"/>
    </row>
    <row r="1055" spans="1:10" ht="25.5" outlineLevel="3">
      <c r="A1055" s="476" t="s">
        <v>1721</v>
      </c>
      <c r="B1055" s="477" t="s">
        <v>1731</v>
      </c>
      <c r="C1055" s="478"/>
      <c r="D1055" s="477"/>
      <c r="E1055" s="479">
        <v>16379</v>
      </c>
      <c r="F1055" s="479">
        <v>16379</v>
      </c>
      <c r="G1055" s="479">
        <v>0</v>
      </c>
      <c r="H1055" s="479">
        <v>0</v>
      </c>
      <c r="I1055" s="480">
        <v>0</v>
      </c>
      <c r="J1055" s="480"/>
    </row>
    <row r="1056" spans="1:10" ht="25.5" outlineLevel="4">
      <c r="A1056" s="481" t="s">
        <v>1721</v>
      </c>
      <c r="B1056" s="482" t="s">
        <v>1731</v>
      </c>
      <c r="C1056" s="483" t="s">
        <v>1701</v>
      </c>
      <c r="D1056" s="482" t="s">
        <v>1702</v>
      </c>
      <c r="E1056" s="484">
        <v>16379</v>
      </c>
      <c r="F1056" s="484">
        <v>16379</v>
      </c>
      <c r="G1056" s="484">
        <v>0</v>
      </c>
      <c r="H1056" s="484">
        <v>0</v>
      </c>
      <c r="I1056" s="480">
        <v>0</v>
      </c>
      <c r="J1056" s="485" t="s">
        <v>10</v>
      </c>
    </row>
    <row r="1057" spans="1:10" ht="25.5" outlineLevel="2">
      <c r="A1057" s="471" t="s">
        <v>1732</v>
      </c>
      <c r="B1057" s="472" t="s">
        <v>1733</v>
      </c>
      <c r="C1057" s="473"/>
      <c r="D1057" s="472"/>
      <c r="E1057" s="474">
        <v>29944.7</v>
      </c>
      <c r="F1057" s="474">
        <v>29944.7</v>
      </c>
      <c r="G1057" s="474">
        <v>23824</v>
      </c>
      <c r="H1057" s="474">
        <v>22617.8</v>
      </c>
      <c r="I1057" s="475">
        <v>75.53</v>
      </c>
      <c r="J1057" s="475"/>
    </row>
    <row r="1058" spans="1:10" outlineLevel="3">
      <c r="A1058" s="476" t="s">
        <v>1734</v>
      </c>
      <c r="B1058" s="477" t="s">
        <v>1735</v>
      </c>
      <c r="C1058" s="478"/>
      <c r="D1058" s="477"/>
      <c r="E1058" s="479">
        <v>13268.2</v>
      </c>
      <c r="F1058" s="479">
        <v>13268.2</v>
      </c>
      <c r="G1058" s="479">
        <v>7237.2</v>
      </c>
      <c r="H1058" s="479">
        <v>6031</v>
      </c>
      <c r="I1058" s="480">
        <v>45.45</v>
      </c>
      <c r="J1058" s="480"/>
    </row>
    <row r="1059" spans="1:10" ht="25.5" outlineLevel="4">
      <c r="A1059" s="481" t="s">
        <v>1734</v>
      </c>
      <c r="B1059" s="482" t="s">
        <v>1735</v>
      </c>
      <c r="C1059" s="483" t="s">
        <v>1701</v>
      </c>
      <c r="D1059" s="482" t="s">
        <v>1702</v>
      </c>
      <c r="E1059" s="484">
        <v>13268.2</v>
      </c>
      <c r="F1059" s="484">
        <v>13268.2</v>
      </c>
      <c r="G1059" s="484">
        <v>7237.2</v>
      </c>
      <c r="H1059" s="484">
        <v>6031</v>
      </c>
      <c r="I1059" s="480">
        <v>45.45</v>
      </c>
      <c r="J1059" s="485" t="s">
        <v>10</v>
      </c>
    </row>
    <row r="1060" spans="1:10" ht="76.5" outlineLevel="3">
      <c r="A1060" s="476" t="s">
        <v>1736</v>
      </c>
      <c r="B1060" s="477" t="s">
        <v>1737</v>
      </c>
      <c r="C1060" s="478"/>
      <c r="D1060" s="477"/>
      <c r="E1060" s="479">
        <v>5444.2</v>
      </c>
      <c r="F1060" s="479">
        <v>5444.2</v>
      </c>
      <c r="G1060" s="479">
        <v>5444.2</v>
      </c>
      <c r="H1060" s="479">
        <v>5444.2</v>
      </c>
      <c r="I1060" s="480">
        <v>100</v>
      </c>
      <c r="J1060" s="480"/>
    </row>
    <row r="1061" spans="1:10" ht="76.5" outlineLevel="4">
      <c r="A1061" s="481" t="s">
        <v>1736</v>
      </c>
      <c r="B1061" s="482" t="s">
        <v>1737</v>
      </c>
      <c r="C1061" s="483" t="s">
        <v>1701</v>
      </c>
      <c r="D1061" s="482" t="s">
        <v>1702</v>
      </c>
      <c r="E1061" s="484">
        <v>5444.2</v>
      </c>
      <c r="F1061" s="484">
        <v>5444.2</v>
      </c>
      <c r="G1061" s="484">
        <v>5444.2</v>
      </c>
      <c r="H1061" s="484">
        <v>5444.2</v>
      </c>
      <c r="I1061" s="480">
        <v>100</v>
      </c>
      <c r="J1061" s="485" t="s">
        <v>10</v>
      </c>
    </row>
    <row r="1062" spans="1:10" ht="25.5" outlineLevel="3">
      <c r="A1062" s="476" t="s">
        <v>1738</v>
      </c>
      <c r="B1062" s="477" t="s">
        <v>1739</v>
      </c>
      <c r="C1062" s="478"/>
      <c r="D1062" s="477"/>
      <c r="E1062" s="479">
        <v>89.7</v>
      </c>
      <c r="F1062" s="479">
        <v>89.7</v>
      </c>
      <c r="G1062" s="479">
        <v>0</v>
      </c>
      <c r="H1062" s="479">
        <v>0</v>
      </c>
      <c r="I1062" s="480">
        <v>0</v>
      </c>
      <c r="J1062" s="480"/>
    </row>
    <row r="1063" spans="1:10" ht="25.5" outlineLevel="4">
      <c r="A1063" s="481" t="s">
        <v>1738</v>
      </c>
      <c r="B1063" s="482" t="s">
        <v>1739</v>
      </c>
      <c r="C1063" s="483" t="s">
        <v>1701</v>
      </c>
      <c r="D1063" s="482" t="s">
        <v>1702</v>
      </c>
      <c r="E1063" s="484">
        <v>89.7</v>
      </c>
      <c r="F1063" s="484">
        <v>89.7</v>
      </c>
      <c r="G1063" s="484">
        <v>0</v>
      </c>
      <c r="H1063" s="484">
        <v>0</v>
      </c>
      <c r="I1063" s="480">
        <v>0</v>
      </c>
      <c r="J1063" s="485" t="s">
        <v>10</v>
      </c>
    </row>
    <row r="1064" spans="1:10" ht="76.5" outlineLevel="3">
      <c r="A1064" s="476" t="s">
        <v>1740</v>
      </c>
      <c r="B1064" s="477" t="s">
        <v>1741</v>
      </c>
      <c r="C1064" s="478"/>
      <c r="D1064" s="477"/>
      <c r="E1064" s="479">
        <v>11142.6</v>
      </c>
      <c r="F1064" s="479">
        <v>11142.6</v>
      </c>
      <c r="G1064" s="479">
        <v>11142.6</v>
      </c>
      <c r="H1064" s="479">
        <v>11142.6</v>
      </c>
      <c r="I1064" s="480">
        <v>100</v>
      </c>
      <c r="J1064" s="480"/>
    </row>
    <row r="1065" spans="1:10" ht="76.5" outlineLevel="4">
      <c r="A1065" s="481" t="s">
        <v>1740</v>
      </c>
      <c r="B1065" s="482" t="s">
        <v>1741</v>
      </c>
      <c r="C1065" s="483" t="s">
        <v>1701</v>
      </c>
      <c r="D1065" s="482" t="s">
        <v>1702</v>
      </c>
      <c r="E1065" s="484">
        <v>11142.6</v>
      </c>
      <c r="F1065" s="484">
        <v>11142.6</v>
      </c>
      <c r="G1065" s="484">
        <v>11142.6</v>
      </c>
      <c r="H1065" s="484">
        <v>11142.6</v>
      </c>
      <c r="I1065" s="480">
        <v>100</v>
      </c>
      <c r="J1065" s="485" t="s">
        <v>10</v>
      </c>
    </row>
    <row r="1066" spans="1:10" ht="38.25" outlineLevel="1">
      <c r="A1066" s="466" t="s">
        <v>1742</v>
      </c>
      <c r="B1066" s="467" t="s">
        <v>1743</v>
      </c>
      <c r="C1066" s="468"/>
      <c r="D1066" s="467"/>
      <c r="E1066" s="469">
        <v>20735.479060000001</v>
      </c>
      <c r="F1066" s="469">
        <v>20735.479060000001</v>
      </c>
      <c r="G1066" s="469">
        <v>2947.84</v>
      </c>
      <c r="H1066" s="469">
        <v>2589</v>
      </c>
      <c r="I1066" s="470">
        <v>12.49</v>
      </c>
      <c r="J1066" s="470"/>
    </row>
    <row r="1067" spans="1:10" ht="38.25" outlineLevel="2">
      <c r="A1067" s="471" t="s">
        <v>1744</v>
      </c>
      <c r="B1067" s="472" t="s">
        <v>1745</v>
      </c>
      <c r="C1067" s="473"/>
      <c r="D1067" s="472"/>
      <c r="E1067" s="474">
        <v>12524.341490000001</v>
      </c>
      <c r="F1067" s="474">
        <v>12524.341490000001</v>
      </c>
      <c r="G1067" s="474">
        <v>0</v>
      </c>
      <c r="H1067" s="474">
        <v>0</v>
      </c>
      <c r="I1067" s="475">
        <v>0</v>
      </c>
      <c r="J1067" s="475"/>
    </row>
    <row r="1068" spans="1:10" ht="25.5" outlineLevel="3">
      <c r="A1068" s="476" t="s">
        <v>1746</v>
      </c>
      <c r="B1068" s="477" t="s">
        <v>1747</v>
      </c>
      <c r="C1068" s="478"/>
      <c r="D1068" s="477"/>
      <c r="E1068" s="479">
        <v>12524.341490000001</v>
      </c>
      <c r="F1068" s="479">
        <v>12524.341490000001</v>
      </c>
      <c r="G1068" s="479">
        <v>0</v>
      </c>
      <c r="H1068" s="479">
        <v>0</v>
      </c>
      <c r="I1068" s="480">
        <v>0</v>
      </c>
      <c r="J1068" s="480"/>
    </row>
    <row r="1069" spans="1:10" ht="25.5" outlineLevel="4">
      <c r="A1069" s="481" t="s">
        <v>1746</v>
      </c>
      <c r="B1069" s="482" t="s">
        <v>1747</v>
      </c>
      <c r="C1069" s="483" t="s">
        <v>1701</v>
      </c>
      <c r="D1069" s="482" t="s">
        <v>1702</v>
      </c>
      <c r="E1069" s="484">
        <v>12524.341490000001</v>
      </c>
      <c r="F1069" s="484">
        <v>12524.341490000001</v>
      </c>
      <c r="G1069" s="484">
        <v>0</v>
      </c>
      <c r="H1069" s="484">
        <v>0</v>
      </c>
      <c r="I1069" s="480">
        <v>0</v>
      </c>
      <c r="J1069" s="485" t="s">
        <v>10</v>
      </c>
    </row>
    <row r="1070" spans="1:10" ht="38.25" outlineLevel="2">
      <c r="A1070" s="471" t="s">
        <v>1748</v>
      </c>
      <c r="B1070" s="472" t="s">
        <v>1749</v>
      </c>
      <c r="C1070" s="473"/>
      <c r="D1070" s="472"/>
      <c r="E1070" s="474">
        <v>2190.22757</v>
      </c>
      <c r="F1070" s="474">
        <v>2190.22757</v>
      </c>
      <c r="G1070" s="474">
        <v>0</v>
      </c>
      <c r="H1070" s="474">
        <v>0</v>
      </c>
      <c r="I1070" s="475">
        <v>0</v>
      </c>
      <c r="J1070" s="475"/>
    </row>
    <row r="1071" spans="1:10" ht="25.5" outlineLevel="3">
      <c r="A1071" s="476" t="s">
        <v>1746</v>
      </c>
      <c r="B1071" s="477" t="s">
        <v>1750</v>
      </c>
      <c r="C1071" s="478"/>
      <c r="D1071" s="477"/>
      <c r="E1071" s="479">
        <v>2190.22757</v>
      </c>
      <c r="F1071" s="479">
        <v>2190.22757</v>
      </c>
      <c r="G1071" s="479">
        <v>0</v>
      </c>
      <c r="H1071" s="479">
        <v>0</v>
      </c>
      <c r="I1071" s="480">
        <v>0</v>
      </c>
      <c r="J1071" s="480"/>
    </row>
    <row r="1072" spans="1:10" ht="25.5" outlineLevel="4">
      <c r="A1072" s="481" t="s">
        <v>1746</v>
      </c>
      <c r="B1072" s="482" t="s">
        <v>1750</v>
      </c>
      <c r="C1072" s="483" t="s">
        <v>1701</v>
      </c>
      <c r="D1072" s="482" t="s">
        <v>1702</v>
      </c>
      <c r="E1072" s="484">
        <v>2190.22757</v>
      </c>
      <c r="F1072" s="484">
        <v>2190.22757</v>
      </c>
      <c r="G1072" s="484">
        <v>0</v>
      </c>
      <c r="H1072" s="484">
        <v>0</v>
      </c>
      <c r="I1072" s="480">
        <v>0</v>
      </c>
      <c r="J1072" s="485" t="s">
        <v>10</v>
      </c>
    </row>
    <row r="1073" spans="1:10" ht="51" outlineLevel="2">
      <c r="A1073" s="471" t="s">
        <v>1751</v>
      </c>
      <c r="B1073" s="472" t="s">
        <v>1752</v>
      </c>
      <c r="C1073" s="473"/>
      <c r="D1073" s="472"/>
      <c r="E1073" s="474">
        <v>5190.91</v>
      </c>
      <c r="F1073" s="474">
        <v>5190.91</v>
      </c>
      <c r="G1073" s="474">
        <v>2589</v>
      </c>
      <c r="H1073" s="474">
        <v>2589</v>
      </c>
      <c r="I1073" s="475">
        <v>49.88</v>
      </c>
      <c r="J1073" s="475"/>
    </row>
    <row r="1074" spans="1:10" ht="25.5" outlineLevel="3">
      <c r="A1074" s="476" t="s">
        <v>713</v>
      </c>
      <c r="B1074" s="477" t="s">
        <v>1753</v>
      </c>
      <c r="C1074" s="478"/>
      <c r="D1074" s="477"/>
      <c r="E1074" s="479">
        <v>5190.91</v>
      </c>
      <c r="F1074" s="479">
        <v>5190.91</v>
      </c>
      <c r="G1074" s="479">
        <v>2589</v>
      </c>
      <c r="H1074" s="479">
        <v>2589</v>
      </c>
      <c r="I1074" s="480">
        <v>49.88</v>
      </c>
      <c r="J1074" s="480"/>
    </row>
    <row r="1075" spans="1:10" ht="25.5" outlineLevel="4">
      <c r="A1075" s="481" t="s">
        <v>713</v>
      </c>
      <c r="B1075" s="482" t="s">
        <v>1753</v>
      </c>
      <c r="C1075" s="483" t="s">
        <v>1701</v>
      </c>
      <c r="D1075" s="482" t="s">
        <v>1702</v>
      </c>
      <c r="E1075" s="484">
        <v>5190.91</v>
      </c>
      <c r="F1075" s="484">
        <v>5190.91</v>
      </c>
      <c r="G1075" s="484">
        <v>2589</v>
      </c>
      <c r="H1075" s="484">
        <v>2589</v>
      </c>
      <c r="I1075" s="480">
        <v>49.88</v>
      </c>
      <c r="J1075" s="480"/>
    </row>
    <row r="1076" spans="1:10" ht="51" outlineLevel="2">
      <c r="A1076" s="471" t="s">
        <v>1754</v>
      </c>
      <c r="B1076" s="472" t="s">
        <v>1755</v>
      </c>
      <c r="C1076" s="473"/>
      <c r="D1076" s="472"/>
      <c r="E1076" s="474">
        <v>830</v>
      </c>
      <c r="F1076" s="474">
        <v>830</v>
      </c>
      <c r="G1076" s="474">
        <v>358.84</v>
      </c>
      <c r="H1076" s="474">
        <v>0</v>
      </c>
      <c r="I1076" s="475">
        <v>0</v>
      </c>
      <c r="J1076" s="475"/>
    </row>
    <row r="1077" spans="1:10" ht="25.5" outlineLevel="3">
      <c r="A1077" s="476" t="s">
        <v>713</v>
      </c>
      <c r="B1077" s="477" t="s">
        <v>1756</v>
      </c>
      <c r="C1077" s="478"/>
      <c r="D1077" s="477"/>
      <c r="E1077" s="479">
        <v>830</v>
      </c>
      <c r="F1077" s="479">
        <v>830</v>
      </c>
      <c r="G1077" s="479">
        <v>358.84</v>
      </c>
      <c r="H1077" s="479">
        <v>0</v>
      </c>
      <c r="I1077" s="480">
        <v>0</v>
      </c>
      <c r="J1077" s="480"/>
    </row>
    <row r="1078" spans="1:10" ht="25.5" outlineLevel="4">
      <c r="A1078" s="481" t="s">
        <v>713</v>
      </c>
      <c r="B1078" s="482" t="s">
        <v>1756</v>
      </c>
      <c r="C1078" s="483" t="s">
        <v>1701</v>
      </c>
      <c r="D1078" s="482" t="s">
        <v>1702</v>
      </c>
      <c r="E1078" s="484">
        <v>830</v>
      </c>
      <c r="F1078" s="484">
        <v>830</v>
      </c>
      <c r="G1078" s="484">
        <v>358.84</v>
      </c>
      <c r="H1078" s="484">
        <v>0</v>
      </c>
      <c r="I1078" s="480">
        <v>0</v>
      </c>
      <c r="J1078" s="480"/>
    </row>
    <row r="1079" spans="1:10" ht="38.25" outlineLevel="1">
      <c r="A1079" s="466" t="s">
        <v>1019</v>
      </c>
      <c r="B1079" s="467" t="s">
        <v>1757</v>
      </c>
      <c r="C1079" s="468"/>
      <c r="D1079" s="467"/>
      <c r="E1079" s="469">
        <v>222074.55655000001</v>
      </c>
      <c r="F1079" s="469">
        <v>221624.55655000001</v>
      </c>
      <c r="G1079" s="469">
        <v>110884.82723</v>
      </c>
      <c r="H1079" s="469">
        <v>91082.725959999996</v>
      </c>
      <c r="I1079" s="470">
        <v>41.01</v>
      </c>
      <c r="J1079" s="470"/>
    </row>
    <row r="1080" spans="1:10" ht="76.5" outlineLevel="2">
      <c r="A1080" s="471" t="s">
        <v>1758</v>
      </c>
      <c r="B1080" s="472" t="s">
        <v>1759</v>
      </c>
      <c r="C1080" s="473"/>
      <c r="D1080" s="472"/>
      <c r="E1080" s="474">
        <v>222074.55655000001</v>
      </c>
      <c r="F1080" s="474">
        <v>221624.55655000001</v>
      </c>
      <c r="G1080" s="474">
        <v>110884.82723</v>
      </c>
      <c r="H1080" s="474">
        <v>91082.725959999996</v>
      </c>
      <c r="I1080" s="475">
        <v>41.01</v>
      </c>
      <c r="J1080" s="475"/>
    </row>
    <row r="1081" spans="1:10" ht="25.5" outlineLevel="3">
      <c r="A1081" s="476" t="s">
        <v>873</v>
      </c>
      <c r="B1081" s="477" t="s">
        <v>1760</v>
      </c>
      <c r="C1081" s="478"/>
      <c r="D1081" s="477"/>
      <c r="E1081" s="479">
        <v>41193.466820000001</v>
      </c>
      <c r="F1081" s="479">
        <v>41193.466820000001</v>
      </c>
      <c r="G1081" s="479">
        <v>25478.383440000001</v>
      </c>
      <c r="H1081" s="479">
        <v>23214.681189999999</v>
      </c>
      <c r="I1081" s="480">
        <v>56.36</v>
      </c>
      <c r="J1081" s="480"/>
    </row>
    <row r="1082" spans="1:10" ht="25.5" outlineLevel="4">
      <c r="A1082" s="481" t="s">
        <v>873</v>
      </c>
      <c r="B1082" s="482" t="s">
        <v>1760</v>
      </c>
      <c r="C1082" s="483" t="s">
        <v>1701</v>
      </c>
      <c r="D1082" s="482" t="s">
        <v>1702</v>
      </c>
      <c r="E1082" s="484">
        <v>41193.466820000001</v>
      </c>
      <c r="F1082" s="484">
        <v>41193.466820000001</v>
      </c>
      <c r="G1082" s="484">
        <v>25478.383440000001</v>
      </c>
      <c r="H1082" s="484">
        <v>23214.681189999999</v>
      </c>
      <c r="I1082" s="480">
        <v>56.36</v>
      </c>
      <c r="J1082" s="480"/>
    </row>
    <row r="1083" spans="1:10" ht="38.25" outlineLevel="3">
      <c r="A1083" s="476" t="s">
        <v>854</v>
      </c>
      <c r="B1083" s="477" t="s">
        <v>1761</v>
      </c>
      <c r="C1083" s="478"/>
      <c r="D1083" s="477"/>
      <c r="E1083" s="479">
        <v>1806.38453</v>
      </c>
      <c r="F1083" s="479">
        <v>1806.38453</v>
      </c>
      <c r="G1083" s="479">
        <v>856.93425999999999</v>
      </c>
      <c r="H1083" s="479">
        <v>690.92719999999997</v>
      </c>
      <c r="I1083" s="480">
        <v>38.25</v>
      </c>
      <c r="J1083" s="480"/>
    </row>
    <row r="1084" spans="1:10" ht="38.25" outlineLevel="4">
      <c r="A1084" s="481" t="s">
        <v>854</v>
      </c>
      <c r="B1084" s="482" t="s">
        <v>1761</v>
      </c>
      <c r="C1084" s="483" t="s">
        <v>1701</v>
      </c>
      <c r="D1084" s="482" t="s">
        <v>1702</v>
      </c>
      <c r="E1084" s="484">
        <v>1806.38453</v>
      </c>
      <c r="F1084" s="484">
        <v>1806.38453</v>
      </c>
      <c r="G1084" s="484">
        <v>856.93425999999999</v>
      </c>
      <c r="H1084" s="484">
        <v>690.92719999999997</v>
      </c>
      <c r="I1084" s="480">
        <v>38.25</v>
      </c>
      <c r="J1084" s="480"/>
    </row>
    <row r="1085" spans="1:10" ht="76.5" outlineLevel="3">
      <c r="A1085" s="476" t="s">
        <v>702</v>
      </c>
      <c r="B1085" s="477" t="s">
        <v>1762</v>
      </c>
      <c r="C1085" s="478"/>
      <c r="D1085" s="477"/>
      <c r="E1085" s="479">
        <v>42988.108789999998</v>
      </c>
      <c r="F1085" s="479">
        <v>42538.108789999998</v>
      </c>
      <c r="G1085" s="479">
        <v>19746.419610000001</v>
      </c>
      <c r="H1085" s="479">
        <v>14529.354139999999</v>
      </c>
      <c r="I1085" s="480">
        <v>33.799999999999997</v>
      </c>
      <c r="J1085" s="480"/>
    </row>
    <row r="1086" spans="1:10" ht="76.5" outlineLevel="4">
      <c r="A1086" s="481" t="s">
        <v>702</v>
      </c>
      <c r="B1086" s="482" t="s">
        <v>1762</v>
      </c>
      <c r="C1086" s="483" t="s">
        <v>1701</v>
      </c>
      <c r="D1086" s="482" t="s">
        <v>1702</v>
      </c>
      <c r="E1086" s="484">
        <v>42988.108789999998</v>
      </c>
      <c r="F1086" s="484">
        <v>42538.108789999998</v>
      </c>
      <c r="G1086" s="484">
        <v>19746.419610000001</v>
      </c>
      <c r="H1086" s="484">
        <v>14529.354139999999</v>
      </c>
      <c r="I1086" s="480">
        <v>33.799999999999997</v>
      </c>
      <c r="J1086" s="480"/>
    </row>
    <row r="1087" spans="1:10" ht="63.75" outlineLevel="3">
      <c r="A1087" s="476" t="s">
        <v>62</v>
      </c>
      <c r="B1087" s="477" t="s">
        <v>1763</v>
      </c>
      <c r="C1087" s="478"/>
      <c r="D1087" s="477"/>
      <c r="E1087" s="479">
        <v>922.2</v>
      </c>
      <c r="F1087" s="479">
        <v>922.2</v>
      </c>
      <c r="G1087" s="479">
        <v>144</v>
      </c>
      <c r="H1087" s="479">
        <v>60.350999999999999</v>
      </c>
      <c r="I1087" s="480">
        <v>6.54</v>
      </c>
      <c r="J1087" s="480"/>
    </row>
    <row r="1088" spans="1:10" ht="63.75" outlineLevel="4">
      <c r="A1088" s="481" t="s">
        <v>62</v>
      </c>
      <c r="B1088" s="482" t="s">
        <v>1763</v>
      </c>
      <c r="C1088" s="483" t="s">
        <v>1701</v>
      </c>
      <c r="D1088" s="482" t="s">
        <v>1702</v>
      </c>
      <c r="E1088" s="484">
        <v>922.2</v>
      </c>
      <c r="F1088" s="484">
        <v>922.2</v>
      </c>
      <c r="G1088" s="484">
        <v>144</v>
      </c>
      <c r="H1088" s="484">
        <v>60.350999999999999</v>
      </c>
      <c r="I1088" s="480">
        <v>6.54</v>
      </c>
      <c r="J1088" s="480"/>
    </row>
    <row r="1089" spans="1:10" ht="25.5" outlineLevel="3">
      <c r="A1089" s="476" t="s">
        <v>1721</v>
      </c>
      <c r="B1089" s="477" t="s">
        <v>1764</v>
      </c>
      <c r="C1089" s="478"/>
      <c r="D1089" s="477"/>
      <c r="E1089" s="479">
        <v>124446.78797999999</v>
      </c>
      <c r="F1089" s="479">
        <v>124446.78797999999</v>
      </c>
      <c r="G1089" s="479">
        <v>61359.089919999999</v>
      </c>
      <c r="H1089" s="479">
        <v>50160.153980000003</v>
      </c>
      <c r="I1089" s="480">
        <v>40.31</v>
      </c>
      <c r="J1089" s="480"/>
    </row>
    <row r="1090" spans="1:10" ht="25.5" outlineLevel="4">
      <c r="A1090" s="481" t="s">
        <v>1721</v>
      </c>
      <c r="B1090" s="482" t="s">
        <v>1764</v>
      </c>
      <c r="C1090" s="483" t="s">
        <v>1701</v>
      </c>
      <c r="D1090" s="482" t="s">
        <v>1702</v>
      </c>
      <c r="E1090" s="484">
        <v>124446.78797999999</v>
      </c>
      <c r="F1090" s="484">
        <v>124446.78797999999</v>
      </c>
      <c r="G1090" s="484">
        <v>61359.089919999999</v>
      </c>
      <c r="H1090" s="484">
        <v>50160.153980000003</v>
      </c>
      <c r="I1090" s="480">
        <v>40.31</v>
      </c>
      <c r="J1090" s="485" t="s">
        <v>10</v>
      </c>
    </row>
    <row r="1091" spans="1:10" ht="140.25" outlineLevel="3">
      <c r="A1091" s="476" t="s">
        <v>1765</v>
      </c>
      <c r="B1091" s="477" t="s">
        <v>1766</v>
      </c>
      <c r="C1091" s="478"/>
      <c r="D1091" s="477"/>
      <c r="E1091" s="479">
        <v>10717.60843</v>
      </c>
      <c r="F1091" s="479">
        <v>10717.60843</v>
      </c>
      <c r="G1091" s="479">
        <v>3300</v>
      </c>
      <c r="H1091" s="479">
        <v>2427.2584499999998</v>
      </c>
      <c r="I1091" s="480">
        <v>22.65</v>
      </c>
      <c r="J1091" s="480"/>
    </row>
    <row r="1092" spans="1:10" ht="140.25" outlineLevel="4">
      <c r="A1092" s="481" t="s">
        <v>1765</v>
      </c>
      <c r="B1092" s="482" t="s">
        <v>1766</v>
      </c>
      <c r="C1092" s="483" t="s">
        <v>1701</v>
      </c>
      <c r="D1092" s="482" t="s">
        <v>1702</v>
      </c>
      <c r="E1092" s="484">
        <v>10717.60843</v>
      </c>
      <c r="F1092" s="484">
        <v>10717.60843</v>
      </c>
      <c r="G1092" s="484">
        <v>3300</v>
      </c>
      <c r="H1092" s="484">
        <v>2427.2584499999998</v>
      </c>
      <c r="I1092" s="480">
        <v>22.65</v>
      </c>
      <c r="J1092" s="485" t="s">
        <v>10</v>
      </c>
    </row>
    <row r="1093" spans="1:10" ht="25.5" outlineLevel="1">
      <c r="A1093" s="466" t="s">
        <v>1767</v>
      </c>
      <c r="B1093" s="467" t="s">
        <v>1768</v>
      </c>
      <c r="C1093" s="468"/>
      <c r="D1093" s="467"/>
      <c r="E1093" s="469">
        <v>389053.53765000001</v>
      </c>
      <c r="F1093" s="469">
        <v>389053.53765000001</v>
      </c>
      <c r="G1093" s="469">
        <v>0</v>
      </c>
      <c r="H1093" s="469">
        <v>0</v>
      </c>
      <c r="I1093" s="470">
        <v>0</v>
      </c>
      <c r="J1093" s="470"/>
    </row>
    <row r="1094" spans="1:10" ht="38.25" outlineLevel="2">
      <c r="A1094" s="471" t="s">
        <v>1769</v>
      </c>
      <c r="B1094" s="472" t="s">
        <v>1770</v>
      </c>
      <c r="C1094" s="473"/>
      <c r="D1094" s="472"/>
      <c r="E1094" s="474">
        <v>800</v>
      </c>
      <c r="F1094" s="474">
        <v>800</v>
      </c>
      <c r="G1094" s="474">
        <v>0</v>
      </c>
      <c r="H1094" s="474">
        <v>0</v>
      </c>
      <c r="I1094" s="475">
        <v>0</v>
      </c>
      <c r="J1094" s="475"/>
    </row>
    <row r="1095" spans="1:10" ht="25.5" outlineLevel="3">
      <c r="A1095" s="476" t="s">
        <v>713</v>
      </c>
      <c r="B1095" s="477" t="s">
        <v>1771</v>
      </c>
      <c r="C1095" s="478"/>
      <c r="D1095" s="477"/>
      <c r="E1095" s="479">
        <v>800</v>
      </c>
      <c r="F1095" s="479">
        <v>800</v>
      </c>
      <c r="G1095" s="479">
        <v>0</v>
      </c>
      <c r="H1095" s="479">
        <v>0</v>
      </c>
      <c r="I1095" s="480">
        <v>0</v>
      </c>
      <c r="J1095" s="480"/>
    </row>
    <row r="1096" spans="1:10" ht="25.5" outlineLevel="4">
      <c r="A1096" s="481" t="s">
        <v>713</v>
      </c>
      <c r="B1096" s="482" t="s">
        <v>1771</v>
      </c>
      <c r="C1096" s="483" t="s">
        <v>1701</v>
      </c>
      <c r="D1096" s="482" t="s">
        <v>1702</v>
      </c>
      <c r="E1096" s="484">
        <v>800</v>
      </c>
      <c r="F1096" s="484">
        <v>800</v>
      </c>
      <c r="G1096" s="484">
        <v>0</v>
      </c>
      <c r="H1096" s="484">
        <v>0</v>
      </c>
      <c r="I1096" s="480">
        <v>0</v>
      </c>
      <c r="J1096" s="480"/>
    </row>
    <row r="1097" spans="1:10" ht="51" outlineLevel="2">
      <c r="A1097" s="471" t="s">
        <v>1772</v>
      </c>
      <c r="B1097" s="472" t="s">
        <v>1773</v>
      </c>
      <c r="C1097" s="473"/>
      <c r="D1097" s="472"/>
      <c r="E1097" s="474">
        <v>33729.321450000003</v>
      </c>
      <c r="F1097" s="474">
        <v>33729.321450000003</v>
      </c>
      <c r="G1097" s="474">
        <v>0</v>
      </c>
      <c r="H1097" s="474">
        <v>0</v>
      </c>
      <c r="I1097" s="475">
        <v>0</v>
      </c>
      <c r="J1097" s="475"/>
    </row>
    <row r="1098" spans="1:10" ht="38.25" outlineLevel="3">
      <c r="A1098" s="476" t="s">
        <v>1774</v>
      </c>
      <c r="B1098" s="477" t="s">
        <v>1775</v>
      </c>
      <c r="C1098" s="478"/>
      <c r="D1098" s="477"/>
      <c r="E1098" s="479">
        <v>33729.321450000003</v>
      </c>
      <c r="F1098" s="479">
        <v>33729.321450000003</v>
      </c>
      <c r="G1098" s="479">
        <v>0</v>
      </c>
      <c r="H1098" s="479">
        <v>0</v>
      </c>
      <c r="I1098" s="480">
        <v>0</v>
      </c>
      <c r="J1098" s="480"/>
    </row>
    <row r="1099" spans="1:10" ht="38.25" outlineLevel="4">
      <c r="A1099" s="481" t="s">
        <v>1774</v>
      </c>
      <c r="B1099" s="482" t="s">
        <v>1775</v>
      </c>
      <c r="C1099" s="483" t="s">
        <v>1701</v>
      </c>
      <c r="D1099" s="482" t="s">
        <v>1702</v>
      </c>
      <c r="E1099" s="484">
        <v>33729.321450000003</v>
      </c>
      <c r="F1099" s="484">
        <v>33729.321450000003</v>
      </c>
      <c r="G1099" s="484">
        <v>0</v>
      </c>
      <c r="H1099" s="484">
        <v>0</v>
      </c>
      <c r="I1099" s="480">
        <v>0</v>
      </c>
      <c r="J1099" s="480"/>
    </row>
    <row r="1100" spans="1:10" ht="51" outlineLevel="2">
      <c r="A1100" s="471" t="s">
        <v>1776</v>
      </c>
      <c r="B1100" s="472" t="s">
        <v>1777</v>
      </c>
      <c r="C1100" s="473"/>
      <c r="D1100" s="472"/>
      <c r="E1100" s="474">
        <v>720</v>
      </c>
      <c r="F1100" s="474">
        <v>720</v>
      </c>
      <c r="G1100" s="474">
        <v>0</v>
      </c>
      <c r="H1100" s="474">
        <v>0</v>
      </c>
      <c r="I1100" s="475">
        <v>0</v>
      </c>
      <c r="J1100" s="475"/>
    </row>
    <row r="1101" spans="1:10" ht="25.5" outlineLevel="3">
      <c r="A1101" s="476" t="s">
        <v>713</v>
      </c>
      <c r="B1101" s="477" t="s">
        <v>1778</v>
      </c>
      <c r="C1101" s="478"/>
      <c r="D1101" s="477"/>
      <c r="E1101" s="479">
        <v>720</v>
      </c>
      <c r="F1101" s="479">
        <v>720</v>
      </c>
      <c r="G1101" s="479">
        <v>0</v>
      </c>
      <c r="H1101" s="479">
        <v>0</v>
      </c>
      <c r="I1101" s="480">
        <v>0</v>
      </c>
      <c r="J1101" s="480"/>
    </row>
    <row r="1102" spans="1:10" ht="38.25" outlineLevel="4">
      <c r="A1102" s="481" t="s">
        <v>713</v>
      </c>
      <c r="B1102" s="482" t="s">
        <v>1778</v>
      </c>
      <c r="C1102" s="483" t="s">
        <v>1582</v>
      </c>
      <c r="D1102" s="482" t="s">
        <v>1583</v>
      </c>
      <c r="E1102" s="484">
        <v>720</v>
      </c>
      <c r="F1102" s="484">
        <v>720</v>
      </c>
      <c r="G1102" s="484">
        <v>0</v>
      </c>
      <c r="H1102" s="484">
        <v>0</v>
      </c>
      <c r="I1102" s="480">
        <v>0</v>
      </c>
      <c r="J1102" s="480"/>
    </row>
    <row r="1103" spans="1:10" outlineLevel="2">
      <c r="A1103" s="471" t="s">
        <v>1779</v>
      </c>
      <c r="B1103" s="472" t="s">
        <v>1780</v>
      </c>
      <c r="C1103" s="473"/>
      <c r="D1103" s="472"/>
      <c r="E1103" s="474">
        <v>353804.21620000002</v>
      </c>
      <c r="F1103" s="474">
        <v>353804.21620000002</v>
      </c>
      <c r="G1103" s="474">
        <v>0</v>
      </c>
      <c r="H1103" s="474">
        <v>0</v>
      </c>
      <c r="I1103" s="475">
        <v>0</v>
      </c>
      <c r="J1103" s="475"/>
    </row>
    <row r="1104" spans="1:10" ht="51" outlineLevel="3">
      <c r="A1104" s="476" t="s">
        <v>1781</v>
      </c>
      <c r="B1104" s="477" t="s">
        <v>1782</v>
      </c>
      <c r="C1104" s="478"/>
      <c r="D1104" s="477"/>
      <c r="E1104" s="479">
        <v>353804.21620000002</v>
      </c>
      <c r="F1104" s="479">
        <v>353804.21620000002</v>
      </c>
      <c r="G1104" s="479">
        <v>0</v>
      </c>
      <c r="H1104" s="479">
        <v>0</v>
      </c>
      <c r="I1104" s="480">
        <v>0</v>
      </c>
      <c r="J1104" s="480"/>
    </row>
    <row r="1105" spans="1:10" ht="51" outlineLevel="4">
      <c r="A1105" s="481" t="s">
        <v>1781</v>
      </c>
      <c r="B1105" s="482" t="s">
        <v>1782</v>
      </c>
      <c r="C1105" s="483" t="s">
        <v>1701</v>
      </c>
      <c r="D1105" s="482" t="s">
        <v>1702</v>
      </c>
      <c r="E1105" s="484">
        <v>353804.21620000002</v>
      </c>
      <c r="F1105" s="484">
        <v>353804.21620000002</v>
      </c>
      <c r="G1105" s="484">
        <v>0</v>
      </c>
      <c r="H1105" s="484">
        <v>0</v>
      </c>
      <c r="I1105" s="480">
        <v>0</v>
      </c>
      <c r="J1105" s="485" t="s">
        <v>10</v>
      </c>
    </row>
    <row r="1106" spans="1:10" ht="51" outlineLevel="1">
      <c r="A1106" s="466" t="s">
        <v>1783</v>
      </c>
      <c r="B1106" s="467" t="s">
        <v>1784</v>
      </c>
      <c r="C1106" s="468"/>
      <c r="D1106" s="467"/>
      <c r="E1106" s="469">
        <v>4973.9163200000003</v>
      </c>
      <c r="F1106" s="469">
        <v>4936.6516899999997</v>
      </c>
      <c r="G1106" s="469">
        <v>1117.9377199999999</v>
      </c>
      <c r="H1106" s="469">
        <v>358.50772000000001</v>
      </c>
      <c r="I1106" s="470">
        <v>7.21</v>
      </c>
      <c r="J1106" s="470"/>
    </row>
    <row r="1107" spans="1:10" ht="51" outlineLevel="2">
      <c r="A1107" s="471" t="s">
        <v>1785</v>
      </c>
      <c r="B1107" s="472" t="s">
        <v>1786</v>
      </c>
      <c r="C1107" s="473"/>
      <c r="D1107" s="472"/>
      <c r="E1107" s="474">
        <v>2938.047</v>
      </c>
      <c r="F1107" s="474">
        <v>2938.047</v>
      </c>
      <c r="G1107" s="474">
        <v>211.43772000000001</v>
      </c>
      <c r="H1107" s="474">
        <v>198.25772000000001</v>
      </c>
      <c r="I1107" s="475">
        <v>6.75</v>
      </c>
      <c r="J1107" s="475"/>
    </row>
    <row r="1108" spans="1:10" ht="25.5" outlineLevel="3">
      <c r="A1108" s="476" t="s">
        <v>713</v>
      </c>
      <c r="B1108" s="477" t="s">
        <v>1787</v>
      </c>
      <c r="C1108" s="478"/>
      <c r="D1108" s="477"/>
      <c r="E1108" s="479">
        <v>2840.4470000000001</v>
      </c>
      <c r="F1108" s="479">
        <v>2840.4470000000001</v>
      </c>
      <c r="G1108" s="479">
        <v>211.43772000000001</v>
      </c>
      <c r="H1108" s="479">
        <v>198.25772000000001</v>
      </c>
      <c r="I1108" s="480">
        <v>6.98</v>
      </c>
      <c r="J1108" s="480"/>
    </row>
    <row r="1109" spans="1:10" ht="25.5" outlineLevel="4">
      <c r="A1109" s="481" t="s">
        <v>713</v>
      </c>
      <c r="B1109" s="482" t="s">
        <v>1787</v>
      </c>
      <c r="C1109" s="483" t="s">
        <v>1701</v>
      </c>
      <c r="D1109" s="482" t="s">
        <v>1702</v>
      </c>
      <c r="E1109" s="484">
        <v>2840.4470000000001</v>
      </c>
      <c r="F1109" s="484">
        <v>2840.4470000000001</v>
      </c>
      <c r="G1109" s="484">
        <v>211.43772000000001</v>
      </c>
      <c r="H1109" s="484">
        <v>198.25772000000001</v>
      </c>
      <c r="I1109" s="480">
        <v>6.98</v>
      </c>
      <c r="J1109" s="480"/>
    </row>
    <row r="1110" spans="1:10" ht="114.75" outlineLevel="3">
      <c r="A1110" s="476" t="s">
        <v>1788</v>
      </c>
      <c r="B1110" s="477" t="s">
        <v>1789</v>
      </c>
      <c r="C1110" s="478"/>
      <c r="D1110" s="477"/>
      <c r="E1110" s="479">
        <v>97.6</v>
      </c>
      <c r="F1110" s="479">
        <v>97.6</v>
      </c>
      <c r="G1110" s="479">
        <v>0</v>
      </c>
      <c r="H1110" s="479">
        <v>0</v>
      </c>
      <c r="I1110" s="480">
        <v>0</v>
      </c>
      <c r="J1110" s="480"/>
    </row>
    <row r="1111" spans="1:10" ht="114.75" outlineLevel="4">
      <c r="A1111" s="481" t="s">
        <v>1788</v>
      </c>
      <c r="B1111" s="482" t="s">
        <v>1789</v>
      </c>
      <c r="C1111" s="483" t="s">
        <v>1701</v>
      </c>
      <c r="D1111" s="482" t="s">
        <v>1702</v>
      </c>
      <c r="E1111" s="484">
        <v>97.6</v>
      </c>
      <c r="F1111" s="484">
        <v>97.6</v>
      </c>
      <c r="G1111" s="484">
        <v>0</v>
      </c>
      <c r="H1111" s="484">
        <v>0</v>
      </c>
      <c r="I1111" s="480">
        <v>0</v>
      </c>
      <c r="J1111" s="485" t="s">
        <v>10</v>
      </c>
    </row>
    <row r="1112" spans="1:10" ht="63.75" outlineLevel="2">
      <c r="A1112" s="471" t="s">
        <v>1790</v>
      </c>
      <c r="B1112" s="472" t="s">
        <v>1791</v>
      </c>
      <c r="C1112" s="473"/>
      <c r="D1112" s="472"/>
      <c r="E1112" s="474">
        <v>2035.86932</v>
      </c>
      <c r="F1112" s="474">
        <v>1998.6046899999999</v>
      </c>
      <c r="G1112" s="474">
        <v>906.5</v>
      </c>
      <c r="H1112" s="474">
        <v>160.25</v>
      </c>
      <c r="I1112" s="475">
        <v>7.87</v>
      </c>
      <c r="J1112" s="475"/>
    </row>
    <row r="1113" spans="1:10" ht="25.5" outlineLevel="3">
      <c r="A1113" s="476" t="s">
        <v>713</v>
      </c>
      <c r="B1113" s="477" t="s">
        <v>1792</v>
      </c>
      <c r="C1113" s="478"/>
      <c r="D1113" s="477"/>
      <c r="E1113" s="479">
        <v>1745.2912200000001</v>
      </c>
      <c r="F1113" s="479">
        <v>1741.5412200000001</v>
      </c>
      <c r="G1113" s="479">
        <v>906.5</v>
      </c>
      <c r="H1113" s="479">
        <v>160.25</v>
      </c>
      <c r="I1113" s="480">
        <v>9.18</v>
      </c>
      <c r="J1113" s="480"/>
    </row>
    <row r="1114" spans="1:10" ht="25.5" outlineLevel="4">
      <c r="A1114" s="481" t="s">
        <v>713</v>
      </c>
      <c r="B1114" s="482" t="s">
        <v>1792</v>
      </c>
      <c r="C1114" s="483" t="s">
        <v>1701</v>
      </c>
      <c r="D1114" s="482" t="s">
        <v>1702</v>
      </c>
      <c r="E1114" s="484">
        <v>1745.2912200000001</v>
      </c>
      <c r="F1114" s="484">
        <v>1741.5412200000001</v>
      </c>
      <c r="G1114" s="484">
        <v>906.5</v>
      </c>
      <c r="H1114" s="484">
        <v>160.25</v>
      </c>
      <c r="I1114" s="480">
        <v>9.18</v>
      </c>
      <c r="J1114" s="480"/>
    </row>
    <row r="1115" spans="1:10" ht="140.25" outlineLevel="3">
      <c r="A1115" s="476" t="s">
        <v>1765</v>
      </c>
      <c r="B1115" s="477" t="s">
        <v>1793</v>
      </c>
      <c r="C1115" s="478"/>
      <c r="D1115" s="477"/>
      <c r="E1115" s="479">
        <v>290.57810000000001</v>
      </c>
      <c r="F1115" s="479">
        <v>257.06347</v>
      </c>
      <c r="G1115" s="479">
        <v>0</v>
      </c>
      <c r="H1115" s="479">
        <v>0</v>
      </c>
      <c r="I1115" s="480">
        <v>0</v>
      </c>
      <c r="J1115" s="480"/>
    </row>
    <row r="1116" spans="1:10" ht="140.25" outlineLevel="4">
      <c r="A1116" s="481" t="s">
        <v>1765</v>
      </c>
      <c r="B1116" s="482" t="s">
        <v>1793</v>
      </c>
      <c r="C1116" s="483" t="s">
        <v>1701</v>
      </c>
      <c r="D1116" s="482" t="s">
        <v>1702</v>
      </c>
      <c r="E1116" s="484">
        <v>290.57810000000001</v>
      </c>
      <c r="F1116" s="484">
        <v>257.06347</v>
      </c>
      <c r="G1116" s="484">
        <v>0</v>
      </c>
      <c r="H1116" s="484">
        <v>0</v>
      </c>
      <c r="I1116" s="480">
        <v>0</v>
      </c>
      <c r="J1116" s="485" t="s">
        <v>10</v>
      </c>
    </row>
    <row r="1117" spans="1:10" ht="75.75" collapsed="1" thickBot="1">
      <c r="A1117" s="461" t="s">
        <v>1794</v>
      </c>
      <c r="B1117" s="462" t="s">
        <v>1795</v>
      </c>
      <c r="C1117" s="463"/>
      <c r="D1117" s="462"/>
      <c r="E1117" s="464">
        <v>892028.38280000002</v>
      </c>
      <c r="F1117" s="464">
        <v>767186.24219000002</v>
      </c>
      <c r="G1117" s="464">
        <v>318601.13999</v>
      </c>
      <c r="H1117" s="464">
        <v>307809.72304999997</v>
      </c>
      <c r="I1117" s="465">
        <v>34.51</v>
      </c>
      <c r="J1117" s="465"/>
    </row>
    <row r="1118" spans="1:10" ht="25.5" outlineLevel="1">
      <c r="A1118" s="466" t="s">
        <v>1796</v>
      </c>
      <c r="B1118" s="467" t="s">
        <v>1797</v>
      </c>
      <c r="C1118" s="468"/>
      <c r="D1118" s="467"/>
      <c r="E1118" s="469">
        <v>393020.20037999999</v>
      </c>
      <c r="F1118" s="469">
        <v>292354.15977000003</v>
      </c>
      <c r="G1118" s="469">
        <v>195083.99629000001</v>
      </c>
      <c r="H1118" s="469">
        <v>187030.32866</v>
      </c>
      <c r="I1118" s="470">
        <v>47.59</v>
      </c>
      <c r="J1118" s="470"/>
    </row>
    <row r="1119" spans="1:10" ht="38.25" outlineLevel="2">
      <c r="A1119" s="471" t="s">
        <v>1798</v>
      </c>
      <c r="B1119" s="472" t="s">
        <v>1799</v>
      </c>
      <c r="C1119" s="473"/>
      <c r="D1119" s="472"/>
      <c r="E1119" s="474">
        <v>11733.76713</v>
      </c>
      <c r="F1119" s="474">
        <v>4963</v>
      </c>
      <c r="G1119" s="474">
        <v>3343.9092000000001</v>
      </c>
      <c r="H1119" s="474">
        <v>3339.4151999999999</v>
      </c>
      <c r="I1119" s="475">
        <v>28.46</v>
      </c>
      <c r="J1119" s="475"/>
    </row>
    <row r="1120" spans="1:10" ht="76.5" outlineLevel="3">
      <c r="A1120" s="476" t="s">
        <v>1800</v>
      </c>
      <c r="B1120" s="477" t="s">
        <v>1801</v>
      </c>
      <c r="C1120" s="478"/>
      <c r="D1120" s="477"/>
      <c r="E1120" s="479">
        <v>1333.76713</v>
      </c>
      <c r="F1120" s="479">
        <v>0</v>
      </c>
      <c r="G1120" s="479">
        <v>0</v>
      </c>
      <c r="H1120" s="479">
        <v>0</v>
      </c>
      <c r="I1120" s="480">
        <v>0</v>
      </c>
      <c r="J1120" s="480"/>
    </row>
    <row r="1121" spans="1:10" ht="76.5" outlineLevel="4">
      <c r="A1121" s="481" t="s">
        <v>1800</v>
      </c>
      <c r="B1121" s="482" t="s">
        <v>1801</v>
      </c>
      <c r="C1121" s="483" t="s">
        <v>1802</v>
      </c>
      <c r="D1121" s="482" t="s">
        <v>1803</v>
      </c>
      <c r="E1121" s="484">
        <v>1333.76713</v>
      </c>
      <c r="F1121" s="484">
        <v>0</v>
      </c>
      <c r="G1121" s="484">
        <v>0</v>
      </c>
      <c r="H1121" s="484">
        <v>0</v>
      </c>
      <c r="I1121" s="480">
        <v>0</v>
      </c>
      <c r="J1121" s="480"/>
    </row>
    <row r="1122" spans="1:10" ht="51" outlineLevel="3">
      <c r="A1122" s="476" t="s">
        <v>1804</v>
      </c>
      <c r="B1122" s="477" t="s">
        <v>1805</v>
      </c>
      <c r="C1122" s="478"/>
      <c r="D1122" s="477"/>
      <c r="E1122" s="479">
        <v>10400</v>
      </c>
      <c r="F1122" s="479">
        <v>4963</v>
      </c>
      <c r="G1122" s="479">
        <v>3343.9092000000001</v>
      </c>
      <c r="H1122" s="479">
        <v>3339.4151999999999</v>
      </c>
      <c r="I1122" s="480">
        <v>32.11</v>
      </c>
      <c r="J1122" s="480"/>
    </row>
    <row r="1123" spans="1:10" ht="51" outlineLevel="4">
      <c r="A1123" s="481" t="s">
        <v>1804</v>
      </c>
      <c r="B1123" s="482" t="s">
        <v>1805</v>
      </c>
      <c r="C1123" s="483" t="s">
        <v>1802</v>
      </c>
      <c r="D1123" s="482" t="s">
        <v>1803</v>
      </c>
      <c r="E1123" s="484">
        <v>10400</v>
      </c>
      <c r="F1123" s="484">
        <v>4963</v>
      </c>
      <c r="G1123" s="484">
        <v>3343.9092000000001</v>
      </c>
      <c r="H1123" s="484">
        <v>3339.4151999999999</v>
      </c>
      <c r="I1123" s="480">
        <v>32.11</v>
      </c>
      <c r="J1123" s="480"/>
    </row>
    <row r="1124" spans="1:10" ht="25.5" outlineLevel="2">
      <c r="A1124" s="471" t="s">
        <v>1806</v>
      </c>
      <c r="B1124" s="472" t="s">
        <v>1807</v>
      </c>
      <c r="C1124" s="473"/>
      <c r="D1124" s="472"/>
      <c r="E1124" s="474">
        <v>14532.670459999999</v>
      </c>
      <c r="F1124" s="474">
        <v>14532.670459999999</v>
      </c>
      <c r="G1124" s="474">
        <v>1465.63384</v>
      </c>
      <c r="H1124" s="474">
        <v>1465.63384</v>
      </c>
      <c r="I1124" s="475">
        <v>10.09</v>
      </c>
      <c r="J1124" s="475"/>
    </row>
    <row r="1125" spans="1:10" ht="38.25" outlineLevel="3">
      <c r="A1125" s="476" t="s">
        <v>1808</v>
      </c>
      <c r="B1125" s="477" t="s">
        <v>1809</v>
      </c>
      <c r="C1125" s="478"/>
      <c r="D1125" s="477"/>
      <c r="E1125" s="479">
        <v>14532.670459999999</v>
      </c>
      <c r="F1125" s="479">
        <v>14532.670459999999</v>
      </c>
      <c r="G1125" s="479">
        <v>1465.63384</v>
      </c>
      <c r="H1125" s="479">
        <v>1465.63384</v>
      </c>
      <c r="I1125" s="480">
        <v>10.09</v>
      </c>
      <c r="J1125" s="480"/>
    </row>
    <row r="1126" spans="1:10" ht="38.25" outlineLevel="4">
      <c r="A1126" s="481" t="s">
        <v>1808</v>
      </c>
      <c r="B1126" s="482" t="s">
        <v>1809</v>
      </c>
      <c r="C1126" s="483" t="s">
        <v>1802</v>
      </c>
      <c r="D1126" s="482" t="s">
        <v>1803</v>
      </c>
      <c r="E1126" s="484">
        <v>14532.670459999999</v>
      </c>
      <c r="F1126" s="484">
        <v>14532.670459999999</v>
      </c>
      <c r="G1126" s="484">
        <v>1465.63384</v>
      </c>
      <c r="H1126" s="484">
        <v>1465.63384</v>
      </c>
      <c r="I1126" s="480">
        <v>10.09</v>
      </c>
      <c r="J1126" s="480"/>
    </row>
    <row r="1127" spans="1:10" ht="38.25" outlineLevel="2">
      <c r="A1127" s="471" t="s">
        <v>1810</v>
      </c>
      <c r="B1127" s="472" t="s">
        <v>1811</v>
      </c>
      <c r="C1127" s="473"/>
      <c r="D1127" s="472"/>
      <c r="E1127" s="474">
        <v>328059.08192999999</v>
      </c>
      <c r="F1127" s="474">
        <v>240963.80845000001</v>
      </c>
      <c r="G1127" s="474">
        <v>177936.39238999999</v>
      </c>
      <c r="H1127" s="474">
        <v>171011.20924</v>
      </c>
      <c r="I1127" s="475">
        <v>52.13</v>
      </c>
      <c r="J1127" s="475"/>
    </row>
    <row r="1128" spans="1:10" ht="38.25" outlineLevel="3">
      <c r="A1128" s="476" t="s">
        <v>1812</v>
      </c>
      <c r="B1128" s="477" t="s">
        <v>1813</v>
      </c>
      <c r="C1128" s="478"/>
      <c r="D1128" s="477"/>
      <c r="E1128" s="479">
        <v>228545.27348</v>
      </c>
      <c r="F1128" s="479">
        <v>141450</v>
      </c>
      <c r="G1128" s="479">
        <v>104108.34</v>
      </c>
      <c r="H1128" s="479">
        <v>97893.873439999996</v>
      </c>
      <c r="I1128" s="480">
        <v>42.83</v>
      </c>
      <c r="J1128" s="480"/>
    </row>
    <row r="1129" spans="1:10" ht="38.25" outlineLevel="4">
      <c r="A1129" s="481" t="s">
        <v>1812</v>
      </c>
      <c r="B1129" s="482" t="s">
        <v>1813</v>
      </c>
      <c r="C1129" s="483" t="s">
        <v>1802</v>
      </c>
      <c r="D1129" s="482" t="s">
        <v>1803</v>
      </c>
      <c r="E1129" s="484">
        <v>228545.27348</v>
      </c>
      <c r="F1129" s="484">
        <v>141450</v>
      </c>
      <c r="G1129" s="484">
        <v>104108.34</v>
      </c>
      <c r="H1129" s="484">
        <v>97893.873439999996</v>
      </c>
      <c r="I1129" s="480">
        <v>42.83</v>
      </c>
      <c r="J1129" s="480"/>
    </row>
    <row r="1130" spans="1:10" ht="63.75" outlineLevel="3">
      <c r="A1130" s="476" t="s">
        <v>1814</v>
      </c>
      <c r="B1130" s="477" t="s">
        <v>1815</v>
      </c>
      <c r="C1130" s="478"/>
      <c r="D1130" s="477"/>
      <c r="E1130" s="479">
        <v>57000</v>
      </c>
      <c r="F1130" s="479">
        <v>57000</v>
      </c>
      <c r="G1130" s="479">
        <v>51048.331870000002</v>
      </c>
      <c r="H1130" s="479">
        <v>51048.331870000002</v>
      </c>
      <c r="I1130" s="480">
        <v>89.56</v>
      </c>
      <c r="J1130" s="480"/>
    </row>
    <row r="1131" spans="1:10" ht="63.75" outlineLevel="4">
      <c r="A1131" s="481" t="s">
        <v>1814</v>
      </c>
      <c r="B1131" s="482" t="s">
        <v>1815</v>
      </c>
      <c r="C1131" s="483" t="s">
        <v>1802</v>
      </c>
      <c r="D1131" s="482" t="s">
        <v>1803</v>
      </c>
      <c r="E1131" s="484">
        <v>57000</v>
      </c>
      <c r="F1131" s="484">
        <v>57000</v>
      </c>
      <c r="G1131" s="484">
        <v>51048.331870000002</v>
      </c>
      <c r="H1131" s="484">
        <v>51048.331870000002</v>
      </c>
      <c r="I1131" s="480">
        <v>89.56</v>
      </c>
      <c r="J1131" s="480"/>
    </row>
    <row r="1132" spans="1:10" ht="51" outlineLevel="3">
      <c r="A1132" s="476" t="s">
        <v>1816</v>
      </c>
      <c r="B1132" s="477" t="s">
        <v>1817</v>
      </c>
      <c r="C1132" s="478"/>
      <c r="D1132" s="477"/>
      <c r="E1132" s="479">
        <v>23569.154930000001</v>
      </c>
      <c r="F1132" s="479">
        <v>23569.154930000001</v>
      </c>
      <c r="G1132" s="479">
        <v>11770</v>
      </c>
      <c r="H1132" s="479">
        <v>11059.28341</v>
      </c>
      <c r="I1132" s="480">
        <v>46.92</v>
      </c>
      <c r="J1132" s="480"/>
    </row>
    <row r="1133" spans="1:10" ht="51" outlineLevel="4">
      <c r="A1133" s="481" t="s">
        <v>1816</v>
      </c>
      <c r="B1133" s="482" t="s">
        <v>1817</v>
      </c>
      <c r="C1133" s="483" t="s">
        <v>1802</v>
      </c>
      <c r="D1133" s="482" t="s">
        <v>1803</v>
      </c>
      <c r="E1133" s="484">
        <v>23569.154930000001</v>
      </c>
      <c r="F1133" s="484">
        <v>23569.154930000001</v>
      </c>
      <c r="G1133" s="484">
        <v>11770</v>
      </c>
      <c r="H1133" s="484">
        <v>11059.28341</v>
      </c>
      <c r="I1133" s="480">
        <v>46.92</v>
      </c>
      <c r="J1133" s="480"/>
    </row>
    <row r="1134" spans="1:10" ht="38.25" outlineLevel="3">
      <c r="A1134" s="476" t="s">
        <v>1808</v>
      </c>
      <c r="B1134" s="477" t="s">
        <v>1818</v>
      </c>
      <c r="C1134" s="478"/>
      <c r="D1134" s="477"/>
      <c r="E1134" s="479">
        <v>18944.65352</v>
      </c>
      <c r="F1134" s="479">
        <v>18944.65352</v>
      </c>
      <c r="G1134" s="479">
        <v>11009.720520000001</v>
      </c>
      <c r="H1134" s="479">
        <v>11009.720520000001</v>
      </c>
      <c r="I1134" s="480">
        <v>58.12</v>
      </c>
      <c r="J1134" s="480"/>
    </row>
    <row r="1135" spans="1:10" ht="38.25" outlineLevel="4">
      <c r="A1135" s="481" t="s">
        <v>1808</v>
      </c>
      <c r="B1135" s="482" t="s">
        <v>1818</v>
      </c>
      <c r="C1135" s="483" t="s">
        <v>1802</v>
      </c>
      <c r="D1135" s="482" t="s">
        <v>1803</v>
      </c>
      <c r="E1135" s="484">
        <v>18944.65352</v>
      </c>
      <c r="F1135" s="484">
        <v>18944.65352</v>
      </c>
      <c r="G1135" s="484">
        <v>11009.720520000001</v>
      </c>
      <c r="H1135" s="484">
        <v>11009.720520000001</v>
      </c>
      <c r="I1135" s="480">
        <v>58.12</v>
      </c>
      <c r="J1135" s="480"/>
    </row>
    <row r="1136" spans="1:10" ht="25.5" outlineLevel="2">
      <c r="A1136" s="471" t="s">
        <v>1819</v>
      </c>
      <c r="B1136" s="472" t="s">
        <v>1820</v>
      </c>
      <c r="C1136" s="473"/>
      <c r="D1136" s="472"/>
      <c r="E1136" s="474">
        <v>30700</v>
      </c>
      <c r="F1136" s="474">
        <v>23900</v>
      </c>
      <c r="G1136" s="474">
        <v>7343.38</v>
      </c>
      <c r="H1136" s="474">
        <v>6219.3895199999997</v>
      </c>
      <c r="I1136" s="475">
        <v>20.260000000000002</v>
      </c>
      <c r="J1136" s="475"/>
    </row>
    <row r="1137" spans="1:10" ht="25.5" outlineLevel="3">
      <c r="A1137" s="476" t="s">
        <v>1821</v>
      </c>
      <c r="B1137" s="477" t="s">
        <v>1822</v>
      </c>
      <c r="C1137" s="478"/>
      <c r="D1137" s="477"/>
      <c r="E1137" s="479">
        <v>17700</v>
      </c>
      <c r="F1137" s="479">
        <v>10900</v>
      </c>
      <c r="G1137" s="479">
        <v>7343.38</v>
      </c>
      <c r="H1137" s="479">
        <v>6219.3895199999997</v>
      </c>
      <c r="I1137" s="480">
        <v>35.14</v>
      </c>
      <c r="J1137" s="480"/>
    </row>
    <row r="1138" spans="1:10" ht="38.25" outlineLevel="4">
      <c r="A1138" s="481" t="s">
        <v>1821</v>
      </c>
      <c r="B1138" s="482" t="s">
        <v>1822</v>
      </c>
      <c r="C1138" s="483" t="s">
        <v>1802</v>
      </c>
      <c r="D1138" s="482" t="s">
        <v>1803</v>
      </c>
      <c r="E1138" s="484">
        <v>17700</v>
      </c>
      <c r="F1138" s="484">
        <v>10900</v>
      </c>
      <c r="G1138" s="484">
        <v>7343.38</v>
      </c>
      <c r="H1138" s="484">
        <v>6219.3895199999997</v>
      </c>
      <c r="I1138" s="480">
        <v>35.14</v>
      </c>
      <c r="J1138" s="480"/>
    </row>
    <row r="1139" spans="1:10" ht="51" outlineLevel="3">
      <c r="A1139" s="476" t="s">
        <v>1816</v>
      </c>
      <c r="B1139" s="477" t="s">
        <v>1823</v>
      </c>
      <c r="C1139" s="478"/>
      <c r="D1139" s="477"/>
      <c r="E1139" s="479">
        <v>13000</v>
      </c>
      <c r="F1139" s="479">
        <v>13000</v>
      </c>
      <c r="G1139" s="479">
        <v>0</v>
      </c>
      <c r="H1139" s="479">
        <v>0</v>
      </c>
      <c r="I1139" s="480">
        <v>0</v>
      </c>
      <c r="J1139" s="480"/>
    </row>
    <row r="1140" spans="1:10" ht="51" outlineLevel="4">
      <c r="A1140" s="481" t="s">
        <v>1816</v>
      </c>
      <c r="B1140" s="482" t="s">
        <v>1823</v>
      </c>
      <c r="C1140" s="483" t="s">
        <v>1802</v>
      </c>
      <c r="D1140" s="482" t="s">
        <v>1803</v>
      </c>
      <c r="E1140" s="484">
        <v>13000</v>
      </c>
      <c r="F1140" s="484">
        <v>13000</v>
      </c>
      <c r="G1140" s="484">
        <v>0</v>
      </c>
      <c r="H1140" s="484">
        <v>0</v>
      </c>
      <c r="I1140" s="480">
        <v>0</v>
      </c>
      <c r="J1140" s="480"/>
    </row>
    <row r="1141" spans="1:10" ht="38.25" outlineLevel="2">
      <c r="A1141" s="471" t="s">
        <v>1824</v>
      </c>
      <c r="B1141" s="472" t="s">
        <v>1825</v>
      </c>
      <c r="C1141" s="473"/>
      <c r="D1141" s="472"/>
      <c r="E1141" s="474">
        <v>7994.6808600000004</v>
      </c>
      <c r="F1141" s="474">
        <v>7994.6808600000004</v>
      </c>
      <c r="G1141" s="474">
        <v>4994.6808600000004</v>
      </c>
      <c r="H1141" s="474">
        <v>4994.6808600000004</v>
      </c>
      <c r="I1141" s="475">
        <v>62.48</v>
      </c>
      <c r="J1141" s="475"/>
    </row>
    <row r="1142" spans="1:10" ht="25.5" outlineLevel="3">
      <c r="A1142" s="476" t="s">
        <v>1826</v>
      </c>
      <c r="B1142" s="477" t="s">
        <v>1827</v>
      </c>
      <c r="C1142" s="478"/>
      <c r="D1142" s="477"/>
      <c r="E1142" s="479">
        <v>6496.2766000000001</v>
      </c>
      <c r="F1142" s="479">
        <v>6496.2766000000001</v>
      </c>
      <c r="G1142" s="479">
        <v>3496.2766000000001</v>
      </c>
      <c r="H1142" s="479">
        <v>3496.2766000000001</v>
      </c>
      <c r="I1142" s="480">
        <v>53.82</v>
      </c>
      <c r="J1142" s="480"/>
    </row>
    <row r="1143" spans="1:10" ht="38.25" outlineLevel="4">
      <c r="A1143" s="481" t="s">
        <v>1826</v>
      </c>
      <c r="B1143" s="482" t="s">
        <v>1827</v>
      </c>
      <c r="C1143" s="483" t="s">
        <v>1802</v>
      </c>
      <c r="D1143" s="482" t="s">
        <v>1803</v>
      </c>
      <c r="E1143" s="484">
        <v>6496.2766000000001</v>
      </c>
      <c r="F1143" s="484">
        <v>6496.2766000000001</v>
      </c>
      <c r="G1143" s="484">
        <v>3496.2766000000001</v>
      </c>
      <c r="H1143" s="484">
        <v>3496.2766000000001</v>
      </c>
      <c r="I1143" s="480">
        <v>53.82</v>
      </c>
      <c r="J1143" s="485" t="s">
        <v>10</v>
      </c>
    </row>
    <row r="1144" spans="1:10" ht="51" outlineLevel="3">
      <c r="A1144" s="476" t="s">
        <v>1828</v>
      </c>
      <c r="B1144" s="477" t="s">
        <v>1829</v>
      </c>
      <c r="C1144" s="478"/>
      <c r="D1144" s="477"/>
      <c r="E1144" s="479">
        <v>1498.40426</v>
      </c>
      <c r="F1144" s="479">
        <v>1498.40426</v>
      </c>
      <c r="G1144" s="479">
        <v>1498.40426</v>
      </c>
      <c r="H1144" s="479">
        <v>1498.40426</v>
      </c>
      <c r="I1144" s="480">
        <v>100</v>
      </c>
      <c r="J1144" s="480"/>
    </row>
    <row r="1145" spans="1:10" ht="51" outlineLevel="4">
      <c r="A1145" s="481" t="s">
        <v>1828</v>
      </c>
      <c r="B1145" s="482" t="s">
        <v>1829</v>
      </c>
      <c r="C1145" s="483" t="s">
        <v>1802</v>
      </c>
      <c r="D1145" s="482" t="s">
        <v>1803</v>
      </c>
      <c r="E1145" s="484">
        <v>1498.40426</v>
      </c>
      <c r="F1145" s="484">
        <v>1498.40426</v>
      </c>
      <c r="G1145" s="484">
        <v>1498.40426</v>
      </c>
      <c r="H1145" s="484">
        <v>1498.40426</v>
      </c>
      <c r="I1145" s="480">
        <v>100</v>
      </c>
      <c r="J1145" s="480"/>
    </row>
    <row r="1146" spans="1:10" ht="38.25" outlineLevel="1">
      <c r="A1146" s="466" t="s">
        <v>1830</v>
      </c>
      <c r="B1146" s="467" t="s">
        <v>1831</v>
      </c>
      <c r="C1146" s="468"/>
      <c r="D1146" s="467"/>
      <c r="E1146" s="469">
        <v>46618.573239999998</v>
      </c>
      <c r="F1146" s="469">
        <v>28042.473239999999</v>
      </c>
      <c r="G1146" s="469">
        <v>2.33928</v>
      </c>
      <c r="H1146" s="469">
        <v>0</v>
      </c>
      <c r="I1146" s="470">
        <v>0</v>
      </c>
      <c r="J1146" s="470"/>
    </row>
    <row r="1147" spans="1:10" ht="38.25" outlineLevel="2">
      <c r="A1147" s="471" t="s">
        <v>1832</v>
      </c>
      <c r="B1147" s="472" t="s">
        <v>1833</v>
      </c>
      <c r="C1147" s="473"/>
      <c r="D1147" s="472"/>
      <c r="E1147" s="474">
        <v>1878.8732399999999</v>
      </c>
      <c r="F1147" s="474">
        <v>1878.8732399999999</v>
      </c>
      <c r="G1147" s="474">
        <v>0</v>
      </c>
      <c r="H1147" s="474">
        <v>0</v>
      </c>
      <c r="I1147" s="475">
        <v>0</v>
      </c>
      <c r="J1147" s="475"/>
    </row>
    <row r="1148" spans="1:10" ht="25.5" outlineLevel="3">
      <c r="A1148" s="476" t="s">
        <v>1834</v>
      </c>
      <c r="B1148" s="477" t="s">
        <v>1835</v>
      </c>
      <c r="C1148" s="478"/>
      <c r="D1148" s="477"/>
      <c r="E1148" s="479">
        <v>1878.8732399999999</v>
      </c>
      <c r="F1148" s="479">
        <v>1878.8732399999999</v>
      </c>
      <c r="G1148" s="479">
        <v>0</v>
      </c>
      <c r="H1148" s="479">
        <v>0</v>
      </c>
      <c r="I1148" s="480">
        <v>0</v>
      </c>
      <c r="J1148" s="480"/>
    </row>
    <row r="1149" spans="1:10" ht="38.25" outlineLevel="4">
      <c r="A1149" s="481" t="s">
        <v>1834</v>
      </c>
      <c r="B1149" s="482" t="s">
        <v>1835</v>
      </c>
      <c r="C1149" s="483" t="s">
        <v>1802</v>
      </c>
      <c r="D1149" s="482" t="s">
        <v>1803</v>
      </c>
      <c r="E1149" s="484">
        <v>1878.8732399999999</v>
      </c>
      <c r="F1149" s="484">
        <v>1878.8732399999999</v>
      </c>
      <c r="G1149" s="484">
        <v>0</v>
      </c>
      <c r="H1149" s="484">
        <v>0</v>
      </c>
      <c r="I1149" s="480">
        <v>0</v>
      </c>
      <c r="J1149" s="480"/>
    </row>
    <row r="1150" spans="1:10" ht="51" outlineLevel="2">
      <c r="A1150" s="471" t="s">
        <v>1836</v>
      </c>
      <c r="B1150" s="472" t="s">
        <v>1837</v>
      </c>
      <c r="C1150" s="473"/>
      <c r="D1150" s="472"/>
      <c r="E1150" s="474">
        <v>44739.7</v>
      </c>
      <c r="F1150" s="474">
        <v>26163.599999999999</v>
      </c>
      <c r="G1150" s="474">
        <v>2.33928</v>
      </c>
      <c r="H1150" s="474">
        <v>0</v>
      </c>
      <c r="I1150" s="475">
        <v>0</v>
      </c>
      <c r="J1150" s="475"/>
    </row>
    <row r="1151" spans="1:10" ht="25.5" outlineLevel="3">
      <c r="A1151" s="476" t="s">
        <v>1834</v>
      </c>
      <c r="B1151" s="477" t="s">
        <v>1838</v>
      </c>
      <c r="C1151" s="478"/>
      <c r="D1151" s="477"/>
      <c r="E1151" s="479">
        <v>44739.7</v>
      </c>
      <c r="F1151" s="479">
        <v>26163.599999999999</v>
      </c>
      <c r="G1151" s="479">
        <v>2.33928</v>
      </c>
      <c r="H1151" s="479">
        <v>0</v>
      </c>
      <c r="I1151" s="480">
        <v>0</v>
      </c>
      <c r="J1151" s="480"/>
    </row>
    <row r="1152" spans="1:10" ht="25.5" outlineLevel="4">
      <c r="A1152" s="481" t="s">
        <v>1834</v>
      </c>
      <c r="B1152" s="482" t="s">
        <v>1838</v>
      </c>
      <c r="C1152" s="483" t="s">
        <v>803</v>
      </c>
      <c r="D1152" s="482" t="s">
        <v>804</v>
      </c>
      <c r="E1152" s="484">
        <v>44739.7</v>
      </c>
      <c r="F1152" s="484">
        <v>26163.599999999999</v>
      </c>
      <c r="G1152" s="484">
        <v>2.33928</v>
      </c>
      <c r="H1152" s="484">
        <v>0</v>
      </c>
      <c r="I1152" s="480">
        <v>0</v>
      </c>
      <c r="J1152" s="480"/>
    </row>
    <row r="1153" spans="1:10" ht="38.25" outlineLevel="1">
      <c r="A1153" s="466" t="s">
        <v>1839</v>
      </c>
      <c r="B1153" s="467" t="s">
        <v>1840</v>
      </c>
      <c r="C1153" s="468"/>
      <c r="D1153" s="467"/>
      <c r="E1153" s="469">
        <v>174498.86984</v>
      </c>
      <c r="F1153" s="469">
        <v>174498.86984</v>
      </c>
      <c r="G1153" s="469">
        <v>74183.48702</v>
      </c>
      <c r="H1153" s="469">
        <v>74027.176600000006</v>
      </c>
      <c r="I1153" s="470">
        <v>42.42</v>
      </c>
      <c r="J1153" s="470"/>
    </row>
    <row r="1154" spans="1:10" ht="76.5" outlineLevel="2">
      <c r="A1154" s="471" t="s">
        <v>1841</v>
      </c>
      <c r="B1154" s="472" t="s">
        <v>1842</v>
      </c>
      <c r="C1154" s="473"/>
      <c r="D1154" s="472"/>
      <c r="E1154" s="474">
        <v>116889.16134000001</v>
      </c>
      <c r="F1154" s="474">
        <v>116889.16134000001</v>
      </c>
      <c r="G1154" s="474">
        <v>57491.5069</v>
      </c>
      <c r="H1154" s="474">
        <v>57491.5069</v>
      </c>
      <c r="I1154" s="475">
        <v>49.18</v>
      </c>
      <c r="J1154" s="475"/>
    </row>
    <row r="1155" spans="1:10" ht="76.5" outlineLevel="3">
      <c r="A1155" s="476" t="s">
        <v>702</v>
      </c>
      <c r="B1155" s="477" t="s">
        <v>1843</v>
      </c>
      <c r="C1155" s="478"/>
      <c r="D1155" s="477"/>
      <c r="E1155" s="479">
        <v>115280.4742</v>
      </c>
      <c r="F1155" s="479">
        <v>115280.4742</v>
      </c>
      <c r="G1155" s="479">
        <v>57046.133779999996</v>
      </c>
      <c r="H1155" s="479">
        <v>57046.133779999996</v>
      </c>
      <c r="I1155" s="480">
        <v>49.48</v>
      </c>
      <c r="J1155" s="480"/>
    </row>
    <row r="1156" spans="1:10" ht="76.5" outlineLevel="4">
      <c r="A1156" s="481" t="s">
        <v>702</v>
      </c>
      <c r="B1156" s="482" t="s">
        <v>1843</v>
      </c>
      <c r="C1156" s="483" t="s">
        <v>1844</v>
      </c>
      <c r="D1156" s="482" t="s">
        <v>1845</v>
      </c>
      <c r="E1156" s="484">
        <v>115280.4742</v>
      </c>
      <c r="F1156" s="484">
        <v>115280.4742</v>
      </c>
      <c r="G1156" s="484">
        <v>57046.133779999996</v>
      </c>
      <c r="H1156" s="484">
        <v>57046.133779999996</v>
      </c>
      <c r="I1156" s="480">
        <v>49.48</v>
      </c>
      <c r="J1156" s="480"/>
    </row>
    <row r="1157" spans="1:10" ht="63.75" outlineLevel="3">
      <c r="A1157" s="476" t="s">
        <v>62</v>
      </c>
      <c r="B1157" s="477" t="s">
        <v>1846</v>
      </c>
      <c r="C1157" s="478"/>
      <c r="D1157" s="477"/>
      <c r="E1157" s="479">
        <v>1216.4000000000001</v>
      </c>
      <c r="F1157" s="479">
        <v>1216.4000000000001</v>
      </c>
      <c r="G1157" s="479">
        <v>309.16440999999998</v>
      </c>
      <c r="H1157" s="479">
        <v>309.16440999999998</v>
      </c>
      <c r="I1157" s="480">
        <v>25.42</v>
      </c>
      <c r="J1157" s="480"/>
    </row>
    <row r="1158" spans="1:10" ht="63.75" outlineLevel="4">
      <c r="A1158" s="481" t="s">
        <v>62</v>
      </c>
      <c r="B1158" s="482" t="s">
        <v>1846</v>
      </c>
      <c r="C1158" s="483" t="s">
        <v>1844</v>
      </c>
      <c r="D1158" s="482" t="s">
        <v>1845</v>
      </c>
      <c r="E1158" s="484">
        <v>1216.4000000000001</v>
      </c>
      <c r="F1158" s="484">
        <v>1216.4000000000001</v>
      </c>
      <c r="G1158" s="484">
        <v>309.16440999999998</v>
      </c>
      <c r="H1158" s="484">
        <v>309.16440999999998</v>
      </c>
      <c r="I1158" s="480">
        <v>25.42</v>
      </c>
      <c r="J1158" s="480"/>
    </row>
    <row r="1159" spans="1:10" ht="140.25" outlineLevel="3">
      <c r="A1159" s="476" t="s">
        <v>842</v>
      </c>
      <c r="B1159" s="477" t="s">
        <v>1847</v>
      </c>
      <c r="C1159" s="478"/>
      <c r="D1159" s="477"/>
      <c r="E1159" s="479">
        <v>392.28714000000002</v>
      </c>
      <c r="F1159" s="479">
        <v>392.28714000000002</v>
      </c>
      <c r="G1159" s="479">
        <v>136.20871</v>
      </c>
      <c r="H1159" s="479">
        <v>136.20871</v>
      </c>
      <c r="I1159" s="480">
        <v>34.72</v>
      </c>
      <c r="J1159" s="480"/>
    </row>
    <row r="1160" spans="1:10" ht="140.25" outlineLevel="4">
      <c r="A1160" s="481" t="s">
        <v>842</v>
      </c>
      <c r="B1160" s="482" t="s">
        <v>1847</v>
      </c>
      <c r="C1160" s="483" t="s">
        <v>1844</v>
      </c>
      <c r="D1160" s="482" t="s">
        <v>1845</v>
      </c>
      <c r="E1160" s="484">
        <v>392.28714000000002</v>
      </c>
      <c r="F1160" s="484">
        <v>392.28714000000002</v>
      </c>
      <c r="G1160" s="484">
        <v>136.20871</v>
      </c>
      <c r="H1160" s="484">
        <v>136.20871</v>
      </c>
      <c r="I1160" s="480">
        <v>34.72</v>
      </c>
      <c r="J1160" s="480"/>
    </row>
    <row r="1161" spans="1:10" ht="51" outlineLevel="2">
      <c r="A1161" s="471" t="s">
        <v>1848</v>
      </c>
      <c r="B1161" s="472" t="s">
        <v>1849</v>
      </c>
      <c r="C1161" s="473"/>
      <c r="D1161" s="472"/>
      <c r="E1161" s="474">
        <v>1797.25</v>
      </c>
      <c r="F1161" s="474">
        <v>1797.25</v>
      </c>
      <c r="G1161" s="474">
        <v>1763.626</v>
      </c>
      <c r="H1161" s="474">
        <v>1763.626</v>
      </c>
      <c r="I1161" s="475">
        <v>98.13</v>
      </c>
      <c r="J1161" s="475"/>
    </row>
    <row r="1162" spans="1:10" ht="76.5" outlineLevel="3">
      <c r="A1162" s="476" t="s">
        <v>702</v>
      </c>
      <c r="B1162" s="477" t="s">
        <v>1850</v>
      </c>
      <c r="C1162" s="478"/>
      <c r="D1162" s="477"/>
      <c r="E1162" s="479">
        <v>1797.25</v>
      </c>
      <c r="F1162" s="479">
        <v>1797.25</v>
      </c>
      <c r="G1162" s="479">
        <v>1763.626</v>
      </c>
      <c r="H1162" s="479">
        <v>1763.626</v>
      </c>
      <c r="I1162" s="480">
        <v>98.13</v>
      </c>
      <c r="J1162" s="480"/>
    </row>
    <row r="1163" spans="1:10" ht="76.5" outlineLevel="4">
      <c r="A1163" s="481" t="s">
        <v>702</v>
      </c>
      <c r="B1163" s="482" t="s">
        <v>1850</v>
      </c>
      <c r="C1163" s="483" t="s">
        <v>1844</v>
      </c>
      <c r="D1163" s="482" t="s">
        <v>1845</v>
      </c>
      <c r="E1163" s="484">
        <v>1797.25</v>
      </c>
      <c r="F1163" s="484">
        <v>1797.25</v>
      </c>
      <c r="G1163" s="484">
        <v>1763.626</v>
      </c>
      <c r="H1163" s="484">
        <v>1763.626</v>
      </c>
      <c r="I1163" s="480">
        <v>98.13</v>
      </c>
      <c r="J1163" s="480"/>
    </row>
    <row r="1164" spans="1:10" ht="25.5" outlineLevel="2">
      <c r="A1164" s="471" t="s">
        <v>1851</v>
      </c>
      <c r="B1164" s="472" t="s">
        <v>1852</v>
      </c>
      <c r="C1164" s="473"/>
      <c r="D1164" s="472"/>
      <c r="E1164" s="474">
        <v>55812.458500000001</v>
      </c>
      <c r="F1164" s="474">
        <v>55812.458500000001</v>
      </c>
      <c r="G1164" s="474">
        <v>14928.35412</v>
      </c>
      <c r="H1164" s="474">
        <v>14772.0437</v>
      </c>
      <c r="I1164" s="475">
        <v>26.47</v>
      </c>
      <c r="J1164" s="475"/>
    </row>
    <row r="1165" spans="1:10" ht="51" outlineLevel="3">
      <c r="A1165" s="476" t="s">
        <v>1853</v>
      </c>
      <c r="B1165" s="477" t="s">
        <v>1854</v>
      </c>
      <c r="C1165" s="478"/>
      <c r="D1165" s="477"/>
      <c r="E1165" s="479">
        <v>55812.458500000001</v>
      </c>
      <c r="F1165" s="479">
        <v>55812.458500000001</v>
      </c>
      <c r="G1165" s="479">
        <v>14928.35412</v>
      </c>
      <c r="H1165" s="479">
        <v>14772.0437</v>
      </c>
      <c r="I1165" s="480">
        <v>26.47</v>
      </c>
      <c r="J1165" s="480"/>
    </row>
    <row r="1166" spans="1:10" ht="51" outlineLevel="4">
      <c r="A1166" s="481" t="s">
        <v>1853</v>
      </c>
      <c r="B1166" s="482" t="s">
        <v>1854</v>
      </c>
      <c r="C1166" s="483" t="s">
        <v>1844</v>
      </c>
      <c r="D1166" s="482" t="s">
        <v>1845</v>
      </c>
      <c r="E1166" s="484">
        <v>55812.458500000001</v>
      </c>
      <c r="F1166" s="484">
        <v>55812.458500000001</v>
      </c>
      <c r="G1166" s="484">
        <v>14928.35412</v>
      </c>
      <c r="H1166" s="484">
        <v>14772.0437</v>
      </c>
      <c r="I1166" s="480">
        <v>26.47</v>
      </c>
      <c r="J1166" s="480"/>
    </row>
    <row r="1167" spans="1:10" ht="25.5" outlineLevel="1">
      <c r="A1167" s="466" t="s">
        <v>1855</v>
      </c>
      <c r="B1167" s="467" t="s">
        <v>1856</v>
      </c>
      <c r="C1167" s="468"/>
      <c r="D1167" s="467"/>
      <c r="E1167" s="469">
        <v>244138.12113000001</v>
      </c>
      <c r="F1167" s="469">
        <v>238538.12113000001</v>
      </c>
      <c r="G1167" s="469">
        <v>30871</v>
      </c>
      <c r="H1167" s="469">
        <v>29784.46816</v>
      </c>
      <c r="I1167" s="470">
        <v>12.2</v>
      </c>
      <c r="J1167" s="470"/>
    </row>
    <row r="1168" spans="1:10" ht="38.25" outlineLevel="2">
      <c r="A1168" s="471" t="s">
        <v>1857</v>
      </c>
      <c r="B1168" s="472" t="s">
        <v>1858</v>
      </c>
      <c r="C1168" s="473"/>
      <c r="D1168" s="472"/>
      <c r="E1168" s="474">
        <v>773.4</v>
      </c>
      <c r="F1168" s="474">
        <v>773.4</v>
      </c>
      <c r="G1168" s="474">
        <v>0</v>
      </c>
      <c r="H1168" s="474">
        <v>0</v>
      </c>
      <c r="I1168" s="475">
        <v>0</v>
      </c>
      <c r="J1168" s="475"/>
    </row>
    <row r="1169" spans="1:10" ht="114.75" outlineLevel="3">
      <c r="A1169" s="476" t="s">
        <v>1859</v>
      </c>
      <c r="B1169" s="477" t="s">
        <v>1860</v>
      </c>
      <c r="C1169" s="478"/>
      <c r="D1169" s="477"/>
      <c r="E1169" s="479">
        <v>773.4</v>
      </c>
      <c r="F1169" s="479">
        <v>773.4</v>
      </c>
      <c r="G1169" s="479">
        <v>0</v>
      </c>
      <c r="H1169" s="479">
        <v>0</v>
      </c>
      <c r="I1169" s="480">
        <v>0</v>
      </c>
      <c r="J1169" s="480"/>
    </row>
    <row r="1170" spans="1:10" ht="114.75" outlineLevel="4">
      <c r="A1170" s="481" t="s">
        <v>1859</v>
      </c>
      <c r="B1170" s="482" t="s">
        <v>1860</v>
      </c>
      <c r="C1170" s="483" t="s">
        <v>1802</v>
      </c>
      <c r="D1170" s="482" t="s">
        <v>1803</v>
      </c>
      <c r="E1170" s="484">
        <v>773.4</v>
      </c>
      <c r="F1170" s="484">
        <v>773.4</v>
      </c>
      <c r="G1170" s="484">
        <v>0</v>
      </c>
      <c r="H1170" s="484">
        <v>0</v>
      </c>
      <c r="I1170" s="480">
        <v>0</v>
      </c>
      <c r="J1170" s="485" t="s">
        <v>10</v>
      </c>
    </row>
    <row r="1171" spans="1:10" ht="63.75" outlineLevel="2">
      <c r="A1171" s="471" t="s">
        <v>1861</v>
      </c>
      <c r="B1171" s="472" t="s">
        <v>1862</v>
      </c>
      <c r="C1171" s="473"/>
      <c r="D1171" s="472"/>
      <c r="E1171" s="474">
        <v>10500</v>
      </c>
      <c r="F1171" s="474">
        <v>4900</v>
      </c>
      <c r="G1171" s="474">
        <v>1916</v>
      </c>
      <c r="H1171" s="474">
        <v>1793.9684299999999</v>
      </c>
      <c r="I1171" s="475">
        <v>17.09</v>
      </c>
      <c r="J1171" s="475"/>
    </row>
    <row r="1172" spans="1:10" ht="89.25" outlineLevel="3">
      <c r="A1172" s="476" t="s">
        <v>1863</v>
      </c>
      <c r="B1172" s="477" t="s">
        <v>1864</v>
      </c>
      <c r="C1172" s="478"/>
      <c r="D1172" s="477"/>
      <c r="E1172" s="479">
        <v>10500</v>
      </c>
      <c r="F1172" s="479">
        <v>4900</v>
      </c>
      <c r="G1172" s="479">
        <v>1916</v>
      </c>
      <c r="H1172" s="479">
        <v>1793.9684299999999</v>
      </c>
      <c r="I1172" s="480">
        <v>17.09</v>
      </c>
      <c r="J1172" s="480"/>
    </row>
    <row r="1173" spans="1:10" ht="89.25" outlineLevel="4">
      <c r="A1173" s="481" t="s">
        <v>1863</v>
      </c>
      <c r="B1173" s="482" t="s">
        <v>1864</v>
      </c>
      <c r="C1173" s="483" t="s">
        <v>1802</v>
      </c>
      <c r="D1173" s="482" t="s">
        <v>1803</v>
      </c>
      <c r="E1173" s="484">
        <v>10500</v>
      </c>
      <c r="F1173" s="484">
        <v>4900</v>
      </c>
      <c r="G1173" s="484">
        <v>1916</v>
      </c>
      <c r="H1173" s="484">
        <v>1793.9684299999999</v>
      </c>
      <c r="I1173" s="480">
        <v>17.09</v>
      </c>
      <c r="J1173" s="480"/>
    </row>
    <row r="1174" spans="1:10" ht="38.25" outlineLevel="2">
      <c r="A1174" s="471" t="s">
        <v>1865</v>
      </c>
      <c r="B1174" s="472" t="s">
        <v>1866</v>
      </c>
      <c r="C1174" s="473"/>
      <c r="D1174" s="472"/>
      <c r="E1174" s="474">
        <v>232864.72112999999</v>
      </c>
      <c r="F1174" s="474">
        <v>232864.72112999999</v>
      </c>
      <c r="G1174" s="474">
        <v>28955</v>
      </c>
      <c r="H1174" s="474">
        <v>27990.49973</v>
      </c>
      <c r="I1174" s="475">
        <v>12.02</v>
      </c>
      <c r="J1174" s="475"/>
    </row>
    <row r="1175" spans="1:10" ht="38.25" outlineLevel="3">
      <c r="A1175" s="476" t="s">
        <v>1808</v>
      </c>
      <c r="B1175" s="477" t="s">
        <v>1867</v>
      </c>
      <c r="C1175" s="478"/>
      <c r="D1175" s="477"/>
      <c r="E1175" s="479">
        <v>37343.521130000001</v>
      </c>
      <c r="F1175" s="479">
        <v>37343.521130000001</v>
      </c>
      <c r="G1175" s="479">
        <v>0</v>
      </c>
      <c r="H1175" s="479">
        <v>0</v>
      </c>
      <c r="I1175" s="480">
        <v>0</v>
      </c>
      <c r="J1175" s="480"/>
    </row>
    <row r="1176" spans="1:10" ht="38.25" outlineLevel="4">
      <c r="A1176" s="481" t="s">
        <v>1808</v>
      </c>
      <c r="B1176" s="482" t="s">
        <v>1867</v>
      </c>
      <c r="C1176" s="483" t="s">
        <v>1802</v>
      </c>
      <c r="D1176" s="482" t="s">
        <v>1803</v>
      </c>
      <c r="E1176" s="484">
        <v>37343.521130000001</v>
      </c>
      <c r="F1176" s="484">
        <v>37343.521130000001</v>
      </c>
      <c r="G1176" s="484">
        <v>0</v>
      </c>
      <c r="H1176" s="484">
        <v>0</v>
      </c>
      <c r="I1176" s="480">
        <v>0</v>
      </c>
      <c r="J1176" s="480"/>
    </row>
    <row r="1177" spans="1:10" ht="102" outlineLevel="3">
      <c r="A1177" s="476" t="s">
        <v>1868</v>
      </c>
      <c r="B1177" s="477" t="s">
        <v>1869</v>
      </c>
      <c r="C1177" s="478"/>
      <c r="D1177" s="477"/>
      <c r="E1177" s="479">
        <v>195521.2</v>
      </c>
      <c r="F1177" s="479">
        <v>195521.2</v>
      </c>
      <c r="G1177" s="479">
        <v>28955</v>
      </c>
      <c r="H1177" s="479">
        <v>27990.49973</v>
      </c>
      <c r="I1177" s="480">
        <v>14.32</v>
      </c>
      <c r="J1177" s="480"/>
    </row>
    <row r="1178" spans="1:10" ht="102" outlineLevel="4">
      <c r="A1178" s="481" t="s">
        <v>1868</v>
      </c>
      <c r="B1178" s="482" t="s">
        <v>1869</v>
      </c>
      <c r="C1178" s="483" t="s">
        <v>1802</v>
      </c>
      <c r="D1178" s="482" t="s">
        <v>1803</v>
      </c>
      <c r="E1178" s="484">
        <v>195521.2</v>
      </c>
      <c r="F1178" s="484">
        <v>195521.2</v>
      </c>
      <c r="G1178" s="484">
        <v>28955</v>
      </c>
      <c r="H1178" s="484">
        <v>27990.49973</v>
      </c>
      <c r="I1178" s="480">
        <v>14.32</v>
      </c>
      <c r="J1178" s="480"/>
    </row>
    <row r="1179" spans="1:10" ht="89.25" outlineLevel="1">
      <c r="A1179" s="466" t="s">
        <v>1870</v>
      </c>
      <c r="B1179" s="467" t="s">
        <v>1871</v>
      </c>
      <c r="C1179" s="468"/>
      <c r="D1179" s="467"/>
      <c r="E1179" s="469">
        <v>33752.618210000001</v>
      </c>
      <c r="F1179" s="469">
        <v>33752.618210000001</v>
      </c>
      <c r="G1179" s="469">
        <v>18460.3174</v>
      </c>
      <c r="H1179" s="469">
        <v>16967.749629999998</v>
      </c>
      <c r="I1179" s="470">
        <v>50.27</v>
      </c>
      <c r="J1179" s="470"/>
    </row>
    <row r="1180" spans="1:10" ht="51" outlineLevel="2">
      <c r="A1180" s="471" t="s">
        <v>1872</v>
      </c>
      <c r="B1180" s="472" t="s">
        <v>1873</v>
      </c>
      <c r="C1180" s="473"/>
      <c r="D1180" s="472"/>
      <c r="E1180" s="474">
        <v>33752.618210000001</v>
      </c>
      <c r="F1180" s="474">
        <v>33752.618210000001</v>
      </c>
      <c r="G1180" s="474">
        <v>18460.3174</v>
      </c>
      <c r="H1180" s="474">
        <v>16967.749629999998</v>
      </c>
      <c r="I1180" s="475">
        <v>50.27</v>
      </c>
      <c r="J1180" s="475"/>
    </row>
    <row r="1181" spans="1:10" ht="25.5" outlineLevel="3">
      <c r="A1181" s="476" t="s">
        <v>873</v>
      </c>
      <c r="B1181" s="477" t="s">
        <v>1874</v>
      </c>
      <c r="C1181" s="478"/>
      <c r="D1181" s="477"/>
      <c r="E1181" s="479">
        <v>32455.9431</v>
      </c>
      <c r="F1181" s="479">
        <v>32455.9431</v>
      </c>
      <c r="G1181" s="479">
        <v>18203</v>
      </c>
      <c r="H1181" s="479">
        <v>16710.432229999999</v>
      </c>
      <c r="I1181" s="480">
        <v>51.49</v>
      </c>
      <c r="J1181" s="480"/>
    </row>
    <row r="1182" spans="1:10" ht="25.5" outlineLevel="4">
      <c r="A1182" s="481" t="s">
        <v>873</v>
      </c>
      <c r="B1182" s="482" t="s">
        <v>1874</v>
      </c>
      <c r="C1182" s="483" t="s">
        <v>1844</v>
      </c>
      <c r="D1182" s="482" t="s">
        <v>1845</v>
      </c>
      <c r="E1182" s="484">
        <v>32455.9431</v>
      </c>
      <c r="F1182" s="484">
        <v>32455.9431</v>
      </c>
      <c r="G1182" s="484">
        <v>18203</v>
      </c>
      <c r="H1182" s="484">
        <v>16710.432229999999</v>
      </c>
      <c r="I1182" s="480">
        <v>51.49</v>
      </c>
      <c r="J1182" s="480"/>
    </row>
    <row r="1183" spans="1:10" ht="38.25" outlineLevel="3">
      <c r="A1183" s="476" t="s">
        <v>854</v>
      </c>
      <c r="B1183" s="477" t="s">
        <v>1875</v>
      </c>
      <c r="C1183" s="478"/>
      <c r="D1183" s="477"/>
      <c r="E1183" s="479">
        <v>846.67511000000002</v>
      </c>
      <c r="F1183" s="479">
        <v>846.67511000000002</v>
      </c>
      <c r="G1183" s="479">
        <v>247.31739999999999</v>
      </c>
      <c r="H1183" s="479">
        <v>247.31739999999999</v>
      </c>
      <c r="I1183" s="480">
        <v>29.21</v>
      </c>
      <c r="J1183" s="480"/>
    </row>
    <row r="1184" spans="1:10" ht="38.25" outlineLevel="4">
      <c r="A1184" s="481" t="s">
        <v>854</v>
      </c>
      <c r="B1184" s="482" t="s">
        <v>1875</v>
      </c>
      <c r="C1184" s="483" t="s">
        <v>1844</v>
      </c>
      <c r="D1184" s="482" t="s">
        <v>1845</v>
      </c>
      <c r="E1184" s="484">
        <v>846.67511000000002</v>
      </c>
      <c r="F1184" s="484">
        <v>846.67511000000002</v>
      </c>
      <c r="G1184" s="484">
        <v>247.31739999999999</v>
      </c>
      <c r="H1184" s="484">
        <v>247.31739999999999</v>
      </c>
      <c r="I1184" s="480">
        <v>29.21</v>
      </c>
      <c r="J1184" s="480"/>
    </row>
    <row r="1185" spans="1:10" ht="63.75" outlineLevel="3">
      <c r="A1185" s="476" t="s">
        <v>62</v>
      </c>
      <c r="B1185" s="477" t="s">
        <v>1876</v>
      </c>
      <c r="C1185" s="478"/>
      <c r="D1185" s="477"/>
      <c r="E1185" s="479">
        <v>450</v>
      </c>
      <c r="F1185" s="479">
        <v>450</v>
      </c>
      <c r="G1185" s="479">
        <v>10</v>
      </c>
      <c r="H1185" s="479">
        <v>10</v>
      </c>
      <c r="I1185" s="480">
        <v>2.2200000000000002</v>
      </c>
      <c r="J1185" s="480"/>
    </row>
    <row r="1186" spans="1:10" ht="63.75" outlineLevel="4">
      <c r="A1186" s="481" t="s">
        <v>62</v>
      </c>
      <c r="B1186" s="482" t="s">
        <v>1876</v>
      </c>
      <c r="C1186" s="483" t="s">
        <v>1844</v>
      </c>
      <c r="D1186" s="482" t="s">
        <v>1845</v>
      </c>
      <c r="E1186" s="484">
        <v>450</v>
      </c>
      <c r="F1186" s="484">
        <v>450</v>
      </c>
      <c r="G1186" s="484">
        <v>10</v>
      </c>
      <c r="H1186" s="484">
        <v>10</v>
      </c>
      <c r="I1186" s="480">
        <v>2.2200000000000002</v>
      </c>
      <c r="J1186" s="480"/>
    </row>
    <row r="1187" spans="1:10" ht="30.75" collapsed="1" thickBot="1">
      <c r="A1187" s="461" t="s">
        <v>1877</v>
      </c>
      <c r="B1187" s="462" t="s">
        <v>1878</v>
      </c>
      <c r="C1187" s="463"/>
      <c r="D1187" s="462"/>
      <c r="E1187" s="464">
        <v>5529721.1326799998</v>
      </c>
      <c r="F1187" s="464">
        <v>5307281.3364599999</v>
      </c>
      <c r="G1187" s="464">
        <v>1456882.1791300001</v>
      </c>
      <c r="H1187" s="464">
        <v>1179943.5199899999</v>
      </c>
      <c r="I1187" s="465">
        <v>21.34</v>
      </c>
      <c r="J1187" s="465"/>
    </row>
    <row r="1188" spans="1:10" ht="25.5" outlineLevel="1">
      <c r="A1188" s="466" t="s">
        <v>1879</v>
      </c>
      <c r="B1188" s="467" t="s">
        <v>1880</v>
      </c>
      <c r="C1188" s="468"/>
      <c r="D1188" s="467"/>
      <c r="E1188" s="469">
        <v>4133643.3261000002</v>
      </c>
      <c r="F1188" s="469">
        <v>4111792.2362600002</v>
      </c>
      <c r="G1188" s="469">
        <v>763312.77904000005</v>
      </c>
      <c r="H1188" s="469">
        <v>593697.40515000001</v>
      </c>
      <c r="I1188" s="470">
        <v>14.36</v>
      </c>
      <c r="J1188" s="470"/>
    </row>
    <row r="1189" spans="1:10" ht="63.75" outlineLevel="2">
      <c r="A1189" s="471" t="s">
        <v>1881</v>
      </c>
      <c r="B1189" s="472" t="s">
        <v>1882</v>
      </c>
      <c r="C1189" s="473"/>
      <c r="D1189" s="472"/>
      <c r="E1189" s="474">
        <v>463953.07312999998</v>
      </c>
      <c r="F1189" s="474">
        <v>463720.58068999997</v>
      </c>
      <c r="G1189" s="474">
        <v>165.22399999999999</v>
      </c>
      <c r="H1189" s="474">
        <v>0</v>
      </c>
      <c r="I1189" s="475">
        <v>0</v>
      </c>
      <c r="J1189" s="475"/>
    </row>
    <row r="1190" spans="1:10" ht="25.5" outlineLevel="3">
      <c r="A1190" s="476" t="s">
        <v>1883</v>
      </c>
      <c r="B1190" s="477" t="s">
        <v>1884</v>
      </c>
      <c r="C1190" s="478"/>
      <c r="D1190" s="477"/>
      <c r="E1190" s="479">
        <v>363953.07312999998</v>
      </c>
      <c r="F1190" s="479">
        <v>363720.58068999997</v>
      </c>
      <c r="G1190" s="479">
        <v>165.22399999999999</v>
      </c>
      <c r="H1190" s="479">
        <v>0</v>
      </c>
      <c r="I1190" s="480">
        <v>0</v>
      </c>
      <c r="J1190" s="480"/>
    </row>
    <row r="1191" spans="1:10" ht="25.5" outlineLevel="4">
      <c r="A1191" s="481" t="s">
        <v>1883</v>
      </c>
      <c r="B1191" s="482" t="s">
        <v>1884</v>
      </c>
      <c r="C1191" s="483" t="s">
        <v>1568</v>
      </c>
      <c r="D1191" s="482" t="s">
        <v>1569</v>
      </c>
      <c r="E1191" s="484">
        <v>363953.07312999998</v>
      </c>
      <c r="F1191" s="484">
        <v>363720.58068999997</v>
      </c>
      <c r="G1191" s="484">
        <v>165.22399999999999</v>
      </c>
      <c r="H1191" s="484">
        <v>0</v>
      </c>
      <c r="I1191" s="480">
        <v>0</v>
      </c>
      <c r="J1191" s="480"/>
    </row>
    <row r="1192" spans="1:10" ht="25.5" outlineLevel="3">
      <c r="A1192" s="476" t="s">
        <v>1885</v>
      </c>
      <c r="B1192" s="477" t="s">
        <v>1886</v>
      </c>
      <c r="C1192" s="478"/>
      <c r="D1192" s="477"/>
      <c r="E1192" s="479">
        <v>100000</v>
      </c>
      <c r="F1192" s="479">
        <v>100000</v>
      </c>
      <c r="G1192" s="479">
        <v>0</v>
      </c>
      <c r="H1192" s="479">
        <v>0</v>
      </c>
      <c r="I1192" s="480">
        <v>0</v>
      </c>
      <c r="J1192" s="480"/>
    </row>
    <row r="1193" spans="1:10" ht="25.5" outlineLevel="4">
      <c r="A1193" s="481" t="s">
        <v>1885</v>
      </c>
      <c r="B1193" s="482" t="s">
        <v>1886</v>
      </c>
      <c r="C1193" s="483" t="s">
        <v>1568</v>
      </c>
      <c r="D1193" s="482" t="s">
        <v>1569</v>
      </c>
      <c r="E1193" s="484">
        <v>100000</v>
      </c>
      <c r="F1193" s="484">
        <v>100000</v>
      </c>
      <c r="G1193" s="484">
        <v>0</v>
      </c>
      <c r="H1193" s="484">
        <v>0</v>
      </c>
      <c r="I1193" s="480">
        <v>0</v>
      </c>
      <c r="J1193" s="485" t="s">
        <v>10</v>
      </c>
    </row>
    <row r="1194" spans="1:10" ht="63.75" outlineLevel="2">
      <c r="A1194" s="471" t="s">
        <v>1887</v>
      </c>
      <c r="B1194" s="472" t="s">
        <v>1888</v>
      </c>
      <c r="C1194" s="473"/>
      <c r="D1194" s="472"/>
      <c r="E1194" s="474">
        <v>1757491.43998</v>
      </c>
      <c r="F1194" s="474">
        <v>1739745.16625</v>
      </c>
      <c r="G1194" s="474">
        <v>566924.19432999997</v>
      </c>
      <c r="H1194" s="474">
        <v>416772.53934999998</v>
      </c>
      <c r="I1194" s="475">
        <v>23.71</v>
      </c>
      <c r="J1194" s="475"/>
    </row>
    <row r="1195" spans="1:10" ht="25.5" outlineLevel="3">
      <c r="A1195" s="476" t="s">
        <v>1883</v>
      </c>
      <c r="B1195" s="477" t="s">
        <v>1889</v>
      </c>
      <c r="C1195" s="478"/>
      <c r="D1195" s="477"/>
      <c r="E1195" s="479">
        <v>1757491.43998</v>
      </c>
      <c r="F1195" s="479">
        <v>1739745.16625</v>
      </c>
      <c r="G1195" s="479">
        <v>566924.19432999997</v>
      </c>
      <c r="H1195" s="479">
        <v>416772.53934999998</v>
      </c>
      <c r="I1195" s="480">
        <v>23.71</v>
      </c>
      <c r="J1195" s="480"/>
    </row>
    <row r="1196" spans="1:10" ht="25.5" outlineLevel="4">
      <c r="A1196" s="481" t="s">
        <v>1883</v>
      </c>
      <c r="B1196" s="482" t="s">
        <v>1889</v>
      </c>
      <c r="C1196" s="483" t="s">
        <v>1568</v>
      </c>
      <c r="D1196" s="482" t="s">
        <v>1569</v>
      </c>
      <c r="E1196" s="484">
        <v>1757491.43998</v>
      </c>
      <c r="F1196" s="484">
        <v>1739745.16625</v>
      </c>
      <c r="G1196" s="484">
        <v>566924.19432999997</v>
      </c>
      <c r="H1196" s="484">
        <v>416772.53934999998</v>
      </c>
      <c r="I1196" s="480">
        <v>23.71</v>
      </c>
      <c r="J1196" s="480"/>
    </row>
    <row r="1197" spans="1:10" ht="38.25" outlineLevel="2">
      <c r="A1197" s="471" t="s">
        <v>1890</v>
      </c>
      <c r="B1197" s="472" t="s">
        <v>1891</v>
      </c>
      <c r="C1197" s="473"/>
      <c r="D1197" s="472"/>
      <c r="E1197" s="474">
        <v>24227.424289999999</v>
      </c>
      <c r="F1197" s="474">
        <v>20355.100620000001</v>
      </c>
      <c r="G1197" s="474">
        <v>2704.6136799999999</v>
      </c>
      <c r="H1197" s="474">
        <v>2074.22136</v>
      </c>
      <c r="I1197" s="475">
        <v>8.56</v>
      </c>
      <c r="J1197" s="475"/>
    </row>
    <row r="1198" spans="1:10" ht="25.5" outlineLevel="3">
      <c r="A1198" s="476" t="s">
        <v>1883</v>
      </c>
      <c r="B1198" s="477" t="s">
        <v>1892</v>
      </c>
      <c r="C1198" s="478"/>
      <c r="D1198" s="477"/>
      <c r="E1198" s="479">
        <v>24227.424289999999</v>
      </c>
      <c r="F1198" s="479">
        <v>20355.100620000001</v>
      </c>
      <c r="G1198" s="479">
        <v>2704.6136799999999</v>
      </c>
      <c r="H1198" s="479">
        <v>2074.22136</v>
      </c>
      <c r="I1198" s="480">
        <v>8.56</v>
      </c>
      <c r="J1198" s="480"/>
    </row>
    <row r="1199" spans="1:10" ht="25.5" outlineLevel="4">
      <c r="A1199" s="481" t="s">
        <v>1883</v>
      </c>
      <c r="B1199" s="482" t="s">
        <v>1892</v>
      </c>
      <c r="C1199" s="483" t="s">
        <v>1568</v>
      </c>
      <c r="D1199" s="482" t="s">
        <v>1569</v>
      </c>
      <c r="E1199" s="484">
        <v>24227.424289999999</v>
      </c>
      <c r="F1199" s="484">
        <v>20355.100620000001</v>
      </c>
      <c r="G1199" s="484">
        <v>2704.6136799999999</v>
      </c>
      <c r="H1199" s="484">
        <v>2074.22136</v>
      </c>
      <c r="I1199" s="480">
        <v>8.56</v>
      </c>
      <c r="J1199" s="480"/>
    </row>
    <row r="1200" spans="1:10" ht="38.25" outlineLevel="2">
      <c r="A1200" s="471" t="s">
        <v>1893</v>
      </c>
      <c r="B1200" s="472" t="s">
        <v>1894</v>
      </c>
      <c r="C1200" s="473"/>
      <c r="D1200" s="472"/>
      <c r="E1200" s="474">
        <v>532459.24766999995</v>
      </c>
      <c r="F1200" s="474">
        <v>532459.24766999995</v>
      </c>
      <c r="G1200" s="474">
        <v>561.82512999999994</v>
      </c>
      <c r="H1200" s="474">
        <v>561.82512999999994</v>
      </c>
      <c r="I1200" s="475">
        <v>0.11</v>
      </c>
      <c r="J1200" s="475"/>
    </row>
    <row r="1201" spans="1:10" ht="63.75" outlineLevel="3">
      <c r="A1201" s="476" t="s">
        <v>1895</v>
      </c>
      <c r="B1201" s="477" t="s">
        <v>1896</v>
      </c>
      <c r="C1201" s="478"/>
      <c r="D1201" s="477"/>
      <c r="E1201" s="479">
        <v>468776.68317999999</v>
      </c>
      <c r="F1201" s="479">
        <v>468776.68317999999</v>
      </c>
      <c r="G1201" s="479">
        <v>0</v>
      </c>
      <c r="H1201" s="479">
        <v>0</v>
      </c>
      <c r="I1201" s="480">
        <v>0</v>
      </c>
      <c r="J1201" s="480"/>
    </row>
    <row r="1202" spans="1:10" ht="63.75" outlineLevel="4">
      <c r="A1202" s="481" t="s">
        <v>1895</v>
      </c>
      <c r="B1202" s="482" t="s">
        <v>1896</v>
      </c>
      <c r="C1202" s="483" t="s">
        <v>1568</v>
      </c>
      <c r="D1202" s="482" t="s">
        <v>1569</v>
      </c>
      <c r="E1202" s="484">
        <v>468776.68317999999</v>
      </c>
      <c r="F1202" s="484">
        <v>468776.68317999999</v>
      </c>
      <c r="G1202" s="484">
        <v>0</v>
      </c>
      <c r="H1202" s="484">
        <v>0</v>
      </c>
      <c r="I1202" s="480">
        <v>0</v>
      </c>
      <c r="J1202" s="480"/>
    </row>
    <row r="1203" spans="1:10" ht="89.25" outlineLevel="3">
      <c r="A1203" s="476" t="s">
        <v>1897</v>
      </c>
      <c r="B1203" s="477" t="s">
        <v>1898</v>
      </c>
      <c r="C1203" s="478"/>
      <c r="D1203" s="477"/>
      <c r="E1203" s="479">
        <v>63120.73936</v>
      </c>
      <c r="F1203" s="479">
        <v>63120.73936</v>
      </c>
      <c r="G1203" s="479">
        <v>0</v>
      </c>
      <c r="H1203" s="479">
        <v>0</v>
      </c>
      <c r="I1203" s="480">
        <v>0</v>
      </c>
      <c r="J1203" s="480"/>
    </row>
    <row r="1204" spans="1:10" ht="89.25" outlineLevel="4">
      <c r="A1204" s="481" t="s">
        <v>1897</v>
      </c>
      <c r="B1204" s="482" t="s">
        <v>1898</v>
      </c>
      <c r="C1204" s="483" t="s">
        <v>1568</v>
      </c>
      <c r="D1204" s="482" t="s">
        <v>1569</v>
      </c>
      <c r="E1204" s="484">
        <v>63120.73936</v>
      </c>
      <c r="F1204" s="484">
        <v>63120.73936</v>
      </c>
      <c r="G1204" s="484">
        <v>0</v>
      </c>
      <c r="H1204" s="484">
        <v>0</v>
      </c>
      <c r="I1204" s="480">
        <v>0</v>
      </c>
      <c r="J1204" s="480"/>
    </row>
    <row r="1205" spans="1:10" ht="89.25" outlineLevel="3">
      <c r="A1205" s="476" t="s">
        <v>1899</v>
      </c>
      <c r="B1205" s="477" t="s">
        <v>1900</v>
      </c>
      <c r="C1205" s="478"/>
      <c r="D1205" s="477"/>
      <c r="E1205" s="479">
        <v>561.82512999999994</v>
      </c>
      <c r="F1205" s="479">
        <v>561.82512999999994</v>
      </c>
      <c r="G1205" s="479">
        <v>561.82512999999994</v>
      </c>
      <c r="H1205" s="479">
        <v>561.82512999999994</v>
      </c>
      <c r="I1205" s="480">
        <v>100</v>
      </c>
      <c r="J1205" s="480"/>
    </row>
    <row r="1206" spans="1:10" ht="89.25" outlineLevel="4">
      <c r="A1206" s="481" t="s">
        <v>1899</v>
      </c>
      <c r="B1206" s="482" t="s">
        <v>1900</v>
      </c>
      <c r="C1206" s="483" t="s">
        <v>1568</v>
      </c>
      <c r="D1206" s="482" t="s">
        <v>1569</v>
      </c>
      <c r="E1206" s="484">
        <v>561.82512999999994</v>
      </c>
      <c r="F1206" s="484">
        <v>561.82512999999994</v>
      </c>
      <c r="G1206" s="484">
        <v>561.82512999999994</v>
      </c>
      <c r="H1206" s="484">
        <v>561.82512999999994</v>
      </c>
      <c r="I1206" s="480">
        <v>100</v>
      </c>
      <c r="J1206" s="480"/>
    </row>
    <row r="1207" spans="1:10" outlineLevel="2">
      <c r="A1207" s="471" t="s">
        <v>1901</v>
      </c>
      <c r="B1207" s="472" t="s">
        <v>1902</v>
      </c>
      <c r="C1207" s="473"/>
      <c r="D1207" s="472"/>
      <c r="E1207" s="474">
        <v>1322996.0730999999</v>
      </c>
      <c r="F1207" s="474">
        <v>1322996.0730999999</v>
      </c>
      <c r="G1207" s="474">
        <v>161106.68713000001</v>
      </c>
      <c r="H1207" s="474">
        <v>150678.78198</v>
      </c>
      <c r="I1207" s="475">
        <v>11.39</v>
      </c>
      <c r="J1207" s="475"/>
    </row>
    <row r="1208" spans="1:10" ht="51" outlineLevel="3">
      <c r="A1208" s="476" t="s">
        <v>1903</v>
      </c>
      <c r="B1208" s="477" t="s">
        <v>1904</v>
      </c>
      <c r="C1208" s="478"/>
      <c r="D1208" s="477"/>
      <c r="E1208" s="479">
        <v>1322996.0730999999</v>
      </c>
      <c r="F1208" s="479">
        <v>1322996.0730999999</v>
      </c>
      <c r="G1208" s="479">
        <v>161106.68713000001</v>
      </c>
      <c r="H1208" s="479">
        <v>150678.78198</v>
      </c>
      <c r="I1208" s="480">
        <v>11.39</v>
      </c>
      <c r="J1208" s="480"/>
    </row>
    <row r="1209" spans="1:10" ht="51" outlineLevel="4">
      <c r="A1209" s="481" t="s">
        <v>1903</v>
      </c>
      <c r="B1209" s="482" t="s">
        <v>1904</v>
      </c>
      <c r="C1209" s="483" t="s">
        <v>1568</v>
      </c>
      <c r="D1209" s="482" t="s">
        <v>1569</v>
      </c>
      <c r="E1209" s="484">
        <v>1322996.0730999999</v>
      </c>
      <c r="F1209" s="484">
        <v>1322996.0730999999</v>
      </c>
      <c r="G1209" s="484">
        <v>161106.68713000001</v>
      </c>
      <c r="H1209" s="484">
        <v>150678.78198</v>
      </c>
      <c r="I1209" s="480">
        <v>11.39</v>
      </c>
      <c r="J1209" s="485" t="s">
        <v>10</v>
      </c>
    </row>
    <row r="1210" spans="1:10" ht="25.5" outlineLevel="2">
      <c r="A1210" s="471" t="s">
        <v>1905</v>
      </c>
      <c r="B1210" s="472" t="s">
        <v>1906</v>
      </c>
      <c r="C1210" s="473"/>
      <c r="D1210" s="472"/>
      <c r="E1210" s="474">
        <v>32516.067930000001</v>
      </c>
      <c r="F1210" s="474">
        <v>32516.067930000001</v>
      </c>
      <c r="G1210" s="474">
        <v>31850.234769999999</v>
      </c>
      <c r="H1210" s="474">
        <v>23610.037329999999</v>
      </c>
      <c r="I1210" s="475">
        <v>72.61</v>
      </c>
      <c r="J1210" s="475"/>
    </row>
    <row r="1211" spans="1:10" ht="38.25" outlineLevel="3">
      <c r="A1211" s="476" t="s">
        <v>1907</v>
      </c>
      <c r="B1211" s="477" t="s">
        <v>1908</v>
      </c>
      <c r="C1211" s="478"/>
      <c r="D1211" s="477"/>
      <c r="E1211" s="479">
        <v>23019.374599999999</v>
      </c>
      <c r="F1211" s="479">
        <v>23019.374599999999</v>
      </c>
      <c r="G1211" s="479">
        <v>22353.541440000001</v>
      </c>
      <c r="H1211" s="479">
        <v>14113.343999999999</v>
      </c>
      <c r="I1211" s="480">
        <v>61.31</v>
      </c>
      <c r="J1211" s="480"/>
    </row>
    <row r="1212" spans="1:10" ht="38.25" outlineLevel="4">
      <c r="A1212" s="481" t="s">
        <v>1907</v>
      </c>
      <c r="B1212" s="482" t="s">
        <v>1908</v>
      </c>
      <c r="C1212" s="483" t="s">
        <v>1568</v>
      </c>
      <c r="D1212" s="482" t="s">
        <v>1569</v>
      </c>
      <c r="E1212" s="484">
        <v>23019.374599999999</v>
      </c>
      <c r="F1212" s="484">
        <v>23019.374599999999</v>
      </c>
      <c r="G1212" s="484">
        <v>22353.541440000001</v>
      </c>
      <c r="H1212" s="484">
        <v>14113.343999999999</v>
      </c>
      <c r="I1212" s="480">
        <v>61.31</v>
      </c>
      <c r="J1212" s="480"/>
    </row>
    <row r="1213" spans="1:10" ht="63.75" outlineLevel="3">
      <c r="A1213" s="476" t="s">
        <v>1909</v>
      </c>
      <c r="B1213" s="477" t="s">
        <v>1910</v>
      </c>
      <c r="C1213" s="478"/>
      <c r="D1213" s="477"/>
      <c r="E1213" s="479">
        <v>9496.6933300000001</v>
      </c>
      <c r="F1213" s="479">
        <v>9496.6933300000001</v>
      </c>
      <c r="G1213" s="479">
        <v>9496.6933300000001</v>
      </c>
      <c r="H1213" s="479">
        <v>9496.6933300000001</v>
      </c>
      <c r="I1213" s="480">
        <v>100</v>
      </c>
      <c r="J1213" s="480"/>
    </row>
    <row r="1214" spans="1:10" ht="63.75" outlineLevel="4">
      <c r="A1214" s="481" t="s">
        <v>1909</v>
      </c>
      <c r="B1214" s="482" t="s">
        <v>1910</v>
      </c>
      <c r="C1214" s="483" t="s">
        <v>1568</v>
      </c>
      <c r="D1214" s="482" t="s">
        <v>1569</v>
      </c>
      <c r="E1214" s="484">
        <v>9496.6933300000001</v>
      </c>
      <c r="F1214" s="484">
        <v>9496.6933300000001</v>
      </c>
      <c r="G1214" s="484">
        <v>9496.6933300000001</v>
      </c>
      <c r="H1214" s="484">
        <v>9496.6933300000001</v>
      </c>
      <c r="I1214" s="480">
        <v>100</v>
      </c>
      <c r="J1214" s="480"/>
    </row>
    <row r="1215" spans="1:10" ht="51" outlineLevel="1">
      <c r="A1215" s="466" t="s">
        <v>1911</v>
      </c>
      <c r="B1215" s="467" t="s">
        <v>1912</v>
      </c>
      <c r="C1215" s="468"/>
      <c r="D1215" s="467"/>
      <c r="E1215" s="469">
        <v>944899.73121999996</v>
      </c>
      <c r="F1215" s="469">
        <v>896441.93255999999</v>
      </c>
      <c r="G1215" s="469">
        <v>478069.13095000002</v>
      </c>
      <c r="H1215" s="469">
        <v>378728.46682999999</v>
      </c>
      <c r="I1215" s="470">
        <v>40.08</v>
      </c>
      <c r="J1215" s="470"/>
    </row>
    <row r="1216" spans="1:10" ht="51" outlineLevel="2">
      <c r="A1216" s="471" t="s">
        <v>1913</v>
      </c>
      <c r="B1216" s="472" t="s">
        <v>1914</v>
      </c>
      <c r="C1216" s="473"/>
      <c r="D1216" s="472"/>
      <c r="E1216" s="474">
        <v>19688.312999999998</v>
      </c>
      <c r="F1216" s="474">
        <v>19688.312999999998</v>
      </c>
      <c r="G1216" s="474">
        <v>5243.5778200000004</v>
      </c>
      <c r="H1216" s="474">
        <v>5243.5778200000004</v>
      </c>
      <c r="I1216" s="475">
        <v>26.63</v>
      </c>
      <c r="J1216" s="475"/>
    </row>
    <row r="1217" spans="1:10" ht="51" outlineLevel="3">
      <c r="A1217" s="476" t="s">
        <v>1915</v>
      </c>
      <c r="B1217" s="477" t="s">
        <v>1916</v>
      </c>
      <c r="C1217" s="478"/>
      <c r="D1217" s="477"/>
      <c r="E1217" s="479">
        <v>17324.992999999999</v>
      </c>
      <c r="F1217" s="479">
        <v>17324.992999999999</v>
      </c>
      <c r="G1217" s="479">
        <v>4659.8808200000003</v>
      </c>
      <c r="H1217" s="479">
        <v>4659.8808200000003</v>
      </c>
      <c r="I1217" s="480">
        <v>26.9</v>
      </c>
      <c r="J1217" s="480"/>
    </row>
    <row r="1218" spans="1:10" ht="51" outlineLevel="4">
      <c r="A1218" s="481" t="s">
        <v>1915</v>
      </c>
      <c r="B1218" s="482" t="s">
        <v>1916</v>
      </c>
      <c r="C1218" s="483" t="s">
        <v>1568</v>
      </c>
      <c r="D1218" s="482" t="s">
        <v>1569</v>
      </c>
      <c r="E1218" s="484">
        <v>17324.992999999999</v>
      </c>
      <c r="F1218" s="484">
        <v>17324.992999999999</v>
      </c>
      <c r="G1218" s="484">
        <v>4659.8808200000003</v>
      </c>
      <c r="H1218" s="484">
        <v>4659.8808200000003</v>
      </c>
      <c r="I1218" s="480">
        <v>26.9</v>
      </c>
      <c r="J1218" s="480"/>
    </row>
    <row r="1219" spans="1:10" ht="63.75" outlineLevel="3">
      <c r="A1219" s="476" t="s">
        <v>1917</v>
      </c>
      <c r="B1219" s="477" t="s">
        <v>1918</v>
      </c>
      <c r="C1219" s="478"/>
      <c r="D1219" s="477"/>
      <c r="E1219" s="479">
        <v>1323.251</v>
      </c>
      <c r="F1219" s="479">
        <v>1323.251</v>
      </c>
      <c r="G1219" s="479">
        <v>276.13600000000002</v>
      </c>
      <c r="H1219" s="479">
        <v>276.13600000000002</v>
      </c>
      <c r="I1219" s="480">
        <v>20.87</v>
      </c>
      <c r="J1219" s="480"/>
    </row>
    <row r="1220" spans="1:10" ht="63.75" outlineLevel="4">
      <c r="A1220" s="481" t="s">
        <v>1917</v>
      </c>
      <c r="B1220" s="482" t="s">
        <v>1918</v>
      </c>
      <c r="C1220" s="483" t="s">
        <v>1568</v>
      </c>
      <c r="D1220" s="482" t="s">
        <v>1569</v>
      </c>
      <c r="E1220" s="484">
        <v>1323.251</v>
      </c>
      <c r="F1220" s="484">
        <v>1323.251</v>
      </c>
      <c r="G1220" s="484">
        <v>276.13600000000002</v>
      </c>
      <c r="H1220" s="484">
        <v>276.13600000000002</v>
      </c>
      <c r="I1220" s="480">
        <v>20.87</v>
      </c>
      <c r="J1220" s="480"/>
    </row>
    <row r="1221" spans="1:10" ht="191.25" outlineLevel="3">
      <c r="A1221" s="476" t="s">
        <v>1919</v>
      </c>
      <c r="B1221" s="477" t="s">
        <v>1920</v>
      </c>
      <c r="C1221" s="478"/>
      <c r="D1221" s="477"/>
      <c r="E1221" s="479">
        <v>1040.069</v>
      </c>
      <c r="F1221" s="479">
        <v>1040.069</v>
      </c>
      <c r="G1221" s="479">
        <v>307.56099999999998</v>
      </c>
      <c r="H1221" s="479">
        <v>307.56099999999998</v>
      </c>
      <c r="I1221" s="480">
        <v>29.57</v>
      </c>
      <c r="J1221" s="480"/>
    </row>
    <row r="1222" spans="1:10" ht="191.25" outlineLevel="4">
      <c r="A1222" s="481" t="s">
        <v>1919</v>
      </c>
      <c r="B1222" s="482" t="s">
        <v>1920</v>
      </c>
      <c r="C1222" s="483" t="s">
        <v>1568</v>
      </c>
      <c r="D1222" s="482" t="s">
        <v>1569</v>
      </c>
      <c r="E1222" s="484">
        <v>1040.069</v>
      </c>
      <c r="F1222" s="484">
        <v>1040.069</v>
      </c>
      <c r="G1222" s="484">
        <v>307.56099999999998</v>
      </c>
      <c r="H1222" s="484">
        <v>307.56099999999998</v>
      </c>
      <c r="I1222" s="480">
        <v>29.57</v>
      </c>
      <c r="J1222" s="480"/>
    </row>
    <row r="1223" spans="1:10" ht="51" outlineLevel="2">
      <c r="A1223" s="471" t="s">
        <v>1921</v>
      </c>
      <c r="B1223" s="472" t="s">
        <v>1922</v>
      </c>
      <c r="C1223" s="473"/>
      <c r="D1223" s="472"/>
      <c r="E1223" s="474">
        <v>653973.93368000002</v>
      </c>
      <c r="F1223" s="474">
        <v>653871.90501999995</v>
      </c>
      <c r="G1223" s="474">
        <v>317415.45351999998</v>
      </c>
      <c r="H1223" s="474">
        <v>232467.46661</v>
      </c>
      <c r="I1223" s="475">
        <v>35.549999999999997</v>
      </c>
      <c r="J1223" s="475"/>
    </row>
    <row r="1224" spans="1:10" ht="25.5" outlineLevel="3">
      <c r="A1224" s="476" t="s">
        <v>713</v>
      </c>
      <c r="B1224" s="477" t="s">
        <v>1923</v>
      </c>
      <c r="C1224" s="478"/>
      <c r="D1224" s="477"/>
      <c r="E1224" s="479">
        <v>226986.15289</v>
      </c>
      <c r="F1224" s="479">
        <v>226884.12422999999</v>
      </c>
      <c r="G1224" s="479">
        <v>629.93651999999997</v>
      </c>
      <c r="H1224" s="479">
        <v>629.93651999999997</v>
      </c>
      <c r="I1224" s="480">
        <v>0.28000000000000003</v>
      </c>
      <c r="J1224" s="480"/>
    </row>
    <row r="1225" spans="1:10" ht="25.5" outlineLevel="4">
      <c r="A1225" s="481" t="s">
        <v>713</v>
      </c>
      <c r="B1225" s="482" t="s">
        <v>1923</v>
      </c>
      <c r="C1225" s="483" t="s">
        <v>1568</v>
      </c>
      <c r="D1225" s="482" t="s">
        <v>1569</v>
      </c>
      <c r="E1225" s="484">
        <v>226986.15289</v>
      </c>
      <c r="F1225" s="484">
        <v>226884.12422999999</v>
      </c>
      <c r="G1225" s="484">
        <v>629.93651999999997</v>
      </c>
      <c r="H1225" s="484">
        <v>629.93651999999997</v>
      </c>
      <c r="I1225" s="480">
        <v>0.28000000000000003</v>
      </c>
      <c r="J1225" s="480"/>
    </row>
    <row r="1226" spans="1:10" ht="89.25" outlineLevel="3">
      <c r="A1226" s="476" t="s">
        <v>1924</v>
      </c>
      <c r="B1226" s="477" t="s">
        <v>1925</v>
      </c>
      <c r="C1226" s="478"/>
      <c r="D1226" s="477"/>
      <c r="E1226" s="479">
        <v>127655.11038</v>
      </c>
      <c r="F1226" s="479">
        <v>127655.11038</v>
      </c>
      <c r="G1226" s="479">
        <v>125500</v>
      </c>
      <c r="H1226" s="479">
        <v>125364.75846</v>
      </c>
      <c r="I1226" s="480">
        <v>98.21</v>
      </c>
      <c r="J1226" s="480"/>
    </row>
    <row r="1227" spans="1:10" ht="89.25" outlineLevel="4">
      <c r="A1227" s="481" t="s">
        <v>1924</v>
      </c>
      <c r="B1227" s="482" t="s">
        <v>1925</v>
      </c>
      <c r="C1227" s="483" t="s">
        <v>1568</v>
      </c>
      <c r="D1227" s="482" t="s">
        <v>1569</v>
      </c>
      <c r="E1227" s="484">
        <v>127655.11038</v>
      </c>
      <c r="F1227" s="484">
        <v>127655.11038</v>
      </c>
      <c r="G1227" s="484">
        <v>125500</v>
      </c>
      <c r="H1227" s="484">
        <v>125364.75846</v>
      </c>
      <c r="I1227" s="480">
        <v>98.21</v>
      </c>
      <c r="J1227" s="480"/>
    </row>
    <row r="1228" spans="1:10" ht="102" outlineLevel="3">
      <c r="A1228" s="476" t="s">
        <v>1926</v>
      </c>
      <c r="B1228" s="477" t="s">
        <v>1927</v>
      </c>
      <c r="C1228" s="478"/>
      <c r="D1228" s="477"/>
      <c r="E1228" s="479">
        <v>7339.5608000000002</v>
      </c>
      <c r="F1228" s="479">
        <v>7339.5608000000002</v>
      </c>
      <c r="G1228" s="479">
        <v>3500</v>
      </c>
      <c r="H1228" s="479">
        <v>1982.7335800000001</v>
      </c>
      <c r="I1228" s="480">
        <v>27.01</v>
      </c>
      <c r="J1228" s="480"/>
    </row>
    <row r="1229" spans="1:10" ht="102" outlineLevel="4">
      <c r="A1229" s="481" t="s">
        <v>1926</v>
      </c>
      <c r="B1229" s="482" t="s">
        <v>1927</v>
      </c>
      <c r="C1229" s="483" t="s">
        <v>1568</v>
      </c>
      <c r="D1229" s="482" t="s">
        <v>1569</v>
      </c>
      <c r="E1229" s="484">
        <v>7339.5608000000002</v>
      </c>
      <c r="F1229" s="484">
        <v>7339.5608000000002</v>
      </c>
      <c r="G1229" s="484">
        <v>3500</v>
      </c>
      <c r="H1229" s="484">
        <v>1982.7335800000001</v>
      </c>
      <c r="I1229" s="480">
        <v>27.01</v>
      </c>
      <c r="J1229" s="480"/>
    </row>
    <row r="1230" spans="1:10" ht="114.75" outlineLevel="3">
      <c r="A1230" s="476" t="s">
        <v>1928</v>
      </c>
      <c r="B1230" s="477" t="s">
        <v>1929</v>
      </c>
      <c r="C1230" s="478"/>
      <c r="D1230" s="477"/>
      <c r="E1230" s="479">
        <v>185380.64661</v>
      </c>
      <c r="F1230" s="479">
        <v>185380.64661</v>
      </c>
      <c r="G1230" s="479">
        <v>83000</v>
      </c>
      <c r="H1230" s="479">
        <v>69724.456219999993</v>
      </c>
      <c r="I1230" s="480">
        <v>37.61</v>
      </c>
      <c r="J1230" s="480"/>
    </row>
    <row r="1231" spans="1:10" ht="114.75" outlineLevel="4">
      <c r="A1231" s="481" t="s">
        <v>1928</v>
      </c>
      <c r="B1231" s="482" t="s">
        <v>1929</v>
      </c>
      <c r="C1231" s="483" t="s">
        <v>1568</v>
      </c>
      <c r="D1231" s="482" t="s">
        <v>1569</v>
      </c>
      <c r="E1231" s="484">
        <v>185380.64661</v>
      </c>
      <c r="F1231" s="484">
        <v>185380.64661</v>
      </c>
      <c r="G1231" s="484">
        <v>83000</v>
      </c>
      <c r="H1231" s="484">
        <v>69724.456219999993</v>
      </c>
      <c r="I1231" s="480">
        <v>37.61</v>
      </c>
      <c r="J1231" s="480"/>
    </row>
    <row r="1232" spans="1:10" ht="102" outlineLevel="3">
      <c r="A1232" s="476" t="s">
        <v>1930</v>
      </c>
      <c r="B1232" s="477" t="s">
        <v>1931</v>
      </c>
      <c r="C1232" s="478"/>
      <c r="D1232" s="477"/>
      <c r="E1232" s="479">
        <v>106612.463</v>
      </c>
      <c r="F1232" s="479">
        <v>106612.463</v>
      </c>
      <c r="G1232" s="479">
        <v>104785.51700000001</v>
      </c>
      <c r="H1232" s="479">
        <v>34765.581830000003</v>
      </c>
      <c r="I1232" s="480">
        <v>32.61</v>
      </c>
      <c r="J1232" s="480"/>
    </row>
    <row r="1233" spans="1:10" ht="102" outlineLevel="4">
      <c r="A1233" s="481" t="s">
        <v>1930</v>
      </c>
      <c r="B1233" s="482" t="s">
        <v>1931</v>
      </c>
      <c r="C1233" s="483" t="s">
        <v>1568</v>
      </c>
      <c r="D1233" s="482" t="s">
        <v>1569</v>
      </c>
      <c r="E1233" s="484">
        <v>106612.463</v>
      </c>
      <c r="F1233" s="484">
        <v>106612.463</v>
      </c>
      <c r="G1233" s="484">
        <v>104785.51700000001</v>
      </c>
      <c r="H1233" s="484">
        <v>34765.581830000003</v>
      </c>
      <c r="I1233" s="480">
        <v>32.61</v>
      </c>
      <c r="J1233" s="480"/>
    </row>
    <row r="1234" spans="1:10" ht="38.25" outlineLevel="2">
      <c r="A1234" s="471" t="s">
        <v>1932</v>
      </c>
      <c r="B1234" s="472" t="s">
        <v>1933</v>
      </c>
      <c r="C1234" s="473"/>
      <c r="D1234" s="472"/>
      <c r="E1234" s="474">
        <v>222881.73454</v>
      </c>
      <c r="F1234" s="474">
        <v>222881.71453999999</v>
      </c>
      <c r="G1234" s="474">
        <v>155410.09961</v>
      </c>
      <c r="H1234" s="474">
        <v>141017.42240000001</v>
      </c>
      <c r="I1234" s="475">
        <v>63.27</v>
      </c>
      <c r="J1234" s="475"/>
    </row>
    <row r="1235" spans="1:10" ht="25.5" outlineLevel="3">
      <c r="A1235" s="476" t="s">
        <v>1934</v>
      </c>
      <c r="B1235" s="477" t="s">
        <v>1935</v>
      </c>
      <c r="C1235" s="478"/>
      <c r="D1235" s="477"/>
      <c r="E1235" s="479">
        <v>155687.12</v>
      </c>
      <c r="F1235" s="479">
        <v>155687.1</v>
      </c>
      <c r="G1235" s="479">
        <v>105300</v>
      </c>
      <c r="H1235" s="479">
        <v>104454.3</v>
      </c>
      <c r="I1235" s="480">
        <v>67.09</v>
      </c>
      <c r="J1235" s="480"/>
    </row>
    <row r="1236" spans="1:10" ht="25.5" outlineLevel="4">
      <c r="A1236" s="481" t="s">
        <v>1934</v>
      </c>
      <c r="B1236" s="482" t="s">
        <v>1935</v>
      </c>
      <c r="C1236" s="483" t="s">
        <v>1568</v>
      </c>
      <c r="D1236" s="482" t="s">
        <v>1569</v>
      </c>
      <c r="E1236" s="484">
        <v>155687.12</v>
      </c>
      <c r="F1236" s="484">
        <v>155687.1</v>
      </c>
      <c r="G1236" s="484">
        <v>105300</v>
      </c>
      <c r="H1236" s="484">
        <v>104454.3</v>
      </c>
      <c r="I1236" s="480">
        <v>67.09</v>
      </c>
      <c r="J1236" s="480"/>
    </row>
    <row r="1237" spans="1:10" ht="76.5" outlineLevel="3">
      <c r="A1237" s="476" t="s">
        <v>1936</v>
      </c>
      <c r="B1237" s="477" t="s">
        <v>1937</v>
      </c>
      <c r="C1237" s="478"/>
      <c r="D1237" s="477"/>
      <c r="E1237" s="479">
        <v>14020.780199999999</v>
      </c>
      <c r="F1237" s="479">
        <v>14020.780199999999</v>
      </c>
      <c r="G1237" s="479">
        <v>8960.8224499999997</v>
      </c>
      <c r="H1237" s="479">
        <v>8146.7707099999998</v>
      </c>
      <c r="I1237" s="480">
        <v>58.1</v>
      </c>
      <c r="J1237" s="480"/>
    </row>
    <row r="1238" spans="1:10" ht="76.5" outlineLevel="4">
      <c r="A1238" s="481" t="s">
        <v>1936</v>
      </c>
      <c r="B1238" s="482" t="s">
        <v>1937</v>
      </c>
      <c r="C1238" s="483" t="s">
        <v>1568</v>
      </c>
      <c r="D1238" s="482" t="s">
        <v>1569</v>
      </c>
      <c r="E1238" s="484">
        <v>14020.780199999999</v>
      </c>
      <c r="F1238" s="484">
        <v>14020.780199999999</v>
      </c>
      <c r="G1238" s="484">
        <v>8960.8224499999997</v>
      </c>
      <c r="H1238" s="484">
        <v>8146.7707099999998</v>
      </c>
      <c r="I1238" s="480">
        <v>58.1</v>
      </c>
      <c r="J1238" s="480"/>
    </row>
    <row r="1239" spans="1:10" ht="38.25" outlineLevel="3">
      <c r="A1239" s="476" t="s">
        <v>1938</v>
      </c>
      <c r="B1239" s="477" t="s">
        <v>1939</v>
      </c>
      <c r="C1239" s="478"/>
      <c r="D1239" s="477"/>
      <c r="E1239" s="479">
        <v>53173.834340000001</v>
      </c>
      <c r="F1239" s="479">
        <v>53173.834340000001</v>
      </c>
      <c r="G1239" s="479">
        <v>41149.277159999998</v>
      </c>
      <c r="H1239" s="479">
        <v>28416.35169</v>
      </c>
      <c r="I1239" s="480">
        <v>53.44</v>
      </c>
      <c r="J1239" s="480"/>
    </row>
    <row r="1240" spans="1:10" ht="38.25" outlineLevel="4">
      <c r="A1240" s="481" t="s">
        <v>1938</v>
      </c>
      <c r="B1240" s="482" t="s">
        <v>1939</v>
      </c>
      <c r="C1240" s="483" t="s">
        <v>1568</v>
      </c>
      <c r="D1240" s="482" t="s">
        <v>1569</v>
      </c>
      <c r="E1240" s="484">
        <v>53173.834340000001</v>
      </c>
      <c r="F1240" s="484">
        <v>53173.834340000001</v>
      </c>
      <c r="G1240" s="484">
        <v>41149.277159999998</v>
      </c>
      <c r="H1240" s="484">
        <v>28416.35169</v>
      </c>
      <c r="I1240" s="480">
        <v>53.44</v>
      </c>
      <c r="J1240" s="480"/>
    </row>
    <row r="1241" spans="1:10" ht="25.5" outlineLevel="2">
      <c r="A1241" s="471" t="s">
        <v>1940</v>
      </c>
      <c r="B1241" s="472" t="s">
        <v>1941</v>
      </c>
      <c r="C1241" s="473"/>
      <c r="D1241" s="472"/>
      <c r="E1241" s="474">
        <v>48355.75</v>
      </c>
      <c r="F1241" s="474">
        <v>0</v>
      </c>
      <c r="G1241" s="474">
        <v>0</v>
      </c>
      <c r="H1241" s="474">
        <v>0</v>
      </c>
      <c r="I1241" s="475">
        <v>0</v>
      </c>
      <c r="J1241" s="475"/>
    </row>
    <row r="1242" spans="1:10" ht="25.5" outlineLevel="3">
      <c r="A1242" s="476" t="s">
        <v>713</v>
      </c>
      <c r="B1242" s="477" t="s">
        <v>1942</v>
      </c>
      <c r="C1242" s="478"/>
      <c r="D1242" s="477"/>
      <c r="E1242" s="479">
        <v>48355.75</v>
      </c>
      <c r="F1242" s="479">
        <v>0</v>
      </c>
      <c r="G1242" s="479">
        <v>0</v>
      </c>
      <c r="H1242" s="479">
        <v>0</v>
      </c>
      <c r="I1242" s="480">
        <v>0</v>
      </c>
      <c r="J1242" s="480"/>
    </row>
    <row r="1243" spans="1:10" ht="25.5" outlineLevel="4">
      <c r="A1243" s="481" t="s">
        <v>713</v>
      </c>
      <c r="B1243" s="482" t="s">
        <v>1942</v>
      </c>
      <c r="C1243" s="483" t="s">
        <v>1568</v>
      </c>
      <c r="D1243" s="482" t="s">
        <v>1569</v>
      </c>
      <c r="E1243" s="484">
        <v>48355.75</v>
      </c>
      <c r="F1243" s="484">
        <v>0</v>
      </c>
      <c r="G1243" s="484">
        <v>0</v>
      </c>
      <c r="H1243" s="484">
        <v>0</v>
      </c>
      <c r="I1243" s="480">
        <v>0</v>
      </c>
      <c r="J1243" s="480"/>
    </row>
    <row r="1244" spans="1:10" ht="51" outlineLevel="1">
      <c r="A1244" s="466" t="s">
        <v>1943</v>
      </c>
      <c r="B1244" s="467" t="s">
        <v>1944</v>
      </c>
      <c r="C1244" s="468"/>
      <c r="D1244" s="467"/>
      <c r="E1244" s="469">
        <v>35541.69887</v>
      </c>
      <c r="F1244" s="469">
        <v>31211.22363</v>
      </c>
      <c r="G1244" s="469">
        <v>21004.3272</v>
      </c>
      <c r="H1244" s="469">
        <v>20974.79407</v>
      </c>
      <c r="I1244" s="470">
        <v>59.01</v>
      </c>
      <c r="J1244" s="470"/>
    </row>
    <row r="1245" spans="1:10" ht="51" outlineLevel="2">
      <c r="A1245" s="471" t="s">
        <v>1945</v>
      </c>
      <c r="B1245" s="472" t="s">
        <v>1946</v>
      </c>
      <c r="C1245" s="473"/>
      <c r="D1245" s="472"/>
      <c r="E1245" s="474">
        <v>33247.238870000001</v>
      </c>
      <c r="F1245" s="474">
        <v>28916.763630000001</v>
      </c>
      <c r="G1245" s="474">
        <v>20567.867200000001</v>
      </c>
      <c r="H1245" s="474">
        <v>20538.334070000001</v>
      </c>
      <c r="I1245" s="475">
        <v>61.77</v>
      </c>
      <c r="J1245" s="475"/>
    </row>
    <row r="1246" spans="1:10" ht="76.5" outlineLevel="3">
      <c r="A1246" s="476" t="s">
        <v>702</v>
      </c>
      <c r="B1246" s="477" t="s">
        <v>1947</v>
      </c>
      <c r="C1246" s="478"/>
      <c r="D1246" s="477"/>
      <c r="E1246" s="479">
        <v>109.44</v>
      </c>
      <c r="F1246" s="479">
        <v>109.44</v>
      </c>
      <c r="G1246" s="479">
        <v>109.44</v>
      </c>
      <c r="H1246" s="479">
        <v>109.44</v>
      </c>
      <c r="I1246" s="480">
        <v>100</v>
      </c>
      <c r="J1246" s="480"/>
    </row>
    <row r="1247" spans="1:10" ht="76.5" outlineLevel="4">
      <c r="A1247" s="481" t="s">
        <v>702</v>
      </c>
      <c r="B1247" s="482" t="s">
        <v>1947</v>
      </c>
      <c r="C1247" s="483" t="s">
        <v>711</v>
      </c>
      <c r="D1247" s="482" t="s">
        <v>712</v>
      </c>
      <c r="E1247" s="484">
        <v>109.44</v>
      </c>
      <c r="F1247" s="484">
        <v>109.44</v>
      </c>
      <c r="G1247" s="484">
        <v>109.44</v>
      </c>
      <c r="H1247" s="484">
        <v>109.44</v>
      </c>
      <c r="I1247" s="480">
        <v>100</v>
      </c>
      <c r="J1247" s="480"/>
    </row>
    <row r="1248" spans="1:10" ht="25.5" outlineLevel="3">
      <c r="A1248" s="476" t="s">
        <v>713</v>
      </c>
      <c r="B1248" s="477" t="s">
        <v>1948</v>
      </c>
      <c r="C1248" s="478"/>
      <c r="D1248" s="477"/>
      <c r="E1248" s="479">
        <v>28016.025089999999</v>
      </c>
      <c r="F1248" s="479">
        <v>28016.025089999999</v>
      </c>
      <c r="G1248" s="479">
        <v>20000</v>
      </c>
      <c r="H1248" s="479">
        <v>20000</v>
      </c>
      <c r="I1248" s="480">
        <v>71.39</v>
      </c>
      <c r="J1248" s="480"/>
    </row>
    <row r="1249" spans="1:10" ht="25.5" outlineLevel="4">
      <c r="A1249" s="481" t="s">
        <v>713</v>
      </c>
      <c r="B1249" s="482" t="s">
        <v>1948</v>
      </c>
      <c r="C1249" s="483" t="s">
        <v>1568</v>
      </c>
      <c r="D1249" s="482" t="s">
        <v>1569</v>
      </c>
      <c r="E1249" s="484">
        <v>28016.025089999999</v>
      </c>
      <c r="F1249" s="484">
        <v>28016.025089999999</v>
      </c>
      <c r="G1249" s="484">
        <v>20000</v>
      </c>
      <c r="H1249" s="484">
        <v>20000</v>
      </c>
      <c r="I1249" s="480">
        <v>71.39</v>
      </c>
      <c r="J1249" s="480"/>
    </row>
    <row r="1250" spans="1:10" ht="25.5" outlineLevel="3">
      <c r="A1250" s="476" t="s">
        <v>1883</v>
      </c>
      <c r="B1250" s="477" t="s">
        <v>1949</v>
      </c>
      <c r="C1250" s="478"/>
      <c r="D1250" s="477"/>
      <c r="E1250" s="479">
        <v>942.97774000000004</v>
      </c>
      <c r="F1250" s="479">
        <v>767.30070000000001</v>
      </c>
      <c r="G1250" s="479">
        <v>434.42935999999997</v>
      </c>
      <c r="H1250" s="479">
        <v>404.89623</v>
      </c>
      <c r="I1250" s="480">
        <v>42.94</v>
      </c>
      <c r="J1250" s="480"/>
    </row>
    <row r="1251" spans="1:10" ht="25.5" outlineLevel="4">
      <c r="A1251" s="481" t="s">
        <v>1883</v>
      </c>
      <c r="B1251" s="482" t="s">
        <v>1949</v>
      </c>
      <c r="C1251" s="483" t="s">
        <v>1568</v>
      </c>
      <c r="D1251" s="482" t="s">
        <v>1569</v>
      </c>
      <c r="E1251" s="484">
        <v>942.97774000000004</v>
      </c>
      <c r="F1251" s="484">
        <v>767.30070000000001</v>
      </c>
      <c r="G1251" s="484">
        <v>434.42935999999997</v>
      </c>
      <c r="H1251" s="484">
        <v>404.89623</v>
      </c>
      <c r="I1251" s="480">
        <v>42.94</v>
      </c>
      <c r="J1251" s="480"/>
    </row>
    <row r="1252" spans="1:10" ht="102" outlineLevel="3">
      <c r="A1252" s="476" t="s">
        <v>1950</v>
      </c>
      <c r="B1252" s="477" t="s">
        <v>1951</v>
      </c>
      <c r="C1252" s="478"/>
      <c r="D1252" s="477"/>
      <c r="E1252" s="479">
        <v>4178.7960400000002</v>
      </c>
      <c r="F1252" s="479">
        <v>23.99784</v>
      </c>
      <c r="G1252" s="479">
        <v>23.99784</v>
      </c>
      <c r="H1252" s="479">
        <v>23.99784</v>
      </c>
      <c r="I1252" s="480">
        <v>0.56999999999999995</v>
      </c>
      <c r="J1252" s="480"/>
    </row>
    <row r="1253" spans="1:10" ht="102" outlineLevel="4">
      <c r="A1253" s="481" t="s">
        <v>1950</v>
      </c>
      <c r="B1253" s="482" t="s">
        <v>1951</v>
      </c>
      <c r="C1253" s="483" t="s">
        <v>1568</v>
      </c>
      <c r="D1253" s="482" t="s">
        <v>1569</v>
      </c>
      <c r="E1253" s="484">
        <v>4178.7960400000002</v>
      </c>
      <c r="F1253" s="484">
        <v>23.99784</v>
      </c>
      <c r="G1253" s="484">
        <v>23.99784</v>
      </c>
      <c r="H1253" s="484">
        <v>23.99784</v>
      </c>
      <c r="I1253" s="480">
        <v>0.56999999999999995</v>
      </c>
      <c r="J1253" s="480"/>
    </row>
    <row r="1254" spans="1:10" ht="51" outlineLevel="2">
      <c r="A1254" s="471" t="s">
        <v>1952</v>
      </c>
      <c r="B1254" s="472" t="s">
        <v>1953</v>
      </c>
      <c r="C1254" s="473"/>
      <c r="D1254" s="472"/>
      <c r="E1254" s="474">
        <v>1800</v>
      </c>
      <c r="F1254" s="474">
        <v>1800</v>
      </c>
      <c r="G1254" s="474">
        <v>0</v>
      </c>
      <c r="H1254" s="474">
        <v>0</v>
      </c>
      <c r="I1254" s="475">
        <v>0</v>
      </c>
      <c r="J1254" s="475"/>
    </row>
    <row r="1255" spans="1:10" ht="76.5" outlineLevel="3">
      <c r="A1255" s="476" t="s">
        <v>702</v>
      </c>
      <c r="B1255" s="477" t="s">
        <v>1954</v>
      </c>
      <c r="C1255" s="478"/>
      <c r="D1255" s="477"/>
      <c r="E1255" s="479">
        <v>1800</v>
      </c>
      <c r="F1255" s="479">
        <v>1800</v>
      </c>
      <c r="G1255" s="479">
        <v>0</v>
      </c>
      <c r="H1255" s="479">
        <v>0</v>
      </c>
      <c r="I1255" s="480">
        <v>0</v>
      </c>
      <c r="J1255" s="480"/>
    </row>
    <row r="1256" spans="1:10" ht="76.5" outlineLevel="4">
      <c r="A1256" s="481" t="s">
        <v>702</v>
      </c>
      <c r="B1256" s="482" t="s">
        <v>1954</v>
      </c>
      <c r="C1256" s="483" t="s">
        <v>715</v>
      </c>
      <c r="D1256" s="482" t="s">
        <v>716</v>
      </c>
      <c r="E1256" s="484">
        <v>1800</v>
      </c>
      <c r="F1256" s="484">
        <v>1800</v>
      </c>
      <c r="G1256" s="484">
        <v>0</v>
      </c>
      <c r="H1256" s="484">
        <v>0</v>
      </c>
      <c r="I1256" s="480">
        <v>0</v>
      </c>
      <c r="J1256" s="480"/>
    </row>
    <row r="1257" spans="1:10" ht="38.25" outlineLevel="2">
      <c r="A1257" s="471" t="s">
        <v>1955</v>
      </c>
      <c r="B1257" s="472" t="s">
        <v>1956</v>
      </c>
      <c r="C1257" s="473"/>
      <c r="D1257" s="472"/>
      <c r="E1257" s="474">
        <v>494.46</v>
      </c>
      <c r="F1257" s="474">
        <v>494.46</v>
      </c>
      <c r="G1257" s="474">
        <v>436.46</v>
      </c>
      <c r="H1257" s="474">
        <v>436.46</v>
      </c>
      <c r="I1257" s="475">
        <v>88.27</v>
      </c>
      <c r="J1257" s="475"/>
    </row>
    <row r="1258" spans="1:10" ht="51" outlineLevel="3">
      <c r="A1258" s="476" t="s">
        <v>1957</v>
      </c>
      <c r="B1258" s="477" t="s">
        <v>1958</v>
      </c>
      <c r="C1258" s="478"/>
      <c r="D1258" s="477"/>
      <c r="E1258" s="479">
        <v>494.46</v>
      </c>
      <c r="F1258" s="479">
        <v>494.46</v>
      </c>
      <c r="G1258" s="479">
        <v>436.46</v>
      </c>
      <c r="H1258" s="479">
        <v>436.46</v>
      </c>
      <c r="I1258" s="480">
        <v>88.27</v>
      </c>
      <c r="J1258" s="480"/>
    </row>
    <row r="1259" spans="1:10" ht="51" outlineLevel="4">
      <c r="A1259" s="481" t="s">
        <v>1957</v>
      </c>
      <c r="B1259" s="482" t="s">
        <v>1958</v>
      </c>
      <c r="C1259" s="483" t="s">
        <v>711</v>
      </c>
      <c r="D1259" s="482" t="s">
        <v>712</v>
      </c>
      <c r="E1259" s="484">
        <v>494.46</v>
      </c>
      <c r="F1259" s="484">
        <v>494.46</v>
      </c>
      <c r="G1259" s="484">
        <v>436.46</v>
      </c>
      <c r="H1259" s="484">
        <v>436.46</v>
      </c>
      <c r="I1259" s="480">
        <v>88.27</v>
      </c>
      <c r="J1259" s="480"/>
    </row>
    <row r="1260" spans="1:10" ht="38.25" outlineLevel="1">
      <c r="A1260" s="466" t="s">
        <v>1019</v>
      </c>
      <c r="B1260" s="467" t="s">
        <v>1959</v>
      </c>
      <c r="C1260" s="468"/>
      <c r="D1260" s="467"/>
      <c r="E1260" s="469">
        <v>415636.37649</v>
      </c>
      <c r="F1260" s="469">
        <v>267835.94400999998</v>
      </c>
      <c r="G1260" s="469">
        <v>194495.94193999999</v>
      </c>
      <c r="H1260" s="469">
        <v>186542.85394</v>
      </c>
      <c r="I1260" s="470">
        <v>44.88</v>
      </c>
      <c r="J1260" s="470"/>
    </row>
    <row r="1261" spans="1:10" ht="38.25" outlineLevel="2">
      <c r="A1261" s="471" t="s">
        <v>1960</v>
      </c>
      <c r="B1261" s="472" t="s">
        <v>1961</v>
      </c>
      <c r="C1261" s="473"/>
      <c r="D1261" s="472"/>
      <c r="E1261" s="474">
        <v>80596.877210000006</v>
      </c>
      <c r="F1261" s="474">
        <v>52816.907859999999</v>
      </c>
      <c r="G1261" s="474">
        <v>32148.61836</v>
      </c>
      <c r="H1261" s="474">
        <v>28162.440640000001</v>
      </c>
      <c r="I1261" s="475">
        <v>34.94</v>
      </c>
      <c r="J1261" s="475"/>
    </row>
    <row r="1262" spans="1:10" ht="25.5" outlineLevel="3">
      <c r="A1262" s="476" t="s">
        <v>873</v>
      </c>
      <c r="B1262" s="477" t="s">
        <v>1962</v>
      </c>
      <c r="C1262" s="478"/>
      <c r="D1262" s="477"/>
      <c r="E1262" s="479">
        <v>50133.128559999997</v>
      </c>
      <c r="F1262" s="479">
        <v>50133.128559999997</v>
      </c>
      <c r="G1262" s="479">
        <v>31200</v>
      </c>
      <c r="H1262" s="479">
        <v>27275.648280000001</v>
      </c>
      <c r="I1262" s="480">
        <v>54.41</v>
      </c>
      <c r="J1262" s="480"/>
    </row>
    <row r="1263" spans="1:10" ht="25.5" outlineLevel="4">
      <c r="A1263" s="481" t="s">
        <v>873</v>
      </c>
      <c r="B1263" s="482" t="s">
        <v>1962</v>
      </c>
      <c r="C1263" s="483" t="s">
        <v>1568</v>
      </c>
      <c r="D1263" s="482" t="s">
        <v>1569</v>
      </c>
      <c r="E1263" s="484">
        <v>50133.128559999997</v>
      </c>
      <c r="F1263" s="484">
        <v>50133.128559999997</v>
      </c>
      <c r="G1263" s="484">
        <v>31200</v>
      </c>
      <c r="H1263" s="484">
        <v>27275.648280000001</v>
      </c>
      <c r="I1263" s="480">
        <v>54.41</v>
      </c>
      <c r="J1263" s="480"/>
    </row>
    <row r="1264" spans="1:10" ht="38.25" outlineLevel="3">
      <c r="A1264" s="476" t="s">
        <v>854</v>
      </c>
      <c r="B1264" s="477" t="s">
        <v>1963</v>
      </c>
      <c r="C1264" s="478"/>
      <c r="D1264" s="477"/>
      <c r="E1264" s="479">
        <v>2198.1552999999999</v>
      </c>
      <c r="F1264" s="479">
        <v>2198.1552999999999</v>
      </c>
      <c r="G1264" s="479">
        <v>925.94782999999995</v>
      </c>
      <c r="H1264" s="479">
        <v>864.12183000000005</v>
      </c>
      <c r="I1264" s="480">
        <v>39.31</v>
      </c>
      <c r="J1264" s="480"/>
    </row>
    <row r="1265" spans="1:10" ht="38.25" outlineLevel="4">
      <c r="A1265" s="481" t="s">
        <v>854</v>
      </c>
      <c r="B1265" s="482" t="s">
        <v>1963</v>
      </c>
      <c r="C1265" s="483" t="s">
        <v>1568</v>
      </c>
      <c r="D1265" s="482" t="s">
        <v>1569</v>
      </c>
      <c r="E1265" s="484">
        <v>2198.1552999999999</v>
      </c>
      <c r="F1265" s="484">
        <v>2198.1552999999999</v>
      </c>
      <c r="G1265" s="484">
        <v>925.94782999999995</v>
      </c>
      <c r="H1265" s="484">
        <v>864.12183000000005</v>
      </c>
      <c r="I1265" s="480">
        <v>39.31</v>
      </c>
      <c r="J1265" s="480"/>
    </row>
    <row r="1266" spans="1:10" ht="63.75" outlineLevel="3">
      <c r="A1266" s="476" t="s">
        <v>62</v>
      </c>
      <c r="B1266" s="477" t="s">
        <v>1964</v>
      </c>
      <c r="C1266" s="478"/>
      <c r="D1266" s="477"/>
      <c r="E1266" s="479">
        <v>485.62400000000002</v>
      </c>
      <c r="F1266" s="479">
        <v>485.62400000000002</v>
      </c>
      <c r="G1266" s="479">
        <v>22.670529999999999</v>
      </c>
      <c r="H1266" s="479">
        <v>22.670529999999999</v>
      </c>
      <c r="I1266" s="480">
        <v>4.67</v>
      </c>
      <c r="J1266" s="480"/>
    </row>
    <row r="1267" spans="1:10" ht="63.75" outlineLevel="4">
      <c r="A1267" s="481" t="s">
        <v>62</v>
      </c>
      <c r="B1267" s="482" t="s">
        <v>1964</v>
      </c>
      <c r="C1267" s="483" t="s">
        <v>1568</v>
      </c>
      <c r="D1267" s="482" t="s">
        <v>1569</v>
      </c>
      <c r="E1267" s="484">
        <v>485.62400000000002</v>
      </c>
      <c r="F1267" s="484">
        <v>485.62400000000002</v>
      </c>
      <c r="G1267" s="484">
        <v>22.670529999999999</v>
      </c>
      <c r="H1267" s="484">
        <v>22.670529999999999</v>
      </c>
      <c r="I1267" s="480">
        <v>4.67</v>
      </c>
      <c r="J1267" s="480"/>
    </row>
    <row r="1268" spans="1:10" ht="25.5" outlineLevel="3">
      <c r="A1268" s="476" t="s">
        <v>706</v>
      </c>
      <c r="B1268" s="477" t="s">
        <v>1965</v>
      </c>
      <c r="C1268" s="478"/>
      <c r="D1268" s="477"/>
      <c r="E1268" s="479">
        <v>27779.969349999999</v>
      </c>
      <c r="F1268" s="479">
        <v>0</v>
      </c>
      <c r="G1268" s="479">
        <v>0</v>
      </c>
      <c r="H1268" s="479">
        <v>0</v>
      </c>
      <c r="I1268" s="480">
        <v>0</v>
      </c>
      <c r="J1268" s="480"/>
    </row>
    <row r="1269" spans="1:10" ht="25.5" outlineLevel="4">
      <c r="A1269" s="481" t="s">
        <v>706</v>
      </c>
      <c r="B1269" s="482" t="s">
        <v>1965</v>
      </c>
      <c r="C1269" s="483" t="s">
        <v>1568</v>
      </c>
      <c r="D1269" s="482" t="s">
        <v>1569</v>
      </c>
      <c r="E1269" s="484">
        <v>27779.969349999999</v>
      </c>
      <c r="F1269" s="484">
        <v>0</v>
      </c>
      <c r="G1269" s="484">
        <v>0</v>
      </c>
      <c r="H1269" s="484">
        <v>0</v>
      </c>
      <c r="I1269" s="480">
        <v>0</v>
      </c>
      <c r="J1269" s="480"/>
    </row>
    <row r="1270" spans="1:10" ht="38.25" outlineLevel="2">
      <c r="A1270" s="471" t="s">
        <v>1966</v>
      </c>
      <c r="B1270" s="472" t="s">
        <v>1967</v>
      </c>
      <c r="C1270" s="473"/>
      <c r="D1270" s="472"/>
      <c r="E1270" s="474">
        <v>332706.16927999997</v>
      </c>
      <c r="F1270" s="474">
        <v>212685.70615000001</v>
      </c>
      <c r="G1270" s="474">
        <v>161222.70358</v>
      </c>
      <c r="H1270" s="474">
        <v>157835.9333</v>
      </c>
      <c r="I1270" s="475">
        <v>47.44</v>
      </c>
      <c r="J1270" s="475"/>
    </row>
    <row r="1271" spans="1:10" ht="76.5" outlineLevel="3">
      <c r="A1271" s="476" t="s">
        <v>702</v>
      </c>
      <c r="B1271" s="477" t="s">
        <v>1968</v>
      </c>
      <c r="C1271" s="478"/>
      <c r="D1271" s="477"/>
      <c r="E1271" s="479">
        <v>3730.92</v>
      </c>
      <c r="F1271" s="479">
        <v>3730.92</v>
      </c>
      <c r="G1271" s="479">
        <v>2732.3314999999998</v>
      </c>
      <c r="H1271" s="479">
        <v>2710.1811200000002</v>
      </c>
      <c r="I1271" s="480">
        <v>72.64</v>
      </c>
      <c r="J1271" s="480"/>
    </row>
    <row r="1272" spans="1:10" ht="76.5" outlineLevel="4">
      <c r="A1272" s="481" t="s">
        <v>702</v>
      </c>
      <c r="B1272" s="482" t="s">
        <v>1968</v>
      </c>
      <c r="C1272" s="483" t="s">
        <v>1568</v>
      </c>
      <c r="D1272" s="482" t="s">
        <v>1569</v>
      </c>
      <c r="E1272" s="484">
        <v>3730.92</v>
      </c>
      <c r="F1272" s="484">
        <v>3730.92</v>
      </c>
      <c r="G1272" s="484">
        <v>2732.3314999999998</v>
      </c>
      <c r="H1272" s="484">
        <v>2710.1811200000002</v>
      </c>
      <c r="I1272" s="480">
        <v>72.64</v>
      </c>
      <c r="J1272" s="480"/>
    </row>
    <row r="1273" spans="1:10" ht="38.25" outlineLevel="3">
      <c r="A1273" s="476" t="s">
        <v>1969</v>
      </c>
      <c r="B1273" s="477" t="s">
        <v>1970</v>
      </c>
      <c r="C1273" s="478"/>
      <c r="D1273" s="477"/>
      <c r="E1273" s="479">
        <v>327774.24896</v>
      </c>
      <c r="F1273" s="479">
        <v>207753.78583000001</v>
      </c>
      <c r="G1273" s="479">
        <v>158335.37208</v>
      </c>
      <c r="H1273" s="479">
        <v>155004.02108000001</v>
      </c>
      <c r="I1273" s="480">
        <v>47.29</v>
      </c>
      <c r="J1273" s="480"/>
    </row>
    <row r="1274" spans="1:10" ht="38.25" outlineLevel="4">
      <c r="A1274" s="481" t="s">
        <v>1969</v>
      </c>
      <c r="B1274" s="482" t="s">
        <v>1970</v>
      </c>
      <c r="C1274" s="483" t="s">
        <v>1568</v>
      </c>
      <c r="D1274" s="482" t="s">
        <v>1569</v>
      </c>
      <c r="E1274" s="484">
        <v>327774.24896</v>
      </c>
      <c r="F1274" s="484">
        <v>207753.78583000001</v>
      </c>
      <c r="G1274" s="484">
        <v>158335.37208</v>
      </c>
      <c r="H1274" s="484">
        <v>155004.02108000001</v>
      </c>
      <c r="I1274" s="480">
        <v>47.29</v>
      </c>
      <c r="J1274" s="480"/>
    </row>
    <row r="1275" spans="1:10" ht="76.5" outlineLevel="3">
      <c r="A1275" s="476" t="s">
        <v>1971</v>
      </c>
      <c r="B1275" s="477" t="s">
        <v>1972</v>
      </c>
      <c r="C1275" s="478"/>
      <c r="D1275" s="477"/>
      <c r="E1275" s="479">
        <v>1201.0003200000001</v>
      </c>
      <c r="F1275" s="479">
        <v>1201.0003200000001</v>
      </c>
      <c r="G1275" s="479">
        <v>155</v>
      </c>
      <c r="H1275" s="479">
        <v>121.7311</v>
      </c>
      <c r="I1275" s="480">
        <v>10.14</v>
      </c>
      <c r="J1275" s="480"/>
    </row>
    <row r="1276" spans="1:10" ht="76.5" outlineLevel="4">
      <c r="A1276" s="481" t="s">
        <v>1971</v>
      </c>
      <c r="B1276" s="482" t="s">
        <v>1972</v>
      </c>
      <c r="C1276" s="483" t="s">
        <v>1568</v>
      </c>
      <c r="D1276" s="482" t="s">
        <v>1569</v>
      </c>
      <c r="E1276" s="484">
        <v>1201.0003200000001</v>
      </c>
      <c r="F1276" s="484">
        <v>1201.0003200000001</v>
      </c>
      <c r="G1276" s="484">
        <v>155</v>
      </c>
      <c r="H1276" s="484">
        <v>121.7311</v>
      </c>
      <c r="I1276" s="480">
        <v>10.14</v>
      </c>
      <c r="J1276" s="480"/>
    </row>
    <row r="1277" spans="1:10" ht="25.5" outlineLevel="2">
      <c r="A1277" s="471" t="s">
        <v>1973</v>
      </c>
      <c r="B1277" s="472" t="s">
        <v>1974</v>
      </c>
      <c r="C1277" s="473"/>
      <c r="D1277" s="472"/>
      <c r="E1277" s="474">
        <v>2333.33</v>
      </c>
      <c r="F1277" s="474">
        <v>2333.33</v>
      </c>
      <c r="G1277" s="474">
        <v>1124.6199999999999</v>
      </c>
      <c r="H1277" s="474">
        <v>544.48</v>
      </c>
      <c r="I1277" s="475">
        <v>23.33</v>
      </c>
      <c r="J1277" s="475"/>
    </row>
    <row r="1278" spans="1:10" ht="38.25" outlineLevel="3">
      <c r="A1278" s="476" t="s">
        <v>1969</v>
      </c>
      <c r="B1278" s="477" t="s">
        <v>1975</v>
      </c>
      <c r="C1278" s="478"/>
      <c r="D1278" s="477"/>
      <c r="E1278" s="479">
        <v>2333.33</v>
      </c>
      <c r="F1278" s="479">
        <v>2333.33</v>
      </c>
      <c r="G1278" s="479">
        <v>1124.6199999999999</v>
      </c>
      <c r="H1278" s="479">
        <v>544.48</v>
      </c>
      <c r="I1278" s="480">
        <v>23.33</v>
      </c>
      <c r="J1278" s="480"/>
    </row>
    <row r="1279" spans="1:10" ht="38.25" outlineLevel="4">
      <c r="A1279" s="481" t="s">
        <v>1969</v>
      </c>
      <c r="B1279" s="482" t="s">
        <v>1975</v>
      </c>
      <c r="C1279" s="483" t="s">
        <v>1568</v>
      </c>
      <c r="D1279" s="482" t="s">
        <v>1569</v>
      </c>
      <c r="E1279" s="484">
        <v>2333.33</v>
      </c>
      <c r="F1279" s="484">
        <v>2333.33</v>
      </c>
      <c r="G1279" s="484">
        <v>1124.6199999999999</v>
      </c>
      <c r="H1279" s="484">
        <v>544.48</v>
      </c>
      <c r="I1279" s="480">
        <v>23.33</v>
      </c>
      <c r="J1279" s="480"/>
    </row>
    <row r="1280" spans="1:10" ht="75.75" collapsed="1" thickBot="1">
      <c r="A1280" s="461" t="s">
        <v>1976</v>
      </c>
      <c r="B1280" s="462" t="s">
        <v>1977</v>
      </c>
      <c r="C1280" s="463"/>
      <c r="D1280" s="462"/>
      <c r="E1280" s="464">
        <v>1113016.27144</v>
      </c>
      <c r="F1280" s="464">
        <v>910244.30264000001</v>
      </c>
      <c r="G1280" s="464">
        <v>467032.44533000002</v>
      </c>
      <c r="H1280" s="464">
        <v>446111.09996000002</v>
      </c>
      <c r="I1280" s="465">
        <v>40.08</v>
      </c>
      <c r="J1280" s="465"/>
    </row>
    <row r="1281" spans="1:10" ht="25.5" outlineLevel="1">
      <c r="A1281" s="466" t="s">
        <v>1978</v>
      </c>
      <c r="B1281" s="467" t="s">
        <v>1979</v>
      </c>
      <c r="C1281" s="468"/>
      <c r="D1281" s="467"/>
      <c r="E1281" s="469">
        <v>102255.7</v>
      </c>
      <c r="F1281" s="469">
        <v>102255.7</v>
      </c>
      <c r="G1281" s="469">
        <v>12</v>
      </c>
      <c r="H1281" s="469">
        <v>0</v>
      </c>
      <c r="I1281" s="470">
        <v>0</v>
      </c>
      <c r="J1281" s="470"/>
    </row>
    <row r="1282" spans="1:10" ht="38.25" outlineLevel="2">
      <c r="A1282" s="471" t="s">
        <v>1980</v>
      </c>
      <c r="B1282" s="472" t="s">
        <v>1981</v>
      </c>
      <c r="C1282" s="473"/>
      <c r="D1282" s="472"/>
      <c r="E1282" s="474">
        <v>100000</v>
      </c>
      <c r="F1282" s="474">
        <v>100000</v>
      </c>
      <c r="G1282" s="474">
        <v>0</v>
      </c>
      <c r="H1282" s="474">
        <v>0</v>
      </c>
      <c r="I1282" s="475">
        <v>0</v>
      </c>
      <c r="J1282" s="475"/>
    </row>
    <row r="1283" spans="1:10" ht="38.25" outlineLevel="3">
      <c r="A1283" s="476" t="s">
        <v>1982</v>
      </c>
      <c r="B1283" s="477" t="s">
        <v>1983</v>
      </c>
      <c r="C1283" s="478"/>
      <c r="D1283" s="477"/>
      <c r="E1283" s="479">
        <v>100000</v>
      </c>
      <c r="F1283" s="479">
        <v>100000</v>
      </c>
      <c r="G1283" s="479">
        <v>0</v>
      </c>
      <c r="H1283" s="479">
        <v>0</v>
      </c>
      <c r="I1283" s="480">
        <v>0</v>
      </c>
      <c r="J1283" s="480"/>
    </row>
    <row r="1284" spans="1:10" ht="38.25" outlineLevel="4">
      <c r="A1284" s="481" t="s">
        <v>1982</v>
      </c>
      <c r="B1284" s="482" t="s">
        <v>1983</v>
      </c>
      <c r="C1284" s="483" t="s">
        <v>1984</v>
      </c>
      <c r="D1284" s="482" t="s">
        <v>1985</v>
      </c>
      <c r="E1284" s="484">
        <v>100000</v>
      </c>
      <c r="F1284" s="484">
        <v>100000</v>
      </c>
      <c r="G1284" s="484">
        <v>0</v>
      </c>
      <c r="H1284" s="484">
        <v>0</v>
      </c>
      <c r="I1284" s="480">
        <v>0</v>
      </c>
      <c r="J1284" s="480"/>
    </row>
    <row r="1285" spans="1:10" ht="51" outlineLevel="2">
      <c r="A1285" s="471" t="s">
        <v>1986</v>
      </c>
      <c r="B1285" s="472" t="s">
        <v>1987</v>
      </c>
      <c r="C1285" s="473"/>
      <c r="D1285" s="472"/>
      <c r="E1285" s="474">
        <v>2255.6999999999998</v>
      </c>
      <c r="F1285" s="474">
        <v>2255.6999999999998</v>
      </c>
      <c r="G1285" s="474">
        <v>12</v>
      </c>
      <c r="H1285" s="474">
        <v>0</v>
      </c>
      <c r="I1285" s="475">
        <v>0</v>
      </c>
      <c r="J1285" s="475"/>
    </row>
    <row r="1286" spans="1:10" ht="25.5" outlineLevel="3">
      <c r="A1286" s="476" t="s">
        <v>713</v>
      </c>
      <c r="B1286" s="477" t="s">
        <v>1988</v>
      </c>
      <c r="C1286" s="478"/>
      <c r="D1286" s="477"/>
      <c r="E1286" s="479">
        <v>2255.6999999999998</v>
      </c>
      <c r="F1286" s="479">
        <v>2255.6999999999998</v>
      </c>
      <c r="G1286" s="479">
        <v>12</v>
      </c>
      <c r="H1286" s="479">
        <v>0</v>
      </c>
      <c r="I1286" s="480">
        <v>0</v>
      </c>
      <c r="J1286" s="480"/>
    </row>
    <row r="1287" spans="1:10" ht="25.5" outlineLevel="4">
      <c r="A1287" s="481" t="s">
        <v>713</v>
      </c>
      <c r="B1287" s="482" t="s">
        <v>1988</v>
      </c>
      <c r="C1287" s="483" t="s">
        <v>1989</v>
      </c>
      <c r="D1287" s="482" t="s">
        <v>1990</v>
      </c>
      <c r="E1287" s="484">
        <v>1500</v>
      </c>
      <c r="F1287" s="484">
        <v>1500</v>
      </c>
      <c r="G1287" s="484">
        <v>0</v>
      </c>
      <c r="H1287" s="484">
        <v>0</v>
      </c>
      <c r="I1287" s="480">
        <v>0</v>
      </c>
      <c r="J1287" s="480"/>
    </row>
    <row r="1288" spans="1:10" ht="38.25" outlineLevel="4">
      <c r="A1288" s="481" t="s">
        <v>713</v>
      </c>
      <c r="B1288" s="482" t="s">
        <v>1988</v>
      </c>
      <c r="C1288" s="483" t="s">
        <v>1802</v>
      </c>
      <c r="D1288" s="482" t="s">
        <v>1803</v>
      </c>
      <c r="E1288" s="484">
        <v>755.7</v>
      </c>
      <c r="F1288" s="484">
        <v>755.7</v>
      </c>
      <c r="G1288" s="484">
        <v>12</v>
      </c>
      <c r="H1288" s="484">
        <v>0</v>
      </c>
      <c r="I1288" s="480">
        <v>0</v>
      </c>
      <c r="J1288" s="480"/>
    </row>
    <row r="1289" spans="1:10" ht="25.5" outlineLevel="1">
      <c r="A1289" s="466" t="s">
        <v>1991</v>
      </c>
      <c r="B1289" s="467" t="s">
        <v>1992</v>
      </c>
      <c r="C1289" s="468"/>
      <c r="D1289" s="467"/>
      <c r="E1289" s="469">
        <v>384647.60816</v>
      </c>
      <c r="F1289" s="469">
        <v>360517.32043000002</v>
      </c>
      <c r="G1289" s="469">
        <v>315564.38007000001</v>
      </c>
      <c r="H1289" s="469">
        <v>304255.54506999999</v>
      </c>
      <c r="I1289" s="470">
        <v>79.099999999999994</v>
      </c>
      <c r="J1289" s="470"/>
    </row>
    <row r="1290" spans="1:10" ht="51" outlineLevel="2">
      <c r="A1290" s="471" t="s">
        <v>1993</v>
      </c>
      <c r="B1290" s="472" t="s">
        <v>1994</v>
      </c>
      <c r="C1290" s="473"/>
      <c r="D1290" s="472"/>
      <c r="E1290" s="474">
        <v>61300.42254</v>
      </c>
      <c r="F1290" s="474">
        <v>44115.511339999997</v>
      </c>
      <c r="G1290" s="474">
        <v>41892.257539999999</v>
      </c>
      <c r="H1290" s="474">
        <v>30583.42254</v>
      </c>
      <c r="I1290" s="475">
        <v>49.89</v>
      </c>
      <c r="J1290" s="475"/>
    </row>
    <row r="1291" spans="1:10" ht="89.25" outlineLevel="3">
      <c r="A1291" s="476" t="s">
        <v>1995</v>
      </c>
      <c r="B1291" s="477" t="s">
        <v>1996</v>
      </c>
      <c r="C1291" s="478"/>
      <c r="D1291" s="477"/>
      <c r="E1291" s="479">
        <v>26920.42254</v>
      </c>
      <c r="F1291" s="479">
        <v>26920.42254</v>
      </c>
      <c r="G1291" s="479">
        <v>26920.42254</v>
      </c>
      <c r="H1291" s="479">
        <v>26920.42254</v>
      </c>
      <c r="I1291" s="480">
        <v>100</v>
      </c>
      <c r="J1291" s="480"/>
    </row>
    <row r="1292" spans="1:10" ht="89.25" outlineLevel="4">
      <c r="A1292" s="481" t="s">
        <v>1995</v>
      </c>
      <c r="B1292" s="482" t="s">
        <v>1996</v>
      </c>
      <c r="C1292" s="483" t="s">
        <v>1802</v>
      </c>
      <c r="D1292" s="482" t="s">
        <v>1803</v>
      </c>
      <c r="E1292" s="484">
        <v>26920.42254</v>
      </c>
      <c r="F1292" s="484">
        <v>26920.42254</v>
      </c>
      <c r="G1292" s="484">
        <v>26920.42254</v>
      </c>
      <c r="H1292" s="484">
        <v>26920.42254</v>
      </c>
      <c r="I1292" s="480">
        <v>100</v>
      </c>
      <c r="J1292" s="485" t="s">
        <v>10</v>
      </c>
    </row>
    <row r="1293" spans="1:10" ht="38.25" outlineLevel="3">
      <c r="A1293" s="476" t="s">
        <v>1997</v>
      </c>
      <c r="B1293" s="477" t="s">
        <v>1998</v>
      </c>
      <c r="C1293" s="478"/>
      <c r="D1293" s="477"/>
      <c r="E1293" s="479">
        <v>34380</v>
      </c>
      <c r="F1293" s="479">
        <v>17195.088800000001</v>
      </c>
      <c r="G1293" s="479">
        <v>14971.834999999999</v>
      </c>
      <c r="H1293" s="479">
        <v>3663</v>
      </c>
      <c r="I1293" s="480">
        <v>10.65</v>
      </c>
      <c r="J1293" s="480"/>
    </row>
    <row r="1294" spans="1:10" ht="38.25" outlineLevel="4">
      <c r="A1294" s="481" t="s">
        <v>1997</v>
      </c>
      <c r="B1294" s="482" t="s">
        <v>1998</v>
      </c>
      <c r="C1294" s="483" t="s">
        <v>1802</v>
      </c>
      <c r="D1294" s="482" t="s">
        <v>1803</v>
      </c>
      <c r="E1294" s="484">
        <v>34380</v>
      </c>
      <c r="F1294" s="484">
        <v>17195.088800000001</v>
      </c>
      <c r="G1294" s="484">
        <v>14971.834999999999</v>
      </c>
      <c r="H1294" s="484">
        <v>3663</v>
      </c>
      <c r="I1294" s="480">
        <v>10.65</v>
      </c>
      <c r="J1294" s="480"/>
    </row>
    <row r="1295" spans="1:10" ht="51" outlineLevel="2">
      <c r="A1295" s="471" t="s">
        <v>1999</v>
      </c>
      <c r="B1295" s="472" t="s">
        <v>2000</v>
      </c>
      <c r="C1295" s="473"/>
      <c r="D1295" s="472"/>
      <c r="E1295" s="474">
        <v>8760</v>
      </c>
      <c r="F1295" s="474">
        <v>2435.8234699999998</v>
      </c>
      <c r="G1295" s="474">
        <v>1335.82347</v>
      </c>
      <c r="H1295" s="474">
        <v>1335.82347</v>
      </c>
      <c r="I1295" s="475">
        <v>15.25</v>
      </c>
      <c r="J1295" s="475"/>
    </row>
    <row r="1296" spans="1:10" ht="76.5" outlineLevel="3">
      <c r="A1296" s="476" t="s">
        <v>702</v>
      </c>
      <c r="B1296" s="477" t="s">
        <v>2001</v>
      </c>
      <c r="C1296" s="478"/>
      <c r="D1296" s="477"/>
      <c r="E1296" s="479">
        <v>1100</v>
      </c>
      <c r="F1296" s="479">
        <v>1100</v>
      </c>
      <c r="G1296" s="479">
        <v>0</v>
      </c>
      <c r="H1296" s="479">
        <v>0</v>
      </c>
      <c r="I1296" s="480">
        <v>0</v>
      </c>
      <c r="J1296" s="480"/>
    </row>
    <row r="1297" spans="1:10" ht="76.5" outlineLevel="4">
      <c r="A1297" s="481" t="s">
        <v>702</v>
      </c>
      <c r="B1297" s="482" t="s">
        <v>2001</v>
      </c>
      <c r="C1297" s="483" t="s">
        <v>1802</v>
      </c>
      <c r="D1297" s="482" t="s">
        <v>1803</v>
      </c>
      <c r="E1297" s="484">
        <v>1100</v>
      </c>
      <c r="F1297" s="484">
        <v>1100</v>
      </c>
      <c r="G1297" s="484">
        <v>0</v>
      </c>
      <c r="H1297" s="484">
        <v>0</v>
      </c>
      <c r="I1297" s="480">
        <v>0</v>
      </c>
      <c r="J1297" s="480"/>
    </row>
    <row r="1298" spans="1:10" ht="51" outlineLevel="3">
      <c r="A1298" s="476" t="s">
        <v>2002</v>
      </c>
      <c r="B1298" s="477" t="s">
        <v>2003</v>
      </c>
      <c r="C1298" s="478"/>
      <c r="D1298" s="477"/>
      <c r="E1298" s="479">
        <v>7660</v>
      </c>
      <c r="F1298" s="479">
        <v>1335.82347</v>
      </c>
      <c r="G1298" s="479">
        <v>1335.82347</v>
      </c>
      <c r="H1298" s="479">
        <v>1335.82347</v>
      </c>
      <c r="I1298" s="480">
        <v>17.440000000000001</v>
      </c>
      <c r="J1298" s="480"/>
    </row>
    <row r="1299" spans="1:10" ht="51" outlineLevel="4">
      <c r="A1299" s="481" t="s">
        <v>2002</v>
      </c>
      <c r="B1299" s="482" t="s">
        <v>2003</v>
      </c>
      <c r="C1299" s="483" t="s">
        <v>1802</v>
      </c>
      <c r="D1299" s="482" t="s">
        <v>1803</v>
      </c>
      <c r="E1299" s="484">
        <v>7660</v>
      </c>
      <c r="F1299" s="484">
        <v>1335.82347</v>
      </c>
      <c r="G1299" s="484">
        <v>1335.82347</v>
      </c>
      <c r="H1299" s="484">
        <v>1335.82347</v>
      </c>
      <c r="I1299" s="480">
        <v>17.440000000000001</v>
      </c>
      <c r="J1299" s="480"/>
    </row>
    <row r="1300" spans="1:10" ht="114.75" outlineLevel="2">
      <c r="A1300" s="471" t="s">
        <v>2004</v>
      </c>
      <c r="B1300" s="472" t="s">
        <v>2005</v>
      </c>
      <c r="C1300" s="473"/>
      <c r="D1300" s="472"/>
      <c r="E1300" s="474">
        <v>2443.7749100000001</v>
      </c>
      <c r="F1300" s="474">
        <v>1822.57491</v>
      </c>
      <c r="G1300" s="474">
        <v>116.313</v>
      </c>
      <c r="H1300" s="474">
        <v>116.313</v>
      </c>
      <c r="I1300" s="475">
        <v>4.76</v>
      </c>
      <c r="J1300" s="475"/>
    </row>
    <row r="1301" spans="1:10" ht="25.5" outlineLevel="3">
      <c r="A1301" s="476" t="s">
        <v>713</v>
      </c>
      <c r="B1301" s="477" t="s">
        <v>2006</v>
      </c>
      <c r="C1301" s="478"/>
      <c r="D1301" s="477"/>
      <c r="E1301" s="479">
        <v>1381.42715</v>
      </c>
      <c r="F1301" s="479">
        <v>1381.42715</v>
      </c>
      <c r="G1301" s="479">
        <v>0</v>
      </c>
      <c r="H1301" s="479">
        <v>0</v>
      </c>
      <c r="I1301" s="480">
        <v>0</v>
      </c>
      <c r="J1301" s="480"/>
    </row>
    <row r="1302" spans="1:10" ht="38.25" outlineLevel="4">
      <c r="A1302" s="481" t="s">
        <v>713</v>
      </c>
      <c r="B1302" s="482" t="s">
        <v>2006</v>
      </c>
      <c r="C1302" s="483" t="s">
        <v>1802</v>
      </c>
      <c r="D1302" s="482" t="s">
        <v>1803</v>
      </c>
      <c r="E1302" s="484">
        <v>1381.42715</v>
      </c>
      <c r="F1302" s="484">
        <v>1381.42715</v>
      </c>
      <c r="G1302" s="484">
        <v>0</v>
      </c>
      <c r="H1302" s="484">
        <v>0</v>
      </c>
      <c r="I1302" s="480">
        <v>0</v>
      </c>
      <c r="J1302" s="480"/>
    </row>
    <row r="1303" spans="1:10" ht="38.25" outlineLevel="3">
      <c r="A1303" s="476" t="s">
        <v>1997</v>
      </c>
      <c r="B1303" s="477" t="s">
        <v>2007</v>
      </c>
      <c r="C1303" s="478"/>
      <c r="D1303" s="477"/>
      <c r="E1303" s="479">
        <v>712.96</v>
      </c>
      <c r="F1303" s="479">
        <v>262.95999999999998</v>
      </c>
      <c r="G1303" s="479">
        <v>116.313</v>
      </c>
      <c r="H1303" s="479">
        <v>116.313</v>
      </c>
      <c r="I1303" s="480">
        <v>16.309999999999999</v>
      </c>
      <c r="J1303" s="480"/>
    </row>
    <row r="1304" spans="1:10" ht="38.25" outlineLevel="4">
      <c r="A1304" s="481" t="s">
        <v>1997</v>
      </c>
      <c r="B1304" s="482" t="s">
        <v>2007</v>
      </c>
      <c r="C1304" s="483" t="s">
        <v>1802</v>
      </c>
      <c r="D1304" s="482" t="s">
        <v>1803</v>
      </c>
      <c r="E1304" s="484">
        <v>450</v>
      </c>
      <c r="F1304" s="484">
        <v>0</v>
      </c>
      <c r="G1304" s="484">
        <v>0</v>
      </c>
      <c r="H1304" s="484">
        <v>0</v>
      </c>
      <c r="I1304" s="480">
        <v>0</v>
      </c>
      <c r="J1304" s="480"/>
    </row>
    <row r="1305" spans="1:10" ht="38.25" outlineLevel="4">
      <c r="A1305" s="481" t="s">
        <v>1997</v>
      </c>
      <c r="B1305" s="482" t="s">
        <v>2007</v>
      </c>
      <c r="C1305" s="483" t="s">
        <v>2008</v>
      </c>
      <c r="D1305" s="482" t="s">
        <v>2009</v>
      </c>
      <c r="E1305" s="484">
        <v>262.95999999999998</v>
      </c>
      <c r="F1305" s="484">
        <v>262.95999999999998</v>
      </c>
      <c r="G1305" s="484">
        <v>116.313</v>
      </c>
      <c r="H1305" s="484">
        <v>116.313</v>
      </c>
      <c r="I1305" s="480">
        <v>44.23</v>
      </c>
      <c r="J1305" s="480"/>
    </row>
    <row r="1306" spans="1:10" ht="38.25" outlineLevel="3">
      <c r="A1306" s="476" t="s">
        <v>2010</v>
      </c>
      <c r="B1306" s="477" t="s">
        <v>2011</v>
      </c>
      <c r="C1306" s="478"/>
      <c r="D1306" s="477"/>
      <c r="E1306" s="479">
        <v>349.38776000000001</v>
      </c>
      <c r="F1306" s="479">
        <v>178.18776</v>
      </c>
      <c r="G1306" s="479">
        <v>0</v>
      </c>
      <c r="H1306" s="479">
        <v>0</v>
      </c>
      <c r="I1306" s="480">
        <v>0</v>
      </c>
      <c r="J1306" s="480"/>
    </row>
    <row r="1307" spans="1:10" ht="38.25" outlineLevel="4">
      <c r="A1307" s="481" t="s">
        <v>2010</v>
      </c>
      <c r="B1307" s="482" t="s">
        <v>2011</v>
      </c>
      <c r="C1307" s="483" t="s">
        <v>1802</v>
      </c>
      <c r="D1307" s="482" t="s">
        <v>1803</v>
      </c>
      <c r="E1307" s="484">
        <v>349.38776000000001</v>
      </c>
      <c r="F1307" s="484">
        <v>178.18776</v>
      </c>
      <c r="G1307" s="484">
        <v>0</v>
      </c>
      <c r="H1307" s="484">
        <v>0</v>
      </c>
      <c r="I1307" s="480">
        <v>0</v>
      </c>
      <c r="J1307" s="480"/>
    </row>
    <row r="1308" spans="1:10" ht="63.75" outlineLevel="2">
      <c r="A1308" s="471" t="s">
        <v>2012</v>
      </c>
      <c r="B1308" s="472" t="s">
        <v>2013</v>
      </c>
      <c r="C1308" s="473"/>
      <c r="D1308" s="472"/>
      <c r="E1308" s="474">
        <v>11995.5</v>
      </c>
      <c r="F1308" s="474">
        <v>11995.5</v>
      </c>
      <c r="G1308" s="474">
        <v>6200</v>
      </c>
      <c r="H1308" s="474">
        <v>6200</v>
      </c>
      <c r="I1308" s="475">
        <v>51.69</v>
      </c>
      <c r="J1308" s="475"/>
    </row>
    <row r="1309" spans="1:10" ht="76.5" outlineLevel="3">
      <c r="A1309" s="476" t="s">
        <v>702</v>
      </c>
      <c r="B1309" s="477" t="s">
        <v>2014</v>
      </c>
      <c r="C1309" s="478"/>
      <c r="D1309" s="477"/>
      <c r="E1309" s="479">
        <v>11920.5</v>
      </c>
      <c r="F1309" s="479">
        <v>11920.5</v>
      </c>
      <c r="G1309" s="479">
        <v>6200</v>
      </c>
      <c r="H1309" s="479">
        <v>6200</v>
      </c>
      <c r="I1309" s="480">
        <v>52.01</v>
      </c>
      <c r="J1309" s="480"/>
    </row>
    <row r="1310" spans="1:10" ht="76.5" outlineLevel="4">
      <c r="A1310" s="481" t="s">
        <v>702</v>
      </c>
      <c r="B1310" s="482" t="s">
        <v>2014</v>
      </c>
      <c r="C1310" s="483" t="s">
        <v>1802</v>
      </c>
      <c r="D1310" s="482" t="s">
        <v>1803</v>
      </c>
      <c r="E1310" s="484">
        <v>11920.5</v>
      </c>
      <c r="F1310" s="484">
        <v>11920.5</v>
      </c>
      <c r="G1310" s="484">
        <v>6200</v>
      </c>
      <c r="H1310" s="484">
        <v>6200</v>
      </c>
      <c r="I1310" s="480">
        <v>52.01</v>
      </c>
      <c r="J1310" s="480"/>
    </row>
    <row r="1311" spans="1:10" ht="25.5" outlineLevel="3">
      <c r="A1311" s="476" t="s">
        <v>713</v>
      </c>
      <c r="B1311" s="477" t="s">
        <v>2015</v>
      </c>
      <c r="C1311" s="478"/>
      <c r="D1311" s="477"/>
      <c r="E1311" s="479">
        <v>75</v>
      </c>
      <c r="F1311" s="479">
        <v>75</v>
      </c>
      <c r="G1311" s="479">
        <v>0</v>
      </c>
      <c r="H1311" s="479">
        <v>0</v>
      </c>
      <c r="I1311" s="480">
        <v>0</v>
      </c>
      <c r="J1311" s="480"/>
    </row>
    <row r="1312" spans="1:10" ht="38.25" outlineLevel="4">
      <c r="A1312" s="481" t="s">
        <v>713</v>
      </c>
      <c r="B1312" s="482" t="s">
        <v>2015</v>
      </c>
      <c r="C1312" s="483" t="s">
        <v>1802</v>
      </c>
      <c r="D1312" s="482" t="s">
        <v>1803</v>
      </c>
      <c r="E1312" s="484">
        <v>75</v>
      </c>
      <c r="F1312" s="484">
        <v>75</v>
      </c>
      <c r="G1312" s="484">
        <v>0</v>
      </c>
      <c r="H1312" s="484">
        <v>0</v>
      </c>
      <c r="I1312" s="480">
        <v>0</v>
      </c>
      <c r="J1312" s="480"/>
    </row>
    <row r="1313" spans="1:10" ht="63.75" outlineLevel="2">
      <c r="A1313" s="471" t="s">
        <v>2016</v>
      </c>
      <c r="B1313" s="472" t="s">
        <v>2017</v>
      </c>
      <c r="C1313" s="473"/>
      <c r="D1313" s="472"/>
      <c r="E1313" s="474">
        <v>151462.44680999999</v>
      </c>
      <c r="F1313" s="474">
        <v>151462.44680999999</v>
      </c>
      <c r="G1313" s="474">
        <v>151462.44680999999</v>
      </c>
      <c r="H1313" s="474">
        <v>151462.44680999999</v>
      </c>
      <c r="I1313" s="475">
        <v>100</v>
      </c>
      <c r="J1313" s="475"/>
    </row>
    <row r="1314" spans="1:10" ht="76.5" outlineLevel="3">
      <c r="A1314" s="476" t="s">
        <v>2018</v>
      </c>
      <c r="B1314" s="477" t="s">
        <v>2019</v>
      </c>
      <c r="C1314" s="478"/>
      <c r="D1314" s="477"/>
      <c r="E1314" s="479">
        <v>5166.0638300000001</v>
      </c>
      <c r="F1314" s="479">
        <v>5166.0638300000001</v>
      </c>
      <c r="G1314" s="479">
        <v>5166.0638300000001</v>
      </c>
      <c r="H1314" s="479">
        <v>5166.0638300000001</v>
      </c>
      <c r="I1314" s="480">
        <v>100</v>
      </c>
      <c r="J1314" s="480"/>
    </row>
    <row r="1315" spans="1:10" ht="76.5" outlineLevel="4">
      <c r="A1315" s="481" t="s">
        <v>2018</v>
      </c>
      <c r="B1315" s="482" t="s">
        <v>2019</v>
      </c>
      <c r="C1315" s="483" t="s">
        <v>1802</v>
      </c>
      <c r="D1315" s="482" t="s">
        <v>1803</v>
      </c>
      <c r="E1315" s="484">
        <v>5166.0638300000001</v>
      </c>
      <c r="F1315" s="484">
        <v>5166.0638300000001</v>
      </c>
      <c r="G1315" s="484">
        <v>5166.0638300000001</v>
      </c>
      <c r="H1315" s="484">
        <v>5166.0638300000001</v>
      </c>
      <c r="I1315" s="480">
        <v>100</v>
      </c>
      <c r="J1315" s="485" t="s">
        <v>10</v>
      </c>
    </row>
    <row r="1316" spans="1:10" ht="38.25" outlineLevel="3">
      <c r="A1316" s="476" t="s">
        <v>2020</v>
      </c>
      <c r="B1316" s="477" t="s">
        <v>2021</v>
      </c>
      <c r="C1316" s="478"/>
      <c r="D1316" s="477"/>
      <c r="E1316" s="479">
        <v>146296.38297999999</v>
      </c>
      <c r="F1316" s="479">
        <v>146296.38297999999</v>
      </c>
      <c r="G1316" s="479">
        <v>146296.38297999999</v>
      </c>
      <c r="H1316" s="479">
        <v>146296.38297999999</v>
      </c>
      <c r="I1316" s="480">
        <v>100</v>
      </c>
      <c r="J1316" s="480"/>
    </row>
    <row r="1317" spans="1:10" ht="38.25" outlineLevel="4">
      <c r="A1317" s="481" t="s">
        <v>2020</v>
      </c>
      <c r="B1317" s="482" t="s">
        <v>2021</v>
      </c>
      <c r="C1317" s="483" t="s">
        <v>1802</v>
      </c>
      <c r="D1317" s="482" t="s">
        <v>1803</v>
      </c>
      <c r="E1317" s="484">
        <v>146296.38297999999</v>
      </c>
      <c r="F1317" s="484">
        <v>146296.38297999999</v>
      </c>
      <c r="G1317" s="484">
        <v>146296.38297999999</v>
      </c>
      <c r="H1317" s="484">
        <v>146296.38297999999</v>
      </c>
      <c r="I1317" s="480">
        <v>100</v>
      </c>
      <c r="J1317" s="485" t="s">
        <v>10</v>
      </c>
    </row>
    <row r="1318" spans="1:10" ht="38.25" outlineLevel="2">
      <c r="A1318" s="471" t="s">
        <v>2022</v>
      </c>
      <c r="B1318" s="472" t="s">
        <v>2023</v>
      </c>
      <c r="C1318" s="473"/>
      <c r="D1318" s="472"/>
      <c r="E1318" s="474">
        <v>141899.50644999999</v>
      </c>
      <c r="F1318" s="474">
        <v>141899.50644999999</v>
      </c>
      <c r="G1318" s="474">
        <v>107771.5818</v>
      </c>
      <c r="H1318" s="474">
        <v>107771.5818</v>
      </c>
      <c r="I1318" s="475">
        <v>75.95</v>
      </c>
      <c r="J1318" s="475"/>
    </row>
    <row r="1319" spans="1:10" ht="76.5" outlineLevel="3">
      <c r="A1319" s="476" t="s">
        <v>2018</v>
      </c>
      <c r="B1319" s="477" t="s">
        <v>2024</v>
      </c>
      <c r="C1319" s="478"/>
      <c r="D1319" s="477"/>
      <c r="E1319" s="479">
        <v>141899.50644999999</v>
      </c>
      <c r="F1319" s="479">
        <v>141899.50644999999</v>
      </c>
      <c r="G1319" s="479">
        <v>107771.5818</v>
      </c>
      <c r="H1319" s="479">
        <v>107771.5818</v>
      </c>
      <c r="I1319" s="480">
        <v>75.95</v>
      </c>
      <c r="J1319" s="480"/>
    </row>
    <row r="1320" spans="1:10" ht="76.5" outlineLevel="4">
      <c r="A1320" s="481" t="s">
        <v>2018</v>
      </c>
      <c r="B1320" s="482" t="s">
        <v>2024</v>
      </c>
      <c r="C1320" s="483" t="s">
        <v>1802</v>
      </c>
      <c r="D1320" s="482" t="s">
        <v>1803</v>
      </c>
      <c r="E1320" s="484">
        <v>95222.995450000002</v>
      </c>
      <c r="F1320" s="484">
        <v>95222.995450000002</v>
      </c>
      <c r="G1320" s="484">
        <v>90967.676300000006</v>
      </c>
      <c r="H1320" s="484">
        <v>90967.676300000006</v>
      </c>
      <c r="I1320" s="480">
        <v>95.53</v>
      </c>
      <c r="J1320" s="485" t="s">
        <v>10</v>
      </c>
    </row>
    <row r="1321" spans="1:10" ht="76.5" outlineLevel="4">
      <c r="A1321" s="481" t="s">
        <v>2018</v>
      </c>
      <c r="B1321" s="482" t="s">
        <v>2024</v>
      </c>
      <c r="C1321" s="483" t="s">
        <v>2025</v>
      </c>
      <c r="D1321" s="482" t="s">
        <v>2026</v>
      </c>
      <c r="E1321" s="484">
        <v>46676.510999999999</v>
      </c>
      <c r="F1321" s="484">
        <v>46676.510999999999</v>
      </c>
      <c r="G1321" s="484">
        <v>16803.905500000001</v>
      </c>
      <c r="H1321" s="484">
        <v>16803.905500000001</v>
      </c>
      <c r="I1321" s="480">
        <v>36</v>
      </c>
      <c r="J1321" s="485" t="s">
        <v>10</v>
      </c>
    </row>
    <row r="1322" spans="1:10" ht="25.5" outlineLevel="2">
      <c r="A1322" s="471" t="s">
        <v>2027</v>
      </c>
      <c r="B1322" s="472" t="s">
        <v>2028</v>
      </c>
      <c r="C1322" s="473"/>
      <c r="D1322" s="472"/>
      <c r="E1322" s="474">
        <v>6785.9574499999999</v>
      </c>
      <c r="F1322" s="474">
        <v>6785.9574499999999</v>
      </c>
      <c r="G1322" s="474">
        <v>6785.9574499999999</v>
      </c>
      <c r="H1322" s="474">
        <v>6785.9574499999999</v>
      </c>
      <c r="I1322" s="475">
        <v>100</v>
      </c>
      <c r="J1322" s="475"/>
    </row>
    <row r="1323" spans="1:10" ht="76.5" outlineLevel="3">
      <c r="A1323" s="476" t="s">
        <v>2018</v>
      </c>
      <c r="B1323" s="477" t="s">
        <v>2029</v>
      </c>
      <c r="C1323" s="478"/>
      <c r="D1323" s="477"/>
      <c r="E1323" s="479">
        <v>6785.9574499999999</v>
      </c>
      <c r="F1323" s="479">
        <v>6785.9574499999999</v>
      </c>
      <c r="G1323" s="479">
        <v>6785.9574499999999</v>
      </c>
      <c r="H1323" s="479">
        <v>6785.9574499999999</v>
      </c>
      <c r="I1323" s="480">
        <v>100</v>
      </c>
      <c r="J1323" s="480"/>
    </row>
    <row r="1324" spans="1:10" ht="76.5" outlineLevel="4">
      <c r="A1324" s="481" t="s">
        <v>2018</v>
      </c>
      <c r="B1324" s="482" t="s">
        <v>2029</v>
      </c>
      <c r="C1324" s="483" t="s">
        <v>1802</v>
      </c>
      <c r="D1324" s="482" t="s">
        <v>1803</v>
      </c>
      <c r="E1324" s="484">
        <v>6785.9574499999999</v>
      </c>
      <c r="F1324" s="484">
        <v>6785.9574499999999</v>
      </c>
      <c r="G1324" s="484">
        <v>6785.9574499999999</v>
      </c>
      <c r="H1324" s="484">
        <v>6785.9574499999999</v>
      </c>
      <c r="I1324" s="480">
        <v>100</v>
      </c>
      <c r="J1324" s="485" t="s">
        <v>10</v>
      </c>
    </row>
    <row r="1325" spans="1:10" ht="38.25" outlineLevel="1">
      <c r="A1325" s="466" t="s">
        <v>2030</v>
      </c>
      <c r="B1325" s="467" t="s">
        <v>2031</v>
      </c>
      <c r="C1325" s="468"/>
      <c r="D1325" s="467"/>
      <c r="E1325" s="469">
        <v>131875.60024</v>
      </c>
      <c r="F1325" s="469">
        <v>1314.2</v>
      </c>
      <c r="G1325" s="469">
        <v>1005.263</v>
      </c>
      <c r="H1325" s="469">
        <v>1005.263</v>
      </c>
      <c r="I1325" s="470">
        <v>0.76</v>
      </c>
      <c r="J1325" s="470"/>
    </row>
    <row r="1326" spans="1:10" ht="38.25" outlineLevel="2">
      <c r="A1326" s="471" t="s">
        <v>2032</v>
      </c>
      <c r="B1326" s="472" t="s">
        <v>2033</v>
      </c>
      <c r="C1326" s="473"/>
      <c r="D1326" s="472"/>
      <c r="E1326" s="474">
        <v>1000</v>
      </c>
      <c r="F1326" s="474">
        <v>1000</v>
      </c>
      <c r="G1326" s="474">
        <v>1000</v>
      </c>
      <c r="H1326" s="474">
        <v>1000</v>
      </c>
      <c r="I1326" s="475">
        <v>100</v>
      </c>
      <c r="J1326" s="475"/>
    </row>
    <row r="1327" spans="1:10" ht="38.25" outlineLevel="3">
      <c r="A1327" s="476" t="s">
        <v>1997</v>
      </c>
      <c r="B1327" s="477" t="s">
        <v>2034</v>
      </c>
      <c r="C1327" s="478"/>
      <c r="D1327" s="477"/>
      <c r="E1327" s="479">
        <v>1000</v>
      </c>
      <c r="F1327" s="479">
        <v>1000</v>
      </c>
      <c r="G1327" s="479">
        <v>1000</v>
      </c>
      <c r="H1327" s="479">
        <v>1000</v>
      </c>
      <c r="I1327" s="480">
        <v>100</v>
      </c>
      <c r="J1327" s="480"/>
    </row>
    <row r="1328" spans="1:10" ht="38.25" outlineLevel="4">
      <c r="A1328" s="481" t="s">
        <v>1997</v>
      </c>
      <c r="B1328" s="482" t="s">
        <v>2034</v>
      </c>
      <c r="C1328" s="483" t="s">
        <v>1802</v>
      </c>
      <c r="D1328" s="482" t="s">
        <v>1803</v>
      </c>
      <c r="E1328" s="484">
        <v>1000</v>
      </c>
      <c r="F1328" s="484">
        <v>1000</v>
      </c>
      <c r="G1328" s="484">
        <v>1000</v>
      </c>
      <c r="H1328" s="484">
        <v>1000</v>
      </c>
      <c r="I1328" s="480">
        <v>100</v>
      </c>
      <c r="J1328" s="480"/>
    </row>
    <row r="1329" spans="1:10" ht="51" outlineLevel="2">
      <c r="A1329" s="471" t="s">
        <v>2035</v>
      </c>
      <c r="B1329" s="472" t="s">
        <v>2036</v>
      </c>
      <c r="C1329" s="473"/>
      <c r="D1329" s="472"/>
      <c r="E1329" s="474">
        <v>130875.60024</v>
      </c>
      <c r="F1329" s="474">
        <v>314.2</v>
      </c>
      <c r="G1329" s="474">
        <v>5.2629999999999999</v>
      </c>
      <c r="H1329" s="474">
        <v>5.2629999999999999</v>
      </c>
      <c r="I1329" s="475">
        <v>0</v>
      </c>
      <c r="J1329" s="475"/>
    </row>
    <row r="1330" spans="1:10" ht="25.5" outlineLevel="3">
      <c r="A1330" s="476" t="s">
        <v>713</v>
      </c>
      <c r="B1330" s="477" t="s">
        <v>2037</v>
      </c>
      <c r="C1330" s="478"/>
      <c r="D1330" s="477"/>
      <c r="E1330" s="479">
        <v>21861.06</v>
      </c>
      <c r="F1330" s="479">
        <v>314.2</v>
      </c>
      <c r="G1330" s="479">
        <v>5.2629999999999999</v>
      </c>
      <c r="H1330" s="479">
        <v>5.2629999999999999</v>
      </c>
      <c r="I1330" s="480">
        <v>0.02</v>
      </c>
      <c r="J1330" s="480"/>
    </row>
    <row r="1331" spans="1:10" ht="25.5" outlineLevel="4">
      <c r="A1331" s="481" t="s">
        <v>713</v>
      </c>
      <c r="B1331" s="482" t="s">
        <v>2037</v>
      </c>
      <c r="C1331" s="483" t="s">
        <v>711</v>
      </c>
      <c r="D1331" s="482" t="s">
        <v>712</v>
      </c>
      <c r="E1331" s="484">
        <v>21861.06</v>
      </c>
      <c r="F1331" s="484">
        <v>314.2</v>
      </c>
      <c r="G1331" s="484">
        <v>5.2629999999999999</v>
      </c>
      <c r="H1331" s="484">
        <v>5.2629999999999999</v>
      </c>
      <c r="I1331" s="480">
        <v>0.02</v>
      </c>
      <c r="J1331" s="480"/>
    </row>
    <row r="1332" spans="1:10" ht="51" outlineLevel="3">
      <c r="A1332" s="476" t="s">
        <v>2038</v>
      </c>
      <c r="B1332" s="477" t="s">
        <v>2039</v>
      </c>
      <c r="C1332" s="478"/>
      <c r="D1332" s="477"/>
      <c r="E1332" s="479">
        <v>109014.54024</v>
      </c>
      <c r="F1332" s="479">
        <v>0</v>
      </c>
      <c r="G1332" s="479">
        <v>0</v>
      </c>
      <c r="H1332" s="479">
        <v>0</v>
      </c>
      <c r="I1332" s="480">
        <v>0</v>
      </c>
      <c r="J1332" s="480"/>
    </row>
    <row r="1333" spans="1:10" ht="51" outlineLevel="4">
      <c r="A1333" s="481" t="s">
        <v>2038</v>
      </c>
      <c r="B1333" s="482" t="s">
        <v>2039</v>
      </c>
      <c r="C1333" s="483" t="s">
        <v>711</v>
      </c>
      <c r="D1333" s="482" t="s">
        <v>712</v>
      </c>
      <c r="E1333" s="484">
        <v>109014.54024</v>
      </c>
      <c r="F1333" s="484">
        <v>0</v>
      </c>
      <c r="G1333" s="484">
        <v>0</v>
      </c>
      <c r="H1333" s="484">
        <v>0</v>
      </c>
      <c r="I1333" s="480">
        <v>0</v>
      </c>
      <c r="J1333" s="480"/>
    </row>
    <row r="1334" spans="1:10" ht="38.25" outlineLevel="1">
      <c r="A1334" s="466" t="s">
        <v>2040</v>
      </c>
      <c r="B1334" s="467" t="s">
        <v>2041</v>
      </c>
      <c r="C1334" s="468"/>
      <c r="D1334" s="467"/>
      <c r="E1334" s="469">
        <v>238525.40309000001</v>
      </c>
      <c r="F1334" s="469">
        <v>208971.76673</v>
      </c>
      <c r="G1334" s="469">
        <v>35077.083169999998</v>
      </c>
      <c r="H1334" s="469">
        <v>32427.108950000002</v>
      </c>
      <c r="I1334" s="470">
        <v>13.59</v>
      </c>
      <c r="J1334" s="470"/>
    </row>
    <row r="1335" spans="1:10" ht="114.75" outlineLevel="2">
      <c r="A1335" s="471" t="s">
        <v>2042</v>
      </c>
      <c r="B1335" s="472" t="s">
        <v>2043</v>
      </c>
      <c r="C1335" s="473"/>
      <c r="D1335" s="472"/>
      <c r="E1335" s="474">
        <v>43744.2</v>
      </c>
      <c r="F1335" s="474">
        <v>31009.200000000001</v>
      </c>
      <c r="G1335" s="474">
        <v>20455.00533</v>
      </c>
      <c r="H1335" s="474">
        <v>20455.00533</v>
      </c>
      <c r="I1335" s="475">
        <v>46.76</v>
      </c>
      <c r="J1335" s="475"/>
    </row>
    <row r="1336" spans="1:10" ht="25.5" outlineLevel="3">
      <c r="A1336" s="476" t="s">
        <v>713</v>
      </c>
      <c r="B1336" s="477" t="s">
        <v>2044</v>
      </c>
      <c r="C1336" s="478"/>
      <c r="D1336" s="477"/>
      <c r="E1336" s="479">
        <v>2014.2</v>
      </c>
      <c r="F1336" s="479">
        <v>2014.2</v>
      </c>
      <c r="G1336" s="479">
        <v>0</v>
      </c>
      <c r="H1336" s="479">
        <v>0</v>
      </c>
      <c r="I1336" s="480">
        <v>0</v>
      </c>
      <c r="J1336" s="480"/>
    </row>
    <row r="1337" spans="1:10" ht="25.5" outlineLevel="4">
      <c r="A1337" s="481" t="s">
        <v>713</v>
      </c>
      <c r="B1337" s="482" t="s">
        <v>2044</v>
      </c>
      <c r="C1337" s="483" t="s">
        <v>2025</v>
      </c>
      <c r="D1337" s="482" t="s">
        <v>2026</v>
      </c>
      <c r="E1337" s="484">
        <v>2014.2</v>
      </c>
      <c r="F1337" s="484">
        <v>2014.2</v>
      </c>
      <c r="G1337" s="484">
        <v>0</v>
      </c>
      <c r="H1337" s="484">
        <v>0</v>
      </c>
      <c r="I1337" s="480">
        <v>0</v>
      </c>
      <c r="J1337" s="480"/>
    </row>
    <row r="1338" spans="1:10" ht="51" outlineLevel="3">
      <c r="A1338" s="476" t="s">
        <v>2002</v>
      </c>
      <c r="B1338" s="477" t="s">
        <v>2045</v>
      </c>
      <c r="C1338" s="478"/>
      <c r="D1338" s="477"/>
      <c r="E1338" s="479">
        <v>41730</v>
      </c>
      <c r="F1338" s="479">
        <v>28995</v>
      </c>
      <c r="G1338" s="479">
        <v>20455.00533</v>
      </c>
      <c r="H1338" s="479">
        <v>20455.00533</v>
      </c>
      <c r="I1338" s="480">
        <v>49.02</v>
      </c>
      <c r="J1338" s="480"/>
    </row>
    <row r="1339" spans="1:10" ht="51" outlineLevel="4">
      <c r="A1339" s="481" t="s">
        <v>2002</v>
      </c>
      <c r="B1339" s="482" t="s">
        <v>2045</v>
      </c>
      <c r="C1339" s="483" t="s">
        <v>896</v>
      </c>
      <c r="D1339" s="482" t="s">
        <v>897</v>
      </c>
      <c r="E1339" s="484">
        <v>20000</v>
      </c>
      <c r="F1339" s="484">
        <v>20000</v>
      </c>
      <c r="G1339" s="484">
        <v>20000</v>
      </c>
      <c r="H1339" s="484">
        <v>20000</v>
      </c>
      <c r="I1339" s="480">
        <v>100</v>
      </c>
      <c r="J1339" s="480"/>
    </row>
    <row r="1340" spans="1:10" ht="51" outlineLevel="4">
      <c r="A1340" s="481" t="s">
        <v>2002</v>
      </c>
      <c r="B1340" s="482" t="s">
        <v>2045</v>
      </c>
      <c r="C1340" s="483" t="s">
        <v>2025</v>
      </c>
      <c r="D1340" s="482" t="s">
        <v>2026</v>
      </c>
      <c r="E1340" s="484">
        <v>21730</v>
      </c>
      <c r="F1340" s="484">
        <v>8995</v>
      </c>
      <c r="G1340" s="484">
        <v>455.00533000000001</v>
      </c>
      <c r="H1340" s="484">
        <v>455.00533000000001</v>
      </c>
      <c r="I1340" s="480">
        <v>2.09</v>
      </c>
      <c r="J1340" s="480"/>
    </row>
    <row r="1341" spans="1:10" ht="38.25" outlineLevel="2">
      <c r="A1341" s="471" t="s">
        <v>2046</v>
      </c>
      <c r="B1341" s="472" t="s">
        <v>2047</v>
      </c>
      <c r="C1341" s="473"/>
      <c r="D1341" s="472"/>
      <c r="E1341" s="474">
        <v>2810.4</v>
      </c>
      <c r="F1341" s="474">
        <v>0</v>
      </c>
      <c r="G1341" s="474">
        <v>0</v>
      </c>
      <c r="H1341" s="474">
        <v>0</v>
      </c>
      <c r="I1341" s="475">
        <v>0</v>
      </c>
      <c r="J1341" s="475"/>
    </row>
    <row r="1342" spans="1:10" ht="25.5" outlineLevel="3">
      <c r="A1342" s="476" t="s">
        <v>713</v>
      </c>
      <c r="B1342" s="477" t="s">
        <v>2048</v>
      </c>
      <c r="C1342" s="478"/>
      <c r="D1342" s="477"/>
      <c r="E1342" s="479">
        <v>810.4</v>
      </c>
      <c r="F1342" s="479">
        <v>0</v>
      </c>
      <c r="G1342" s="479">
        <v>0</v>
      </c>
      <c r="H1342" s="479">
        <v>0</v>
      </c>
      <c r="I1342" s="480">
        <v>0</v>
      </c>
      <c r="J1342" s="480"/>
    </row>
    <row r="1343" spans="1:10" ht="25.5" outlineLevel="4">
      <c r="A1343" s="481" t="s">
        <v>713</v>
      </c>
      <c r="B1343" s="482" t="s">
        <v>2048</v>
      </c>
      <c r="C1343" s="483" t="s">
        <v>2049</v>
      </c>
      <c r="D1343" s="482" t="s">
        <v>2050</v>
      </c>
      <c r="E1343" s="484">
        <v>810.4</v>
      </c>
      <c r="F1343" s="484">
        <v>0</v>
      </c>
      <c r="G1343" s="484">
        <v>0</v>
      </c>
      <c r="H1343" s="484">
        <v>0</v>
      </c>
      <c r="I1343" s="480">
        <v>0</v>
      </c>
      <c r="J1343" s="480"/>
    </row>
    <row r="1344" spans="1:10" ht="51" outlineLevel="3">
      <c r="A1344" s="476" t="s">
        <v>2002</v>
      </c>
      <c r="B1344" s="477" t="s">
        <v>2051</v>
      </c>
      <c r="C1344" s="478"/>
      <c r="D1344" s="477"/>
      <c r="E1344" s="479">
        <v>2000</v>
      </c>
      <c r="F1344" s="479">
        <v>0</v>
      </c>
      <c r="G1344" s="479">
        <v>0</v>
      </c>
      <c r="H1344" s="479">
        <v>0</v>
      </c>
      <c r="I1344" s="480">
        <v>0</v>
      </c>
      <c r="J1344" s="480"/>
    </row>
    <row r="1345" spans="1:10" ht="51" outlineLevel="4">
      <c r="A1345" s="481" t="s">
        <v>2002</v>
      </c>
      <c r="B1345" s="482" t="s">
        <v>2051</v>
      </c>
      <c r="C1345" s="483" t="s">
        <v>2049</v>
      </c>
      <c r="D1345" s="482" t="s">
        <v>2050</v>
      </c>
      <c r="E1345" s="484">
        <v>2000</v>
      </c>
      <c r="F1345" s="484">
        <v>0</v>
      </c>
      <c r="G1345" s="484">
        <v>0</v>
      </c>
      <c r="H1345" s="484">
        <v>0</v>
      </c>
      <c r="I1345" s="480">
        <v>0</v>
      </c>
      <c r="J1345" s="480"/>
    </row>
    <row r="1346" spans="1:10" ht="38.25" outlineLevel="2">
      <c r="A1346" s="471" t="s">
        <v>2052</v>
      </c>
      <c r="B1346" s="472" t="s">
        <v>2053</v>
      </c>
      <c r="C1346" s="473"/>
      <c r="D1346" s="472"/>
      <c r="E1346" s="474">
        <v>23000.342079999999</v>
      </c>
      <c r="F1346" s="474">
        <v>8992.1057199999996</v>
      </c>
      <c r="G1346" s="474">
        <v>8992.1057199999996</v>
      </c>
      <c r="H1346" s="474">
        <v>6901.1350499999999</v>
      </c>
      <c r="I1346" s="475">
        <v>30</v>
      </c>
      <c r="J1346" s="475"/>
    </row>
    <row r="1347" spans="1:10" ht="25.5" outlineLevel="3">
      <c r="A1347" s="476" t="s">
        <v>713</v>
      </c>
      <c r="B1347" s="477" t="s">
        <v>2054</v>
      </c>
      <c r="C1347" s="478"/>
      <c r="D1347" s="477"/>
      <c r="E1347" s="479">
        <v>13000.34208</v>
      </c>
      <c r="F1347" s="479">
        <v>8992.1057199999996</v>
      </c>
      <c r="G1347" s="479">
        <v>8992.1057199999996</v>
      </c>
      <c r="H1347" s="479">
        <v>6901.1350499999999</v>
      </c>
      <c r="I1347" s="480">
        <v>53.08</v>
      </c>
      <c r="J1347" s="480"/>
    </row>
    <row r="1348" spans="1:10" ht="25.5" outlineLevel="4">
      <c r="A1348" s="481" t="s">
        <v>713</v>
      </c>
      <c r="B1348" s="482" t="s">
        <v>2054</v>
      </c>
      <c r="C1348" s="483" t="s">
        <v>2049</v>
      </c>
      <c r="D1348" s="482" t="s">
        <v>2050</v>
      </c>
      <c r="E1348" s="484">
        <v>13000.34208</v>
      </c>
      <c r="F1348" s="484">
        <v>8992.1057199999996</v>
      </c>
      <c r="G1348" s="484">
        <v>8992.1057199999996</v>
      </c>
      <c r="H1348" s="484">
        <v>6901.1350499999999</v>
      </c>
      <c r="I1348" s="480">
        <v>53.08</v>
      </c>
      <c r="J1348" s="480"/>
    </row>
    <row r="1349" spans="1:10" ht="25.5" outlineLevel="3">
      <c r="A1349" s="476" t="s">
        <v>2055</v>
      </c>
      <c r="B1349" s="477" t="s">
        <v>2056</v>
      </c>
      <c r="C1349" s="478"/>
      <c r="D1349" s="477"/>
      <c r="E1349" s="479">
        <v>10000</v>
      </c>
      <c r="F1349" s="479">
        <v>0</v>
      </c>
      <c r="G1349" s="479">
        <v>0</v>
      </c>
      <c r="H1349" s="479">
        <v>0</v>
      </c>
      <c r="I1349" s="480">
        <v>0</v>
      </c>
      <c r="J1349" s="480"/>
    </row>
    <row r="1350" spans="1:10" ht="25.5" outlineLevel="4">
      <c r="A1350" s="481" t="s">
        <v>2055</v>
      </c>
      <c r="B1350" s="482" t="s">
        <v>2056</v>
      </c>
      <c r="C1350" s="483" t="s">
        <v>2049</v>
      </c>
      <c r="D1350" s="482" t="s">
        <v>2050</v>
      </c>
      <c r="E1350" s="484">
        <v>10000</v>
      </c>
      <c r="F1350" s="484">
        <v>0</v>
      </c>
      <c r="G1350" s="484">
        <v>0</v>
      </c>
      <c r="H1350" s="484">
        <v>0</v>
      </c>
      <c r="I1350" s="480">
        <v>0</v>
      </c>
      <c r="J1350" s="480"/>
    </row>
    <row r="1351" spans="1:10" ht="38.25" outlineLevel="2">
      <c r="A1351" s="471" t="s">
        <v>2057</v>
      </c>
      <c r="B1351" s="472" t="s">
        <v>2058</v>
      </c>
      <c r="C1351" s="473"/>
      <c r="D1351" s="472"/>
      <c r="E1351" s="474">
        <v>168182.80601</v>
      </c>
      <c r="F1351" s="474">
        <v>168182.80601</v>
      </c>
      <c r="G1351" s="474">
        <v>4847.9731199999997</v>
      </c>
      <c r="H1351" s="474">
        <v>4847.9731199999997</v>
      </c>
      <c r="I1351" s="475">
        <v>2.88</v>
      </c>
      <c r="J1351" s="475"/>
    </row>
    <row r="1352" spans="1:10" ht="38.25" outlineLevel="3">
      <c r="A1352" s="476" t="s">
        <v>982</v>
      </c>
      <c r="B1352" s="477" t="s">
        <v>2059</v>
      </c>
      <c r="C1352" s="478"/>
      <c r="D1352" s="477"/>
      <c r="E1352" s="479">
        <v>3501</v>
      </c>
      <c r="F1352" s="479">
        <v>3501</v>
      </c>
      <c r="G1352" s="479">
        <v>0</v>
      </c>
      <c r="H1352" s="479">
        <v>0</v>
      </c>
      <c r="I1352" s="480">
        <v>0</v>
      </c>
      <c r="J1352" s="480"/>
    </row>
    <row r="1353" spans="1:10" ht="38.25" outlineLevel="4">
      <c r="A1353" s="481" t="s">
        <v>982</v>
      </c>
      <c r="B1353" s="482" t="s">
        <v>2059</v>
      </c>
      <c r="C1353" s="483" t="s">
        <v>803</v>
      </c>
      <c r="D1353" s="482" t="s">
        <v>804</v>
      </c>
      <c r="E1353" s="484">
        <v>3501</v>
      </c>
      <c r="F1353" s="484">
        <v>3501</v>
      </c>
      <c r="G1353" s="484">
        <v>0</v>
      </c>
      <c r="H1353" s="484">
        <v>0</v>
      </c>
      <c r="I1353" s="480">
        <v>0</v>
      </c>
      <c r="J1353" s="480"/>
    </row>
    <row r="1354" spans="1:10" ht="89.25" outlineLevel="3">
      <c r="A1354" s="476" t="s">
        <v>2060</v>
      </c>
      <c r="B1354" s="477" t="s">
        <v>2061</v>
      </c>
      <c r="C1354" s="478"/>
      <c r="D1354" s="477"/>
      <c r="E1354" s="479">
        <v>164681.80601</v>
      </c>
      <c r="F1354" s="479">
        <v>164681.80601</v>
      </c>
      <c r="G1354" s="479">
        <v>4847.9731199999997</v>
      </c>
      <c r="H1354" s="479">
        <v>4847.9731199999997</v>
      </c>
      <c r="I1354" s="480">
        <v>2.94</v>
      </c>
      <c r="J1354" s="480"/>
    </row>
    <row r="1355" spans="1:10" ht="89.25" outlineLevel="4">
      <c r="A1355" s="481" t="s">
        <v>2060</v>
      </c>
      <c r="B1355" s="482" t="s">
        <v>2061</v>
      </c>
      <c r="C1355" s="483" t="s">
        <v>803</v>
      </c>
      <c r="D1355" s="482" t="s">
        <v>804</v>
      </c>
      <c r="E1355" s="484">
        <v>164681.80601</v>
      </c>
      <c r="F1355" s="484">
        <v>164681.80601</v>
      </c>
      <c r="G1355" s="484">
        <v>4847.9731199999997</v>
      </c>
      <c r="H1355" s="484">
        <v>4847.9731199999997</v>
      </c>
      <c r="I1355" s="480">
        <v>2.94</v>
      </c>
      <c r="J1355" s="480"/>
    </row>
    <row r="1356" spans="1:10" ht="38.25" outlineLevel="2">
      <c r="A1356" s="471" t="s">
        <v>2062</v>
      </c>
      <c r="B1356" s="472" t="s">
        <v>2063</v>
      </c>
      <c r="C1356" s="473"/>
      <c r="D1356" s="472"/>
      <c r="E1356" s="474">
        <v>787.65499999999997</v>
      </c>
      <c r="F1356" s="474">
        <v>787.65499999999997</v>
      </c>
      <c r="G1356" s="474">
        <v>781.99900000000002</v>
      </c>
      <c r="H1356" s="474">
        <v>222.99545000000001</v>
      </c>
      <c r="I1356" s="475">
        <v>28.31</v>
      </c>
      <c r="J1356" s="475"/>
    </row>
    <row r="1357" spans="1:10" ht="102" outlineLevel="3">
      <c r="A1357" s="476" t="s">
        <v>2064</v>
      </c>
      <c r="B1357" s="477" t="s">
        <v>2065</v>
      </c>
      <c r="C1357" s="478"/>
      <c r="D1357" s="477"/>
      <c r="E1357" s="479">
        <v>787.65499999999997</v>
      </c>
      <c r="F1357" s="479">
        <v>787.65499999999997</v>
      </c>
      <c r="G1357" s="479">
        <v>781.99900000000002</v>
      </c>
      <c r="H1357" s="479">
        <v>222.99545000000001</v>
      </c>
      <c r="I1357" s="480">
        <v>28.31</v>
      </c>
      <c r="J1357" s="480"/>
    </row>
    <row r="1358" spans="1:10" ht="102" outlineLevel="4">
      <c r="A1358" s="481" t="s">
        <v>2064</v>
      </c>
      <c r="B1358" s="482" t="s">
        <v>2065</v>
      </c>
      <c r="C1358" s="483" t="s">
        <v>2025</v>
      </c>
      <c r="D1358" s="482" t="s">
        <v>2026</v>
      </c>
      <c r="E1358" s="484">
        <v>787.65499999999997</v>
      </c>
      <c r="F1358" s="484">
        <v>787.65499999999997</v>
      </c>
      <c r="G1358" s="484">
        <v>781.99900000000002</v>
      </c>
      <c r="H1358" s="484">
        <v>222.99545000000001</v>
      </c>
      <c r="I1358" s="480">
        <v>28.31</v>
      </c>
      <c r="J1358" s="480"/>
    </row>
    <row r="1359" spans="1:10" ht="38.25" outlineLevel="1">
      <c r="A1359" s="466" t="s">
        <v>2066</v>
      </c>
      <c r="B1359" s="467" t="s">
        <v>2067</v>
      </c>
      <c r="C1359" s="468"/>
      <c r="D1359" s="467"/>
      <c r="E1359" s="469">
        <v>7460</v>
      </c>
      <c r="F1359" s="469">
        <v>3460</v>
      </c>
      <c r="G1359" s="469">
        <v>950</v>
      </c>
      <c r="H1359" s="469">
        <v>950</v>
      </c>
      <c r="I1359" s="470">
        <v>12.73</v>
      </c>
      <c r="J1359" s="470"/>
    </row>
    <row r="1360" spans="1:10" ht="51" outlineLevel="2">
      <c r="A1360" s="471" t="s">
        <v>2068</v>
      </c>
      <c r="B1360" s="472" t="s">
        <v>2069</v>
      </c>
      <c r="C1360" s="473"/>
      <c r="D1360" s="472"/>
      <c r="E1360" s="474">
        <v>4000</v>
      </c>
      <c r="F1360" s="474">
        <v>0</v>
      </c>
      <c r="G1360" s="474">
        <v>0</v>
      </c>
      <c r="H1360" s="474">
        <v>0</v>
      </c>
      <c r="I1360" s="475">
        <v>0</v>
      </c>
      <c r="J1360" s="475"/>
    </row>
    <row r="1361" spans="1:10" ht="114.75" outlineLevel="3">
      <c r="A1361" s="476" t="s">
        <v>2070</v>
      </c>
      <c r="B1361" s="477" t="s">
        <v>2071</v>
      </c>
      <c r="C1361" s="478"/>
      <c r="D1361" s="477"/>
      <c r="E1361" s="479">
        <v>4000</v>
      </c>
      <c r="F1361" s="479">
        <v>0</v>
      </c>
      <c r="G1361" s="479">
        <v>0</v>
      </c>
      <c r="H1361" s="479">
        <v>0</v>
      </c>
      <c r="I1361" s="480">
        <v>0</v>
      </c>
      <c r="J1361" s="480"/>
    </row>
    <row r="1362" spans="1:10" ht="114.75" outlineLevel="4">
      <c r="A1362" s="481" t="s">
        <v>2070</v>
      </c>
      <c r="B1362" s="482" t="s">
        <v>2071</v>
      </c>
      <c r="C1362" s="483" t="s">
        <v>2025</v>
      </c>
      <c r="D1362" s="482" t="s">
        <v>2026</v>
      </c>
      <c r="E1362" s="484">
        <v>4000</v>
      </c>
      <c r="F1362" s="484">
        <v>0</v>
      </c>
      <c r="G1362" s="484">
        <v>0</v>
      </c>
      <c r="H1362" s="484">
        <v>0</v>
      </c>
      <c r="I1362" s="480">
        <v>0</v>
      </c>
      <c r="J1362" s="480"/>
    </row>
    <row r="1363" spans="1:10" ht="51" outlineLevel="2">
      <c r="A1363" s="471" t="s">
        <v>2072</v>
      </c>
      <c r="B1363" s="472" t="s">
        <v>2073</v>
      </c>
      <c r="C1363" s="473"/>
      <c r="D1363" s="472"/>
      <c r="E1363" s="474">
        <v>260</v>
      </c>
      <c r="F1363" s="474">
        <v>260</v>
      </c>
      <c r="G1363" s="474">
        <v>0</v>
      </c>
      <c r="H1363" s="474">
        <v>0</v>
      </c>
      <c r="I1363" s="475">
        <v>0</v>
      </c>
      <c r="J1363" s="475"/>
    </row>
    <row r="1364" spans="1:10" ht="25.5" outlineLevel="3">
      <c r="A1364" s="476" t="s">
        <v>713</v>
      </c>
      <c r="B1364" s="477" t="s">
        <v>2074</v>
      </c>
      <c r="C1364" s="478"/>
      <c r="D1364" s="477"/>
      <c r="E1364" s="479">
        <v>260</v>
      </c>
      <c r="F1364" s="479">
        <v>260</v>
      </c>
      <c r="G1364" s="479">
        <v>0</v>
      </c>
      <c r="H1364" s="479">
        <v>0</v>
      </c>
      <c r="I1364" s="480">
        <v>0</v>
      </c>
      <c r="J1364" s="480"/>
    </row>
    <row r="1365" spans="1:10" ht="25.5" outlineLevel="4">
      <c r="A1365" s="481" t="s">
        <v>713</v>
      </c>
      <c r="B1365" s="482" t="s">
        <v>2074</v>
      </c>
      <c r="C1365" s="483" t="s">
        <v>2025</v>
      </c>
      <c r="D1365" s="482" t="s">
        <v>2026</v>
      </c>
      <c r="E1365" s="484">
        <v>260</v>
      </c>
      <c r="F1365" s="484">
        <v>260</v>
      </c>
      <c r="G1365" s="484">
        <v>0</v>
      </c>
      <c r="H1365" s="484">
        <v>0</v>
      </c>
      <c r="I1365" s="480">
        <v>0</v>
      </c>
      <c r="J1365" s="480"/>
    </row>
    <row r="1366" spans="1:10" ht="89.25" outlineLevel="2">
      <c r="A1366" s="471" t="s">
        <v>2075</v>
      </c>
      <c r="B1366" s="472" t="s">
        <v>2076</v>
      </c>
      <c r="C1366" s="473"/>
      <c r="D1366" s="472"/>
      <c r="E1366" s="474">
        <v>1300</v>
      </c>
      <c r="F1366" s="474">
        <v>1300</v>
      </c>
      <c r="G1366" s="474">
        <v>0</v>
      </c>
      <c r="H1366" s="474">
        <v>0</v>
      </c>
      <c r="I1366" s="475">
        <v>0</v>
      </c>
      <c r="J1366" s="475"/>
    </row>
    <row r="1367" spans="1:10" ht="25.5" outlineLevel="3">
      <c r="A1367" s="476" t="s">
        <v>713</v>
      </c>
      <c r="B1367" s="477" t="s">
        <v>2077</v>
      </c>
      <c r="C1367" s="478"/>
      <c r="D1367" s="477"/>
      <c r="E1367" s="479">
        <v>1300</v>
      </c>
      <c r="F1367" s="479">
        <v>1300</v>
      </c>
      <c r="G1367" s="479">
        <v>0</v>
      </c>
      <c r="H1367" s="479">
        <v>0</v>
      </c>
      <c r="I1367" s="480">
        <v>0</v>
      </c>
      <c r="J1367" s="480"/>
    </row>
    <row r="1368" spans="1:10" ht="25.5" outlineLevel="4">
      <c r="A1368" s="481" t="s">
        <v>713</v>
      </c>
      <c r="B1368" s="482" t="s">
        <v>2077</v>
      </c>
      <c r="C1368" s="483" t="s">
        <v>2025</v>
      </c>
      <c r="D1368" s="482" t="s">
        <v>2026</v>
      </c>
      <c r="E1368" s="484">
        <v>1300</v>
      </c>
      <c r="F1368" s="484">
        <v>1300</v>
      </c>
      <c r="G1368" s="484">
        <v>0</v>
      </c>
      <c r="H1368" s="484">
        <v>0</v>
      </c>
      <c r="I1368" s="480">
        <v>0</v>
      </c>
      <c r="J1368" s="480"/>
    </row>
    <row r="1369" spans="1:10" ht="114.75" outlineLevel="2">
      <c r="A1369" s="471" t="s">
        <v>2078</v>
      </c>
      <c r="B1369" s="472" t="s">
        <v>2079</v>
      </c>
      <c r="C1369" s="473"/>
      <c r="D1369" s="472"/>
      <c r="E1369" s="474">
        <v>1900</v>
      </c>
      <c r="F1369" s="474">
        <v>1900</v>
      </c>
      <c r="G1369" s="474">
        <v>950</v>
      </c>
      <c r="H1369" s="474">
        <v>950</v>
      </c>
      <c r="I1369" s="475">
        <v>50</v>
      </c>
      <c r="J1369" s="475"/>
    </row>
    <row r="1370" spans="1:10" ht="38.25" outlineLevel="3">
      <c r="A1370" s="476" t="s">
        <v>1067</v>
      </c>
      <c r="B1370" s="477" t="s">
        <v>2080</v>
      </c>
      <c r="C1370" s="478"/>
      <c r="D1370" s="477"/>
      <c r="E1370" s="479">
        <v>1900</v>
      </c>
      <c r="F1370" s="479">
        <v>1900</v>
      </c>
      <c r="G1370" s="479">
        <v>950</v>
      </c>
      <c r="H1370" s="479">
        <v>950</v>
      </c>
      <c r="I1370" s="480">
        <v>50</v>
      </c>
      <c r="J1370" s="480"/>
    </row>
    <row r="1371" spans="1:10" ht="38.25" outlineLevel="4">
      <c r="A1371" s="481" t="s">
        <v>1067</v>
      </c>
      <c r="B1371" s="482" t="s">
        <v>2080</v>
      </c>
      <c r="C1371" s="483" t="s">
        <v>2025</v>
      </c>
      <c r="D1371" s="482" t="s">
        <v>2026</v>
      </c>
      <c r="E1371" s="484">
        <v>1900</v>
      </c>
      <c r="F1371" s="484">
        <v>1900</v>
      </c>
      <c r="G1371" s="484">
        <v>950</v>
      </c>
      <c r="H1371" s="484">
        <v>950</v>
      </c>
      <c r="I1371" s="480">
        <v>50</v>
      </c>
      <c r="J1371" s="480"/>
    </row>
    <row r="1372" spans="1:10" ht="51" outlineLevel="1">
      <c r="A1372" s="466" t="s">
        <v>2081</v>
      </c>
      <c r="B1372" s="467" t="s">
        <v>2082</v>
      </c>
      <c r="C1372" s="468"/>
      <c r="D1372" s="467"/>
      <c r="E1372" s="469">
        <v>47903.737059999999</v>
      </c>
      <c r="F1372" s="469">
        <v>47791.47436</v>
      </c>
      <c r="G1372" s="469">
        <v>20741.510740000002</v>
      </c>
      <c r="H1372" s="469">
        <v>19467.154900000001</v>
      </c>
      <c r="I1372" s="470">
        <v>40.64</v>
      </c>
      <c r="J1372" s="470"/>
    </row>
    <row r="1373" spans="1:10" ht="51" outlineLevel="2">
      <c r="A1373" s="471" t="s">
        <v>2083</v>
      </c>
      <c r="B1373" s="472" t="s">
        <v>2084</v>
      </c>
      <c r="C1373" s="473"/>
      <c r="D1373" s="472"/>
      <c r="E1373" s="474">
        <v>47903.737059999999</v>
      </c>
      <c r="F1373" s="474">
        <v>47791.47436</v>
      </c>
      <c r="G1373" s="474">
        <v>20741.510740000002</v>
      </c>
      <c r="H1373" s="474">
        <v>19467.154900000001</v>
      </c>
      <c r="I1373" s="475">
        <v>40.64</v>
      </c>
      <c r="J1373" s="475"/>
    </row>
    <row r="1374" spans="1:10" ht="25.5" outlineLevel="3">
      <c r="A1374" s="476" t="s">
        <v>873</v>
      </c>
      <c r="B1374" s="477" t="s">
        <v>2085</v>
      </c>
      <c r="C1374" s="478"/>
      <c r="D1374" s="477"/>
      <c r="E1374" s="479">
        <v>43713.087039999999</v>
      </c>
      <c r="F1374" s="479">
        <v>43713.087039999999</v>
      </c>
      <c r="G1374" s="479">
        <v>19685</v>
      </c>
      <c r="H1374" s="479">
        <v>18681.23373</v>
      </c>
      <c r="I1374" s="480">
        <v>42.74</v>
      </c>
      <c r="J1374" s="480"/>
    </row>
    <row r="1375" spans="1:10" ht="25.5" outlineLevel="4">
      <c r="A1375" s="481" t="s">
        <v>873</v>
      </c>
      <c r="B1375" s="482" t="s">
        <v>2085</v>
      </c>
      <c r="C1375" s="483" t="s">
        <v>2086</v>
      </c>
      <c r="D1375" s="482" t="s">
        <v>2087</v>
      </c>
      <c r="E1375" s="484">
        <v>43713.087039999999</v>
      </c>
      <c r="F1375" s="484">
        <v>43713.087039999999</v>
      </c>
      <c r="G1375" s="484">
        <v>19685</v>
      </c>
      <c r="H1375" s="484">
        <v>18681.23373</v>
      </c>
      <c r="I1375" s="480">
        <v>42.74</v>
      </c>
      <c r="J1375" s="480"/>
    </row>
    <row r="1376" spans="1:10" ht="38.25" outlineLevel="3">
      <c r="A1376" s="476" t="s">
        <v>854</v>
      </c>
      <c r="B1376" s="477" t="s">
        <v>2088</v>
      </c>
      <c r="C1376" s="478"/>
      <c r="D1376" s="477"/>
      <c r="E1376" s="479">
        <v>1889.9399100000001</v>
      </c>
      <c r="F1376" s="479">
        <v>1777.6772100000001</v>
      </c>
      <c r="G1376" s="479">
        <v>783.42164000000002</v>
      </c>
      <c r="H1376" s="479">
        <v>586.46514999999999</v>
      </c>
      <c r="I1376" s="480">
        <v>31.03</v>
      </c>
      <c r="J1376" s="480"/>
    </row>
    <row r="1377" spans="1:10" ht="38.25" outlineLevel="4">
      <c r="A1377" s="481" t="s">
        <v>854</v>
      </c>
      <c r="B1377" s="482" t="s">
        <v>2088</v>
      </c>
      <c r="C1377" s="483" t="s">
        <v>2086</v>
      </c>
      <c r="D1377" s="482" t="s">
        <v>2087</v>
      </c>
      <c r="E1377" s="484">
        <v>1889.9399100000001</v>
      </c>
      <c r="F1377" s="484">
        <v>1777.6772100000001</v>
      </c>
      <c r="G1377" s="484">
        <v>783.42164000000002</v>
      </c>
      <c r="H1377" s="484">
        <v>586.46514999999999</v>
      </c>
      <c r="I1377" s="480">
        <v>31.03</v>
      </c>
      <c r="J1377" s="480"/>
    </row>
    <row r="1378" spans="1:10" ht="63.75" outlineLevel="3">
      <c r="A1378" s="476" t="s">
        <v>62</v>
      </c>
      <c r="B1378" s="477" t="s">
        <v>2089</v>
      </c>
      <c r="C1378" s="478"/>
      <c r="D1378" s="477"/>
      <c r="E1378" s="479">
        <v>541.41011000000003</v>
      </c>
      <c r="F1378" s="479">
        <v>541.41011000000003</v>
      </c>
      <c r="G1378" s="479">
        <v>28</v>
      </c>
      <c r="H1378" s="479">
        <v>20.878229999999999</v>
      </c>
      <c r="I1378" s="480">
        <v>3.86</v>
      </c>
      <c r="J1378" s="480"/>
    </row>
    <row r="1379" spans="1:10" ht="63.75" outlineLevel="4">
      <c r="A1379" s="481" t="s">
        <v>62</v>
      </c>
      <c r="B1379" s="482" t="s">
        <v>2089</v>
      </c>
      <c r="C1379" s="483" t="s">
        <v>2086</v>
      </c>
      <c r="D1379" s="482" t="s">
        <v>2087</v>
      </c>
      <c r="E1379" s="484">
        <v>541.41011000000003</v>
      </c>
      <c r="F1379" s="484">
        <v>541.41011000000003</v>
      </c>
      <c r="G1379" s="484">
        <v>28</v>
      </c>
      <c r="H1379" s="484">
        <v>20.878229999999999</v>
      </c>
      <c r="I1379" s="480">
        <v>3.86</v>
      </c>
      <c r="J1379" s="480"/>
    </row>
    <row r="1380" spans="1:10" ht="76.5" outlineLevel="3">
      <c r="A1380" s="476" t="s">
        <v>1027</v>
      </c>
      <c r="B1380" s="477" t="s">
        <v>2090</v>
      </c>
      <c r="C1380" s="478"/>
      <c r="D1380" s="477"/>
      <c r="E1380" s="479">
        <v>264</v>
      </c>
      <c r="F1380" s="479">
        <v>264</v>
      </c>
      <c r="G1380" s="479">
        <v>8.5</v>
      </c>
      <c r="H1380" s="479">
        <v>8.5</v>
      </c>
      <c r="I1380" s="480">
        <v>3.22</v>
      </c>
      <c r="J1380" s="480"/>
    </row>
    <row r="1381" spans="1:10" ht="76.5" outlineLevel="4">
      <c r="A1381" s="481" t="s">
        <v>1027</v>
      </c>
      <c r="B1381" s="482" t="s">
        <v>2090</v>
      </c>
      <c r="C1381" s="483" t="s">
        <v>2086</v>
      </c>
      <c r="D1381" s="482" t="s">
        <v>2087</v>
      </c>
      <c r="E1381" s="484">
        <v>264</v>
      </c>
      <c r="F1381" s="484">
        <v>264</v>
      </c>
      <c r="G1381" s="484">
        <v>8.5</v>
      </c>
      <c r="H1381" s="484">
        <v>8.5</v>
      </c>
      <c r="I1381" s="480">
        <v>3.22</v>
      </c>
      <c r="J1381" s="480"/>
    </row>
    <row r="1382" spans="1:10" ht="76.5" outlineLevel="3">
      <c r="A1382" s="476" t="s">
        <v>2091</v>
      </c>
      <c r="B1382" s="477" t="s">
        <v>2092</v>
      </c>
      <c r="C1382" s="478"/>
      <c r="D1382" s="477"/>
      <c r="E1382" s="479">
        <v>1495.3</v>
      </c>
      <c r="F1382" s="479">
        <v>1495.3</v>
      </c>
      <c r="G1382" s="479">
        <v>236.5891</v>
      </c>
      <c r="H1382" s="479">
        <v>170.07778999999999</v>
      </c>
      <c r="I1382" s="480">
        <v>11.37</v>
      </c>
      <c r="J1382" s="480"/>
    </row>
    <row r="1383" spans="1:10" ht="76.5" outlineLevel="4">
      <c r="A1383" s="481" t="s">
        <v>2091</v>
      </c>
      <c r="B1383" s="482" t="s">
        <v>2092</v>
      </c>
      <c r="C1383" s="483" t="s">
        <v>2086</v>
      </c>
      <c r="D1383" s="482" t="s">
        <v>2087</v>
      </c>
      <c r="E1383" s="484">
        <v>1495.3</v>
      </c>
      <c r="F1383" s="484">
        <v>1495.3</v>
      </c>
      <c r="G1383" s="484">
        <v>236.5891</v>
      </c>
      <c r="H1383" s="484">
        <v>170.07778999999999</v>
      </c>
      <c r="I1383" s="480">
        <v>11.37</v>
      </c>
      <c r="J1383" s="480"/>
    </row>
    <row r="1384" spans="1:10" ht="38.25" outlineLevel="1">
      <c r="A1384" s="466" t="s">
        <v>2093</v>
      </c>
      <c r="B1384" s="467" t="s">
        <v>2094</v>
      </c>
      <c r="C1384" s="468"/>
      <c r="D1384" s="467"/>
      <c r="E1384" s="469">
        <v>200348.22289</v>
      </c>
      <c r="F1384" s="469">
        <v>185933.84112</v>
      </c>
      <c r="G1384" s="469">
        <v>93682.208350000001</v>
      </c>
      <c r="H1384" s="469">
        <v>88006.028040000005</v>
      </c>
      <c r="I1384" s="470">
        <v>43.93</v>
      </c>
      <c r="J1384" s="470"/>
    </row>
    <row r="1385" spans="1:10" ht="89.25" outlineLevel="2">
      <c r="A1385" s="471" t="s">
        <v>2095</v>
      </c>
      <c r="B1385" s="472" t="s">
        <v>2096</v>
      </c>
      <c r="C1385" s="473"/>
      <c r="D1385" s="472"/>
      <c r="E1385" s="474">
        <v>94740.921820000003</v>
      </c>
      <c r="F1385" s="474">
        <v>80718.921820000003</v>
      </c>
      <c r="G1385" s="474">
        <v>43935.880599999997</v>
      </c>
      <c r="H1385" s="474">
        <v>42332.60843</v>
      </c>
      <c r="I1385" s="475">
        <v>44.68</v>
      </c>
      <c r="J1385" s="475"/>
    </row>
    <row r="1386" spans="1:10" ht="25.5" outlineLevel="3">
      <c r="A1386" s="476" t="s">
        <v>873</v>
      </c>
      <c r="B1386" s="477" t="s">
        <v>2097</v>
      </c>
      <c r="C1386" s="478"/>
      <c r="D1386" s="477"/>
      <c r="E1386" s="479">
        <v>75859.956630000001</v>
      </c>
      <c r="F1386" s="479">
        <v>75859.956630000001</v>
      </c>
      <c r="G1386" s="479">
        <v>41800</v>
      </c>
      <c r="H1386" s="479">
        <v>41411.563909999997</v>
      </c>
      <c r="I1386" s="480">
        <v>54.59</v>
      </c>
      <c r="J1386" s="480"/>
    </row>
    <row r="1387" spans="1:10" ht="25.5" outlineLevel="4">
      <c r="A1387" s="481" t="s">
        <v>873</v>
      </c>
      <c r="B1387" s="482" t="s">
        <v>2097</v>
      </c>
      <c r="C1387" s="483" t="s">
        <v>2025</v>
      </c>
      <c r="D1387" s="482" t="s">
        <v>2026</v>
      </c>
      <c r="E1387" s="484">
        <v>75859.956630000001</v>
      </c>
      <c r="F1387" s="484">
        <v>75859.956630000001</v>
      </c>
      <c r="G1387" s="484">
        <v>41800</v>
      </c>
      <c r="H1387" s="484">
        <v>41411.563909999997</v>
      </c>
      <c r="I1387" s="480">
        <v>54.59</v>
      </c>
      <c r="J1387" s="480"/>
    </row>
    <row r="1388" spans="1:10" ht="38.25" outlineLevel="3">
      <c r="A1388" s="476" t="s">
        <v>854</v>
      </c>
      <c r="B1388" s="477" t="s">
        <v>2098</v>
      </c>
      <c r="C1388" s="478"/>
      <c r="D1388" s="477"/>
      <c r="E1388" s="479">
        <v>2103.1651900000002</v>
      </c>
      <c r="F1388" s="479">
        <v>2103.1651900000002</v>
      </c>
      <c r="G1388" s="479">
        <v>909.24159999999995</v>
      </c>
      <c r="H1388" s="479">
        <v>366.67471999999998</v>
      </c>
      <c r="I1388" s="480">
        <v>17.43</v>
      </c>
      <c r="J1388" s="480"/>
    </row>
    <row r="1389" spans="1:10" ht="38.25" outlineLevel="4">
      <c r="A1389" s="481" t="s">
        <v>854</v>
      </c>
      <c r="B1389" s="482" t="s">
        <v>2098</v>
      </c>
      <c r="C1389" s="483" t="s">
        <v>2025</v>
      </c>
      <c r="D1389" s="482" t="s">
        <v>2026</v>
      </c>
      <c r="E1389" s="484">
        <v>2103.1651900000002</v>
      </c>
      <c r="F1389" s="484">
        <v>2103.1651900000002</v>
      </c>
      <c r="G1389" s="484">
        <v>909.24159999999995</v>
      </c>
      <c r="H1389" s="484">
        <v>366.67471999999998</v>
      </c>
      <c r="I1389" s="480">
        <v>17.43</v>
      </c>
      <c r="J1389" s="480"/>
    </row>
    <row r="1390" spans="1:10" ht="63.75" outlineLevel="3">
      <c r="A1390" s="476" t="s">
        <v>62</v>
      </c>
      <c r="B1390" s="477" t="s">
        <v>2099</v>
      </c>
      <c r="C1390" s="478"/>
      <c r="D1390" s="477"/>
      <c r="E1390" s="479">
        <v>665</v>
      </c>
      <c r="F1390" s="479">
        <v>665</v>
      </c>
      <c r="G1390" s="479">
        <v>100</v>
      </c>
      <c r="H1390" s="479">
        <v>87.572800000000001</v>
      </c>
      <c r="I1390" s="480">
        <v>13.17</v>
      </c>
      <c r="J1390" s="480"/>
    </row>
    <row r="1391" spans="1:10" ht="63.75" outlineLevel="4">
      <c r="A1391" s="481" t="s">
        <v>62</v>
      </c>
      <c r="B1391" s="482" t="s">
        <v>2099</v>
      </c>
      <c r="C1391" s="483" t="s">
        <v>2025</v>
      </c>
      <c r="D1391" s="482" t="s">
        <v>2026</v>
      </c>
      <c r="E1391" s="484">
        <v>665</v>
      </c>
      <c r="F1391" s="484">
        <v>665</v>
      </c>
      <c r="G1391" s="484">
        <v>100</v>
      </c>
      <c r="H1391" s="484">
        <v>87.572800000000001</v>
      </c>
      <c r="I1391" s="480">
        <v>13.17</v>
      </c>
      <c r="J1391" s="480"/>
    </row>
    <row r="1392" spans="1:10" ht="51" outlineLevel="3">
      <c r="A1392" s="476" t="s">
        <v>861</v>
      </c>
      <c r="B1392" s="477" t="s">
        <v>2100</v>
      </c>
      <c r="C1392" s="478"/>
      <c r="D1392" s="477"/>
      <c r="E1392" s="479">
        <v>2090.8000000000002</v>
      </c>
      <c r="F1392" s="479">
        <v>2090.8000000000002</v>
      </c>
      <c r="G1392" s="479">
        <v>1126.6389999999999</v>
      </c>
      <c r="H1392" s="479">
        <v>466.79700000000003</v>
      </c>
      <c r="I1392" s="480">
        <v>22.33</v>
      </c>
      <c r="J1392" s="480"/>
    </row>
    <row r="1393" spans="1:10" ht="51" outlineLevel="4">
      <c r="A1393" s="481" t="s">
        <v>861</v>
      </c>
      <c r="B1393" s="482" t="s">
        <v>2100</v>
      </c>
      <c r="C1393" s="483" t="s">
        <v>2025</v>
      </c>
      <c r="D1393" s="482" t="s">
        <v>2026</v>
      </c>
      <c r="E1393" s="484">
        <v>2090.8000000000002</v>
      </c>
      <c r="F1393" s="484">
        <v>2090.8000000000002</v>
      </c>
      <c r="G1393" s="484">
        <v>1126.6389999999999</v>
      </c>
      <c r="H1393" s="484">
        <v>466.79700000000003</v>
      </c>
      <c r="I1393" s="480">
        <v>22.33</v>
      </c>
      <c r="J1393" s="480"/>
    </row>
    <row r="1394" spans="1:10" ht="25.5" outlineLevel="3">
      <c r="A1394" s="476" t="s">
        <v>2101</v>
      </c>
      <c r="B1394" s="477" t="s">
        <v>2102</v>
      </c>
      <c r="C1394" s="478"/>
      <c r="D1394" s="477"/>
      <c r="E1394" s="479">
        <v>14022</v>
      </c>
      <c r="F1394" s="479">
        <v>0</v>
      </c>
      <c r="G1394" s="479">
        <v>0</v>
      </c>
      <c r="H1394" s="479">
        <v>0</v>
      </c>
      <c r="I1394" s="480">
        <v>0</v>
      </c>
      <c r="J1394" s="480"/>
    </row>
    <row r="1395" spans="1:10" ht="25.5" outlineLevel="4">
      <c r="A1395" s="481" t="s">
        <v>2101</v>
      </c>
      <c r="B1395" s="482" t="s">
        <v>2102</v>
      </c>
      <c r="C1395" s="483" t="s">
        <v>2025</v>
      </c>
      <c r="D1395" s="482" t="s">
        <v>2026</v>
      </c>
      <c r="E1395" s="484">
        <v>14022</v>
      </c>
      <c r="F1395" s="484">
        <v>0</v>
      </c>
      <c r="G1395" s="484">
        <v>0</v>
      </c>
      <c r="H1395" s="484">
        <v>0</v>
      </c>
      <c r="I1395" s="480">
        <v>0</v>
      </c>
      <c r="J1395" s="485" t="s">
        <v>10</v>
      </c>
    </row>
    <row r="1396" spans="1:10" ht="102" outlineLevel="2">
      <c r="A1396" s="471" t="s">
        <v>2103</v>
      </c>
      <c r="B1396" s="472" t="s">
        <v>2104</v>
      </c>
      <c r="C1396" s="473"/>
      <c r="D1396" s="472"/>
      <c r="E1396" s="474">
        <v>105607.30107</v>
      </c>
      <c r="F1396" s="474">
        <v>105214.91929999999</v>
      </c>
      <c r="G1396" s="474">
        <v>49746.327749999997</v>
      </c>
      <c r="H1396" s="474">
        <v>45673.419609999997</v>
      </c>
      <c r="I1396" s="475">
        <v>43.25</v>
      </c>
      <c r="J1396" s="475"/>
    </row>
    <row r="1397" spans="1:10" ht="25.5" outlineLevel="3">
      <c r="A1397" s="476" t="s">
        <v>873</v>
      </c>
      <c r="B1397" s="477" t="s">
        <v>2105</v>
      </c>
      <c r="C1397" s="478"/>
      <c r="D1397" s="477"/>
      <c r="E1397" s="479">
        <v>99915.648409999994</v>
      </c>
      <c r="F1397" s="479">
        <v>99523.266640000002</v>
      </c>
      <c r="G1397" s="479">
        <v>48275.030989999999</v>
      </c>
      <c r="H1397" s="479">
        <v>44271.18419</v>
      </c>
      <c r="I1397" s="480">
        <v>44.31</v>
      </c>
      <c r="J1397" s="480"/>
    </row>
    <row r="1398" spans="1:10" ht="25.5" outlineLevel="4">
      <c r="A1398" s="481" t="s">
        <v>873</v>
      </c>
      <c r="B1398" s="482" t="s">
        <v>2105</v>
      </c>
      <c r="C1398" s="483" t="s">
        <v>2049</v>
      </c>
      <c r="D1398" s="482" t="s">
        <v>2050</v>
      </c>
      <c r="E1398" s="484">
        <v>23911.794180000001</v>
      </c>
      <c r="F1398" s="484">
        <v>23911.794180000001</v>
      </c>
      <c r="G1398" s="484">
        <v>11616.794180000001</v>
      </c>
      <c r="H1398" s="484">
        <v>9024.2081899999994</v>
      </c>
      <c r="I1398" s="480">
        <v>37.74</v>
      </c>
      <c r="J1398" s="480"/>
    </row>
    <row r="1399" spans="1:10" ht="38.25" outlineLevel="4">
      <c r="A1399" s="481" t="s">
        <v>873</v>
      </c>
      <c r="B1399" s="482" t="s">
        <v>2105</v>
      </c>
      <c r="C1399" s="483" t="s">
        <v>1802</v>
      </c>
      <c r="D1399" s="482" t="s">
        <v>1803</v>
      </c>
      <c r="E1399" s="484">
        <v>76003.854229999997</v>
      </c>
      <c r="F1399" s="484">
        <v>75611.472460000005</v>
      </c>
      <c r="G1399" s="484">
        <v>36658.236810000002</v>
      </c>
      <c r="H1399" s="484">
        <v>35246.976000000002</v>
      </c>
      <c r="I1399" s="480">
        <v>46.38</v>
      </c>
      <c r="J1399" s="480"/>
    </row>
    <row r="1400" spans="1:10" ht="38.25" outlineLevel="3">
      <c r="A1400" s="476" t="s">
        <v>854</v>
      </c>
      <c r="B1400" s="477" t="s">
        <v>2106</v>
      </c>
      <c r="C1400" s="478"/>
      <c r="D1400" s="477"/>
      <c r="E1400" s="479">
        <v>4330.7054799999996</v>
      </c>
      <c r="F1400" s="479">
        <v>4330.7054799999996</v>
      </c>
      <c r="G1400" s="479">
        <v>1296.2967599999999</v>
      </c>
      <c r="H1400" s="479">
        <v>1245.75738</v>
      </c>
      <c r="I1400" s="480">
        <v>28.77</v>
      </c>
      <c r="J1400" s="480"/>
    </row>
    <row r="1401" spans="1:10" ht="38.25" outlineLevel="4">
      <c r="A1401" s="481" t="s">
        <v>854</v>
      </c>
      <c r="B1401" s="482" t="s">
        <v>2106</v>
      </c>
      <c r="C1401" s="483" t="s">
        <v>2049</v>
      </c>
      <c r="D1401" s="482" t="s">
        <v>2050</v>
      </c>
      <c r="E1401" s="484">
        <v>1012</v>
      </c>
      <c r="F1401" s="484">
        <v>1012</v>
      </c>
      <c r="G1401" s="484">
        <v>582.54831000000001</v>
      </c>
      <c r="H1401" s="484">
        <v>562.26657</v>
      </c>
      <c r="I1401" s="480">
        <v>55.56</v>
      </c>
      <c r="J1401" s="480"/>
    </row>
    <row r="1402" spans="1:10" ht="38.25" outlineLevel="4">
      <c r="A1402" s="481" t="s">
        <v>854</v>
      </c>
      <c r="B1402" s="482" t="s">
        <v>2106</v>
      </c>
      <c r="C1402" s="483" t="s">
        <v>1802</v>
      </c>
      <c r="D1402" s="482" t="s">
        <v>1803</v>
      </c>
      <c r="E1402" s="484">
        <v>3318.7054800000001</v>
      </c>
      <c r="F1402" s="484">
        <v>3318.7054800000001</v>
      </c>
      <c r="G1402" s="484">
        <v>713.74845000000005</v>
      </c>
      <c r="H1402" s="484">
        <v>683.49081000000001</v>
      </c>
      <c r="I1402" s="480">
        <v>20.6</v>
      </c>
      <c r="J1402" s="480"/>
    </row>
    <row r="1403" spans="1:10" ht="63.75" outlineLevel="3">
      <c r="A1403" s="476" t="s">
        <v>62</v>
      </c>
      <c r="B1403" s="477" t="s">
        <v>2107</v>
      </c>
      <c r="C1403" s="478"/>
      <c r="D1403" s="477"/>
      <c r="E1403" s="479">
        <v>1200.9471799999999</v>
      </c>
      <c r="F1403" s="479">
        <v>1200.9471799999999</v>
      </c>
      <c r="G1403" s="479">
        <v>175</v>
      </c>
      <c r="H1403" s="479">
        <v>156.47803999999999</v>
      </c>
      <c r="I1403" s="480">
        <v>13.03</v>
      </c>
      <c r="J1403" s="480"/>
    </row>
    <row r="1404" spans="1:10" ht="63.75" outlineLevel="4">
      <c r="A1404" s="481" t="s">
        <v>62</v>
      </c>
      <c r="B1404" s="482" t="s">
        <v>2107</v>
      </c>
      <c r="C1404" s="483" t="s">
        <v>2049</v>
      </c>
      <c r="D1404" s="482" t="s">
        <v>2050</v>
      </c>
      <c r="E1404" s="484">
        <v>375</v>
      </c>
      <c r="F1404" s="484">
        <v>375</v>
      </c>
      <c r="G1404" s="484">
        <v>30</v>
      </c>
      <c r="H1404" s="484">
        <v>19.5</v>
      </c>
      <c r="I1404" s="480">
        <v>5.2</v>
      </c>
      <c r="J1404" s="480"/>
    </row>
    <row r="1405" spans="1:10" ht="63.75" outlineLevel="4">
      <c r="A1405" s="481" t="s">
        <v>62</v>
      </c>
      <c r="B1405" s="482" t="s">
        <v>2107</v>
      </c>
      <c r="C1405" s="483" t="s">
        <v>1802</v>
      </c>
      <c r="D1405" s="482" t="s">
        <v>1803</v>
      </c>
      <c r="E1405" s="484">
        <v>825.94718</v>
      </c>
      <c r="F1405" s="484">
        <v>825.94718</v>
      </c>
      <c r="G1405" s="484">
        <v>145</v>
      </c>
      <c r="H1405" s="484">
        <v>136.97803999999999</v>
      </c>
      <c r="I1405" s="480">
        <v>16.579999999999998</v>
      </c>
      <c r="J1405" s="480"/>
    </row>
    <row r="1406" spans="1:10" ht="76.5" outlineLevel="3">
      <c r="A1406" s="476" t="s">
        <v>1027</v>
      </c>
      <c r="B1406" s="477" t="s">
        <v>2108</v>
      </c>
      <c r="C1406" s="478"/>
      <c r="D1406" s="477"/>
      <c r="E1406" s="479">
        <v>160</v>
      </c>
      <c r="F1406" s="479">
        <v>160</v>
      </c>
      <c r="G1406" s="479">
        <v>0</v>
      </c>
      <c r="H1406" s="479">
        <v>0</v>
      </c>
      <c r="I1406" s="480">
        <v>0</v>
      </c>
      <c r="J1406" s="480"/>
    </row>
    <row r="1407" spans="1:10" ht="76.5" outlineLevel="4">
      <c r="A1407" s="481" t="s">
        <v>1027</v>
      </c>
      <c r="B1407" s="482" t="s">
        <v>2108</v>
      </c>
      <c r="C1407" s="483" t="s">
        <v>1802</v>
      </c>
      <c r="D1407" s="482" t="s">
        <v>1803</v>
      </c>
      <c r="E1407" s="484">
        <v>160</v>
      </c>
      <c r="F1407" s="484">
        <v>160</v>
      </c>
      <c r="G1407" s="484">
        <v>0</v>
      </c>
      <c r="H1407" s="484">
        <v>0</v>
      </c>
      <c r="I1407" s="480">
        <v>0</v>
      </c>
      <c r="J1407" s="480"/>
    </row>
    <row r="1408" spans="1:10" ht="30.75" collapsed="1" thickBot="1">
      <c r="A1408" s="461" t="s">
        <v>2109</v>
      </c>
      <c r="B1408" s="462" t="s">
        <v>2110</v>
      </c>
      <c r="C1408" s="463"/>
      <c r="D1408" s="462"/>
      <c r="E1408" s="464">
        <v>624031.93376000004</v>
      </c>
      <c r="F1408" s="464">
        <v>516889.97204999998</v>
      </c>
      <c r="G1408" s="464">
        <v>220305.88686</v>
      </c>
      <c r="H1408" s="464">
        <v>199959.58798000001</v>
      </c>
      <c r="I1408" s="465">
        <v>32.04</v>
      </c>
      <c r="J1408" s="465"/>
    </row>
    <row r="1409" spans="1:10" ht="51" outlineLevel="1">
      <c r="A1409" s="466" t="s">
        <v>2111</v>
      </c>
      <c r="B1409" s="467" t="s">
        <v>2112</v>
      </c>
      <c r="C1409" s="468"/>
      <c r="D1409" s="467"/>
      <c r="E1409" s="469">
        <v>623632.33375999995</v>
      </c>
      <c r="F1409" s="469">
        <v>516490.37205000001</v>
      </c>
      <c r="G1409" s="469">
        <v>220106.08686000001</v>
      </c>
      <c r="H1409" s="469">
        <v>199859.68797999999</v>
      </c>
      <c r="I1409" s="470">
        <v>32.049999999999997</v>
      </c>
      <c r="J1409" s="470"/>
    </row>
    <row r="1410" spans="1:10" ht="76.5" outlineLevel="2">
      <c r="A1410" s="471" t="s">
        <v>2113</v>
      </c>
      <c r="B1410" s="472" t="s">
        <v>2114</v>
      </c>
      <c r="C1410" s="473"/>
      <c r="D1410" s="472"/>
      <c r="E1410" s="474">
        <v>59827</v>
      </c>
      <c r="F1410" s="474">
        <v>59827</v>
      </c>
      <c r="G1410" s="474">
        <v>17398.77</v>
      </c>
      <c r="H1410" s="474">
        <v>15479.489</v>
      </c>
      <c r="I1410" s="475">
        <v>25.87</v>
      </c>
      <c r="J1410" s="475"/>
    </row>
    <row r="1411" spans="1:10" ht="51" outlineLevel="3">
      <c r="A1411" s="476" t="s">
        <v>861</v>
      </c>
      <c r="B1411" s="477" t="s">
        <v>2115</v>
      </c>
      <c r="C1411" s="478"/>
      <c r="D1411" s="477"/>
      <c r="E1411" s="479">
        <v>59827</v>
      </c>
      <c r="F1411" s="479">
        <v>59827</v>
      </c>
      <c r="G1411" s="479">
        <v>17398.77</v>
      </c>
      <c r="H1411" s="479">
        <v>15479.489</v>
      </c>
      <c r="I1411" s="480">
        <v>25.87</v>
      </c>
      <c r="J1411" s="480"/>
    </row>
    <row r="1412" spans="1:10" ht="51" outlineLevel="4">
      <c r="A1412" s="481" t="s">
        <v>861</v>
      </c>
      <c r="B1412" s="482" t="s">
        <v>2115</v>
      </c>
      <c r="C1412" s="483" t="s">
        <v>2008</v>
      </c>
      <c r="D1412" s="482" t="s">
        <v>2009</v>
      </c>
      <c r="E1412" s="484">
        <v>59827</v>
      </c>
      <c r="F1412" s="484">
        <v>59827</v>
      </c>
      <c r="G1412" s="484">
        <v>17398.77</v>
      </c>
      <c r="H1412" s="484">
        <v>15479.489</v>
      </c>
      <c r="I1412" s="480">
        <v>25.87</v>
      </c>
      <c r="J1412" s="480"/>
    </row>
    <row r="1413" spans="1:10" ht="76.5" outlineLevel="2">
      <c r="A1413" s="471" t="s">
        <v>2116</v>
      </c>
      <c r="B1413" s="472" t="s">
        <v>2117</v>
      </c>
      <c r="C1413" s="473"/>
      <c r="D1413" s="472"/>
      <c r="E1413" s="474">
        <v>1710</v>
      </c>
      <c r="F1413" s="474">
        <v>1710</v>
      </c>
      <c r="G1413" s="474">
        <v>0</v>
      </c>
      <c r="H1413" s="474">
        <v>0</v>
      </c>
      <c r="I1413" s="475">
        <v>0</v>
      </c>
      <c r="J1413" s="475"/>
    </row>
    <row r="1414" spans="1:10" ht="51" outlineLevel="3">
      <c r="A1414" s="476" t="s">
        <v>861</v>
      </c>
      <c r="B1414" s="477" t="s">
        <v>2118</v>
      </c>
      <c r="C1414" s="478"/>
      <c r="D1414" s="477"/>
      <c r="E1414" s="479">
        <v>1710</v>
      </c>
      <c r="F1414" s="479">
        <v>1710</v>
      </c>
      <c r="G1414" s="479">
        <v>0</v>
      </c>
      <c r="H1414" s="479">
        <v>0</v>
      </c>
      <c r="I1414" s="480">
        <v>0</v>
      </c>
      <c r="J1414" s="480"/>
    </row>
    <row r="1415" spans="1:10" ht="51" outlineLevel="4">
      <c r="A1415" s="481" t="s">
        <v>861</v>
      </c>
      <c r="B1415" s="482" t="s">
        <v>2118</v>
      </c>
      <c r="C1415" s="483" t="s">
        <v>1043</v>
      </c>
      <c r="D1415" s="482" t="s">
        <v>1044</v>
      </c>
      <c r="E1415" s="484">
        <v>1710</v>
      </c>
      <c r="F1415" s="484">
        <v>1710</v>
      </c>
      <c r="G1415" s="484">
        <v>0</v>
      </c>
      <c r="H1415" s="484">
        <v>0</v>
      </c>
      <c r="I1415" s="480">
        <v>0</v>
      </c>
      <c r="J1415" s="480"/>
    </row>
    <row r="1416" spans="1:10" ht="38.25" outlineLevel="2">
      <c r="A1416" s="471" t="s">
        <v>2119</v>
      </c>
      <c r="B1416" s="472" t="s">
        <v>2120</v>
      </c>
      <c r="C1416" s="473"/>
      <c r="D1416" s="472"/>
      <c r="E1416" s="474">
        <v>34812.063249999999</v>
      </c>
      <c r="F1416" s="474">
        <v>34113.363250000002</v>
      </c>
      <c r="G1416" s="474">
        <v>4171.87255</v>
      </c>
      <c r="H1416" s="474">
        <v>3938.5092500000001</v>
      </c>
      <c r="I1416" s="475">
        <v>11.31</v>
      </c>
      <c r="J1416" s="475"/>
    </row>
    <row r="1417" spans="1:10" ht="51" outlineLevel="3">
      <c r="A1417" s="476" t="s">
        <v>861</v>
      </c>
      <c r="B1417" s="477" t="s">
        <v>2121</v>
      </c>
      <c r="C1417" s="478"/>
      <c r="D1417" s="477"/>
      <c r="E1417" s="479">
        <v>27196.2</v>
      </c>
      <c r="F1417" s="479">
        <v>26497.5</v>
      </c>
      <c r="G1417" s="479">
        <v>3054.4650000000001</v>
      </c>
      <c r="H1417" s="479">
        <v>3054.4650000000001</v>
      </c>
      <c r="I1417" s="480">
        <v>11.23</v>
      </c>
      <c r="J1417" s="480"/>
    </row>
    <row r="1418" spans="1:10" ht="51" outlineLevel="4">
      <c r="A1418" s="481" t="s">
        <v>861</v>
      </c>
      <c r="B1418" s="482" t="s">
        <v>2121</v>
      </c>
      <c r="C1418" s="483" t="s">
        <v>1502</v>
      </c>
      <c r="D1418" s="482" t="s">
        <v>1503</v>
      </c>
      <c r="E1418" s="484">
        <v>142.5</v>
      </c>
      <c r="F1418" s="484">
        <v>142.5</v>
      </c>
      <c r="G1418" s="484">
        <v>0</v>
      </c>
      <c r="H1418" s="484">
        <v>0</v>
      </c>
      <c r="I1418" s="480">
        <v>0</v>
      </c>
      <c r="J1418" s="480"/>
    </row>
    <row r="1419" spans="1:10" ht="51" outlineLevel="4">
      <c r="A1419" s="481" t="s">
        <v>861</v>
      </c>
      <c r="B1419" s="482" t="s">
        <v>2121</v>
      </c>
      <c r="C1419" s="483" t="s">
        <v>711</v>
      </c>
      <c r="D1419" s="482" t="s">
        <v>712</v>
      </c>
      <c r="E1419" s="484">
        <v>17732.7</v>
      </c>
      <c r="F1419" s="484">
        <v>17034</v>
      </c>
      <c r="G1419" s="484">
        <v>3054.4650000000001</v>
      </c>
      <c r="H1419" s="484">
        <v>3054.4650000000001</v>
      </c>
      <c r="I1419" s="480">
        <v>17.23</v>
      </c>
      <c r="J1419" s="480"/>
    </row>
    <row r="1420" spans="1:10" ht="51" outlineLevel="4">
      <c r="A1420" s="481" t="s">
        <v>861</v>
      </c>
      <c r="B1420" s="482" t="s">
        <v>2121</v>
      </c>
      <c r="C1420" s="483" t="s">
        <v>1043</v>
      </c>
      <c r="D1420" s="482" t="s">
        <v>1044</v>
      </c>
      <c r="E1420" s="484">
        <v>3055</v>
      </c>
      <c r="F1420" s="484">
        <v>3055</v>
      </c>
      <c r="G1420" s="484">
        <v>0</v>
      </c>
      <c r="H1420" s="484">
        <v>0</v>
      </c>
      <c r="I1420" s="480">
        <v>0</v>
      </c>
      <c r="J1420" s="480"/>
    </row>
    <row r="1421" spans="1:10" ht="51" outlineLevel="4">
      <c r="A1421" s="481" t="s">
        <v>861</v>
      </c>
      <c r="B1421" s="482" t="s">
        <v>2121</v>
      </c>
      <c r="C1421" s="483" t="s">
        <v>2008</v>
      </c>
      <c r="D1421" s="482" t="s">
        <v>2009</v>
      </c>
      <c r="E1421" s="484">
        <v>6266</v>
      </c>
      <c r="F1421" s="484">
        <v>6266</v>
      </c>
      <c r="G1421" s="484">
        <v>0</v>
      </c>
      <c r="H1421" s="484">
        <v>0</v>
      </c>
      <c r="I1421" s="480">
        <v>0</v>
      </c>
      <c r="J1421" s="480"/>
    </row>
    <row r="1422" spans="1:10" ht="114.75" outlineLevel="3">
      <c r="A1422" s="476" t="s">
        <v>2122</v>
      </c>
      <c r="B1422" s="477" t="s">
        <v>2123</v>
      </c>
      <c r="C1422" s="478"/>
      <c r="D1422" s="477"/>
      <c r="E1422" s="479">
        <v>3357</v>
      </c>
      <c r="F1422" s="479">
        <v>3357</v>
      </c>
      <c r="G1422" s="479">
        <v>939.95230000000004</v>
      </c>
      <c r="H1422" s="479">
        <v>881.32084999999995</v>
      </c>
      <c r="I1422" s="480">
        <v>26.25</v>
      </c>
      <c r="J1422" s="480"/>
    </row>
    <row r="1423" spans="1:10" ht="114.75" outlineLevel="4">
      <c r="A1423" s="481" t="s">
        <v>2122</v>
      </c>
      <c r="B1423" s="482" t="s">
        <v>2123</v>
      </c>
      <c r="C1423" s="483" t="s">
        <v>2124</v>
      </c>
      <c r="D1423" s="482" t="s">
        <v>2125</v>
      </c>
      <c r="E1423" s="484">
        <v>3357</v>
      </c>
      <c r="F1423" s="484">
        <v>3357</v>
      </c>
      <c r="G1423" s="484">
        <v>939.95230000000004</v>
      </c>
      <c r="H1423" s="484">
        <v>881.32084999999995</v>
      </c>
      <c r="I1423" s="480">
        <v>26.25</v>
      </c>
      <c r="J1423" s="485" t="s">
        <v>10</v>
      </c>
    </row>
    <row r="1424" spans="1:10" ht="51" outlineLevel="3">
      <c r="A1424" s="476" t="s">
        <v>2126</v>
      </c>
      <c r="B1424" s="477" t="s">
        <v>2127</v>
      </c>
      <c r="C1424" s="478"/>
      <c r="D1424" s="477"/>
      <c r="E1424" s="479">
        <v>177.45525000000001</v>
      </c>
      <c r="F1424" s="479">
        <v>177.45525000000001</v>
      </c>
      <c r="G1424" s="479">
        <v>177.45525000000001</v>
      </c>
      <c r="H1424" s="479">
        <v>2.7233999999999998</v>
      </c>
      <c r="I1424" s="480">
        <v>1.53</v>
      </c>
      <c r="J1424" s="480"/>
    </row>
    <row r="1425" spans="1:10" ht="51" outlineLevel="4">
      <c r="A1425" s="481" t="s">
        <v>2126</v>
      </c>
      <c r="B1425" s="482" t="s">
        <v>2127</v>
      </c>
      <c r="C1425" s="483" t="s">
        <v>2124</v>
      </c>
      <c r="D1425" s="482" t="s">
        <v>2125</v>
      </c>
      <c r="E1425" s="484">
        <v>177.45525000000001</v>
      </c>
      <c r="F1425" s="484">
        <v>177.45525000000001</v>
      </c>
      <c r="G1425" s="484">
        <v>177.45525000000001</v>
      </c>
      <c r="H1425" s="484">
        <v>2.7233999999999998</v>
      </c>
      <c r="I1425" s="480">
        <v>1.53</v>
      </c>
      <c r="J1425" s="480"/>
    </row>
    <row r="1426" spans="1:10" ht="25.5" outlineLevel="3">
      <c r="A1426" s="476" t="s">
        <v>2128</v>
      </c>
      <c r="B1426" s="477" t="s">
        <v>2129</v>
      </c>
      <c r="C1426" s="478"/>
      <c r="D1426" s="477"/>
      <c r="E1426" s="479">
        <v>4081.4079999999999</v>
      </c>
      <c r="F1426" s="479">
        <v>4081.4079999999999</v>
      </c>
      <c r="G1426" s="479">
        <v>0</v>
      </c>
      <c r="H1426" s="479">
        <v>0</v>
      </c>
      <c r="I1426" s="480">
        <v>0</v>
      </c>
      <c r="J1426" s="480"/>
    </row>
    <row r="1427" spans="1:10" ht="25.5" outlineLevel="4">
      <c r="A1427" s="481" t="s">
        <v>2128</v>
      </c>
      <c r="B1427" s="482" t="s">
        <v>2129</v>
      </c>
      <c r="C1427" s="483" t="s">
        <v>2008</v>
      </c>
      <c r="D1427" s="482" t="s">
        <v>2009</v>
      </c>
      <c r="E1427" s="484">
        <v>4081.4079999999999</v>
      </c>
      <c r="F1427" s="484">
        <v>4081.4079999999999</v>
      </c>
      <c r="G1427" s="484">
        <v>0</v>
      </c>
      <c r="H1427" s="484">
        <v>0</v>
      </c>
      <c r="I1427" s="480">
        <v>0</v>
      </c>
      <c r="J1427" s="480"/>
    </row>
    <row r="1428" spans="1:10" ht="51" outlineLevel="2">
      <c r="A1428" s="471" t="s">
        <v>2130</v>
      </c>
      <c r="B1428" s="472" t="s">
        <v>2131</v>
      </c>
      <c r="C1428" s="473"/>
      <c r="D1428" s="472"/>
      <c r="E1428" s="474">
        <v>180</v>
      </c>
      <c r="F1428" s="474">
        <v>180</v>
      </c>
      <c r="G1428" s="474">
        <v>0</v>
      </c>
      <c r="H1428" s="474">
        <v>0</v>
      </c>
      <c r="I1428" s="475">
        <v>0</v>
      </c>
      <c r="J1428" s="475"/>
    </row>
    <row r="1429" spans="1:10" ht="25.5" outlineLevel="3">
      <c r="A1429" s="476" t="s">
        <v>713</v>
      </c>
      <c r="B1429" s="477" t="s">
        <v>2132</v>
      </c>
      <c r="C1429" s="478"/>
      <c r="D1429" s="477"/>
      <c r="E1429" s="479">
        <v>180</v>
      </c>
      <c r="F1429" s="479">
        <v>180</v>
      </c>
      <c r="G1429" s="479">
        <v>0</v>
      </c>
      <c r="H1429" s="479">
        <v>0</v>
      </c>
      <c r="I1429" s="480">
        <v>0</v>
      </c>
      <c r="J1429" s="480"/>
    </row>
    <row r="1430" spans="1:10" ht="25.5" outlineLevel="4">
      <c r="A1430" s="481" t="s">
        <v>713</v>
      </c>
      <c r="B1430" s="482" t="s">
        <v>2132</v>
      </c>
      <c r="C1430" s="483" t="s">
        <v>2008</v>
      </c>
      <c r="D1430" s="482" t="s">
        <v>2009</v>
      </c>
      <c r="E1430" s="484">
        <v>180</v>
      </c>
      <c r="F1430" s="484">
        <v>180</v>
      </c>
      <c r="G1430" s="484">
        <v>0</v>
      </c>
      <c r="H1430" s="484">
        <v>0</v>
      </c>
      <c r="I1430" s="480">
        <v>0</v>
      </c>
      <c r="J1430" s="480"/>
    </row>
    <row r="1431" spans="1:10" ht="38.25" outlineLevel="2">
      <c r="A1431" s="471" t="s">
        <v>2133</v>
      </c>
      <c r="B1431" s="472" t="s">
        <v>2134</v>
      </c>
      <c r="C1431" s="473"/>
      <c r="D1431" s="472"/>
      <c r="E1431" s="474">
        <v>144998.97099999999</v>
      </c>
      <c r="F1431" s="474">
        <v>144998.97099999999</v>
      </c>
      <c r="G1431" s="474">
        <v>77904.157999999996</v>
      </c>
      <c r="H1431" s="474">
        <v>77904.157999999996</v>
      </c>
      <c r="I1431" s="475">
        <v>53.73</v>
      </c>
      <c r="J1431" s="475"/>
    </row>
    <row r="1432" spans="1:10" ht="76.5" outlineLevel="3">
      <c r="A1432" s="476" t="s">
        <v>702</v>
      </c>
      <c r="B1432" s="477" t="s">
        <v>2135</v>
      </c>
      <c r="C1432" s="478"/>
      <c r="D1432" s="477"/>
      <c r="E1432" s="479">
        <v>142207.47099999999</v>
      </c>
      <c r="F1432" s="479">
        <v>142207.47099999999</v>
      </c>
      <c r="G1432" s="479">
        <v>77364.157999999996</v>
      </c>
      <c r="H1432" s="479">
        <v>77364.157999999996</v>
      </c>
      <c r="I1432" s="480">
        <v>54.4</v>
      </c>
      <c r="J1432" s="480"/>
    </row>
    <row r="1433" spans="1:10" ht="76.5" outlineLevel="4">
      <c r="A1433" s="481" t="s">
        <v>702</v>
      </c>
      <c r="B1433" s="482" t="s">
        <v>2135</v>
      </c>
      <c r="C1433" s="483" t="s">
        <v>2008</v>
      </c>
      <c r="D1433" s="482" t="s">
        <v>2009</v>
      </c>
      <c r="E1433" s="484">
        <v>142207.47099999999</v>
      </c>
      <c r="F1433" s="484">
        <v>142207.47099999999</v>
      </c>
      <c r="G1433" s="484">
        <v>77364.157999999996</v>
      </c>
      <c r="H1433" s="484">
        <v>77364.157999999996</v>
      </c>
      <c r="I1433" s="480">
        <v>54.4</v>
      </c>
      <c r="J1433" s="480"/>
    </row>
    <row r="1434" spans="1:10" ht="63.75" outlineLevel="3">
      <c r="A1434" s="476" t="s">
        <v>62</v>
      </c>
      <c r="B1434" s="477" t="s">
        <v>2136</v>
      </c>
      <c r="C1434" s="478"/>
      <c r="D1434" s="477"/>
      <c r="E1434" s="479">
        <v>2791.5</v>
      </c>
      <c r="F1434" s="479">
        <v>2791.5</v>
      </c>
      <c r="G1434" s="479">
        <v>540</v>
      </c>
      <c r="H1434" s="479">
        <v>540</v>
      </c>
      <c r="I1434" s="480">
        <v>19.34</v>
      </c>
      <c r="J1434" s="480"/>
    </row>
    <row r="1435" spans="1:10" ht="63.75" outlineLevel="4">
      <c r="A1435" s="481" t="s">
        <v>62</v>
      </c>
      <c r="B1435" s="482" t="s">
        <v>2136</v>
      </c>
      <c r="C1435" s="483" t="s">
        <v>2008</v>
      </c>
      <c r="D1435" s="482" t="s">
        <v>2009</v>
      </c>
      <c r="E1435" s="484">
        <v>2791.5</v>
      </c>
      <c r="F1435" s="484">
        <v>2791.5</v>
      </c>
      <c r="G1435" s="484">
        <v>540</v>
      </c>
      <c r="H1435" s="484">
        <v>540</v>
      </c>
      <c r="I1435" s="480">
        <v>19.34</v>
      </c>
      <c r="J1435" s="480"/>
    </row>
    <row r="1436" spans="1:10" ht="63.75" outlineLevel="2">
      <c r="A1436" s="471" t="s">
        <v>2137</v>
      </c>
      <c r="B1436" s="472" t="s">
        <v>2138</v>
      </c>
      <c r="C1436" s="473"/>
      <c r="D1436" s="472"/>
      <c r="E1436" s="474">
        <v>83070.711859999996</v>
      </c>
      <c r="F1436" s="474">
        <v>83070.711859999996</v>
      </c>
      <c r="G1436" s="474">
        <v>42764.102350000001</v>
      </c>
      <c r="H1436" s="474">
        <v>37422.495949999997</v>
      </c>
      <c r="I1436" s="475">
        <v>45.05</v>
      </c>
      <c r="J1436" s="475"/>
    </row>
    <row r="1437" spans="1:10" ht="25.5" outlineLevel="3">
      <c r="A1437" s="476" t="s">
        <v>873</v>
      </c>
      <c r="B1437" s="477" t="s">
        <v>2139</v>
      </c>
      <c r="C1437" s="478"/>
      <c r="D1437" s="477"/>
      <c r="E1437" s="479">
        <v>42378.923860000003</v>
      </c>
      <c r="F1437" s="479">
        <v>42378.923860000003</v>
      </c>
      <c r="G1437" s="479">
        <v>22734.884669999999</v>
      </c>
      <c r="H1437" s="479">
        <v>17714.715069999998</v>
      </c>
      <c r="I1437" s="480">
        <v>41.8</v>
      </c>
      <c r="J1437" s="480"/>
    </row>
    <row r="1438" spans="1:10" ht="25.5" outlineLevel="4">
      <c r="A1438" s="481" t="s">
        <v>873</v>
      </c>
      <c r="B1438" s="482" t="s">
        <v>2139</v>
      </c>
      <c r="C1438" s="483" t="s">
        <v>2008</v>
      </c>
      <c r="D1438" s="482" t="s">
        <v>2009</v>
      </c>
      <c r="E1438" s="484">
        <v>42378.923860000003</v>
      </c>
      <c r="F1438" s="484">
        <v>42378.923860000003</v>
      </c>
      <c r="G1438" s="484">
        <v>22734.884669999999</v>
      </c>
      <c r="H1438" s="484">
        <v>17714.715069999998</v>
      </c>
      <c r="I1438" s="480">
        <v>41.8</v>
      </c>
      <c r="J1438" s="480"/>
    </row>
    <row r="1439" spans="1:10" ht="38.25" outlineLevel="3">
      <c r="A1439" s="476" t="s">
        <v>854</v>
      </c>
      <c r="B1439" s="477" t="s">
        <v>2140</v>
      </c>
      <c r="C1439" s="478"/>
      <c r="D1439" s="477"/>
      <c r="E1439" s="479">
        <v>950</v>
      </c>
      <c r="F1439" s="479">
        <v>950</v>
      </c>
      <c r="G1439" s="479">
        <v>555.97245999999996</v>
      </c>
      <c r="H1439" s="479">
        <v>454.19495999999998</v>
      </c>
      <c r="I1439" s="480">
        <v>47.81</v>
      </c>
      <c r="J1439" s="480"/>
    </row>
    <row r="1440" spans="1:10" ht="38.25" outlineLevel="4">
      <c r="A1440" s="481" t="s">
        <v>854</v>
      </c>
      <c r="B1440" s="482" t="s">
        <v>2140</v>
      </c>
      <c r="C1440" s="483" t="s">
        <v>2008</v>
      </c>
      <c r="D1440" s="482" t="s">
        <v>2009</v>
      </c>
      <c r="E1440" s="484">
        <v>950</v>
      </c>
      <c r="F1440" s="484">
        <v>950</v>
      </c>
      <c r="G1440" s="484">
        <v>555.97245999999996</v>
      </c>
      <c r="H1440" s="484">
        <v>454.19495999999998</v>
      </c>
      <c r="I1440" s="480">
        <v>47.81</v>
      </c>
      <c r="J1440" s="480"/>
    </row>
    <row r="1441" spans="1:10" ht="76.5" outlineLevel="3">
      <c r="A1441" s="476" t="s">
        <v>702</v>
      </c>
      <c r="B1441" s="477" t="s">
        <v>2141</v>
      </c>
      <c r="C1441" s="478"/>
      <c r="D1441" s="477"/>
      <c r="E1441" s="479">
        <v>38391.788</v>
      </c>
      <c r="F1441" s="479">
        <v>38391.788</v>
      </c>
      <c r="G1441" s="479">
        <v>19173.245220000001</v>
      </c>
      <c r="H1441" s="479">
        <v>19173.245220000001</v>
      </c>
      <c r="I1441" s="480">
        <v>49.94</v>
      </c>
      <c r="J1441" s="480"/>
    </row>
    <row r="1442" spans="1:10" ht="76.5" outlineLevel="4">
      <c r="A1442" s="481" t="s">
        <v>702</v>
      </c>
      <c r="B1442" s="482" t="s">
        <v>2141</v>
      </c>
      <c r="C1442" s="483" t="s">
        <v>2008</v>
      </c>
      <c r="D1442" s="482" t="s">
        <v>2009</v>
      </c>
      <c r="E1442" s="484">
        <v>38391.788</v>
      </c>
      <c r="F1442" s="484">
        <v>38391.788</v>
      </c>
      <c r="G1442" s="484">
        <v>19173.245220000001</v>
      </c>
      <c r="H1442" s="484">
        <v>19173.245220000001</v>
      </c>
      <c r="I1442" s="480">
        <v>49.94</v>
      </c>
      <c r="J1442" s="480"/>
    </row>
    <row r="1443" spans="1:10" ht="63.75" outlineLevel="3">
      <c r="A1443" s="476" t="s">
        <v>62</v>
      </c>
      <c r="B1443" s="477" t="s">
        <v>2142</v>
      </c>
      <c r="C1443" s="478"/>
      <c r="D1443" s="477"/>
      <c r="E1443" s="479">
        <v>1200</v>
      </c>
      <c r="F1443" s="479">
        <v>1200</v>
      </c>
      <c r="G1443" s="479">
        <v>300</v>
      </c>
      <c r="H1443" s="479">
        <v>80.340699999999998</v>
      </c>
      <c r="I1443" s="480">
        <v>6.7</v>
      </c>
      <c r="J1443" s="480"/>
    </row>
    <row r="1444" spans="1:10" ht="63.75" outlineLevel="4">
      <c r="A1444" s="481" t="s">
        <v>62</v>
      </c>
      <c r="B1444" s="482" t="s">
        <v>2142</v>
      </c>
      <c r="C1444" s="483" t="s">
        <v>2008</v>
      </c>
      <c r="D1444" s="482" t="s">
        <v>2009</v>
      </c>
      <c r="E1444" s="484">
        <v>1200</v>
      </c>
      <c r="F1444" s="484">
        <v>1200</v>
      </c>
      <c r="G1444" s="484">
        <v>300</v>
      </c>
      <c r="H1444" s="484">
        <v>80.340699999999998</v>
      </c>
      <c r="I1444" s="480">
        <v>6.7</v>
      </c>
      <c r="J1444" s="480"/>
    </row>
    <row r="1445" spans="1:10" ht="51" outlineLevel="3">
      <c r="A1445" s="476" t="s">
        <v>861</v>
      </c>
      <c r="B1445" s="477" t="s">
        <v>2143</v>
      </c>
      <c r="C1445" s="478"/>
      <c r="D1445" s="477"/>
      <c r="E1445" s="479">
        <v>150</v>
      </c>
      <c r="F1445" s="479">
        <v>150</v>
      </c>
      <c r="G1445" s="479">
        <v>0</v>
      </c>
      <c r="H1445" s="479">
        <v>0</v>
      </c>
      <c r="I1445" s="480">
        <v>0</v>
      </c>
      <c r="J1445" s="480"/>
    </row>
    <row r="1446" spans="1:10" ht="51" outlineLevel="4">
      <c r="A1446" s="481" t="s">
        <v>861</v>
      </c>
      <c r="B1446" s="482" t="s">
        <v>2143</v>
      </c>
      <c r="C1446" s="483" t="s">
        <v>2008</v>
      </c>
      <c r="D1446" s="482" t="s">
        <v>2009</v>
      </c>
      <c r="E1446" s="484">
        <v>150</v>
      </c>
      <c r="F1446" s="484">
        <v>150</v>
      </c>
      <c r="G1446" s="484">
        <v>0</v>
      </c>
      <c r="H1446" s="484">
        <v>0</v>
      </c>
      <c r="I1446" s="480">
        <v>0</v>
      </c>
      <c r="J1446" s="480"/>
    </row>
    <row r="1447" spans="1:10" ht="76.5" outlineLevel="2">
      <c r="A1447" s="471" t="s">
        <v>2144</v>
      </c>
      <c r="B1447" s="472" t="s">
        <v>2145</v>
      </c>
      <c r="C1447" s="473"/>
      <c r="D1447" s="472"/>
      <c r="E1447" s="474">
        <v>139491.54889999999</v>
      </c>
      <c r="F1447" s="474">
        <v>125132.05719000001</v>
      </c>
      <c r="G1447" s="474">
        <v>56662.453580000001</v>
      </c>
      <c r="H1447" s="474">
        <v>52340.695570000003</v>
      </c>
      <c r="I1447" s="475">
        <v>37.520000000000003</v>
      </c>
      <c r="J1447" s="475"/>
    </row>
    <row r="1448" spans="1:10" ht="25.5" outlineLevel="3">
      <c r="A1448" s="476" t="s">
        <v>873</v>
      </c>
      <c r="B1448" s="477" t="s">
        <v>2146</v>
      </c>
      <c r="C1448" s="478"/>
      <c r="D1448" s="477"/>
      <c r="E1448" s="479">
        <v>33073.878219999999</v>
      </c>
      <c r="F1448" s="479">
        <v>30229.68651</v>
      </c>
      <c r="G1448" s="479">
        <v>10920</v>
      </c>
      <c r="H1448" s="479">
        <v>7429.4419900000003</v>
      </c>
      <c r="I1448" s="480">
        <v>22.46</v>
      </c>
      <c r="J1448" s="480"/>
    </row>
    <row r="1449" spans="1:10" ht="25.5" outlineLevel="4">
      <c r="A1449" s="481" t="s">
        <v>873</v>
      </c>
      <c r="B1449" s="482" t="s">
        <v>2146</v>
      </c>
      <c r="C1449" s="483" t="s">
        <v>1641</v>
      </c>
      <c r="D1449" s="482" t="s">
        <v>1642</v>
      </c>
      <c r="E1449" s="484">
        <v>33073.878219999999</v>
      </c>
      <c r="F1449" s="484">
        <v>30229.68651</v>
      </c>
      <c r="G1449" s="484">
        <v>10920</v>
      </c>
      <c r="H1449" s="484">
        <v>7429.4419900000003</v>
      </c>
      <c r="I1449" s="480">
        <v>22.46</v>
      </c>
      <c r="J1449" s="480"/>
    </row>
    <row r="1450" spans="1:10" ht="38.25" outlineLevel="3">
      <c r="A1450" s="476" t="s">
        <v>854</v>
      </c>
      <c r="B1450" s="477" t="s">
        <v>2147</v>
      </c>
      <c r="C1450" s="478"/>
      <c r="D1450" s="477"/>
      <c r="E1450" s="479">
        <v>300.3</v>
      </c>
      <c r="F1450" s="479">
        <v>300</v>
      </c>
      <c r="G1450" s="479">
        <v>153.34117000000001</v>
      </c>
      <c r="H1450" s="479">
        <v>53.341169999999998</v>
      </c>
      <c r="I1450" s="480">
        <v>17.760000000000002</v>
      </c>
      <c r="J1450" s="480"/>
    </row>
    <row r="1451" spans="1:10" ht="38.25" outlineLevel="4">
      <c r="A1451" s="481" t="s">
        <v>854</v>
      </c>
      <c r="B1451" s="482" t="s">
        <v>2147</v>
      </c>
      <c r="C1451" s="483" t="s">
        <v>1641</v>
      </c>
      <c r="D1451" s="482" t="s">
        <v>1642</v>
      </c>
      <c r="E1451" s="484">
        <v>300.3</v>
      </c>
      <c r="F1451" s="484">
        <v>300</v>
      </c>
      <c r="G1451" s="484">
        <v>153.34117000000001</v>
      </c>
      <c r="H1451" s="484">
        <v>53.341169999999998</v>
      </c>
      <c r="I1451" s="480">
        <v>17.760000000000002</v>
      </c>
      <c r="J1451" s="480"/>
    </row>
    <row r="1452" spans="1:10" ht="63.75" outlineLevel="3">
      <c r="A1452" s="476" t="s">
        <v>62</v>
      </c>
      <c r="B1452" s="477" t="s">
        <v>2148</v>
      </c>
      <c r="C1452" s="478"/>
      <c r="D1452" s="477"/>
      <c r="E1452" s="479">
        <v>500</v>
      </c>
      <c r="F1452" s="479">
        <v>0</v>
      </c>
      <c r="G1452" s="479">
        <v>0</v>
      </c>
      <c r="H1452" s="479">
        <v>0</v>
      </c>
      <c r="I1452" s="480">
        <v>0</v>
      </c>
      <c r="J1452" s="480"/>
    </row>
    <row r="1453" spans="1:10" ht="63.75" outlineLevel="4">
      <c r="A1453" s="481" t="s">
        <v>62</v>
      </c>
      <c r="B1453" s="482" t="s">
        <v>2148</v>
      </c>
      <c r="C1453" s="483" t="s">
        <v>1641</v>
      </c>
      <c r="D1453" s="482" t="s">
        <v>1642</v>
      </c>
      <c r="E1453" s="484">
        <v>500</v>
      </c>
      <c r="F1453" s="484">
        <v>0</v>
      </c>
      <c r="G1453" s="484">
        <v>0</v>
      </c>
      <c r="H1453" s="484">
        <v>0</v>
      </c>
      <c r="I1453" s="480">
        <v>0</v>
      </c>
      <c r="J1453" s="480"/>
    </row>
    <row r="1454" spans="1:10" ht="25.5" outlineLevel="3">
      <c r="A1454" s="476" t="s">
        <v>713</v>
      </c>
      <c r="B1454" s="477" t="s">
        <v>2149</v>
      </c>
      <c r="C1454" s="478"/>
      <c r="D1454" s="477"/>
      <c r="E1454" s="479">
        <v>4260</v>
      </c>
      <c r="F1454" s="479">
        <v>4260</v>
      </c>
      <c r="G1454" s="479">
        <v>0</v>
      </c>
      <c r="H1454" s="479">
        <v>0</v>
      </c>
      <c r="I1454" s="480">
        <v>0</v>
      </c>
      <c r="J1454" s="480"/>
    </row>
    <row r="1455" spans="1:10" ht="25.5" outlineLevel="4">
      <c r="A1455" s="481" t="s">
        <v>713</v>
      </c>
      <c r="B1455" s="482" t="s">
        <v>2149</v>
      </c>
      <c r="C1455" s="483" t="s">
        <v>1641</v>
      </c>
      <c r="D1455" s="482" t="s">
        <v>1642</v>
      </c>
      <c r="E1455" s="484">
        <v>4260</v>
      </c>
      <c r="F1455" s="484">
        <v>4260</v>
      </c>
      <c r="G1455" s="484">
        <v>0</v>
      </c>
      <c r="H1455" s="484">
        <v>0</v>
      </c>
      <c r="I1455" s="480">
        <v>0</v>
      </c>
      <c r="J1455" s="480"/>
    </row>
    <row r="1456" spans="1:10" ht="25.5" outlineLevel="3">
      <c r="A1456" s="476" t="s">
        <v>706</v>
      </c>
      <c r="B1456" s="477" t="s">
        <v>2150</v>
      </c>
      <c r="C1456" s="478"/>
      <c r="D1456" s="477"/>
      <c r="E1456" s="479">
        <v>20915</v>
      </c>
      <c r="F1456" s="479">
        <v>9900</v>
      </c>
      <c r="G1456" s="479">
        <v>8300</v>
      </c>
      <c r="H1456" s="479">
        <v>8300</v>
      </c>
      <c r="I1456" s="480">
        <v>39.68</v>
      </c>
      <c r="J1456" s="480"/>
    </row>
    <row r="1457" spans="1:10" ht="25.5" outlineLevel="4">
      <c r="A1457" s="481" t="s">
        <v>706</v>
      </c>
      <c r="B1457" s="482" t="s">
        <v>2150</v>
      </c>
      <c r="C1457" s="483" t="s">
        <v>1641</v>
      </c>
      <c r="D1457" s="482" t="s">
        <v>1642</v>
      </c>
      <c r="E1457" s="484">
        <v>20915</v>
      </c>
      <c r="F1457" s="484">
        <v>9900</v>
      </c>
      <c r="G1457" s="484">
        <v>8300</v>
      </c>
      <c r="H1457" s="484">
        <v>8300</v>
      </c>
      <c r="I1457" s="480">
        <v>39.68</v>
      </c>
      <c r="J1457" s="480"/>
    </row>
    <row r="1458" spans="1:10" ht="51" outlineLevel="3">
      <c r="A1458" s="476" t="s">
        <v>2151</v>
      </c>
      <c r="B1458" s="477" t="s">
        <v>2152</v>
      </c>
      <c r="C1458" s="478"/>
      <c r="D1458" s="477"/>
      <c r="E1458" s="479">
        <v>41546.1</v>
      </c>
      <c r="F1458" s="479">
        <v>41546.1</v>
      </c>
      <c r="G1458" s="479">
        <v>12250</v>
      </c>
      <c r="H1458" s="479">
        <v>11518.8</v>
      </c>
      <c r="I1458" s="480">
        <v>27.73</v>
      </c>
      <c r="J1458" s="480"/>
    </row>
    <row r="1459" spans="1:10" ht="51" outlineLevel="4">
      <c r="A1459" s="481" t="s">
        <v>2151</v>
      </c>
      <c r="B1459" s="482" t="s">
        <v>2152</v>
      </c>
      <c r="C1459" s="483" t="s">
        <v>1641</v>
      </c>
      <c r="D1459" s="482" t="s">
        <v>1642</v>
      </c>
      <c r="E1459" s="484">
        <v>41546.1</v>
      </c>
      <c r="F1459" s="484">
        <v>41546.1</v>
      </c>
      <c r="G1459" s="484">
        <v>12250</v>
      </c>
      <c r="H1459" s="484">
        <v>11518.8</v>
      </c>
      <c r="I1459" s="480">
        <v>27.73</v>
      </c>
      <c r="J1459" s="480"/>
    </row>
    <row r="1460" spans="1:10" ht="38.25" outlineLevel="3">
      <c r="A1460" s="476" t="s">
        <v>2153</v>
      </c>
      <c r="B1460" s="477" t="s">
        <v>2154</v>
      </c>
      <c r="C1460" s="478"/>
      <c r="D1460" s="477"/>
      <c r="E1460" s="479">
        <v>38329.270680000001</v>
      </c>
      <c r="F1460" s="479">
        <v>38329.270680000001</v>
      </c>
      <c r="G1460" s="479">
        <v>24472.112410000002</v>
      </c>
      <c r="H1460" s="479">
        <v>24472.112410000002</v>
      </c>
      <c r="I1460" s="480">
        <v>63.85</v>
      </c>
      <c r="J1460" s="480"/>
    </row>
    <row r="1461" spans="1:10" ht="38.25" outlineLevel="4">
      <c r="A1461" s="481" t="s">
        <v>2153</v>
      </c>
      <c r="B1461" s="482" t="s">
        <v>2154</v>
      </c>
      <c r="C1461" s="483" t="s">
        <v>1641</v>
      </c>
      <c r="D1461" s="482" t="s">
        <v>1642</v>
      </c>
      <c r="E1461" s="484">
        <v>38329.270680000001</v>
      </c>
      <c r="F1461" s="484">
        <v>38329.270680000001</v>
      </c>
      <c r="G1461" s="484">
        <v>24472.112410000002</v>
      </c>
      <c r="H1461" s="484">
        <v>24472.112410000002</v>
      </c>
      <c r="I1461" s="480">
        <v>63.85</v>
      </c>
      <c r="J1461" s="480"/>
    </row>
    <row r="1462" spans="1:10" ht="63.75" outlineLevel="3">
      <c r="A1462" s="476" t="s">
        <v>62</v>
      </c>
      <c r="B1462" s="477" t="s">
        <v>2155</v>
      </c>
      <c r="C1462" s="478"/>
      <c r="D1462" s="477"/>
      <c r="E1462" s="479">
        <v>567</v>
      </c>
      <c r="F1462" s="479">
        <v>567</v>
      </c>
      <c r="G1462" s="479">
        <v>567</v>
      </c>
      <c r="H1462" s="479">
        <v>567</v>
      </c>
      <c r="I1462" s="480">
        <v>100</v>
      </c>
      <c r="J1462" s="480"/>
    </row>
    <row r="1463" spans="1:10" ht="63.75" outlineLevel="4">
      <c r="A1463" s="481" t="s">
        <v>62</v>
      </c>
      <c r="B1463" s="482" t="s">
        <v>2155</v>
      </c>
      <c r="C1463" s="483" t="s">
        <v>1641</v>
      </c>
      <c r="D1463" s="482" t="s">
        <v>1642</v>
      </c>
      <c r="E1463" s="484">
        <v>567</v>
      </c>
      <c r="F1463" s="484">
        <v>567</v>
      </c>
      <c r="G1463" s="484">
        <v>567</v>
      </c>
      <c r="H1463" s="484">
        <v>567</v>
      </c>
      <c r="I1463" s="480">
        <v>100</v>
      </c>
      <c r="J1463" s="480"/>
    </row>
    <row r="1464" spans="1:10" ht="25.5" outlineLevel="2">
      <c r="A1464" s="471" t="s">
        <v>2156</v>
      </c>
      <c r="B1464" s="472" t="s">
        <v>2157</v>
      </c>
      <c r="C1464" s="473"/>
      <c r="D1464" s="472"/>
      <c r="E1464" s="474">
        <v>113734</v>
      </c>
      <c r="F1464" s="474">
        <v>21825.26</v>
      </c>
      <c r="G1464" s="474">
        <v>0</v>
      </c>
      <c r="H1464" s="474">
        <v>0</v>
      </c>
      <c r="I1464" s="475">
        <v>0</v>
      </c>
      <c r="J1464" s="475"/>
    </row>
    <row r="1465" spans="1:10" ht="51" outlineLevel="3">
      <c r="A1465" s="476" t="s">
        <v>861</v>
      </c>
      <c r="B1465" s="477" t="s">
        <v>2158</v>
      </c>
      <c r="C1465" s="478"/>
      <c r="D1465" s="477"/>
      <c r="E1465" s="479">
        <v>113734</v>
      </c>
      <c r="F1465" s="479">
        <v>21825.26</v>
      </c>
      <c r="G1465" s="479">
        <v>0</v>
      </c>
      <c r="H1465" s="479">
        <v>0</v>
      </c>
      <c r="I1465" s="480">
        <v>0</v>
      </c>
      <c r="J1465" s="480"/>
    </row>
    <row r="1466" spans="1:10" ht="51" outlineLevel="4">
      <c r="A1466" s="481" t="s">
        <v>861</v>
      </c>
      <c r="B1466" s="482" t="s">
        <v>2158</v>
      </c>
      <c r="C1466" s="483" t="s">
        <v>2008</v>
      </c>
      <c r="D1466" s="482" t="s">
        <v>2009</v>
      </c>
      <c r="E1466" s="484">
        <v>113734</v>
      </c>
      <c r="F1466" s="484">
        <v>21825.26</v>
      </c>
      <c r="G1466" s="484">
        <v>0</v>
      </c>
      <c r="H1466" s="484">
        <v>0</v>
      </c>
      <c r="I1466" s="480">
        <v>0</v>
      </c>
      <c r="J1466" s="480"/>
    </row>
    <row r="1467" spans="1:10" ht="25.5" outlineLevel="2">
      <c r="A1467" s="471" t="s">
        <v>2159</v>
      </c>
      <c r="B1467" s="472" t="s">
        <v>2160</v>
      </c>
      <c r="C1467" s="473"/>
      <c r="D1467" s="472"/>
      <c r="E1467" s="474">
        <v>5900</v>
      </c>
      <c r="F1467" s="474">
        <v>5786.57</v>
      </c>
      <c r="G1467" s="474">
        <v>2946.44202</v>
      </c>
      <c r="H1467" s="474">
        <v>2411.0708500000001</v>
      </c>
      <c r="I1467" s="475">
        <v>40.869999999999997</v>
      </c>
      <c r="J1467" s="475"/>
    </row>
    <row r="1468" spans="1:10" ht="63.75" outlineLevel="3">
      <c r="A1468" s="476" t="s">
        <v>2161</v>
      </c>
      <c r="B1468" s="477" t="s">
        <v>2162</v>
      </c>
      <c r="C1468" s="478"/>
      <c r="D1468" s="477"/>
      <c r="E1468" s="479">
        <v>5900</v>
      </c>
      <c r="F1468" s="479">
        <v>5786.57</v>
      </c>
      <c r="G1468" s="479">
        <v>2946.44202</v>
      </c>
      <c r="H1468" s="479">
        <v>2411.0708500000001</v>
      </c>
      <c r="I1468" s="480">
        <v>40.869999999999997</v>
      </c>
      <c r="J1468" s="480"/>
    </row>
    <row r="1469" spans="1:10" ht="63.75" outlineLevel="4">
      <c r="A1469" s="481" t="s">
        <v>2161</v>
      </c>
      <c r="B1469" s="482" t="s">
        <v>2162</v>
      </c>
      <c r="C1469" s="483" t="s">
        <v>2008</v>
      </c>
      <c r="D1469" s="482" t="s">
        <v>2009</v>
      </c>
      <c r="E1469" s="484">
        <v>5900</v>
      </c>
      <c r="F1469" s="484">
        <v>5786.57</v>
      </c>
      <c r="G1469" s="484">
        <v>2946.44202</v>
      </c>
      <c r="H1469" s="484">
        <v>2411.0708500000001</v>
      </c>
      <c r="I1469" s="480">
        <v>40.869999999999997</v>
      </c>
      <c r="J1469" s="480"/>
    </row>
    <row r="1470" spans="1:10" ht="25.5" outlineLevel="2">
      <c r="A1470" s="471" t="s">
        <v>2163</v>
      </c>
      <c r="B1470" s="472" t="s">
        <v>2164</v>
      </c>
      <c r="C1470" s="473"/>
      <c r="D1470" s="472"/>
      <c r="E1470" s="474">
        <v>850</v>
      </c>
      <c r="F1470" s="474">
        <v>850</v>
      </c>
      <c r="G1470" s="474">
        <v>847.16489000000001</v>
      </c>
      <c r="H1470" s="474">
        <v>847.16489000000001</v>
      </c>
      <c r="I1470" s="475">
        <v>99.67</v>
      </c>
      <c r="J1470" s="475"/>
    </row>
    <row r="1471" spans="1:10" ht="63.75" outlineLevel="3">
      <c r="A1471" s="476" t="s">
        <v>2165</v>
      </c>
      <c r="B1471" s="477" t="s">
        <v>2166</v>
      </c>
      <c r="C1471" s="478"/>
      <c r="D1471" s="477"/>
      <c r="E1471" s="479">
        <v>850</v>
      </c>
      <c r="F1471" s="479">
        <v>850</v>
      </c>
      <c r="G1471" s="479">
        <v>847.16489000000001</v>
      </c>
      <c r="H1471" s="479">
        <v>847.16489000000001</v>
      </c>
      <c r="I1471" s="480">
        <v>99.67</v>
      </c>
      <c r="J1471" s="480"/>
    </row>
    <row r="1472" spans="1:10" ht="63.75" outlineLevel="4">
      <c r="A1472" s="481" t="s">
        <v>2165</v>
      </c>
      <c r="B1472" s="482" t="s">
        <v>2166</v>
      </c>
      <c r="C1472" s="483" t="s">
        <v>2008</v>
      </c>
      <c r="D1472" s="482" t="s">
        <v>2009</v>
      </c>
      <c r="E1472" s="484">
        <v>850</v>
      </c>
      <c r="F1472" s="484">
        <v>850</v>
      </c>
      <c r="G1472" s="484">
        <v>847.16489000000001</v>
      </c>
      <c r="H1472" s="484">
        <v>847.16489000000001</v>
      </c>
      <c r="I1472" s="480">
        <v>99.67</v>
      </c>
      <c r="J1472" s="480"/>
    </row>
    <row r="1473" spans="1:10" ht="25.5" outlineLevel="2">
      <c r="A1473" s="471" t="s">
        <v>2167</v>
      </c>
      <c r="B1473" s="472" t="s">
        <v>2168</v>
      </c>
      <c r="C1473" s="473"/>
      <c r="D1473" s="472"/>
      <c r="E1473" s="474">
        <v>39058.03875</v>
      </c>
      <c r="F1473" s="474">
        <v>38996.438750000001</v>
      </c>
      <c r="G1473" s="474">
        <v>17411.123469999999</v>
      </c>
      <c r="H1473" s="474">
        <v>9516.1044700000002</v>
      </c>
      <c r="I1473" s="475">
        <v>24.36</v>
      </c>
      <c r="J1473" s="475"/>
    </row>
    <row r="1474" spans="1:10" ht="63.75" outlineLevel="3">
      <c r="A1474" s="476" t="s">
        <v>2169</v>
      </c>
      <c r="B1474" s="477" t="s">
        <v>2170</v>
      </c>
      <c r="C1474" s="478"/>
      <c r="D1474" s="477"/>
      <c r="E1474" s="479">
        <v>4906.1000000000004</v>
      </c>
      <c r="F1474" s="479">
        <v>4906.1000000000004</v>
      </c>
      <c r="G1474" s="479">
        <v>891.85</v>
      </c>
      <c r="H1474" s="479">
        <v>445.92500000000001</v>
      </c>
      <c r="I1474" s="480">
        <v>9.09</v>
      </c>
      <c r="J1474" s="480"/>
    </row>
    <row r="1475" spans="1:10" ht="63.75" outlineLevel="4">
      <c r="A1475" s="481" t="s">
        <v>2169</v>
      </c>
      <c r="B1475" s="482" t="s">
        <v>2170</v>
      </c>
      <c r="C1475" s="483" t="s">
        <v>2008</v>
      </c>
      <c r="D1475" s="482" t="s">
        <v>2009</v>
      </c>
      <c r="E1475" s="484">
        <v>4906.1000000000004</v>
      </c>
      <c r="F1475" s="484">
        <v>4906.1000000000004</v>
      </c>
      <c r="G1475" s="484">
        <v>891.85</v>
      </c>
      <c r="H1475" s="484">
        <v>445.92500000000001</v>
      </c>
      <c r="I1475" s="480">
        <v>9.09</v>
      </c>
      <c r="J1475" s="480"/>
    </row>
    <row r="1476" spans="1:10" ht="76.5" outlineLevel="3">
      <c r="A1476" s="476" t="s">
        <v>2171</v>
      </c>
      <c r="B1476" s="477" t="s">
        <v>2172</v>
      </c>
      <c r="C1476" s="478"/>
      <c r="D1476" s="477"/>
      <c r="E1476" s="479">
        <v>19170.29</v>
      </c>
      <c r="F1476" s="479">
        <v>19170.29</v>
      </c>
      <c r="G1476" s="479">
        <v>10769.052</v>
      </c>
      <c r="H1476" s="479">
        <v>5319.2640000000001</v>
      </c>
      <c r="I1476" s="480">
        <v>27.75</v>
      </c>
      <c r="J1476" s="480"/>
    </row>
    <row r="1477" spans="1:10" ht="76.5" outlineLevel="4">
      <c r="A1477" s="481" t="s">
        <v>2171</v>
      </c>
      <c r="B1477" s="482" t="s">
        <v>2172</v>
      </c>
      <c r="C1477" s="483" t="s">
        <v>2008</v>
      </c>
      <c r="D1477" s="482" t="s">
        <v>2009</v>
      </c>
      <c r="E1477" s="484">
        <v>19170.29</v>
      </c>
      <c r="F1477" s="484">
        <v>19170.29</v>
      </c>
      <c r="G1477" s="484">
        <v>10769.052</v>
      </c>
      <c r="H1477" s="484">
        <v>5319.2640000000001</v>
      </c>
      <c r="I1477" s="480">
        <v>27.75</v>
      </c>
      <c r="J1477" s="480"/>
    </row>
    <row r="1478" spans="1:10" ht="102" outlineLevel="3">
      <c r="A1478" s="476" t="s">
        <v>2173</v>
      </c>
      <c r="B1478" s="477" t="s">
        <v>2174</v>
      </c>
      <c r="C1478" s="478"/>
      <c r="D1478" s="477"/>
      <c r="E1478" s="479">
        <v>1100</v>
      </c>
      <c r="F1478" s="479">
        <v>1038.4000000000001</v>
      </c>
      <c r="G1478" s="479">
        <v>853.59699999999998</v>
      </c>
      <c r="H1478" s="479">
        <v>385.435</v>
      </c>
      <c r="I1478" s="480">
        <v>35.04</v>
      </c>
      <c r="J1478" s="480"/>
    </row>
    <row r="1479" spans="1:10" ht="102" outlineLevel="4">
      <c r="A1479" s="481" t="s">
        <v>2173</v>
      </c>
      <c r="B1479" s="482" t="s">
        <v>2174</v>
      </c>
      <c r="C1479" s="483" t="s">
        <v>2008</v>
      </c>
      <c r="D1479" s="482" t="s">
        <v>2009</v>
      </c>
      <c r="E1479" s="484">
        <v>1100</v>
      </c>
      <c r="F1479" s="484">
        <v>1038.4000000000001</v>
      </c>
      <c r="G1479" s="484">
        <v>853.59699999999998</v>
      </c>
      <c r="H1479" s="484">
        <v>385.435</v>
      </c>
      <c r="I1479" s="480">
        <v>35.04</v>
      </c>
      <c r="J1479" s="480"/>
    </row>
    <row r="1480" spans="1:10" ht="25.5" outlineLevel="3">
      <c r="A1480" s="476" t="s">
        <v>2175</v>
      </c>
      <c r="B1480" s="477" t="s">
        <v>2176</v>
      </c>
      <c r="C1480" s="478"/>
      <c r="D1480" s="477"/>
      <c r="E1480" s="479">
        <v>8094.0955599999998</v>
      </c>
      <c r="F1480" s="479">
        <v>8094.0955599999998</v>
      </c>
      <c r="G1480" s="479">
        <v>4896.6244699999997</v>
      </c>
      <c r="H1480" s="479">
        <v>3365.48047</v>
      </c>
      <c r="I1480" s="480">
        <v>41.58</v>
      </c>
      <c r="J1480" s="480"/>
    </row>
    <row r="1481" spans="1:10" ht="25.5" outlineLevel="4">
      <c r="A1481" s="481" t="s">
        <v>2175</v>
      </c>
      <c r="B1481" s="482" t="s">
        <v>2176</v>
      </c>
      <c r="C1481" s="483" t="s">
        <v>2008</v>
      </c>
      <c r="D1481" s="482" t="s">
        <v>2009</v>
      </c>
      <c r="E1481" s="484">
        <v>8094.0955599999998</v>
      </c>
      <c r="F1481" s="484">
        <v>8094.0955599999998</v>
      </c>
      <c r="G1481" s="484">
        <v>4896.6244699999997</v>
      </c>
      <c r="H1481" s="484">
        <v>3365.48047</v>
      </c>
      <c r="I1481" s="480">
        <v>41.58</v>
      </c>
      <c r="J1481" s="480"/>
    </row>
    <row r="1482" spans="1:10" ht="51" outlineLevel="3">
      <c r="A1482" s="476" t="s">
        <v>2177</v>
      </c>
      <c r="B1482" s="477" t="s">
        <v>2178</v>
      </c>
      <c r="C1482" s="478"/>
      <c r="D1482" s="477"/>
      <c r="E1482" s="479">
        <v>5787.5531899999996</v>
      </c>
      <c r="F1482" s="479">
        <v>5787.5531899999996</v>
      </c>
      <c r="G1482" s="479">
        <v>0</v>
      </c>
      <c r="H1482" s="479">
        <v>0</v>
      </c>
      <c r="I1482" s="480">
        <v>0</v>
      </c>
      <c r="J1482" s="480"/>
    </row>
    <row r="1483" spans="1:10" ht="51" outlineLevel="4">
      <c r="A1483" s="481" t="s">
        <v>2177</v>
      </c>
      <c r="B1483" s="482" t="s">
        <v>2178</v>
      </c>
      <c r="C1483" s="483" t="s">
        <v>2008</v>
      </c>
      <c r="D1483" s="482" t="s">
        <v>2009</v>
      </c>
      <c r="E1483" s="484">
        <v>5787.5531899999996</v>
      </c>
      <c r="F1483" s="484">
        <v>5787.5531899999996</v>
      </c>
      <c r="G1483" s="484">
        <v>0</v>
      </c>
      <c r="H1483" s="484">
        <v>0</v>
      </c>
      <c r="I1483" s="480">
        <v>0</v>
      </c>
      <c r="J1483" s="485" t="s">
        <v>10</v>
      </c>
    </row>
    <row r="1484" spans="1:10" ht="76.5" outlineLevel="1">
      <c r="A1484" s="466" t="s">
        <v>2179</v>
      </c>
      <c r="B1484" s="467" t="s">
        <v>2180</v>
      </c>
      <c r="C1484" s="468"/>
      <c r="D1484" s="467"/>
      <c r="E1484" s="469">
        <v>399.6</v>
      </c>
      <c r="F1484" s="469">
        <v>399.6</v>
      </c>
      <c r="G1484" s="469">
        <v>199.8</v>
      </c>
      <c r="H1484" s="469">
        <v>99.9</v>
      </c>
      <c r="I1484" s="470">
        <v>25</v>
      </c>
      <c r="J1484" s="470"/>
    </row>
    <row r="1485" spans="1:10" ht="38.25" outlineLevel="2">
      <c r="A1485" s="471" t="s">
        <v>2181</v>
      </c>
      <c r="B1485" s="472" t="s">
        <v>2182</v>
      </c>
      <c r="C1485" s="473"/>
      <c r="D1485" s="472"/>
      <c r="E1485" s="474">
        <v>399.6</v>
      </c>
      <c r="F1485" s="474">
        <v>399.6</v>
      </c>
      <c r="G1485" s="474">
        <v>199.8</v>
      </c>
      <c r="H1485" s="474">
        <v>99.9</v>
      </c>
      <c r="I1485" s="475">
        <v>25</v>
      </c>
      <c r="J1485" s="475"/>
    </row>
    <row r="1486" spans="1:10" ht="51" outlineLevel="3">
      <c r="A1486" s="476" t="s">
        <v>861</v>
      </c>
      <c r="B1486" s="477" t="s">
        <v>2183</v>
      </c>
      <c r="C1486" s="478"/>
      <c r="D1486" s="477"/>
      <c r="E1486" s="479">
        <v>399.6</v>
      </c>
      <c r="F1486" s="479">
        <v>399.6</v>
      </c>
      <c r="G1486" s="479">
        <v>199.8</v>
      </c>
      <c r="H1486" s="479">
        <v>99.9</v>
      </c>
      <c r="I1486" s="480">
        <v>25</v>
      </c>
      <c r="J1486" s="480"/>
    </row>
    <row r="1487" spans="1:10" ht="51" outlineLevel="4">
      <c r="A1487" s="481" t="s">
        <v>861</v>
      </c>
      <c r="B1487" s="482" t="s">
        <v>2183</v>
      </c>
      <c r="C1487" s="483" t="s">
        <v>2008</v>
      </c>
      <c r="D1487" s="482" t="s">
        <v>2009</v>
      </c>
      <c r="E1487" s="484">
        <v>399.6</v>
      </c>
      <c r="F1487" s="484">
        <v>399.6</v>
      </c>
      <c r="G1487" s="484">
        <v>199.8</v>
      </c>
      <c r="H1487" s="484">
        <v>99.9</v>
      </c>
      <c r="I1487" s="480">
        <v>25</v>
      </c>
      <c r="J1487" s="480"/>
    </row>
    <row r="1488" spans="1:10" ht="90.75" collapsed="1" thickBot="1">
      <c r="A1488" s="461" t="s">
        <v>2184</v>
      </c>
      <c r="B1488" s="462" t="s">
        <v>2185</v>
      </c>
      <c r="C1488" s="463"/>
      <c r="D1488" s="462"/>
      <c r="E1488" s="464">
        <v>6440666.3552099997</v>
      </c>
      <c r="F1488" s="464">
        <v>6434203.4587300001</v>
      </c>
      <c r="G1488" s="464">
        <v>3030497.0074800001</v>
      </c>
      <c r="H1488" s="464">
        <v>3016156.7538899998</v>
      </c>
      <c r="I1488" s="465">
        <v>46.83</v>
      </c>
      <c r="J1488" s="465"/>
    </row>
    <row r="1489" spans="1:10" ht="25.5" outlineLevel="1">
      <c r="A1489" s="466" t="s">
        <v>2186</v>
      </c>
      <c r="B1489" s="467" t="s">
        <v>2187</v>
      </c>
      <c r="C1489" s="468"/>
      <c r="D1489" s="467"/>
      <c r="E1489" s="469">
        <v>705075.98033000005</v>
      </c>
      <c r="F1489" s="469">
        <v>705075.98033000005</v>
      </c>
      <c r="G1489" s="469">
        <v>132735.83115000001</v>
      </c>
      <c r="H1489" s="469">
        <v>128390.40575000001</v>
      </c>
      <c r="I1489" s="470">
        <v>18.21</v>
      </c>
      <c r="J1489" s="470"/>
    </row>
    <row r="1490" spans="1:10" ht="51" outlineLevel="2">
      <c r="A1490" s="471" t="s">
        <v>2188</v>
      </c>
      <c r="B1490" s="472" t="s">
        <v>2189</v>
      </c>
      <c r="C1490" s="473"/>
      <c r="D1490" s="472"/>
      <c r="E1490" s="474">
        <v>106884.80353</v>
      </c>
      <c r="F1490" s="474">
        <v>106884.80353</v>
      </c>
      <c r="G1490" s="474">
        <v>58140.299599999998</v>
      </c>
      <c r="H1490" s="474">
        <v>53794.874199999998</v>
      </c>
      <c r="I1490" s="475">
        <v>50.33</v>
      </c>
      <c r="J1490" s="475"/>
    </row>
    <row r="1491" spans="1:10" ht="25.5" outlineLevel="3">
      <c r="A1491" s="476" t="s">
        <v>873</v>
      </c>
      <c r="B1491" s="477" t="s">
        <v>2190</v>
      </c>
      <c r="C1491" s="478"/>
      <c r="D1491" s="477"/>
      <c r="E1491" s="479">
        <v>103115.51916</v>
      </c>
      <c r="F1491" s="479">
        <v>103115.51916</v>
      </c>
      <c r="G1491" s="479">
        <v>57590</v>
      </c>
      <c r="H1491" s="479">
        <v>53254.671029999998</v>
      </c>
      <c r="I1491" s="480">
        <v>51.65</v>
      </c>
      <c r="J1491" s="480"/>
    </row>
    <row r="1492" spans="1:10" ht="25.5" outlineLevel="4">
      <c r="A1492" s="481" t="s">
        <v>873</v>
      </c>
      <c r="B1492" s="482" t="s">
        <v>2190</v>
      </c>
      <c r="C1492" s="483" t="s">
        <v>2191</v>
      </c>
      <c r="D1492" s="482" t="s">
        <v>2192</v>
      </c>
      <c r="E1492" s="484">
        <v>103115.51916</v>
      </c>
      <c r="F1492" s="484">
        <v>103115.51916</v>
      </c>
      <c r="G1492" s="484">
        <v>57590</v>
      </c>
      <c r="H1492" s="484">
        <v>53254.671029999998</v>
      </c>
      <c r="I1492" s="480">
        <v>51.65</v>
      </c>
      <c r="J1492" s="480"/>
    </row>
    <row r="1493" spans="1:10" ht="38.25" outlineLevel="3">
      <c r="A1493" s="476" t="s">
        <v>854</v>
      </c>
      <c r="B1493" s="477" t="s">
        <v>2193</v>
      </c>
      <c r="C1493" s="478"/>
      <c r="D1493" s="477"/>
      <c r="E1493" s="479">
        <v>1933.2843700000001</v>
      </c>
      <c r="F1493" s="479">
        <v>1933.2843700000001</v>
      </c>
      <c r="G1493" s="479">
        <v>358.86642999999998</v>
      </c>
      <c r="H1493" s="479">
        <v>358.77</v>
      </c>
      <c r="I1493" s="480">
        <v>18.559999999999999</v>
      </c>
      <c r="J1493" s="480"/>
    </row>
    <row r="1494" spans="1:10" ht="38.25" outlineLevel="4">
      <c r="A1494" s="481" t="s">
        <v>854</v>
      </c>
      <c r="B1494" s="482" t="s">
        <v>2193</v>
      </c>
      <c r="C1494" s="483" t="s">
        <v>2191</v>
      </c>
      <c r="D1494" s="482" t="s">
        <v>2192</v>
      </c>
      <c r="E1494" s="484">
        <v>1933.2843700000001</v>
      </c>
      <c r="F1494" s="484">
        <v>1933.2843700000001</v>
      </c>
      <c r="G1494" s="484">
        <v>358.86642999999998</v>
      </c>
      <c r="H1494" s="484">
        <v>358.77</v>
      </c>
      <c r="I1494" s="480">
        <v>18.559999999999999</v>
      </c>
      <c r="J1494" s="480"/>
    </row>
    <row r="1495" spans="1:10" ht="63.75" outlineLevel="3">
      <c r="A1495" s="476" t="s">
        <v>62</v>
      </c>
      <c r="B1495" s="477" t="s">
        <v>2194</v>
      </c>
      <c r="C1495" s="478"/>
      <c r="D1495" s="477"/>
      <c r="E1495" s="479">
        <v>1300.8</v>
      </c>
      <c r="F1495" s="479">
        <v>1300.8</v>
      </c>
      <c r="G1495" s="479">
        <v>105.13317000000001</v>
      </c>
      <c r="H1495" s="479">
        <v>105.13317000000001</v>
      </c>
      <c r="I1495" s="480">
        <v>8.08</v>
      </c>
      <c r="J1495" s="480"/>
    </row>
    <row r="1496" spans="1:10" ht="63.75" outlineLevel="4">
      <c r="A1496" s="481" t="s">
        <v>62</v>
      </c>
      <c r="B1496" s="482" t="s">
        <v>2194</v>
      </c>
      <c r="C1496" s="483" t="s">
        <v>2191</v>
      </c>
      <c r="D1496" s="482" t="s">
        <v>2192</v>
      </c>
      <c r="E1496" s="484">
        <v>1300.8</v>
      </c>
      <c r="F1496" s="484">
        <v>1300.8</v>
      </c>
      <c r="G1496" s="484">
        <v>105.13317000000001</v>
      </c>
      <c r="H1496" s="484">
        <v>105.13317000000001</v>
      </c>
      <c r="I1496" s="480">
        <v>8.08</v>
      </c>
      <c r="J1496" s="480"/>
    </row>
    <row r="1497" spans="1:10" ht="76.5" outlineLevel="3">
      <c r="A1497" s="476" t="s">
        <v>156</v>
      </c>
      <c r="B1497" s="477" t="s">
        <v>2195</v>
      </c>
      <c r="C1497" s="478"/>
      <c r="D1497" s="477"/>
      <c r="E1497" s="479">
        <v>60</v>
      </c>
      <c r="F1497" s="479">
        <v>60</v>
      </c>
      <c r="G1497" s="479">
        <v>0</v>
      </c>
      <c r="H1497" s="479">
        <v>0</v>
      </c>
      <c r="I1497" s="480">
        <v>0</v>
      </c>
      <c r="J1497" s="480"/>
    </row>
    <row r="1498" spans="1:10" ht="76.5" outlineLevel="4">
      <c r="A1498" s="481" t="s">
        <v>156</v>
      </c>
      <c r="B1498" s="482" t="s">
        <v>2195</v>
      </c>
      <c r="C1498" s="483" t="s">
        <v>2191</v>
      </c>
      <c r="D1498" s="482" t="s">
        <v>2192</v>
      </c>
      <c r="E1498" s="484">
        <v>60</v>
      </c>
      <c r="F1498" s="484">
        <v>60</v>
      </c>
      <c r="G1498" s="484">
        <v>0</v>
      </c>
      <c r="H1498" s="484">
        <v>0</v>
      </c>
      <c r="I1498" s="480">
        <v>0</v>
      </c>
      <c r="J1498" s="480"/>
    </row>
    <row r="1499" spans="1:10" ht="76.5" outlineLevel="3">
      <c r="A1499" s="476" t="s">
        <v>1027</v>
      </c>
      <c r="B1499" s="477" t="s">
        <v>2196</v>
      </c>
      <c r="C1499" s="478"/>
      <c r="D1499" s="477"/>
      <c r="E1499" s="479">
        <v>425.2</v>
      </c>
      <c r="F1499" s="479">
        <v>425.2</v>
      </c>
      <c r="G1499" s="479">
        <v>36.299999999999997</v>
      </c>
      <c r="H1499" s="479">
        <v>26.3</v>
      </c>
      <c r="I1499" s="480">
        <v>6.19</v>
      </c>
      <c r="J1499" s="480"/>
    </row>
    <row r="1500" spans="1:10" ht="76.5" outlineLevel="4">
      <c r="A1500" s="481" t="s">
        <v>1027</v>
      </c>
      <c r="B1500" s="482" t="s">
        <v>2196</v>
      </c>
      <c r="C1500" s="483" t="s">
        <v>2191</v>
      </c>
      <c r="D1500" s="482" t="s">
        <v>2192</v>
      </c>
      <c r="E1500" s="484">
        <v>425.2</v>
      </c>
      <c r="F1500" s="484">
        <v>425.2</v>
      </c>
      <c r="G1500" s="484">
        <v>36.299999999999997</v>
      </c>
      <c r="H1500" s="484">
        <v>26.3</v>
      </c>
      <c r="I1500" s="480">
        <v>6.19</v>
      </c>
      <c r="J1500" s="480"/>
    </row>
    <row r="1501" spans="1:10" ht="25.5" outlineLevel="3">
      <c r="A1501" s="476" t="s">
        <v>713</v>
      </c>
      <c r="B1501" s="477" t="s">
        <v>2197</v>
      </c>
      <c r="C1501" s="478"/>
      <c r="D1501" s="477"/>
      <c r="E1501" s="479">
        <v>50</v>
      </c>
      <c r="F1501" s="479">
        <v>50</v>
      </c>
      <c r="G1501" s="479">
        <v>50</v>
      </c>
      <c r="H1501" s="479">
        <v>50</v>
      </c>
      <c r="I1501" s="480">
        <v>100</v>
      </c>
      <c r="J1501" s="480"/>
    </row>
    <row r="1502" spans="1:10" ht="25.5" outlineLevel="4">
      <c r="A1502" s="481" t="s">
        <v>713</v>
      </c>
      <c r="B1502" s="482" t="s">
        <v>2197</v>
      </c>
      <c r="C1502" s="483" t="s">
        <v>2191</v>
      </c>
      <c r="D1502" s="482" t="s">
        <v>2192</v>
      </c>
      <c r="E1502" s="484">
        <v>50</v>
      </c>
      <c r="F1502" s="484">
        <v>50</v>
      </c>
      <c r="G1502" s="484">
        <v>50</v>
      </c>
      <c r="H1502" s="484">
        <v>50</v>
      </c>
      <c r="I1502" s="480">
        <v>100</v>
      </c>
      <c r="J1502" s="480"/>
    </row>
    <row r="1503" spans="1:10" ht="76.5" outlineLevel="2">
      <c r="A1503" s="471" t="s">
        <v>2198</v>
      </c>
      <c r="B1503" s="472" t="s">
        <v>2199</v>
      </c>
      <c r="C1503" s="473"/>
      <c r="D1503" s="472"/>
      <c r="E1503" s="474">
        <v>110</v>
      </c>
      <c r="F1503" s="474">
        <v>110</v>
      </c>
      <c r="G1503" s="474">
        <v>0</v>
      </c>
      <c r="H1503" s="474">
        <v>0</v>
      </c>
      <c r="I1503" s="475">
        <v>0</v>
      </c>
      <c r="J1503" s="475"/>
    </row>
    <row r="1504" spans="1:10" ht="25.5" outlineLevel="3">
      <c r="A1504" s="476" t="s">
        <v>713</v>
      </c>
      <c r="B1504" s="477" t="s">
        <v>2200</v>
      </c>
      <c r="C1504" s="478"/>
      <c r="D1504" s="477"/>
      <c r="E1504" s="479">
        <v>110</v>
      </c>
      <c r="F1504" s="479">
        <v>110</v>
      </c>
      <c r="G1504" s="479">
        <v>0</v>
      </c>
      <c r="H1504" s="479">
        <v>0</v>
      </c>
      <c r="I1504" s="480">
        <v>0</v>
      </c>
      <c r="J1504" s="480"/>
    </row>
    <row r="1505" spans="1:10" ht="25.5" outlineLevel="4">
      <c r="A1505" s="481" t="s">
        <v>713</v>
      </c>
      <c r="B1505" s="482" t="s">
        <v>2200</v>
      </c>
      <c r="C1505" s="483" t="s">
        <v>2191</v>
      </c>
      <c r="D1505" s="482" t="s">
        <v>2192</v>
      </c>
      <c r="E1505" s="484">
        <v>110</v>
      </c>
      <c r="F1505" s="484">
        <v>110</v>
      </c>
      <c r="G1505" s="484">
        <v>0</v>
      </c>
      <c r="H1505" s="484">
        <v>0</v>
      </c>
      <c r="I1505" s="480">
        <v>0</v>
      </c>
      <c r="J1505" s="480"/>
    </row>
    <row r="1506" spans="1:10" ht="63.75" outlineLevel="2">
      <c r="A1506" s="471" t="s">
        <v>2201</v>
      </c>
      <c r="B1506" s="472" t="s">
        <v>2202</v>
      </c>
      <c r="C1506" s="473"/>
      <c r="D1506" s="472"/>
      <c r="E1506" s="474">
        <v>578143.05000000005</v>
      </c>
      <c r="F1506" s="474">
        <v>578143.05000000005</v>
      </c>
      <c r="G1506" s="474">
        <v>65991.874509999994</v>
      </c>
      <c r="H1506" s="474">
        <v>65991.874509999994</v>
      </c>
      <c r="I1506" s="475">
        <v>11.41</v>
      </c>
      <c r="J1506" s="475"/>
    </row>
    <row r="1507" spans="1:10" ht="25.5" outlineLevel="3">
      <c r="A1507" s="476" t="s">
        <v>2203</v>
      </c>
      <c r="B1507" s="477" t="s">
        <v>2204</v>
      </c>
      <c r="C1507" s="478"/>
      <c r="D1507" s="477"/>
      <c r="E1507" s="479">
        <v>577371.1</v>
      </c>
      <c r="F1507" s="479">
        <v>577371.1</v>
      </c>
      <c r="G1507" s="479">
        <v>65975.887010000006</v>
      </c>
      <c r="H1507" s="479">
        <v>65975.887010000006</v>
      </c>
      <c r="I1507" s="480">
        <v>11.43</v>
      </c>
      <c r="J1507" s="480"/>
    </row>
    <row r="1508" spans="1:10" ht="25.5" outlineLevel="4">
      <c r="A1508" s="481" t="s">
        <v>2203</v>
      </c>
      <c r="B1508" s="482" t="s">
        <v>2204</v>
      </c>
      <c r="C1508" s="483" t="s">
        <v>2191</v>
      </c>
      <c r="D1508" s="482" t="s">
        <v>2192</v>
      </c>
      <c r="E1508" s="484">
        <v>577371.1</v>
      </c>
      <c r="F1508" s="484">
        <v>577371.1</v>
      </c>
      <c r="G1508" s="484">
        <v>65975.887010000006</v>
      </c>
      <c r="H1508" s="484">
        <v>65975.887010000006</v>
      </c>
      <c r="I1508" s="480">
        <v>11.43</v>
      </c>
      <c r="J1508" s="480"/>
    </row>
    <row r="1509" spans="1:10" ht="25.5" outlineLevel="3">
      <c r="A1509" s="476" t="s">
        <v>713</v>
      </c>
      <c r="B1509" s="477" t="s">
        <v>2205</v>
      </c>
      <c r="C1509" s="478"/>
      <c r="D1509" s="477"/>
      <c r="E1509" s="479">
        <v>771.95</v>
      </c>
      <c r="F1509" s="479">
        <v>771.95</v>
      </c>
      <c r="G1509" s="479">
        <v>15.987500000000001</v>
      </c>
      <c r="H1509" s="479">
        <v>15.987500000000001</v>
      </c>
      <c r="I1509" s="480">
        <v>2.0699999999999998</v>
      </c>
      <c r="J1509" s="480"/>
    </row>
    <row r="1510" spans="1:10" ht="25.5" outlineLevel="4">
      <c r="A1510" s="481" t="s">
        <v>713</v>
      </c>
      <c r="B1510" s="482" t="s">
        <v>2205</v>
      </c>
      <c r="C1510" s="483" t="s">
        <v>2191</v>
      </c>
      <c r="D1510" s="482" t="s">
        <v>2192</v>
      </c>
      <c r="E1510" s="484">
        <v>771.95</v>
      </c>
      <c r="F1510" s="484">
        <v>771.95</v>
      </c>
      <c r="G1510" s="484">
        <v>15.987500000000001</v>
      </c>
      <c r="H1510" s="484">
        <v>15.987500000000001</v>
      </c>
      <c r="I1510" s="480">
        <v>2.0699999999999998</v>
      </c>
      <c r="J1510" s="480"/>
    </row>
    <row r="1511" spans="1:10" ht="63.75" outlineLevel="2">
      <c r="A1511" s="471" t="s">
        <v>2206</v>
      </c>
      <c r="B1511" s="472" t="s">
        <v>2207</v>
      </c>
      <c r="C1511" s="473"/>
      <c r="D1511" s="472"/>
      <c r="E1511" s="474">
        <v>19938.126799999998</v>
      </c>
      <c r="F1511" s="474">
        <v>19938.126799999998</v>
      </c>
      <c r="G1511" s="474">
        <v>8603.6570400000001</v>
      </c>
      <c r="H1511" s="474">
        <v>8603.6570400000001</v>
      </c>
      <c r="I1511" s="475">
        <v>43.15</v>
      </c>
      <c r="J1511" s="475"/>
    </row>
    <row r="1512" spans="1:10" ht="51" outlineLevel="3">
      <c r="A1512" s="476" t="s">
        <v>861</v>
      </c>
      <c r="B1512" s="477" t="s">
        <v>2208</v>
      </c>
      <c r="C1512" s="478"/>
      <c r="D1512" s="477"/>
      <c r="E1512" s="479">
        <v>19938.126799999998</v>
      </c>
      <c r="F1512" s="479">
        <v>19938.126799999998</v>
      </c>
      <c r="G1512" s="479">
        <v>8603.6570400000001</v>
      </c>
      <c r="H1512" s="479">
        <v>8603.6570400000001</v>
      </c>
      <c r="I1512" s="480">
        <v>43.15</v>
      </c>
      <c r="J1512" s="480"/>
    </row>
    <row r="1513" spans="1:10" ht="51" outlineLevel="4">
      <c r="A1513" s="481" t="s">
        <v>861</v>
      </c>
      <c r="B1513" s="482" t="s">
        <v>2208</v>
      </c>
      <c r="C1513" s="483" t="s">
        <v>2191</v>
      </c>
      <c r="D1513" s="482" t="s">
        <v>2192</v>
      </c>
      <c r="E1513" s="484">
        <v>19938.126799999998</v>
      </c>
      <c r="F1513" s="484">
        <v>19938.126799999998</v>
      </c>
      <c r="G1513" s="484">
        <v>8603.6570400000001</v>
      </c>
      <c r="H1513" s="484">
        <v>8603.6570400000001</v>
      </c>
      <c r="I1513" s="480">
        <v>43.15</v>
      </c>
      <c r="J1513" s="480"/>
    </row>
    <row r="1514" spans="1:10" ht="76.5" outlineLevel="1">
      <c r="A1514" s="466" t="s">
        <v>2209</v>
      </c>
      <c r="B1514" s="467" t="s">
        <v>2210</v>
      </c>
      <c r="C1514" s="468"/>
      <c r="D1514" s="467"/>
      <c r="E1514" s="469">
        <v>5633513.642</v>
      </c>
      <c r="F1514" s="469">
        <v>5628513.642</v>
      </c>
      <c r="G1514" s="469">
        <v>2850848.29904</v>
      </c>
      <c r="H1514" s="469">
        <v>2849649.6253</v>
      </c>
      <c r="I1514" s="470">
        <v>50.58</v>
      </c>
      <c r="J1514" s="470"/>
    </row>
    <row r="1515" spans="1:10" ht="51" outlineLevel="2">
      <c r="A1515" s="471" t="s">
        <v>2211</v>
      </c>
      <c r="B1515" s="472" t="s">
        <v>2212</v>
      </c>
      <c r="C1515" s="473"/>
      <c r="D1515" s="472"/>
      <c r="E1515" s="474">
        <v>3928513.2110000001</v>
      </c>
      <c r="F1515" s="474">
        <v>3928513.2110000001</v>
      </c>
      <c r="G1515" s="474">
        <v>1891225.7396</v>
      </c>
      <c r="H1515" s="474">
        <v>1891225.7396</v>
      </c>
      <c r="I1515" s="475">
        <v>48.14</v>
      </c>
      <c r="J1515" s="475"/>
    </row>
    <row r="1516" spans="1:10" ht="51" outlineLevel="3">
      <c r="A1516" s="476" t="s">
        <v>2213</v>
      </c>
      <c r="B1516" s="477" t="s">
        <v>2214</v>
      </c>
      <c r="C1516" s="478"/>
      <c r="D1516" s="477"/>
      <c r="E1516" s="479">
        <v>1554384</v>
      </c>
      <c r="F1516" s="479">
        <v>1554384</v>
      </c>
      <c r="G1516" s="479">
        <v>777194</v>
      </c>
      <c r="H1516" s="479">
        <v>777194</v>
      </c>
      <c r="I1516" s="480">
        <v>50</v>
      </c>
      <c r="J1516" s="480"/>
    </row>
    <row r="1517" spans="1:10" ht="51" outlineLevel="4">
      <c r="A1517" s="481" t="s">
        <v>2213</v>
      </c>
      <c r="B1517" s="482" t="s">
        <v>2214</v>
      </c>
      <c r="C1517" s="483" t="s">
        <v>2191</v>
      </c>
      <c r="D1517" s="482" t="s">
        <v>2192</v>
      </c>
      <c r="E1517" s="484">
        <v>1554384</v>
      </c>
      <c r="F1517" s="484">
        <v>1554384</v>
      </c>
      <c r="G1517" s="484">
        <v>777194</v>
      </c>
      <c r="H1517" s="484">
        <v>777194</v>
      </c>
      <c r="I1517" s="480">
        <v>50</v>
      </c>
      <c r="J1517" s="485" t="s">
        <v>10</v>
      </c>
    </row>
    <row r="1518" spans="1:10" ht="38.25" outlineLevel="3">
      <c r="A1518" s="476" t="s">
        <v>2215</v>
      </c>
      <c r="B1518" s="477" t="s">
        <v>2216</v>
      </c>
      <c r="C1518" s="478"/>
      <c r="D1518" s="477"/>
      <c r="E1518" s="479">
        <v>2050945.2109999999</v>
      </c>
      <c r="F1518" s="479">
        <v>2050945.2109999999</v>
      </c>
      <c r="G1518" s="479">
        <v>924581.36100000003</v>
      </c>
      <c r="H1518" s="479">
        <v>924581.36100000003</v>
      </c>
      <c r="I1518" s="480">
        <v>45.08</v>
      </c>
      <c r="J1518" s="480"/>
    </row>
    <row r="1519" spans="1:10" ht="38.25" outlineLevel="4">
      <c r="A1519" s="481" t="s">
        <v>2215</v>
      </c>
      <c r="B1519" s="482" t="s">
        <v>2216</v>
      </c>
      <c r="C1519" s="483" t="s">
        <v>2191</v>
      </c>
      <c r="D1519" s="482" t="s">
        <v>2192</v>
      </c>
      <c r="E1519" s="484">
        <v>2050945.2109999999</v>
      </c>
      <c r="F1519" s="484">
        <v>2050945.2109999999</v>
      </c>
      <c r="G1519" s="484">
        <v>924581.36100000003</v>
      </c>
      <c r="H1519" s="484">
        <v>924581.36100000003</v>
      </c>
      <c r="I1519" s="480">
        <v>45.08</v>
      </c>
      <c r="J1519" s="480"/>
    </row>
    <row r="1520" spans="1:10" ht="76.5" outlineLevel="3">
      <c r="A1520" s="476" t="s">
        <v>2217</v>
      </c>
      <c r="B1520" s="477" t="s">
        <v>2218</v>
      </c>
      <c r="C1520" s="478"/>
      <c r="D1520" s="477"/>
      <c r="E1520" s="479">
        <v>193509</v>
      </c>
      <c r="F1520" s="479">
        <v>193509</v>
      </c>
      <c r="G1520" s="479">
        <v>115199.4706</v>
      </c>
      <c r="H1520" s="479">
        <v>115199.4706</v>
      </c>
      <c r="I1520" s="480">
        <v>59.53</v>
      </c>
      <c r="J1520" s="480"/>
    </row>
    <row r="1521" spans="1:10" ht="76.5" outlineLevel="4">
      <c r="A1521" s="481" t="s">
        <v>2217</v>
      </c>
      <c r="B1521" s="482" t="s">
        <v>2218</v>
      </c>
      <c r="C1521" s="483" t="s">
        <v>2191</v>
      </c>
      <c r="D1521" s="482" t="s">
        <v>2192</v>
      </c>
      <c r="E1521" s="484">
        <v>193509</v>
      </c>
      <c r="F1521" s="484">
        <v>193509</v>
      </c>
      <c r="G1521" s="484">
        <v>115199.4706</v>
      </c>
      <c r="H1521" s="484">
        <v>115199.4706</v>
      </c>
      <c r="I1521" s="480">
        <v>59.53</v>
      </c>
      <c r="J1521" s="480"/>
    </row>
    <row r="1522" spans="1:10" ht="89.25" outlineLevel="3">
      <c r="A1522" s="476" t="s">
        <v>2219</v>
      </c>
      <c r="B1522" s="477" t="s">
        <v>2220</v>
      </c>
      <c r="C1522" s="478"/>
      <c r="D1522" s="477"/>
      <c r="E1522" s="479">
        <v>129675</v>
      </c>
      <c r="F1522" s="479">
        <v>129675</v>
      </c>
      <c r="G1522" s="479">
        <v>74250.907999999996</v>
      </c>
      <c r="H1522" s="479">
        <v>74250.907999999996</v>
      </c>
      <c r="I1522" s="480">
        <v>57.26</v>
      </c>
      <c r="J1522" s="480"/>
    </row>
    <row r="1523" spans="1:10" ht="89.25" outlineLevel="4">
      <c r="A1523" s="481" t="s">
        <v>2219</v>
      </c>
      <c r="B1523" s="482" t="s">
        <v>2220</v>
      </c>
      <c r="C1523" s="483" t="s">
        <v>2191</v>
      </c>
      <c r="D1523" s="482" t="s">
        <v>2192</v>
      </c>
      <c r="E1523" s="484">
        <v>129675</v>
      </c>
      <c r="F1523" s="484">
        <v>129675</v>
      </c>
      <c r="G1523" s="484">
        <v>74250.907999999996</v>
      </c>
      <c r="H1523" s="484">
        <v>74250.907999999996</v>
      </c>
      <c r="I1523" s="480">
        <v>57.26</v>
      </c>
      <c r="J1523" s="480"/>
    </row>
    <row r="1524" spans="1:10" ht="51" outlineLevel="2">
      <c r="A1524" s="471" t="s">
        <v>2221</v>
      </c>
      <c r="B1524" s="472" t="s">
        <v>2222</v>
      </c>
      <c r="C1524" s="473"/>
      <c r="D1524" s="472"/>
      <c r="E1524" s="474">
        <v>1705000.4310000001</v>
      </c>
      <c r="F1524" s="474">
        <v>1700000.4310000001</v>
      </c>
      <c r="G1524" s="474">
        <v>959622.55943999998</v>
      </c>
      <c r="H1524" s="474">
        <v>958423.88569999998</v>
      </c>
      <c r="I1524" s="475">
        <v>56.21</v>
      </c>
      <c r="J1524" s="475"/>
    </row>
    <row r="1525" spans="1:10" ht="25.5" outlineLevel="3">
      <c r="A1525" s="476" t="s">
        <v>2223</v>
      </c>
      <c r="B1525" s="477" t="s">
        <v>2224</v>
      </c>
      <c r="C1525" s="478"/>
      <c r="D1525" s="477"/>
      <c r="E1525" s="479">
        <v>472235.11099999998</v>
      </c>
      <c r="F1525" s="479">
        <v>472235.11099999998</v>
      </c>
      <c r="G1525" s="479">
        <v>262829.34419999999</v>
      </c>
      <c r="H1525" s="479">
        <v>262829.34419999999</v>
      </c>
      <c r="I1525" s="480">
        <v>55.66</v>
      </c>
      <c r="J1525" s="480"/>
    </row>
    <row r="1526" spans="1:10" ht="25.5" outlineLevel="4">
      <c r="A1526" s="481" t="s">
        <v>2223</v>
      </c>
      <c r="B1526" s="482" t="s">
        <v>2224</v>
      </c>
      <c r="C1526" s="483" t="s">
        <v>2191</v>
      </c>
      <c r="D1526" s="482" t="s">
        <v>2192</v>
      </c>
      <c r="E1526" s="484">
        <v>472235.11099999998</v>
      </c>
      <c r="F1526" s="484">
        <v>472235.11099999998</v>
      </c>
      <c r="G1526" s="484">
        <v>262829.34419999999</v>
      </c>
      <c r="H1526" s="484">
        <v>262829.34419999999</v>
      </c>
      <c r="I1526" s="480">
        <v>55.66</v>
      </c>
      <c r="J1526" s="480"/>
    </row>
    <row r="1527" spans="1:10" ht="63.75" outlineLevel="3">
      <c r="A1527" s="476" t="s">
        <v>2225</v>
      </c>
      <c r="B1527" s="477" t="s">
        <v>2226</v>
      </c>
      <c r="C1527" s="478"/>
      <c r="D1527" s="477"/>
      <c r="E1527" s="479">
        <v>1227765.32</v>
      </c>
      <c r="F1527" s="479">
        <v>1227765.32</v>
      </c>
      <c r="G1527" s="479">
        <v>696793.21524000005</v>
      </c>
      <c r="H1527" s="479">
        <v>695594.54150000005</v>
      </c>
      <c r="I1527" s="480">
        <v>56.66</v>
      </c>
      <c r="J1527" s="480"/>
    </row>
    <row r="1528" spans="1:10" ht="63.75" outlineLevel="4">
      <c r="A1528" s="481" t="s">
        <v>2225</v>
      </c>
      <c r="B1528" s="482" t="s">
        <v>2226</v>
      </c>
      <c r="C1528" s="483" t="s">
        <v>2191</v>
      </c>
      <c r="D1528" s="482" t="s">
        <v>2192</v>
      </c>
      <c r="E1528" s="484">
        <v>1227765.32</v>
      </c>
      <c r="F1528" s="484">
        <v>1227765.32</v>
      </c>
      <c r="G1528" s="484">
        <v>696793.21524000005</v>
      </c>
      <c r="H1528" s="484">
        <v>695594.54150000005</v>
      </c>
      <c r="I1528" s="480">
        <v>56.66</v>
      </c>
      <c r="J1528" s="480"/>
    </row>
    <row r="1529" spans="1:10" ht="76.5" outlineLevel="3">
      <c r="A1529" s="476" t="s">
        <v>2227</v>
      </c>
      <c r="B1529" s="477" t="s">
        <v>2228</v>
      </c>
      <c r="C1529" s="478"/>
      <c r="D1529" s="477"/>
      <c r="E1529" s="479">
        <v>5000</v>
      </c>
      <c r="F1529" s="479">
        <v>0</v>
      </c>
      <c r="G1529" s="479">
        <v>0</v>
      </c>
      <c r="H1529" s="479">
        <v>0</v>
      </c>
      <c r="I1529" s="480">
        <v>0</v>
      </c>
      <c r="J1529" s="480"/>
    </row>
    <row r="1530" spans="1:10" ht="76.5" outlineLevel="4">
      <c r="A1530" s="481" t="s">
        <v>2227</v>
      </c>
      <c r="B1530" s="482" t="s">
        <v>2228</v>
      </c>
      <c r="C1530" s="483" t="s">
        <v>2191</v>
      </c>
      <c r="D1530" s="482" t="s">
        <v>2192</v>
      </c>
      <c r="E1530" s="484">
        <v>5000</v>
      </c>
      <c r="F1530" s="484">
        <v>0</v>
      </c>
      <c r="G1530" s="484">
        <v>0</v>
      </c>
      <c r="H1530" s="484">
        <v>0</v>
      </c>
      <c r="I1530" s="480">
        <v>0</v>
      </c>
      <c r="J1530" s="480"/>
    </row>
    <row r="1531" spans="1:10" ht="38.25" outlineLevel="1">
      <c r="A1531" s="466" t="s">
        <v>2229</v>
      </c>
      <c r="B1531" s="467" t="s">
        <v>2230</v>
      </c>
      <c r="C1531" s="468"/>
      <c r="D1531" s="467"/>
      <c r="E1531" s="469">
        <v>30214.869910000001</v>
      </c>
      <c r="F1531" s="469">
        <v>30214.869910000001</v>
      </c>
      <c r="G1531" s="469">
        <v>15496.491</v>
      </c>
      <c r="H1531" s="469">
        <v>11578.40926</v>
      </c>
      <c r="I1531" s="470">
        <v>38.32</v>
      </c>
      <c r="J1531" s="470"/>
    </row>
    <row r="1532" spans="1:10" ht="51" outlineLevel="2">
      <c r="A1532" s="471" t="s">
        <v>2231</v>
      </c>
      <c r="B1532" s="472" t="s">
        <v>2232</v>
      </c>
      <c r="C1532" s="473"/>
      <c r="D1532" s="472"/>
      <c r="E1532" s="474">
        <v>30214.869910000001</v>
      </c>
      <c r="F1532" s="474">
        <v>30214.869910000001</v>
      </c>
      <c r="G1532" s="474">
        <v>15496.491</v>
      </c>
      <c r="H1532" s="474">
        <v>11578.40926</v>
      </c>
      <c r="I1532" s="475">
        <v>38.32</v>
      </c>
      <c r="J1532" s="475"/>
    </row>
    <row r="1533" spans="1:10" ht="25.5" outlineLevel="3">
      <c r="A1533" s="476" t="s">
        <v>873</v>
      </c>
      <c r="B1533" s="477" t="s">
        <v>2233</v>
      </c>
      <c r="C1533" s="478"/>
      <c r="D1533" s="477"/>
      <c r="E1533" s="479">
        <v>27164.47436</v>
      </c>
      <c r="F1533" s="479">
        <v>27164.47436</v>
      </c>
      <c r="G1533" s="479">
        <v>14976</v>
      </c>
      <c r="H1533" s="479">
        <v>11324.841920000001</v>
      </c>
      <c r="I1533" s="480">
        <v>41.69</v>
      </c>
      <c r="J1533" s="480"/>
    </row>
    <row r="1534" spans="1:10" ht="38.25" outlineLevel="4">
      <c r="A1534" s="481" t="s">
        <v>873</v>
      </c>
      <c r="B1534" s="482" t="s">
        <v>2233</v>
      </c>
      <c r="C1534" s="483" t="s">
        <v>2234</v>
      </c>
      <c r="D1534" s="482" t="s">
        <v>2235</v>
      </c>
      <c r="E1534" s="484">
        <v>27164.47436</v>
      </c>
      <c r="F1534" s="484">
        <v>27164.47436</v>
      </c>
      <c r="G1534" s="484">
        <v>14976</v>
      </c>
      <c r="H1534" s="484">
        <v>11324.841920000001</v>
      </c>
      <c r="I1534" s="480">
        <v>41.69</v>
      </c>
      <c r="J1534" s="480"/>
    </row>
    <row r="1535" spans="1:10" ht="38.25" outlineLevel="3">
      <c r="A1535" s="476" t="s">
        <v>854</v>
      </c>
      <c r="B1535" s="477" t="s">
        <v>2236</v>
      </c>
      <c r="C1535" s="478"/>
      <c r="D1535" s="477"/>
      <c r="E1535" s="479">
        <v>2588.7955499999998</v>
      </c>
      <c r="F1535" s="479">
        <v>2588.7955499999998</v>
      </c>
      <c r="G1535" s="479">
        <v>470.49099999999999</v>
      </c>
      <c r="H1535" s="479">
        <v>253.56734</v>
      </c>
      <c r="I1535" s="480">
        <v>9.7899999999999991</v>
      </c>
      <c r="J1535" s="480"/>
    </row>
    <row r="1536" spans="1:10" ht="38.25" outlineLevel="4">
      <c r="A1536" s="481" t="s">
        <v>854</v>
      </c>
      <c r="B1536" s="482" t="s">
        <v>2236</v>
      </c>
      <c r="C1536" s="483" t="s">
        <v>2234</v>
      </c>
      <c r="D1536" s="482" t="s">
        <v>2235</v>
      </c>
      <c r="E1536" s="484">
        <v>2588.7955499999998</v>
      </c>
      <c r="F1536" s="484">
        <v>2588.7955499999998</v>
      </c>
      <c r="G1536" s="484">
        <v>470.49099999999999</v>
      </c>
      <c r="H1536" s="484">
        <v>253.56734</v>
      </c>
      <c r="I1536" s="480">
        <v>9.7899999999999991</v>
      </c>
      <c r="J1536" s="480"/>
    </row>
    <row r="1537" spans="1:10" ht="63.75" outlineLevel="3">
      <c r="A1537" s="476" t="s">
        <v>62</v>
      </c>
      <c r="B1537" s="477" t="s">
        <v>2237</v>
      </c>
      <c r="C1537" s="478"/>
      <c r="D1537" s="477"/>
      <c r="E1537" s="479">
        <v>400</v>
      </c>
      <c r="F1537" s="479">
        <v>400</v>
      </c>
      <c r="G1537" s="479">
        <v>50</v>
      </c>
      <c r="H1537" s="479">
        <v>0</v>
      </c>
      <c r="I1537" s="480">
        <v>0</v>
      </c>
      <c r="J1537" s="480"/>
    </row>
    <row r="1538" spans="1:10" ht="63.75" outlineLevel="4">
      <c r="A1538" s="481" t="s">
        <v>62</v>
      </c>
      <c r="B1538" s="482" t="s">
        <v>2237</v>
      </c>
      <c r="C1538" s="483" t="s">
        <v>2234</v>
      </c>
      <c r="D1538" s="482" t="s">
        <v>2235</v>
      </c>
      <c r="E1538" s="484">
        <v>400</v>
      </c>
      <c r="F1538" s="484">
        <v>400</v>
      </c>
      <c r="G1538" s="484">
        <v>50</v>
      </c>
      <c r="H1538" s="484">
        <v>0</v>
      </c>
      <c r="I1538" s="480">
        <v>0</v>
      </c>
      <c r="J1538" s="480"/>
    </row>
    <row r="1539" spans="1:10" ht="76.5" outlineLevel="3">
      <c r="A1539" s="476" t="s">
        <v>1027</v>
      </c>
      <c r="B1539" s="477" t="s">
        <v>2238</v>
      </c>
      <c r="C1539" s="478"/>
      <c r="D1539" s="477"/>
      <c r="E1539" s="479">
        <v>61.6</v>
      </c>
      <c r="F1539" s="479">
        <v>61.6</v>
      </c>
      <c r="G1539" s="479">
        <v>0</v>
      </c>
      <c r="H1539" s="479">
        <v>0</v>
      </c>
      <c r="I1539" s="480">
        <v>0</v>
      </c>
      <c r="J1539" s="480"/>
    </row>
    <row r="1540" spans="1:10" ht="76.5" outlineLevel="4">
      <c r="A1540" s="481" t="s">
        <v>1027</v>
      </c>
      <c r="B1540" s="482" t="s">
        <v>2238</v>
      </c>
      <c r="C1540" s="483" t="s">
        <v>2234</v>
      </c>
      <c r="D1540" s="482" t="s">
        <v>2235</v>
      </c>
      <c r="E1540" s="484">
        <v>61.6</v>
      </c>
      <c r="F1540" s="484">
        <v>61.6</v>
      </c>
      <c r="G1540" s="484">
        <v>0</v>
      </c>
      <c r="H1540" s="484">
        <v>0</v>
      </c>
      <c r="I1540" s="480">
        <v>0</v>
      </c>
      <c r="J1540" s="480"/>
    </row>
    <row r="1541" spans="1:10" ht="38.25" outlineLevel="1">
      <c r="A1541" s="466" t="s">
        <v>2239</v>
      </c>
      <c r="B1541" s="467" t="s">
        <v>2240</v>
      </c>
      <c r="C1541" s="468"/>
      <c r="D1541" s="467"/>
      <c r="E1541" s="469">
        <v>71861.862970000002</v>
      </c>
      <c r="F1541" s="469">
        <v>70398.966490000006</v>
      </c>
      <c r="G1541" s="469">
        <v>31416.386289999999</v>
      </c>
      <c r="H1541" s="469">
        <v>26538.313580000002</v>
      </c>
      <c r="I1541" s="470">
        <v>36.93</v>
      </c>
      <c r="J1541" s="470"/>
    </row>
    <row r="1542" spans="1:10" ht="63.75" outlineLevel="2">
      <c r="A1542" s="471" t="s">
        <v>2241</v>
      </c>
      <c r="B1542" s="472" t="s">
        <v>2242</v>
      </c>
      <c r="C1542" s="473"/>
      <c r="D1542" s="472"/>
      <c r="E1542" s="474">
        <v>57682.812100000003</v>
      </c>
      <c r="F1542" s="474">
        <v>57682.812100000003</v>
      </c>
      <c r="G1542" s="474">
        <v>29529.292600000001</v>
      </c>
      <c r="H1542" s="474">
        <v>24651.21989</v>
      </c>
      <c r="I1542" s="475">
        <v>42.74</v>
      </c>
      <c r="J1542" s="475"/>
    </row>
    <row r="1543" spans="1:10" ht="25.5" outlineLevel="3">
      <c r="A1543" s="476" t="s">
        <v>873</v>
      </c>
      <c r="B1543" s="477" t="s">
        <v>2243</v>
      </c>
      <c r="C1543" s="478"/>
      <c r="D1543" s="477"/>
      <c r="E1543" s="479">
        <v>56147.811869999998</v>
      </c>
      <c r="F1543" s="479">
        <v>56147.811869999998</v>
      </c>
      <c r="G1543" s="479">
        <v>29100</v>
      </c>
      <c r="H1543" s="479">
        <v>24439.160459999999</v>
      </c>
      <c r="I1543" s="480">
        <v>43.53</v>
      </c>
      <c r="J1543" s="480"/>
    </row>
    <row r="1544" spans="1:10" ht="25.5" outlineLevel="4">
      <c r="A1544" s="481" t="s">
        <v>873</v>
      </c>
      <c r="B1544" s="482" t="s">
        <v>2243</v>
      </c>
      <c r="C1544" s="483" t="s">
        <v>1989</v>
      </c>
      <c r="D1544" s="482" t="s">
        <v>1990</v>
      </c>
      <c r="E1544" s="484">
        <v>56147.811869999998</v>
      </c>
      <c r="F1544" s="484">
        <v>56147.811869999998</v>
      </c>
      <c r="G1544" s="484">
        <v>29100</v>
      </c>
      <c r="H1544" s="484">
        <v>24439.160459999999</v>
      </c>
      <c r="I1544" s="480">
        <v>43.53</v>
      </c>
      <c r="J1544" s="480"/>
    </row>
    <row r="1545" spans="1:10" ht="38.25" outlineLevel="3">
      <c r="A1545" s="476" t="s">
        <v>854</v>
      </c>
      <c r="B1545" s="477" t="s">
        <v>2244</v>
      </c>
      <c r="C1545" s="478"/>
      <c r="D1545" s="477"/>
      <c r="E1545" s="479">
        <v>530.00022999999999</v>
      </c>
      <c r="F1545" s="479">
        <v>530.00022999999999</v>
      </c>
      <c r="G1545" s="479">
        <v>199.29259999999999</v>
      </c>
      <c r="H1545" s="479">
        <v>147.90455</v>
      </c>
      <c r="I1545" s="480">
        <v>27.91</v>
      </c>
      <c r="J1545" s="480"/>
    </row>
    <row r="1546" spans="1:10" ht="38.25" outlineLevel="4">
      <c r="A1546" s="481" t="s">
        <v>854</v>
      </c>
      <c r="B1546" s="482" t="s">
        <v>2244</v>
      </c>
      <c r="C1546" s="483" t="s">
        <v>1989</v>
      </c>
      <c r="D1546" s="482" t="s">
        <v>1990</v>
      </c>
      <c r="E1546" s="484">
        <v>530.00022999999999</v>
      </c>
      <c r="F1546" s="484">
        <v>530.00022999999999</v>
      </c>
      <c r="G1546" s="484">
        <v>199.29259999999999</v>
      </c>
      <c r="H1546" s="484">
        <v>147.90455</v>
      </c>
      <c r="I1546" s="480">
        <v>27.91</v>
      </c>
      <c r="J1546" s="480"/>
    </row>
    <row r="1547" spans="1:10" ht="63.75" outlineLevel="3">
      <c r="A1547" s="476" t="s">
        <v>62</v>
      </c>
      <c r="B1547" s="477" t="s">
        <v>2245</v>
      </c>
      <c r="C1547" s="478"/>
      <c r="D1547" s="477"/>
      <c r="E1547" s="479">
        <v>1005</v>
      </c>
      <c r="F1547" s="479">
        <v>1005</v>
      </c>
      <c r="G1547" s="479">
        <v>230</v>
      </c>
      <c r="H1547" s="479">
        <v>64.154880000000006</v>
      </c>
      <c r="I1547" s="480">
        <v>6.38</v>
      </c>
      <c r="J1547" s="480"/>
    </row>
    <row r="1548" spans="1:10" ht="63.75" outlineLevel="4">
      <c r="A1548" s="481" t="s">
        <v>62</v>
      </c>
      <c r="B1548" s="482" t="s">
        <v>2245</v>
      </c>
      <c r="C1548" s="483" t="s">
        <v>1989</v>
      </c>
      <c r="D1548" s="482" t="s">
        <v>1990</v>
      </c>
      <c r="E1548" s="484">
        <v>1005</v>
      </c>
      <c r="F1548" s="484">
        <v>1005</v>
      </c>
      <c r="G1548" s="484">
        <v>230</v>
      </c>
      <c r="H1548" s="484">
        <v>64.154880000000006</v>
      </c>
      <c r="I1548" s="480">
        <v>6.38</v>
      </c>
      <c r="J1548" s="480"/>
    </row>
    <row r="1549" spans="1:10" ht="51" outlineLevel="2">
      <c r="A1549" s="471" t="s">
        <v>2246</v>
      </c>
      <c r="B1549" s="472" t="s">
        <v>2247</v>
      </c>
      <c r="C1549" s="473"/>
      <c r="D1549" s="472"/>
      <c r="E1549" s="474">
        <v>6801.9</v>
      </c>
      <c r="F1549" s="474">
        <v>6801.9</v>
      </c>
      <c r="G1549" s="474">
        <v>0</v>
      </c>
      <c r="H1549" s="474">
        <v>0</v>
      </c>
      <c r="I1549" s="475">
        <v>0</v>
      </c>
      <c r="J1549" s="475"/>
    </row>
    <row r="1550" spans="1:10" ht="51" outlineLevel="3">
      <c r="A1550" s="476" t="s">
        <v>861</v>
      </c>
      <c r="B1550" s="477" t="s">
        <v>2248</v>
      </c>
      <c r="C1550" s="478"/>
      <c r="D1550" s="477"/>
      <c r="E1550" s="479">
        <v>6801.9</v>
      </c>
      <c r="F1550" s="479">
        <v>6801.9</v>
      </c>
      <c r="G1550" s="479">
        <v>0</v>
      </c>
      <c r="H1550" s="479">
        <v>0</v>
      </c>
      <c r="I1550" s="480">
        <v>0</v>
      </c>
      <c r="J1550" s="480"/>
    </row>
    <row r="1551" spans="1:10" ht="51" outlineLevel="4">
      <c r="A1551" s="481" t="s">
        <v>861</v>
      </c>
      <c r="B1551" s="482" t="s">
        <v>2248</v>
      </c>
      <c r="C1551" s="483" t="s">
        <v>1989</v>
      </c>
      <c r="D1551" s="482" t="s">
        <v>1990</v>
      </c>
      <c r="E1551" s="484">
        <v>6801.9</v>
      </c>
      <c r="F1551" s="484">
        <v>6801.9</v>
      </c>
      <c r="G1551" s="484">
        <v>0</v>
      </c>
      <c r="H1551" s="484">
        <v>0</v>
      </c>
      <c r="I1551" s="480">
        <v>0</v>
      </c>
      <c r="J1551" s="480"/>
    </row>
    <row r="1552" spans="1:10" ht="63.75" outlineLevel="2">
      <c r="A1552" s="471" t="s">
        <v>2249</v>
      </c>
      <c r="B1552" s="472" t="s">
        <v>2250</v>
      </c>
      <c r="C1552" s="473"/>
      <c r="D1552" s="472"/>
      <c r="E1552" s="474">
        <v>7377.1508700000004</v>
      </c>
      <c r="F1552" s="474">
        <v>5914.2543900000001</v>
      </c>
      <c r="G1552" s="474">
        <v>1887.0936899999999</v>
      </c>
      <c r="H1552" s="474">
        <v>1887.0936899999999</v>
      </c>
      <c r="I1552" s="475">
        <v>25.58</v>
      </c>
      <c r="J1552" s="475"/>
    </row>
    <row r="1553" spans="1:10" ht="76.5" outlineLevel="3">
      <c r="A1553" s="476" t="s">
        <v>702</v>
      </c>
      <c r="B1553" s="477" t="s">
        <v>2251</v>
      </c>
      <c r="C1553" s="478"/>
      <c r="D1553" s="477"/>
      <c r="E1553" s="479">
        <v>7227.1508700000004</v>
      </c>
      <c r="F1553" s="479">
        <v>5914.2543900000001</v>
      </c>
      <c r="G1553" s="479">
        <v>1887.0936899999999</v>
      </c>
      <c r="H1553" s="479">
        <v>1887.0936899999999</v>
      </c>
      <c r="I1553" s="480">
        <v>26.11</v>
      </c>
      <c r="J1553" s="480"/>
    </row>
    <row r="1554" spans="1:10" ht="76.5" outlineLevel="4">
      <c r="A1554" s="481" t="s">
        <v>702</v>
      </c>
      <c r="B1554" s="482" t="s">
        <v>2251</v>
      </c>
      <c r="C1554" s="483" t="s">
        <v>1989</v>
      </c>
      <c r="D1554" s="482" t="s">
        <v>1990</v>
      </c>
      <c r="E1554" s="484">
        <v>7227.1508700000004</v>
      </c>
      <c r="F1554" s="484">
        <v>5914.2543900000001</v>
      </c>
      <c r="G1554" s="484">
        <v>1887.0936899999999</v>
      </c>
      <c r="H1554" s="484">
        <v>1887.0936899999999</v>
      </c>
      <c r="I1554" s="480">
        <v>26.11</v>
      </c>
      <c r="J1554" s="480"/>
    </row>
    <row r="1555" spans="1:10" ht="63.75" outlineLevel="3">
      <c r="A1555" s="476" t="s">
        <v>62</v>
      </c>
      <c r="B1555" s="477" t="s">
        <v>2252</v>
      </c>
      <c r="C1555" s="478"/>
      <c r="D1555" s="477"/>
      <c r="E1555" s="479">
        <v>150</v>
      </c>
      <c r="F1555" s="479">
        <v>0</v>
      </c>
      <c r="G1555" s="479">
        <v>0</v>
      </c>
      <c r="H1555" s="479">
        <v>0</v>
      </c>
      <c r="I1555" s="480">
        <v>0</v>
      </c>
      <c r="J1555" s="480"/>
    </row>
    <row r="1556" spans="1:10" ht="63.75" outlineLevel="4">
      <c r="A1556" s="481" t="s">
        <v>62</v>
      </c>
      <c r="B1556" s="482" t="s">
        <v>2252</v>
      </c>
      <c r="C1556" s="483" t="s">
        <v>1989</v>
      </c>
      <c r="D1556" s="482" t="s">
        <v>1990</v>
      </c>
      <c r="E1556" s="484">
        <v>150</v>
      </c>
      <c r="F1556" s="484">
        <v>0</v>
      </c>
      <c r="G1556" s="484">
        <v>0</v>
      </c>
      <c r="H1556" s="484">
        <v>0</v>
      </c>
      <c r="I1556" s="480">
        <v>0</v>
      </c>
      <c r="J1556" s="480"/>
    </row>
    <row r="1557" spans="1:10" ht="45.75" collapsed="1" thickBot="1">
      <c r="A1557" s="461" t="s">
        <v>2253</v>
      </c>
      <c r="B1557" s="462" t="s">
        <v>2254</v>
      </c>
      <c r="C1557" s="463"/>
      <c r="D1557" s="462"/>
      <c r="E1557" s="464">
        <v>1416429.9220799999</v>
      </c>
      <c r="F1557" s="464">
        <v>1334949.99808</v>
      </c>
      <c r="G1557" s="464">
        <v>668399.77437</v>
      </c>
      <c r="H1557" s="464">
        <v>603525.80038999999</v>
      </c>
      <c r="I1557" s="465">
        <v>42.61</v>
      </c>
      <c r="J1557" s="465"/>
    </row>
    <row r="1558" spans="1:10" ht="38.25" outlineLevel="1">
      <c r="A1558" s="466" t="s">
        <v>2255</v>
      </c>
      <c r="B1558" s="467" t="s">
        <v>2256</v>
      </c>
      <c r="C1558" s="468"/>
      <c r="D1558" s="467"/>
      <c r="E1558" s="469">
        <v>801806.95721000002</v>
      </c>
      <c r="F1558" s="469">
        <v>735335.55721</v>
      </c>
      <c r="G1558" s="469">
        <v>412379.63166000001</v>
      </c>
      <c r="H1558" s="469">
        <v>367954.61296</v>
      </c>
      <c r="I1558" s="470">
        <v>45.89</v>
      </c>
      <c r="J1558" s="470"/>
    </row>
    <row r="1559" spans="1:10" ht="38.25" outlineLevel="2">
      <c r="A1559" s="471" t="s">
        <v>2257</v>
      </c>
      <c r="B1559" s="472" t="s">
        <v>2258</v>
      </c>
      <c r="C1559" s="473"/>
      <c r="D1559" s="472"/>
      <c r="E1559" s="474">
        <v>444.4</v>
      </c>
      <c r="F1559" s="474">
        <v>444.4</v>
      </c>
      <c r="G1559" s="474">
        <v>0</v>
      </c>
      <c r="H1559" s="474">
        <v>0</v>
      </c>
      <c r="I1559" s="475">
        <v>0</v>
      </c>
      <c r="J1559" s="475"/>
    </row>
    <row r="1560" spans="1:10" ht="76.5" outlineLevel="3">
      <c r="A1560" s="476" t="s">
        <v>1027</v>
      </c>
      <c r="B1560" s="477" t="s">
        <v>2259</v>
      </c>
      <c r="C1560" s="478"/>
      <c r="D1560" s="477"/>
      <c r="E1560" s="479">
        <v>444.4</v>
      </c>
      <c r="F1560" s="479">
        <v>444.4</v>
      </c>
      <c r="G1560" s="479">
        <v>0</v>
      </c>
      <c r="H1560" s="479">
        <v>0</v>
      </c>
      <c r="I1560" s="480">
        <v>0</v>
      </c>
      <c r="J1560" s="480"/>
    </row>
    <row r="1561" spans="1:10" ht="76.5" outlineLevel="4">
      <c r="A1561" s="481" t="s">
        <v>1027</v>
      </c>
      <c r="B1561" s="482" t="s">
        <v>2259</v>
      </c>
      <c r="C1561" s="483" t="s">
        <v>2260</v>
      </c>
      <c r="D1561" s="482" t="s">
        <v>2261</v>
      </c>
      <c r="E1561" s="484">
        <v>444.4</v>
      </c>
      <c r="F1561" s="484">
        <v>444.4</v>
      </c>
      <c r="G1561" s="484">
        <v>0</v>
      </c>
      <c r="H1561" s="484">
        <v>0</v>
      </c>
      <c r="I1561" s="480">
        <v>0</v>
      </c>
      <c r="J1561" s="480"/>
    </row>
    <row r="1562" spans="1:10" ht="63.75" outlineLevel="2">
      <c r="A1562" s="471" t="s">
        <v>2262</v>
      </c>
      <c r="B1562" s="472" t="s">
        <v>2263</v>
      </c>
      <c r="C1562" s="473"/>
      <c r="D1562" s="472"/>
      <c r="E1562" s="474">
        <v>71563.634680000003</v>
      </c>
      <c r="F1562" s="474">
        <v>71563.634680000003</v>
      </c>
      <c r="G1562" s="474">
        <v>42655.930160000004</v>
      </c>
      <c r="H1562" s="474">
        <v>33093.495210000001</v>
      </c>
      <c r="I1562" s="475">
        <v>46.24</v>
      </c>
      <c r="J1562" s="475"/>
    </row>
    <row r="1563" spans="1:10" ht="25.5" outlineLevel="3">
      <c r="A1563" s="476" t="s">
        <v>873</v>
      </c>
      <c r="B1563" s="477" t="s">
        <v>2264</v>
      </c>
      <c r="C1563" s="478"/>
      <c r="D1563" s="477"/>
      <c r="E1563" s="479">
        <v>65857.561679999999</v>
      </c>
      <c r="F1563" s="479">
        <v>65857.561679999999</v>
      </c>
      <c r="G1563" s="479">
        <v>39146.843520000002</v>
      </c>
      <c r="H1563" s="479">
        <v>30142.87268</v>
      </c>
      <c r="I1563" s="480">
        <v>45.77</v>
      </c>
      <c r="J1563" s="480"/>
    </row>
    <row r="1564" spans="1:10" ht="25.5" outlineLevel="4">
      <c r="A1564" s="481" t="s">
        <v>873</v>
      </c>
      <c r="B1564" s="482" t="s">
        <v>2264</v>
      </c>
      <c r="C1564" s="483" t="s">
        <v>2124</v>
      </c>
      <c r="D1564" s="482" t="s">
        <v>2125</v>
      </c>
      <c r="E1564" s="484">
        <v>50462.9755</v>
      </c>
      <c r="F1564" s="484">
        <v>50462.9755</v>
      </c>
      <c r="G1564" s="484">
        <v>33000</v>
      </c>
      <c r="H1564" s="484">
        <v>26394.708269999999</v>
      </c>
      <c r="I1564" s="480">
        <v>52.31</v>
      </c>
      <c r="J1564" s="480"/>
    </row>
    <row r="1565" spans="1:10" ht="38.25" outlineLevel="4">
      <c r="A1565" s="481" t="s">
        <v>873</v>
      </c>
      <c r="B1565" s="482" t="s">
        <v>2264</v>
      </c>
      <c r="C1565" s="483" t="s">
        <v>2265</v>
      </c>
      <c r="D1565" s="482" t="s">
        <v>2266</v>
      </c>
      <c r="E1565" s="484">
        <v>15394.58618</v>
      </c>
      <c r="F1565" s="484">
        <v>15394.58618</v>
      </c>
      <c r="G1565" s="484">
        <v>6146.8435200000004</v>
      </c>
      <c r="H1565" s="484">
        <v>3748.1644099999999</v>
      </c>
      <c r="I1565" s="480">
        <v>24.35</v>
      </c>
      <c r="J1565" s="480"/>
    </row>
    <row r="1566" spans="1:10" ht="38.25" outlineLevel="3">
      <c r="A1566" s="476" t="s">
        <v>854</v>
      </c>
      <c r="B1566" s="477" t="s">
        <v>2267</v>
      </c>
      <c r="C1566" s="478"/>
      <c r="D1566" s="477"/>
      <c r="E1566" s="479">
        <v>1481</v>
      </c>
      <c r="F1566" s="479">
        <v>1481</v>
      </c>
      <c r="G1566" s="479">
        <v>590.68188999999995</v>
      </c>
      <c r="H1566" s="479">
        <v>504.98318999999998</v>
      </c>
      <c r="I1566" s="480">
        <v>34.1</v>
      </c>
      <c r="J1566" s="480"/>
    </row>
    <row r="1567" spans="1:10" ht="38.25" outlineLevel="4">
      <c r="A1567" s="481" t="s">
        <v>854</v>
      </c>
      <c r="B1567" s="482" t="s">
        <v>2267</v>
      </c>
      <c r="C1567" s="483" t="s">
        <v>2124</v>
      </c>
      <c r="D1567" s="482" t="s">
        <v>2125</v>
      </c>
      <c r="E1567" s="484">
        <v>901</v>
      </c>
      <c r="F1567" s="484">
        <v>901</v>
      </c>
      <c r="G1567" s="484">
        <v>454.99793</v>
      </c>
      <c r="H1567" s="484">
        <v>371.59123</v>
      </c>
      <c r="I1567" s="480">
        <v>41.24</v>
      </c>
      <c r="J1567" s="480"/>
    </row>
    <row r="1568" spans="1:10" ht="38.25" outlineLevel="4">
      <c r="A1568" s="481" t="s">
        <v>854</v>
      </c>
      <c r="B1568" s="482" t="s">
        <v>2267</v>
      </c>
      <c r="C1568" s="483" t="s">
        <v>2265</v>
      </c>
      <c r="D1568" s="482" t="s">
        <v>2266</v>
      </c>
      <c r="E1568" s="484">
        <v>580</v>
      </c>
      <c r="F1568" s="484">
        <v>580</v>
      </c>
      <c r="G1568" s="484">
        <v>135.68396000000001</v>
      </c>
      <c r="H1568" s="484">
        <v>133.39196000000001</v>
      </c>
      <c r="I1568" s="480">
        <v>23</v>
      </c>
      <c r="J1568" s="480"/>
    </row>
    <row r="1569" spans="1:10" ht="63.75" outlineLevel="3">
      <c r="A1569" s="476" t="s">
        <v>62</v>
      </c>
      <c r="B1569" s="477" t="s">
        <v>2268</v>
      </c>
      <c r="C1569" s="478"/>
      <c r="D1569" s="477"/>
      <c r="E1569" s="479">
        <v>657.24</v>
      </c>
      <c r="F1569" s="479">
        <v>657.24</v>
      </c>
      <c r="G1569" s="479">
        <v>100</v>
      </c>
      <c r="H1569" s="479">
        <v>30.243500000000001</v>
      </c>
      <c r="I1569" s="480">
        <v>4.5999999999999996</v>
      </c>
      <c r="J1569" s="480"/>
    </row>
    <row r="1570" spans="1:10" ht="63.75" outlineLevel="4">
      <c r="A1570" s="481" t="s">
        <v>62</v>
      </c>
      <c r="B1570" s="482" t="s">
        <v>2268</v>
      </c>
      <c r="C1570" s="483" t="s">
        <v>2124</v>
      </c>
      <c r="D1570" s="482" t="s">
        <v>2125</v>
      </c>
      <c r="E1570" s="484">
        <v>532.24</v>
      </c>
      <c r="F1570" s="484">
        <v>532.24</v>
      </c>
      <c r="G1570" s="484">
        <v>100</v>
      </c>
      <c r="H1570" s="484">
        <v>30.243500000000001</v>
      </c>
      <c r="I1570" s="480">
        <v>5.68</v>
      </c>
      <c r="J1570" s="480"/>
    </row>
    <row r="1571" spans="1:10" ht="63.75" outlineLevel="4">
      <c r="A1571" s="481" t="s">
        <v>62</v>
      </c>
      <c r="B1571" s="482" t="s">
        <v>2268</v>
      </c>
      <c r="C1571" s="483" t="s">
        <v>2265</v>
      </c>
      <c r="D1571" s="482" t="s">
        <v>2266</v>
      </c>
      <c r="E1571" s="484">
        <v>125</v>
      </c>
      <c r="F1571" s="484">
        <v>125</v>
      </c>
      <c r="G1571" s="484">
        <v>0</v>
      </c>
      <c r="H1571" s="484">
        <v>0</v>
      </c>
      <c r="I1571" s="480">
        <v>0</v>
      </c>
      <c r="J1571" s="480"/>
    </row>
    <row r="1572" spans="1:10" ht="76.5" outlineLevel="3">
      <c r="A1572" s="476" t="s">
        <v>156</v>
      </c>
      <c r="B1572" s="477" t="s">
        <v>2269</v>
      </c>
      <c r="C1572" s="478"/>
      <c r="D1572" s="477"/>
      <c r="E1572" s="479">
        <v>67.760000000000005</v>
      </c>
      <c r="F1572" s="479">
        <v>67.760000000000005</v>
      </c>
      <c r="G1572" s="479">
        <v>67.760000000000005</v>
      </c>
      <c r="H1572" s="479">
        <v>67.760000000000005</v>
      </c>
      <c r="I1572" s="480">
        <v>100</v>
      </c>
      <c r="J1572" s="480"/>
    </row>
    <row r="1573" spans="1:10" ht="76.5" outlineLevel="4">
      <c r="A1573" s="481" t="s">
        <v>156</v>
      </c>
      <c r="B1573" s="482" t="s">
        <v>2269</v>
      </c>
      <c r="C1573" s="483" t="s">
        <v>2124</v>
      </c>
      <c r="D1573" s="482" t="s">
        <v>2125</v>
      </c>
      <c r="E1573" s="484">
        <v>67.760000000000005</v>
      </c>
      <c r="F1573" s="484">
        <v>67.760000000000005</v>
      </c>
      <c r="G1573" s="484">
        <v>67.760000000000005</v>
      </c>
      <c r="H1573" s="484">
        <v>67.760000000000005</v>
      </c>
      <c r="I1573" s="480">
        <v>100</v>
      </c>
      <c r="J1573" s="480"/>
    </row>
    <row r="1574" spans="1:10" ht="76.5" outlineLevel="3">
      <c r="A1574" s="476" t="s">
        <v>1027</v>
      </c>
      <c r="B1574" s="477" t="s">
        <v>2270</v>
      </c>
      <c r="C1574" s="478"/>
      <c r="D1574" s="477"/>
      <c r="E1574" s="479">
        <v>20</v>
      </c>
      <c r="F1574" s="479">
        <v>20</v>
      </c>
      <c r="G1574" s="479">
        <v>0</v>
      </c>
      <c r="H1574" s="479">
        <v>0</v>
      </c>
      <c r="I1574" s="480">
        <v>0</v>
      </c>
      <c r="J1574" s="480"/>
    </row>
    <row r="1575" spans="1:10" ht="76.5" outlineLevel="4">
      <c r="A1575" s="481" t="s">
        <v>1027</v>
      </c>
      <c r="B1575" s="482" t="s">
        <v>2270</v>
      </c>
      <c r="C1575" s="483" t="s">
        <v>2124</v>
      </c>
      <c r="D1575" s="482" t="s">
        <v>2125</v>
      </c>
      <c r="E1575" s="484">
        <v>20</v>
      </c>
      <c r="F1575" s="484">
        <v>20</v>
      </c>
      <c r="G1575" s="484">
        <v>0</v>
      </c>
      <c r="H1575" s="484">
        <v>0</v>
      </c>
      <c r="I1575" s="480">
        <v>0</v>
      </c>
      <c r="J1575" s="480"/>
    </row>
    <row r="1576" spans="1:10" ht="114.75" outlineLevel="3">
      <c r="A1576" s="476" t="s">
        <v>2122</v>
      </c>
      <c r="B1576" s="477" t="s">
        <v>2271</v>
      </c>
      <c r="C1576" s="478"/>
      <c r="D1576" s="477"/>
      <c r="E1576" s="479">
        <v>3480.0729999999999</v>
      </c>
      <c r="F1576" s="479">
        <v>3480.0729999999999</v>
      </c>
      <c r="G1576" s="479">
        <v>2750.6447499999999</v>
      </c>
      <c r="H1576" s="479">
        <v>2347.6358399999999</v>
      </c>
      <c r="I1576" s="480">
        <v>67.459999999999994</v>
      </c>
      <c r="J1576" s="480"/>
    </row>
    <row r="1577" spans="1:10" ht="114.75" outlineLevel="4">
      <c r="A1577" s="481" t="s">
        <v>2122</v>
      </c>
      <c r="B1577" s="482" t="s">
        <v>2271</v>
      </c>
      <c r="C1577" s="483" t="s">
        <v>2124</v>
      </c>
      <c r="D1577" s="482" t="s">
        <v>2125</v>
      </c>
      <c r="E1577" s="484">
        <v>3480.0729999999999</v>
      </c>
      <c r="F1577" s="484">
        <v>3480.0729999999999</v>
      </c>
      <c r="G1577" s="484">
        <v>2750.6447499999999</v>
      </c>
      <c r="H1577" s="484">
        <v>2347.6358399999999</v>
      </c>
      <c r="I1577" s="480">
        <v>67.459999999999994</v>
      </c>
      <c r="J1577" s="485" t="s">
        <v>10</v>
      </c>
    </row>
    <row r="1578" spans="1:10" ht="51" outlineLevel="2">
      <c r="A1578" s="471" t="s">
        <v>2272</v>
      </c>
      <c r="B1578" s="472" t="s">
        <v>2273</v>
      </c>
      <c r="C1578" s="473"/>
      <c r="D1578" s="472"/>
      <c r="E1578" s="474">
        <v>154070.91735</v>
      </c>
      <c r="F1578" s="474">
        <v>154070.91735</v>
      </c>
      <c r="G1578" s="474">
        <v>82414.961169999995</v>
      </c>
      <c r="H1578" s="474">
        <v>74055.915389999995</v>
      </c>
      <c r="I1578" s="475">
        <v>48.07</v>
      </c>
      <c r="J1578" s="475"/>
    </row>
    <row r="1579" spans="1:10" ht="25.5" outlineLevel="3">
      <c r="A1579" s="476" t="s">
        <v>873</v>
      </c>
      <c r="B1579" s="477" t="s">
        <v>2274</v>
      </c>
      <c r="C1579" s="478"/>
      <c r="D1579" s="477"/>
      <c r="E1579" s="479">
        <v>143557.62536000001</v>
      </c>
      <c r="F1579" s="479">
        <v>143557.62536000001</v>
      </c>
      <c r="G1579" s="479">
        <v>77500</v>
      </c>
      <c r="H1579" s="479">
        <v>70001.187609999994</v>
      </c>
      <c r="I1579" s="480">
        <v>48.76</v>
      </c>
      <c r="J1579" s="480"/>
    </row>
    <row r="1580" spans="1:10" ht="25.5" outlineLevel="4">
      <c r="A1580" s="481" t="s">
        <v>873</v>
      </c>
      <c r="B1580" s="482" t="s">
        <v>2274</v>
      </c>
      <c r="C1580" s="483" t="s">
        <v>2260</v>
      </c>
      <c r="D1580" s="482" t="s">
        <v>2261</v>
      </c>
      <c r="E1580" s="484">
        <v>143557.62536000001</v>
      </c>
      <c r="F1580" s="484">
        <v>143557.62536000001</v>
      </c>
      <c r="G1580" s="484">
        <v>77500</v>
      </c>
      <c r="H1580" s="484">
        <v>70001.187609999994</v>
      </c>
      <c r="I1580" s="480">
        <v>48.76</v>
      </c>
      <c r="J1580" s="480"/>
    </row>
    <row r="1581" spans="1:10" ht="38.25" outlineLevel="3">
      <c r="A1581" s="476" t="s">
        <v>854</v>
      </c>
      <c r="B1581" s="477" t="s">
        <v>2275</v>
      </c>
      <c r="C1581" s="478"/>
      <c r="D1581" s="477"/>
      <c r="E1581" s="479">
        <v>5262.7879899999998</v>
      </c>
      <c r="F1581" s="479">
        <v>5262.7879899999998</v>
      </c>
      <c r="G1581" s="479">
        <v>1289.77117</v>
      </c>
      <c r="H1581" s="479">
        <v>768.58024999999998</v>
      </c>
      <c r="I1581" s="480">
        <v>14.6</v>
      </c>
      <c r="J1581" s="480"/>
    </row>
    <row r="1582" spans="1:10" ht="38.25" outlineLevel="4">
      <c r="A1582" s="481" t="s">
        <v>854</v>
      </c>
      <c r="B1582" s="482" t="s">
        <v>2275</v>
      </c>
      <c r="C1582" s="483" t="s">
        <v>2260</v>
      </c>
      <c r="D1582" s="482" t="s">
        <v>2261</v>
      </c>
      <c r="E1582" s="484">
        <v>5262.7879899999998</v>
      </c>
      <c r="F1582" s="484">
        <v>5262.7879899999998</v>
      </c>
      <c r="G1582" s="484">
        <v>1289.77117</v>
      </c>
      <c r="H1582" s="484">
        <v>768.58024999999998</v>
      </c>
      <c r="I1582" s="480">
        <v>14.6</v>
      </c>
      <c r="J1582" s="480"/>
    </row>
    <row r="1583" spans="1:10" ht="63.75" outlineLevel="3">
      <c r="A1583" s="476" t="s">
        <v>2276</v>
      </c>
      <c r="B1583" s="477" t="s">
        <v>2277</v>
      </c>
      <c r="C1583" s="478"/>
      <c r="D1583" s="477"/>
      <c r="E1583" s="479">
        <v>3585.5039999999999</v>
      </c>
      <c r="F1583" s="479">
        <v>3585.5039999999999</v>
      </c>
      <c r="G1583" s="479">
        <v>3108</v>
      </c>
      <c r="H1583" s="479">
        <v>3108</v>
      </c>
      <c r="I1583" s="480">
        <v>86.68</v>
      </c>
      <c r="J1583" s="480"/>
    </row>
    <row r="1584" spans="1:10" ht="63.75" outlineLevel="4">
      <c r="A1584" s="481" t="s">
        <v>2276</v>
      </c>
      <c r="B1584" s="482" t="s">
        <v>2277</v>
      </c>
      <c r="C1584" s="483" t="s">
        <v>2260</v>
      </c>
      <c r="D1584" s="482" t="s">
        <v>2261</v>
      </c>
      <c r="E1584" s="484">
        <v>3585.5039999999999</v>
      </c>
      <c r="F1584" s="484">
        <v>3585.5039999999999</v>
      </c>
      <c r="G1584" s="484">
        <v>3108</v>
      </c>
      <c r="H1584" s="484">
        <v>3108</v>
      </c>
      <c r="I1584" s="480">
        <v>86.68</v>
      </c>
      <c r="J1584" s="480"/>
    </row>
    <row r="1585" spans="1:10" ht="63.75" outlineLevel="3">
      <c r="A1585" s="476" t="s">
        <v>62</v>
      </c>
      <c r="B1585" s="477" t="s">
        <v>2278</v>
      </c>
      <c r="C1585" s="478"/>
      <c r="D1585" s="477"/>
      <c r="E1585" s="479">
        <v>1515</v>
      </c>
      <c r="F1585" s="479">
        <v>1515</v>
      </c>
      <c r="G1585" s="479">
        <v>460</v>
      </c>
      <c r="H1585" s="479">
        <v>120.95753000000001</v>
      </c>
      <c r="I1585" s="480">
        <v>7.98</v>
      </c>
      <c r="J1585" s="480"/>
    </row>
    <row r="1586" spans="1:10" ht="63.75" outlineLevel="4">
      <c r="A1586" s="481" t="s">
        <v>62</v>
      </c>
      <c r="B1586" s="482" t="s">
        <v>2278</v>
      </c>
      <c r="C1586" s="483" t="s">
        <v>2260</v>
      </c>
      <c r="D1586" s="482" t="s">
        <v>2261</v>
      </c>
      <c r="E1586" s="484">
        <v>1515</v>
      </c>
      <c r="F1586" s="484">
        <v>1515</v>
      </c>
      <c r="G1586" s="484">
        <v>460</v>
      </c>
      <c r="H1586" s="484">
        <v>120.95753000000001</v>
      </c>
      <c r="I1586" s="480">
        <v>7.98</v>
      </c>
      <c r="J1586" s="480"/>
    </row>
    <row r="1587" spans="1:10" ht="76.5" outlineLevel="3">
      <c r="A1587" s="476" t="s">
        <v>1027</v>
      </c>
      <c r="B1587" s="477" t="s">
        <v>2279</v>
      </c>
      <c r="C1587" s="478"/>
      <c r="D1587" s="477"/>
      <c r="E1587" s="479">
        <v>150</v>
      </c>
      <c r="F1587" s="479">
        <v>150</v>
      </c>
      <c r="G1587" s="479">
        <v>57.19</v>
      </c>
      <c r="H1587" s="479">
        <v>57.19</v>
      </c>
      <c r="I1587" s="480">
        <v>38.130000000000003</v>
      </c>
      <c r="J1587" s="480"/>
    </row>
    <row r="1588" spans="1:10" ht="76.5" outlineLevel="4">
      <c r="A1588" s="481" t="s">
        <v>1027</v>
      </c>
      <c r="B1588" s="482" t="s">
        <v>2279</v>
      </c>
      <c r="C1588" s="483" t="s">
        <v>2260</v>
      </c>
      <c r="D1588" s="482" t="s">
        <v>2261</v>
      </c>
      <c r="E1588" s="484">
        <v>150</v>
      </c>
      <c r="F1588" s="484">
        <v>150</v>
      </c>
      <c r="G1588" s="484">
        <v>57.19</v>
      </c>
      <c r="H1588" s="484">
        <v>57.19</v>
      </c>
      <c r="I1588" s="480">
        <v>38.130000000000003</v>
      </c>
      <c r="J1588" s="480"/>
    </row>
    <row r="1589" spans="1:10" ht="102" outlineLevel="2">
      <c r="A1589" s="471" t="s">
        <v>2280</v>
      </c>
      <c r="B1589" s="472" t="s">
        <v>2281</v>
      </c>
      <c r="C1589" s="473"/>
      <c r="D1589" s="472"/>
      <c r="E1589" s="474">
        <v>16601.986400000002</v>
      </c>
      <c r="F1589" s="474">
        <v>16601.986400000002</v>
      </c>
      <c r="G1589" s="474">
        <v>11009.22406</v>
      </c>
      <c r="H1589" s="474">
        <v>8091.6902499999997</v>
      </c>
      <c r="I1589" s="475">
        <v>48.74</v>
      </c>
      <c r="J1589" s="475"/>
    </row>
    <row r="1590" spans="1:10" ht="76.5" outlineLevel="3">
      <c r="A1590" s="476" t="s">
        <v>702</v>
      </c>
      <c r="B1590" s="477" t="s">
        <v>2282</v>
      </c>
      <c r="C1590" s="478"/>
      <c r="D1590" s="477"/>
      <c r="E1590" s="479">
        <v>16601.986400000002</v>
      </c>
      <c r="F1590" s="479">
        <v>16601.986400000002</v>
      </c>
      <c r="G1590" s="479">
        <v>11009.22406</v>
      </c>
      <c r="H1590" s="479">
        <v>8091.6902499999997</v>
      </c>
      <c r="I1590" s="480">
        <v>48.74</v>
      </c>
      <c r="J1590" s="480"/>
    </row>
    <row r="1591" spans="1:10" ht="76.5" outlineLevel="4">
      <c r="A1591" s="481" t="s">
        <v>702</v>
      </c>
      <c r="B1591" s="482" t="s">
        <v>2282</v>
      </c>
      <c r="C1591" s="483" t="s">
        <v>2260</v>
      </c>
      <c r="D1591" s="482" t="s">
        <v>2261</v>
      </c>
      <c r="E1591" s="484">
        <v>16601.986400000002</v>
      </c>
      <c r="F1591" s="484">
        <v>16601.986400000002</v>
      </c>
      <c r="G1591" s="484">
        <v>11009.22406</v>
      </c>
      <c r="H1591" s="484">
        <v>8091.6902499999997</v>
      </c>
      <c r="I1591" s="480">
        <v>48.74</v>
      </c>
      <c r="J1591" s="480"/>
    </row>
    <row r="1592" spans="1:10" ht="76.5" outlineLevel="2">
      <c r="A1592" s="471" t="s">
        <v>2283</v>
      </c>
      <c r="B1592" s="472" t="s">
        <v>2284</v>
      </c>
      <c r="C1592" s="473"/>
      <c r="D1592" s="472"/>
      <c r="E1592" s="474">
        <v>1757.5</v>
      </c>
      <c r="F1592" s="474">
        <v>1757.5</v>
      </c>
      <c r="G1592" s="474">
        <v>1757.5</v>
      </c>
      <c r="H1592" s="474">
        <v>1131.3</v>
      </c>
      <c r="I1592" s="475">
        <v>64.37</v>
      </c>
      <c r="J1592" s="475"/>
    </row>
    <row r="1593" spans="1:10" ht="51" outlineLevel="3">
      <c r="A1593" s="476" t="s">
        <v>2285</v>
      </c>
      <c r="B1593" s="477" t="s">
        <v>2286</v>
      </c>
      <c r="C1593" s="478"/>
      <c r="D1593" s="477"/>
      <c r="E1593" s="479">
        <v>747.5</v>
      </c>
      <c r="F1593" s="479">
        <v>747.5</v>
      </c>
      <c r="G1593" s="479">
        <v>747.5</v>
      </c>
      <c r="H1593" s="479">
        <v>255</v>
      </c>
      <c r="I1593" s="480">
        <v>34.11</v>
      </c>
      <c r="J1593" s="480"/>
    </row>
    <row r="1594" spans="1:10" ht="51" outlineLevel="4">
      <c r="A1594" s="481" t="s">
        <v>2285</v>
      </c>
      <c r="B1594" s="482" t="s">
        <v>2286</v>
      </c>
      <c r="C1594" s="483" t="s">
        <v>2260</v>
      </c>
      <c r="D1594" s="482" t="s">
        <v>2261</v>
      </c>
      <c r="E1594" s="484">
        <v>747.5</v>
      </c>
      <c r="F1594" s="484">
        <v>747.5</v>
      </c>
      <c r="G1594" s="484">
        <v>747.5</v>
      </c>
      <c r="H1594" s="484">
        <v>255</v>
      </c>
      <c r="I1594" s="480">
        <v>34.11</v>
      </c>
      <c r="J1594" s="480"/>
    </row>
    <row r="1595" spans="1:10" ht="51" outlineLevel="3">
      <c r="A1595" s="476" t="s">
        <v>2287</v>
      </c>
      <c r="B1595" s="477" t="s">
        <v>2288</v>
      </c>
      <c r="C1595" s="478"/>
      <c r="D1595" s="477"/>
      <c r="E1595" s="479">
        <v>860</v>
      </c>
      <c r="F1595" s="479">
        <v>860</v>
      </c>
      <c r="G1595" s="479">
        <v>860</v>
      </c>
      <c r="H1595" s="479">
        <v>831.3</v>
      </c>
      <c r="I1595" s="480">
        <v>96.66</v>
      </c>
      <c r="J1595" s="480"/>
    </row>
    <row r="1596" spans="1:10" ht="51" outlineLevel="4">
      <c r="A1596" s="481" t="s">
        <v>2287</v>
      </c>
      <c r="B1596" s="482" t="s">
        <v>2288</v>
      </c>
      <c r="C1596" s="483" t="s">
        <v>2260</v>
      </c>
      <c r="D1596" s="482" t="s">
        <v>2261</v>
      </c>
      <c r="E1596" s="484">
        <v>860</v>
      </c>
      <c r="F1596" s="484">
        <v>860</v>
      </c>
      <c r="G1596" s="484">
        <v>860</v>
      </c>
      <c r="H1596" s="484">
        <v>831.3</v>
      </c>
      <c r="I1596" s="480">
        <v>96.66</v>
      </c>
      <c r="J1596" s="480"/>
    </row>
    <row r="1597" spans="1:10" ht="38.25" outlineLevel="3">
      <c r="A1597" s="476" t="s">
        <v>2289</v>
      </c>
      <c r="B1597" s="477" t="s">
        <v>2290</v>
      </c>
      <c r="C1597" s="478"/>
      <c r="D1597" s="477"/>
      <c r="E1597" s="479">
        <v>150</v>
      </c>
      <c r="F1597" s="479">
        <v>150</v>
      </c>
      <c r="G1597" s="479">
        <v>150</v>
      </c>
      <c r="H1597" s="479">
        <v>45</v>
      </c>
      <c r="I1597" s="480">
        <v>30</v>
      </c>
      <c r="J1597" s="480"/>
    </row>
    <row r="1598" spans="1:10" ht="38.25" outlineLevel="4">
      <c r="A1598" s="481" t="s">
        <v>2289</v>
      </c>
      <c r="B1598" s="482" t="s">
        <v>2290</v>
      </c>
      <c r="C1598" s="483" t="s">
        <v>2260</v>
      </c>
      <c r="D1598" s="482" t="s">
        <v>2261</v>
      </c>
      <c r="E1598" s="484">
        <v>150</v>
      </c>
      <c r="F1598" s="484">
        <v>150</v>
      </c>
      <c r="G1598" s="484">
        <v>150</v>
      </c>
      <c r="H1598" s="484">
        <v>45</v>
      </c>
      <c r="I1598" s="480">
        <v>30</v>
      </c>
      <c r="J1598" s="480"/>
    </row>
    <row r="1599" spans="1:10" ht="127.5" outlineLevel="2">
      <c r="A1599" s="471" t="s">
        <v>2291</v>
      </c>
      <c r="B1599" s="472" t="s">
        <v>2292</v>
      </c>
      <c r="C1599" s="473"/>
      <c r="D1599" s="472"/>
      <c r="E1599" s="474">
        <v>465651.81831</v>
      </c>
      <c r="F1599" s="474">
        <v>399680.41830999998</v>
      </c>
      <c r="G1599" s="474">
        <v>212577.06880000001</v>
      </c>
      <c r="H1599" s="474">
        <v>212577.06880000001</v>
      </c>
      <c r="I1599" s="475">
        <v>45.65</v>
      </c>
      <c r="J1599" s="475"/>
    </row>
    <row r="1600" spans="1:10" ht="76.5" outlineLevel="3">
      <c r="A1600" s="476" t="s">
        <v>702</v>
      </c>
      <c r="B1600" s="477" t="s">
        <v>2293</v>
      </c>
      <c r="C1600" s="478"/>
      <c r="D1600" s="477"/>
      <c r="E1600" s="479">
        <v>457391.69831000001</v>
      </c>
      <c r="F1600" s="479">
        <v>391420.29830999998</v>
      </c>
      <c r="G1600" s="479">
        <v>205717.53580000001</v>
      </c>
      <c r="H1600" s="479">
        <v>205717.53580000001</v>
      </c>
      <c r="I1600" s="480">
        <v>44.98</v>
      </c>
      <c r="J1600" s="480"/>
    </row>
    <row r="1601" spans="1:10" ht="76.5" outlineLevel="4">
      <c r="A1601" s="481" t="s">
        <v>702</v>
      </c>
      <c r="B1601" s="482" t="s">
        <v>2293</v>
      </c>
      <c r="C1601" s="483" t="s">
        <v>2260</v>
      </c>
      <c r="D1601" s="482" t="s">
        <v>2261</v>
      </c>
      <c r="E1601" s="484">
        <v>457391.69831000001</v>
      </c>
      <c r="F1601" s="484">
        <v>391420.29830999998</v>
      </c>
      <c r="G1601" s="484">
        <v>205717.53580000001</v>
      </c>
      <c r="H1601" s="484">
        <v>205717.53580000001</v>
      </c>
      <c r="I1601" s="480">
        <v>44.98</v>
      </c>
      <c r="J1601" s="480"/>
    </row>
    <row r="1602" spans="1:10" ht="63.75" outlineLevel="3">
      <c r="A1602" s="476" t="s">
        <v>62</v>
      </c>
      <c r="B1602" s="477" t="s">
        <v>2294</v>
      </c>
      <c r="C1602" s="478"/>
      <c r="D1602" s="477"/>
      <c r="E1602" s="479">
        <v>6600</v>
      </c>
      <c r="F1602" s="479">
        <v>6600</v>
      </c>
      <c r="G1602" s="479">
        <v>6600</v>
      </c>
      <c r="H1602" s="479">
        <v>6600</v>
      </c>
      <c r="I1602" s="480">
        <v>100</v>
      </c>
      <c r="J1602" s="480"/>
    </row>
    <row r="1603" spans="1:10" ht="63.75" outlineLevel="4">
      <c r="A1603" s="481" t="s">
        <v>62</v>
      </c>
      <c r="B1603" s="482" t="s">
        <v>2294</v>
      </c>
      <c r="C1603" s="483" t="s">
        <v>2260</v>
      </c>
      <c r="D1603" s="482" t="s">
        <v>2261</v>
      </c>
      <c r="E1603" s="484">
        <v>6600</v>
      </c>
      <c r="F1603" s="484">
        <v>6600</v>
      </c>
      <c r="G1603" s="484">
        <v>6600</v>
      </c>
      <c r="H1603" s="484">
        <v>6600</v>
      </c>
      <c r="I1603" s="480">
        <v>100</v>
      </c>
      <c r="J1603" s="480"/>
    </row>
    <row r="1604" spans="1:10" ht="51" outlineLevel="3">
      <c r="A1604" s="476" t="s">
        <v>861</v>
      </c>
      <c r="B1604" s="477" t="s">
        <v>2295</v>
      </c>
      <c r="C1604" s="478"/>
      <c r="D1604" s="477"/>
      <c r="E1604" s="479">
        <v>1660.12</v>
      </c>
      <c r="F1604" s="479">
        <v>1660.12</v>
      </c>
      <c r="G1604" s="479">
        <v>259.53300000000002</v>
      </c>
      <c r="H1604" s="479">
        <v>259.53300000000002</v>
      </c>
      <c r="I1604" s="480">
        <v>15.63</v>
      </c>
      <c r="J1604" s="480"/>
    </row>
    <row r="1605" spans="1:10" ht="51" outlineLevel="4">
      <c r="A1605" s="481" t="s">
        <v>861</v>
      </c>
      <c r="B1605" s="482" t="s">
        <v>2295</v>
      </c>
      <c r="C1605" s="483" t="s">
        <v>2260</v>
      </c>
      <c r="D1605" s="482" t="s">
        <v>2261</v>
      </c>
      <c r="E1605" s="484">
        <v>1660.12</v>
      </c>
      <c r="F1605" s="484">
        <v>1660.12</v>
      </c>
      <c r="G1605" s="484">
        <v>259.53300000000002</v>
      </c>
      <c r="H1605" s="484">
        <v>259.53300000000002</v>
      </c>
      <c r="I1605" s="480">
        <v>15.63</v>
      </c>
      <c r="J1605" s="480"/>
    </row>
    <row r="1606" spans="1:10" ht="76.5" outlineLevel="2">
      <c r="A1606" s="471" t="s">
        <v>2296</v>
      </c>
      <c r="B1606" s="472" t="s">
        <v>2297</v>
      </c>
      <c r="C1606" s="473"/>
      <c r="D1606" s="472"/>
      <c r="E1606" s="474">
        <v>200</v>
      </c>
      <c r="F1606" s="474">
        <v>0</v>
      </c>
      <c r="G1606" s="474">
        <v>0</v>
      </c>
      <c r="H1606" s="474">
        <v>0</v>
      </c>
      <c r="I1606" s="475">
        <v>0</v>
      </c>
      <c r="J1606" s="475"/>
    </row>
    <row r="1607" spans="1:10" ht="25.5" outlineLevel="3">
      <c r="A1607" s="476" t="s">
        <v>713</v>
      </c>
      <c r="B1607" s="477" t="s">
        <v>2298</v>
      </c>
      <c r="C1607" s="478"/>
      <c r="D1607" s="477"/>
      <c r="E1607" s="479">
        <v>200</v>
      </c>
      <c r="F1607" s="479">
        <v>0</v>
      </c>
      <c r="G1607" s="479">
        <v>0</v>
      </c>
      <c r="H1607" s="479">
        <v>0</v>
      </c>
      <c r="I1607" s="480">
        <v>0</v>
      </c>
      <c r="J1607" s="480"/>
    </row>
    <row r="1608" spans="1:10" ht="38.25" outlineLevel="4">
      <c r="A1608" s="481" t="s">
        <v>713</v>
      </c>
      <c r="B1608" s="482" t="s">
        <v>2298</v>
      </c>
      <c r="C1608" s="483" t="s">
        <v>2265</v>
      </c>
      <c r="D1608" s="482" t="s">
        <v>2266</v>
      </c>
      <c r="E1608" s="484">
        <v>200</v>
      </c>
      <c r="F1608" s="484">
        <v>0</v>
      </c>
      <c r="G1608" s="484">
        <v>0</v>
      </c>
      <c r="H1608" s="484">
        <v>0</v>
      </c>
      <c r="I1608" s="480">
        <v>0</v>
      </c>
      <c r="J1608" s="480"/>
    </row>
    <row r="1609" spans="1:10" ht="51" outlineLevel="2">
      <c r="A1609" s="471" t="s">
        <v>2299</v>
      </c>
      <c r="B1609" s="472" t="s">
        <v>2300</v>
      </c>
      <c r="C1609" s="473"/>
      <c r="D1609" s="472"/>
      <c r="E1609" s="474">
        <v>300</v>
      </c>
      <c r="F1609" s="474">
        <v>0</v>
      </c>
      <c r="G1609" s="474">
        <v>0</v>
      </c>
      <c r="H1609" s="474">
        <v>0</v>
      </c>
      <c r="I1609" s="475">
        <v>0</v>
      </c>
      <c r="J1609" s="475"/>
    </row>
    <row r="1610" spans="1:10" ht="25.5" outlineLevel="3">
      <c r="A1610" s="476" t="s">
        <v>713</v>
      </c>
      <c r="B1610" s="477" t="s">
        <v>2301</v>
      </c>
      <c r="C1610" s="478"/>
      <c r="D1610" s="477"/>
      <c r="E1610" s="479">
        <v>300</v>
      </c>
      <c r="F1610" s="479">
        <v>0</v>
      </c>
      <c r="G1610" s="479">
        <v>0</v>
      </c>
      <c r="H1610" s="479">
        <v>0</v>
      </c>
      <c r="I1610" s="480">
        <v>0</v>
      </c>
      <c r="J1610" s="480"/>
    </row>
    <row r="1611" spans="1:10" ht="38.25" outlineLevel="4">
      <c r="A1611" s="481" t="s">
        <v>713</v>
      </c>
      <c r="B1611" s="482" t="s">
        <v>2301</v>
      </c>
      <c r="C1611" s="483" t="s">
        <v>2265</v>
      </c>
      <c r="D1611" s="482" t="s">
        <v>2266</v>
      </c>
      <c r="E1611" s="484">
        <v>300</v>
      </c>
      <c r="F1611" s="484">
        <v>0</v>
      </c>
      <c r="G1611" s="484">
        <v>0</v>
      </c>
      <c r="H1611" s="484">
        <v>0</v>
      </c>
      <c r="I1611" s="480">
        <v>0</v>
      </c>
      <c r="J1611" s="480"/>
    </row>
    <row r="1612" spans="1:10" ht="76.5" outlineLevel="2">
      <c r="A1612" s="471" t="s">
        <v>2302</v>
      </c>
      <c r="B1612" s="472" t="s">
        <v>2303</v>
      </c>
      <c r="C1612" s="473"/>
      <c r="D1612" s="472"/>
      <c r="E1612" s="474">
        <v>62440.04047</v>
      </c>
      <c r="F1612" s="474">
        <v>62440.04047</v>
      </c>
      <c r="G1612" s="474">
        <v>37609.41347</v>
      </c>
      <c r="H1612" s="474">
        <v>23712.314579999998</v>
      </c>
      <c r="I1612" s="475">
        <v>37.979999999999997</v>
      </c>
      <c r="J1612" s="475"/>
    </row>
    <row r="1613" spans="1:10" ht="114.75" outlineLevel="3">
      <c r="A1613" s="476" t="s">
        <v>2122</v>
      </c>
      <c r="B1613" s="477" t="s">
        <v>2304</v>
      </c>
      <c r="C1613" s="478"/>
      <c r="D1613" s="477"/>
      <c r="E1613" s="479">
        <v>62440.04047</v>
      </c>
      <c r="F1613" s="479">
        <v>62440.04047</v>
      </c>
      <c r="G1613" s="479">
        <v>37609.41347</v>
      </c>
      <c r="H1613" s="479">
        <v>23712.314579999998</v>
      </c>
      <c r="I1613" s="480">
        <v>37.979999999999997</v>
      </c>
      <c r="J1613" s="480"/>
    </row>
    <row r="1614" spans="1:10" ht="114.75" outlineLevel="4">
      <c r="A1614" s="481" t="s">
        <v>2122</v>
      </c>
      <c r="B1614" s="482" t="s">
        <v>2304</v>
      </c>
      <c r="C1614" s="483" t="s">
        <v>2124</v>
      </c>
      <c r="D1614" s="482" t="s">
        <v>2125</v>
      </c>
      <c r="E1614" s="484">
        <v>62440.04047</v>
      </c>
      <c r="F1614" s="484">
        <v>62440.04047</v>
      </c>
      <c r="G1614" s="484">
        <v>37609.41347</v>
      </c>
      <c r="H1614" s="484">
        <v>23712.314579999998</v>
      </c>
      <c r="I1614" s="480">
        <v>37.979999999999997</v>
      </c>
      <c r="J1614" s="485" t="s">
        <v>10</v>
      </c>
    </row>
    <row r="1615" spans="1:10" ht="51" outlineLevel="2">
      <c r="A1615" s="471" t="s">
        <v>2305</v>
      </c>
      <c r="B1615" s="472" t="s">
        <v>2306</v>
      </c>
      <c r="C1615" s="473"/>
      <c r="D1615" s="472"/>
      <c r="E1615" s="474">
        <v>25810.560000000001</v>
      </c>
      <c r="F1615" s="474">
        <v>25810.560000000001</v>
      </c>
      <c r="G1615" s="474">
        <v>22280.29</v>
      </c>
      <c r="H1615" s="474">
        <v>14259.58373</v>
      </c>
      <c r="I1615" s="475">
        <v>55.25</v>
      </c>
      <c r="J1615" s="475"/>
    </row>
    <row r="1616" spans="1:10" ht="127.5" outlineLevel="3">
      <c r="A1616" s="476" t="s">
        <v>2307</v>
      </c>
      <c r="B1616" s="477" t="s">
        <v>2308</v>
      </c>
      <c r="C1616" s="478"/>
      <c r="D1616" s="477"/>
      <c r="E1616" s="479">
        <v>6831.1</v>
      </c>
      <c r="F1616" s="479">
        <v>6831.1</v>
      </c>
      <c r="G1616" s="479">
        <v>6831.1</v>
      </c>
      <c r="H1616" s="479">
        <v>6831.1</v>
      </c>
      <c r="I1616" s="480">
        <v>100</v>
      </c>
      <c r="J1616" s="480"/>
    </row>
    <row r="1617" spans="1:10" ht="127.5" outlineLevel="4">
      <c r="A1617" s="481" t="s">
        <v>2307</v>
      </c>
      <c r="B1617" s="482" t="s">
        <v>2308</v>
      </c>
      <c r="C1617" s="483" t="s">
        <v>2124</v>
      </c>
      <c r="D1617" s="482" t="s">
        <v>2125</v>
      </c>
      <c r="E1617" s="484">
        <v>6831.1</v>
      </c>
      <c r="F1617" s="484">
        <v>6831.1</v>
      </c>
      <c r="G1617" s="484">
        <v>6831.1</v>
      </c>
      <c r="H1617" s="484">
        <v>6831.1</v>
      </c>
      <c r="I1617" s="480">
        <v>100</v>
      </c>
      <c r="J1617" s="480"/>
    </row>
    <row r="1618" spans="1:10" ht="114.75" outlineLevel="3">
      <c r="A1618" s="476" t="s">
        <v>2309</v>
      </c>
      <c r="B1618" s="477" t="s">
        <v>2310</v>
      </c>
      <c r="C1618" s="478"/>
      <c r="D1618" s="477"/>
      <c r="E1618" s="479">
        <v>194</v>
      </c>
      <c r="F1618" s="479">
        <v>194</v>
      </c>
      <c r="G1618" s="479">
        <v>188</v>
      </c>
      <c r="H1618" s="479">
        <v>30</v>
      </c>
      <c r="I1618" s="480">
        <v>15.46</v>
      </c>
      <c r="J1618" s="480"/>
    </row>
    <row r="1619" spans="1:10" ht="114.75" outlineLevel="4">
      <c r="A1619" s="481" t="s">
        <v>2309</v>
      </c>
      <c r="B1619" s="482" t="s">
        <v>2310</v>
      </c>
      <c r="C1619" s="483" t="s">
        <v>2124</v>
      </c>
      <c r="D1619" s="482" t="s">
        <v>2125</v>
      </c>
      <c r="E1619" s="484">
        <v>194</v>
      </c>
      <c r="F1619" s="484">
        <v>194</v>
      </c>
      <c r="G1619" s="484">
        <v>188</v>
      </c>
      <c r="H1619" s="484">
        <v>30</v>
      </c>
      <c r="I1619" s="480">
        <v>15.46</v>
      </c>
      <c r="J1619" s="480"/>
    </row>
    <row r="1620" spans="1:10" ht="38.25" outlineLevel="3">
      <c r="A1620" s="476" t="s">
        <v>2311</v>
      </c>
      <c r="B1620" s="477" t="s">
        <v>2312</v>
      </c>
      <c r="C1620" s="478"/>
      <c r="D1620" s="477"/>
      <c r="E1620" s="479">
        <v>18785.46</v>
      </c>
      <c r="F1620" s="479">
        <v>18785.46</v>
      </c>
      <c r="G1620" s="479">
        <v>15261.19</v>
      </c>
      <c r="H1620" s="479">
        <v>7398.4837299999999</v>
      </c>
      <c r="I1620" s="480">
        <v>39.380000000000003</v>
      </c>
      <c r="J1620" s="480"/>
    </row>
    <row r="1621" spans="1:10" ht="38.25" outlineLevel="4">
      <c r="A1621" s="481" t="s">
        <v>2311</v>
      </c>
      <c r="B1621" s="482" t="s">
        <v>2312</v>
      </c>
      <c r="C1621" s="483" t="s">
        <v>2124</v>
      </c>
      <c r="D1621" s="482" t="s">
        <v>2125</v>
      </c>
      <c r="E1621" s="484">
        <v>18785.46</v>
      </c>
      <c r="F1621" s="484">
        <v>18785.46</v>
      </c>
      <c r="G1621" s="484">
        <v>15261.19</v>
      </c>
      <c r="H1621" s="484">
        <v>7398.4837299999999</v>
      </c>
      <c r="I1621" s="480">
        <v>39.380000000000003</v>
      </c>
      <c r="J1621" s="480"/>
    </row>
    <row r="1622" spans="1:10" ht="76.5" outlineLevel="2">
      <c r="A1622" s="471" t="s">
        <v>2313</v>
      </c>
      <c r="B1622" s="472" t="s">
        <v>2314</v>
      </c>
      <c r="C1622" s="473"/>
      <c r="D1622" s="472"/>
      <c r="E1622" s="474">
        <v>2700</v>
      </c>
      <c r="F1622" s="474">
        <v>2700</v>
      </c>
      <c r="G1622" s="474">
        <v>2000</v>
      </c>
      <c r="H1622" s="474">
        <v>1032.674</v>
      </c>
      <c r="I1622" s="475">
        <v>38.25</v>
      </c>
      <c r="J1622" s="475"/>
    </row>
    <row r="1623" spans="1:10" ht="38.25" outlineLevel="3">
      <c r="A1623" s="476" t="s">
        <v>2315</v>
      </c>
      <c r="B1623" s="477" t="s">
        <v>2316</v>
      </c>
      <c r="C1623" s="478"/>
      <c r="D1623" s="477"/>
      <c r="E1623" s="479">
        <v>2700</v>
      </c>
      <c r="F1623" s="479">
        <v>2700</v>
      </c>
      <c r="G1623" s="479">
        <v>2000</v>
      </c>
      <c r="H1623" s="479">
        <v>1032.674</v>
      </c>
      <c r="I1623" s="480">
        <v>38.25</v>
      </c>
      <c r="J1623" s="480"/>
    </row>
    <row r="1624" spans="1:10" ht="38.25" outlineLevel="4">
      <c r="A1624" s="481" t="s">
        <v>2315</v>
      </c>
      <c r="B1624" s="482" t="s">
        <v>2316</v>
      </c>
      <c r="C1624" s="483" t="s">
        <v>2124</v>
      </c>
      <c r="D1624" s="482" t="s">
        <v>2125</v>
      </c>
      <c r="E1624" s="484">
        <v>2700</v>
      </c>
      <c r="F1624" s="484">
        <v>2700</v>
      </c>
      <c r="G1624" s="484">
        <v>2000</v>
      </c>
      <c r="H1624" s="484">
        <v>1032.674</v>
      </c>
      <c r="I1624" s="480">
        <v>38.25</v>
      </c>
      <c r="J1624" s="480"/>
    </row>
    <row r="1625" spans="1:10" ht="38.25" outlineLevel="2">
      <c r="A1625" s="471" t="s">
        <v>2317</v>
      </c>
      <c r="B1625" s="472" t="s">
        <v>2318</v>
      </c>
      <c r="C1625" s="473"/>
      <c r="D1625" s="472"/>
      <c r="E1625" s="474">
        <v>76.099999999999994</v>
      </c>
      <c r="F1625" s="474">
        <v>76.099999999999994</v>
      </c>
      <c r="G1625" s="474">
        <v>75.244</v>
      </c>
      <c r="H1625" s="474">
        <v>0.57099999999999995</v>
      </c>
      <c r="I1625" s="475">
        <v>0.75</v>
      </c>
      <c r="J1625" s="475"/>
    </row>
    <row r="1626" spans="1:10" ht="63.75" outlineLevel="3">
      <c r="A1626" s="476" t="s">
        <v>2319</v>
      </c>
      <c r="B1626" s="477" t="s">
        <v>2320</v>
      </c>
      <c r="C1626" s="478"/>
      <c r="D1626" s="477"/>
      <c r="E1626" s="479">
        <v>76.099999999999994</v>
      </c>
      <c r="F1626" s="479">
        <v>76.099999999999994</v>
      </c>
      <c r="G1626" s="479">
        <v>75.244</v>
      </c>
      <c r="H1626" s="479">
        <v>0.57099999999999995</v>
      </c>
      <c r="I1626" s="480">
        <v>0.75</v>
      </c>
      <c r="J1626" s="480"/>
    </row>
    <row r="1627" spans="1:10" ht="63.75" outlineLevel="4">
      <c r="A1627" s="481" t="s">
        <v>2319</v>
      </c>
      <c r="B1627" s="482" t="s">
        <v>2320</v>
      </c>
      <c r="C1627" s="483" t="s">
        <v>2124</v>
      </c>
      <c r="D1627" s="482" t="s">
        <v>2125</v>
      </c>
      <c r="E1627" s="484">
        <v>76.099999999999994</v>
      </c>
      <c r="F1627" s="484">
        <v>76.099999999999994</v>
      </c>
      <c r="G1627" s="484">
        <v>75.244</v>
      </c>
      <c r="H1627" s="484">
        <v>0.57099999999999995</v>
      </c>
      <c r="I1627" s="480">
        <v>0.75</v>
      </c>
      <c r="J1627" s="485" t="s">
        <v>10</v>
      </c>
    </row>
    <row r="1628" spans="1:10" ht="76.5" outlineLevel="2">
      <c r="A1628" s="471" t="s">
        <v>2321</v>
      </c>
      <c r="B1628" s="472" t="s">
        <v>2322</v>
      </c>
      <c r="C1628" s="473"/>
      <c r="D1628" s="472"/>
      <c r="E1628" s="474">
        <v>190</v>
      </c>
      <c r="F1628" s="474">
        <v>190</v>
      </c>
      <c r="G1628" s="474">
        <v>0</v>
      </c>
      <c r="H1628" s="474">
        <v>0</v>
      </c>
      <c r="I1628" s="475">
        <v>0</v>
      </c>
      <c r="J1628" s="475"/>
    </row>
    <row r="1629" spans="1:10" ht="25.5" outlineLevel="3">
      <c r="A1629" s="476" t="s">
        <v>713</v>
      </c>
      <c r="B1629" s="477" t="s">
        <v>2323</v>
      </c>
      <c r="C1629" s="478"/>
      <c r="D1629" s="477"/>
      <c r="E1629" s="479">
        <v>190</v>
      </c>
      <c r="F1629" s="479">
        <v>190</v>
      </c>
      <c r="G1629" s="479">
        <v>0</v>
      </c>
      <c r="H1629" s="479">
        <v>0</v>
      </c>
      <c r="I1629" s="480">
        <v>0</v>
      </c>
      <c r="J1629" s="480"/>
    </row>
    <row r="1630" spans="1:10" ht="25.5" outlineLevel="4">
      <c r="A1630" s="481" t="s">
        <v>713</v>
      </c>
      <c r="B1630" s="482" t="s">
        <v>2323</v>
      </c>
      <c r="C1630" s="483" t="s">
        <v>2324</v>
      </c>
      <c r="D1630" s="482" t="s">
        <v>2325</v>
      </c>
      <c r="E1630" s="484">
        <v>190</v>
      </c>
      <c r="F1630" s="484">
        <v>190</v>
      </c>
      <c r="G1630" s="484">
        <v>0</v>
      </c>
      <c r="H1630" s="484">
        <v>0</v>
      </c>
      <c r="I1630" s="480">
        <v>0</v>
      </c>
      <c r="J1630" s="480"/>
    </row>
    <row r="1631" spans="1:10" ht="38.25" outlineLevel="1">
      <c r="A1631" s="466" t="s">
        <v>2326</v>
      </c>
      <c r="B1631" s="467" t="s">
        <v>2327</v>
      </c>
      <c r="C1631" s="468"/>
      <c r="D1631" s="467"/>
      <c r="E1631" s="469">
        <v>189432.66660999999</v>
      </c>
      <c r="F1631" s="469">
        <v>187932.66660999999</v>
      </c>
      <c r="G1631" s="469">
        <v>74647.08296</v>
      </c>
      <c r="H1631" s="469">
        <v>72379.958670000007</v>
      </c>
      <c r="I1631" s="470">
        <v>38.21</v>
      </c>
      <c r="J1631" s="470"/>
    </row>
    <row r="1632" spans="1:10" ht="89.25" outlineLevel="2">
      <c r="A1632" s="471" t="s">
        <v>2328</v>
      </c>
      <c r="B1632" s="472" t="s">
        <v>2329</v>
      </c>
      <c r="C1632" s="473"/>
      <c r="D1632" s="472"/>
      <c r="E1632" s="474">
        <v>2975</v>
      </c>
      <c r="F1632" s="474">
        <v>2975</v>
      </c>
      <c r="G1632" s="474">
        <v>37.5</v>
      </c>
      <c r="H1632" s="474">
        <v>37.5</v>
      </c>
      <c r="I1632" s="475">
        <v>1.26</v>
      </c>
      <c r="J1632" s="475"/>
    </row>
    <row r="1633" spans="1:10" ht="51" outlineLevel="3">
      <c r="A1633" s="476" t="s">
        <v>861</v>
      </c>
      <c r="B1633" s="477" t="s">
        <v>2330</v>
      </c>
      <c r="C1633" s="478"/>
      <c r="D1633" s="477"/>
      <c r="E1633" s="479">
        <v>2975</v>
      </c>
      <c r="F1633" s="479">
        <v>2975</v>
      </c>
      <c r="G1633" s="479">
        <v>37.5</v>
      </c>
      <c r="H1633" s="479">
        <v>37.5</v>
      </c>
      <c r="I1633" s="480">
        <v>1.26</v>
      </c>
      <c r="J1633" s="480"/>
    </row>
    <row r="1634" spans="1:10" ht="51" outlineLevel="4">
      <c r="A1634" s="481" t="s">
        <v>861</v>
      </c>
      <c r="B1634" s="482" t="s">
        <v>2330</v>
      </c>
      <c r="C1634" s="483" t="s">
        <v>1984</v>
      </c>
      <c r="D1634" s="482" t="s">
        <v>1985</v>
      </c>
      <c r="E1634" s="484">
        <v>2975</v>
      </c>
      <c r="F1634" s="484">
        <v>2975</v>
      </c>
      <c r="G1634" s="484">
        <v>37.5</v>
      </c>
      <c r="H1634" s="484">
        <v>37.5</v>
      </c>
      <c r="I1634" s="480">
        <v>1.26</v>
      </c>
      <c r="J1634" s="480"/>
    </row>
    <row r="1635" spans="1:10" ht="38.25" outlineLevel="2">
      <c r="A1635" s="471" t="s">
        <v>2331</v>
      </c>
      <c r="B1635" s="472" t="s">
        <v>2332</v>
      </c>
      <c r="C1635" s="473"/>
      <c r="D1635" s="472"/>
      <c r="E1635" s="474">
        <v>11633.475</v>
      </c>
      <c r="F1635" s="474">
        <v>11633.475</v>
      </c>
      <c r="G1635" s="474">
        <v>0</v>
      </c>
      <c r="H1635" s="474">
        <v>0</v>
      </c>
      <c r="I1635" s="475">
        <v>0</v>
      </c>
      <c r="J1635" s="475"/>
    </row>
    <row r="1636" spans="1:10" ht="25.5" outlineLevel="3">
      <c r="A1636" s="476" t="s">
        <v>713</v>
      </c>
      <c r="B1636" s="477" t="s">
        <v>2333</v>
      </c>
      <c r="C1636" s="478"/>
      <c r="D1636" s="477"/>
      <c r="E1636" s="479">
        <v>11633.475</v>
      </c>
      <c r="F1636" s="479">
        <v>11633.475</v>
      </c>
      <c r="G1636" s="479">
        <v>0</v>
      </c>
      <c r="H1636" s="479">
        <v>0</v>
      </c>
      <c r="I1636" s="480">
        <v>0</v>
      </c>
      <c r="J1636" s="480"/>
    </row>
    <row r="1637" spans="1:10" ht="25.5" outlineLevel="4">
      <c r="A1637" s="481" t="s">
        <v>713</v>
      </c>
      <c r="B1637" s="482" t="s">
        <v>2333</v>
      </c>
      <c r="C1637" s="483" t="s">
        <v>1984</v>
      </c>
      <c r="D1637" s="482" t="s">
        <v>1985</v>
      </c>
      <c r="E1637" s="484">
        <v>11633.475</v>
      </c>
      <c r="F1637" s="484">
        <v>11633.475</v>
      </c>
      <c r="G1637" s="484">
        <v>0</v>
      </c>
      <c r="H1637" s="484">
        <v>0</v>
      </c>
      <c r="I1637" s="480">
        <v>0</v>
      </c>
      <c r="J1637" s="480"/>
    </row>
    <row r="1638" spans="1:10" ht="76.5" outlineLevel="2">
      <c r="A1638" s="471" t="s">
        <v>2334</v>
      </c>
      <c r="B1638" s="472" t="s">
        <v>2335</v>
      </c>
      <c r="C1638" s="473"/>
      <c r="D1638" s="472"/>
      <c r="E1638" s="474">
        <v>174824.19161000001</v>
      </c>
      <c r="F1638" s="474">
        <v>173324.19161000001</v>
      </c>
      <c r="G1638" s="474">
        <v>74609.58296</v>
      </c>
      <c r="H1638" s="474">
        <v>72342.458670000007</v>
      </c>
      <c r="I1638" s="475">
        <v>41.38</v>
      </c>
      <c r="J1638" s="475"/>
    </row>
    <row r="1639" spans="1:10" ht="25.5" outlineLevel="3">
      <c r="A1639" s="476" t="s">
        <v>873</v>
      </c>
      <c r="B1639" s="477" t="s">
        <v>2336</v>
      </c>
      <c r="C1639" s="478"/>
      <c r="D1639" s="477"/>
      <c r="E1639" s="479">
        <v>36048.638469999998</v>
      </c>
      <c r="F1639" s="479">
        <v>36048.638469999998</v>
      </c>
      <c r="G1639" s="479">
        <v>18257.920730000002</v>
      </c>
      <c r="H1639" s="479">
        <v>16908.033640000001</v>
      </c>
      <c r="I1639" s="480">
        <v>46.9</v>
      </c>
      <c r="J1639" s="480"/>
    </row>
    <row r="1640" spans="1:10" ht="25.5" outlineLevel="4">
      <c r="A1640" s="481" t="s">
        <v>873</v>
      </c>
      <c r="B1640" s="482" t="s">
        <v>2336</v>
      </c>
      <c r="C1640" s="483" t="s">
        <v>1984</v>
      </c>
      <c r="D1640" s="482" t="s">
        <v>1985</v>
      </c>
      <c r="E1640" s="484">
        <v>36048.638469999998</v>
      </c>
      <c r="F1640" s="484">
        <v>36048.638469999998</v>
      </c>
      <c r="G1640" s="484">
        <v>18257.920730000002</v>
      </c>
      <c r="H1640" s="484">
        <v>16908.033640000001</v>
      </c>
      <c r="I1640" s="480">
        <v>46.9</v>
      </c>
      <c r="J1640" s="480"/>
    </row>
    <row r="1641" spans="1:10" ht="38.25" outlineLevel="3">
      <c r="A1641" s="476" t="s">
        <v>854</v>
      </c>
      <c r="B1641" s="477" t="s">
        <v>2337</v>
      </c>
      <c r="C1641" s="478"/>
      <c r="D1641" s="477"/>
      <c r="E1641" s="479">
        <v>1345.008</v>
      </c>
      <c r="F1641" s="479">
        <v>1345.008</v>
      </c>
      <c r="G1641" s="479">
        <v>472.35784999999998</v>
      </c>
      <c r="H1641" s="479">
        <v>470.60415</v>
      </c>
      <c r="I1641" s="480">
        <v>34.99</v>
      </c>
      <c r="J1641" s="480"/>
    </row>
    <row r="1642" spans="1:10" ht="38.25" outlineLevel="4">
      <c r="A1642" s="481" t="s">
        <v>854</v>
      </c>
      <c r="B1642" s="482" t="s">
        <v>2337</v>
      </c>
      <c r="C1642" s="483" t="s">
        <v>1984</v>
      </c>
      <c r="D1642" s="482" t="s">
        <v>1985</v>
      </c>
      <c r="E1642" s="484">
        <v>1345.008</v>
      </c>
      <c r="F1642" s="484">
        <v>1345.008</v>
      </c>
      <c r="G1642" s="484">
        <v>472.35784999999998</v>
      </c>
      <c r="H1642" s="484">
        <v>470.60415</v>
      </c>
      <c r="I1642" s="480">
        <v>34.99</v>
      </c>
      <c r="J1642" s="480"/>
    </row>
    <row r="1643" spans="1:10" ht="76.5" outlineLevel="3">
      <c r="A1643" s="476" t="s">
        <v>702</v>
      </c>
      <c r="B1643" s="477" t="s">
        <v>2338</v>
      </c>
      <c r="C1643" s="478"/>
      <c r="D1643" s="477"/>
      <c r="E1643" s="479">
        <v>132284.14514000001</v>
      </c>
      <c r="F1643" s="479">
        <v>130784.14513999999</v>
      </c>
      <c r="G1643" s="479">
        <v>55045.771030000004</v>
      </c>
      <c r="H1643" s="479">
        <v>54130.287530000001</v>
      </c>
      <c r="I1643" s="480">
        <v>40.92</v>
      </c>
      <c r="J1643" s="480"/>
    </row>
    <row r="1644" spans="1:10" ht="76.5" outlineLevel="4">
      <c r="A1644" s="481" t="s">
        <v>702</v>
      </c>
      <c r="B1644" s="482" t="s">
        <v>2338</v>
      </c>
      <c r="C1644" s="483" t="s">
        <v>1984</v>
      </c>
      <c r="D1644" s="482" t="s">
        <v>1985</v>
      </c>
      <c r="E1644" s="484">
        <v>132284.14514000001</v>
      </c>
      <c r="F1644" s="484">
        <v>130784.14513999999</v>
      </c>
      <c r="G1644" s="484">
        <v>55045.771030000004</v>
      </c>
      <c r="H1644" s="484">
        <v>54130.287530000001</v>
      </c>
      <c r="I1644" s="480">
        <v>40.92</v>
      </c>
      <c r="J1644" s="480"/>
    </row>
    <row r="1645" spans="1:10" ht="63.75" outlineLevel="3">
      <c r="A1645" s="476" t="s">
        <v>62</v>
      </c>
      <c r="B1645" s="477" t="s">
        <v>2339</v>
      </c>
      <c r="C1645" s="478"/>
      <c r="D1645" s="477"/>
      <c r="E1645" s="479">
        <v>1971.4</v>
      </c>
      <c r="F1645" s="479">
        <v>1971.4</v>
      </c>
      <c r="G1645" s="479">
        <v>30</v>
      </c>
      <c r="H1645" s="479">
        <v>30</v>
      </c>
      <c r="I1645" s="480">
        <v>1.52</v>
      </c>
      <c r="J1645" s="480"/>
    </row>
    <row r="1646" spans="1:10" ht="63.75" outlineLevel="4">
      <c r="A1646" s="481" t="s">
        <v>62</v>
      </c>
      <c r="B1646" s="482" t="s">
        <v>2339</v>
      </c>
      <c r="C1646" s="483" t="s">
        <v>1984</v>
      </c>
      <c r="D1646" s="482" t="s">
        <v>1985</v>
      </c>
      <c r="E1646" s="484">
        <v>1971.4</v>
      </c>
      <c r="F1646" s="484">
        <v>1971.4</v>
      </c>
      <c r="G1646" s="484">
        <v>30</v>
      </c>
      <c r="H1646" s="484">
        <v>30</v>
      </c>
      <c r="I1646" s="480">
        <v>1.52</v>
      </c>
      <c r="J1646" s="480"/>
    </row>
    <row r="1647" spans="1:10" ht="51" outlineLevel="3">
      <c r="A1647" s="476" t="s">
        <v>861</v>
      </c>
      <c r="B1647" s="477" t="s">
        <v>2340</v>
      </c>
      <c r="C1647" s="478"/>
      <c r="D1647" s="477"/>
      <c r="E1647" s="479">
        <v>2725</v>
      </c>
      <c r="F1647" s="479">
        <v>2725</v>
      </c>
      <c r="G1647" s="479">
        <v>583.33335</v>
      </c>
      <c r="H1647" s="479">
        <v>583.33335</v>
      </c>
      <c r="I1647" s="480">
        <v>21.41</v>
      </c>
      <c r="J1647" s="480"/>
    </row>
    <row r="1648" spans="1:10" ht="51" outlineLevel="4">
      <c r="A1648" s="481" t="s">
        <v>861</v>
      </c>
      <c r="B1648" s="482" t="s">
        <v>2340</v>
      </c>
      <c r="C1648" s="483" t="s">
        <v>1984</v>
      </c>
      <c r="D1648" s="482" t="s">
        <v>1985</v>
      </c>
      <c r="E1648" s="484">
        <v>2725</v>
      </c>
      <c r="F1648" s="484">
        <v>2725</v>
      </c>
      <c r="G1648" s="484">
        <v>583.33335</v>
      </c>
      <c r="H1648" s="484">
        <v>583.33335</v>
      </c>
      <c r="I1648" s="480">
        <v>21.41</v>
      </c>
      <c r="J1648" s="480"/>
    </row>
    <row r="1649" spans="1:10" ht="25.5" outlineLevel="3">
      <c r="A1649" s="476" t="s">
        <v>713</v>
      </c>
      <c r="B1649" s="477" t="s">
        <v>2341</v>
      </c>
      <c r="C1649" s="478"/>
      <c r="D1649" s="477"/>
      <c r="E1649" s="479">
        <v>450</v>
      </c>
      <c r="F1649" s="479">
        <v>450</v>
      </c>
      <c r="G1649" s="479">
        <v>220.2</v>
      </c>
      <c r="H1649" s="479">
        <v>220.2</v>
      </c>
      <c r="I1649" s="480">
        <v>48.93</v>
      </c>
      <c r="J1649" s="480"/>
    </row>
    <row r="1650" spans="1:10" ht="25.5" outlineLevel="4">
      <c r="A1650" s="481" t="s">
        <v>713</v>
      </c>
      <c r="B1650" s="482" t="s">
        <v>2341</v>
      </c>
      <c r="C1650" s="483" t="s">
        <v>1984</v>
      </c>
      <c r="D1650" s="482" t="s">
        <v>1985</v>
      </c>
      <c r="E1650" s="484">
        <v>450</v>
      </c>
      <c r="F1650" s="484">
        <v>450</v>
      </c>
      <c r="G1650" s="484">
        <v>220.2</v>
      </c>
      <c r="H1650" s="484">
        <v>220.2</v>
      </c>
      <c r="I1650" s="480">
        <v>48.93</v>
      </c>
      <c r="J1650" s="480"/>
    </row>
    <row r="1651" spans="1:10" ht="51" outlineLevel="1">
      <c r="A1651" s="466" t="s">
        <v>524</v>
      </c>
      <c r="B1651" s="467" t="s">
        <v>2342</v>
      </c>
      <c r="C1651" s="468"/>
      <c r="D1651" s="467"/>
      <c r="E1651" s="469">
        <v>135773.00338000001</v>
      </c>
      <c r="F1651" s="469">
        <v>122264.47938</v>
      </c>
      <c r="G1651" s="469">
        <v>40913.32692</v>
      </c>
      <c r="H1651" s="469">
        <v>38170.2068</v>
      </c>
      <c r="I1651" s="470">
        <v>28.11</v>
      </c>
      <c r="J1651" s="470"/>
    </row>
    <row r="1652" spans="1:10" ht="51" outlineLevel="2">
      <c r="A1652" s="471" t="s">
        <v>2343</v>
      </c>
      <c r="B1652" s="472" t="s">
        <v>2344</v>
      </c>
      <c r="C1652" s="473"/>
      <c r="D1652" s="472"/>
      <c r="E1652" s="474">
        <v>14004.36983</v>
      </c>
      <c r="F1652" s="474">
        <v>14004.36983</v>
      </c>
      <c r="G1652" s="474">
        <v>8295.6394</v>
      </c>
      <c r="H1652" s="474">
        <v>8295.1403200000004</v>
      </c>
      <c r="I1652" s="475">
        <v>59.23</v>
      </c>
      <c r="J1652" s="475"/>
    </row>
    <row r="1653" spans="1:10" ht="76.5" outlineLevel="3">
      <c r="A1653" s="476" t="s">
        <v>702</v>
      </c>
      <c r="B1653" s="477" t="s">
        <v>2345</v>
      </c>
      <c r="C1653" s="478"/>
      <c r="D1653" s="477"/>
      <c r="E1653" s="479">
        <v>7932.6311900000001</v>
      </c>
      <c r="F1653" s="479">
        <v>7932.6311900000001</v>
      </c>
      <c r="G1653" s="479">
        <v>3572</v>
      </c>
      <c r="H1653" s="479">
        <v>3572</v>
      </c>
      <c r="I1653" s="480">
        <v>45.03</v>
      </c>
      <c r="J1653" s="480"/>
    </row>
    <row r="1654" spans="1:10" ht="76.5" outlineLevel="4">
      <c r="A1654" s="481" t="s">
        <v>702</v>
      </c>
      <c r="B1654" s="482" t="s">
        <v>2345</v>
      </c>
      <c r="C1654" s="483" t="s">
        <v>2324</v>
      </c>
      <c r="D1654" s="482" t="s">
        <v>2325</v>
      </c>
      <c r="E1654" s="484">
        <v>7932.6311900000001</v>
      </c>
      <c r="F1654" s="484">
        <v>7932.6311900000001</v>
      </c>
      <c r="G1654" s="484">
        <v>3572</v>
      </c>
      <c r="H1654" s="484">
        <v>3572</v>
      </c>
      <c r="I1654" s="480">
        <v>45.03</v>
      </c>
      <c r="J1654" s="480"/>
    </row>
    <row r="1655" spans="1:10" ht="25.5" outlineLevel="3">
      <c r="A1655" s="476" t="s">
        <v>706</v>
      </c>
      <c r="B1655" s="477" t="s">
        <v>2346</v>
      </c>
      <c r="C1655" s="478"/>
      <c r="D1655" s="477"/>
      <c r="E1655" s="479">
        <v>2208.77043</v>
      </c>
      <c r="F1655" s="479">
        <v>2208.77043</v>
      </c>
      <c r="G1655" s="479">
        <v>2208.77043</v>
      </c>
      <c r="H1655" s="479">
        <v>2208.77043</v>
      </c>
      <c r="I1655" s="480">
        <v>100</v>
      </c>
      <c r="J1655" s="480"/>
    </row>
    <row r="1656" spans="1:10" ht="25.5" outlineLevel="4">
      <c r="A1656" s="481" t="s">
        <v>706</v>
      </c>
      <c r="B1656" s="482" t="s">
        <v>2346</v>
      </c>
      <c r="C1656" s="483" t="s">
        <v>2324</v>
      </c>
      <c r="D1656" s="482" t="s">
        <v>2325</v>
      </c>
      <c r="E1656" s="484">
        <v>2208.77043</v>
      </c>
      <c r="F1656" s="484">
        <v>2208.77043</v>
      </c>
      <c r="G1656" s="484">
        <v>2208.77043</v>
      </c>
      <c r="H1656" s="484">
        <v>2208.77043</v>
      </c>
      <c r="I1656" s="480">
        <v>100</v>
      </c>
      <c r="J1656" s="480"/>
    </row>
    <row r="1657" spans="1:10" ht="38.25" outlineLevel="3">
      <c r="A1657" s="476" t="s">
        <v>2347</v>
      </c>
      <c r="B1657" s="477" t="s">
        <v>2348</v>
      </c>
      <c r="C1657" s="478"/>
      <c r="D1657" s="477"/>
      <c r="E1657" s="479">
        <v>2163.9436599999999</v>
      </c>
      <c r="F1657" s="479">
        <v>2163.9436599999999</v>
      </c>
      <c r="G1657" s="479">
        <v>1913.9436599999999</v>
      </c>
      <c r="H1657" s="479">
        <v>1913.9436599999999</v>
      </c>
      <c r="I1657" s="480">
        <v>88.45</v>
      </c>
      <c r="J1657" s="480"/>
    </row>
    <row r="1658" spans="1:10" ht="38.25" outlineLevel="4">
      <c r="A1658" s="481" t="s">
        <v>2347</v>
      </c>
      <c r="B1658" s="482" t="s">
        <v>2348</v>
      </c>
      <c r="C1658" s="483" t="s">
        <v>2324</v>
      </c>
      <c r="D1658" s="482" t="s">
        <v>2325</v>
      </c>
      <c r="E1658" s="484">
        <v>2163.9436599999999</v>
      </c>
      <c r="F1658" s="484">
        <v>2163.9436599999999</v>
      </c>
      <c r="G1658" s="484">
        <v>1913.9436599999999</v>
      </c>
      <c r="H1658" s="484">
        <v>1913.9436599999999</v>
      </c>
      <c r="I1658" s="480">
        <v>88.45</v>
      </c>
      <c r="J1658" s="480"/>
    </row>
    <row r="1659" spans="1:10" ht="38.25" outlineLevel="3">
      <c r="A1659" s="476" t="s">
        <v>2349</v>
      </c>
      <c r="B1659" s="477" t="s">
        <v>2350</v>
      </c>
      <c r="C1659" s="478"/>
      <c r="D1659" s="477"/>
      <c r="E1659" s="479">
        <v>1699.0245500000001</v>
      </c>
      <c r="F1659" s="479">
        <v>1699.0245500000001</v>
      </c>
      <c r="G1659" s="479">
        <v>600.92530999999997</v>
      </c>
      <c r="H1659" s="479">
        <v>600.42623000000003</v>
      </c>
      <c r="I1659" s="480">
        <v>35.340000000000003</v>
      </c>
      <c r="J1659" s="480"/>
    </row>
    <row r="1660" spans="1:10" ht="38.25" outlineLevel="4">
      <c r="A1660" s="481" t="s">
        <v>2349</v>
      </c>
      <c r="B1660" s="482" t="s">
        <v>2350</v>
      </c>
      <c r="C1660" s="483" t="s">
        <v>2324</v>
      </c>
      <c r="D1660" s="482" t="s">
        <v>2325</v>
      </c>
      <c r="E1660" s="484">
        <v>1699.0245500000001</v>
      </c>
      <c r="F1660" s="484">
        <v>1699.0245500000001</v>
      </c>
      <c r="G1660" s="484">
        <v>600.92530999999997</v>
      </c>
      <c r="H1660" s="484">
        <v>600.42623000000003</v>
      </c>
      <c r="I1660" s="480">
        <v>35.340000000000003</v>
      </c>
      <c r="J1660" s="480"/>
    </row>
    <row r="1661" spans="1:10" ht="165.75" outlineLevel="2">
      <c r="A1661" s="471" t="s">
        <v>2351</v>
      </c>
      <c r="B1661" s="472" t="s">
        <v>2352</v>
      </c>
      <c r="C1661" s="473"/>
      <c r="D1661" s="472"/>
      <c r="E1661" s="474">
        <v>41557.8442</v>
      </c>
      <c r="F1661" s="474">
        <v>41337.8442</v>
      </c>
      <c r="G1661" s="474">
        <v>23206.941210000001</v>
      </c>
      <c r="H1661" s="474">
        <v>20764.320169999999</v>
      </c>
      <c r="I1661" s="475">
        <v>49.96</v>
      </c>
      <c r="J1661" s="475"/>
    </row>
    <row r="1662" spans="1:10" ht="25.5" outlineLevel="3">
      <c r="A1662" s="476" t="s">
        <v>873</v>
      </c>
      <c r="B1662" s="477" t="s">
        <v>2353</v>
      </c>
      <c r="C1662" s="478"/>
      <c r="D1662" s="477"/>
      <c r="E1662" s="479">
        <v>39214.464950000001</v>
      </c>
      <c r="F1662" s="479">
        <v>39214.464950000001</v>
      </c>
      <c r="G1662" s="479">
        <v>22440.708699999999</v>
      </c>
      <c r="H1662" s="479">
        <v>20096.670460000001</v>
      </c>
      <c r="I1662" s="480">
        <v>51.25</v>
      </c>
      <c r="J1662" s="480"/>
    </row>
    <row r="1663" spans="1:10" ht="25.5" outlineLevel="4">
      <c r="A1663" s="481" t="s">
        <v>873</v>
      </c>
      <c r="B1663" s="482" t="s">
        <v>2353</v>
      </c>
      <c r="C1663" s="483" t="s">
        <v>2324</v>
      </c>
      <c r="D1663" s="482" t="s">
        <v>2325</v>
      </c>
      <c r="E1663" s="484">
        <v>39214.464950000001</v>
      </c>
      <c r="F1663" s="484">
        <v>39214.464950000001</v>
      </c>
      <c r="G1663" s="484">
        <v>22440.708699999999</v>
      </c>
      <c r="H1663" s="484">
        <v>20096.670460000001</v>
      </c>
      <c r="I1663" s="480">
        <v>51.25</v>
      </c>
      <c r="J1663" s="480"/>
    </row>
    <row r="1664" spans="1:10" ht="38.25" outlineLevel="3">
      <c r="A1664" s="476" t="s">
        <v>854</v>
      </c>
      <c r="B1664" s="477" t="s">
        <v>2354</v>
      </c>
      <c r="C1664" s="478"/>
      <c r="D1664" s="477"/>
      <c r="E1664" s="479">
        <v>827.21924999999999</v>
      </c>
      <c r="F1664" s="479">
        <v>827.21924999999999</v>
      </c>
      <c r="G1664" s="479">
        <v>390.04291000000001</v>
      </c>
      <c r="H1664" s="479">
        <v>308.32988999999998</v>
      </c>
      <c r="I1664" s="480">
        <v>37.270000000000003</v>
      </c>
      <c r="J1664" s="480"/>
    </row>
    <row r="1665" spans="1:10" ht="38.25" outlineLevel="4">
      <c r="A1665" s="481" t="s">
        <v>854</v>
      </c>
      <c r="B1665" s="482" t="s">
        <v>2354</v>
      </c>
      <c r="C1665" s="483" t="s">
        <v>2324</v>
      </c>
      <c r="D1665" s="482" t="s">
        <v>2325</v>
      </c>
      <c r="E1665" s="484">
        <v>827.21924999999999</v>
      </c>
      <c r="F1665" s="484">
        <v>827.21924999999999</v>
      </c>
      <c r="G1665" s="484">
        <v>390.04291000000001</v>
      </c>
      <c r="H1665" s="484">
        <v>308.32988999999998</v>
      </c>
      <c r="I1665" s="480">
        <v>37.270000000000003</v>
      </c>
      <c r="J1665" s="480"/>
    </row>
    <row r="1666" spans="1:10" ht="63.75" outlineLevel="3">
      <c r="A1666" s="476" t="s">
        <v>62</v>
      </c>
      <c r="B1666" s="477" t="s">
        <v>2355</v>
      </c>
      <c r="C1666" s="478"/>
      <c r="D1666" s="477"/>
      <c r="E1666" s="479">
        <v>1143.9703999999999</v>
      </c>
      <c r="F1666" s="479">
        <v>923.97040000000004</v>
      </c>
      <c r="G1666" s="479">
        <v>230</v>
      </c>
      <c r="H1666" s="479">
        <v>213.13022000000001</v>
      </c>
      <c r="I1666" s="480">
        <v>18.63</v>
      </c>
      <c r="J1666" s="480"/>
    </row>
    <row r="1667" spans="1:10" ht="63.75" outlineLevel="4">
      <c r="A1667" s="481" t="s">
        <v>62</v>
      </c>
      <c r="B1667" s="482" t="s">
        <v>2355</v>
      </c>
      <c r="C1667" s="483" t="s">
        <v>2324</v>
      </c>
      <c r="D1667" s="482" t="s">
        <v>2325</v>
      </c>
      <c r="E1667" s="484">
        <v>843.97040000000004</v>
      </c>
      <c r="F1667" s="484">
        <v>843.97040000000004</v>
      </c>
      <c r="G1667" s="484">
        <v>150</v>
      </c>
      <c r="H1667" s="484">
        <v>133.13022000000001</v>
      </c>
      <c r="I1667" s="480">
        <v>15.77</v>
      </c>
      <c r="J1667" s="480"/>
    </row>
    <row r="1668" spans="1:10" ht="63.75" outlineLevel="4">
      <c r="A1668" s="481" t="s">
        <v>62</v>
      </c>
      <c r="B1668" s="482" t="s">
        <v>2355</v>
      </c>
      <c r="C1668" s="483" t="s">
        <v>652</v>
      </c>
      <c r="D1668" s="482" t="s">
        <v>717</v>
      </c>
      <c r="E1668" s="484">
        <v>300</v>
      </c>
      <c r="F1668" s="484">
        <v>80</v>
      </c>
      <c r="G1668" s="484">
        <v>80</v>
      </c>
      <c r="H1668" s="484">
        <v>80</v>
      </c>
      <c r="I1668" s="480">
        <v>26.67</v>
      </c>
      <c r="J1668" s="480"/>
    </row>
    <row r="1669" spans="1:10" ht="76.5" outlineLevel="3">
      <c r="A1669" s="476" t="s">
        <v>156</v>
      </c>
      <c r="B1669" s="477" t="s">
        <v>2356</v>
      </c>
      <c r="C1669" s="478"/>
      <c r="D1669" s="477"/>
      <c r="E1669" s="479">
        <v>23.189599999999999</v>
      </c>
      <c r="F1669" s="479">
        <v>23.189599999999999</v>
      </c>
      <c r="G1669" s="479">
        <v>23.189599999999999</v>
      </c>
      <c r="H1669" s="479">
        <v>23.189599999999999</v>
      </c>
      <c r="I1669" s="480">
        <v>100</v>
      </c>
      <c r="J1669" s="480"/>
    </row>
    <row r="1670" spans="1:10" ht="76.5" outlineLevel="4">
      <c r="A1670" s="481" t="s">
        <v>156</v>
      </c>
      <c r="B1670" s="482" t="s">
        <v>2356</v>
      </c>
      <c r="C1670" s="483" t="s">
        <v>2324</v>
      </c>
      <c r="D1670" s="482" t="s">
        <v>2325</v>
      </c>
      <c r="E1670" s="484">
        <v>23.189599999999999</v>
      </c>
      <c r="F1670" s="484">
        <v>23.189599999999999</v>
      </c>
      <c r="G1670" s="484">
        <v>23.189599999999999</v>
      </c>
      <c r="H1670" s="484">
        <v>23.189599999999999</v>
      </c>
      <c r="I1670" s="480">
        <v>100</v>
      </c>
      <c r="J1670" s="480"/>
    </row>
    <row r="1671" spans="1:10" ht="76.5" outlineLevel="3">
      <c r="A1671" s="476" t="s">
        <v>1027</v>
      </c>
      <c r="B1671" s="477" t="s">
        <v>2357</v>
      </c>
      <c r="C1671" s="478"/>
      <c r="D1671" s="477"/>
      <c r="E1671" s="479">
        <v>79</v>
      </c>
      <c r="F1671" s="479">
        <v>79</v>
      </c>
      <c r="G1671" s="479">
        <v>5</v>
      </c>
      <c r="H1671" s="479">
        <v>5</v>
      </c>
      <c r="I1671" s="480">
        <v>6.33</v>
      </c>
      <c r="J1671" s="480"/>
    </row>
    <row r="1672" spans="1:10" ht="76.5" outlineLevel="4">
      <c r="A1672" s="481" t="s">
        <v>1027</v>
      </c>
      <c r="B1672" s="482" t="s">
        <v>2357</v>
      </c>
      <c r="C1672" s="483" t="s">
        <v>2324</v>
      </c>
      <c r="D1672" s="482" t="s">
        <v>2325</v>
      </c>
      <c r="E1672" s="484">
        <v>79</v>
      </c>
      <c r="F1672" s="484">
        <v>79</v>
      </c>
      <c r="G1672" s="484">
        <v>5</v>
      </c>
      <c r="H1672" s="484">
        <v>5</v>
      </c>
      <c r="I1672" s="480">
        <v>6.33</v>
      </c>
      <c r="J1672" s="480"/>
    </row>
    <row r="1673" spans="1:10" ht="51" outlineLevel="3">
      <c r="A1673" s="476" t="s">
        <v>861</v>
      </c>
      <c r="B1673" s="477" t="s">
        <v>2358</v>
      </c>
      <c r="C1673" s="478"/>
      <c r="D1673" s="477"/>
      <c r="E1673" s="479">
        <v>270</v>
      </c>
      <c r="F1673" s="479">
        <v>270</v>
      </c>
      <c r="G1673" s="479">
        <v>118</v>
      </c>
      <c r="H1673" s="479">
        <v>118</v>
      </c>
      <c r="I1673" s="480">
        <v>43.7</v>
      </c>
      <c r="J1673" s="480"/>
    </row>
    <row r="1674" spans="1:10" ht="51" outlineLevel="4">
      <c r="A1674" s="481" t="s">
        <v>861</v>
      </c>
      <c r="B1674" s="482" t="s">
        <v>2358</v>
      </c>
      <c r="C1674" s="483" t="s">
        <v>2324</v>
      </c>
      <c r="D1674" s="482" t="s">
        <v>2325</v>
      </c>
      <c r="E1674" s="484">
        <v>145</v>
      </c>
      <c r="F1674" s="484">
        <v>145</v>
      </c>
      <c r="G1674" s="484">
        <v>72</v>
      </c>
      <c r="H1674" s="484">
        <v>72</v>
      </c>
      <c r="I1674" s="480">
        <v>49.66</v>
      </c>
      <c r="J1674" s="480"/>
    </row>
    <row r="1675" spans="1:10" ht="51" outlineLevel="4">
      <c r="A1675" s="481" t="s">
        <v>861</v>
      </c>
      <c r="B1675" s="482" t="s">
        <v>2358</v>
      </c>
      <c r="C1675" s="483" t="s">
        <v>652</v>
      </c>
      <c r="D1675" s="482" t="s">
        <v>717</v>
      </c>
      <c r="E1675" s="484">
        <v>125</v>
      </c>
      <c r="F1675" s="484">
        <v>125</v>
      </c>
      <c r="G1675" s="484">
        <v>46</v>
      </c>
      <c r="H1675" s="484">
        <v>46</v>
      </c>
      <c r="I1675" s="480">
        <v>36.799999999999997</v>
      </c>
      <c r="J1675" s="480"/>
    </row>
    <row r="1676" spans="1:10" ht="89.25" outlineLevel="2">
      <c r="A1676" s="471" t="s">
        <v>2359</v>
      </c>
      <c r="B1676" s="472" t="s">
        <v>2360</v>
      </c>
      <c r="C1676" s="473"/>
      <c r="D1676" s="472"/>
      <c r="E1676" s="474">
        <v>39579.819990000004</v>
      </c>
      <c r="F1676" s="474">
        <v>27891.295989999999</v>
      </c>
      <c r="G1676" s="474">
        <v>8811.2485099999994</v>
      </c>
      <c r="H1676" s="474">
        <v>8806.2485099999994</v>
      </c>
      <c r="I1676" s="475">
        <v>22.25</v>
      </c>
      <c r="J1676" s="475"/>
    </row>
    <row r="1677" spans="1:10" ht="76.5" outlineLevel="3">
      <c r="A1677" s="476" t="s">
        <v>702</v>
      </c>
      <c r="B1677" s="477" t="s">
        <v>2361</v>
      </c>
      <c r="C1677" s="478"/>
      <c r="D1677" s="477"/>
      <c r="E1677" s="479">
        <v>22493.119989999999</v>
      </c>
      <c r="F1677" s="479">
        <v>16205.295990000001</v>
      </c>
      <c r="G1677" s="479">
        <v>5281.2485100000004</v>
      </c>
      <c r="H1677" s="479">
        <v>5281.2485100000004</v>
      </c>
      <c r="I1677" s="480">
        <v>23.48</v>
      </c>
      <c r="J1677" s="480"/>
    </row>
    <row r="1678" spans="1:10" ht="76.5" outlineLevel="4">
      <c r="A1678" s="481" t="s">
        <v>702</v>
      </c>
      <c r="B1678" s="482" t="s">
        <v>2361</v>
      </c>
      <c r="C1678" s="483" t="s">
        <v>2260</v>
      </c>
      <c r="D1678" s="482" t="s">
        <v>2261</v>
      </c>
      <c r="E1678" s="484">
        <v>249.8</v>
      </c>
      <c r="F1678" s="484">
        <v>249.8</v>
      </c>
      <c r="G1678" s="484">
        <v>249.8</v>
      </c>
      <c r="H1678" s="484">
        <v>249.8</v>
      </c>
      <c r="I1678" s="480">
        <v>100</v>
      </c>
      <c r="J1678" s="480"/>
    </row>
    <row r="1679" spans="1:10" ht="76.5" outlineLevel="4">
      <c r="A1679" s="481" t="s">
        <v>702</v>
      </c>
      <c r="B1679" s="482" t="s">
        <v>2361</v>
      </c>
      <c r="C1679" s="483" t="s">
        <v>711</v>
      </c>
      <c r="D1679" s="482" t="s">
        <v>712</v>
      </c>
      <c r="E1679" s="484">
        <v>130.86000000000001</v>
      </c>
      <c r="F1679" s="484">
        <v>130.86000000000001</v>
      </c>
      <c r="G1679" s="484">
        <v>24.448509999999999</v>
      </c>
      <c r="H1679" s="484">
        <v>24.448509999999999</v>
      </c>
      <c r="I1679" s="480">
        <v>18.68</v>
      </c>
      <c r="J1679" s="480"/>
    </row>
    <row r="1680" spans="1:10" ht="76.5" outlineLevel="4">
      <c r="A1680" s="481" t="s">
        <v>702</v>
      </c>
      <c r="B1680" s="482" t="s">
        <v>2361</v>
      </c>
      <c r="C1680" s="483" t="s">
        <v>652</v>
      </c>
      <c r="D1680" s="482" t="s">
        <v>717</v>
      </c>
      <c r="E1680" s="484">
        <v>22112.459989999999</v>
      </c>
      <c r="F1680" s="484">
        <v>15824.635990000001</v>
      </c>
      <c r="G1680" s="484">
        <v>5007</v>
      </c>
      <c r="H1680" s="484">
        <v>5007</v>
      </c>
      <c r="I1680" s="480">
        <v>22.64</v>
      </c>
      <c r="J1680" s="480"/>
    </row>
    <row r="1681" spans="1:10" ht="25.5" outlineLevel="3">
      <c r="A1681" s="476" t="s">
        <v>713</v>
      </c>
      <c r="B1681" s="477" t="s">
        <v>2362</v>
      </c>
      <c r="C1681" s="478"/>
      <c r="D1681" s="477"/>
      <c r="E1681" s="479">
        <v>2686</v>
      </c>
      <c r="F1681" s="479">
        <v>2686</v>
      </c>
      <c r="G1681" s="479">
        <v>2530</v>
      </c>
      <c r="H1681" s="479">
        <v>2525</v>
      </c>
      <c r="I1681" s="480">
        <v>94.01</v>
      </c>
      <c r="J1681" s="480"/>
    </row>
    <row r="1682" spans="1:10" ht="25.5" outlineLevel="4">
      <c r="A1682" s="481" t="s">
        <v>713</v>
      </c>
      <c r="B1682" s="482" t="s">
        <v>2362</v>
      </c>
      <c r="C1682" s="483" t="s">
        <v>2324</v>
      </c>
      <c r="D1682" s="482" t="s">
        <v>2325</v>
      </c>
      <c r="E1682" s="484">
        <v>2686</v>
      </c>
      <c r="F1682" s="484">
        <v>2686</v>
      </c>
      <c r="G1682" s="484">
        <v>2530</v>
      </c>
      <c r="H1682" s="484">
        <v>2525</v>
      </c>
      <c r="I1682" s="480">
        <v>94.01</v>
      </c>
      <c r="J1682" s="480"/>
    </row>
    <row r="1683" spans="1:10" ht="25.5" outlineLevel="3">
      <c r="A1683" s="476" t="s">
        <v>706</v>
      </c>
      <c r="B1683" s="477" t="s">
        <v>2363</v>
      </c>
      <c r="C1683" s="478"/>
      <c r="D1683" s="477"/>
      <c r="E1683" s="479">
        <v>13067.02981</v>
      </c>
      <c r="F1683" s="479">
        <v>9000</v>
      </c>
      <c r="G1683" s="479">
        <v>1000</v>
      </c>
      <c r="H1683" s="479">
        <v>1000</v>
      </c>
      <c r="I1683" s="480">
        <v>7.65</v>
      </c>
      <c r="J1683" s="480"/>
    </row>
    <row r="1684" spans="1:10" ht="25.5" outlineLevel="4">
      <c r="A1684" s="481" t="s">
        <v>706</v>
      </c>
      <c r="B1684" s="482" t="s">
        <v>2363</v>
      </c>
      <c r="C1684" s="483" t="s">
        <v>2324</v>
      </c>
      <c r="D1684" s="482" t="s">
        <v>2325</v>
      </c>
      <c r="E1684" s="484">
        <v>13067.02981</v>
      </c>
      <c r="F1684" s="484">
        <v>9000</v>
      </c>
      <c r="G1684" s="484">
        <v>1000</v>
      </c>
      <c r="H1684" s="484">
        <v>1000</v>
      </c>
      <c r="I1684" s="480">
        <v>7.65</v>
      </c>
      <c r="J1684" s="480"/>
    </row>
    <row r="1685" spans="1:10" ht="38.25" outlineLevel="3">
      <c r="A1685" s="476" t="s">
        <v>2349</v>
      </c>
      <c r="B1685" s="477" t="s">
        <v>2364</v>
      </c>
      <c r="C1685" s="478"/>
      <c r="D1685" s="477"/>
      <c r="E1685" s="479">
        <v>1333.67019</v>
      </c>
      <c r="F1685" s="479">
        <v>0</v>
      </c>
      <c r="G1685" s="479">
        <v>0</v>
      </c>
      <c r="H1685" s="479">
        <v>0</v>
      </c>
      <c r="I1685" s="480">
        <v>0</v>
      </c>
      <c r="J1685" s="480"/>
    </row>
    <row r="1686" spans="1:10" ht="38.25" outlineLevel="4">
      <c r="A1686" s="481" t="s">
        <v>2349</v>
      </c>
      <c r="B1686" s="482" t="s">
        <v>2364</v>
      </c>
      <c r="C1686" s="483" t="s">
        <v>2324</v>
      </c>
      <c r="D1686" s="482" t="s">
        <v>2325</v>
      </c>
      <c r="E1686" s="484">
        <v>1333.67019</v>
      </c>
      <c r="F1686" s="484">
        <v>0</v>
      </c>
      <c r="G1686" s="484">
        <v>0</v>
      </c>
      <c r="H1686" s="484">
        <v>0</v>
      </c>
      <c r="I1686" s="480">
        <v>0</v>
      </c>
      <c r="J1686" s="480"/>
    </row>
    <row r="1687" spans="1:10" ht="51" outlineLevel="2">
      <c r="A1687" s="471" t="s">
        <v>2365</v>
      </c>
      <c r="B1687" s="472" t="s">
        <v>2366</v>
      </c>
      <c r="C1687" s="473"/>
      <c r="D1687" s="472"/>
      <c r="E1687" s="474">
        <v>37249.480000000003</v>
      </c>
      <c r="F1687" s="474">
        <v>35649.480000000003</v>
      </c>
      <c r="G1687" s="474">
        <v>104.4978</v>
      </c>
      <c r="H1687" s="474">
        <v>104.4978</v>
      </c>
      <c r="I1687" s="475">
        <v>0.28000000000000003</v>
      </c>
      <c r="J1687" s="475"/>
    </row>
    <row r="1688" spans="1:10" ht="38.25" outlineLevel="3">
      <c r="A1688" s="476" t="s">
        <v>2367</v>
      </c>
      <c r="B1688" s="477" t="s">
        <v>2368</v>
      </c>
      <c r="C1688" s="478"/>
      <c r="D1688" s="477"/>
      <c r="E1688" s="479">
        <v>4200</v>
      </c>
      <c r="F1688" s="479">
        <v>4200</v>
      </c>
      <c r="G1688" s="479">
        <v>0</v>
      </c>
      <c r="H1688" s="479">
        <v>0</v>
      </c>
      <c r="I1688" s="480">
        <v>0</v>
      </c>
      <c r="J1688" s="480"/>
    </row>
    <row r="1689" spans="1:10" ht="38.25" outlineLevel="4">
      <c r="A1689" s="481" t="s">
        <v>2367</v>
      </c>
      <c r="B1689" s="482" t="s">
        <v>2368</v>
      </c>
      <c r="C1689" s="483" t="s">
        <v>652</v>
      </c>
      <c r="D1689" s="482" t="s">
        <v>717</v>
      </c>
      <c r="E1689" s="484">
        <v>4200</v>
      </c>
      <c r="F1689" s="484">
        <v>4200</v>
      </c>
      <c r="G1689" s="484">
        <v>0</v>
      </c>
      <c r="H1689" s="484">
        <v>0</v>
      </c>
      <c r="I1689" s="480">
        <v>0</v>
      </c>
      <c r="J1689" s="480"/>
    </row>
    <row r="1690" spans="1:10" ht="25.5" outlineLevel="3">
      <c r="A1690" s="476" t="s">
        <v>713</v>
      </c>
      <c r="B1690" s="477" t="s">
        <v>2369</v>
      </c>
      <c r="C1690" s="478"/>
      <c r="D1690" s="477"/>
      <c r="E1690" s="479">
        <v>31449.48</v>
      </c>
      <c r="F1690" s="479">
        <v>31449.48</v>
      </c>
      <c r="G1690" s="479">
        <v>104.4978</v>
      </c>
      <c r="H1690" s="479">
        <v>104.4978</v>
      </c>
      <c r="I1690" s="480">
        <v>0.33</v>
      </c>
      <c r="J1690" s="480"/>
    </row>
    <row r="1691" spans="1:10" ht="25.5" outlineLevel="4">
      <c r="A1691" s="481" t="s">
        <v>713</v>
      </c>
      <c r="B1691" s="482" t="s">
        <v>2369</v>
      </c>
      <c r="C1691" s="483" t="s">
        <v>652</v>
      </c>
      <c r="D1691" s="482" t="s">
        <v>717</v>
      </c>
      <c r="E1691" s="484">
        <v>31449.48</v>
      </c>
      <c r="F1691" s="484">
        <v>31449.48</v>
      </c>
      <c r="G1691" s="484">
        <v>104.4978</v>
      </c>
      <c r="H1691" s="484">
        <v>104.4978</v>
      </c>
      <c r="I1691" s="480">
        <v>0.33</v>
      </c>
      <c r="J1691" s="480"/>
    </row>
    <row r="1692" spans="1:10" ht="25.5" outlineLevel="3">
      <c r="A1692" s="476" t="s">
        <v>706</v>
      </c>
      <c r="B1692" s="477" t="s">
        <v>2370</v>
      </c>
      <c r="C1692" s="478"/>
      <c r="D1692" s="477"/>
      <c r="E1692" s="479">
        <v>1600</v>
      </c>
      <c r="F1692" s="479">
        <v>0</v>
      </c>
      <c r="G1692" s="479">
        <v>0</v>
      </c>
      <c r="H1692" s="479">
        <v>0</v>
      </c>
      <c r="I1692" s="480">
        <v>0</v>
      </c>
      <c r="J1692" s="480"/>
    </row>
    <row r="1693" spans="1:10" ht="25.5" outlineLevel="4">
      <c r="A1693" s="481" t="s">
        <v>706</v>
      </c>
      <c r="B1693" s="482" t="s">
        <v>2370</v>
      </c>
      <c r="C1693" s="483" t="s">
        <v>652</v>
      </c>
      <c r="D1693" s="482" t="s">
        <v>717</v>
      </c>
      <c r="E1693" s="484">
        <v>1600</v>
      </c>
      <c r="F1693" s="484">
        <v>0</v>
      </c>
      <c r="G1693" s="484">
        <v>0</v>
      </c>
      <c r="H1693" s="484">
        <v>0</v>
      </c>
      <c r="I1693" s="480">
        <v>0</v>
      </c>
      <c r="J1693" s="480"/>
    </row>
    <row r="1694" spans="1:10" ht="25.5" outlineLevel="2">
      <c r="A1694" s="471" t="s">
        <v>2371</v>
      </c>
      <c r="B1694" s="472" t="s">
        <v>2372</v>
      </c>
      <c r="C1694" s="473"/>
      <c r="D1694" s="472"/>
      <c r="E1694" s="474">
        <v>3381.48936</v>
      </c>
      <c r="F1694" s="474">
        <v>3381.48936</v>
      </c>
      <c r="G1694" s="474">
        <v>495</v>
      </c>
      <c r="H1694" s="474">
        <v>200</v>
      </c>
      <c r="I1694" s="475">
        <v>5.91</v>
      </c>
      <c r="J1694" s="475"/>
    </row>
    <row r="1695" spans="1:10" ht="25.5" outlineLevel="3">
      <c r="A1695" s="476" t="s">
        <v>713</v>
      </c>
      <c r="B1695" s="477" t="s">
        <v>2373</v>
      </c>
      <c r="C1695" s="478"/>
      <c r="D1695" s="477"/>
      <c r="E1695" s="479">
        <v>1400</v>
      </c>
      <c r="F1695" s="479">
        <v>1400</v>
      </c>
      <c r="G1695" s="479">
        <v>495</v>
      </c>
      <c r="H1695" s="479">
        <v>200</v>
      </c>
      <c r="I1695" s="480">
        <v>14.29</v>
      </c>
      <c r="J1695" s="480"/>
    </row>
    <row r="1696" spans="1:10" ht="25.5" outlineLevel="4">
      <c r="A1696" s="481" t="s">
        <v>713</v>
      </c>
      <c r="B1696" s="482" t="s">
        <v>2373</v>
      </c>
      <c r="C1696" s="483" t="s">
        <v>652</v>
      </c>
      <c r="D1696" s="482" t="s">
        <v>717</v>
      </c>
      <c r="E1696" s="484">
        <v>1400</v>
      </c>
      <c r="F1696" s="484">
        <v>1400</v>
      </c>
      <c r="G1696" s="484">
        <v>495</v>
      </c>
      <c r="H1696" s="484">
        <v>200</v>
      </c>
      <c r="I1696" s="480">
        <v>14.29</v>
      </c>
      <c r="J1696" s="480"/>
    </row>
    <row r="1697" spans="1:10" ht="38.25" outlineLevel="3">
      <c r="A1697" s="476" t="s">
        <v>2374</v>
      </c>
      <c r="B1697" s="477" t="s">
        <v>2375</v>
      </c>
      <c r="C1697" s="478"/>
      <c r="D1697" s="477"/>
      <c r="E1697" s="479">
        <v>1981.48936</v>
      </c>
      <c r="F1697" s="479">
        <v>1981.48936</v>
      </c>
      <c r="G1697" s="479">
        <v>0</v>
      </c>
      <c r="H1697" s="479">
        <v>0</v>
      </c>
      <c r="I1697" s="480">
        <v>0</v>
      </c>
      <c r="J1697" s="480"/>
    </row>
    <row r="1698" spans="1:10" ht="38.25" outlineLevel="4">
      <c r="A1698" s="481" t="s">
        <v>2374</v>
      </c>
      <c r="B1698" s="482" t="s">
        <v>2375</v>
      </c>
      <c r="C1698" s="483" t="s">
        <v>652</v>
      </c>
      <c r="D1698" s="482" t="s">
        <v>717</v>
      </c>
      <c r="E1698" s="484">
        <v>1981.48936</v>
      </c>
      <c r="F1698" s="484">
        <v>1981.48936</v>
      </c>
      <c r="G1698" s="484">
        <v>0</v>
      </c>
      <c r="H1698" s="484">
        <v>0</v>
      </c>
      <c r="I1698" s="480">
        <v>0</v>
      </c>
      <c r="J1698" s="485" t="s">
        <v>10</v>
      </c>
    </row>
    <row r="1699" spans="1:10" ht="38.25" outlineLevel="1">
      <c r="A1699" s="466" t="s">
        <v>2376</v>
      </c>
      <c r="B1699" s="467" t="s">
        <v>2377</v>
      </c>
      <c r="C1699" s="468"/>
      <c r="D1699" s="467"/>
      <c r="E1699" s="469">
        <v>289417.29488</v>
      </c>
      <c r="F1699" s="469">
        <v>289417.29488</v>
      </c>
      <c r="G1699" s="469">
        <v>140459.73282999999</v>
      </c>
      <c r="H1699" s="469">
        <v>125021.02196</v>
      </c>
      <c r="I1699" s="470">
        <v>43.2</v>
      </c>
      <c r="J1699" s="470"/>
    </row>
    <row r="1700" spans="1:10" ht="51" outlineLevel="2">
      <c r="A1700" s="471" t="s">
        <v>2378</v>
      </c>
      <c r="B1700" s="472" t="s">
        <v>2379</v>
      </c>
      <c r="C1700" s="473"/>
      <c r="D1700" s="472"/>
      <c r="E1700" s="474">
        <v>2070</v>
      </c>
      <c r="F1700" s="474">
        <v>2070</v>
      </c>
      <c r="G1700" s="474">
        <v>605.38</v>
      </c>
      <c r="H1700" s="474">
        <v>565.49940000000004</v>
      </c>
      <c r="I1700" s="475">
        <v>27.32</v>
      </c>
      <c r="J1700" s="475"/>
    </row>
    <row r="1701" spans="1:10" ht="76.5" outlineLevel="3">
      <c r="A1701" s="476" t="s">
        <v>1027</v>
      </c>
      <c r="B1701" s="477" t="s">
        <v>2380</v>
      </c>
      <c r="C1701" s="478"/>
      <c r="D1701" s="477"/>
      <c r="E1701" s="479">
        <v>2070</v>
      </c>
      <c r="F1701" s="479">
        <v>2070</v>
      </c>
      <c r="G1701" s="479">
        <v>605.38</v>
      </c>
      <c r="H1701" s="479">
        <v>565.49940000000004</v>
      </c>
      <c r="I1701" s="480">
        <v>27.32</v>
      </c>
      <c r="J1701" s="480"/>
    </row>
    <row r="1702" spans="1:10" ht="76.5" outlineLevel="4">
      <c r="A1702" s="481" t="s">
        <v>1027</v>
      </c>
      <c r="B1702" s="482" t="s">
        <v>2380</v>
      </c>
      <c r="C1702" s="483" t="s">
        <v>2124</v>
      </c>
      <c r="D1702" s="482" t="s">
        <v>2125</v>
      </c>
      <c r="E1702" s="484">
        <v>2070</v>
      </c>
      <c r="F1702" s="484">
        <v>2070</v>
      </c>
      <c r="G1702" s="484">
        <v>605.38</v>
      </c>
      <c r="H1702" s="484">
        <v>565.49940000000004</v>
      </c>
      <c r="I1702" s="480">
        <v>27.32</v>
      </c>
      <c r="J1702" s="480"/>
    </row>
    <row r="1703" spans="1:10" ht="63.75" outlineLevel="2">
      <c r="A1703" s="471" t="s">
        <v>2381</v>
      </c>
      <c r="B1703" s="472" t="s">
        <v>2382</v>
      </c>
      <c r="C1703" s="473"/>
      <c r="D1703" s="472"/>
      <c r="E1703" s="474">
        <v>287347.29488</v>
      </c>
      <c r="F1703" s="474">
        <v>287347.29488</v>
      </c>
      <c r="G1703" s="474">
        <v>139854.35282999999</v>
      </c>
      <c r="H1703" s="474">
        <v>124455.52256</v>
      </c>
      <c r="I1703" s="475">
        <v>43.31</v>
      </c>
      <c r="J1703" s="475"/>
    </row>
    <row r="1704" spans="1:10" ht="25.5" outlineLevel="3">
      <c r="A1704" s="476" t="s">
        <v>873</v>
      </c>
      <c r="B1704" s="477" t="s">
        <v>2383</v>
      </c>
      <c r="C1704" s="478"/>
      <c r="D1704" s="477"/>
      <c r="E1704" s="479">
        <v>152329.67916999999</v>
      </c>
      <c r="F1704" s="479">
        <v>152329.67916999999</v>
      </c>
      <c r="G1704" s="479">
        <v>65500</v>
      </c>
      <c r="H1704" s="479">
        <v>61737.633240000003</v>
      </c>
      <c r="I1704" s="480">
        <v>40.53</v>
      </c>
      <c r="J1704" s="480"/>
    </row>
    <row r="1705" spans="1:10" ht="25.5" outlineLevel="4">
      <c r="A1705" s="481" t="s">
        <v>873</v>
      </c>
      <c r="B1705" s="482" t="s">
        <v>2383</v>
      </c>
      <c r="C1705" s="483" t="s">
        <v>2124</v>
      </c>
      <c r="D1705" s="482" t="s">
        <v>2125</v>
      </c>
      <c r="E1705" s="484">
        <v>152329.67916999999</v>
      </c>
      <c r="F1705" s="484">
        <v>152329.67916999999</v>
      </c>
      <c r="G1705" s="484">
        <v>65500</v>
      </c>
      <c r="H1705" s="484">
        <v>61737.633240000003</v>
      </c>
      <c r="I1705" s="480">
        <v>40.53</v>
      </c>
      <c r="J1705" s="480"/>
    </row>
    <row r="1706" spans="1:10" ht="38.25" outlineLevel="3">
      <c r="A1706" s="476" t="s">
        <v>854</v>
      </c>
      <c r="B1706" s="477" t="s">
        <v>2384</v>
      </c>
      <c r="C1706" s="478"/>
      <c r="D1706" s="477"/>
      <c r="E1706" s="479">
        <v>20.55</v>
      </c>
      <c r="F1706" s="479">
        <v>20.55</v>
      </c>
      <c r="G1706" s="479">
        <v>8</v>
      </c>
      <c r="H1706" s="479">
        <v>6.81541</v>
      </c>
      <c r="I1706" s="480">
        <v>33.17</v>
      </c>
      <c r="J1706" s="480"/>
    </row>
    <row r="1707" spans="1:10" ht="38.25" outlineLevel="4">
      <c r="A1707" s="481" t="s">
        <v>854</v>
      </c>
      <c r="B1707" s="482" t="s">
        <v>2384</v>
      </c>
      <c r="C1707" s="483" t="s">
        <v>2124</v>
      </c>
      <c r="D1707" s="482" t="s">
        <v>2125</v>
      </c>
      <c r="E1707" s="484">
        <v>20.55</v>
      </c>
      <c r="F1707" s="484">
        <v>20.55</v>
      </c>
      <c r="G1707" s="484">
        <v>8</v>
      </c>
      <c r="H1707" s="484">
        <v>6.81541</v>
      </c>
      <c r="I1707" s="480">
        <v>33.17</v>
      </c>
      <c r="J1707" s="480"/>
    </row>
    <row r="1708" spans="1:10" ht="76.5" outlineLevel="3">
      <c r="A1708" s="476" t="s">
        <v>702</v>
      </c>
      <c r="B1708" s="477" t="s">
        <v>2385</v>
      </c>
      <c r="C1708" s="478"/>
      <c r="D1708" s="477"/>
      <c r="E1708" s="479">
        <v>131887.80270999999</v>
      </c>
      <c r="F1708" s="479">
        <v>131887.80270999999</v>
      </c>
      <c r="G1708" s="479">
        <v>72887.009160000001</v>
      </c>
      <c r="H1708" s="479">
        <v>61712.226739999998</v>
      </c>
      <c r="I1708" s="480">
        <v>46.79</v>
      </c>
      <c r="J1708" s="480"/>
    </row>
    <row r="1709" spans="1:10" ht="76.5" outlineLevel="4">
      <c r="A1709" s="481" t="s">
        <v>702</v>
      </c>
      <c r="B1709" s="482" t="s">
        <v>2385</v>
      </c>
      <c r="C1709" s="483" t="s">
        <v>2124</v>
      </c>
      <c r="D1709" s="482" t="s">
        <v>2125</v>
      </c>
      <c r="E1709" s="484">
        <v>131887.80270999999</v>
      </c>
      <c r="F1709" s="484">
        <v>131887.80270999999</v>
      </c>
      <c r="G1709" s="484">
        <v>72887.009160000001</v>
      </c>
      <c r="H1709" s="484">
        <v>61712.226739999998</v>
      </c>
      <c r="I1709" s="480">
        <v>46.79</v>
      </c>
      <c r="J1709" s="480"/>
    </row>
    <row r="1710" spans="1:10" ht="63.75" outlineLevel="3">
      <c r="A1710" s="476" t="s">
        <v>62</v>
      </c>
      <c r="B1710" s="477" t="s">
        <v>2386</v>
      </c>
      <c r="C1710" s="478"/>
      <c r="D1710" s="477"/>
      <c r="E1710" s="479">
        <v>2074.2629999999999</v>
      </c>
      <c r="F1710" s="479">
        <v>2074.2629999999999</v>
      </c>
      <c r="G1710" s="479">
        <v>612.23366999999996</v>
      </c>
      <c r="H1710" s="479">
        <v>151.73716999999999</v>
      </c>
      <c r="I1710" s="480">
        <v>7.32</v>
      </c>
      <c r="J1710" s="480"/>
    </row>
    <row r="1711" spans="1:10" ht="63.75" outlineLevel="4">
      <c r="A1711" s="481" t="s">
        <v>62</v>
      </c>
      <c r="B1711" s="482" t="s">
        <v>2386</v>
      </c>
      <c r="C1711" s="483" t="s">
        <v>2124</v>
      </c>
      <c r="D1711" s="482" t="s">
        <v>2125</v>
      </c>
      <c r="E1711" s="484">
        <v>2074.2629999999999</v>
      </c>
      <c r="F1711" s="484">
        <v>2074.2629999999999</v>
      </c>
      <c r="G1711" s="484">
        <v>612.23366999999996</v>
      </c>
      <c r="H1711" s="484">
        <v>151.73716999999999</v>
      </c>
      <c r="I1711" s="480">
        <v>7.32</v>
      </c>
      <c r="J1711" s="480"/>
    </row>
    <row r="1712" spans="1:10" ht="25.5" outlineLevel="3">
      <c r="A1712" s="476" t="s">
        <v>713</v>
      </c>
      <c r="B1712" s="477" t="s">
        <v>2387</v>
      </c>
      <c r="C1712" s="478"/>
      <c r="D1712" s="477"/>
      <c r="E1712" s="479">
        <v>1035</v>
      </c>
      <c r="F1712" s="479">
        <v>1035</v>
      </c>
      <c r="G1712" s="479">
        <v>847.11</v>
      </c>
      <c r="H1712" s="479">
        <v>847.11</v>
      </c>
      <c r="I1712" s="480">
        <v>81.849999999999994</v>
      </c>
      <c r="J1712" s="480"/>
    </row>
    <row r="1713" spans="1:10" ht="25.5" outlineLevel="4">
      <c r="A1713" s="481" t="s">
        <v>713</v>
      </c>
      <c r="B1713" s="482" t="s">
        <v>2387</v>
      </c>
      <c r="C1713" s="483" t="s">
        <v>2124</v>
      </c>
      <c r="D1713" s="482" t="s">
        <v>2125</v>
      </c>
      <c r="E1713" s="484">
        <v>1035</v>
      </c>
      <c r="F1713" s="484">
        <v>1035</v>
      </c>
      <c r="G1713" s="484">
        <v>847.11</v>
      </c>
      <c r="H1713" s="484">
        <v>847.11</v>
      </c>
      <c r="I1713" s="480">
        <v>81.849999999999994</v>
      </c>
      <c r="J1713" s="480"/>
    </row>
    <row r="1714" spans="1:10" ht="60.75" collapsed="1" thickBot="1">
      <c r="A1714" s="461" t="s">
        <v>2388</v>
      </c>
      <c r="B1714" s="462" t="s">
        <v>2389</v>
      </c>
      <c r="C1714" s="463"/>
      <c r="D1714" s="462"/>
      <c r="E1714" s="464">
        <v>1727500.85</v>
      </c>
      <c r="F1714" s="464">
        <v>1727500.85</v>
      </c>
      <c r="G1714" s="464">
        <v>200384.00993999999</v>
      </c>
      <c r="H1714" s="464">
        <v>200384.00993999999</v>
      </c>
      <c r="I1714" s="465">
        <v>11.6</v>
      </c>
      <c r="J1714" s="465"/>
    </row>
    <row r="1715" spans="1:10" ht="25.5" outlineLevel="1">
      <c r="A1715" s="466" t="s">
        <v>2390</v>
      </c>
      <c r="B1715" s="467" t="s">
        <v>2391</v>
      </c>
      <c r="C1715" s="468"/>
      <c r="D1715" s="467"/>
      <c r="E1715" s="469">
        <v>1727500.85</v>
      </c>
      <c r="F1715" s="469">
        <v>1727500.85</v>
      </c>
      <c r="G1715" s="469">
        <v>200384.00993999999</v>
      </c>
      <c r="H1715" s="469">
        <v>200384.00993999999</v>
      </c>
      <c r="I1715" s="470">
        <v>11.6</v>
      </c>
      <c r="J1715" s="470"/>
    </row>
    <row r="1716" spans="1:10" ht="63.75" outlineLevel="2">
      <c r="A1716" s="471" t="s">
        <v>2392</v>
      </c>
      <c r="B1716" s="472" t="s">
        <v>2393</v>
      </c>
      <c r="C1716" s="473"/>
      <c r="D1716" s="472"/>
      <c r="E1716" s="474">
        <v>593485.73176999995</v>
      </c>
      <c r="F1716" s="474">
        <v>593485.73176999995</v>
      </c>
      <c r="G1716" s="474">
        <v>198000</v>
      </c>
      <c r="H1716" s="474">
        <v>198000</v>
      </c>
      <c r="I1716" s="475">
        <v>33.36</v>
      </c>
      <c r="J1716" s="475"/>
    </row>
    <row r="1717" spans="1:10" ht="38.25" outlineLevel="3">
      <c r="A1717" s="476" t="s">
        <v>2394</v>
      </c>
      <c r="B1717" s="477" t="s">
        <v>2395</v>
      </c>
      <c r="C1717" s="478"/>
      <c r="D1717" s="477"/>
      <c r="E1717" s="479">
        <v>593485.73176999995</v>
      </c>
      <c r="F1717" s="479">
        <v>593485.73176999995</v>
      </c>
      <c r="G1717" s="479">
        <v>198000</v>
      </c>
      <c r="H1717" s="479">
        <v>198000</v>
      </c>
      <c r="I1717" s="480">
        <v>33.36</v>
      </c>
      <c r="J1717" s="480"/>
    </row>
    <row r="1718" spans="1:10" ht="38.25" outlineLevel="4">
      <c r="A1718" s="481" t="s">
        <v>2394</v>
      </c>
      <c r="B1718" s="482" t="s">
        <v>2395</v>
      </c>
      <c r="C1718" s="483" t="s">
        <v>1502</v>
      </c>
      <c r="D1718" s="482" t="s">
        <v>1503</v>
      </c>
      <c r="E1718" s="484">
        <v>593485.73176999995</v>
      </c>
      <c r="F1718" s="484">
        <v>593485.73176999995</v>
      </c>
      <c r="G1718" s="484">
        <v>198000</v>
      </c>
      <c r="H1718" s="484">
        <v>198000</v>
      </c>
      <c r="I1718" s="480">
        <v>33.36</v>
      </c>
      <c r="J1718" s="480"/>
    </row>
    <row r="1719" spans="1:10" ht="51" outlineLevel="2">
      <c r="A1719" s="471" t="s">
        <v>2396</v>
      </c>
      <c r="B1719" s="472" t="s">
        <v>2397</v>
      </c>
      <c r="C1719" s="473"/>
      <c r="D1719" s="472"/>
      <c r="E1719" s="474">
        <v>32627.748230000001</v>
      </c>
      <c r="F1719" s="474">
        <v>32627.748230000001</v>
      </c>
      <c r="G1719" s="474">
        <v>50.997</v>
      </c>
      <c r="H1719" s="474">
        <v>50.997</v>
      </c>
      <c r="I1719" s="475">
        <v>0.16</v>
      </c>
      <c r="J1719" s="475"/>
    </row>
    <row r="1720" spans="1:10" ht="38.25" outlineLevel="3">
      <c r="A1720" s="476" t="s">
        <v>2398</v>
      </c>
      <c r="B1720" s="477" t="s">
        <v>2399</v>
      </c>
      <c r="C1720" s="478"/>
      <c r="D1720" s="477"/>
      <c r="E1720" s="479">
        <v>32627.748230000001</v>
      </c>
      <c r="F1720" s="479">
        <v>32627.748230000001</v>
      </c>
      <c r="G1720" s="479">
        <v>50.997</v>
      </c>
      <c r="H1720" s="479">
        <v>50.997</v>
      </c>
      <c r="I1720" s="480">
        <v>0.16</v>
      </c>
      <c r="J1720" s="480"/>
    </row>
    <row r="1721" spans="1:10" ht="38.25" outlineLevel="4">
      <c r="A1721" s="481" t="s">
        <v>2398</v>
      </c>
      <c r="B1721" s="482" t="s">
        <v>2399</v>
      </c>
      <c r="C1721" s="483" t="s">
        <v>1502</v>
      </c>
      <c r="D1721" s="482" t="s">
        <v>1503</v>
      </c>
      <c r="E1721" s="484">
        <v>32627.748230000001</v>
      </c>
      <c r="F1721" s="484">
        <v>32627.748230000001</v>
      </c>
      <c r="G1721" s="484">
        <v>50.997</v>
      </c>
      <c r="H1721" s="484">
        <v>50.997</v>
      </c>
      <c r="I1721" s="480">
        <v>0.16</v>
      </c>
      <c r="J1721" s="480"/>
    </row>
    <row r="1722" spans="1:10" ht="38.25" outlineLevel="2">
      <c r="A1722" s="471" t="s">
        <v>2400</v>
      </c>
      <c r="B1722" s="472" t="s">
        <v>2401</v>
      </c>
      <c r="C1722" s="473"/>
      <c r="D1722" s="472"/>
      <c r="E1722" s="474">
        <v>74057.324219999995</v>
      </c>
      <c r="F1722" s="474">
        <v>74057.324219999995</v>
      </c>
      <c r="G1722" s="474">
        <v>0</v>
      </c>
      <c r="H1722" s="474">
        <v>0</v>
      </c>
      <c r="I1722" s="475">
        <v>0</v>
      </c>
      <c r="J1722" s="475"/>
    </row>
    <row r="1723" spans="1:10" ht="76.5" outlineLevel="3">
      <c r="A1723" s="476" t="s">
        <v>2402</v>
      </c>
      <c r="B1723" s="477" t="s">
        <v>2403</v>
      </c>
      <c r="C1723" s="478"/>
      <c r="D1723" s="477"/>
      <c r="E1723" s="479">
        <v>74057.324219999995</v>
      </c>
      <c r="F1723" s="479">
        <v>74057.324219999995</v>
      </c>
      <c r="G1723" s="479">
        <v>0</v>
      </c>
      <c r="H1723" s="479">
        <v>0</v>
      </c>
      <c r="I1723" s="480">
        <v>0</v>
      </c>
      <c r="J1723" s="480"/>
    </row>
    <row r="1724" spans="1:10" ht="76.5" outlineLevel="4">
      <c r="A1724" s="481" t="s">
        <v>2402</v>
      </c>
      <c r="B1724" s="482" t="s">
        <v>2403</v>
      </c>
      <c r="C1724" s="483" t="s">
        <v>1502</v>
      </c>
      <c r="D1724" s="482" t="s">
        <v>1503</v>
      </c>
      <c r="E1724" s="484">
        <v>74057.324219999995</v>
      </c>
      <c r="F1724" s="484">
        <v>74057.324219999995</v>
      </c>
      <c r="G1724" s="484">
        <v>0</v>
      </c>
      <c r="H1724" s="484">
        <v>0</v>
      </c>
      <c r="I1724" s="480">
        <v>0</v>
      </c>
      <c r="J1724" s="480"/>
    </row>
    <row r="1725" spans="1:10" ht="25.5" outlineLevel="2">
      <c r="A1725" s="471" t="s">
        <v>2371</v>
      </c>
      <c r="B1725" s="472" t="s">
        <v>2404</v>
      </c>
      <c r="C1725" s="473"/>
      <c r="D1725" s="472"/>
      <c r="E1725" s="474">
        <v>3200.4</v>
      </c>
      <c r="F1725" s="474">
        <v>3200.4</v>
      </c>
      <c r="G1725" s="474">
        <v>0</v>
      </c>
      <c r="H1725" s="474">
        <v>0</v>
      </c>
      <c r="I1725" s="475">
        <v>0</v>
      </c>
      <c r="J1725" s="475"/>
    </row>
    <row r="1726" spans="1:10" ht="38.25" outlineLevel="3">
      <c r="A1726" s="476" t="s">
        <v>2374</v>
      </c>
      <c r="B1726" s="477" t="s">
        <v>2405</v>
      </c>
      <c r="C1726" s="478"/>
      <c r="D1726" s="477"/>
      <c r="E1726" s="479">
        <v>3200.4</v>
      </c>
      <c r="F1726" s="479">
        <v>3200.4</v>
      </c>
      <c r="G1726" s="479">
        <v>0</v>
      </c>
      <c r="H1726" s="479">
        <v>0</v>
      </c>
      <c r="I1726" s="480">
        <v>0</v>
      </c>
      <c r="J1726" s="480"/>
    </row>
    <row r="1727" spans="1:10" ht="38.25" outlineLevel="4">
      <c r="A1727" s="481" t="s">
        <v>2374</v>
      </c>
      <c r="B1727" s="482" t="s">
        <v>2405</v>
      </c>
      <c r="C1727" s="483" t="s">
        <v>1502</v>
      </c>
      <c r="D1727" s="482" t="s">
        <v>1503</v>
      </c>
      <c r="E1727" s="484">
        <v>3200.4</v>
      </c>
      <c r="F1727" s="484">
        <v>3200.4</v>
      </c>
      <c r="G1727" s="484">
        <v>0</v>
      </c>
      <c r="H1727" s="484">
        <v>0</v>
      </c>
      <c r="I1727" s="480">
        <v>0</v>
      </c>
      <c r="J1727" s="485" t="s">
        <v>10</v>
      </c>
    </row>
    <row r="1728" spans="1:10" ht="25.5" outlineLevel="2">
      <c r="A1728" s="471" t="s">
        <v>2406</v>
      </c>
      <c r="B1728" s="472" t="s">
        <v>2407</v>
      </c>
      <c r="C1728" s="473"/>
      <c r="D1728" s="472"/>
      <c r="E1728" s="474">
        <v>1024129.64578</v>
      </c>
      <c r="F1728" s="474">
        <v>1024129.64578</v>
      </c>
      <c r="G1728" s="474">
        <v>2333.0129400000001</v>
      </c>
      <c r="H1728" s="474">
        <v>2333.0129400000001</v>
      </c>
      <c r="I1728" s="475">
        <v>0.23</v>
      </c>
      <c r="J1728" s="475"/>
    </row>
    <row r="1729" spans="1:10" ht="63.75" outlineLevel="3">
      <c r="A1729" s="476" t="s">
        <v>2408</v>
      </c>
      <c r="B1729" s="477" t="s">
        <v>2409</v>
      </c>
      <c r="C1729" s="478"/>
      <c r="D1729" s="477"/>
      <c r="E1729" s="479">
        <v>334307.5</v>
      </c>
      <c r="F1729" s="479">
        <v>334307.5</v>
      </c>
      <c r="G1729" s="479">
        <v>0</v>
      </c>
      <c r="H1729" s="479">
        <v>0</v>
      </c>
      <c r="I1729" s="480">
        <v>0</v>
      </c>
      <c r="J1729" s="480"/>
    </row>
    <row r="1730" spans="1:10" ht="63.75" outlineLevel="4">
      <c r="A1730" s="481" t="s">
        <v>2408</v>
      </c>
      <c r="B1730" s="482" t="s">
        <v>2409</v>
      </c>
      <c r="C1730" s="483" t="s">
        <v>1502</v>
      </c>
      <c r="D1730" s="482" t="s">
        <v>1503</v>
      </c>
      <c r="E1730" s="484">
        <v>334307.5</v>
      </c>
      <c r="F1730" s="484">
        <v>334307.5</v>
      </c>
      <c r="G1730" s="484">
        <v>0</v>
      </c>
      <c r="H1730" s="484">
        <v>0</v>
      </c>
      <c r="I1730" s="480">
        <v>0</v>
      </c>
      <c r="J1730" s="485" t="s">
        <v>10</v>
      </c>
    </row>
    <row r="1731" spans="1:10" ht="51" outlineLevel="3">
      <c r="A1731" s="476" t="s">
        <v>2410</v>
      </c>
      <c r="B1731" s="477" t="s">
        <v>2411</v>
      </c>
      <c r="C1731" s="478"/>
      <c r="D1731" s="477"/>
      <c r="E1731" s="479">
        <v>255822.14577999999</v>
      </c>
      <c r="F1731" s="479">
        <v>255822.14577999999</v>
      </c>
      <c r="G1731" s="479">
        <v>0</v>
      </c>
      <c r="H1731" s="479">
        <v>0</v>
      </c>
      <c r="I1731" s="480">
        <v>0</v>
      </c>
      <c r="J1731" s="480"/>
    </row>
    <row r="1732" spans="1:10" ht="51" outlineLevel="4">
      <c r="A1732" s="481" t="s">
        <v>2410</v>
      </c>
      <c r="B1732" s="482" t="s">
        <v>2411</v>
      </c>
      <c r="C1732" s="483" t="s">
        <v>1502</v>
      </c>
      <c r="D1732" s="482" t="s">
        <v>1503</v>
      </c>
      <c r="E1732" s="484">
        <v>255822.14577999999</v>
      </c>
      <c r="F1732" s="484">
        <v>255822.14577999999</v>
      </c>
      <c r="G1732" s="484">
        <v>0</v>
      </c>
      <c r="H1732" s="484">
        <v>0</v>
      </c>
      <c r="I1732" s="480">
        <v>0</v>
      </c>
      <c r="J1732" s="485" t="s">
        <v>10</v>
      </c>
    </row>
    <row r="1733" spans="1:10" ht="63.75" outlineLevel="3">
      <c r="A1733" s="476" t="s">
        <v>2412</v>
      </c>
      <c r="B1733" s="477" t="s">
        <v>2413</v>
      </c>
      <c r="C1733" s="478"/>
      <c r="D1733" s="477"/>
      <c r="E1733" s="479">
        <v>434000</v>
      </c>
      <c r="F1733" s="479">
        <v>434000</v>
      </c>
      <c r="G1733" s="479">
        <v>2333.0129400000001</v>
      </c>
      <c r="H1733" s="479">
        <v>2333.0129400000001</v>
      </c>
      <c r="I1733" s="480">
        <v>0.54</v>
      </c>
      <c r="J1733" s="480"/>
    </row>
    <row r="1734" spans="1:10" ht="63.75" outlineLevel="4">
      <c r="A1734" s="481" t="s">
        <v>2412</v>
      </c>
      <c r="B1734" s="482" t="s">
        <v>2413</v>
      </c>
      <c r="C1734" s="483" t="s">
        <v>1502</v>
      </c>
      <c r="D1734" s="482" t="s">
        <v>1503</v>
      </c>
      <c r="E1734" s="484">
        <v>434000</v>
      </c>
      <c r="F1734" s="484">
        <v>434000</v>
      </c>
      <c r="G1734" s="484">
        <v>2333.0129400000001</v>
      </c>
      <c r="H1734" s="484">
        <v>2333.0129400000001</v>
      </c>
      <c r="I1734" s="480">
        <v>0.54</v>
      </c>
      <c r="J1734" s="480"/>
    </row>
    <row r="1735" spans="1:10" ht="15.75" collapsed="1" thickBot="1">
      <c r="A1735" s="461" t="s">
        <v>2414</v>
      </c>
      <c r="B1735" s="462" t="s">
        <v>2415</v>
      </c>
      <c r="C1735" s="463"/>
      <c r="D1735" s="462"/>
      <c r="E1735" s="464">
        <v>5646155.8480799999</v>
      </c>
      <c r="F1735" s="464">
        <v>3885975.5972000002</v>
      </c>
      <c r="G1735" s="464">
        <v>2027286.4741199999</v>
      </c>
      <c r="H1735" s="464">
        <v>1969019.3748399999</v>
      </c>
      <c r="I1735" s="465">
        <v>34.869999999999997</v>
      </c>
      <c r="J1735" s="465"/>
    </row>
    <row r="1736" spans="1:10" ht="25.5" outlineLevel="1">
      <c r="A1736" s="466" t="s">
        <v>2416</v>
      </c>
      <c r="B1736" s="467" t="s">
        <v>2417</v>
      </c>
      <c r="C1736" s="468"/>
      <c r="D1736" s="467"/>
      <c r="E1736" s="469">
        <v>306779.23300000001</v>
      </c>
      <c r="F1736" s="469">
        <v>306779.23300000001</v>
      </c>
      <c r="G1736" s="469">
        <v>143110.45451000001</v>
      </c>
      <c r="H1736" s="469">
        <v>133915.98336000001</v>
      </c>
      <c r="I1736" s="470">
        <v>43.65</v>
      </c>
      <c r="J1736" s="470"/>
    </row>
    <row r="1737" spans="1:10" ht="25.5" outlineLevel="2">
      <c r="A1737" s="471" t="s">
        <v>2416</v>
      </c>
      <c r="B1737" s="472" t="s">
        <v>2417</v>
      </c>
      <c r="C1737" s="473"/>
      <c r="D1737" s="472"/>
      <c r="E1737" s="474">
        <v>306779.23300000001</v>
      </c>
      <c r="F1737" s="474">
        <v>306779.23300000001</v>
      </c>
      <c r="G1737" s="474">
        <v>143110.45451000001</v>
      </c>
      <c r="H1737" s="474">
        <v>133915.98336000001</v>
      </c>
      <c r="I1737" s="475">
        <v>43.65</v>
      </c>
      <c r="J1737" s="475"/>
    </row>
    <row r="1738" spans="1:10" ht="25.5" outlineLevel="3">
      <c r="A1738" s="476" t="s">
        <v>873</v>
      </c>
      <c r="B1738" s="477" t="s">
        <v>2418</v>
      </c>
      <c r="C1738" s="478"/>
      <c r="D1738" s="477"/>
      <c r="E1738" s="479">
        <v>247699.40156</v>
      </c>
      <c r="F1738" s="479">
        <v>247699.40156</v>
      </c>
      <c r="G1738" s="479">
        <v>126700</v>
      </c>
      <c r="H1738" s="479">
        <v>121437.90193000001</v>
      </c>
      <c r="I1738" s="480">
        <v>49.03</v>
      </c>
      <c r="J1738" s="480"/>
    </row>
    <row r="1739" spans="1:10" ht="25.5" outlineLevel="4">
      <c r="A1739" s="481" t="s">
        <v>873</v>
      </c>
      <c r="B1739" s="482" t="s">
        <v>2418</v>
      </c>
      <c r="C1739" s="483" t="s">
        <v>2419</v>
      </c>
      <c r="D1739" s="482" t="s">
        <v>2420</v>
      </c>
      <c r="E1739" s="484">
        <v>247699.40156</v>
      </c>
      <c r="F1739" s="484">
        <v>247699.40156</v>
      </c>
      <c r="G1739" s="484">
        <v>126700</v>
      </c>
      <c r="H1739" s="484">
        <v>121437.90193000001</v>
      </c>
      <c r="I1739" s="480">
        <v>49.03</v>
      </c>
      <c r="J1739" s="480"/>
    </row>
    <row r="1740" spans="1:10" ht="38.25" outlineLevel="3">
      <c r="A1740" s="476" t="s">
        <v>854</v>
      </c>
      <c r="B1740" s="477" t="s">
        <v>2421</v>
      </c>
      <c r="C1740" s="478"/>
      <c r="D1740" s="477"/>
      <c r="E1740" s="479">
        <v>41298.176440000003</v>
      </c>
      <c r="F1740" s="479">
        <v>41298.176440000003</v>
      </c>
      <c r="G1740" s="479">
        <v>10014.281989999999</v>
      </c>
      <c r="H1740" s="479">
        <v>6383.8786600000003</v>
      </c>
      <c r="I1740" s="480">
        <v>15.46</v>
      </c>
      <c r="J1740" s="480"/>
    </row>
    <row r="1741" spans="1:10" ht="38.25" outlineLevel="4">
      <c r="A1741" s="481" t="s">
        <v>854</v>
      </c>
      <c r="B1741" s="482" t="s">
        <v>2421</v>
      </c>
      <c r="C1741" s="483" t="s">
        <v>2419</v>
      </c>
      <c r="D1741" s="482" t="s">
        <v>2420</v>
      </c>
      <c r="E1741" s="484">
        <v>41298.176440000003</v>
      </c>
      <c r="F1741" s="484">
        <v>41298.176440000003</v>
      </c>
      <c r="G1741" s="484">
        <v>10014.281989999999</v>
      </c>
      <c r="H1741" s="484">
        <v>6383.8786600000003</v>
      </c>
      <c r="I1741" s="480">
        <v>15.46</v>
      </c>
      <c r="J1741" s="480"/>
    </row>
    <row r="1742" spans="1:10" ht="51" outlineLevel="3">
      <c r="A1742" s="476" t="s">
        <v>2422</v>
      </c>
      <c r="B1742" s="477" t="s">
        <v>2423</v>
      </c>
      <c r="C1742" s="478"/>
      <c r="D1742" s="477"/>
      <c r="E1742" s="479">
        <v>1140</v>
      </c>
      <c r="F1742" s="479">
        <v>1140</v>
      </c>
      <c r="G1742" s="479">
        <v>240</v>
      </c>
      <c r="H1742" s="479">
        <v>225</v>
      </c>
      <c r="I1742" s="480">
        <v>19.739999999999998</v>
      </c>
      <c r="J1742" s="480"/>
    </row>
    <row r="1743" spans="1:10" ht="51" outlineLevel="4">
      <c r="A1743" s="481" t="s">
        <v>2422</v>
      </c>
      <c r="B1743" s="482" t="s">
        <v>2423</v>
      </c>
      <c r="C1743" s="483" t="s">
        <v>2419</v>
      </c>
      <c r="D1743" s="482" t="s">
        <v>2420</v>
      </c>
      <c r="E1743" s="484">
        <v>1140</v>
      </c>
      <c r="F1743" s="484">
        <v>1140</v>
      </c>
      <c r="G1743" s="484">
        <v>240</v>
      </c>
      <c r="H1743" s="484">
        <v>225</v>
      </c>
      <c r="I1743" s="480">
        <v>19.739999999999998</v>
      </c>
      <c r="J1743" s="480"/>
    </row>
    <row r="1744" spans="1:10" ht="63.75" outlineLevel="3">
      <c r="A1744" s="476" t="s">
        <v>62</v>
      </c>
      <c r="B1744" s="477" t="s">
        <v>2424</v>
      </c>
      <c r="C1744" s="478"/>
      <c r="D1744" s="477"/>
      <c r="E1744" s="479">
        <v>2725</v>
      </c>
      <c r="F1744" s="479">
        <v>2725</v>
      </c>
      <c r="G1744" s="479">
        <v>776.49145999999996</v>
      </c>
      <c r="H1744" s="479">
        <v>533.65254000000004</v>
      </c>
      <c r="I1744" s="480">
        <v>19.579999999999998</v>
      </c>
      <c r="J1744" s="480"/>
    </row>
    <row r="1745" spans="1:10" ht="63.75" outlineLevel="4">
      <c r="A1745" s="481" t="s">
        <v>62</v>
      </c>
      <c r="B1745" s="482" t="s">
        <v>2424</v>
      </c>
      <c r="C1745" s="483" t="s">
        <v>2419</v>
      </c>
      <c r="D1745" s="482" t="s">
        <v>2420</v>
      </c>
      <c r="E1745" s="484">
        <v>2725</v>
      </c>
      <c r="F1745" s="484">
        <v>2725</v>
      </c>
      <c r="G1745" s="484">
        <v>776.49145999999996</v>
      </c>
      <c r="H1745" s="484">
        <v>533.65254000000004</v>
      </c>
      <c r="I1745" s="480">
        <v>19.579999999999998</v>
      </c>
      <c r="J1745" s="480"/>
    </row>
    <row r="1746" spans="1:10" ht="76.5" outlineLevel="3">
      <c r="A1746" s="476" t="s">
        <v>1027</v>
      </c>
      <c r="B1746" s="477" t="s">
        <v>2425</v>
      </c>
      <c r="C1746" s="478"/>
      <c r="D1746" s="477"/>
      <c r="E1746" s="479">
        <v>157.5</v>
      </c>
      <c r="F1746" s="479">
        <v>157.5</v>
      </c>
      <c r="G1746" s="479">
        <v>16.5</v>
      </c>
      <c r="H1746" s="479">
        <v>16.5</v>
      </c>
      <c r="I1746" s="480">
        <v>10.48</v>
      </c>
      <c r="J1746" s="480"/>
    </row>
    <row r="1747" spans="1:10" ht="76.5" outlineLevel="4">
      <c r="A1747" s="481" t="s">
        <v>1027</v>
      </c>
      <c r="B1747" s="482" t="s">
        <v>2425</v>
      </c>
      <c r="C1747" s="483" t="s">
        <v>2419</v>
      </c>
      <c r="D1747" s="482" t="s">
        <v>2420</v>
      </c>
      <c r="E1747" s="484">
        <v>157.5</v>
      </c>
      <c r="F1747" s="484">
        <v>157.5</v>
      </c>
      <c r="G1747" s="484">
        <v>16.5</v>
      </c>
      <c r="H1747" s="484">
        <v>16.5</v>
      </c>
      <c r="I1747" s="480">
        <v>10.48</v>
      </c>
      <c r="J1747" s="480"/>
    </row>
    <row r="1748" spans="1:10" ht="51" outlineLevel="3">
      <c r="A1748" s="476" t="s">
        <v>2151</v>
      </c>
      <c r="B1748" s="477" t="s">
        <v>2426</v>
      </c>
      <c r="C1748" s="478"/>
      <c r="D1748" s="477"/>
      <c r="E1748" s="479">
        <v>13759.155000000001</v>
      </c>
      <c r="F1748" s="479">
        <v>13759.155000000001</v>
      </c>
      <c r="G1748" s="479">
        <v>5363.1810599999999</v>
      </c>
      <c r="H1748" s="479">
        <v>5319.0502299999998</v>
      </c>
      <c r="I1748" s="480">
        <v>38.659999999999997</v>
      </c>
      <c r="J1748" s="480"/>
    </row>
    <row r="1749" spans="1:10" ht="51" outlineLevel="4">
      <c r="A1749" s="481" t="s">
        <v>2151</v>
      </c>
      <c r="B1749" s="482" t="s">
        <v>2426</v>
      </c>
      <c r="C1749" s="483" t="s">
        <v>2419</v>
      </c>
      <c r="D1749" s="482" t="s">
        <v>2420</v>
      </c>
      <c r="E1749" s="484">
        <v>13759.155000000001</v>
      </c>
      <c r="F1749" s="484">
        <v>13759.155000000001</v>
      </c>
      <c r="G1749" s="484">
        <v>5363.1810599999999</v>
      </c>
      <c r="H1749" s="484">
        <v>5319.0502299999998</v>
      </c>
      <c r="I1749" s="480">
        <v>38.659999999999997</v>
      </c>
      <c r="J1749" s="480"/>
    </row>
    <row r="1750" spans="1:10" ht="25.5" outlineLevel="1">
      <c r="A1750" s="466" t="s">
        <v>2427</v>
      </c>
      <c r="B1750" s="467" t="s">
        <v>2428</v>
      </c>
      <c r="C1750" s="468"/>
      <c r="D1750" s="467"/>
      <c r="E1750" s="469">
        <v>55742.044759999997</v>
      </c>
      <c r="F1750" s="469">
        <v>55742.044759999997</v>
      </c>
      <c r="G1750" s="469">
        <v>21694.525000000001</v>
      </c>
      <c r="H1750" s="469">
        <v>15833.4542</v>
      </c>
      <c r="I1750" s="470">
        <v>28.4</v>
      </c>
      <c r="J1750" s="470"/>
    </row>
    <row r="1751" spans="1:10" ht="25.5" outlineLevel="2">
      <c r="A1751" s="471" t="s">
        <v>2427</v>
      </c>
      <c r="B1751" s="472" t="s">
        <v>2428</v>
      </c>
      <c r="C1751" s="473"/>
      <c r="D1751" s="472"/>
      <c r="E1751" s="474">
        <v>55742.044759999997</v>
      </c>
      <c r="F1751" s="474">
        <v>55742.044759999997</v>
      </c>
      <c r="G1751" s="474">
        <v>21694.525000000001</v>
      </c>
      <c r="H1751" s="474">
        <v>15833.4542</v>
      </c>
      <c r="I1751" s="475">
        <v>28.4</v>
      </c>
      <c r="J1751" s="475"/>
    </row>
    <row r="1752" spans="1:10" ht="25.5" outlineLevel="3">
      <c r="A1752" s="476" t="s">
        <v>873</v>
      </c>
      <c r="B1752" s="477" t="s">
        <v>2429</v>
      </c>
      <c r="C1752" s="478"/>
      <c r="D1752" s="477"/>
      <c r="E1752" s="479">
        <v>38333.344129999998</v>
      </c>
      <c r="F1752" s="479">
        <v>38333.344129999998</v>
      </c>
      <c r="G1752" s="479">
        <v>18190</v>
      </c>
      <c r="H1752" s="479">
        <v>13716.955319999999</v>
      </c>
      <c r="I1752" s="480">
        <v>35.78</v>
      </c>
      <c r="J1752" s="480"/>
    </row>
    <row r="1753" spans="1:10" ht="25.5" outlineLevel="4">
      <c r="A1753" s="481" t="s">
        <v>873</v>
      </c>
      <c r="B1753" s="482" t="s">
        <v>2429</v>
      </c>
      <c r="C1753" s="483" t="s">
        <v>2430</v>
      </c>
      <c r="D1753" s="482" t="s">
        <v>2431</v>
      </c>
      <c r="E1753" s="484">
        <v>38333.344129999998</v>
      </c>
      <c r="F1753" s="484">
        <v>38333.344129999998</v>
      </c>
      <c r="G1753" s="484">
        <v>18190</v>
      </c>
      <c r="H1753" s="484">
        <v>13716.955319999999</v>
      </c>
      <c r="I1753" s="480">
        <v>35.78</v>
      </c>
      <c r="J1753" s="480"/>
    </row>
    <row r="1754" spans="1:10" ht="38.25" outlineLevel="3">
      <c r="A1754" s="476" t="s">
        <v>854</v>
      </c>
      <c r="B1754" s="477" t="s">
        <v>2432</v>
      </c>
      <c r="C1754" s="478"/>
      <c r="D1754" s="477"/>
      <c r="E1754" s="479">
        <v>16808.700629999999</v>
      </c>
      <c r="F1754" s="479">
        <v>16808.700629999999</v>
      </c>
      <c r="G1754" s="479">
        <v>3404.5250000000001</v>
      </c>
      <c r="H1754" s="479">
        <v>2103.5168800000001</v>
      </c>
      <c r="I1754" s="480">
        <v>12.51</v>
      </c>
      <c r="J1754" s="480"/>
    </row>
    <row r="1755" spans="1:10" ht="38.25" outlineLevel="4">
      <c r="A1755" s="481" t="s">
        <v>854</v>
      </c>
      <c r="B1755" s="482" t="s">
        <v>2432</v>
      </c>
      <c r="C1755" s="483" t="s">
        <v>2430</v>
      </c>
      <c r="D1755" s="482" t="s">
        <v>2431</v>
      </c>
      <c r="E1755" s="484">
        <v>16808.700629999999</v>
      </c>
      <c r="F1755" s="484">
        <v>16808.700629999999</v>
      </c>
      <c r="G1755" s="484">
        <v>3404.5250000000001</v>
      </c>
      <c r="H1755" s="484">
        <v>2103.5168800000001</v>
      </c>
      <c r="I1755" s="480">
        <v>12.51</v>
      </c>
      <c r="J1755" s="480"/>
    </row>
    <row r="1756" spans="1:10" ht="63.75" outlineLevel="3">
      <c r="A1756" s="476" t="s">
        <v>62</v>
      </c>
      <c r="B1756" s="477" t="s">
        <v>2433</v>
      </c>
      <c r="C1756" s="478"/>
      <c r="D1756" s="477"/>
      <c r="E1756" s="479">
        <v>600</v>
      </c>
      <c r="F1756" s="479">
        <v>600</v>
      </c>
      <c r="G1756" s="479">
        <v>100</v>
      </c>
      <c r="H1756" s="479">
        <v>12.981999999999999</v>
      </c>
      <c r="I1756" s="480">
        <v>2.16</v>
      </c>
      <c r="J1756" s="480"/>
    </row>
    <row r="1757" spans="1:10" ht="63.75" outlineLevel="4">
      <c r="A1757" s="481" t="s">
        <v>62</v>
      </c>
      <c r="B1757" s="482" t="s">
        <v>2433</v>
      </c>
      <c r="C1757" s="483" t="s">
        <v>2430</v>
      </c>
      <c r="D1757" s="482" t="s">
        <v>2431</v>
      </c>
      <c r="E1757" s="484">
        <v>600</v>
      </c>
      <c r="F1757" s="484">
        <v>600</v>
      </c>
      <c r="G1757" s="484">
        <v>100</v>
      </c>
      <c r="H1757" s="484">
        <v>12.981999999999999</v>
      </c>
      <c r="I1757" s="480">
        <v>2.16</v>
      </c>
      <c r="J1757" s="480"/>
    </row>
    <row r="1758" spans="1:10" ht="38.25" outlineLevel="1">
      <c r="A1758" s="466" t="s">
        <v>2434</v>
      </c>
      <c r="B1758" s="467" t="s">
        <v>2435</v>
      </c>
      <c r="C1758" s="468"/>
      <c r="D1758" s="467"/>
      <c r="E1758" s="469">
        <v>2822.5360700000001</v>
      </c>
      <c r="F1758" s="469">
        <v>2822.5360700000001</v>
      </c>
      <c r="G1758" s="469">
        <v>1270</v>
      </c>
      <c r="H1758" s="469">
        <v>718.71014000000002</v>
      </c>
      <c r="I1758" s="470">
        <v>25.46</v>
      </c>
      <c r="J1758" s="470"/>
    </row>
    <row r="1759" spans="1:10" ht="38.25" outlineLevel="2">
      <c r="A1759" s="471" t="s">
        <v>2434</v>
      </c>
      <c r="B1759" s="472" t="s">
        <v>2435</v>
      </c>
      <c r="C1759" s="473"/>
      <c r="D1759" s="472"/>
      <c r="E1759" s="474">
        <v>2822.5360700000001</v>
      </c>
      <c r="F1759" s="474">
        <v>2822.5360700000001</v>
      </c>
      <c r="G1759" s="474">
        <v>1270</v>
      </c>
      <c r="H1759" s="474">
        <v>718.71014000000002</v>
      </c>
      <c r="I1759" s="475">
        <v>25.46</v>
      </c>
      <c r="J1759" s="475"/>
    </row>
    <row r="1760" spans="1:10" ht="25.5" outlineLevel="3">
      <c r="A1760" s="476" t="s">
        <v>873</v>
      </c>
      <c r="B1760" s="477" t="s">
        <v>2436</v>
      </c>
      <c r="C1760" s="478"/>
      <c r="D1760" s="477"/>
      <c r="E1760" s="479">
        <v>2562.5360700000001</v>
      </c>
      <c r="F1760" s="479">
        <v>2562.5360700000001</v>
      </c>
      <c r="G1760" s="479">
        <v>1220</v>
      </c>
      <c r="H1760" s="479">
        <v>718.71014000000002</v>
      </c>
      <c r="I1760" s="480">
        <v>28.05</v>
      </c>
      <c r="J1760" s="480"/>
    </row>
    <row r="1761" spans="1:10" ht="25.5" outlineLevel="4">
      <c r="A1761" s="481" t="s">
        <v>873</v>
      </c>
      <c r="B1761" s="482" t="s">
        <v>2436</v>
      </c>
      <c r="C1761" s="483" t="s">
        <v>2260</v>
      </c>
      <c r="D1761" s="482" t="s">
        <v>2261</v>
      </c>
      <c r="E1761" s="484">
        <v>2562.5360700000001</v>
      </c>
      <c r="F1761" s="484">
        <v>2562.5360700000001</v>
      </c>
      <c r="G1761" s="484">
        <v>1220</v>
      </c>
      <c r="H1761" s="484">
        <v>718.71014000000002</v>
      </c>
      <c r="I1761" s="480">
        <v>28.05</v>
      </c>
      <c r="J1761" s="480"/>
    </row>
    <row r="1762" spans="1:10" ht="38.25" outlineLevel="3">
      <c r="A1762" s="476" t="s">
        <v>854</v>
      </c>
      <c r="B1762" s="477" t="s">
        <v>2437</v>
      </c>
      <c r="C1762" s="478"/>
      <c r="D1762" s="477"/>
      <c r="E1762" s="479">
        <v>230</v>
      </c>
      <c r="F1762" s="479">
        <v>230</v>
      </c>
      <c r="G1762" s="479">
        <v>50</v>
      </c>
      <c r="H1762" s="479">
        <v>0</v>
      </c>
      <c r="I1762" s="480">
        <v>0</v>
      </c>
      <c r="J1762" s="480"/>
    </row>
    <row r="1763" spans="1:10" ht="38.25" outlineLevel="4">
      <c r="A1763" s="481" t="s">
        <v>854</v>
      </c>
      <c r="B1763" s="482" t="s">
        <v>2437</v>
      </c>
      <c r="C1763" s="483" t="s">
        <v>2260</v>
      </c>
      <c r="D1763" s="482" t="s">
        <v>2261</v>
      </c>
      <c r="E1763" s="484">
        <v>230</v>
      </c>
      <c r="F1763" s="484">
        <v>230</v>
      </c>
      <c r="G1763" s="484">
        <v>50</v>
      </c>
      <c r="H1763" s="484">
        <v>0</v>
      </c>
      <c r="I1763" s="480">
        <v>0</v>
      </c>
      <c r="J1763" s="480"/>
    </row>
    <row r="1764" spans="1:10" ht="63.75" outlineLevel="3">
      <c r="A1764" s="476" t="s">
        <v>62</v>
      </c>
      <c r="B1764" s="477" t="s">
        <v>2438</v>
      </c>
      <c r="C1764" s="478"/>
      <c r="D1764" s="477"/>
      <c r="E1764" s="479">
        <v>30</v>
      </c>
      <c r="F1764" s="479">
        <v>30</v>
      </c>
      <c r="G1764" s="479">
        <v>0</v>
      </c>
      <c r="H1764" s="479">
        <v>0</v>
      </c>
      <c r="I1764" s="480">
        <v>0</v>
      </c>
      <c r="J1764" s="480"/>
    </row>
    <row r="1765" spans="1:10" ht="63.75" outlineLevel="4">
      <c r="A1765" s="481" t="s">
        <v>62</v>
      </c>
      <c r="B1765" s="482" t="s">
        <v>2438</v>
      </c>
      <c r="C1765" s="483" t="s">
        <v>2260</v>
      </c>
      <c r="D1765" s="482" t="s">
        <v>2261</v>
      </c>
      <c r="E1765" s="484">
        <v>30</v>
      </c>
      <c r="F1765" s="484">
        <v>30</v>
      </c>
      <c r="G1765" s="484">
        <v>0</v>
      </c>
      <c r="H1765" s="484">
        <v>0</v>
      </c>
      <c r="I1765" s="480">
        <v>0</v>
      </c>
      <c r="J1765" s="480"/>
    </row>
    <row r="1766" spans="1:10" ht="38.25" outlineLevel="1">
      <c r="A1766" s="466" t="s">
        <v>2439</v>
      </c>
      <c r="B1766" s="467" t="s">
        <v>2440</v>
      </c>
      <c r="C1766" s="468"/>
      <c r="D1766" s="467"/>
      <c r="E1766" s="469">
        <v>9210.4353900000006</v>
      </c>
      <c r="F1766" s="469">
        <v>9210.4353900000006</v>
      </c>
      <c r="G1766" s="469">
        <v>4730.24629</v>
      </c>
      <c r="H1766" s="469">
        <v>4687.8217299999997</v>
      </c>
      <c r="I1766" s="470">
        <v>50.9</v>
      </c>
      <c r="J1766" s="470"/>
    </row>
    <row r="1767" spans="1:10" ht="38.25" outlineLevel="2">
      <c r="A1767" s="471" t="s">
        <v>2439</v>
      </c>
      <c r="B1767" s="472" t="s">
        <v>2440</v>
      </c>
      <c r="C1767" s="473"/>
      <c r="D1767" s="472"/>
      <c r="E1767" s="474">
        <v>9210.4353900000006</v>
      </c>
      <c r="F1767" s="474">
        <v>9210.4353900000006</v>
      </c>
      <c r="G1767" s="474">
        <v>4730.24629</v>
      </c>
      <c r="H1767" s="474">
        <v>4687.8217299999997</v>
      </c>
      <c r="I1767" s="475">
        <v>50.9</v>
      </c>
      <c r="J1767" s="475"/>
    </row>
    <row r="1768" spans="1:10" ht="25.5" outlineLevel="3">
      <c r="A1768" s="476" t="s">
        <v>873</v>
      </c>
      <c r="B1768" s="477" t="s">
        <v>2441</v>
      </c>
      <c r="C1768" s="478"/>
      <c r="D1768" s="477"/>
      <c r="E1768" s="479">
        <v>8155.4376199999997</v>
      </c>
      <c r="F1768" s="479">
        <v>8155.4376199999997</v>
      </c>
      <c r="G1768" s="479">
        <v>4489</v>
      </c>
      <c r="H1768" s="479">
        <v>4446.9677199999996</v>
      </c>
      <c r="I1768" s="480">
        <v>54.53</v>
      </c>
      <c r="J1768" s="480"/>
    </row>
    <row r="1769" spans="1:10" ht="25.5" outlineLevel="4">
      <c r="A1769" s="481" t="s">
        <v>873</v>
      </c>
      <c r="B1769" s="482" t="s">
        <v>2441</v>
      </c>
      <c r="C1769" s="483" t="s">
        <v>2442</v>
      </c>
      <c r="D1769" s="482" t="s">
        <v>2443</v>
      </c>
      <c r="E1769" s="484">
        <v>8155.4376199999997</v>
      </c>
      <c r="F1769" s="484">
        <v>8155.4376199999997</v>
      </c>
      <c r="G1769" s="484">
        <v>4489</v>
      </c>
      <c r="H1769" s="484">
        <v>4446.9677199999996</v>
      </c>
      <c r="I1769" s="480">
        <v>54.53</v>
      </c>
      <c r="J1769" s="480"/>
    </row>
    <row r="1770" spans="1:10" ht="38.25" outlineLevel="3">
      <c r="A1770" s="476" t="s">
        <v>854</v>
      </c>
      <c r="B1770" s="477" t="s">
        <v>2444</v>
      </c>
      <c r="C1770" s="478"/>
      <c r="D1770" s="477"/>
      <c r="E1770" s="479">
        <v>914.99776999999995</v>
      </c>
      <c r="F1770" s="479">
        <v>914.99776999999995</v>
      </c>
      <c r="G1770" s="479">
        <v>234.24628999999999</v>
      </c>
      <c r="H1770" s="479">
        <v>233.85400999999999</v>
      </c>
      <c r="I1770" s="480">
        <v>25.56</v>
      </c>
      <c r="J1770" s="480"/>
    </row>
    <row r="1771" spans="1:10" ht="38.25" outlineLevel="4">
      <c r="A1771" s="481" t="s">
        <v>854</v>
      </c>
      <c r="B1771" s="482" t="s">
        <v>2444</v>
      </c>
      <c r="C1771" s="483" t="s">
        <v>2442</v>
      </c>
      <c r="D1771" s="482" t="s">
        <v>2443</v>
      </c>
      <c r="E1771" s="484">
        <v>914.99776999999995</v>
      </c>
      <c r="F1771" s="484">
        <v>914.99776999999995</v>
      </c>
      <c r="G1771" s="484">
        <v>234.24628999999999</v>
      </c>
      <c r="H1771" s="484">
        <v>233.85400999999999</v>
      </c>
      <c r="I1771" s="480">
        <v>25.56</v>
      </c>
      <c r="J1771" s="480"/>
    </row>
    <row r="1772" spans="1:10" ht="63.75" outlineLevel="3">
      <c r="A1772" s="476" t="s">
        <v>62</v>
      </c>
      <c r="B1772" s="477" t="s">
        <v>2445</v>
      </c>
      <c r="C1772" s="478"/>
      <c r="D1772" s="477"/>
      <c r="E1772" s="479">
        <v>100</v>
      </c>
      <c r="F1772" s="479">
        <v>100</v>
      </c>
      <c r="G1772" s="479">
        <v>0</v>
      </c>
      <c r="H1772" s="479">
        <v>0</v>
      </c>
      <c r="I1772" s="480">
        <v>0</v>
      </c>
      <c r="J1772" s="480"/>
    </row>
    <row r="1773" spans="1:10" ht="63.75" outlineLevel="4">
      <c r="A1773" s="481" t="s">
        <v>62</v>
      </c>
      <c r="B1773" s="482" t="s">
        <v>2445</v>
      </c>
      <c r="C1773" s="483" t="s">
        <v>2442</v>
      </c>
      <c r="D1773" s="482" t="s">
        <v>2443</v>
      </c>
      <c r="E1773" s="484">
        <v>100</v>
      </c>
      <c r="F1773" s="484">
        <v>100</v>
      </c>
      <c r="G1773" s="484">
        <v>0</v>
      </c>
      <c r="H1773" s="484">
        <v>0</v>
      </c>
      <c r="I1773" s="480">
        <v>0</v>
      </c>
      <c r="J1773" s="480"/>
    </row>
    <row r="1774" spans="1:10" ht="76.5" outlineLevel="3">
      <c r="A1774" s="476" t="s">
        <v>1027</v>
      </c>
      <c r="B1774" s="477" t="s">
        <v>2446</v>
      </c>
      <c r="C1774" s="478"/>
      <c r="D1774" s="477"/>
      <c r="E1774" s="479">
        <v>40</v>
      </c>
      <c r="F1774" s="479">
        <v>40</v>
      </c>
      <c r="G1774" s="479">
        <v>7</v>
      </c>
      <c r="H1774" s="479">
        <v>7</v>
      </c>
      <c r="I1774" s="480">
        <v>17.5</v>
      </c>
      <c r="J1774" s="480"/>
    </row>
    <row r="1775" spans="1:10" ht="76.5" outlineLevel="4">
      <c r="A1775" s="481" t="s">
        <v>1027</v>
      </c>
      <c r="B1775" s="482" t="s">
        <v>2446</v>
      </c>
      <c r="C1775" s="483" t="s">
        <v>2442</v>
      </c>
      <c r="D1775" s="482" t="s">
        <v>2443</v>
      </c>
      <c r="E1775" s="484">
        <v>40</v>
      </c>
      <c r="F1775" s="484">
        <v>40</v>
      </c>
      <c r="G1775" s="484">
        <v>7</v>
      </c>
      <c r="H1775" s="484">
        <v>7</v>
      </c>
      <c r="I1775" s="480">
        <v>17.5</v>
      </c>
      <c r="J1775" s="480"/>
    </row>
    <row r="1776" spans="1:10" ht="38.25" outlineLevel="1">
      <c r="A1776" s="466" t="s">
        <v>2447</v>
      </c>
      <c r="B1776" s="467" t="s">
        <v>2448</v>
      </c>
      <c r="C1776" s="468"/>
      <c r="D1776" s="467"/>
      <c r="E1776" s="469">
        <v>83175.786829999997</v>
      </c>
      <c r="F1776" s="469">
        <v>83175.786829999997</v>
      </c>
      <c r="G1776" s="469">
        <v>40513.507030000001</v>
      </c>
      <c r="H1776" s="469">
        <v>37894.785519999998</v>
      </c>
      <c r="I1776" s="470">
        <v>45.56</v>
      </c>
      <c r="J1776" s="470"/>
    </row>
    <row r="1777" spans="1:10" ht="38.25" outlineLevel="2">
      <c r="A1777" s="471" t="s">
        <v>2447</v>
      </c>
      <c r="B1777" s="472" t="s">
        <v>2448</v>
      </c>
      <c r="C1777" s="473"/>
      <c r="D1777" s="472"/>
      <c r="E1777" s="474">
        <v>83175.786829999997</v>
      </c>
      <c r="F1777" s="474">
        <v>83175.786829999997</v>
      </c>
      <c r="G1777" s="474">
        <v>40513.507030000001</v>
      </c>
      <c r="H1777" s="474">
        <v>37894.785519999998</v>
      </c>
      <c r="I1777" s="475">
        <v>45.56</v>
      </c>
      <c r="J1777" s="475"/>
    </row>
    <row r="1778" spans="1:10" ht="25.5" outlineLevel="3">
      <c r="A1778" s="476" t="s">
        <v>873</v>
      </c>
      <c r="B1778" s="477" t="s">
        <v>2449</v>
      </c>
      <c r="C1778" s="478"/>
      <c r="D1778" s="477"/>
      <c r="E1778" s="479">
        <v>76590.814799999993</v>
      </c>
      <c r="F1778" s="479">
        <v>76590.814799999993</v>
      </c>
      <c r="G1778" s="479">
        <v>38537.421249999999</v>
      </c>
      <c r="H1778" s="479">
        <v>36127.532249999997</v>
      </c>
      <c r="I1778" s="480">
        <v>47.17</v>
      </c>
      <c r="J1778" s="480"/>
    </row>
    <row r="1779" spans="1:10" ht="25.5" outlineLevel="4">
      <c r="A1779" s="481" t="s">
        <v>873</v>
      </c>
      <c r="B1779" s="482" t="s">
        <v>2449</v>
      </c>
      <c r="C1779" s="483" t="s">
        <v>2450</v>
      </c>
      <c r="D1779" s="482" t="s">
        <v>2451</v>
      </c>
      <c r="E1779" s="484">
        <v>76590.814799999993</v>
      </c>
      <c r="F1779" s="484">
        <v>76590.814799999993</v>
      </c>
      <c r="G1779" s="484">
        <v>38537.421249999999</v>
      </c>
      <c r="H1779" s="484">
        <v>36127.532249999997</v>
      </c>
      <c r="I1779" s="480">
        <v>47.17</v>
      </c>
      <c r="J1779" s="480"/>
    </row>
    <row r="1780" spans="1:10" ht="38.25" outlineLevel="3">
      <c r="A1780" s="476" t="s">
        <v>854</v>
      </c>
      <c r="B1780" s="477" t="s">
        <v>2452</v>
      </c>
      <c r="C1780" s="478"/>
      <c r="D1780" s="477"/>
      <c r="E1780" s="479">
        <v>4833.4720299999999</v>
      </c>
      <c r="F1780" s="479">
        <v>4833.4720299999999</v>
      </c>
      <c r="G1780" s="479">
        <v>1751.56098</v>
      </c>
      <c r="H1780" s="479">
        <v>1657.72847</v>
      </c>
      <c r="I1780" s="480">
        <v>34.299999999999997</v>
      </c>
      <c r="J1780" s="480"/>
    </row>
    <row r="1781" spans="1:10" ht="38.25" outlineLevel="4">
      <c r="A1781" s="481" t="s">
        <v>854</v>
      </c>
      <c r="B1781" s="482" t="s">
        <v>2452</v>
      </c>
      <c r="C1781" s="483" t="s">
        <v>2450</v>
      </c>
      <c r="D1781" s="482" t="s">
        <v>2451</v>
      </c>
      <c r="E1781" s="484">
        <v>4833.4720299999999</v>
      </c>
      <c r="F1781" s="484">
        <v>4833.4720299999999</v>
      </c>
      <c r="G1781" s="484">
        <v>1751.56098</v>
      </c>
      <c r="H1781" s="484">
        <v>1657.72847</v>
      </c>
      <c r="I1781" s="480">
        <v>34.299999999999997</v>
      </c>
      <c r="J1781" s="480"/>
    </row>
    <row r="1782" spans="1:10" ht="63.75" outlineLevel="3">
      <c r="A1782" s="476" t="s">
        <v>62</v>
      </c>
      <c r="B1782" s="477" t="s">
        <v>2453</v>
      </c>
      <c r="C1782" s="478"/>
      <c r="D1782" s="477"/>
      <c r="E1782" s="479">
        <v>1751.5</v>
      </c>
      <c r="F1782" s="479">
        <v>1751.5</v>
      </c>
      <c r="G1782" s="479">
        <v>224.5248</v>
      </c>
      <c r="H1782" s="479">
        <v>109.5248</v>
      </c>
      <c r="I1782" s="480">
        <v>6.25</v>
      </c>
      <c r="J1782" s="480"/>
    </row>
    <row r="1783" spans="1:10" ht="63.75" outlineLevel="4">
      <c r="A1783" s="481" t="s">
        <v>62</v>
      </c>
      <c r="B1783" s="482" t="s">
        <v>2453</v>
      </c>
      <c r="C1783" s="483" t="s">
        <v>2450</v>
      </c>
      <c r="D1783" s="482" t="s">
        <v>2451</v>
      </c>
      <c r="E1783" s="484">
        <v>1751.5</v>
      </c>
      <c r="F1783" s="484">
        <v>1751.5</v>
      </c>
      <c r="G1783" s="484">
        <v>224.5248</v>
      </c>
      <c r="H1783" s="484">
        <v>109.5248</v>
      </c>
      <c r="I1783" s="480">
        <v>6.25</v>
      </c>
      <c r="J1783" s="480"/>
    </row>
    <row r="1784" spans="1:10" ht="51" outlineLevel="1">
      <c r="A1784" s="466" t="s">
        <v>2454</v>
      </c>
      <c r="B1784" s="467" t="s">
        <v>2455</v>
      </c>
      <c r="C1784" s="468"/>
      <c r="D1784" s="467"/>
      <c r="E1784" s="469">
        <v>2822.5360700000001</v>
      </c>
      <c r="F1784" s="469">
        <v>2822.5360700000001</v>
      </c>
      <c r="G1784" s="469">
        <v>1410</v>
      </c>
      <c r="H1784" s="469">
        <v>944.26673000000005</v>
      </c>
      <c r="I1784" s="470">
        <v>33.450000000000003</v>
      </c>
      <c r="J1784" s="470"/>
    </row>
    <row r="1785" spans="1:10" ht="51" outlineLevel="2">
      <c r="A1785" s="471" t="s">
        <v>2454</v>
      </c>
      <c r="B1785" s="472" t="s">
        <v>2455</v>
      </c>
      <c r="C1785" s="473"/>
      <c r="D1785" s="472"/>
      <c r="E1785" s="474">
        <v>2822.5360700000001</v>
      </c>
      <c r="F1785" s="474">
        <v>2822.5360700000001</v>
      </c>
      <c r="G1785" s="474">
        <v>1410</v>
      </c>
      <c r="H1785" s="474">
        <v>944.26673000000005</v>
      </c>
      <c r="I1785" s="475">
        <v>33.450000000000003</v>
      </c>
      <c r="J1785" s="475"/>
    </row>
    <row r="1786" spans="1:10" ht="25.5" outlineLevel="3">
      <c r="A1786" s="476" t="s">
        <v>873</v>
      </c>
      <c r="B1786" s="477" t="s">
        <v>2456</v>
      </c>
      <c r="C1786" s="478"/>
      <c r="D1786" s="477"/>
      <c r="E1786" s="479">
        <v>2562.5360700000001</v>
      </c>
      <c r="F1786" s="479">
        <v>2562.5360700000001</v>
      </c>
      <c r="G1786" s="479">
        <v>1380</v>
      </c>
      <c r="H1786" s="479">
        <v>944.26673000000005</v>
      </c>
      <c r="I1786" s="480">
        <v>36.85</v>
      </c>
      <c r="J1786" s="480"/>
    </row>
    <row r="1787" spans="1:10" ht="25.5" outlineLevel="4">
      <c r="A1787" s="481" t="s">
        <v>873</v>
      </c>
      <c r="B1787" s="482" t="s">
        <v>2456</v>
      </c>
      <c r="C1787" s="483" t="s">
        <v>2260</v>
      </c>
      <c r="D1787" s="482" t="s">
        <v>2261</v>
      </c>
      <c r="E1787" s="484">
        <v>2562.5360700000001</v>
      </c>
      <c r="F1787" s="484">
        <v>2562.5360700000001</v>
      </c>
      <c r="G1787" s="484">
        <v>1380</v>
      </c>
      <c r="H1787" s="484">
        <v>944.26673000000005</v>
      </c>
      <c r="I1787" s="480">
        <v>36.85</v>
      </c>
      <c r="J1787" s="480"/>
    </row>
    <row r="1788" spans="1:10" ht="38.25" outlineLevel="3">
      <c r="A1788" s="476" t="s">
        <v>854</v>
      </c>
      <c r="B1788" s="477" t="s">
        <v>2457</v>
      </c>
      <c r="C1788" s="478"/>
      <c r="D1788" s="477"/>
      <c r="E1788" s="479">
        <v>230</v>
      </c>
      <c r="F1788" s="479">
        <v>230</v>
      </c>
      <c r="G1788" s="479">
        <v>30</v>
      </c>
      <c r="H1788" s="479">
        <v>0</v>
      </c>
      <c r="I1788" s="480">
        <v>0</v>
      </c>
      <c r="J1788" s="480"/>
    </row>
    <row r="1789" spans="1:10" ht="38.25" outlineLevel="4">
      <c r="A1789" s="481" t="s">
        <v>854</v>
      </c>
      <c r="B1789" s="482" t="s">
        <v>2457</v>
      </c>
      <c r="C1789" s="483" t="s">
        <v>2260</v>
      </c>
      <c r="D1789" s="482" t="s">
        <v>2261</v>
      </c>
      <c r="E1789" s="484">
        <v>230</v>
      </c>
      <c r="F1789" s="484">
        <v>230</v>
      </c>
      <c r="G1789" s="484">
        <v>30</v>
      </c>
      <c r="H1789" s="484">
        <v>0</v>
      </c>
      <c r="I1789" s="480">
        <v>0</v>
      </c>
      <c r="J1789" s="480"/>
    </row>
    <row r="1790" spans="1:10" ht="63.75" outlineLevel="3">
      <c r="A1790" s="476" t="s">
        <v>62</v>
      </c>
      <c r="B1790" s="477" t="s">
        <v>2458</v>
      </c>
      <c r="C1790" s="478"/>
      <c r="D1790" s="477"/>
      <c r="E1790" s="479">
        <v>30</v>
      </c>
      <c r="F1790" s="479">
        <v>30</v>
      </c>
      <c r="G1790" s="479">
        <v>0</v>
      </c>
      <c r="H1790" s="479">
        <v>0</v>
      </c>
      <c r="I1790" s="480">
        <v>0</v>
      </c>
      <c r="J1790" s="480"/>
    </row>
    <row r="1791" spans="1:10" ht="63.75" outlineLevel="4">
      <c r="A1791" s="481" t="s">
        <v>62</v>
      </c>
      <c r="B1791" s="482" t="s">
        <v>2458</v>
      </c>
      <c r="C1791" s="483" t="s">
        <v>2260</v>
      </c>
      <c r="D1791" s="482" t="s">
        <v>2261</v>
      </c>
      <c r="E1791" s="484">
        <v>30</v>
      </c>
      <c r="F1791" s="484">
        <v>30</v>
      </c>
      <c r="G1791" s="484">
        <v>0</v>
      </c>
      <c r="H1791" s="484">
        <v>0</v>
      </c>
      <c r="I1791" s="480">
        <v>0</v>
      </c>
      <c r="J1791" s="480"/>
    </row>
    <row r="1792" spans="1:10" ht="38.25" outlineLevel="1">
      <c r="A1792" s="466" t="s">
        <v>2459</v>
      </c>
      <c r="B1792" s="467" t="s">
        <v>2460</v>
      </c>
      <c r="C1792" s="468"/>
      <c r="D1792" s="467"/>
      <c r="E1792" s="469">
        <v>44952.243750000001</v>
      </c>
      <c r="F1792" s="469">
        <v>44952.243750000001</v>
      </c>
      <c r="G1792" s="469">
        <v>26181.762470000001</v>
      </c>
      <c r="H1792" s="469">
        <v>24553.83511</v>
      </c>
      <c r="I1792" s="470">
        <v>54.62</v>
      </c>
      <c r="J1792" s="470"/>
    </row>
    <row r="1793" spans="1:10" ht="38.25" outlineLevel="2">
      <c r="A1793" s="471" t="s">
        <v>2459</v>
      </c>
      <c r="B1793" s="472" t="s">
        <v>2460</v>
      </c>
      <c r="C1793" s="473"/>
      <c r="D1793" s="472"/>
      <c r="E1793" s="474">
        <v>44952.243750000001</v>
      </c>
      <c r="F1793" s="474">
        <v>44952.243750000001</v>
      </c>
      <c r="G1793" s="474">
        <v>26181.762470000001</v>
      </c>
      <c r="H1793" s="474">
        <v>24553.83511</v>
      </c>
      <c r="I1793" s="475">
        <v>54.62</v>
      </c>
      <c r="J1793" s="475"/>
    </row>
    <row r="1794" spans="1:10" ht="25.5" outlineLevel="3">
      <c r="A1794" s="476" t="s">
        <v>873</v>
      </c>
      <c r="B1794" s="477" t="s">
        <v>2461</v>
      </c>
      <c r="C1794" s="478"/>
      <c r="D1794" s="477"/>
      <c r="E1794" s="479">
        <v>41423.591350000002</v>
      </c>
      <c r="F1794" s="479">
        <v>41423.591350000002</v>
      </c>
      <c r="G1794" s="479">
        <v>25122.5</v>
      </c>
      <c r="H1794" s="479">
        <v>23652.042140000001</v>
      </c>
      <c r="I1794" s="480">
        <v>57.1</v>
      </c>
      <c r="J1794" s="480"/>
    </row>
    <row r="1795" spans="1:10" ht="25.5" outlineLevel="4">
      <c r="A1795" s="481" t="s">
        <v>873</v>
      </c>
      <c r="B1795" s="482" t="s">
        <v>2461</v>
      </c>
      <c r="C1795" s="483" t="s">
        <v>2462</v>
      </c>
      <c r="D1795" s="482" t="s">
        <v>2463</v>
      </c>
      <c r="E1795" s="484">
        <v>41423.591350000002</v>
      </c>
      <c r="F1795" s="484">
        <v>41423.591350000002</v>
      </c>
      <c r="G1795" s="484">
        <v>25122.5</v>
      </c>
      <c r="H1795" s="484">
        <v>23652.042140000001</v>
      </c>
      <c r="I1795" s="480">
        <v>57.1</v>
      </c>
      <c r="J1795" s="480"/>
    </row>
    <row r="1796" spans="1:10" ht="38.25" outlineLevel="3">
      <c r="A1796" s="476" t="s">
        <v>854</v>
      </c>
      <c r="B1796" s="477" t="s">
        <v>2464</v>
      </c>
      <c r="C1796" s="478"/>
      <c r="D1796" s="477"/>
      <c r="E1796" s="479">
        <v>2533.3524000000002</v>
      </c>
      <c r="F1796" s="479">
        <v>2533.3524000000002</v>
      </c>
      <c r="G1796" s="479">
        <v>906.68447000000003</v>
      </c>
      <c r="H1796" s="479">
        <v>772.97046999999998</v>
      </c>
      <c r="I1796" s="480">
        <v>30.51</v>
      </c>
      <c r="J1796" s="480"/>
    </row>
    <row r="1797" spans="1:10" ht="38.25" outlineLevel="4">
      <c r="A1797" s="481" t="s">
        <v>854</v>
      </c>
      <c r="B1797" s="482" t="s">
        <v>2464</v>
      </c>
      <c r="C1797" s="483" t="s">
        <v>2462</v>
      </c>
      <c r="D1797" s="482" t="s">
        <v>2463</v>
      </c>
      <c r="E1797" s="484">
        <v>2533.3524000000002</v>
      </c>
      <c r="F1797" s="484">
        <v>2533.3524000000002</v>
      </c>
      <c r="G1797" s="484">
        <v>906.68447000000003</v>
      </c>
      <c r="H1797" s="484">
        <v>772.97046999999998</v>
      </c>
      <c r="I1797" s="480">
        <v>30.51</v>
      </c>
      <c r="J1797" s="480"/>
    </row>
    <row r="1798" spans="1:10" ht="63.75" outlineLevel="3">
      <c r="A1798" s="476" t="s">
        <v>62</v>
      </c>
      <c r="B1798" s="477" t="s">
        <v>2465</v>
      </c>
      <c r="C1798" s="478"/>
      <c r="D1798" s="477"/>
      <c r="E1798" s="479">
        <v>620.29999999999995</v>
      </c>
      <c r="F1798" s="479">
        <v>620.29999999999995</v>
      </c>
      <c r="G1798" s="479">
        <v>61.002000000000002</v>
      </c>
      <c r="H1798" s="479">
        <v>37.246499999999997</v>
      </c>
      <c r="I1798" s="480">
        <v>6</v>
      </c>
      <c r="J1798" s="480"/>
    </row>
    <row r="1799" spans="1:10" ht="63.75" outlineLevel="4">
      <c r="A1799" s="481" t="s">
        <v>62</v>
      </c>
      <c r="B1799" s="482" t="s">
        <v>2465</v>
      </c>
      <c r="C1799" s="483" t="s">
        <v>2462</v>
      </c>
      <c r="D1799" s="482" t="s">
        <v>2463</v>
      </c>
      <c r="E1799" s="484">
        <v>620.29999999999995</v>
      </c>
      <c r="F1799" s="484">
        <v>620.29999999999995</v>
      </c>
      <c r="G1799" s="484">
        <v>61.002000000000002</v>
      </c>
      <c r="H1799" s="484">
        <v>37.246499999999997</v>
      </c>
      <c r="I1799" s="480">
        <v>6</v>
      </c>
      <c r="J1799" s="480"/>
    </row>
    <row r="1800" spans="1:10" ht="76.5" outlineLevel="3">
      <c r="A1800" s="476" t="s">
        <v>1027</v>
      </c>
      <c r="B1800" s="477" t="s">
        <v>2466</v>
      </c>
      <c r="C1800" s="478"/>
      <c r="D1800" s="477"/>
      <c r="E1800" s="479">
        <v>325</v>
      </c>
      <c r="F1800" s="479">
        <v>325</v>
      </c>
      <c r="G1800" s="479">
        <v>77.239999999999995</v>
      </c>
      <c r="H1800" s="479">
        <v>77.239999999999995</v>
      </c>
      <c r="I1800" s="480">
        <v>23.77</v>
      </c>
      <c r="J1800" s="480"/>
    </row>
    <row r="1801" spans="1:10" ht="76.5" outlineLevel="4">
      <c r="A1801" s="481" t="s">
        <v>1027</v>
      </c>
      <c r="B1801" s="482" t="s">
        <v>2466</v>
      </c>
      <c r="C1801" s="483" t="s">
        <v>2462</v>
      </c>
      <c r="D1801" s="482" t="s">
        <v>2463</v>
      </c>
      <c r="E1801" s="484">
        <v>325</v>
      </c>
      <c r="F1801" s="484">
        <v>325</v>
      </c>
      <c r="G1801" s="484">
        <v>77.239999999999995</v>
      </c>
      <c r="H1801" s="484">
        <v>77.239999999999995</v>
      </c>
      <c r="I1801" s="480">
        <v>23.77</v>
      </c>
      <c r="J1801" s="480"/>
    </row>
    <row r="1802" spans="1:10" ht="51" outlineLevel="3">
      <c r="A1802" s="476" t="s">
        <v>2151</v>
      </c>
      <c r="B1802" s="477" t="s">
        <v>2467</v>
      </c>
      <c r="C1802" s="478"/>
      <c r="D1802" s="477"/>
      <c r="E1802" s="479">
        <v>50</v>
      </c>
      <c r="F1802" s="479">
        <v>50</v>
      </c>
      <c r="G1802" s="479">
        <v>14.336</v>
      </c>
      <c r="H1802" s="479">
        <v>14.336</v>
      </c>
      <c r="I1802" s="480">
        <v>28.67</v>
      </c>
      <c r="J1802" s="480"/>
    </row>
    <row r="1803" spans="1:10" ht="51" outlineLevel="4">
      <c r="A1803" s="481" t="s">
        <v>2151</v>
      </c>
      <c r="B1803" s="482" t="s">
        <v>2467</v>
      </c>
      <c r="C1803" s="483" t="s">
        <v>2462</v>
      </c>
      <c r="D1803" s="482" t="s">
        <v>2463</v>
      </c>
      <c r="E1803" s="484">
        <v>50</v>
      </c>
      <c r="F1803" s="484">
        <v>50</v>
      </c>
      <c r="G1803" s="484">
        <v>14.336</v>
      </c>
      <c r="H1803" s="484">
        <v>14.336</v>
      </c>
      <c r="I1803" s="480">
        <v>28.67</v>
      </c>
      <c r="J1803" s="480"/>
    </row>
    <row r="1804" spans="1:10" outlineLevel="1">
      <c r="A1804" s="466" t="s">
        <v>2468</v>
      </c>
      <c r="B1804" s="467" t="s">
        <v>2469</v>
      </c>
      <c r="C1804" s="468"/>
      <c r="D1804" s="467"/>
      <c r="E1804" s="469">
        <v>5140651.0322099999</v>
      </c>
      <c r="F1804" s="469">
        <v>3380470.7813300001</v>
      </c>
      <c r="G1804" s="469">
        <v>1788375.9788200001</v>
      </c>
      <c r="H1804" s="469">
        <v>1750470.5180500001</v>
      </c>
      <c r="I1804" s="470">
        <v>34.049999999999997</v>
      </c>
      <c r="J1804" s="470"/>
    </row>
    <row r="1805" spans="1:10" outlineLevel="2">
      <c r="A1805" s="471" t="s">
        <v>2468</v>
      </c>
      <c r="B1805" s="472" t="s">
        <v>2469</v>
      </c>
      <c r="C1805" s="473"/>
      <c r="D1805" s="472"/>
      <c r="E1805" s="474">
        <v>1975291.6048999999</v>
      </c>
      <c r="F1805" s="474">
        <v>215111.35402</v>
      </c>
      <c r="G1805" s="474">
        <v>189995.04027</v>
      </c>
      <c r="H1805" s="474">
        <v>186246.89249</v>
      </c>
      <c r="I1805" s="475">
        <v>9.43</v>
      </c>
      <c r="J1805" s="475"/>
    </row>
    <row r="1806" spans="1:10" ht="89.25" outlineLevel="3">
      <c r="A1806" s="476" t="s">
        <v>2470</v>
      </c>
      <c r="B1806" s="477" t="s">
        <v>2471</v>
      </c>
      <c r="C1806" s="478"/>
      <c r="D1806" s="477"/>
      <c r="E1806" s="479">
        <v>74087.832209999993</v>
      </c>
      <c r="F1806" s="479">
        <v>70870.1584</v>
      </c>
      <c r="G1806" s="479">
        <v>70203.431989999997</v>
      </c>
      <c r="H1806" s="479">
        <v>68566.036869999996</v>
      </c>
      <c r="I1806" s="480">
        <v>92.55</v>
      </c>
      <c r="J1806" s="480"/>
    </row>
    <row r="1807" spans="1:10" ht="89.25" outlineLevel="4">
      <c r="A1807" s="481" t="s">
        <v>2470</v>
      </c>
      <c r="B1807" s="482" t="s">
        <v>2471</v>
      </c>
      <c r="C1807" s="483" t="s">
        <v>2260</v>
      </c>
      <c r="D1807" s="482" t="s">
        <v>2261</v>
      </c>
      <c r="E1807" s="484">
        <v>3017.5670399999999</v>
      </c>
      <c r="F1807" s="484">
        <v>3017.5670399999999</v>
      </c>
      <c r="G1807" s="484">
        <v>3017.5670399999999</v>
      </c>
      <c r="H1807" s="484">
        <v>3017.5670399999999</v>
      </c>
      <c r="I1807" s="480">
        <v>100</v>
      </c>
      <c r="J1807" s="480"/>
    </row>
    <row r="1808" spans="1:10" ht="89.25" outlineLevel="4">
      <c r="A1808" s="481" t="s">
        <v>2470</v>
      </c>
      <c r="B1808" s="482" t="s">
        <v>2471</v>
      </c>
      <c r="C1808" s="483" t="s">
        <v>1592</v>
      </c>
      <c r="D1808" s="482" t="s">
        <v>1593</v>
      </c>
      <c r="E1808" s="484">
        <v>1155.14365</v>
      </c>
      <c r="F1808" s="484">
        <v>1155.14365</v>
      </c>
      <c r="G1808" s="484">
        <v>1155.14365</v>
      </c>
      <c r="H1808" s="484">
        <v>1155.14365</v>
      </c>
      <c r="I1808" s="480">
        <v>100</v>
      </c>
      <c r="J1808" s="480"/>
    </row>
    <row r="1809" spans="1:10" ht="89.25" outlineLevel="4">
      <c r="A1809" s="481" t="s">
        <v>2470</v>
      </c>
      <c r="B1809" s="482" t="s">
        <v>2471</v>
      </c>
      <c r="C1809" s="483" t="s">
        <v>2450</v>
      </c>
      <c r="D1809" s="482" t="s">
        <v>2451</v>
      </c>
      <c r="E1809" s="484">
        <v>256.28165000000001</v>
      </c>
      <c r="F1809" s="484">
        <v>256.28165000000001</v>
      </c>
      <c r="G1809" s="484">
        <v>256.28165000000001</v>
      </c>
      <c r="H1809" s="484">
        <v>256.28165000000001</v>
      </c>
      <c r="I1809" s="480">
        <v>100</v>
      </c>
      <c r="J1809" s="480"/>
    </row>
    <row r="1810" spans="1:10" ht="89.25" outlineLevel="4">
      <c r="A1810" s="481" t="s">
        <v>2470</v>
      </c>
      <c r="B1810" s="482" t="s">
        <v>2471</v>
      </c>
      <c r="C1810" s="483" t="s">
        <v>1844</v>
      </c>
      <c r="D1810" s="482" t="s">
        <v>1845</v>
      </c>
      <c r="E1810" s="484">
        <v>2023.3126199999999</v>
      </c>
      <c r="F1810" s="484">
        <v>2023.3126199999999</v>
      </c>
      <c r="G1810" s="484">
        <v>2023.3126199999999</v>
      </c>
      <c r="H1810" s="484">
        <v>2023.3126199999999</v>
      </c>
      <c r="I1810" s="480">
        <v>100</v>
      </c>
      <c r="J1810" s="480"/>
    </row>
    <row r="1811" spans="1:10" ht="89.25" outlineLevel="4">
      <c r="A1811" s="481" t="s">
        <v>2470</v>
      </c>
      <c r="B1811" s="482" t="s">
        <v>2471</v>
      </c>
      <c r="C1811" s="483" t="s">
        <v>715</v>
      </c>
      <c r="D1811" s="482" t="s">
        <v>716</v>
      </c>
      <c r="E1811" s="484">
        <v>2404.10664</v>
      </c>
      <c r="F1811" s="484">
        <v>2404.10664</v>
      </c>
      <c r="G1811" s="484">
        <v>2404.10664</v>
      </c>
      <c r="H1811" s="484">
        <v>2404.10664</v>
      </c>
      <c r="I1811" s="480">
        <v>100</v>
      </c>
      <c r="J1811" s="480"/>
    </row>
    <row r="1812" spans="1:10" ht="89.25" outlineLevel="4">
      <c r="A1812" s="481" t="s">
        <v>2470</v>
      </c>
      <c r="B1812" s="482" t="s">
        <v>2471</v>
      </c>
      <c r="C1812" s="483" t="s">
        <v>2462</v>
      </c>
      <c r="D1812" s="482" t="s">
        <v>2463</v>
      </c>
      <c r="E1812" s="484">
        <v>87.922120000000007</v>
      </c>
      <c r="F1812" s="484">
        <v>87.922120000000007</v>
      </c>
      <c r="G1812" s="484">
        <v>87.922120000000007</v>
      </c>
      <c r="H1812" s="484">
        <v>87.922120000000007</v>
      </c>
      <c r="I1812" s="480">
        <v>100</v>
      </c>
      <c r="J1812" s="480"/>
    </row>
    <row r="1813" spans="1:10" ht="89.25" outlineLevel="4">
      <c r="A1813" s="481" t="s">
        <v>2470</v>
      </c>
      <c r="B1813" s="482" t="s">
        <v>2471</v>
      </c>
      <c r="C1813" s="483" t="s">
        <v>2324</v>
      </c>
      <c r="D1813" s="482" t="s">
        <v>2325</v>
      </c>
      <c r="E1813" s="484">
        <v>5698.01998</v>
      </c>
      <c r="F1813" s="484">
        <v>5698.01998</v>
      </c>
      <c r="G1813" s="484">
        <v>5698.01998</v>
      </c>
      <c r="H1813" s="484">
        <v>5698.01998</v>
      </c>
      <c r="I1813" s="480">
        <v>100</v>
      </c>
      <c r="J1813" s="480"/>
    </row>
    <row r="1814" spans="1:10" ht="89.25" outlineLevel="4">
      <c r="A1814" s="481" t="s">
        <v>2470</v>
      </c>
      <c r="B1814" s="482" t="s">
        <v>2471</v>
      </c>
      <c r="C1814" s="483" t="s">
        <v>704</v>
      </c>
      <c r="D1814" s="482" t="s">
        <v>705</v>
      </c>
      <c r="E1814" s="484">
        <v>1034.33251</v>
      </c>
      <c r="F1814" s="484">
        <v>1034.33251</v>
      </c>
      <c r="G1814" s="484">
        <v>1034.33251</v>
      </c>
      <c r="H1814" s="484">
        <v>1034.33251</v>
      </c>
      <c r="I1814" s="480">
        <v>100</v>
      </c>
      <c r="J1814" s="480"/>
    </row>
    <row r="1815" spans="1:10" ht="89.25" outlineLevel="4">
      <c r="A1815" s="481" t="s">
        <v>2470</v>
      </c>
      <c r="B1815" s="482" t="s">
        <v>2471</v>
      </c>
      <c r="C1815" s="483" t="s">
        <v>1984</v>
      </c>
      <c r="D1815" s="482" t="s">
        <v>1985</v>
      </c>
      <c r="E1815" s="484">
        <v>9218.1805999999997</v>
      </c>
      <c r="F1815" s="484">
        <v>9218.1805999999997</v>
      </c>
      <c r="G1815" s="484">
        <v>9218.1805999999997</v>
      </c>
      <c r="H1815" s="484">
        <v>9218.1805999999997</v>
      </c>
      <c r="I1815" s="480">
        <v>100</v>
      </c>
      <c r="J1815" s="480"/>
    </row>
    <row r="1816" spans="1:10" ht="89.25" outlineLevel="4">
      <c r="A1816" s="481" t="s">
        <v>2470</v>
      </c>
      <c r="B1816" s="482" t="s">
        <v>2471</v>
      </c>
      <c r="C1816" s="483" t="s">
        <v>1802</v>
      </c>
      <c r="D1816" s="482" t="s">
        <v>1803</v>
      </c>
      <c r="E1816" s="484">
        <v>12165.71933</v>
      </c>
      <c r="F1816" s="484">
        <v>12165.71933</v>
      </c>
      <c r="G1816" s="484">
        <v>11567.95658</v>
      </c>
      <c r="H1816" s="484">
        <v>11567.95558</v>
      </c>
      <c r="I1816" s="480">
        <v>95.09</v>
      </c>
      <c r="J1816" s="480"/>
    </row>
    <row r="1817" spans="1:10" ht="89.25" outlineLevel="4">
      <c r="A1817" s="481" t="s">
        <v>2470</v>
      </c>
      <c r="B1817" s="482" t="s">
        <v>2471</v>
      </c>
      <c r="C1817" s="483" t="s">
        <v>896</v>
      </c>
      <c r="D1817" s="482" t="s">
        <v>897</v>
      </c>
      <c r="E1817" s="484">
        <v>1659.79618</v>
      </c>
      <c r="F1817" s="484">
        <v>1659.79618</v>
      </c>
      <c r="G1817" s="484">
        <v>1659.79618</v>
      </c>
      <c r="H1817" s="484">
        <v>1652.6952799999999</v>
      </c>
      <c r="I1817" s="480">
        <v>99.57</v>
      </c>
      <c r="J1817" s="480"/>
    </row>
    <row r="1818" spans="1:10" ht="89.25" outlineLevel="4">
      <c r="A1818" s="481" t="s">
        <v>2470</v>
      </c>
      <c r="B1818" s="482" t="s">
        <v>2471</v>
      </c>
      <c r="C1818" s="483" t="s">
        <v>711</v>
      </c>
      <c r="D1818" s="482" t="s">
        <v>712</v>
      </c>
      <c r="E1818" s="484">
        <v>2037.2064</v>
      </c>
      <c r="F1818" s="484">
        <v>2037.2064</v>
      </c>
      <c r="G1818" s="484">
        <v>2037.2064</v>
      </c>
      <c r="H1818" s="484">
        <v>2037.2064</v>
      </c>
      <c r="I1818" s="480">
        <v>100</v>
      </c>
      <c r="J1818" s="480"/>
    </row>
    <row r="1819" spans="1:10" ht="89.25" outlineLevel="4">
      <c r="A1819" s="481" t="s">
        <v>2470</v>
      </c>
      <c r="B1819" s="482" t="s">
        <v>2471</v>
      </c>
      <c r="C1819" s="483" t="s">
        <v>1701</v>
      </c>
      <c r="D1819" s="482" t="s">
        <v>1702</v>
      </c>
      <c r="E1819" s="484">
        <v>7016.3970099999997</v>
      </c>
      <c r="F1819" s="484">
        <v>7016.3970099999997</v>
      </c>
      <c r="G1819" s="484">
        <v>7016.3970099999997</v>
      </c>
      <c r="H1819" s="484">
        <v>7016.3970099999997</v>
      </c>
      <c r="I1819" s="480">
        <v>100</v>
      </c>
      <c r="J1819" s="480"/>
    </row>
    <row r="1820" spans="1:10" ht="89.25" outlineLevel="4">
      <c r="A1820" s="481" t="s">
        <v>2470</v>
      </c>
      <c r="B1820" s="482" t="s">
        <v>2471</v>
      </c>
      <c r="C1820" s="483" t="s">
        <v>803</v>
      </c>
      <c r="D1820" s="482" t="s">
        <v>804</v>
      </c>
      <c r="E1820" s="484">
        <v>5576.2786299999998</v>
      </c>
      <c r="F1820" s="484">
        <v>5576.2786299999998</v>
      </c>
      <c r="G1820" s="484">
        <v>5576.2786299999998</v>
      </c>
      <c r="H1820" s="484">
        <v>4174.2048299999997</v>
      </c>
      <c r="I1820" s="480">
        <v>74.86</v>
      </c>
      <c r="J1820" s="480"/>
    </row>
    <row r="1821" spans="1:10" ht="89.25" outlineLevel="4">
      <c r="A1821" s="481" t="s">
        <v>2470</v>
      </c>
      <c r="B1821" s="482" t="s">
        <v>2471</v>
      </c>
      <c r="C1821" s="483" t="s">
        <v>1568</v>
      </c>
      <c r="D1821" s="482" t="s">
        <v>1569</v>
      </c>
      <c r="E1821" s="484">
        <v>67.528499999999994</v>
      </c>
      <c r="F1821" s="484">
        <v>67.528499999999994</v>
      </c>
      <c r="G1821" s="484">
        <v>67.528499999999994</v>
      </c>
      <c r="H1821" s="484">
        <v>67.528499999999994</v>
      </c>
      <c r="I1821" s="480">
        <v>100</v>
      </c>
      <c r="J1821" s="480"/>
    </row>
    <row r="1822" spans="1:10" ht="89.25" outlineLevel="4">
      <c r="A1822" s="481" t="s">
        <v>2470</v>
      </c>
      <c r="B1822" s="482" t="s">
        <v>2471</v>
      </c>
      <c r="C1822" s="483" t="s">
        <v>1043</v>
      </c>
      <c r="D1822" s="482" t="s">
        <v>1044</v>
      </c>
      <c r="E1822" s="484">
        <v>8413.8968800000002</v>
      </c>
      <c r="F1822" s="484">
        <v>8413.8968800000002</v>
      </c>
      <c r="G1822" s="484">
        <v>8344.9332200000008</v>
      </c>
      <c r="H1822" s="484">
        <v>8207.3449199999995</v>
      </c>
      <c r="I1822" s="480">
        <v>97.55</v>
      </c>
      <c r="J1822" s="480"/>
    </row>
    <row r="1823" spans="1:10" ht="89.25" outlineLevel="4">
      <c r="A1823" s="481" t="s">
        <v>2470</v>
      </c>
      <c r="B1823" s="482" t="s">
        <v>2471</v>
      </c>
      <c r="C1823" s="483" t="s">
        <v>2191</v>
      </c>
      <c r="D1823" s="482" t="s">
        <v>2192</v>
      </c>
      <c r="E1823" s="484">
        <v>5805.1267500000004</v>
      </c>
      <c r="F1823" s="484">
        <v>2587.4529400000001</v>
      </c>
      <c r="G1823" s="484">
        <v>2587.4529400000001</v>
      </c>
      <c r="H1823" s="484">
        <v>2587.4529400000001</v>
      </c>
      <c r="I1823" s="480">
        <v>44.57</v>
      </c>
      <c r="J1823" s="480"/>
    </row>
    <row r="1824" spans="1:10" ht="89.25" outlineLevel="4">
      <c r="A1824" s="481" t="s">
        <v>2470</v>
      </c>
      <c r="B1824" s="482" t="s">
        <v>2471</v>
      </c>
      <c r="C1824" s="483" t="s">
        <v>2008</v>
      </c>
      <c r="D1824" s="482" t="s">
        <v>2009</v>
      </c>
      <c r="E1824" s="484">
        <v>566.39606000000003</v>
      </c>
      <c r="F1824" s="484">
        <v>566.39606000000003</v>
      </c>
      <c r="G1824" s="484">
        <v>566.39606000000003</v>
      </c>
      <c r="H1824" s="484">
        <v>566.39606000000003</v>
      </c>
      <c r="I1824" s="480">
        <v>100</v>
      </c>
      <c r="J1824" s="480"/>
    </row>
    <row r="1825" spans="1:10" ht="89.25" outlineLevel="4">
      <c r="A1825" s="481" t="s">
        <v>2470</v>
      </c>
      <c r="B1825" s="482" t="s">
        <v>2471</v>
      </c>
      <c r="C1825" s="483" t="s">
        <v>1582</v>
      </c>
      <c r="D1825" s="482" t="s">
        <v>1583</v>
      </c>
      <c r="E1825" s="484">
        <v>281.02012999999999</v>
      </c>
      <c r="F1825" s="484">
        <v>281.02012999999999</v>
      </c>
      <c r="G1825" s="484">
        <v>281.02012999999999</v>
      </c>
      <c r="H1825" s="484">
        <v>281.02012999999999</v>
      </c>
      <c r="I1825" s="480">
        <v>100</v>
      </c>
      <c r="J1825" s="480"/>
    </row>
    <row r="1826" spans="1:10" ht="89.25" outlineLevel="4">
      <c r="A1826" s="481" t="s">
        <v>2470</v>
      </c>
      <c r="B1826" s="482" t="s">
        <v>2471</v>
      </c>
      <c r="C1826" s="483" t="s">
        <v>2124</v>
      </c>
      <c r="D1826" s="482" t="s">
        <v>2125</v>
      </c>
      <c r="E1826" s="484">
        <v>4308.1216199999999</v>
      </c>
      <c r="F1826" s="484">
        <v>4308.1216199999999</v>
      </c>
      <c r="G1826" s="484">
        <v>4308.1216199999999</v>
      </c>
      <c r="H1826" s="484">
        <v>4217.4904999999999</v>
      </c>
      <c r="I1826" s="480">
        <v>97.9</v>
      </c>
      <c r="J1826" s="480"/>
    </row>
    <row r="1827" spans="1:10" ht="89.25" outlineLevel="4">
      <c r="A1827" s="481" t="s">
        <v>2470</v>
      </c>
      <c r="B1827" s="482" t="s">
        <v>2471</v>
      </c>
      <c r="C1827" s="483" t="s">
        <v>2419</v>
      </c>
      <c r="D1827" s="482" t="s">
        <v>2420</v>
      </c>
      <c r="E1827" s="484">
        <v>1135.27108</v>
      </c>
      <c r="F1827" s="484">
        <v>1135.27108</v>
      </c>
      <c r="G1827" s="484">
        <v>1135.27108</v>
      </c>
      <c r="H1827" s="484">
        <v>1135.27108</v>
      </c>
      <c r="I1827" s="480">
        <v>100</v>
      </c>
      <c r="J1827" s="480"/>
    </row>
    <row r="1828" spans="1:10" ht="89.25" outlineLevel="4">
      <c r="A1828" s="481" t="s">
        <v>2470</v>
      </c>
      <c r="B1828" s="482" t="s">
        <v>2471</v>
      </c>
      <c r="C1828" s="483" t="s">
        <v>2430</v>
      </c>
      <c r="D1828" s="482" t="s">
        <v>2431</v>
      </c>
      <c r="E1828" s="484">
        <v>160.20683</v>
      </c>
      <c r="F1828" s="484">
        <v>160.20683</v>
      </c>
      <c r="G1828" s="484">
        <v>160.20683</v>
      </c>
      <c r="H1828" s="484">
        <v>160.20683</v>
      </c>
      <c r="I1828" s="480">
        <v>100</v>
      </c>
      <c r="J1828" s="480"/>
    </row>
    <row r="1829" spans="1:10" ht="25.5" outlineLevel="3">
      <c r="A1829" s="476" t="s">
        <v>2472</v>
      </c>
      <c r="B1829" s="477" t="s">
        <v>2473</v>
      </c>
      <c r="C1829" s="478"/>
      <c r="D1829" s="477"/>
      <c r="E1829" s="479">
        <v>1706140.97269</v>
      </c>
      <c r="F1829" s="479">
        <v>3698.63267</v>
      </c>
      <c r="G1829" s="479">
        <v>3698.63267</v>
      </c>
      <c r="H1829" s="479">
        <v>3698.63267</v>
      </c>
      <c r="I1829" s="480">
        <v>0.22</v>
      </c>
      <c r="J1829" s="480"/>
    </row>
    <row r="1830" spans="1:10" ht="25.5" outlineLevel="4">
      <c r="A1830" s="481" t="s">
        <v>2472</v>
      </c>
      <c r="B1830" s="482" t="s">
        <v>2473</v>
      </c>
      <c r="C1830" s="483" t="s">
        <v>704</v>
      </c>
      <c r="D1830" s="482" t="s">
        <v>705</v>
      </c>
      <c r="E1830" s="484">
        <v>3698.63267</v>
      </c>
      <c r="F1830" s="484">
        <v>3698.63267</v>
      </c>
      <c r="G1830" s="484">
        <v>3698.63267</v>
      </c>
      <c r="H1830" s="484">
        <v>3698.63267</v>
      </c>
      <c r="I1830" s="480">
        <v>100</v>
      </c>
      <c r="J1830" s="480"/>
    </row>
    <row r="1831" spans="1:10" ht="25.5" outlineLevel="4">
      <c r="A1831" s="481" t="s">
        <v>2472</v>
      </c>
      <c r="B1831" s="482" t="s">
        <v>2473</v>
      </c>
      <c r="C1831" s="483" t="s">
        <v>2191</v>
      </c>
      <c r="D1831" s="482" t="s">
        <v>2192</v>
      </c>
      <c r="E1831" s="484">
        <v>1702442.34002</v>
      </c>
      <c r="F1831" s="484">
        <v>0</v>
      </c>
      <c r="G1831" s="484">
        <v>0</v>
      </c>
      <c r="H1831" s="484">
        <v>0</v>
      </c>
      <c r="I1831" s="480">
        <v>0</v>
      </c>
      <c r="J1831" s="480"/>
    </row>
    <row r="1832" spans="1:10" outlineLevel="3">
      <c r="A1832" s="476" t="s">
        <v>2474</v>
      </c>
      <c r="B1832" s="477" t="s">
        <v>2475</v>
      </c>
      <c r="C1832" s="478"/>
      <c r="D1832" s="477"/>
      <c r="E1832" s="479">
        <v>147715</v>
      </c>
      <c r="F1832" s="479">
        <v>93194.762950000004</v>
      </c>
      <c r="G1832" s="479">
        <v>93194.762950000004</v>
      </c>
      <c r="H1832" s="479">
        <v>93194.762950000004</v>
      </c>
      <c r="I1832" s="480">
        <v>63.09</v>
      </c>
      <c r="J1832" s="480"/>
    </row>
    <row r="1833" spans="1:10" ht="25.5" outlineLevel="4">
      <c r="A1833" s="481" t="s">
        <v>2474</v>
      </c>
      <c r="B1833" s="482" t="s">
        <v>2475</v>
      </c>
      <c r="C1833" s="483" t="s">
        <v>1568</v>
      </c>
      <c r="D1833" s="482" t="s">
        <v>1569</v>
      </c>
      <c r="E1833" s="484">
        <v>25786.1</v>
      </c>
      <c r="F1833" s="484">
        <v>25786.1</v>
      </c>
      <c r="G1833" s="484">
        <v>25786.1</v>
      </c>
      <c r="H1833" s="484">
        <v>25786.1</v>
      </c>
      <c r="I1833" s="480">
        <v>100</v>
      </c>
      <c r="J1833" s="480"/>
    </row>
    <row r="1834" spans="1:10" ht="25.5" outlineLevel="4">
      <c r="A1834" s="481" t="s">
        <v>2474</v>
      </c>
      <c r="B1834" s="482" t="s">
        <v>2475</v>
      </c>
      <c r="C1834" s="483" t="s">
        <v>2191</v>
      </c>
      <c r="D1834" s="482" t="s">
        <v>2192</v>
      </c>
      <c r="E1834" s="484">
        <v>121928.9</v>
      </c>
      <c r="F1834" s="484">
        <v>67408.662949999998</v>
      </c>
      <c r="G1834" s="484">
        <v>67408.662949999998</v>
      </c>
      <c r="H1834" s="484">
        <v>67408.662949999998</v>
      </c>
      <c r="I1834" s="480">
        <v>55.29</v>
      </c>
      <c r="J1834" s="480"/>
    </row>
    <row r="1835" spans="1:10" ht="38.25" outlineLevel="3">
      <c r="A1835" s="476" t="s">
        <v>2476</v>
      </c>
      <c r="B1835" s="477" t="s">
        <v>2477</v>
      </c>
      <c r="C1835" s="478"/>
      <c r="D1835" s="477"/>
      <c r="E1835" s="479">
        <v>19147.8</v>
      </c>
      <c r="F1835" s="479">
        <v>19147.8</v>
      </c>
      <c r="G1835" s="479">
        <v>10003.10361</v>
      </c>
      <c r="H1835" s="479">
        <v>7892.35095</v>
      </c>
      <c r="I1835" s="480">
        <v>41.22</v>
      </c>
      <c r="J1835" s="480"/>
    </row>
    <row r="1836" spans="1:10" ht="38.25" outlineLevel="4">
      <c r="A1836" s="481" t="s">
        <v>2476</v>
      </c>
      <c r="B1836" s="482" t="s">
        <v>2477</v>
      </c>
      <c r="C1836" s="483" t="s">
        <v>715</v>
      </c>
      <c r="D1836" s="482" t="s">
        <v>716</v>
      </c>
      <c r="E1836" s="484">
        <v>19147.8</v>
      </c>
      <c r="F1836" s="484">
        <v>19147.8</v>
      </c>
      <c r="G1836" s="484">
        <v>10003.10361</v>
      </c>
      <c r="H1836" s="484">
        <v>7892.35095</v>
      </c>
      <c r="I1836" s="480">
        <v>41.22</v>
      </c>
      <c r="J1836" s="485" t="s">
        <v>10</v>
      </c>
    </row>
    <row r="1837" spans="1:10" ht="38.25" outlineLevel="3">
      <c r="A1837" s="476" t="s">
        <v>2478</v>
      </c>
      <c r="B1837" s="477" t="s">
        <v>2479</v>
      </c>
      <c r="C1837" s="478"/>
      <c r="D1837" s="477"/>
      <c r="E1837" s="479">
        <v>14350</v>
      </c>
      <c r="F1837" s="479">
        <v>14350</v>
      </c>
      <c r="G1837" s="479">
        <v>8454.4786999999997</v>
      </c>
      <c r="H1837" s="479">
        <v>8454.4786999999997</v>
      </c>
      <c r="I1837" s="480">
        <v>58.92</v>
      </c>
      <c r="J1837" s="480"/>
    </row>
    <row r="1838" spans="1:10" ht="38.25" outlineLevel="4">
      <c r="A1838" s="481" t="s">
        <v>2478</v>
      </c>
      <c r="B1838" s="482" t="s">
        <v>2479</v>
      </c>
      <c r="C1838" s="483" t="s">
        <v>2260</v>
      </c>
      <c r="D1838" s="482" t="s">
        <v>2261</v>
      </c>
      <c r="E1838" s="484">
        <v>14350</v>
      </c>
      <c r="F1838" s="484">
        <v>14350</v>
      </c>
      <c r="G1838" s="484">
        <v>8454.4786999999997</v>
      </c>
      <c r="H1838" s="484">
        <v>8454.4786999999997</v>
      </c>
      <c r="I1838" s="480">
        <v>58.92</v>
      </c>
      <c r="J1838" s="485" t="s">
        <v>10</v>
      </c>
    </row>
    <row r="1839" spans="1:10" ht="38.25" outlineLevel="3">
      <c r="A1839" s="476" t="s">
        <v>2480</v>
      </c>
      <c r="B1839" s="477" t="s">
        <v>2481</v>
      </c>
      <c r="C1839" s="478"/>
      <c r="D1839" s="477"/>
      <c r="E1839" s="479">
        <v>13850</v>
      </c>
      <c r="F1839" s="479">
        <v>13850</v>
      </c>
      <c r="G1839" s="479">
        <v>4440.6303500000004</v>
      </c>
      <c r="H1839" s="479">
        <v>4440.6303500000004</v>
      </c>
      <c r="I1839" s="480">
        <v>32.06</v>
      </c>
      <c r="J1839" s="480"/>
    </row>
    <row r="1840" spans="1:10" ht="38.25" outlineLevel="4">
      <c r="A1840" s="481" t="s">
        <v>2480</v>
      </c>
      <c r="B1840" s="482" t="s">
        <v>2481</v>
      </c>
      <c r="C1840" s="483" t="s">
        <v>2260</v>
      </c>
      <c r="D1840" s="482" t="s">
        <v>2261</v>
      </c>
      <c r="E1840" s="484">
        <v>13850</v>
      </c>
      <c r="F1840" s="484">
        <v>13850</v>
      </c>
      <c r="G1840" s="484">
        <v>4440.6303500000004</v>
      </c>
      <c r="H1840" s="484">
        <v>4440.6303500000004</v>
      </c>
      <c r="I1840" s="480">
        <v>32.06</v>
      </c>
      <c r="J1840" s="485" t="s">
        <v>10</v>
      </c>
    </row>
    <row r="1841" spans="1:10" ht="63.75" outlineLevel="2">
      <c r="A1841" s="471" t="s">
        <v>2482</v>
      </c>
      <c r="B1841" s="472" t="s">
        <v>2483</v>
      </c>
      <c r="C1841" s="473"/>
      <c r="D1841" s="472"/>
      <c r="E1841" s="474">
        <v>114331.42326</v>
      </c>
      <c r="F1841" s="474">
        <v>114331.42326</v>
      </c>
      <c r="G1841" s="474">
        <v>44483.32344</v>
      </c>
      <c r="H1841" s="474">
        <v>42028.772400000002</v>
      </c>
      <c r="I1841" s="475">
        <v>36.76</v>
      </c>
      <c r="J1841" s="475"/>
    </row>
    <row r="1842" spans="1:10" ht="25.5" outlineLevel="3">
      <c r="A1842" s="476" t="s">
        <v>2472</v>
      </c>
      <c r="B1842" s="477" t="s">
        <v>2484</v>
      </c>
      <c r="C1842" s="478"/>
      <c r="D1842" s="477"/>
      <c r="E1842" s="479">
        <v>68338.223259999999</v>
      </c>
      <c r="F1842" s="479">
        <v>68338.223259999999</v>
      </c>
      <c r="G1842" s="479">
        <v>16440.983039999999</v>
      </c>
      <c r="H1842" s="479">
        <v>14192.432000000001</v>
      </c>
      <c r="I1842" s="480">
        <v>20.77</v>
      </c>
      <c r="J1842" s="480"/>
    </row>
    <row r="1843" spans="1:10" ht="25.5" outlineLevel="4">
      <c r="A1843" s="481" t="s">
        <v>2472</v>
      </c>
      <c r="B1843" s="482" t="s">
        <v>2484</v>
      </c>
      <c r="C1843" s="483" t="s">
        <v>2450</v>
      </c>
      <c r="D1843" s="482" t="s">
        <v>2451</v>
      </c>
      <c r="E1843" s="484">
        <v>17113.18304</v>
      </c>
      <c r="F1843" s="484">
        <v>17113.18304</v>
      </c>
      <c r="G1843" s="484">
        <v>16193.18304</v>
      </c>
      <c r="H1843" s="484">
        <v>13944.632</v>
      </c>
      <c r="I1843" s="480">
        <v>81.48</v>
      </c>
      <c r="J1843" s="480"/>
    </row>
    <row r="1844" spans="1:10" ht="25.5" outlineLevel="4">
      <c r="A1844" s="481" t="s">
        <v>2472</v>
      </c>
      <c r="B1844" s="482" t="s">
        <v>2484</v>
      </c>
      <c r="C1844" s="483" t="s">
        <v>2324</v>
      </c>
      <c r="D1844" s="482" t="s">
        <v>2325</v>
      </c>
      <c r="E1844" s="484">
        <v>5231.7912200000001</v>
      </c>
      <c r="F1844" s="484">
        <v>5231.7912200000001</v>
      </c>
      <c r="G1844" s="484">
        <v>247.8</v>
      </c>
      <c r="H1844" s="484">
        <v>247.8</v>
      </c>
      <c r="I1844" s="480">
        <v>4.74</v>
      </c>
      <c r="J1844" s="480"/>
    </row>
    <row r="1845" spans="1:10" ht="38.25" outlineLevel="4">
      <c r="A1845" s="481" t="s">
        <v>2472</v>
      </c>
      <c r="B1845" s="482" t="s">
        <v>2484</v>
      </c>
      <c r="C1845" s="483" t="s">
        <v>1802</v>
      </c>
      <c r="D1845" s="482" t="s">
        <v>1803</v>
      </c>
      <c r="E1845" s="484">
        <v>45993.249000000003</v>
      </c>
      <c r="F1845" s="484">
        <v>45993.249000000003</v>
      </c>
      <c r="G1845" s="484">
        <v>0</v>
      </c>
      <c r="H1845" s="484">
        <v>0</v>
      </c>
      <c r="I1845" s="480">
        <v>0</v>
      </c>
      <c r="J1845" s="480"/>
    </row>
    <row r="1846" spans="1:10" ht="89.25" outlineLevel="3">
      <c r="A1846" s="476" t="s">
        <v>2485</v>
      </c>
      <c r="B1846" s="477" t="s">
        <v>2486</v>
      </c>
      <c r="C1846" s="478"/>
      <c r="D1846" s="477"/>
      <c r="E1846" s="479">
        <v>45993.2</v>
      </c>
      <c r="F1846" s="479">
        <v>45993.2</v>
      </c>
      <c r="G1846" s="479">
        <v>28042.340400000001</v>
      </c>
      <c r="H1846" s="479">
        <v>27836.340400000001</v>
      </c>
      <c r="I1846" s="480">
        <v>60.52</v>
      </c>
      <c r="J1846" s="480"/>
    </row>
    <row r="1847" spans="1:10" ht="89.25" outlineLevel="4">
      <c r="A1847" s="481" t="s">
        <v>2485</v>
      </c>
      <c r="B1847" s="482" t="s">
        <v>2486</v>
      </c>
      <c r="C1847" s="483" t="s">
        <v>1802</v>
      </c>
      <c r="D1847" s="482" t="s">
        <v>1803</v>
      </c>
      <c r="E1847" s="484">
        <v>45993.2</v>
      </c>
      <c r="F1847" s="484">
        <v>45993.2</v>
      </c>
      <c r="G1847" s="484">
        <v>28042.340400000001</v>
      </c>
      <c r="H1847" s="484">
        <v>27836.340400000001</v>
      </c>
      <c r="I1847" s="480">
        <v>60.52</v>
      </c>
      <c r="J1847" s="485" t="s">
        <v>10</v>
      </c>
    </row>
    <row r="1848" spans="1:10" ht="76.5" outlineLevel="2">
      <c r="A1848" s="471" t="s">
        <v>2487</v>
      </c>
      <c r="B1848" s="472" t="s">
        <v>2488</v>
      </c>
      <c r="C1848" s="473"/>
      <c r="D1848" s="472"/>
      <c r="E1848" s="474">
        <v>3051028.0040500001</v>
      </c>
      <c r="F1848" s="474">
        <v>3051028.0040500001</v>
      </c>
      <c r="G1848" s="474">
        <v>1553897.6151099999</v>
      </c>
      <c r="H1848" s="474">
        <v>1522194.8531599999</v>
      </c>
      <c r="I1848" s="475">
        <v>49.89</v>
      </c>
      <c r="J1848" s="475"/>
    </row>
    <row r="1849" spans="1:10" ht="63.75" outlineLevel="3">
      <c r="A1849" s="476" t="s">
        <v>2489</v>
      </c>
      <c r="B1849" s="477" t="s">
        <v>2490</v>
      </c>
      <c r="C1849" s="478"/>
      <c r="D1849" s="477"/>
      <c r="E1849" s="479">
        <v>286672</v>
      </c>
      <c r="F1849" s="479">
        <v>286672</v>
      </c>
      <c r="G1849" s="479">
        <v>171844.49056000001</v>
      </c>
      <c r="H1849" s="479">
        <v>171742.09487</v>
      </c>
      <c r="I1849" s="480">
        <v>59.91</v>
      </c>
      <c r="J1849" s="480"/>
    </row>
    <row r="1850" spans="1:10" ht="63.75" outlineLevel="4">
      <c r="A1850" s="481" t="s">
        <v>2489</v>
      </c>
      <c r="B1850" s="482" t="s">
        <v>2490</v>
      </c>
      <c r="C1850" s="483" t="s">
        <v>704</v>
      </c>
      <c r="D1850" s="482" t="s">
        <v>705</v>
      </c>
      <c r="E1850" s="484">
        <v>272089.59999999998</v>
      </c>
      <c r="F1850" s="484">
        <v>272089.59999999998</v>
      </c>
      <c r="G1850" s="484">
        <v>160126.49056000001</v>
      </c>
      <c r="H1850" s="484">
        <v>160107.05707000001</v>
      </c>
      <c r="I1850" s="480">
        <v>58.84</v>
      </c>
      <c r="J1850" s="480"/>
    </row>
    <row r="1851" spans="1:10" ht="63.75" outlineLevel="4">
      <c r="A1851" s="481" t="s">
        <v>2489</v>
      </c>
      <c r="B1851" s="482" t="s">
        <v>2490</v>
      </c>
      <c r="C1851" s="483" t="s">
        <v>1043</v>
      </c>
      <c r="D1851" s="482" t="s">
        <v>1044</v>
      </c>
      <c r="E1851" s="484">
        <v>14582.4</v>
      </c>
      <c r="F1851" s="484">
        <v>14582.4</v>
      </c>
      <c r="G1851" s="484">
        <v>11718</v>
      </c>
      <c r="H1851" s="484">
        <v>11635.0378</v>
      </c>
      <c r="I1851" s="480">
        <v>79.790000000000006</v>
      </c>
      <c r="J1851" s="480"/>
    </row>
    <row r="1852" spans="1:10" ht="63.75" outlineLevel="3">
      <c r="A1852" s="476" t="s">
        <v>2491</v>
      </c>
      <c r="B1852" s="477" t="s">
        <v>2492</v>
      </c>
      <c r="C1852" s="478"/>
      <c r="D1852" s="477"/>
      <c r="E1852" s="479">
        <v>42847.591999999997</v>
      </c>
      <c r="F1852" s="479">
        <v>42847.591999999997</v>
      </c>
      <c r="G1852" s="479">
        <v>42846.591999999997</v>
      </c>
      <c r="H1852" s="479">
        <v>42751.027999999998</v>
      </c>
      <c r="I1852" s="480">
        <v>99.77</v>
      </c>
      <c r="J1852" s="480"/>
    </row>
    <row r="1853" spans="1:10" ht="63.75" outlineLevel="4">
      <c r="A1853" s="481" t="s">
        <v>2491</v>
      </c>
      <c r="B1853" s="482" t="s">
        <v>2492</v>
      </c>
      <c r="C1853" s="483" t="s">
        <v>1043</v>
      </c>
      <c r="D1853" s="482" t="s">
        <v>1044</v>
      </c>
      <c r="E1853" s="484">
        <v>42847.591999999997</v>
      </c>
      <c r="F1853" s="484">
        <v>42847.591999999997</v>
      </c>
      <c r="G1853" s="484">
        <v>42846.591999999997</v>
      </c>
      <c r="H1853" s="484">
        <v>42751.027999999998</v>
      </c>
      <c r="I1853" s="480">
        <v>99.77</v>
      </c>
      <c r="J1853" s="480"/>
    </row>
    <row r="1854" spans="1:10" ht="76.5" outlineLevel="3">
      <c r="A1854" s="476" t="s">
        <v>2493</v>
      </c>
      <c r="B1854" s="477" t="s">
        <v>2494</v>
      </c>
      <c r="C1854" s="478"/>
      <c r="D1854" s="477"/>
      <c r="E1854" s="479">
        <v>119190.723</v>
      </c>
      <c r="F1854" s="479">
        <v>119190.723</v>
      </c>
      <c r="G1854" s="479">
        <v>96200.017500000002</v>
      </c>
      <c r="H1854" s="479">
        <v>94780.757299999997</v>
      </c>
      <c r="I1854" s="480">
        <v>79.52</v>
      </c>
      <c r="J1854" s="480"/>
    </row>
    <row r="1855" spans="1:10" ht="76.5" outlineLevel="4">
      <c r="A1855" s="481" t="s">
        <v>2493</v>
      </c>
      <c r="B1855" s="482" t="s">
        <v>2494</v>
      </c>
      <c r="C1855" s="483" t="s">
        <v>704</v>
      </c>
      <c r="D1855" s="482" t="s">
        <v>705</v>
      </c>
      <c r="E1855" s="484">
        <v>31952.838</v>
      </c>
      <c r="F1855" s="484">
        <v>31952.838</v>
      </c>
      <c r="G1855" s="484">
        <v>22801.717499999999</v>
      </c>
      <c r="H1855" s="484">
        <v>22522.457299999998</v>
      </c>
      <c r="I1855" s="480">
        <v>70.489999999999995</v>
      </c>
      <c r="J1855" s="480"/>
    </row>
    <row r="1856" spans="1:10" ht="76.5" outlineLevel="4">
      <c r="A1856" s="481" t="s">
        <v>2493</v>
      </c>
      <c r="B1856" s="482" t="s">
        <v>2494</v>
      </c>
      <c r="C1856" s="483" t="s">
        <v>1043</v>
      </c>
      <c r="D1856" s="482" t="s">
        <v>1044</v>
      </c>
      <c r="E1856" s="484">
        <v>84860.800000000003</v>
      </c>
      <c r="F1856" s="484">
        <v>84860.800000000003</v>
      </c>
      <c r="G1856" s="484">
        <v>71660.800000000003</v>
      </c>
      <c r="H1856" s="484">
        <v>70670.8</v>
      </c>
      <c r="I1856" s="480">
        <v>83.28</v>
      </c>
      <c r="J1856" s="480"/>
    </row>
    <row r="1857" spans="1:10" ht="76.5" outlineLevel="4">
      <c r="A1857" s="481" t="s">
        <v>2493</v>
      </c>
      <c r="B1857" s="482" t="s">
        <v>2494</v>
      </c>
      <c r="C1857" s="483" t="s">
        <v>2008</v>
      </c>
      <c r="D1857" s="482" t="s">
        <v>2009</v>
      </c>
      <c r="E1857" s="484">
        <v>2377.085</v>
      </c>
      <c r="F1857" s="484">
        <v>2377.085</v>
      </c>
      <c r="G1857" s="484">
        <v>1737.5</v>
      </c>
      <c r="H1857" s="484">
        <v>1587.5</v>
      </c>
      <c r="I1857" s="480">
        <v>66.78</v>
      </c>
      <c r="J1857" s="480"/>
    </row>
    <row r="1858" spans="1:10" ht="102" outlineLevel="3">
      <c r="A1858" s="476" t="s">
        <v>2495</v>
      </c>
      <c r="B1858" s="477" t="s">
        <v>2496</v>
      </c>
      <c r="C1858" s="478"/>
      <c r="D1858" s="477"/>
      <c r="E1858" s="479">
        <v>16242.95</v>
      </c>
      <c r="F1858" s="479">
        <v>16242.95</v>
      </c>
      <c r="G1858" s="479">
        <v>15935.31092</v>
      </c>
      <c r="H1858" s="479">
        <v>15700.58258</v>
      </c>
      <c r="I1858" s="480">
        <v>96.66</v>
      </c>
      <c r="J1858" s="480"/>
    </row>
    <row r="1859" spans="1:10" ht="102" outlineLevel="4">
      <c r="A1859" s="481" t="s">
        <v>2495</v>
      </c>
      <c r="B1859" s="482" t="s">
        <v>2496</v>
      </c>
      <c r="C1859" s="483" t="s">
        <v>704</v>
      </c>
      <c r="D1859" s="482" t="s">
        <v>705</v>
      </c>
      <c r="E1859" s="484">
        <v>16242.95</v>
      </c>
      <c r="F1859" s="484">
        <v>16242.95</v>
      </c>
      <c r="G1859" s="484">
        <v>15935.31092</v>
      </c>
      <c r="H1859" s="484">
        <v>15700.58258</v>
      </c>
      <c r="I1859" s="480">
        <v>96.66</v>
      </c>
      <c r="J1859" s="480"/>
    </row>
    <row r="1860" spans="1:10" ht="76.5" outlineLevel="3">
      <c r="A1860" s="476" t="s">
        <v>2497</v>
      </c>
      <c r="B1860" s="477" t="s">
        <v>2498</v>
      </c>
      <c r="C1860" s="478"/>
      <c r="D1860" s="477"/>
      <c r="E1860" s="479">
        <v>8152.473</v>
      </c>
      <c r="F1860" s="479">
        <v>8152.473</v>
      </c>
      <c r="G1860" s="479">
        <v>8152.473</v>
      </c>
      <c r="H1860" s="479">
        <v>8093.6923200000001</v>
      </c>
      <c r="I1860" s="480">
        <v>99.28</v>
      </c>
      <c r="J1860" s="480"/>
    </row>
    <row r="1861" spans="1:10" ht="76.5" outlineLevel="4">
      <c r="A1861" s="481" t="s">
        <v>2497</v>
      </c>
      <c r="B1861" s="482" t="s">
        <v>2498</v>
      </c>
      <c r="C1861" s="483" t="s">
        <v>704</v>
      </c>
      <c r="D1861" s="482" t="s">
        <v>705</v>
      </c>
      <c r="E1861" s="484">
        <v>8152.473</v>
      </c>
      <c r="F1861" s="484">
        <v>8152.473</v>
      </c>
      <c r="G1861" s="484">
        <v>8152.473</v>
      </c>
      <c r="H1861" s="484">
        <v>8093.6923200000001</v>
      </c>
      <c r="I1861" s="480">
        <v>99.28</v>
      </c>
      <c r="J1861" s="480"/>
    </row>
    <row r="1862" spans="1:10" ht="165.75" outlineLevel="3">
      <c r="A1862" s="476" t="s">
        <v>2499</v>
      </c>
      <c r="B1862" s="477" t="s">
        <v>2500</v>
      </c>
      <c r="C1862" s="478"/>
      <c r="D1862" s="477"/>
      <c r="E1862" s="479">
        <v>3497.9</v>
      </c>
      <c r="F1862" s="479">
        <v>3497.9</v>
      </c>
      <c r="G1862" s="479">
        <v>3497.9</v>
      </c>
      <c r="H1862" s="479">
        <v>2879.2227699999999</v>
      </c>
      <c r="I1862" s="480">
        <v>82.31</v>
      </c>
      <c r="J1862" s="480"/>
    </row>
    <row r="1863" spans="1:10" ht="165.75" outlineLevel="4">
      <c r="A1863" s="481" t="s">
        <v>2499</v>
      </c>
      <c r="B1863" s="482" t="s">
        <v>2500</v>
      </c>
      <c r="C1863" s="483" t="s">
        <v>1043</v>
      </c>
      <c r="D1863" s="482" t="s">
        <v>1044</v>
      </c>
      <c r="E1863" s="484">
        <v>3497.9</v>
      </c>
      <c r="F1863" s="484">
        <v>3497.9</v>
      </c>
      <c r="G1863" s="484">
        <v>3497.9</v>
      </c>
      <c r="H1863" s="484">
        <v>2879.2227699999999</v>
      </c>
      <c r="I1863" s="480">
        <v>82.31</v>
      </c>
      <c r="J1863" s="480"/>
    </row>
    <row r="1864" spans="1:10" ht="89.25" outlineLevel="3">
      <c r="A1864" s="476" t="s">
        <v>2501</v>
      </c>
      <c r="B1864" s="477" t="s">
        <v>2502</v>
      </c>
      <c r="C1864" s="478"/>
      <c r="D1864" s="477"/>
      <c r="E1864" s="479">
        <v>17011.37198</v>
      </c>
      <c r="F1864" s="479">
        <v>17011.37198</v>
      </c>
      <c r="G1864" s="479">
        <v>13298.725</v>
      </c>
      <c r="H1864" s="479">
        <v>13298.725</v>
      </c>
      <c r="I1864" s="480">
        <v>78.180000000000007</v>
      </c>
      <c r="J1864" s="480"/>
    </row>
    <row r="1865" spans="1:10" ht="89.25" outlineLevel="4">
      <c r="A1865" s="481" t="s">
        <v>2501</v>
      </c>
      <c r="B1865" s="482" t="s">
        <v>2502</v>
      </c>
      <c r="C1865" s="483" t="s">
        <v>711</v>
      </c>
      <c r="D1865" s="482" t="s">
        <v>712</v>
      </c>
      <c r="E1865" s="484">
        <v>17011.37198</v>
      </c>
      <c r="F1865" s="484">
        <v>17011.37198</v>
      </c>
      <c r="G1865" s="484">
        <v>13298.725</v>
      </c>
      <c r="H1865" s="484">
        <v>13298.725</v>
      </c>
      <c r="I1865" s="480">
        <v>78.180000000000007</v>
      </c>
      <c r="J1865" s="480"/>
    </row>
    <row r="1866" spans="1:10" ht="89.25" outlineLevel="3">
      <c r="A1866" s="476" t="s">
        <v>2503</v>
      </c>
      <c r="B1866" s="477" t="s">
        <v>2504</v>
      </c>
      <c r="C1866" s="478"/>
      <c r="D1866" s="477"/>
      <c r="E1866" s="479">
        <v>19668.07807</v>
      </c>
      <c r="F1866" s="479">
        <v>19668.07807</v>
      </c>
      <c r="G1866" s="479">
        <v>0</v>
      </c>
      <c r="H1866" s="479">
        <v>0</v>
      </c>
      <c r="I1866" s="480">
        <v>0</v>
      </c>
      <c r="J1866" s="480"/>
    </row>
    <row r="1867" spans="1:10" ht="89.25" outlineLevel="4">
      <c r="A1867" s="481" t="s">
        <v>2503</v>
      </c>
      <c r="B1867" s="482" t="s">
        <v>2504</v>
      </c>
      <c r="C1867" s="483" t="s">
        <v>711</v>
      </c>
      <c r="D1867" s="482" t="s">
        <v>712</v>
      </c>
      <c r="E1867" s="484">
        <v>19668.07807</v>
      </c>
      <c r="F1867" s="484">
        <v>19668.07807</v>
      </c>
      <c r="G1867" s="484">
        <v>0</v>
      </c>
      <c r="H1867" s="484">
        <v>0</v>
      </c>
      <c r="I1867" s="480">
        <v>0</v>
      </c>
      <c r="J1867" s="480"/>
    </row>
    <row r="1868" spans="1:10" ht="63.75" outlineLevel="3">
      <c r="A1868" s="476" t="s">
        <v>2505</v>
      </c>
      <c r="B1868" s="477" t="s">
        <v>2506</v>
      </c>
      <c r="C1868" s="478"/>
      <c r="D1868" s="477"/>
      <c r="E1868" s="479">
        <v>4020</v>
      </c>
      <c r="F1868" s="479">
        <v>4020</v>
      </c>
      <c r="G1868" s="479">
        <v>1862</v>
      </c>
      <c r="H1868" s="479">
        <v>1862</v>
      </c>
      <c r="I1868" s="480">
        <v>46.32</v>
      </c>
      <c r="J1868" s="480"/>
    </row>
    <row r="1869" spans="1:10" ht="63.75" outlineLevel="4">
      <c r="A1869" s="481" t="s">
        <v>2505</v>
      </c>
      <c r="B1869" s="482" t="s">
        <v>2506</v>
      </c>
      <c r="C1869" s="483" t="s">
        <v>704</v>
      </c>
      <c r="D1869" s="482" t="s">
        <v>705</v>
      </c>
      <c r="E1869" s="484">
        <v>4020</v>
      </c>
      <c r="F1869" s="484">
        <v>4020</v>
      </c>
      <c r="G1869" s="484">
        <v>1862</v>
      </c>
      <c r="H1869" s="484">
        <v>1862</v>
      </c>
      <c r="I1869" s="480">
        <v>46.32</v>
      </c>
      <c r="J1869" s="485" t="s">
        <v>10</v>
      </c>
    </row>
    <row r="1870" spans="1:10" ht="127.5" outlineLevel="3">
      <c r="A1870" s="476" t="s">
        <v>2507</v>
      </c>
      <c r="B1870" s="477" t="s">
        <v>2508</v>
      </c>
      <c r="C1870" s="478"/>
      <c r="D1870" s="477"/>
      <c r="E1870" s="479">
        <v>147484.79999999999</v>
      </c>
      <c r="F1870" s="479">
        <v>147484.79999999999</v>
      </c>
      <c r="G1870" s="479">
        <v>53646.438190000001</v>
      </c>
      <c r="H1870" s="479">
        <v>53609.491529999999</v>
      </c>
      <c r="I1870" s="480">
        <v>36.35</v>
      </c>
      <c r="J1870" s="480"/>
    </row>
    <row r="1871" spans="1:10" ht="127.5" outlineLevel="4">
      <c r="A1871" s="481" t="s">
        <v>2507</v>
      </c>
      <c r="B1871" s="482" t="s">
        <v>2508</v>
      </c>
      <c r="C1871" s="483" t="s">
        <v>704</v>
      </c>
      <c r="D1871" s="482" t="s">
        <v>705</v>
      </c>
      <c r="E1871" s="484">
        <v>147484.79999999999</v>
      </c>
      <c r="F1871" s="484">
        <v>147484.79999999999</v>
      </c>
      <c r="G1871" s="484">
        <v>53646.438190000001</v>
      </c>
      <c r="H1871" s="484">
        <v>53609.491529999999</v>
      </c>
      <c r="I1871" s="480">
        <v>36.35</v>
      </c>
      <c r="J1871" s="485" t="s">
        <v>10</v>
      </c>
    </row>
    <row r="1872" spans="1:10" ht="127.5" outlineLevel="3">
      <c r="A1872" s="476" t="s">
        <v>2509</v>
      </c>
      <c r="B1872" s="477" t="s">
        <v>2510</v>
      </c>
      <c r="C1872" s="478"/>
      <c r="D1872" s="477"/>
      <c r="E1872" s="479">
        <v>296800</v>
      </c>
      <c r="F1872" s="479">
        <v>296800</v>
      </c>
      <c r="G1872" s="479">
        <v>196202.492</v>
      </c>
      <c r="H1872" s="479">
        <v>196183.94450000001</v>
      </c>
      <c r="I1872" s="480">
        <v>66.099999999999994</v>
      </c>
      <c r="J1872" s="480"/>
    </row>
    <row r="1873" spans="1:10" ht="127.5" outlineLevel="4">
      <c r="A1873" s="481" t="s">
        <v>2509</v>
      </c>
      <c r="B1873" s="482" t="s">
        <v>2510</v>
      </c>
      <c r="C1873" s="483" t="s">
        <v>704</v>
      </c>
      <c r="D1873" s="482" t="s">
        <v>705</v>
      </c>
      <c r="E1873" s="484">
        <v>296800</v>
      </c>
      <c r="F1873" s="484">
        <v>296800</v>
      </c>
      <c r="G1873" s="484">
        <v>196202.492</v>
      </c>
      <c r="H1873" s="484">
        <v>196183.94450000001</v>
      </c>
      <c r="I1873" s="480">
        <v>66.099999999999994</v>
      </c>
      <c r="J1873" s="485" t="s">
        <v>10</v>
      </c>
    </row>
    <row r="1874" spans="1:10" ht="102" outlineLevel="3">
      <c r="A1874" s="476" t="s">
        <v>2511</v>
      </c>
      <c r="B1874" s="477" t="s">
        <v>2512</v>
      </c>
      <c r="C1874" s="478"/>
      <c r="D1874" s="477"/>
      <c r="E1874" s="479">
        <v>324211</v>
      </c>
      <c r="F1874" s="479">
        <v>324211</v>
      </c>
      <c r="G1874" s="479">
        <v>164017.86094000001</v>
      </c>
      <c r="H1874" s="479">
        <v>163188.44029</v>
      </c>
      <c r="I1874" s="480">
        <v>50.33</v>
      </c>
      <c r="J1874" s="480"/>
    </row>
    <row r="1875" spans="1:10" ht="102" outlineLevel="4">
      <c r="A1875" s="481" t="s">
        <v>2511</v>
      </c>
      <c r="B1875" s="482" t="s">
        <v>2512</v>
      </c>
      <c r="C1875" s="483" t="s">
        <v>704</v>
      </c>
      <c r="D1875" s="482" t="s">
        <v>705</v>
      </c>
      <c r="E1875" s="484">
        <v>324211</v>
      </c>
      <c r="F1875" s="484">
        <v>324211</v>
      </c>
      <c r="G1875" s="484">
        <v>164017.86094000001</v>
      </c>
      <c r="H1875" s="484">
        <v>163188.44029</v>
      </c>
      <c r="I1875" s="480">
        <v>50.33</v>
      </c>
      <c r="J1875" s="485" t="s">
        <v>10</v>
      </c>
    </row>
    <row r="1876" spans="1:10" ht="165.75" outlineLevel="3">
      <c r="A1876" s="476" t="s">
        <v>2513</v>
      </c>
      <c r="B1876" s="477" t="s">
        <v>2514</v>
      </c>
      <c r="C1876" s="478"/>
      <c r="D1876" s="477"/>
      <c r="E1876" s="479">
        <v>83944</v>
      </c>
      <c r="F1876" s="479">
        <v>83944</v>
      </c>
      <c r="G1876" s="479">
        <v>83944</v>
      </c>
      <c r="H1876" s="479">
        <v>55665.9</v>
      </c>
      <c r="I1876" s="480">
        <v>66.31</v>
      </c>
      <c r="J1876" s="480"/>
    </row>
    <row r="1877" spans="1:10" ht="165.75" outlineLevel="4">
      <c r="A1877" s="481" t="s">
        <v>2513</v>
      </c>
      <c r="B1877" s="482" t="s">
        <v>2514</v>
      </c>
      <c r="C1877" s="483" t="s">
        <v>1043</v>
      </c>
      <c r="D1877" s="482" t="s">
        <v>1044</v>
      </c>
      <c r="E1877" s="484">
        <v>83944</v>
      </c>
      <c r="F1877" s="484">
        <v>83944</v>
      </c>
      <c r="G1877" s="484">
        <v>83944</v>
      </c>
      <c r="H1877" s="484">
        <v>55665.9</v>
      </c>
      <c r="I1877" s="480">
        <v>66.31</v>
      </c>
      <c r="J1877" s="485" t="s">
        <v>10</v>
      </c>
    </row>
    <row r="1878" spans="1:10" ht="102" outlineLevel="3">
      <c r="A1878" s="476" t="s">
        <v>2515</v>
      </c>
      <c r="B1878" s="477" t="s">
        <v>2516</v>
      </c>
      <c r="C1878" s="478"/>
      <c r="D1878" s="477"/>
      <c r="E1878" s="479">
        <v>978835.8</v>
      </c>
      <c r="F1878" s="479">
        <v>978835.8</v>
      </c>
      <c r="G1878" s="479">
        <v>0</v>
      </c>
      <c r="H1878" s="479">
        <v>0</v>
      </c>
      <c r="I1878" s="480">
        <v>0</v>
      </c>
      <c r="J1878" s="480"/>
    </row>
    <row r="1879" spans="1:10" ht="102" outlineLevel="4">
      <c r="A1879" s="481" t="s">
        <v>2515</v>
      </c>
      <c r="B1879" s="482" t="s">
        <v>2516</v>
      </c>
      <c r="C1879" s="483" t="s">
        <v>803</v>
      </c>
      <c r="D1879" s="482" t="s">
        <v>804</v>
      </c>
      <c r="E1879" s="484">
        <v>978835.8</v>
      </c>
      <c r="F1879" s="484">
        <v>978835.8</v>
      </c>
      <c r="G1879" s="484">
        <v>0</v>
      </c>
      <c r="H1879" s="484">
        <v>0</v>
      </c>
      <c r="I1879" s="480">
        <v>0</v>
      </c>
      <c r="J1879" s="480"/>
    </row>
    <row r="1880" spans="1:10" ht="63.75" outlineLevel="3">
      <c r="A1880" s="476" t="s">
        <v>2517</v>
      </c>
      <c r="B1880" s="477" t="s">
        <v>2518</v>
      </c>
      <c r="C1880" s="478"/>
      <c r="D1880" s="477"/>
      <c r="E1880" s="479">
        <v>499886.35100000002</v>
      </c>
      <c r="F1880" s="479">
        <v>499886.35100000002</v>
      </c>
      <c r="G1880" s="479">
        <v>499886.35100000002</v>
      </c>
      <c r="H1880" s="479">
        <v>499886.35100000002</v>
      </c>
      <c r="I1880" s="480">
        <v>100</v>
      </c>
      <c r="J1880" s="480"/>
    </row>
    <row r="1881" spans="1:10" ht="63.75" outlineLevel="4">
      <c r="A1881" s="481" t="s">
        <v>2517</v>
      </c>
      <c r="B1881" s="482" t="s">
        <v>2518</v>
      </c>
      <c r="C1881" s="483" t="s">
        <v>1802</v>
      </c>
      <c r="D1881" s="482" t="s">
        <v>1803</v>
      </c>
      <c r="E1881" s="484">
        <v>499886.35100000002</v>
      </c>
      <c r="F1881" s="484">
        <v>499886.35100000002</v>
      </c>
      <c r="G1881" s="484">
        <v>499886.35100000002</v>
      </c>
      <c r="H1881" s="484">
        <v>499886.35100000002</v>
      </c>
      <c r="I1881" s="480">
        <v>100</v>
      </c>
      <c r="J1881" s="480"/>
    </row>
    <row r="1882" spans="1:10" ht="63.75" outlineLevel="3">
      <c r="A1882" s="476" t="s">
        <v>2519</v>
      </c>
      <c r="B1882" s="477" t="s">
        <v>2520</v>
      </c>
      <c r="C1882" s="478"/>
      <c r="D1882" s="477"/>
      <c r="E1882" s="479">
        <v>23091.564999999999</v>
      </c>
      <c r="F1882" s="479">
        <v>23091.564999999999</v>
      </c>
      <c r="G1882" s="479">
        <v>23091.563999999998</v>
      </c>
      <c r="H1882" s="479">
        <v>23081.223000000002</v>
      </c>
      <c r="I1882" s="480">
        <v>99.96</v>
      </c>
      <c r="J1882" s="480"/>
    </row>
    <row r="1883" spans="1:10" ht="63.75" outlineLevel="4">
      <c r="A1883" s="481" t="s">
        <v>2519</v>
      </c>
      <c r="B1883" s="482" t="s">
        <v>2520</v>
      </c>
      <c r="C1883" s="483" t="s">
        <v>1582</v>
      </c>
      <c r="D1883" s="482" t="s">
        <v>1583</v>
      </c>
      <c r="E1883" s="484">
        <v>23091.564999999999</v>
      </c>
      <c r="F1883" s="484">
        <v>23091.564999999999</v>
      </c>
      <c r="G1883" s="484">
        <v>23091.563999999998</v>
      </c>
      <c r="H1883" s="484">
        <v>23081.223000000002</v>
      </c>
      <c r="I1883" s="480">
        <v>99.96</v>
      </c>
      <c r="J1883" s="480"/>
    </row>
    <row r="1884" spans="1:10" ht="114.75" outlineLevel="3">
      <c r="A1884" s="476" t="s">
        <v>2521</v>
      </c>
      <c r="B1884" s="477" t="s">
        <v>2522</v>
      </c>
      <c r="C1884" s="478"/>
      <c r="D1884" s="477"/>
      <c r="E1884" s="479">
        <v>122378.1</v>
      </c>
      <c r="F1884" s="479">
        <v>122378.1</v>
      </c>
      <c r="G1884" s="479">
        <v>122378.1</v>
      </c>
      <c r="H1884" s="479">
        <v>122378.1</v>
      </c>
      <c r="I1884" s="480">
        <v>100</v>
      </c>
      <c r="J1884" s="480"/>
    </row>
    <row r="1885" spans="1:10" ht="114.75" outlineLevel="4">
      <c r="A1885" s="481" t="s">
        <v>2521</v>
      </c>
      <c r="B1885" s="482" t="s">
        <v>2522</v>
      </c>
      <c r="C1885" s="483" t="s">
        <v>1043</v>
      </c>
      <c r="D1885" s="482" t="s">
        <v>1044</v>
      </c>
      <c r="E1885" s="484">
        <v>122378.1</v>
      </c>
      <c r="F1885" s="484">
        <v>122378.1</v>
      </c>
      <c r="G1885" s="484">
        <v>122378.1</v>
      </c>
      <c r="H1885" s="484">
        <v>122378.1</v>
      </c>
      <c r="I1885" s="480">
        <v>100</v>
      </c>
      <c r="J1885" s="480"/>
    </row>
    <row r="1886" spans="1:10" ht="114.75" outlineLevel="3">
      <c r="A1886" s="476" t="s">
        <v>2523</v>
      </c>
      <c r="B1886" s="477" t="s">
        <v>2524</v>
      </c>
      <c r="C1886" s="478"/>
      <c r="D1886" s="477"/>
      <c r="E1886" s="479">
        <v>57093.3</v>
      </c>
      <c r="F1886" s="479">
        <v>57093.3</v>
      </c>
      <c r="G1886" s="479">
        <v>57093.3</v>
      </c>
      <c r="H1886" s="479">
        <v>57093.3</v>
      </c>
      <c r="I1886" s="480">
        <v>100</v>
      </c>
      <c r="J1886" s="480"/>
    </row>
    <row r="1887" spans="1:10" ht="114.75" outlineLevel="4">
      <c r="A1887" s="481" t="s">
        <v>2523</v>
      </c>
      <c r="B1887" s="482" t="s">
        <v>2524</v>
      </c>
      <c r="C1887" s="483" t="s">
        <v>1043</v>
      </c>
      <c r="D1887" s="482" t="s">
        <v>1044</v>
      </c>
      <c r="E1887" s="484">
        <v>57093.3</v>
      </c>
      <c r="F1887" s="484">
        <v>57093.3</v>
      </c>
      <c r="G1887" s="484">
        <v>57093.3</v>
      </c>
      <c r="H1887" s="484">
        <v>57093.3</v>
      </c>
      <c r="I1887" s="480">
        <v>100</v>
      </c>
      <c r="J1887" s="480"/>
    </row>
    <row r="1888" spans="1:10" ht="15.75" collapsed="1" thickBot="1">
      <c r="A1888" s="486"/>
      <c r="B1888" s="487"/>
      <c r="C1888" s="487"/>
      <c r="D1888" s="487"/>
      <c r="E1888" s="487"/>
      <c r="F1888" s="487"/>
      <c r="G1888" s="487"/>
      <c r="H1888" s="487"/>
      <c r="I1888" s="488"/>
      <c r="J1888" s="488"/>
    </row>
    <row r="1889" spans="1:10" ht="15.75" thickBot="1">
      <c r="A1889" s="489" t="s">
        <v>2525</v>
      </c>
      <c r="B1889" s="490"/>
      <c r="C1889" s="490"/>
      <c r="D1889" s="490"/>
      <c r="E1889" s="491">
        <v>88628384.065630004</v>
      </c>
      <c r="F1889" s="491">
        <v>83901846.999779999</v>
      </c>
      <c r="G1889" s="491">
        <v>38240658.06758</v>
      </c>
      <c r="H1889" s="491">
        <v>36745153.91336</v>
      </c>
      <c r="I1889" s="492"/>
      <c r="J1889" s="492"/>
    </row>
    <row r="1890" spans="1:10">
      <c r="A1890" s="493"/>
      <c r="B1890" s="493"/>
      <c r="C1890" s="493"/>
      <c r="D1890" s="493"/>
      <c r="E1890" s="493"/>
      <c r="F1890" s="493"/>
      <c r="G1890" s="493"/>
      <c r="H1890" s="493"/>
      <c r="I1890" s="493"/>
    </row>
    <row r="1891" spans="1:10">
      <c r="A1891" s="2594"/>
      <c r="B1891" s="2595"/>
      <c r="C1891" s="2595"/>
      <c r="D1891" s="2595"/>
      <c r="E1891" s="2595"/>
      <c r="F1891" s="2595"/>
      <c r="G1891" s="2595"/>
      <c r="H1891" s="2595"/>
      <c r="I1891" s="2595"/>
    </row>
  </sheetData>
  <autoFilter ref="A5:J1887"/>
  <mergeCells count="4">
    <mergeCell ref="A1:I1"/>
    <mergeCell ref="A2:I2"/>
    <mergeCell ref="A3:I3"/>
    <mergeCell ref="A1891:I1891"/>
  </mergeCells>
  <pageMargins left="0.7" right="0.7" top="0.75" bottom="0.75" header="0.3" footer="0.3"/>
  <pageSetup paperSize="9" scale="43"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22"/>
  <sheetViews>
    <sheetView topLeftCell="A91" workbookViewId="0">
      <selection activeCell="C102" sqref="C102"/>
    </sheetView>
  </sheetViews>
  <sheetFormatPr defaultColWidth="9.140625" defaultRowHeight="12.75"/>
  <cols>
    <col min="1" max="1" width="81" style="537" customWidth="1"/>
    <col min="2" max="2" width="14.42578125" style="539" customWidth="1"/>
    <col min="3" max="3" width="14.140625" style="539" customWidth="1"/>
    <col min="4" max="4" width="11.7109375" style="539" customWidth="1"/>
    <col min="5" max="16384" width="9.140625" style="494"/>
  </cols>
  <sheetData>
    <row r="1" spans="1:4" ht="21.2" customHeight="1">
      <c r="A1" s="2912" t="s">
        <v>2526</v>
      </c>
      <c r="B1" s="2912"/>
      <c r="C1" s="2912"/>
      <c r="D1" s="2912"/>
    </row>
    <row r="2" spans="1:4" ht="48.75" customHeight="1">
      <c r="A2" s="2913" t="s">
        <v>2527</v>
      </c>
      <c r="B2" s="2913"/>
      <c r="C2" s="2913"/>
      <c r="D2" s="2913"/>
    </row>
    <row r="3" spans="1:4" ht="13.5" thickBot="1">
      <c r="A3" s="495"/>
      <c r="B3" s="496"/>
      <c r="C3" s="496"/>
      <c r="D3" s="497" t="s">
        <v>2528</v>
      </c>
    </row>
    <row r="4" spans="1:4" ht="16.5" customHeight="1">
      <c r="A4" s="2914" t="s">
        <v>2529</v>
      </c>
      <c r="B4" s="2916" t="s">
        <v>2530</v>
      </c>
      <c r="C4" s="2916" t="s">
        <v>2531</v>
      </c>
      <c r="D4" s="2918" t="s">
        <v>2532</v>
      </c>
    </row>
    <row r="5" spans="1:4" ht="46.5" customHeight="1">
      <c r="A5" s="2915" t="s">
        <v>2533</v>
      </c>
      <c r="B5" s="2917"/>
      <c r="C5" s="2917"/>
      <c r="D5" s="2919"/>
    </row>
    <row r="6" spans="1:4">
      <c r="A6" s="498" t="s">
        <v>2534</v>
      </c>
      <c r="B6" s="499">
        <f t="shared" ref="B6:D7" si="0">B7</f>
        <v>112073.94</v>
      </c>
      <c r="C6" s="499">
        <f t="shared" si="0"/>
        <v>0</v>
      </c>
      <c r="D6" s="500">
        <f t="shared" si="0"/>
        <v>41280</v>
      </c>
    </row>
    <row r="7" spans="1:4">
      <c r="A7" s="501" t="s">
        <v>2535</v>
      </c>
      <c r="B7" s="502">
        <f t="shared" si="0"/>
        <v>112073.94</v>
      </c>
      <c r="C7" s="502">
        <f t="shared" si="0"/>
        <v>0</v>
      </c>
      <c r="D7" s="503">
        <f t="shared" si="0"/>
        <v>41280</v>
      </c>
    </row>
    <row r="8" spans="1:4">
      <c r="A8" s="504" t="s">
        <v>2536</v>
      </c>
      <c r="B8" s="502">
        <f>B9+B10</f>
        <v>112073.94</v>
      </c>
      <c r="C8" s="502">
        <f t="shared" ref="C8:D8" si="1">C9+C10</f>
        <v>0</v>
      </c>
      <c r="D8" s="503">
        <f t="shared" si="1"/>
        <v>41280</v>
      </c>
    </row>
    <row r="9" spans="1:4">
      <c r="A9" s="505" t="s">
        <v>2537</v>
      </c>
      <c r="B9" s="506">
        <v>66373.94</v>
      </c>
      <c r="C9" s="506">
        <v>0</v>
      </c>
      <c r="D9" s="2909">
        <v>41280</v>
      </c>
    </row>
    <row r="10" spans="1:4">
      <c r="A10" s="505" t="s">
        <v>2538</v>
      </c>
      <c r="B10" s="506">
        <v>45700</v>
      </c>
      <c r="C10" s="506">
        <v>0</v>
      </c>
      <c r="D10" s="2910"/>
    </row>
    <row r="11" spans="1:4">
      <c r="A11" s="507" t="s">
        <v>2539</v>
      </c>
      <c r="B11" s="499">
        <f>B12+B16</f>
        <v>173122.3</v>
      </c>
      <c r="C11" s="499">
        <f t="shared" ref="C11:D11" si="2">C12+C16</f>
        <v>0</v>
      </c>
      <c r="D11" s="500">
        <f t="shared" si="2"/>
        <v>0</v>
      </c>
    </row>
    <row r="12" spans="1:4" ht="25.5">
      <c r="A12" s="504" t="s">
        <v>2540</v>
      </c>
      <c r="B12" s="502">
        <f>B13</f>
        <v>124024</v>
      </c>
      <c r="C12" s="502">
        <f t="shared" ref="C12:D12" si="3">C13</f>
        <v>0</v>
      </c>
      <c r="D12" s="503">
        <f t="shared" si="3"/>
        <v>0</v>
      </c>
    </row>
    <row r="13" spans="1:4">
      <c r="A13" s="504" t="s">
        <v>2541</v>
      </c>
      <c r="B13" s="502">
        <f>B14+B15</f>
        <v>124024</v>
      </c>
      <c r="C13" s="502">
        <f t="shared" ref="C13:D13" si="4">C14+C15</f>
        <v>0</v>
      </c>
      <c r="D13" s="503">
        <f t="shared" si="4"/>
        <v>0</v>
      </c>
    </row>
    <row r="14" spans="1:4" ht="38.25">
      <c r="A14" s="508" t="s">
        <v>2542</v>
      </c>
      <c r="B14" s="506">
        <v>118800</v>
      </c>
      <c r="C14" s="506">
        <v>0</v>
      </c>
      <c r="D14" s="509">
        <v>0</v>
      </c>
    </row>
    <row r="15" spans="1:4">
      <c r="A15" s="505" t="s">
        <v>2543</v>
      </c>
      <c r="B15" s="506">
        <v>5224</v>
      </c>
      <c r="C15" s="506">
        <v>0</v>
      </c>
      <c r="D15" s="509">
        <v>0</v>
      </c>
    </row>
    <row r="16" spans="1:4" ht="25.5">
      <c r="A16" s="504" t="s">
        <v>2544</v>
      </c>
      <c r="B16" s="502">
        <f>B17</f>
        <v>49098.3</v>
      </c>
      <c r="C16" s="502">
        <f t="shared" ref="C16:D16" si="5">C17</f>
        <v>0</v>
      </c>
      <c r="D16" s="503">
        <f t="shared" si="5"/>
        <v>0</v>
      </c>
    </row>
    <row r="17" spans="1:4">
      <c r="A17" s="504" t="s">
        <v>2545</v>
      </c>
      <c r="B17" s="502">
        <f>B18+B19+B20</f>
        <v>49098.3</v>
      </c>
      <c r="C17" s="502">
        <f t="shared" ref="C17:D17" si="6">C18+C19+C20</f>
        <v>0</v>
      </c>
      <c r="D17" s="503">
        <f t="shared" si="6"/>
        <v>0</v>
      </c>
    </row>
    <row r="18" spans="1:4" ht="48.75" customHeight="1">
      <c r="A18" s="505" t="s">
        <v>2546</v>
      </c>
      <c r="B18" s="506">
        <v>3501</v>
      </c>
      <c r="C18" s="506">
        <v>0</v>
      </c>
      <c r="D18" s="509">
        <v>0</v>
      </c>
    </row>
    <row r="19" spans="1:4" ht="25.5">
      <c r="A19" s="508" t="s">
        <v>2547</v>
      </c>
      <c r="B19" s="506">
        <v>35996.400000000001</v>
      </c>
      <c r="C19" s="506">
        <v>0</v>
      </c>
      <c r="D19" s="509">
        <v>0</v>
      </c>
    </row>
    <row r="20" spans="1:4" ht="25.5">
      <c r="A20" s="508" t="s">
        <v>2548</v>
      </c>
      <c r="B20" s="506">
        <v>9600.9</v>
      </c>
      <c r="C20" s="506">
        <v>0</v>
      </c>
      <c r="D20" s="509">
        <v>0</v>
      </c>
    </row>
    <row r="21" spans="1:4">
      <c r="A21" s="510" t="s">
        <v>2549</v>
      </c>
      <c r="B21" s="499">
        <f>B22+B26</f>
        <v>64681.930999999997</v>
      </c>
      <c r="C21" s="499">
        <f t="shared" ref="C21:D21" si="7">C22+C26</f>
        <v>8942.8310000000001</v>
      </c>
      <c r="D21" s="500">
        <f t="shared" si="7"/>
        <v>0</v>
      </c>
    </row>
    <row r="22" spans="1:4" ht="25.5">
      <c r="A22" s="511" t="s">
        <v>2550</v>
      </c>
      <c r="B22" s="502">
        <f>B23</f>
        <v>19942.830999999998</v>
      </c>
      <c r="C22" s="502">
        <f t="shared" ref="C22:D23" si="8">C23</f>
        <v>8942.8310000000001</v>
      </c>
      <c r="D22" s="503">
        <f t="shared" si="8"/>
        <v>0</v>
      </c>
    </row>
    <row r="23" spans="1:4">
      <c r="A23" s="512" t="s">
        <v>2551</v>
      </c>
      <c r="B23" s="502">
        <f>B24</f>
        <v>19942.830999999998</v>
      </c>
      <c r="C23" s="502">
        <f t="shared" si="8"/>
        <v>8942.8310000000001</v>
      </c>
      <c r="D23" s="503">
        <f t="shared" si="8"/>
        <v>0</v>
      </c>
    </row>
    <row r="24" spans="1:4">
      <c r="A24" s="508" t="s">
        <v>2552</v>
      </c>
      <c r="B24" s="506">
        <v>19942.830999999998</v>
      </c>
      <c r="C24" s="506">
        <v>8942.8310000000001</v>
      </c>
      <c r="D24" s="509">
        <v>0</v>
      </c>
    </row>
    <row r="25" spans="1:4" ht="25.5">
      <c r="A25" s="511" t="s">
        <v>2553</v>
      </c>
      <c r="B25" s="502">
        <f>B26</f>
        <v>44739.1</v>
      </c>
      <c r="C25" s="502">
        <f t="shared" ref="C25:D25" si="9">C26</f>
        <v>0</v>
      </c>
      <c r="D25" s="503">
        <f t="shared" si="9"/>
        <v>0</v>
      </c>
    </row>
    <row r="26" spans="1:4">
      <c r="A26" s="504" t="s">
        <v>2554</v>
      </c>
      <c r="B26" s="502">
        <f>B27+B28</f>
        <v>44739.1</v>
      </c>
      <c r="C26" s="502">
        <f t="shared" ref="C26:D26" si="10">C27+C28</f>
        <v>0</v>
      </c>
      <c r="D26" s="503">
        <f t="shared" si="10"/>
        <v>0</v>
      </c>
    </row>
    <row r="27" spans="1:4" ht="25.5">
      <c r="A27" s="508" t="s">
        <v>2555</v>
      </c>
      <c r="B27" s="506">
        <v>18576.099999999999</v>
      </c>
      <c r="C27" s="506">
        <v>0</v>
      </c>
      <c r="D27" s="509">
        <v>0</v>
      </c>
    </row>
    <row r="28" spans="1:4" ht="25.5">
      <c r="A28" s="508" t="s">
        <v>2556</v>
      </c>
      <c r="B28" s="506">
        <v>26163</v>
      </c>
      <c r="C28" s="506">
        <v>0</v>
      </c>
      <c r="D28" s="509">
        <v>0</v>
      </c>
    </row>
    <row r="29" spans="1:4">
      <c r="A29" s="513" t="s">
        <v>2557</v>
      </c>
      <c r="B29" s="499">
        <f>B30+B36</f>
        <v>288334.516</v>
      </c>
      <c r="C29" s="499">
        <f t="shared" ref="C29:D29" si="11">C30+C36</f>
        <v>21304.975999999999</v>
      </c>
      <c r="D29" s="500">
        <f t="shared" si="11"/>
        <v>52604.4</v>
      </c>
    </row>
    <row r="30" spans="1:4">
      <c r="A30" s="501" t="s">
        <v>2558</v>
      </c>
      <c r="B30" s="502">
        <f>B31</f>
        <v>183931.3</v>
      </c>
      <c r="C30" s="502">
        <f t="shared" ref="C30:D30" si="12">C31</f>
        <v>0</v>
      </c>
      <c r="D30" s="503">
        <f t="shared" si="12"/>
        <v>13959.099999999999</v>
      </c>
    </row>
    <row r="31" spans="1:4">
      <c r="A31" s="504" t="s">
        <v>2559</v>
      </c>
      <c r="B31" s="502">
        <f>B32+B33+B34+B35</f>
        <v>183931.3</v>
      </c>
      <c r="C31" s="502">
        <f t="shared" ref="C31:D31" si="13">C32+C33+C34+C35</f>
        <v>0</v>
      </c>
      <c r="D31" s="503">
        <f t="shared" si="13"/>
        <v>13959.099999999999</v>
      </c>
    </row>
    <row r="32" spans="1:4" ht="25.5">
      <c r="A32" s="508" t="s">
        <v>2560</v>
      </c>
      <c r="B32" s="506">
        <v>37391.4</v>
      </c>
      <c r="C32" s="506">
        <v>0</v>
      </c>
      <c r="D32" s="2909">
        <v>5564.8</v>
      </c>
    </row>
    <row r="33" spans="1:4" ht="25.5">
      <c r="A33" s="508" t="s">
        <v>2561</v>
      </c>
      <c r="B33" s="506">
        <v>18406.5</v>
      </c>
      <c r="C33" s="506">
        <v>0</v>
      </c>
      <c r="D33" s="2910"/>
    </row>
    <row r="34" spans="1:4" ht="25.5">
      <c r="A34" s="508" t="s">
        <v>2562</v>
      </c>
      <c r="B34" s="506">
        <v>88804.5</v>
      </c>
      <c r="C34" s="506">
        <v>0</v>
      </c>
      <c r="D34" s="2909">
        <v>8394.2999999999993</v>
      </c>
    </row>
    <row r="35" spans="1:4" ht="25.5">
      <c r="A35" s="508" t="s">
        <v>2563</v>
      </c>
      <c r="B35" s="506">
        <v>39328.9</v>
      </c>
      <c r="C35" s="506">
        <v>0</v>
      </c>
      <c r="D35" s="2910"/>
    </row>
    <row r="36" spans="1:4">
      <c r="A36" s="501" t="s">
        <v>2535</v>
      </c>
      <c r="B36" s="502">
        <f t="shared" ref="B36:D36" si="14">B37</f>
        <v>104403.216</v>
      </c>
      <c r="C36" s="502">
        <f t="shared" si="14"/>
        <v>21304.975999999999</v>
      </c>
      <c r="D36" s="503">
        <f t="shared" si="14"/>
        <v>38645.300000000003</v>
      </c>
    </row>
    <row r="37" spans="1:4">
      <c r="A37" s="504" t="s">
        <v>2536</v>
      </c>
      <c r="B37" s="502">
        <f>B38+B39</f>
        <v>104403.216</v>
      </c>
      <c r="C37" s="502">
        <f>C38+C39</f>
        <v>21304.975999999999</v>
      </c>
      <c r="D37" s="503">
        <f>D38+D39</f>
        <v>38645.300000000003</v>
      </c>
    </row>
    <row r="38" spans="1:4">
      <c r="A38" s="508" t="s">
        <v>2564</v>
      </c>
      <c r="B38" s="506">
        <v>49263.7</v>
      </c>
      <c r="C38" s="506">
        <v>0</v>
      </c>
      <c r="D38" s="2909">
        <v>38645.300000000003</v>
      </c>
    </row>
    <row r="39" spans="1:4">
      <c r="A39" s="508" t="s">
        <v>2565</v>
      </c>
      <c r="B39" s="506">
        <v>55139.516000000003</v>
      </c>
      <c r="C39" s="506">
        <v>21304.975999999999</v>
      </c>
      <c r="D39" s="2910"/>
    </row>
    <row r="40" spans="1:4">
      <c r="A40" s="510" t="s">
        <v>2566</v>
      </c>
      <c r="B40" s="499">
        <f>B41</f>
        <v>17669.7</v>
      </c>
      <c r="C40" s="499">
        <f t="shared" ref="C40:D42" si="15">C41</f>
        <v>0</v>
      </c>
      <c r="D40" s="500">
        <f t="shared" si="15"/>
        <v>0</v>
      </c>
    </row>
    <row r="41" spans="1:4" ht="25.5">
      <c r="A41" s="501" t="s">
        <v>2550</v>
      </c>
      <c r="B41" s="502">
        <f>B42</f>
        <v>17669.7</v>
      </c>
      <c r="C41" s="502">
        <f t="shared" si="15"/>
        <v>0</v>
      </c>
      <c r="D41" s="503">
        <f t="shared" si="15"/>
        <v>0</v>
      </c>
    </row>
    <row r="42" spans="1:4">
      <c r="A42" s="512" t="s">
        <v>2551</v>
      </c>
      <c r="B42" s="502">
        <f>B43</f>
        <v>17669.7</v>
      </c>
      <c r="C42" s="502">
        <f t="shared" si="15"/>
        <v>0</v>
      </c>
      <c r="D42" s="503">
        <f t="shared" si="15"/>
        <v>0</v>
      </c>
    </row>
    <row r="43" spans="1:4">
      <c r="A43" s="508" t="s">
        <v>2567</v>
      </c>
      <c r="B43" s="506">
        <v>17669.7</v>
      </c>
      <c r="C43" s="506">
        <v>0</v>
      </c>
      <c r="D43" s="509">
        <v>0</v>
      </c>
    </row>
    <row r="44" spans="1:4">
      <c r="A44" s="514" t="s">
        <v>2568</v>
      </c>
      <c r="B44" s="499">
        <f>B45+B48</f>
        <v>25816.2</v>
      </c>
      <c r="C44" s="499">
        <f t="shared" ref="C44:D44" si="16">C45+C48</f>
        <v>0</v>
      </c>
      <c r="D44" s="500">
        <f t="shared" si="16"/>
        <v>452.8</v>
      </c>
    </row>
    <row r="45" spans="1:4">
      <c r="A45" s="501" t="s">
        <v>2535</v>
      </c>
      <c r="B45" s="502">
        <f t="shared" ref="B45:D46" si="17">B46</f>
        <v>2120</v>
      </c>
      <c r="C45" s="502">
        <f t="shared" si="17"/>
        <v>0</v>
      </c>
      <c r="D45" s="503">
        <f t="shared" si="17"/>
        <v>0</v>
      </c>
    </row>
    <row r="46" spans="1:4">
      <c r="A46" s="504" t="s">
        <v>2536</v>
      </c>
      <c r="B46" s="502">
        <f>B47</f>
        <v>2120</v>
      </c>
      <c r="C46" s="502">
        <f t="shared" si="17"/>
        <v>0</v>
      </c>
      <c r="D46" s="503">
        <f t="shared" si="17"/>
        <v>0</v>
      </c>
    </row>
    <row r="47" spans="1:4">
      <c r="A47" s="515" t="s">
        <v>2569</v>
      </c>
      <c r="B47" s="506">
        <v>2120</v>
      </c>
      <c r="C47" s="506">
        <v>0</v>
      </c>
      <c r="D47" s="509">
        <v>0</v>
      </c>
    </row>
    <row r="48" spans="1:4" ht="25.5">
      <c r="A48" s="511" t="s">
        <v>2550</v>
      </c>
      <c r="B48" s="502">
        <f>B49</f>
        <v>23696.2</v>
      </c>
      <c r="C48" s="502">
        <f t="shared" ref="C48:D49" si="18">C49</f>
        <v>0</v>
      </c>
      <c r="D48" s="503">
        <f t="shared" si="18"/>
        <v>452.8</v>
      </c>
    </row>
    <row r="49" spans="1:4">
      <c r="A49" s="512" t="s">
        <v>2551</v>
      </c>
      <c r="B49" s="502">
        <f>B50</f>
        <v>23696.2</v>
      </c>
      <c r="C49" s="502">
        <f t="shared" si="18"/>
        <v>0</v>
      </c>
      <c r="D49" s="503">
        <f t="shared" si="18"/>
        <v>452.8</v>
      </c>
    </row>
    <row r="50" spans="1:4">
      <c r="A50" s="508" t="s">
        <v>2570</v>
      </c>
      <c r="B50" s="506">
        <v>23696.2</v>
      </c>
      <c r="C50" s="506">
        <v>0</v>
      </c>
      <c r="D50" s="509">
        <v>452.8</v>
      </c>
    </row>
    <row r="51" spans="1:4">
      <c r="A51" s="510" t="s">
        <v>2571</v>
      </c>
      <c r="B51" s="499">
        <f>B52</f>
        <v>897662.79999999993</v>
      </c>
      <c r="C51" s="499">
        <f t="shared" ref="C51:D51" si="19">C52</f>
        <v>0</v>
      </c>
      <c r="D51" s="500">
        <f t="shared" si="19"/>
        <v>53956.5</v>
      </c>
    </row>
    <row r="52" spans="1:4">
      <c r="A52" s="501" t="s">
        <v>2558</v>
      </c>
      <c r="B52" s="502">
        <f>B53+B56</f>
        <v>897662.79999999993</v>
      </c>
      <c r="C52" s="502">
        <f t="shared" ref="C52:D52" si="20">C53+C56</f>
        <v>0</v>
      </c>
      <c r="D52" s="503">
        <f t="shared" si="20"/>
        <v>53956.5</v>
      </c>
    </row>
    <row r="53" spans="1:4">
      <c r="A53" s="504" t="s">
        <v>2572</v>
      </c>
      <c r="B53" s="502">
        <f>B54+B55</f>
        <v>721396.2</v>
      </c>
      <c r="C53" s="502">
        <f t="shared" ref="C53:D53" si="21">C54+C55</f>
        <v>0</v>
      </c>
      <c r="D53" s="503">
        <f t="shared" si="21"/>
        <v>0</v>
      </c>
    </row>
    <row r="54" spans="1:4" ht="25.5">
      <c r="A54" s="508" t="s">
        <v>2573</v>
      </c>
      <c r="B54" s="506">
        <v>450709.6</v>
      </c>
      <c r="C54" s="506">
        <v>0</v>
      </c>
      <c r="D54" s="509">
        <v>0</v>
      </c>
    </row>
    <row r="55" spans="1:4" ht="25.5">
      <c r="A55" s="508" t="s">
        <v>2574</v>
      </c>
      <c r="B55" s="506">
        <v>270686.59999999998</v>
      </c>
      <c r="C55" s="506">
        <v>0</v>
      </c>
      <c r="D55" s="509">
        <v>0</v>
      </c>
    </row>
    <row r="56" spans="1:4">
      <c r="A56" s="504" t="s">
        <v>2559</v>
      </c>
      <c r="B56" s="502">
        <f>B57+B58</f>
        <v>176266.59999999998</v>
      </c>
      <c r="C56" s="502">
        <f t="shared" ref="C56:D56" si="22">C57+C58</f>
        <v>0</v>
      </c>
      <c r="D56" s="503">
        <f t="shared" si="22"/>
        <v>53956.5</v>
      </c>
    </row>
    <row r="57" spans="1:4">
      <c r="A57" s="508" t="s">
        <v>2575</v>
      </c>
      <c r="B57" s="506">
        <v>105987.9</v>
      </c>
      <c r="C57" s="506">
        <v>0</v>
      </c>
      <c r="D57" s="2909">
        <v>53956.5</v>
      </c>
    </row>
    <row r="58" spans="1:4">
      <c r="A58" s="508" t="s">
        <v>2576</v>
      </c>
      <c r="B58" s="506">
        <v>70278.7</v>
      </c>
      <c r="C58" s="506">
        <v>0</v>
      </c>
      <c r="D58" s="2910"/>
    </row>
    <row r="59" spans="1:4">
      <c r="A59" s="513" t="s">
        <v>2577</v>
      </c>
      <c r="B59" s="499">
        <f>B60</f>
        <v>9475.9</v>
      </c>
      <c r="C59" s="499">
        <f t="shared" ref="C59:D61" si="23">C60</f>
        <v>0</v>
      </c>
      <c r="D59" s="500">
        <f t="shared" si="23"/>
        <v>0</v>
      </c>
    </row>
    <row r="60" spans="1:4">
      <c r="A60" s="501" t="s">
        <v>2535</v>
      </c>
      <c r="B60" s="502">
        <f>B61</f>
        <v>9475.9</v>
      </c>
      <c r="C60" s="502">
        <f t="shared" si="23"/>
        <v>0</v>
      </c>
      <c r="D60" s="503">
        <f t="shared" si="23"/>
        <v>0</v>
      </c>
    </row>
    <row r="61" spans="1:4">
      <c r="A61" s="504" t="s">
        <v>2536</v>
      </c>
      <c r="B61" s="502">
        <f>B62</f>
        <v>9475.9</v>
      </c>
      <c r="C61" s="502">
        <f t="shared" si="23"/>
        <v>0</v>
      </c>
      <c r="D61" s="503">
        <f t="shared" si="23"/>
        <v>0</v>
      </c>
    </row>
    <row r="62" spans="1:4">
      <c r="A62" s="508" t="s">
        <v>2578</v>
      </c>
      <c r="B62" s="506">
        <v>9475.9</v>
      </c>
      <c r="C62" s="506">
        <v>0</v>
      </c>
      <c r="D62" s="509">
        <v>0</v>
      </c>
    </row>
    <row r="63" spans="1:4">
      <c r="A63" s="513" t="s">
        <v>2579</v>
      </c>
      <c r="B63" s="499">
        <f>B64+B68</f>
        <v>118340.79999999999</v>
      </c>
      <c r="C63" s="499">
        <f t="shared" ref="C63:D63" si="24">C64+C68</f>
        <v>9387.8809999999994</v>
      </c>
      <c r="D63" s="500">
        <f t="shared" si="24"/>
        <v>0</v>
      </c>
    </row>
    <row r="64" spans="1:4">
      <c r="A64" s="501" t="s">
        <v>2558</v>
      </c>
      <c r="B64" s="502">
        <f>B65</f>
        <v>69441.399999999994</v>
      </c>
      <c r="C64" s="502">
        <f t="shared" ref="C64:D64" si="25">C65</f>
        <v>0</v>
      </c>
      <c r="D64" s="503">
        <f t="shared" si="25"/>
        <v>0</v>
      </c>
    </row>
    <row r="65" spans="1:4">
      <c r="A65" s="504" t="s">
        <v>2559</v>
      </c>
      <c r="B65" s="502">
        <f>B66+B67</f>
        <v>69441.399999999994</v>
      </c>
      <c r="C65" s="502">
        <f t="shared" ref="C65:D65" si="26">C66+C67</f>
        <v>0</v>
      </c>
      <c r="D65" s="503">
        <f t="shared" si="26"/>
        <v>0</v>
      </c>
    </row>
    <row r="66" spans="1:4">
      <c r="A66" s="508" t="s">
        <v>2580</v>
      </c>
      <c r="B66" s="506">
        <v>37606</v>
      </c>
      <c r="C66" s="506">
        <v>0</v>
      </c>
      <c r="D66" s="509">
        <v>0</v>
      </c>
    </row>
    <row r="67" spans="1:4">
      <c r="A67" s="508" t="s">
        <v>2581</v>
      </c>
      <c r="B67" s="506">
        <v>31835.4</v>
      </c>
      <c r="C67" s="506">
        <v>0</v>
      </c>
      <c r="D67" s="509">
        <v>0</v>
      </c>
    </row>
    <row r="68" spans="1:4" ht="15" customHeight="1">
      <c r="A68" s="511" t="s">
        <v>2550</v>
      </c>
      <c r="B68" s="502">
        <f>B69+B72</f>
        <v>48899.4</v>
      </c>
      <c r="C68" s="502">
        <f t="shared" ref="C68:D68" si="27">C69+C72</f>
        <v>9387.8809999999994</v>
      </c>
      <c r="D68" s="503">
        <f t="shared" si="27"/>
        <v>0</v>
      </c>
    </row>
    <row r="69" spans="1:4">
      <c r="A69" s="504" t="s">
        <v>2554</v>
      </c>
      <c r="B69" s="502">
        <f>B70+B71</f>
        <v>3690.6000000000004</v>
      </c>
      <c r="C69" s="502">
        <f t="shared" ref="C69:D69" si="28">C70+C71</f>
        <v>3690.5209999999997</v>
      </c>
      <c r="D69" s="503">
        <f t="shared" si="28"/>
        <v>0</v>
      </c>
    </row>
    <row r="70" spans="1:4" ht="25.5">
      <c r="A70" s="508" t="s">
        <v>2582</v>
      </c>
      <c r="B70" s="506">
        <v>1107.2</v>
      </c>
      <c r="C70" s="506">
        <v>1107.1559999999999</v>
      </c>
      <c r="D70" s="509">
        <v>0</v>
      </c>
    </row>
    <row r="71" spans="1:4" ht="25.5">
      <c r="A71" s="508" t="s">
        <v>2583</v>
      </c>
      <c r="B71" s="506">
        <v>2583.4</v>
      </c>
      <c r="C71" s="506">
        <v>2583.3649999999998</v>
      </c>
      <c r="D71" s="509">
        <v>0</v>
      </c>
    </row>
    <row r="72" spans="1:4">
      <c r="A72" s="512" t="s">
        <v>2551</v>
      </c>
      <c r="B72" s="502">
        <f>B73</f>
        <v>45208.800000000003</v>
      </c>
      <c r="C72" s="502">
        <f t="shared" ref="C72:D72" si="29">C73</f>
        <v>5697.36</v>
      </c>
      <c r="D72" s="503">
        <f t="shared" si="29"/>
        <v>0</v>
      </c>
    </row>
    <row r="73" spans="1:4">
      <c r="A73" s="508" t="s">
        <v>2584</v>
      </c>
      <c r="B73" s="506">
        <v>45208.800000000003</v>
      </c>
      <c r="C73" s="506">
        <v>5697.36</v>
      </c>
      <c r="D73" s="509">
        <v>0</v>
      </c>
    </row>
    <row r="74" spans="1:4">
      <c r="A74" s="513" t="s">
        <v>2585</v>
      </c>
      <c r="B74" s="499">
        <f>B75+B79+B83</f>
        <v>375488.19999999995</v>
      </c>
      <c r="C74" s="499">
        <f t="shared" ref="C74:D74" si="30">C75+C79+C83</f>
        <v>0</v>
      </c>
      <c r="D74" s="500">
        <f t="shared" si="30"/>
        <v>19527.5</v>
      </c>
    </row>
    <row r="75" spans="1:4">
      <c r="A75" s="501" t="s">
        <v>2558</v>
      </c>
      <c r="B75" s="502">
        <f>B76</f>
        <v>69196.899999999994</v>
      </c>
      <c r="C75" s="502">
        <f t="shared" ref="C75:D75" si="31">C76</f>
        <v>0</v>
      </c>
      <c r="D75" s="503">
        <f t="shared" si="31"/>
        <v>6690.5</v>
      </c>
    </row>
    <row r="76" spans="1:4">
      <c r="A76" s="504" t="s">
        <v>2559</v>
      </c>
      <c r="B76" s="502">
        <f>B77+B78</f>
        <v>69196.899999999994</v>
      </c>
      <c r="C76" s="502">
        <f t="shared" ref="C76:D76" si="32">C77+C78</f>
        <v>0</v>
      </c>
      <c r="D76" s="503">
        <f t="shared" si="32"/>
        <v>6690.5</v>
      </c>
    </row>
    <row r="77" spans="1:4">
      <c r="A77" s="508" t="s">
        <v>2586</v>
      </c>
      <c r="B77" s="506">
        <v>32717.5</v>
      </c>
      <c r="C77" s="506">
        <v>0</v>
      </c>
      <c r="D77" s="2909">
        <v>6690.5</v>
      </c>
    </row>
    <row r="78" spans="1:4">
      <c r="A78" s="508" t="s">
        <v>2587</v>
      </c>
      <c r="B78" s="506">
        <v>36479.4</v>
      </c>
      <c r="C78" s="506">
        <v>0</v>
      </c>
      <c r="D78" s="2910"/>
    </row>
    <row r="79" spans="1:4">
      <c r="A79" s="501" t="s">
        <v>2535</v>
      </c>
      <c r="B79" s="502">
        <f>B80</f>
        <v>250504.8</v>
      </c>
      <c r="C79" s="502">
        <f t="shared" ref="C79:D79" si="33">C80</f>
        <v>0</v>
      </c>
      <c r="D79" s="503">
        <f t="shared" si="33"/>
        <v>0</v>
      </c>
    </row>
    <row r="80" spans="1:4">
      <c r="A80" s="504" t="s">
        <v>2536</v>
      </c>
      <c r="B80" s="502">
        <f>B81+B82</f>
        <v>250504.8</v>
      </c>
      <c r="C80" s="502">
        <f t="shared" ref="C80:D80" si="34">C81+C82</f>
        <v>0</v>
      </c>
      <c r="D80" s="503">
        <f t="shared" si="34"/>
        <v>0</v>
      </c>
    </row>
    <row r="81" spans="1:4" ht="38.25">
      <c r="A81" s="508" t="s">
        <v>2588</v>
      </c>
      <c r="B81" s="506">
        <v>120000</v>
      </c>
      <c r="C81" s="506">
        <v>0</v>
      </c>
      <c r="D81" s="509">
        <v>0</v>
      </c>
    </row>
    <row r="82" spans="1:4" ht="38.25">
      <c r="A82" s="508" t="s">
        <v>2589</v>
      </c>
      <c r="B82" s="506">
        <v>130504.8</v>
      </c>
      <c r="C82" s="506">
        <v>0</v>
      </c>
      <c r="D82" s="509">
        <v>0</v>
      </c>
    </row>
    <row r="83" spans="1:4" ht="25.5">
      <c r="A83" s="501" t="s">
        <v>2550</v>
      </c>
      <c r="B83" s="502">
        <f t="shared" ref="B83:D83" si="35">B84</f>
        <v>55786.5</v>
      </c>
      <c r="C83" s="502">
        <f t="shared" si="35"/>
        <v>0</v>
      </c>
      <c r="D83" s="503">
        <f t="shared" si="35"/>
        <v>12837</v>
      </c>
    </row>
    <row r="84" spans="1:4">
      <c r="A84" s="504" t="s">
        <v>2590</v>
      </c>
      <c r="B84" s="502">
        <f>B85+B86</f>
        <v>55786.5</v>
      </c>
      <c r="C84" s="502">
        <f>C85+C86</f>
        <v>0</v>
      </c>
      <c r="D84" s="503">
        <f>D85+D86</f>
        <v>12837</v>
      </c>
    </row>
    <row r="85" spans="1:4" ht="25.5">
      <c r="A85" s="508" t="s">
        <v>2591</v>
      </c>
      <c r="B85" s="506">
        <v>23229</v>
      </c>
      <c r="C85" s="506">
        <v>0</v>
      </c>
      <c r="D85" s="2909">
        <v>12837</v>
      </c>
    </row>
    <row r="86" spans="1:4" ht="25.5">
      <c r="A86" s="508" t="s">
        <v>2592</v>
      </c>
      <c r="B86" s="506">
        <v>32557.5</v>
      </c>
      <c r="C86" s="506">
        <v>0</v>
      </c>
      <c r="D86" s="2910"/>
    </row>
    <row r="87" spans="1:4">
      <c r="A87" s="513" t="s">
        <v>2593</v>
      </c>
      <c r="B87" s="499">
        <f>B88</f>
        <v>6650</v>
      </c>
      <c r="C87" s="499">
        <f t="shared" ref="C87:D89" si="36">C88</f>
        <v>0</v>
      </c>
      <c r="D87" s="500">
        <f t="shared" si="36"/>
        <v>0</v>
      </c>
    </row>
    <row r="88" spans="1:4">
      <c r="A88" s="501" t="s">
        <v>2558</v>
      </c>
      <c r="B88" s="502">
        <f>B89</f>
        <v>6650</v>
      </c>
      <c r="C88" s="502">
        <f t="shared" si="36"/>
        <v>0</v>
      </c>
      <c r="D88" s="503">
        <f t="shared" si="36"/>
        <v>0</v>
      </c>
    </row>
    <row r="89" spans="1:4">
      <c r="A89" s="504" t="s">
        <v>2572</v>
      </c>
      <c r="B89" s="502">
        <f>B90</f>
        <v>6650</v>
      </c>
      <c r="C89" s="502">
        <f t="shared" si="36"/>
        <v>0</v>
      </c>
      <c r="D89" s="503">
        <f t="shared" si="36"/>
        <v>0</v>
      </c>
    </row>
    <row r="90" spans="1:4">
      <c r="A90" s="508" t="s">
        <v>2594</v>
      </c>
      <c r="B90" s="506">
        <v>6650</v>
      </c>
      <c r="C90" s="506">
        <v>0</v>
      </c>
      <c r="D90" s="509">
        <v>0</v>
      </c>
    </row>
    <row r="91" spans="1:4">
      <c r="A91" s="498" t="s">
        <v>2595</v>
      </c>
      <c r="B91" s="499">
        <f>B92+B95</f>
        <v>32614.6</v>
      </c>
      <c r="C91" s="499">
        <f>C92+C95</f>
        <v>313.58600000000001</v>
      </c>
      <c r="D91" s="500">
        <f>D92+D95</f>
        <v>182.5</v>
      </c>
    </row>
    <row r="92" spans="1:4">
      <c r="A92" s="501" t="s">
        <v>2558</v>
      </c>
      <c r="B92" s="502">
        <f t="shared" ref="B92:D93" si="37">B93</f>
        <v>6227.3</v>
      </c>
      <c r="C92" s="502">
        <f t="shared" si="37"/>
        <v>0</v>
      </c>
      <c r="D92" s="503">
        <f t="shared" si="37"/>
        <v>0</v>
      </c>
    </row>
    <row r="93" spans="1:4">
      <c r="A93" s="516" t="s">
        <v>2572</v>
      </c>
      <c r="B93" s="502">
        <f>B94</f>
        <v>6227.3</v>
      </c>
      <c r="C93" s="502">
        <f t="shared" si="37"/>
        <v>0</v>
      </c>
      <c r="D93" s="503">
        <f t="shared" si="37"/>
        <v>0</v>
      </c>
    </row>
    <row r="94" spans="1:4">
      <c r="A94" s="515" t="s">
        <v>2596</v>
      </c>
      <c r="B94" s="506">
        <v>6227.3</v>
      </c>
      <c r="C94" s="506">
        <v>0</v>
      </c>
      <c r="D94" s="509">
        <v>0</v>
      </c>
    </row>
    <row r="95" spans="1:4" ht="25.5">
      <c r="A95" s="501" t="s">
        <v>2550</v>
      </c>
      <c r="B95" s="502">
        <f>B96</f>
        <v>26387.3</v>
      </c>
      <c r="C95" s="502">
        <f t="shared" ref="C95:D95" si="38">C96</f>
        <v>313.58600000000001</v>
      </c>
      <c r="D95" s="503">
        <f t="shared" si="38"/>
        <v>182.5</v>
      </c>
    </row>
    <row r="96" spans="1:4">
      <c r="A96" s="512" t="s">
        <v>2551</v>
      </c>
      <c r="B96" s="502">
        <f>B97+B98</f>
        <v>26387.3</v>
      </c>
      <c r="C96" s="502">
        <f t="shared" ref="C96:D96" si="39">C97+C98</f>
        <v>313.58600000000001</v>
      </c>
      <c r="D96" s="503">
        <f t="shared" si="39"/>
        <v>182.5</v>
      </c>
    </row>
    <row r="97" spans="1:4" ht="25.5">
      <c r="A97" s="508" t="s">
        <v>2597</v>
      </c>
      <c r="B97" s="506">
        <v>17282.5</v>
      </c>
      <c r="C97" s="506">
        <v>182.48599999999999</v>
      </c>
      <c r="D97" s="509">
        <v>182.5</v>
      </c>
    </row>
    <row r="98" spans="1:4">
      <c r="A98" s="508" t="s">
        <v>2598</v>
      </c>
      <c r="B98" s="506">
        <v>9104.7999999999993</v>
      </c>
      <c r="C98" s="506">
        <v>131.1</v>
      </c>
      <c r="D98" s="509">
        <v>0</v>
      </c>
    </row>
    <row r="99" spans="1:4">
      <c r="A99" s="498" t="s">
        <v>2599</v>
      </c>
      <c r="B99" s="499">
        <f t="shared" ref="B99:D101" si="40">B100</f>
        <v>5471.3</v>
      </c>
      <c r="C99" s="499">
        <f t="shared" si="40"/>
        <v>5471.2809999999999</v>
      </c>
      <c r="D99" s="500">
        <f t="shared" si="40"/>
        <v>5471.3</v>
      </c>
    </row>
    <row r="100" spans="1:4">
      <c r="A100" s="501" t="s">
        <v>2535</v>
      </c>
      <c r="B100" s="502">
        <f t="shared" si="40"/>
        <v>5471.3</v>
      </c>
      <c r="C100" s="502">
        <f t="shared" si="40"/>
        <v>5471.2809999999999</v>
      </c>
      <c r="D100" s="503">
        <f t="shared" si="40"/>
        <v>5471.3</v>
      </c>
    </row>
    <row r="101" spans="1:4">
      <c r="A101" s="504" t="s">
        <v>2536</v>
      </c>
      <c r="B101" s="502">
        <f t="shared" si="40"/>
        <v>5471.3</v>
      </c>
      <c r="C101" s="502">
        <f t="shared" si="40"/>
        <v>5471.2809999999999</v>
      </c>
      <c r="D101" s="503">
        <f t="shared" si="40"/>
        <v>5471.3</v>
      </c>
    </row>
    <row r="102" spans="1:4" ht="25.5">
      <c r="A102" s="505" t="s">
        <v>2600</v>
      </c>
      <c r="B102" s="506">
        <v>5471.3</v>
      </c>
      <c r="C102" s="506">
        <v>5471.2809999999999</v>
      </c>
      <c r="D102" s="509">
        <v>5471.3</v>
      </c>
    </row>
    <row r="103" spans="1:4">
      <c r="A103" s="517" t="s">
        <v>2601</v>
      </c>
      <c r="B103" s="499">
        <f>B6+B11+B21+B29+B40+B44+B51+B59+B63+B74+B87+B91+B99</f>
        <v>2127402.1869999995</v>
      </c>
      <c r="C103" s="499">
        <f t="shared" ref="C103:D103" si="41">C6+C11+C21+C29+C40+C44+C51+C59+C63+C74+C87+C91+C99</f>
        <v>45420.555000000008</v>
      </c>
      <c r="D103" s="500">
        <f t="shared" si="41"/>
        <v>173475</v>
      </c>
    </row>
    <row r="104" spans="1:4">
      <c r="A104" s="518" t="s">
        <v>2602</v>
      </c>
      <c r="B104" s="506">
        <f>B9+B19+B27+B32+B34+B38+B54+B57+B66+B77+B81+B85</f>
        <v>1066656.04</v>
      </c>
      <c r="C104" s="506">
        <f t="shared" ref="C104" si="42">C9+C19+C27+C32+C34+C38+C54+C57+C66+C77+C81+C85</f>
        <v>0</v>
      </c>
      <c r="D104" s="2909">
        <f>D9+D14+D15+D18+D19+D20+D24+D27+D28+D32+D34+D38+D43+D47+D50+D54+D55+D57+D62+D66+D67+D70+D71+D73+D77+D81+D82+D85+D90+D94+D97+D98+D102</f>
        <v>173475</v>
      </c>
    </row>
    <row r="105" spans="1:4" s="521" customFormat="1" ht="15.75" thickBot="1">
      <c r="A105" s="519" t="s">
        <v>2603</v>
      </c>
      <c r="B105" s="520">
        <f>B10+B14+B15+B18+B20+B24+B28+B33+B35+B39+B43+B47+B50+B55+B58+B62+B67+B70+B71+B73+B78+B82+B86+B90+B94+B97+B98+B102</f>
        <v>1060746.1470000001</v>
      </c>
      <c r="C105" s="520">
        <f t="shared" ref="C105" si="43">C10+C14+C15+C18+C20+C24+C28+C33+C35+C39+C43+C47+C50+C55+C58+C62+C67+C70+C71+C73+C78+C82+C86+C90+C94+C97+C98+C102</f>
        <v>45420.555</v>
      </c>
      <c r="D105" s="2911"/>
    </row>
    <row r="106" spans="1:4" s="521" customFormat="1" ht="15">
      <c r="A106" s="522"/>
      <c r="B106" s="523"/>
      <c r="C106" s="523"/>
      <c r="D106" s="524"/>
    </row>
    <row r="107" spans="1:4" s="521" customFormat="1" ht="15">
      <c r="A107" s="522"/>
      <c r="B107" s="523"/>
      <c r="C107" s="523"/>
      <c r="D107" s="524"/>
    </row>
    <row r="108" spans="1:4" s="521" customFormat="1" ht="20.25">
      <c r="A108" s="525" t="s">
        <v>2604</v>
      </c>
      <c r="B108" s="526"/>
      <c r="C108" s="526"/>
      <c r="D108" s="527" t="s">
        <v>2605</v>
      </c>
    </row>
    <row r="109" spans="1:4" s="521" customFormat="1" ht="15">
      <c r="A109" s="528"/>
      <c r="B109" s="523"/>
      <c r="C109" s="523"/>
      <c r="D109" s="529"/>
    </row>
    <row r="110" spans="1:4" s="521" customFormat="1" ht="15">
      <c r="A110" s="528"/>
      <c r="B110" s="523"/>
      <c r="C110" s="523"/>
      <c r="D110" s="524"/>
    </row>
    <row r="111" spans="1:4">
      <c r="A111" s="528" t="s">
        <v>2606</v>
      </c>
      <c r="B111" s="530"/>
      <c r="C111" s="530"/>
      <c r="D111" s="530"/>
    </row>
    <row r="113" spans="1:4" ht="15">
      <c r="A113"/>
      <c r="B113"/>
      <c r="C113"/>
      <c r="D113"/>
    </row>
    <row r="114" spans="1:4" hidden="1">
      <c r="A114" s="531" t="s">
        <v>2558</v>
      </c>
      <c r="B114" s="532" t="e">
        <f>B49+B50+B55+B57+B58+B94+#REF!</f>
        <v>#REF!</v>
      </c>
      <c r="C114" s="532"/>
      <c r="D114" s="532" t="e">
        <f>D49+D50+D55+D57+D58+D94+#REF!</f>
        <v>#REF!</v>
      </c>
    </row>
    <row r="115" spans="1:4" hidden="1">
      <c r="A115" s="533" t="s">
        <v>2535</v>
      </c>
      <c r="B115" s="532" t="e">
        <f>B14+#REF!</f>
        <v>#REF!</v>
      </c>
      <c r="C115" s="532"/>
      <c r="D115" s="532" t="e">
        <f>D14+#REF!</f>
        <v>#REF!</v>
      </c>
    </row>
    <row r="116" spans="1:4" ht="25.5" hidden="1">
      <c r="A116" s="531" t="s">
        <v>2540</v>
      </c>
      <c r="B116" s="534" t="e">
        <f>#REF!</f>
        <v>#REF!</v>
      </c>
      <c r="C116" s="534"/>
      <c r="D116" s="534" t="e">
        <f>#REF!</f>
        <v>#REF!</v>
      </c>
    </row>
    <row r="117" spans="1:4" ht="25.5" hidden="1">
      <c r="A117" s="535" t="s">
        <v>2550</v>
      </c>
      <c r="B117" s="534" t="e">
        <f>#REF!</f>
        <v>#REF!</v>
      </c>
      <c r="C117" s="534"/>
      <c r="D117" s="534" t="e">
        <f>#REF!</f>
        <v>#REF!</v>
      </c>
    </row>
    <row r="118" spans="1:4" ht="25.5" hidden="1">
      <c r="A118" s="536" t="s">
        <v>2607</v>
      </c>
      <c r="B118" s="534" t="e">
        <f>B102+#REF!</f>
        <v>#REF!</v>
      </c>
      <c r="C118" s="534"/>
      <c r="D118" s="534" t="e">
        <f>D102+#REF!</f>
        <v>#REF!</v>
      </c>
    </row>
    <row r="119" spans="1:4" hidden="1">
      <c r="B119" s="538" t="e">
        <f>B114+B115+B116+B117+B118</f>
        <v>#REF!</v>
      </c>
      <c r="C119" s="538"/>
      <c r="D119" s="538" t="e">
        <f>D114+D115+D116+D117+D118</f>
        <v>#REF!</v>
      </c>
    </row>
    <row r="120" spans="1:4" hidden="1">
      <c r="B120" s="538"/>
      <c r="C120" s="538"/>
      <c r="D120" s="538"/>
    </row>
    <row r="122" spans="1:4">
      <c r="A122" s="528"/>
    </row>
  </sheetData>
  <mergeCells count="14">
    <mergeCell ref="A1:D1"/>
    <mergeCell ref="A2:D2"/>
    <mergeCell ref="A4:A5"/>
    <mergeCell ref="B4:B5"/>
    <mergeCell ref="C4:C5"/>
    <mergeCell ref="D4:D5"/>
    <mergeCell ref="D85:D86"/>
    <mergeCell ref="D104:D105"/>
    <mergeCell ref="D9:D10"/>
    <mergeCell ref="D32:D33"/>
    <mergeCell ref="D34:D35"/>
    <mergeCell ref="D38:D39"/>
    <mergeCell ref="D57:D58"/>
    <mergeCell ref="D77:D78"/>
  </mergeCells>
  <printOptions horizontalCentered="1"/>
  <pageMargins left="0.39370078740157483" right="0.39370078740157483" top="0.39370078740157483" bottom="0.39370078740157483" header="0.31496062992125984" footer="0.31496062992125984"/>
  <pageSetup paperSize="9" scale="75" fitToHeight="0" orientation="portrait" horizontalDpi="300" verticalDpi="300" r:id="rId1"/>
  <headerFooter differentFirst="1">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9"/>
  <sheetViews>
    <sheetView topLeftCell="A21" workbookViewId="0">
      <selection activeCell="D27" sqref="D27:D28"/>
    </sheetView>
  </sheetViews>
  <sheetFormatPr defaultColWidth="9.140625" defaultRowHeight="12.75"/>
  <cols>
    <col min="1" max="1" width="72.85546875" style="540" customWidth="1"/>
    <col min="2" max="2" width="12.42578125" style="601" customWidth="1"/>
    <col min="3" max="3" width="15" style="601" customWidth="1"/>
    <col min="4" max="4" width="11" style="601" customWidth="1"/>
    <col min="5" max="16384" width="9.140625" style="494"/>
  </cols>
  <sheetData>
    <row r="1" spans="1:4">
      <c r="A1" s="2925" t="s">
        <v>2608</v>
      </c>
      <c r="B1" s="2926"/>
      <c r="C1" s="2926"/>
      <c r="D1" s="2926"/>
    </row>
    <row r="2" spans="1:4">
      <c r="A2" s="2925" t="s">
        <v>2609</v>
      </c>
      <c r="B2" s="2926"/>
      <c r="C2" s="2926"/>
      <c r="D2" s="2926"/>
    </row>
    <row r="3" spans="1:4">
      <c r="A3" s="2925" t="s">
        <v>2610</v>
      </c>
      <c r="B3" s="2926"/>
      <c r="C3" s="2926"/>
      <c r="D3" s="2926"/>
    </row>
    <row r="4" spans="1:4" ht="13.5" thickBot="1">
      <c r="A4" s="540" t="s">
        <v>2526</v>
      </c>
      <c r="B4" s="537"/>
      <c r="C4" s="537"/>
      <c r="D4" s="497" t="s">
        <v>2528</v>
      </c>
    </row>
    <row r="5" spans="1:4" ht="26.25" customHeight="1">
      <c r="A5" s="2927" t="s">
        <v>2529</v>
      </c>
      <c r="B5" s="2916" t="s">
        <v>2530</v>
      </c>
      <c r="C5" s="2930" t="s">
        <v>2531</v>
      </c>
      <c r="D5" s="2932" t="s">
        <v>2532</v>
      </c>
    </row>
    <row r="6" spans="1:4" ht="32.25" customHeight="1" thickBot="1">
      <c r="A6" s="2928" t="s">
        <v>2526</v>
      </c>
      <c r="B6" s="2929"/>
      <c r="C6" s="2931"/>
      <c r="D6" s="2933"/>
    </row>
    <row r="7" spans="1:4" ht="13.5" thickBot="1">
      <c r="A7" s="2934" t="s">
        <v>318</v>
      </c>
      <c r="B7" s="2935"/>
      <c r="C7" s="2936"/>
      <c r="D7" s="2936"/>
    </row>
    <row r="8" spans="1:4" s="544" customFormat="1" ht="13.5">
      <c r="A8" s="541" t="s">
        <v>2611</v>
      </c>
      <c r="B8" s="542">
        <f>B9</f>
        <v>288647.40000000002</v>
      </c>
      <c r="C8" s="542">
        <f>C9</f>
        <v>7691.5</v>
      </c>
      <c r="D8" s="543">
        <f>D9</f>
        <v>27120.2</v>
      </c>
    </row>
    <row r="9" spans="1:4" s="544" customFormat="1">
      <c r="A9" s="517" t="s">
        <v>2612</v>
      </c>
      <c r="B9" s="545">
        <f>B10+B11+B12+B13+B14</f>
        <v>288647.40000000002</v>
      </c>
      <c r="C9" s="545">
        <f t="shared" ref="C9:D9" si="0">C10+C11+C12+C13+C14</f>
        <v>7691.5</v>
      </c>
      <c r="D9" s="546">
        <f t="shared" si="0"/>
        <v>27120.2</v>
      </c>
    </row>
    <row r="10" spans="1:4" s="544" customFormat="1" ht="25.5">
      <c r="A10" s="547" t="s">
        <v>2613</v>
      </c>
      <c r="B10" s="532">
        <v>74476.800000000003</v>
      </c>
      <c r="C10" s="548">
        <v>5987.7</v>
      </c>
      <c r="D10" s="549">
        <v>0</v>
      </c>
    </row>
    <row r="11" spans="1:4">
      <c r="A11" s="547" t="s">
        <v>2614</v>
      </c>
      <c r="B11" s="532">
        <v>112017</v>
      </c>
      <c r="C11" s="548">
        <v>0</v>
      </c>
      <c r="D11" s="549">
        <v>19191.2</v>
      </c>
    </row>
    <row r="12" spans="1:4">
      <c r="A12" s="550" t="s">
        <v>2615</v>
      </c>
      <c r="B12" s="532">
        <v>13153.6</v>
      </c>
      <c r="C12" s="548">
        <v>1703.8</v>
      </c>
      <c r="D12" s="549">
        <v>7929</v>
      </c>
    </row>
    <row r="13" spans="1:4" ht="25.5">
      <c r="A13" s="551" t="s">
        <v>2616</v>
      </c>
      <c r="B13" s="532">
        <v>69000</v>
      </c>
      <c r="C13" s="548">
        <v>0</v>
      </c>
      <c r="D13" s="549">
        <v>0</v>
      </c>
    </row>
    <row r="14" spans="1:4">
      <c r="A14" s="550" t="s">
        <v>2617</v>
      </c>
      <c r="B14" s="532">
        <v>20000</v>
      </c>
      <c r="C14" s="548">
        <v>0</v>
      </c>
      <c r="D14" s="549">
        <v>0</v>
      </c>
    </row>
    <row r="15" spans="1:4" ht="13.5">
      <c r="A15" s="552" t="s">
        <v>2558</v>
      </c>
      <c r="B15" s="553">
        <f t="shared" ref="B15:D15" si="1">B16</f>
        <v>124422.5</v>
      </c>
      <c r="C15" s="553">
        <f t="shared" si="1"/>
        <v>0</v>
      </c>
      <c r="D15" s="554">
        <f t="shared" si="1"/>
        <v>0</v>
      </c>
    </row>
    <row r="16" spans="1:4">
      <c r="A16" s="517" t="s">
        <v>973</v>
      </c>
      <c r="B16" s="545">
        <f>B17+B18+B19+B20</f>
        <v>124422.5</v>
      </c>
      <c r="C16" s="545">
        <f t="shared" ref="C16:D16" si="2">C17+C18+C19+C20</f>
        <v>0</v>
      </c>
      <c r="D16" s="546">
        <f t="shared" si="2"/>
        <v>0</v>
      </c>
    </row>
    <row r="17" spans="1:4" ht="25.5">
      <c r="A17" s="550" t="s">
        <v>2618</v>
      </c>
      <c r="B17" s="506">
        <v>94078.5</v>
      </c>
      <c r="C17" s="555">
        <v>0</v>
      </c>
      <c r="D17" s="509">
        <v>0</v>
      </c>
    </row>
    <row r="18" spans="1:4" ht="25.5">
      <c r="A18" s="556" t="s">
        <v>2619</v>
      </c>
      <c r="B18" s="506">
        <v>3000</v>
      </c>
      <c r="C18" s="555">
        <v>0</v>
      </c>
      <c r="D18" s="509">
        <v>0</v>
      </c>
    </row>
    <row r="19" spans="1:4">
      <c r="A19" s="557" t="s">
        <v>2617</v>
      </c>
      <c r="B19" s="506">
        <v>20000</v>
      </c>
      <c r="C19" s="555">
        <v>0</v>
      </c>
      <c r="D19" s="509">
        <v>0</v>
      </c>
    </row>
    <row r="20" spans="1:4" ht="25.5">
      <c r="A20" s="557" t="s">
        <v>2620</v>
      </c>
      <c r="B20" s="506">
        <v>7344</v>
      </c>
      <c r="C20" s="555">
        <v>0</v>
      </c>
      <c r="D20" s="509">
        <v>0</v>
      </c>
    </row>
    <row r="21" spans="1:4" ht="13.5">
      <c r="A21" s="552" t="s">
        <v>2535</v>
      </c>
      <c r="B21" s="558">
        <f>B22</f>
        <v>698015.00000000012</v>
      </c>
      <c r="C21" s="558">
        <f>C22</f>
        <v>44098.2</v>
      </c>
      <c r="D21" s="559">
        <f t="shared" ref="D21" si="3">D22</f>
        <v>204613.8</v>
      </c>
    </row>
    <row r="22" spans="1:4">
      <c r="A22" s="517" t="s">
        <v>1326</v>
      </c>
      <c r="B22" s="545">
        <f>B23+B24+B25+B26+B27+B28+B29+B30</f>
        <v>698015.00000000012</v>
      </c>
      <c r="C22" s="545">
        <f t="shared" ref="C22:D22" si="4">C23+C24+C25+C26+C27+C28+C29+C30</f>
        <v>44098.2</v>
      </c>
      <c r="D22" s="546">
        <f t="shared" si="4"/>
        <v>204613.8</v>
      </c>
    </row>
    <row r="23" spans="1:4" ht="25.5">
      <c r="A23" s="560" t="s">
        <v>2621</v>
      </c>
      <c r="B23" s="506">
        <v>123059.6</v>
      </c>
      <c r="C23" s="555">
        <v>0</v>
      </c>
      <c r="D23" s="2909">
        <f>26822.6+9562</f>
        <v>36384.6</v>
      </c>
    </row>
    <row r="24" spans="1:4">
      <c r="A24" s="560" t="s">
        <v>2622</v>
      </c>
      <c r="B24" s="506">
        <v>122958.3</v>
      </c>
      <c r="C24" s="555">
        <v>44098.2</v>
      </c>
      <c r="D24" s="2910"/>
    </row>
    <row r="25" spans="1:4" ht="38.25">
      <c r="A25" s="550" t="s">
        <v>2623</v>
      </c>
      <c r="B25" s="561">
        <v>203039</v>
      </c>
      <c r="C25" s="555">
        <v>0</v>
      </c>
      <c r="D25" s="2909">
        <v>74326.8</v>
      </c>
    </row>
    <row r="26" spans="1:4" ht="38.25">
      <c r="A26" s="550" t="s">
        <v>2624</v>
      </c>
      <c r="B26" s="561">
        <v>82932.800000000003</v>
      </c>
      <c r="C26" s="555">
        <v>0</v>
      </c>
      <c r="D26" s="2910"/>
    </row>
    <row r="27" spans="1:4" ht="38.25">
      <c r="A27" s="550" t="s">
        <v>2625</v>
      </c>
      <c r="B27" s="561">
        <v>68609.3</v>
      </c>
      <c r="C27" s="555">
        <v>0</v>
      </c>
      <c r="D27" s="2909">
        <v>93902.399999999994</v>
      </c>
    </row>
    <row r="28" spans="1:4" ht="38.25">
      <c r="A28" s="550" t="s">
        <v>2626</v>
      </c>
      <c r="B28" s="561">
        <v>67417.5</v>
      </c>
      <c r="C28" s="555">
        <v>0</v>
      </c>
      <c r="D28" s="2910"/>
    </row>
    <row r="29" spans="1:4">
      <c r="A29" s="551" t="s">
        <v>2627</v>
      </c>
      <c r="B29" s="561">
        <v>9998.5</v>
      </c>
      <c r="C29" s="555">
        <v>0</v>
      </c>
      <c r="D29" s="509">
        <v>0</v>
      </c>
    </row>
    <row r="30" spans="1:4">
      <c r="A30" s="557" t="s">
        <v>2617</v>
      </c>
      <c r="B30" s="561">
        <v>20000</v>
      </c>
      <c r="C30" s="555">
        <v>0</v>
      </c>
      <c r="D30" s="509">
        <v>0</v>
      </c>
    </row>
    <row r="31" spans="1:4" ht="27">
      <c r="A31" s="552" t="s">
        <v>2540</v>
      </c>
      <c r="B31" s="553">
        <f>B32+B36</f>
        <v>526983.30000000005</v>
      </c>
      <c r="C31" s="553">
        <f>C32+C36</f>
        <v>28827.200000000001</v>
      </c>
      <c r="D31" s="554">
        <f>D32+D36</f>
        <v>40881.300000000003</v>
      </c>
    </row>
    <row r="32" spans="1:4" ht="13.5">
      <c r="A32" s="562" t="s">
        <v>1353</v>
      </c>
      <c r="B32" s="553">
        <f>B33+B34+B35</f>
        <v>76915.100000000006</v>
      </c>
      <c r="C32" s="553">
        <f t="shared" ref="C32:D32" si="5">C33+C34+C35</f>
        <v>0</v>
      </c>
      <c r="D32" s="554">
        <f t="shared" si="5"/>
        <v>0</v>
      </c>
    </row>
    <row r="33" spans="1:6" ht="51">
      <c r="A33" s="563" t="s">
        <v>2628</v>
      </c>
      <c r="B33" s="561">
        <v>53931.7</v>
      </c>
      <c r="C33" s="564">
        <v>0</v>
      </c>
      <c r="D33" s="2909">
        <v>0</v>
      </c>
    </row>
    <row r="34" spans="1:6" ht="51">
      <c r="A34" s="563" t="s">
        <v>2629</v>
      </c>
      <c r="B34" s="561">
        <v>22028.400000000001</v>
      </c>
      <c r="C34" s="564">
        <v>0</v>
      </c>
      <c r="D34" s="2910"/>
    </row>
    <row r="35" spans="1:6" ht="38.25">
      <c r="A35" s="563" t="s">
        <v>2630</v>
      </c>
      <c r="B35" s="561">
        <v>955</v>
      </c>
      <c r="C35" s="564">
        <v>0</v>
      </c>
      <c r="D35" s="509">
        <v>0</v>
      </c>
    </row>
    <row r="36" spans="1:6" ht="13.5">
      <c r="A36" s="513" t="s">
        <v>1375</v>
      </c>
      <c r="B36" s="553">
        <f>B37+B38+B39+B40</f>
        <v>450068.2</v>
      </c>
      <c r="C36" s="553">
        <f>C37+C38+C39+C40</f>
        <v>28827.200000000001</v>
      </c>
      <c r="D36" s="554">
        <f>D37+D38+D39+D40</f>
        <v>40881.300000000003</v>
      </c>
    </row>
    <row r="37" spans="1:6" ht="51">
      <c r="A37" s="508" t="s">
        <v>2631</v>
      </c>
      <c r="B37" s="565">
        <v>179260</v>
      </c>
      <c r="C37" s="566">
        <v>0</v>
      </c>
      <c r="D37" s="2909">
        <v>40881.300000000003</v>
      </c>
      <c r="F37" s="567"/>
    </row>
    <row r="38" spans="1:6" ht="51">
      <c r="A38" s="508" t="s">
        <v>2632</v>
      </c>
      <c r="B38" s="565">
        <v>244323.9</v>
      </c>
      <c r="C38" s="566">
        <v>28827.200000000001</v>
      </c>
      <c r="D38" s="2910"/>
      <c r="F38" s="567"/>
    </row>
    <row r="39" spans="1:6">
      <c r="A39" s="557" t="s">
        <v>2633</v>
      </c>
      <c r="B39" s="565">
        <v>10301.200000000001</v>
      </c>
      <c r="C39" s="566">
        <v>0</v>
      </c>
      <c r="D39" s="509">
        <v>0</v>
      </c>
    </row>
    <row r="40" spans="1:6" ht="51">
      <c r="A40" s="557" t="s">
        <v>2634</v>
      </c>
      <c r="B40" s="565">
        <v>16183.1</v>
      </c>
      <c r="C40" s="566">
        <v>0</v>
      </c>
      <c r="D40" s="509">
        <v>0</v>
      </c>
    </row>
    <row r="41" spans="1:6" ht="27">
      <c r="A41" s="552" t="s">
        <v>2550</v>
      </c>
      <c r="B41" s="568">
        <f t="shared" ref="B41:D41" si="6">B42</f>
        <v>165994.1</v>
      </c>
      <c r="C41" s="568">
        <f t="shared" si="6"/>
        <v>0</v>
      </c>
      <c r="D41" s="569">
        <f t="shared" si="6"/>
        <v>0</v>
      </c>
    </row>
    <row r="42" spans="1:6" ht="25.5">
      <c r="A42" s="570" t="s">
        <v>2635</v>
      </c>
      <c r="B42" s="499">
        <f>B43+B44+B45+B46</f>
        <v>165994.1</v>
      </c>
      <c r="C42" s="499">
        <f t="shared" ref="C42:D42" si="7">C43+C44+C45+C46</f>
        <v>0</v>
      </c>
      <c r="D42" s="500">
        <f t="shared" si="7"/>
        <v>0</v>
      </c>
    </row>
    <row r="43" spans="1:6" ht="25.5">
      <c r="A43" s="560" t="s">
        <v>2636</v>
      </c>
      <c r="B43" s="565">
        <v>46005</v>
      </c>
      <c r="C43" s="566">
        <v>0</v>
      </c>
      <c r="D43" s="509">
        <v>0</v>
      </c>
    </row>
    <row r="44" spans="1:6">
      <c r="A44" s="551" t="s">
        <v>2637</v>
      </c>
      <c r="B44" s="565">
        <v>43007.7</v>
      </c>
      <c r="C44" s="566">
        <v>0</v>
      </c>
      <c r="D44" s="509">
        <v>0</v>
      </c>
    </row>
    <row r="45" spans="1:6">
      <c r="A45" s="551" t="s">
        <v>2638</v>
      </c>
      <c r="B45" s="565">
        <v>39981.4</v>
      </c>
      <c r="C45" s="566">
        <v>0</v>
      </c>
      <c r="D45" s="509">
        <v>0</v>
      </c>
    </row>
    <row r="46" spans="1:6" ht="25.5">
      <c r="A46" s="571" t="s">
        <v>2639</v>
      </c>
      <c r="B46" s="565">
        <v>37000</v>
      </c>
      <c r="C46" s="566">
        <v>0</v>
      </c>
      <c r="D46" s="509">
        <v>0</v>
      </c>
    </row>
    <row r="47" spans="1:6" ht="27">
      <c r="A47" s="552" t="s">
        <v>2640</v>
      </c>
      <c r="B47" s="553">
        <f>B48</f>
        <v>34211.699999999997</v>
      </c>
      <c r="C47" s="553">
        <f>C48</f>
        <v>34211.699999999997</v>
      </c>
      <c r="D47" s="554">
        <f t="shared" ref="D47" si="8">D48</f>
        <v>24019.3</v>
      </c>
    </row>
    <row r="48" spans="1:6">
      <c r="A48" s="517" t="s">
        <v>1646</v>
      </c>
      <c r="B48" s="545">
        <f>B49</f>
        <v>34211.699999999997</v>
      </c>
      <c r="C48" s="545">
        <f>C49</f>
        <v>34211.699999999997</v>
      </c>
      <c r="D48" s="546">
        <f>D49</f>
        <v>24019.3</v>
      </c>
    </row>
    <row r="49" spans="1:10">
      <c r="A49" s="572" t="s">
        <v>2641</v>
      </c>
      <c r="B49" s="573">
        <v>34211.699999999997</v>
      </c>
      <c r="C49" s="574">
        <v>34211.699999999997</v>
      </c>
      <c r="D49" s="575">
        <v>24019.3</v>
      </c>
    </row>
    <row r="50" spans="1:10" ht="27">
      <c r="A50" s="576" t="s">
        <v>2544</v>
      </c>
      <c r="B50" s="553">
        <f>B51</f>
        <v>119084.5</v>
      </c>
      <c r="C50" s="553">
        <f t="shared" ref="C50:D50" si="9">C51</f>
        <v>0</v>
      </c>
      <c r="D50" s="554">
        <f t="shared" si="9"/>
        <v>4848</v>
      </c>
    </row>
    <row r="51" spans="1:10" ht="35.25" customHeight="1">
      <c r="A51" s="577" t="s">
        <v>2642</v>
      </c>
      <c r="B51" s="545">
        <f>B52+B53</f>
        <v>119084.5</v>
      </c>
      <c r="C51" s="545">
        <f t="shared" ref="C51:D51" si="10">C52+C53</f>
        <v>0</v>
      </c>
      <c r="D51" s="546">
        <f t="shared" si="10"/>
        <v>4848</v>
      </c>
    </row>
    <row r="52" spans="1:10" ht="28.5" customHeight="1">
      <c r="A52" s="557" t="s">
        <v>2643</v>
      </c>
      <c r="B52" s="578">
        <v>84550</v>
      </c>
      <c r="C52" s="578">
        <v>0</v>
      </c>
      <c r="D52" s="2920">
        <v>4848</v>
      </c>
    </row>
    <row r="53" spans="1:10" ht="30" customHeight="1" thickBot="1">
      <c r="A53" s="579" t="s">
        <v>2644</v>
      </c>
      <c r="B53" s="580">
        <v>34534.5</v>
      </c>
      <c r="C53" s="580">
        <v>0</v>
      </c>
      <c r="D53" s="2911"/>
    </row>
    <row r="54" spans="1:10" ht="13.5" thickBot="1">
      <c r="A54" s="2921" t="s">
        <v>1568</v>
      </c>
      <c r="B54" s="2921"/>
      <c r="C54" s="2921"/>
      <c r="D54" s="2921"/>
    </row>
    <row r="55" spans="1:10" ht="13.5">
      <c r="A55" s="541" t="s">
        <v>2645</v>
      </c>
      <c r="B55" s="542">
        <f>B56</f>
        <v>463953.1</v>
      </c>
      <c r="C55" s="542">
        <f>C56</f>
        <v>19601</v>
      </c>
      <c r="D55" s="543">
        <f>D56</f>
        <v>0</v>
      </c>
    </row>
    <row r="56" spans="1:10" s="581" customFormat="1">
      <c r="A56" s="517" t="s">
        <v>1879</v>
      </c>
      <c r="B56" s="545">
        <f>B57+B58+B59</f>
        <v>463953.1</v>
      </c>
      <c r="C56" s="545">
        <f t="shared" ref="C56:D56" si="11">C57+C58+C59</f>
        <v>19601</v>
      </c>
      <c r="D56" s="546">
        <f t="shared" si="11"/>
        <v>0</v>
      </c>
    </row>
    <row r="57" spans="1:10">
      <c r="A57" s="582" t="s">
        <v>2646</v>
      </c>
      <c r="B57" s="583">
        <v>74944.3</v>
      </c>
      <c r="C57" s="584">
        <v>15944.3</v>
      </c>
      <c r="D57" s="575">
        <v>0</v>
      </c>
    </row>
    <row r="58" spans="1:10" ht="25.5">
      <c r="A58" s="547" t="s">
        <v>2647</v>
      </c>
      <c r="B58" s="532">
        <v>100000</v>
      </c>
      <c r="C58" s="532">
        <v>0</v>
      </c>
      <c r="D58" s="2909">
        <v>0</v>
      </c>
    </row>
    <row r="59" spans="1:10" ht="13.5" thickBot="1">
      <c r="A59" s="585" t="s">
        <v>2648</v>
      </c>
      <c r="B59" s="586">
        <v>289008.8</v>
      </c>
      <c r="C59" s="586">
        <v>3656.7</v>
      </c>
      <c r="D59" s="2911"/>
    </row>
    <row r="60" spans="1:10" ht="15.75" thickBot="1">
      <c r="A60" s="2922" t="s">
        <v>896</v>
      </c>
      <c r="B60" s="2923"/>
      <c r="C60" s="2923"/>
      <c r="D60" s="2924"/>
      <c r="E60" s="587"/>
      <c r="F60" s="587"/>
      <c r="G60" s="587"/>
      <c r="H60" s="587"/>
      <c r="I60" s="587"/>
      <c r="J60" s="587"/>
    </row>
    <row r="61" spans="1:10" ht="27">
      <c r="A61" s="588" t="s">
        <v>2540</v>
      </c>
      <c r="B61" s="542">
        <f>B62</f>
        <v>33399.991000000002</v>
      </c>
      <c r="C61" s="542">
        <f t="shared" ref="C61:D61" si="12">C62</f>
        <v>0</v>
      </c>
      <c r="D61" s="543">
        <f t="shared" si="12"/>
        <v>0</v>
      </c>
    </row>
    <row r="62" spans="1:10">
      <c r="A62" s="504" t="s">
        <v>1353</v>
      </c>
      <c r="B62" s="589">
        <f>B63+B64</f>
        <v>33399.991000000002</v>
      </c>
      <c r="C62" s="589">
        <f t="shared" ref="C62:D62" si="13">C63+C64</f>
        <v>0</v>
      </c>
      <c r="D62" s="590">
        <f t="shared" si="13"/>
        <v>0</v>
      </c>
    </row>
    <row r="63" spans="1:10" ht="51">
      <c r="A63" s="557" t="s">
        <v>2649</v>
      </c>
      <c r="B63" s="532">
        <v>23714</v>
      </c>
      <c r="C63" s="532">
        <v>0</v>
      </c>
      <c r="D63" s="2909">
        <v>0</v>
      </c>
    </row>
    <row r="64" spans="1:10" ht="51.75" thickBot="1">
      <c r="A64" s="579" t="s">
        <v>2650</v>
      </c>
      <c r="B64" s="586">
        <v>9685.991</v>
      </c>
      <c r="C64" s="586">
        <v>0</v>
      </c>
      <c r="D64" s="2911"/>
    </row>
    <row r="65" spans="1:4">
      <c r="A65" s="591" t="s">
        <v>2651</v>
      </c>
      <c r="B65" s="592">
        <f>B8+B15+B21+B31+B41+B47+B50+B55+B61</f>
        <v>2454711.591</v>
      </c>
      <c r="C65" s="592">
        <f>C8+C15+C21+C31+C41+C47+C55</f>
        <v>134429.59999999998</v>
      </c>
      <c r="D65" s="593">
        <f>D8+D15+D21+D31+D41+D47+D50+D55+D61</f>
        <v>301482.59999999998</v>
      </c>
    </row>
    <row r="66" spans="1:4">
      <c r="A66" s="594" t="s">
        <v>2602</v>
      </c>
      <c r="B66" s="532">
        <f>B23+B25+B27+B33+B37+B52+B58+B63</f>
        <v>836163.6</v>
      </c>
      <c r="C66" s="532">
        <f>C23+C25+C27+C33+C37+C52+C58+C63</f>
        <v>0</v>
      </c>
      <c r="D66" s="2909">
        <f>D10+D11+D12+D13+D14+D17+D18+D19+D20+D23+D25+D27+D29+D30+D33+D35+D37+D39+D40+D43+D44+D45+D46+D49+D52+D57+D58+D63</f>
        <v>301482.59999999998</v>
      </c>
    </row>
    <row r="67" spans="1:4">
      <c r="A67" s="594" t="s">
        <v>2603</v>
      </c>
      <c r="B67" s="532">
        <f>B10+B11+B12+B13+B14+B17+B18+B19+B20+B24+B26+B28+B29+B30+B34+B35+B38+B39+B40+B43+B44+B45+B46+B49+B53+B57+B59+B64</f>
        <v>1618547.9909999999</v>
      </c>
      <c r="C67" s="532">
        <f>C10+C11+C12+C13+C14+C17+C18+C19+C20+C24+C26+C28+C29+C30+C34+C35+C38+C39+C40+C43+C44+C45+C46+C49+C53+C57+C59+C64</f>
        <v>134429.6</v>
      </c>
      <c r="D67" s="2910"/>
    </row>
    <row r="68" spans="1:4">
      <c r="A68" s="511" t="s">
        <v>2652</v>
      </c>
      <c r="B68" s="595">
        <f>B69+B70</f>
        <v>2127402.1869999999</v>
      </c>
      <c r="C68" s="595">
        <f>C69+C70</f>
        <v>45420.555</v>
      </c>
      <c r="D68" s="596">
        <f>D69</f>
        <v>173475</v>
      </c>
    </row>
    <row r="69" spans="1:4">
      <c r="A69" s="594" t="s">
        <v>2602</v>
      </c>
      <c r="B69" s="532">
        <f>[9]Муниципальные!$B$104</f>
        <v>1066656.04</v>
      </c>
      <c r="C69" s="548">
        <f>[9]Муниципальные!$C$104</f>
        <v>0</v>
      </c>
      <c r="D69" s="2909">
        <f>[9]Муниципальные!$D$103</f>
        <v>173475</v>
      </c>
    </row>
    <row r="70" spans="1:4">
      <c r="A70" s="594" t="s">
        <v>2603</v>
      </c>
      <c r="B70" s="532">
        <f>[9]Муниципальные!$B$105</f>
        <v>1060746.1470000001</v>
      </c>
      <c r="C70" s="548">
        <f>[9]Муниципальные!$C$105</f>
        <v>45420.555</v>
      </c>
      <c r="D70" s="2910"/>
    </row>
    <row r="71" spans="1:4">
      <c r="A71" s="597" t="s">
        <v>2653</v>
      </c>
      <c r="B71" s="589">
        <f t="shared" ref="B71:C72" si="14">B65+B68</f>
        <v>4582113.7779999999</v>
      </c>
      <c r="C71" s="589">
        <f t="shared" si="14"/>
        <v>179850.15499999997</v>
      </c>
      <c r="D71" s="590">
        <f>D65+D68</f>
        <v>474957.6</v>
      </c>
    </row>
    <row r="72" spans="1:4">
      <c r="A72" s="594" t="s">
        <v>2602</v>
      </c>
      <c r="B72" s="532">
        <f t="shared" si="14"/>
        <v>1902819.6400000001</v>
      </c>
      <c r="C72" s="532">
        <f t="shared" si="14"/>
        <v>0</v>
      </c>
      <c r="D72" s="2909">
        <f>D66+D69</f>
        <v>474957.6</v>
      </c>
    </row>
    <row r="73" spans="1:4" ht="13.5" thickBot="1">
      <c r="A73" s="598" t="s">
        <v>2603</v>
      </c>
      <c r="B73" s="586">
        <f>B67+B70</f>
        <v>2679294.1380000003</v>
      </c>
      <c r="C73" s="586">
        <f>C67+C70</f>
        <v>179850.155</v>
      </c>
      <c r="D73" s="2911"/>
    </row>
    <row r="74" spans="1:4">
      <c r="A74" s="599"/>
      <c r="B74" s="600"/>
      <c r="C74" s="600"/>
      <c r="D74" s="600"/>
    </row>
    <row r="75" spans="1:4">
      <c r="A75" s="599"/>
      <c r="B75" s="600"/>
      <c r="C75" s="600"/>
      <c r="D75" s="600"/>
    </row>
    <row r="76" spans="1:4" ht="20.25">
      <c r="A76" s="525" t="s">
        <v>2604</v>
      </c>
      <c r="B76" s="526"/>
      <c r="C76" s="526"/>
      <c r="D76" s="527" t="s">
        <v>2605</v>
      </c>
    </row>
    <row r="77" spans="1:4">
      <c r="A77" s="528"/>
      <c r="B77" s="523"/>
      <c r="C77" s="523"/>
      <c r="D77" s="529"/>
    </row>
    <row r="79" spans="1:4">
      <c r="A79" s="528" t="s">
        <v>2606</v>
      </c>
    </row>
  </sheetData>
  <mergeCells count="21">
    <mergeCell ref="D37:D38"/>
    <mergeCell ref="A1:D1"/>
    <mergeCell ref="A2:D2"/>
    <mergeCell ref="A3:D3"/>
    <mergeCell ref="A5:A6"/>
    <mergeCell ref="B5:B6"/>
    <mergeCell ref="C5:C6"/>
    <mergeCell ref="D5:D6"/>
    <mergeCell ref="A7:D7"/>
    <mergeCell ref="D23:D24"/>
    <mergeCell ref="D25:D26"/>
    <mergeCell ref="D27:D28"/>
    <mergeCell ref="D33:D34"/>
    <mergeCell ref="D69:D70"/>
    <mergeCell ref="D72:D73"/>
    <mergeCell ref="D52:D53"/>
    <mergeCell ref="A54:D54"/>
    <mergeCell ref="D58:D59"/>
    <mergeCell ref="A60:D60"/>
    <mergeCell ref="D63:D64"/>
    <mergeCell ref="D66:D67"/>
  </mergeCells>
  <printOptions horizontalCentered="1"/>
  <pageMargins left="0.70866141732283472" right="0.70866141732283472" top="0.74803149606299213" bottom="0.74803149606299213" header="0.31496062992125984" footer="0.31496062992125984"/>
  <pageSetup paperSize="9" scale="75" fitToHeight="0" orientation="portrait" horizontalDpi="300" verticalDpi="300" r:id="rId1"/>
  <headerFooter differentFirst="1">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3" tint="0.39997558519241921"/>
  </sheetPr>
  <dimension ref="A1:L281"/>
  <sheetViews>
    <sheetView view="pageBreakPreview" topLeftCell="A147" zoomScale="90" zoomScaleNormal="90" zoomScaleSheetLayoutView="90" workbookViewId="0">
      <selection activeCell="B164" sqref="B164:B166"/>
    </sheetView>
  </sheetViews>
  <sheetFormatPr defaultColWidth="8.85546875" defaultRowHeight="15" outlineLevelRow="1"/>
  <cols>
    <col min="1" max="1" width="7.28515625" style="450" customWidth="1"/>
    <col min="2" max="2" width="43.7109375" style="648" customWidth="1"/>
    <col min="3" max="3" width="8.7109375" style="2" customWidth="1"/>
    <col min="4" max="4" width="8.85546875" style="125" customWidth="1"/>
    <col min="5" max="5" width="10.7109375" style="4" customWidth="1"/>
    <col min="6" max="6" width="11.85546875" style="3" customWidth="1"/>
    <col min="7" max="7" width="10.85546875" style="4" customWidth="1"/>
    <col min="8" max="8" width="10.42578125" style="4" customWidth="1"/>
    <col min="9" max="9" width="9.7109375" style="4" customWidth="1"/>
    <col min="10" max="10" width="60.28515625" style="126" customWidth="1"/>
    <col min="11" max="11" width="50.7109375" style="127" customWidth="1"/>
    <col min="12" max="12" width="12.140625" customWidth="1"/>
    <col min="257" max="257" width="7.28515625" customWidth="1"/>
    <col min="258" max="258" width="43.7109375" customWidth="1"/>
    <col min="259" max="259" width="8.7109375" customWidth="1"/>
    <col min="260" max="260" width="8.85546875" customWidth="1"/>
    <col min="261" max="261" width="10.7109375" customWidth="1"/>
    <col min="262" max="262" width="11.85546875" customWidth="1"/>
    <col min="263" max="263" width="10.85546875" customWidth="1"/>
    <col min="264" max="264" width="10.42578125" customWidth="1"/>
    <col min="265" max="265" width="9.7109375" customWidth="1"/>
    <col min="266" max="266" width="60.28515625" customWidth="1"/>
    <col min="267" max="267" width="50.7109375" customWidth="1"/>
    <col min="268" max="268" width="12.140625" customWidth="1"/>
    <col min="513" max="513" width="7.28515625" customWidth="1"/>
    <col min="514" max="514" width="43.7109375" customWidth="1"/>
    <col min="515" max="515" width="8.7109375" customWidth="1"/>
    <col min="516" max="516" width="8.85546875" customWidth="1"/>
    <col min="517" max="517" width="10.7109375" customWidth="1"/>
    <col min="518" max="518" width="11.85546875" customWidth="1"/>
    <col min="519" max="519" width="10.85546875" customWidth="1"/>
    <col min="520" max="520" width="10.42578125" customWidth="1"/>
    <col min="521" max="521" width="9.7109375" customWidth="1"/>
    <col min="522" max="522" width="60.28515625" customWidth="1"/>
    <col min="523" max="523" width="50.7109375" customWidth="1"/>
    <col min="524" max="524" width="12.140625" customWidth="1"/>
    <col min="769" max="769" width="7.28515625" customWidth="1"/>
    <col min="770" max="770" width="43.7109375" customWidth="1"/>
    <col min="771" max="771" width="8.7109375" customWidth="1"/>
    <col min="772" max="772" width="8.85546875" customWidth="1"/>
    <col min="773" max="773" width="10.7109375" customWidth="1"/>
    <col min="774" max="774" width="11.85546875" customWidth="1"/>
    <col min="775" max="775" width="10.85546875" customWidth="1"/>
    <col min="776" max="776" width="10.42578125" customWidth="1"/>
    <col min="777" max="777" width="9.7109375" customWidth="1"/>
    <col min="778" max="778" width="60.28515625" customWidth="1"/>
    <col min="779" max="779" width="50.7109375" customWidth="1"/>
    <col min="780" max="780" width="12.140625" customWidth="1"/>
    <col min="1025" max="1025" width="7.28515625" customWidth="1"/>
    <col min="1026" max="1026" width="43.7109375" customWidth="1"/>
    <col min="1027" max="1027" width="8.7109375" customWidth="1"/>
    <col min="1028" max="1028" width="8.85546875" customWidth="1"/>
    <col min="1029" max="1029" width="10.7109375" customWidth="1"/>
    <col min="1030" max="1030" width="11.85546875" customWidth="1"/>
    <col min="1031" max="1031" width="10.85546875" customWidth="1"/>
    <col min="1032" max="1032" width="10.42578125" customWidth="1"/>
    <col min="1033" max="1033" width="9.7109375" customWidth="1"/>
    <col min="1034" max="1034" width="60.28515625" customWidth="1"/>
    <col min="1035" max="1035" width="50.7109375" customWidth="1"/>
    <col min="1036" max="1036" width="12.140625" customWidth="1"/>
    <col min="1281" max="1281" width="7.28515625" customWidth="1"/>
    <col min="1282" max="1282" width="43.7109375" customWidth="1"/>
    <col min="1283" max="1283" width="8.7109375" customWidth="1"/>
    <col min="1284" max="1284" width="8.85546875" customWidth="1"/>
    <col min="1285" max="1285" width="10.7109375" customWidth="1"/>
    <col min="1286" max="1286" width="11.85546875" customWidth="1"/>
    <col min="1287" max="1287" width="10.85546875" customWidth="1"/>
    <col min="1288" max="1288" width="10.42578125" customWidth="1"/>
    <col min="1289" max="1289" width="9.7109375" customWidth="1"/>
    <col min="1290" max="1290" width="60.28515625" customWidth="1"/>
    <col min="1291" max="1291" width="50.7109375" customWidth="1"/>
    <col min="1292" max="1292" width="12.140625" customWidth="1"/>
    <col min="1537" max="1537" width="7.28515625" customWidth="1"/>
    <col min="1538" max="1538" width="43.7109375" customWidth="1"/>
    <col min="1539" max="1539" width="8.7109375" customWidth="1"/>
    <col min="1540" max="1540" width="8.85546875" customWidth="1"/>
    <col min="1541" max="1541" width="10.7109375" customWidth="1"/>
    <col min="1542" max="1542" width="11.85546875" customWidth="1"/>
    <col min="1543" max="1543" width="10.85546875" customWidth="1"/>
    <col min="1544" max="1544" width="10.42578125" customWidth="1"/>
    <col min="1545" max="1545" width="9.7109375" customWidth="1"/>
    <col min="1546" max="1546" width="60.28515625" customWidth="1"/>
    <col min="1547" max="1547" width="50.7109375" customWidth="1"/>
    <col min="1548" max="1548" width="12.140625" customWidth="1"/>
    <col min="1793" max="1793" width="7.28515625" customWidth="1"/>
    <col min="1794" max="1794" width="43.7109375" customWidth="1"/>
    <col min="1795" max="1795" width="8.7109375" customWidth="1"/>
    <col min="1796" max="1796" width="8.85546875" customWidth="1"/>
    <col min="1797" max="1797" width="10.7109375" customWidth="1"/>
    <col min="1798" max="1798" width="11.85546875" customWidth="1"/>
    <col min="1799" max="1799" width="10.85546875" customWidth="1"/>
    <col min="1800" max="1800" width="10.42578125" customWidth="1"/>
    <col min="1801" max="1801" width="9.7109375" customWidth="1"/>
    <col min="1802" max="1802" width="60.28515625" customWidth="1"/>
    <col min="1803" max="1803" width="50.7109375" customWidth="1"/>
    <col min="1804" max="1804" width="12.140625" customWidth="1"/>
    <col min="2049" max="2049" width="7.28515625" customWidth="1"/>
    <col min="2050" max="2050" width="43.7109375" customWidth="1"/>
    <col min="2051" max="2051" width="8.7109375" customWidth="1"/>
    <col min="2052" max="2052" width="8.85546875" customWidth="1"/>
    <col min="2053" max="2053" width="10.7109375" customWidth="1"/>
    <col min="2054" max="2054" width="11.85546875" customWidth="1"/>
    <col min="2055" max="2055" width="10.85546875" customWidth="1"/>
    <col min="2056" max="2056" width="10.42578125" customWidth="1"/>
    <col min="2057" max="2057" width="9.7109375" customWidth="1"/>
    <col min="2058" max="2058" width="60.28515625" customWidth="1"/>
    <col min="2059" max="2059" width="50.7109375" customWidth="1"/>
    <col min="2060" max="2060" width="12.140625" customWidth="1"/>
    <col min="2305" max="2305" width="7.28515625" customWidth="1"/>
    <col min="2306" max="2306" width="43.7109375" customWidth="1"/>
    <col min="2307" max="2307" width="8.7109375" customWidth="1"/>
    <col min="2308" max="2308" width="8.85546875" customWidth="1"/>
    <col min="2309" max="2309" width="10.7109375" customWidth="1"/>
    <col min="2310" max="2310" width="11.85546875" customWidth="1"/>
    <col min="2311" max="2311" width="10.85546875" customWidth="1"/>
    <col min="2312" max="2312" width="10.42578125" customWidth="1"/>
    <col min="2313" max="2313" width="9.7109375" customWidth="1"/>
    <col min="2314" max="2314" width="60.28515625" customWidth="1"/>
    <col min="2315" max="2315" width="50.7109375" customWidth="1"/>
    <col min="2316" max="2316" width="12.140625" customWidth="1"/>
    <col min="2561" max="2561" width="7.28515625" customWidth="1"/>
    <col min="2562" max="2562" width="43.7109375" customWidth="1"/>
    <col min="2563" max="2563" width="8.7109375" customWidth="1"/>
    <col min="2564" max="2564" width="8.85546875" customWidth="1"/>
    <col min="2565" max="2565" width="10.7109375" customWidth="1"/>
    <col min="2566" max="2566" width="11.85546875" customWidth="1"/>
    <col min="2567" max="2567" width="10.85546875" customWidth="1"/>
    <col min="2568" max="2568" width="10.42578125" customWidth="1"/>
    <col min="2569" max="2569" width="9.7109375" customWidth="1"/>
    <col min="2570" max="2570" width="60.28515625" customWidth="1"/>
    <col min="2571" max="2571" width="50.7109375" customWidth="1"/>
    <col min="2572" max="2572" width="12.140625" customWidth="1"/>
    <col min="2817" max="2817" width="7.28515625" customWidth="1"/>
    <col min="2818" max="2818" width="43.7109375" customWidth="1"/>
    <col min="2819" max="2819" width="8.7109375" customWidth="1"/>
    <col min="2820" max="2820" width="8.85546875" customWidth="1"/>
    <col min="2821" max="2821" width="10.7109375" customWidth="1"/>
    <col min="2822" max="2822" width="11.85546875" customWidth="1"/>
    <col min="2823" max="2823" width="10.85546875" customWidth="1"/>
    <col min="2824" max="2824" width="10.42578125" customWidth="1"/>
    <col min="2825" max="2825" width="9.7109375" customWidth="1"/>
    <col min="2826" max="2826" width="60.28515625" customWidth="1"/>
    <col min="2827" max="2827" width="50.7109375" customWidth="1"/>
    <col min="2828" max="2828" width="12.140625" customWidth="1"/>
    <col min="3073" max="3073" width="7.28515625" customWidth="1"/>
    <col min="3074" max="3074" width="43.7109375" customWidth="1"/>
    <col min="3075" max="3075" width="8.7109375" customWidth="1"/>
    <col min="3076" max="3076" width="8.85546875" customWidth="1"/>
    <col min="3077" max="3077" width="10.7109375" customWidth="1"/>
    <col min="3078" max="3078" width="11.85546875" customWidth="1"/>
    <col min="3079" max="3079" width="10.85546875" customWidth="1"/>
    <col min="3080" max="3080" width="10.42578125" customWidth="1"/>
    <col min="3081" max="3081" width="9.7109375" customWidth="1"/>
    <col min="3082" max="3082" width="60.28515625" customWidth="1"/>
    <col min="3083" max="3083" width="50.7109375" customWidth="1"/>
    <col min="3084" max="3084" width="12.140625" customWidth="1"/>
    <col min="3329" max="3329" width="7.28515625" customWidth="1"/>
    <col min="3330" max="3330" width="43.7109375" customWidth="1"/>
    <col min="3331" max="3331" width="8.7109375" customWidth="1"/>
    <col min="3332" max="3332" width="8.85546875" customWidth="1"/>
    <col min="3333" max="3333" width="10.7109375" customWidth="1"/>
    <col min="3334" max="3334" width="11.85546875" customWidth="1"/>
    <col min="3335" max="3335" width="10.85546875" customWidth="1"/>
    <col min="3336" max="3336" width="10.42578125" customWidth="1"/>
    <col min="3337" max="3337" width="9.7109375" customWidth="1"/>
    <col min="3338" max="3338" width="60.28515625" customWidth="1"/>
    <col min="3339" max="3339" width="50.7109375" customWidth="1"/>
    <col min="3340" max="3340" width="12.140625" customWidth="1"/>
    <col min="3585" max="3585" width="7.28515625" customWidth="1"/>
    <col min="3586" max="3586" width="43.7109375" customWidth="1"/>
    <col min="3587" max="3587" width="8.7109375" customWidth="1"/>
    <col min="3588" max="3588" width="8.85546875" customWidth="1"/>
    <col min="3589" max="3589" width="10.7109375" customWidth="1"/>
    <col min="3590" max="3590" width="11.85546875" customWidth="1"/>
    <col min="3591" max="3591" width="10.85546875" customWidth="1"/>
    <col min="3592" max="3592" width="10.42578125" customWidth="1"/>
    <col min="3593" max="3593" width="9.7109375" customWidth="1"/>
    <col min="3594" max="3594" width="60.28515625" customWidth="1"/>
    <col min="3595" max="3595" width="50.7109375" customWidth="1"/>
    <col min="3596" max="3596" width="12.140625" customWidth="1"/>
    <col min="3841" max="3841" width="7.28515625" customWidth="1"/>
    <col min="3842" max="3842" width="43.7109375" customWidth="1"/>
    <col min="3843" max="3843" width="8.7109375" customWidth="1"/>
    <col min="3844" max="3844" width="8.85546875" customWidth="1"/>
    <col min="3845" max="3845" width="10.7109375" customWidth="1"/>
    <col min="3846" max="3846" width="11.85546875" customWidth="1"/>
    <col min="3847" max="3847" width="10.85546875" customWidth="1"/>
    <col min="3848" max="3848" width="10.42578125" customWidth="1"/>
    <col min="3849" max="3849" width="9.7109375" customWidth="1"/>
    <col min="3850" max="3850" width="60.28515625" customWidth="1"/>
    <col min="3851" max="3851" width="50.7109375" customWidth="1"/>
    <col min="3852" max="3852" width="12.140625" customWidth="1"/>
    <col min="4097" max="4097" width="7.28515625" customWidth="1"/>
    <col min="4098" max="4098" width="43.7109375" customWidth="1"/>
    <col min="4099" max="4099" width="8.7109375" customWidth="1"/>
    <col min="4100" max="4100" width="8.85546875" customWidth="1"/>
    <col min="4101" max="4101" width="10.7109375" customWidth="1"/>
    <col min="4102" max="4102" width="11.85546875" customWidth="1"/>
    <col min="4103" max="4103" width="10.85546875" customWidth="1"/>
    <col min="4104" max="4104" width="10.42578125" customWidth="1"/>
    <col min="4105" max="4105" width="9.7109375" customWidth="1"/>
    <col min="4106" max="4106" width="60.28515625" customWidth="1"/>
    <col min="4107" max="4107" width="50.7109375" customWidth="1"/>
    <col min="4108" max="4108" width="12.140625" customWidth="1"/>
    <col min="4353" max="4353" width="7.28515625" customWidth="1"/>
    <col min="4354" max="4354" width="43.7109375" customWidth="1"/>
    <col min="4355" max="4355" width="8.7109375" customWidth="1"/>
    <col min="4356" max="4356" width="8.85546875" customWidth="1"/>
    <col min="4357" max="4357" width="10.7109375" customWidth="1"/>
    <col min="4358" max="4358" width="11.85546875" customWidth="1"/>
    <col min="4359" max="4359" width="10.85546875" customWidth="1"/>
    <col min="4360" max="4360" width="10.42578125" customWidth="1"/>
    <col min="4361" max="4361" width="9.7109375" customWidth="1"/>
    <col min="4362" max="4362" width="60.28515625" customWidth="1"/>
    <col min="4363" max="4363" width="50.7109375" customWidth="1"/>
    <col min="4364" max="4364" width="12.140625" customWidth="1"/>
    <col min="4609" max="4609" width="7.28515625" customWidth="1"/>
    <col min="4610" max="4610" width="43.7109375" customWidth="1"/>
    <col min="4611" max="4611" width="8.7109375" customWidth="1"/>
    <col min="4612" max="4612" width="8.85546875" customWidth="1"/>
    <col min="4613" max="4613" width="10.7109375" customWidth="1"/>
    <col min="4614" max="4614" width="11.85546875" customWidth="1"/>
    <col min="4615" max="4615" width="10.85546875" customWidth="1"/>
    <col min="4616" max="4616" width="10.42578125" customWidth="1"/>
    <col min="4617" max="4617" width="9.7109375" customWidth="1"/>
    <col min="4618" max="4618" width="60.28515625" customWidth="1"/>
    <col min="4619" max="4619" width="50.7109375" customWidth="1"/>
    <col min="4620" max="4620" width="12.140625" customWidth="1"/>
    <col min="4865" max="4865" width="7.28515625" customWidth="1"/>
    <col min="4866" max="4866" width="43.7109375" customWidth="1"/>
    <col min="4867" max="4867" width="8.7109375" customWidth="1"/>
    <col min="4868" max="4868" width="8.85546875" customWidth="1"/>
    <col min="4869" max="4869" width="10.7109375" customWidth="1"/>
    <col min="4870" max="4870" width="11.85546875" customWidth="1"/>
    <col min="4871" max="4871" width="10.85546875" customWidth="1"/>
    <col min="4872" max="4872" width="10.42578125" customWidth="1"/>
    <col min="4873" max="4873" width="9.7109375" customWidth="1"/>
    <col min="4874" max="4874" width="60.28515625" customWidth="1"/>
    <col min="4875" max="4875" width="50.7109375" customWidth="1"/>
    <col min="4876" max="4876" width="12.140625" customWidth="1"/>
    <col min="5121" max="5121" width="7.28515625" customWidth="1"/>
    <col min="5122" max="5122" width="43.7109375" customWidth="1"/>
    <col min="5123" max="5123" width="8.7109375" customWidth="1"/>
    <col min="5124" max="5124" width="8.85546875" customWidth="1"/>
    <col min="5125" max="5125" width="10.7109375" customWidth="1"/>
    <col min="5126" max="5126" width="11.85546875" customWidth="1"/>
    <col min="5127" max="5127" width="10.85546875" customWidth="1"/>
    <col min="5128" max="5128" width="10.42578125" customWidth="1"/>
    <col min="5129" max="5129" width="9.7109375" customWidth="1"/>
    <col min="5130" max="5130" width="60.28515625" customWidth="1"/>
    <col min="5131" max="5131" width="50.7109375" customWidth="1"/>
    <col min="5132" max="5132" width="12.140625" customWidth="1"/>
    <col min="5377" max="5377" width="7.28515625" customWidth="1"/>
    <col min="5378" max="5378" width="43.7109375" customWidth="1"/>
    <col min="5379" max="5379" width="8.7109375" customWidth="1"/>
    <col min="5380" max="5380" width="8.85546875" customWidth="1"/>
    <col min="5381" max="5381" width="10.7109375" customWidth="1"/>
    <col min="5382" max="5382" width="11.85546875" customWidth="1"/>
    <col min="5383" max="5383" width="10.85546875" customWidth="1"/>
    <col min="5384" max="5384" width="10.42578125" customWidth="1"/>
    <col min="5385" max="5385" width="9.7109375" customWidth="1"/>
    <col min="5386" max="5386" width="60.28515625" customWidth="1"/>
    <col min="5387" max="5387" width="50.7109375" customWidth="1"/>
    <col min="5388" max="5388" width="12.140625" customWidth="1"/>
    <col min="5633" max="5633" width="7.28515625" customWidth="1"/>
    <col min="5634" max="5634" width="43.7109375" customWidth="1"/>
    <col min="5635" max="5635" width="8.7109375" customWidth="1"/>
    <col min="5636" max="5636" width="8.85546875" customWidth="1"/>
    <col min="5637" max="5637" width="10.7109375" customWidth="1"/>
    <col min="5638" max="5638" width="11.85546875" customWidth="1"/>
    <col min="5639" max="5639" width="10.85546875" customWidth="1"/>
    <col min="5640" max="5640" width="10.42578125" customWidth="1"/>
    <col min="5641" max="5641" width="9.7109375" customWidth="1"/>
    <col min="5642" max="5642" width="60.28515625" customWidth="1"/>
    <col min="5643" max="5643" width="50.7109375" customWidth="1"/>
    <col min="5644" max="5644" width="12.140625" customWidth="1"/>
    <col min="5889" max="5889" width="7.28515625" customWidth="1"/>
    <col min="5890" max="5890" width="43.7109375" customWidth="1"/>
    <col min="5891" max="5891" width="8.7109375" customWidth="1"/>
    <col min="5892" max="5892" width="8.85546875" customWidth="1"/>
    <col min="5893" max="5893" width="10.7109375" customWidth="1"/>
    <col min="5894" max="5894" width="11.85546875" customWidth="1"/>
    <col min="5895" max="5895" width="10.85546875" customWidth="1"/>
    <col min="5896" max="5896" width="10.42578125" customWidth="1"/>
    <col min="5897" max="5897" width="9.7109375" customWidth="1"/>
    <col min="5898" max="5898" width="60.28515625" customWidth="1"/>
    <col min="5899" max="5899" width="50.7109375" customWidth="1"/>
    <col min="5900" max="5900" width="12.140625" customWidth="1"/>
    <col min="6145" max="6145" width="7.28515625" customWidth="1"/>
    <col min="6146" max="6146" width="43.7109375" customWidth="1"/>
    <col min="6147" max="6147" width="8.7109375" customWidth="1"/>
    <col min="6148" max="6148" width="8.85546875" customWidth="1"/>
    <col min="6149" max="6149" width="10.7109375" customWidth="1"/>
    <col min="6150" max="6150" width="11.85546875" customWidth="1"/>
    <col min="6151" max="6151" width="10.85546875" customWidth="1"/>
    <col min="6152" max="6152" width="10.42578125" customWidth="1"/>
    <col min="6153" max="6153" width="9.7109375" customWidth="1"/>
    <col min="6154" max="6154" width="60.28515625" customWidth="1"/>
    <col min="6155" max="6155" width="50.7109375" customWidth="1"/>
    <col min="6156" max="6156" width="12.140625" customWidth="1"/>
    <col min="6401" max="6401" width="7.28515625" customWidth="1"/>
    <col min="6402" max="6402" width="43.7109375" customWidth="1"/>
    <col min="6403" max="6403" width="8.7109375" customWidth="1"/>
    <col min="6404" max="6404" width="8.85546875" customWidth="1"/>
    <col min="6405" max="6405" width="10.7109375" customWidth="1"/>
    <col min="6406" max="6406" width="11.85546875" customWidth="1"/>
    <col min="6407" max="6407" width="10.85546875" customWidth="1"/>
    <col min="6408" max="6408" width="10.42578125" customWidth="1"/>
    <col min="6409" max="6409" width="9.7109375" customWidth="1"/>
    <col min="6410" max="6410" width="60.28515625" customWidth="1"/>
    <col min="6411" max="6411" width="50.7109375" customWidth="1"/>
    <col min="6412" max="6412" width="12.140625" customWidth="1"/>
    <col min="6657" max="6657" width="7.28515625" customWidth="1"/>
    <col min="6658" max="6658" width="43.7109375" customWidth="1"/>
    <col min="6659" max="6659" width="8.7109375" customWidth="1"/>
    <col min="6660" max="6660" width="8.85546875" customWidth="1"/>
    <col min="6661" max="6661" width="10.7109375" customWidth="1"/>
    <col min="6662" max="6662" width="11.85546875" customWidth="1"/>
    <col min="6663" max="6663" width="10.85546875" customWidth="1"/>
    <col min="6664" max="6664" width="10.42578125" customWidth="1"/>
    <col min="6665" max="6665" width="9.7109375" customWidth="1"/>
    <col min="6666" max="6666" width="60.28515625" customWidth="1"/>
    <col min="6667" max="6667" width="50.7109375" customWidth="1"/>
    <col min="6668" max="6668" width="12.140625" customWidth="1"/>
    <col min="6913" max="6913" width="7.28515625" customWidth="1"/>
    <col min="6914" max="6914" width="43.7109375" customWidth="1"/>
    <col min="6915" max="6915" width="8.7109375" customWidth="1"/>
    <col min="6916" max="6916" width="8.85546875" customWidth="1"/>
    <col min="6917" max="6917" width="10.7109375" customWidth="1"/>
    <col min="6918" max="6918" width="11.85546875" customWidth="1"/>
    <col min="6919" max="6919" width="10.85546875" customWidth="1"/>
    <col min="6920" max="6920" width="10.42578125" customWidth="1"/>
    <col min="6921" max="6921" width="9.7109375" customWidth="1"/>
    <col min="6922" max="6922" width="60.28515625" customWidth="1"/>
    <col min="6923" max="6923" width="50.7109375" customWidth="1"/>
    <col min="6924" max="6924" width="12.140625" customWidth="1"/>
    <col min="7169" max="7169" width="7.28515625" customWidth="1"/>
    <col min="7170" max="7170" width="43.7109375" customWidth="1"/>
    <col min="7171" max="7171" width="8.7109375" customWidth="1"/>
    <col min="7172" max="7172" width="8.85546875" customWidth="1"/>
    <col min="7173" max="7173" width="10.7109375" customWidth="1"/>
    <col min="7174" max="7174" width="11.85546875" customWidth="1"/>
    <col min="7175" max="7175" width="10.85546875" customWidth="1"/>
    <col min="7176" max="7176" width="10.42578125" customWidth="1"/>
    <col min="7177" max="7177" width="9.7109375" customWidth="1"/>
    <col min="7178" max="7178" width="60.28515625" customWidth="1"/>
    <col min="7179" max="7179" width="50.7109375" customWidth="1"/>
    <col min="7180" max="7180" width="12.140625" customWidth="1"/>
    <col min="7425" max="7425" width="7.28515625" customWidth="1"/>
    <col min="7426" max="7426" width="43.7109375" customWidth="1"/>
    <col min="7427" max="7427" width="8.7109375" customWidth="1"/>
    <col min="7428" max="7428" width="8.85546875" customWidth="1"/>
    <col min="7429" max="7429" width="10.7109375" customWidth="1"/>
    <col min="7430" max="7430" width="11.85546875" customWidth="1"/>
    <col min="7431" max="7431" width="10.85546875" customWidth="1"/>
    <col min="7432" max="7432" width="10.42578125" customWidth="1"/>
    <col min="7433" max="7433" width="9.7109375" customWidth="1"/>
    <col min="7434" max="7434" width="60.28515625" customWidth="1"/>
    <col min="7435" max="7435" width="50.7109375" customWidth="1"/>
    <col min="7436" max="7436" width="12.140625" customWidth="1"/>
    <col min="7681" max="7681" width="7.28515625" customWidth="1"/>
    <col min="7682" max="7682" width="43.7109375" customWidth="1"/>
    <col min="7683" max="7683" width="8.7109375" customWidth="1"/>
    <col min="7684" max="7684" width="8.85546875" customWidth="1"/>
    <col min="7685" max="7685" width="10.7109375" customWidth="1"/>
    <col min="7686" max="7686" width="11.85546875" customWidth="1"/>
    <col min="7687" max="7687" width="10.85546875" customWidth="1"/>
    <col min="7688" max="7688" width="10.42578125" customWidth="1"/>
    <col min="7689" max="7689" width="9.7109375" customWidth="1"/>
    <col min="7690" max="7690" width="60.28515625" customWidth="1"/>
    <col min="7691" max="7691" width="50.7109375" customWidth="1"/>
    <col min="7692" max="7692" width="12.140625" customWidth="1"/>
    <col min="7937" max="7937" width="7.28515625" customWidth="1"/>
    <col min="7938" max="7938" width="43.7109375" customWidth="1"/>
    <col min="7939" max="7939" width="8.7109375" customWidth="1"/>
    <col min="7940" max="7940" width="8.85546875" customWidth="1"/>
    <col min="7941" max="7941" width="10.7109375" customWidth="1"/>
    <col min="7942" max="7942" width="11.85546875" customWidth="1"/>
    <col min="7943" max="7943" width="10.85546875" customWidth="1"/>
    <col min="7944" max="7944" width="10.42578125" customWidth="1"/>
    <col min="7945" max="7945" width="9.7109375" customWidth="1"/>
    <col min="7946" max="7946" width="60.28515625" customWidth="1"/>
    <col min="7947" max="7947" width="50.7109375" customWidth="1"/>
    <col min="7948" max="7948" width="12.140625" customWidth="1"/>
    <col min="8193" max="8193" width="7.28515625" customWidth="1"/>
    <col min="8194" max="8194" width="43.7109375" customWidth="1"/>
    <col min="8195" max="8195" width="8.7109375" customWidth="1"/>
    <col min="8196" max="8196" width="8.85546875" customWidth="1"/>
    <col min="8197" max="8197" width="10.7109375" customWidth="1"/>
    <col min="8198" max="8198" width="11.85546875" customWidth="1"/>
    <col min="8199" max="8199" width="10.85546875" customWidth="1"/>
    <col min="8200" max="8200" width="10.42578125" customWidth="1"/>
    <col min="8201" max="8201" width="9.7109375" customWidth="1"/>
    <col min="8202" max="8202" width="60.28515625" customWidth="1"/>
    <col min="8203" max="8203" width="50.7109375" customWidth="1"/>
    <col min="8204" max="8204" width="12.140625" customWidth="1"/>
    <col min="8449" max="8449" width="7.28515625" customWidth="1"/>
    <col min="8450" max="8450" width="43.7109375" customWidth="1"/>
    <col min="8451" max="8451" width="8.7109375" customWidth="1"/>
    <col min="8452" max="8452" width="8.85546875" customWidth="1"/>
    <col min="8453" max="8453" width="10.7109375" customWidth="1"/>
    <col min="8454" max="8454" width="11.85546875" customWidth="1"/>
    <col min="8455" max="8455" width="10.85546875" customWidth="1"/>
    <col min="8456" max="8456" width="10.42578125" customWidth="1"/>
    <col min="8457" max="8457" width="9.7109375" customWidth="1"/>
    <col min="8458" max="8458" width="60.28515625" customWidth="1"/>
    <col min="8459" max="8459" width="50.7109375" customWidth="1"/>
    <col min="8460" max="8460" width="12.140625" customWidth="1"/>
    <col min="8705" max="8705" width="7.28515625" customWidth="1"/>
    <col min="8706" max="8706" width="43.7109375" customWidth="1"/>
    <col min="8707" max="8707" width="8.7109375" customWidth="1"/>
    <col min="8708" max="8708" width="8.85546875" customWidth="1"/>
    <col min="8709" max="8709" width="10.7109375" customWidth="1"/>
    <col min="8710" max="8710" width="11.85546875" customWidth="1"/>
    <col min="8711" max="8711" width="10.85546875" customWidth="1"/>
    <col min="8712" max="8712" width="10.42578125" customWidth="1"/>
    <col min="8713" max="8713" width="9.7109375" customWidth="1"/>
    <col min="8714" max="8714" width="60.28515625" customWidth="1"/>
    <col min="8715" max="8715" width="50.7109375" customWidth="1"/>
    <col min="8716" max="8716" width="12.140625" customWidth="1"/>
    <col min="8961" max="8961" width="7.28515625" customWidth="1"/>
    <col min="8962" max="8962" width="43.7109375" customWidth="1"/>
    <col min="8963" max="8963" width="8.7109375" customWidth="1"/>
    <col min="8964" max="8964" width="8.85546875" customWidth="1"/>
    <col min="8965" max="8965" width="10.7109375" customWidth="1"/>
    <col min="8966" max="8966" width="11.85546875" customWidth="1"/>
    <col min="8967" max="8967" width="10.85546875" customWidth="1"/>
    <col min="8968" max="8968" width="10.42578125" customWidth="1"/>
    <col min="8969" max="8969" width="9.7109375" customWidth="1"/>
    <col min="8970" max="8970" width="60.28515625" customWidth="1"/>
    <col min="8971" max="8971" width="50.7109375" customWidth="1"/>
    <col min="8972" max="8972" width="12.140625" customWidth="1"/>
    <col min="9217" max="9217" width="7.28515625" customWidth="1"/>
    <col min="9218" max="9218" width="43.7109375" customWidth="1"/>
    <col min="9219" max="9219" width="8.7109375" customWidth="1"/>
    <col min="9220" max="9220" width="8.85546875" customWidth="1"/>
    <col min="9221" max="9221" width="10.7109375" customWidth="1"/>
    <col min="9222" max="9222" width="11.85546875" customWidth="1"/>
    <col min="9223" max="9223" width="10.85546875" customWidth="1"/>
    <col min="9224" max="9224" width="10.42578125" customWidth="1"/>
    <col min="9225" max="9225" width="9.7109375" customWidth="1"/>
    <col min="9226" max="9226" width="60.28515625" customWidth="1"/>
    <col min="9227" max="9227" width="50.7109375" customWidth="1"/>
    <col min="9228" max="9228" width="12.140625" customWidth="1"/>
    <col min="9473" max="9473" width="7.28515625" customWidth="1"/>
    <col min="9474" max="9474" width="43.7109375" customWidth="1"/>
    <col min="9475" max="9475" width="8.7109375" customWidth="1"/>
    <col min="9476" max="9476" width="8.85546875" customWidth="1"/>
    <col min="9477" max="9477" width="10.7109375" customWidth="1"/>
    <col min="9478" max="9478" width="11.85546875" customWidth="1"/>
    <col min="9479" max="9479" width="10.85546875" customWidth="1"/>
    <col min="9480" max="9480" width="10.42578125" customWidth="1"/>
    <col min="9481" max="9481" width="9.7109375" customWidth="1"/>
    <col min="9482" max="9482" width="60.28515625" customWidth="1"/>
    <col min="9483" max="9483" width="50.7109375" customWidth="1"/>
    <col min="9484" max="9484" width="12.140625" customWidth="1"/>
    <col min="9729" max="9729" width="7.28515625" customWidth="1"/>
    <col min="9730" max="9730" width="43.7109375" customWidth="1"/>
    <col min="9731" max="9731" width="8.7109375" customWidth="1"/>
    <col min="9732" max="9732" width="8.85546875" customWidth="1"/>
    <col min="9733" max="9733" width="10.7109375" customWidth="1"/>
    <col min="9734" max="9734" width="11.85546875" customWidth="1"/>
    <col min="9735" max="9735" width="10.85546875" customWidth="1"/>
    <col min="9736" max="9736" width="10.42578125" customWidth="1"/>
    <col min="9737" max="9737" width="9.7109375" customWidth="1"/>
    <col min="9738" max="9738" width="60.28515625" customWidth="1"/>
    <col min="9739" max="9739" width="50.7109375" customWidth="1"/>
    <col min="9740" max="9740" width="12.140625" customWidth="1"/>
    <col min="9985" max="9985" width="7.28515625" customWidth="1"/>
    <col min="9986" max="9986" width="43.7109375" customWidth="1"/>
    <col min="9987" max="9987" width="8.7109375" customWidth="1"/>
    <col min="9988" max="9988" width="8.85546875" customWidth="1"/>
    <col min="9989" max="9989" width="10.7109375" customWidth="1"/>
    <col min="9990" max="9990" width="11.85546875" customWidth="1"/>
    <col min="9991" max="9991" width="10.85546875" customWidth="1"/>
    <col min="9992" max="9992" width="10.42578125" customWidth="1"/>
    <col min="9993" max="9993" width="9.7109375" customWidth="1"/>
    <col min="9994" max="9994" width="60.28515625" customWidth="1"/>
    <col min="9995" max="9995" width="50.7109375" customWidth="1"/>
    <col min="9996" max="9996" width="12.140625" customWidth="1"/>
    <col min="10241" max="10241" width="7.28515625" customWidth="1"/>
    <col min="10242" max="10242" width="43.7109375" customWidth="1"/>
    <col min="10243" max="10243" width="8.7109375" customWidth="1"/>
    <col min="10244" max="10244" width="8.85546875" customWidth="1"/>
    <col min="10245" max="10245" width="10.7109375" customWidth="1"/>
    <col min="10246" max="10246" width="11.85546875" customWidth="1"/>
    <col min="10247" max="10247" width="10.85546875" customWidth="1"/>
    <col min="10248" max="10248" width="10.42578125" customWidth="1"/>
    <col min="10249" max="10249" width="9.7109375" customWidth="1"/>
    <col min="10250" max="10250" width="60.28515625" customWidth="1"/>
    <col min="10251" max="10251" width="50.7109375" customWidth="1"/>
    <col min="10252" max="10252" width="12.140625" customWidth="1"/>
    <col min="10497" max="10497" width="7.28515625" customWidth="1"/>
    <col min="10498" max="10498" width="43.7109375" customWidth="1"/>
    <col min="10499" max="10499" width="8.7109375" customWidth="1"/>
    <col min="10500" max="10500" width="8.85546875" customWidth="1"/>
    <col min="10501" max="10501" width="10.7109375" customWidth="1"/>
    <col min="10502" max="10502" width="11.85546875" customWidth="1"/>
    <col min="10503" max="10503" width="10.85546875" customWidth="1"/>
    <col min="10504" max="10504" width="10.42578125" customWidth="1"/>
    <col min="10505" max="10505" width="9.7109375" customWidth="1"/>
    <col min="10506" max="10506" width="60.28515625" customWidth="1"/>
    <col min="10507" max="10507" width="50.7109375" customWidth="1"/>
    <col min="10508" max="10508" width="12.140625" customWidth="1"/>
    <col min="10753" max="10753" width="7.28515625" customWidth="1"/>
    <col min="10754" max="10754" width="43.7109375" customWidth="1"/>
    <col min="10755" max="10755" width="8.7109375" customWidth="1"/>
    <col min="10756" max="10756" width="8.85546875" customWidth="1"/>
    <col min="10757" max="10757" width="10.7109375" customWidth="1"/>
    <col min="10758" max="10758" width="11.85546875" customWidth="1"/>
    <col min="10759" max="10759" width="10.85546875" customWidth="1"/>
    <col min="10760" max="10760" width="10.42578125" customWidth="1"/>
    <col min="10761" max="10761" width="9.7109375" customWidth="1"/>
    <col min="10762" max="10762" width="60.28515625" customWidth="1"/>
    <col min="10763" max="10763" width="50.7109375" customWidth="1"/>
    <col min="10764" max="10764" width="12.140625" customWidth="1"/>
    <col min="11009" max="11009" width="7.28515625" customWidth="1"/>
    <col min="11010" max="11010" width="43.7109375" customWidth="1"/>
    <col min="11011" max="11011" width="8.7109375" customWidth="1"/>
    <col min="11012" max="11012" width="8.85546875" customWidth="1"/>
    <col min="11013" max="11013" width="10.7109375" customWidth="1"/>
    <col min="11014" max="11014" width="11.85546875" customWidth="1"/>
    <col min="11015" max="11015" width="10.85546875" customWidth="1"/>
    <col min="11016" max="11016" width="10.42578125" customWidth="1"/>
    <col min="11017" max="11017" width="9.7109375" customWidth="1"/>
    <col min="11018" max="11018" width="60.28515625" customWidth="1"/>
    <col min="11019" max="11019" width="50.7109375" customWidth="1"/>
    <col min="11020" max="11020" width="12.140625" customWidth="1"/>
    <col min="11265" max="11265" width="7.28515625" customWidth="1"/>
    <col min="11266" max="11266" width="43.7109375" customWidth="1"/>
    <col min="11267" max="11267" width="8.7109375" customWidth="1"/>
    <col min="11268" max="11268" width="8.85546875" customWidth="1"/>
    <col min="11269" max="11269" width="10.7109375" customWidth="1"/>
    <col min="11270" max="11270" width="11.85546875" customWidth="1"/>
    <col min="11271" max="11271" width="10.85546875" customWidth="1"/>
    <col min="11272" max="11272" width="10.42578125" customWidth="1"/>
    <col min="11273" max="11273" width="9.7109375" customWidth="1"/>
    <col min="11274" max="11274" width="60.28515625" customWidth="1"/>
    <col min="11275" max="11275" width="50.7109375" customWidth="1"/>
    <col min="11276" max="11276" width="12.140625" customWidth="1"/>
    <col min="11521" max="11521" width="7.28515625" customWidth="1"/>
    <col min="11522" max="11522" width="43.7109375" customWidth="1"/>
    <col min="11523" max="11523" width="8.7109375" customWidth="1"/>
    <col min="11524" max="11524" width="8.85546875" customWidth="1"/>
    <col min="11525" max="11525" width="10.7109375" customWidth="1"/>
    <col min="11526" max="11526" width="11.85546875" customWidth="1"/>
    <col min="11527" max="11527" width="10.85546875" customWidth="1"/>
    <col min="11528" max="11528" width="10.42578125" customWidth="1"/>
    <col min="11529" max="11529" width="9.7109375" customWidth="1"/>
    <col min="11530" max="11530" width="60.28515625" customWidth="1"/>
    <col min="11531" max="11531" width="50.7109375" customWidth="1"/>
    <col min="11532" max="11532" width="12.140625" customWidth="1"/>
    <col min="11777" max="11777" width="7.28515625" customWidth="1"/>
    <col min="11778" max="11778" width="43.7109375" customWidth="1"/>
    <col min="11779" max="11779" width="8.7109375" customWidth="1"/>
    <col min="11780" max="11780" width="8.85546875" customWidth="1"/>
    <col min="11781" max="11781" width="10.7109375" customWidth="1"/>
    <col min="11782" max="11782" width="11.85546875" customWidth="1"/>
    <col min="11783" max="11783" width="10.85546875" customWidth="1"/>
    <col min="11784" max="11784" width="10.42578125" customWidth="1"/>
    <col min="11785" max="11785" width="9.7109375" customWidth="1"/>
    <col min="11786" max="11786" width="60.28515625" customWidth="1"/>
    <col min="11787" max="11787" width="50.7109375" customWidth="1"/>
    <col min="11788" max="11788" width="12.140625" customWidth="1"/>
    <col min="12033" max="12033" width="7.28515625" customWidth="1"/>
    <col min="12034" max="12034" width="43.7109375" customWidth="1"/>
    <col min="12035" max="12035" width="8.7109375" customWidth="1"/>
    <col min="12036" max="12036" width="8.85546875" customWidth="1"/>
    <col min="12037" max="12037" width="10.7109375" customWidth="1"/>
    <col min="12038" max="12038" width="11.85546875" customWidth="1"/>
    <col min="12039" max="12039" width="10.85546875" customWidth="1"/>
    <col min="12040" max="12040" width="10.42578125" customWidth="1"/>
    <col min="12041" max="12041" width="9.7109375" customWidth="1"/>
    <col min="12042" max="12042" width="60.28515625" customWidth="1"/>
    <col min="12043" max="12043" width="50.7109375" customWidth="1"/>
    <col min="12044" max="12044" width="12.140625" customWidth="1"/>
    <col min="12289" max="12289" width="7.28515625" customWidth="1"/>
    <col min="12290" max="12290" width="43.7109375" customWidth="1"/>
    <col min="12291" max="12291" width="8.7109375" customWidth="1"/>
    <col min="12292" max="12292" width="8.85546875" customWidth="1"/>
    <col min="12293" max="12293" width="10.7109375" customWidth="1"/>
    <col min="12294" max="12294" width="11.85546875" customWidth="1"/>
    <col min="12295" max="12295" width="10.85546875" customWidth="1"/>
    <col min="12296" max="12296" width="10.42578125" customWidth="1"/>
    <col min="12297" max="12297" width="9.7109375" customWidth="1"/>
    <col min="12298" max="12298" width="60.28515625" customWidth="1"/>
    <col min="12299" max="12299" width="50.7109375" customWidth="1"/>
    <col min="12300" max="12300" width="12.140625" customWidth="1"/>
    <col min="12545" max="12545" width="7.28515625" customWidth="1"/>
    <col min="12546" max="12546" width="43.7109375" customWidth="1"/>
    <col min="12547" max="12547" width="8.7109375" customWidth="1"/>
    <col min="12548" max="12548" width="8.85546875" customWidth="1"/>
    <col min="12549" max="12549" width="10.7109375" customWidth="1"/>
    <col min="12550" max="12550" width="11.85546875" customWidth="1"/>
    <col min="12551" max="12551" width="10.85546875" customWidth="1"/>
    <col min="12552" max="12552" width="10.42578125" customWidth="1"/>
    <col min="12553" max="12553" width="9.7109375" customWidth="1"/>
    <col min="12554" max="12554" width="60.28515625" customWidth="1"/>
    <col min="12555" max="12555" width="50.7109375" customWidth="1"/>
    <col min="12556" max="12556" width="12.140625" customWidth="1"/>
    <col min="12801" max="12801" width="7.28515625" customWidth="1"/>
    <col min="12802" max="12802" width="43.7109375" customWidth="1"/>
    <col min="12803" max="12803" width="8.7109375" customWidth="1"/>
    <col min="12804" max="12804" width="8.85546875" customWidth="1"/>
    <col min="12805" max="12805" width="10.7109375" customWidth="1"/>
    <col min="12806" max="12806" width="11.85546875" customWidth="1"/>
    <col min="12807" max="12807" width="10.85546875" customWidth="1"/>
    <col min="12808" max="12808" width="10.42578125" customWidth="1"/>
    <col min="12809" max="12809" width="9.7109375" customWidth="1"/>
    <col min="12810" max="12810" width="60.28515625" customWidth="1"/>
    <col min="12811" max="12811" width="50.7109375" customWidth="1"/>
    <col min="12812" max="12812" width="12.140625" customWidth="1"/>
    <col min="13057" max="13057" width="7.28515625" customWidth="1"/>
    <col min="13058" max="13058" width="43.7109375" customWidth="1"/>
    <col min="13059" max="13059" width="8.7109375" customWidth="1"/>
    <col min="13060" max="13060" width="8.85546875" customWidth="1"/>
    <col min="13061" max="13061" width="10.7109375" customWidth="1"/>
    <col min="13062" max="13062" width="11.85546875" customWidth="1"/>
    <col min="13063" max="13063" width="10.85546875" customWidth="1"/>
    <col min="13064" max="13064" width="10.42578125" customWidth="1"/>
    <col min="13065" max="13065" width="9.7109375" customWidth="1"/>
    <col min="13066" max="13066" width="60.28515625" customWidth="1"/>
    <col min="13067" max="13067" width="50.7109375" customWidth="1"/>
    <col min="13068" max="13068" width="12.140625" customWidth="1"/>
    <col min="13313" max="13313" width="7.28515625" customWidth="1"/>
    <col min="13314" max="13314" width="43.7109375" customWidth="1"/>
    <col min="13315" max="13315" width="8.7109375" customWidth="1"/>
    <col min="13316" max="13316" width="8.85546875" customWidth="1"/>
    <col min="13317" max="13317" width="10.7109375" customWidth="1"/>
    <col min="13318" max="13318" width="11.85546875" customWidth="1"/>
    <col min="13319" max="13319" width="10.85546875" customWidth="1"/>
    <col min="13320" max="13320" width="10.42578125" customWidth="1"/>
    <col min="13321" max="13321" width="9.7109375" customWidth="1"/>
    <col min="13322" max="13322" width="60.28515625" customWidth="1"/>
    <col min="13323" max="13323" width="50.7109375" customWidth="1"/>
    <col min="13324" max="13324" width="12.140625" customWidth="1"/>
    <col min="13569" max="13569" width="7.28515625" customWidth="1"/>
    <col min="13570" max="13570" width="43.7109375" customWidth="1"/>
    <col min="13571" max="13571" width="8.7109375" customWidth="1"/>
    <col min="13572" max="13572" width="8.85546875" customWidth="1"/>
    <col min="13573" max="13573" width="10.7109375" customWidth="1"/>
    <col min="13574" max="13574" width="11.85546875" customWidth="1"/>
    <col min="13575" max="13575" width="10.85546875" customWidth="1"/>
    <col min="13576" max="13576" width="10.42578125" customWidth="1"/>
    <col min="13577" max="13577" width="9.7109375" customWidth="1"/>
    <col min="13578" max="13578" width="60.28515625" customWidth="1"/>
    <col min="13579" max="13579" width="50.7109375" customWidth="1"/>
    <col min="13580" max="13580" width="12.140625" customWidth="1"/>
    <col min="13825" max="13825" width="7.28515625" customWidth="1"/>
    <col min="13826" max="13826" width="43.7109375" customWidth="1"/>
    <col min="13827" max="13827" width="8.7109375" customWidth="1"/>
    <col min="13828" max="13828" width="8.85546875" customWidth="1"/>
    <col min="13829" max="13829" width="10.7109375" customWidth="1"/>
    <col min="13830" max="13830" width="11.85546875" customWidth="1"/>
    <col min="13831" max="13831" width="10.85546875" customWidth="1"/>
    <col min="13832" max="13832" width="10.42578125" customWidth="1"/>
    <col min="13833" max="13833" width="9.7109375" customWidth="1"/>
    <col min="13834" max="13834" width="60.28515625" customWidth="1"/>
    <col min="13835" max="13835" width="50.7109375" customWidth="1"/>
    <col min="13836" max="13836" width="12.140625" customWidth="1"/>
    <col min="14081" max="14081" width="7.28515625" customWidth="1"/>
    <col min="14082" max="14082" width="43.7109375" customWidth="1"/>
    <col min="14083" max="14083" width="8.7109375" customWidth="1"/>
    <col min="14084" max="14084" width="8.85546875" customWidth="1"/>
    <col min="14085" max="14085" width="10.7109375" customWidth="1"/>
    <col min="14086" max="14086" width="11.85546875" customWidth="1"/>
    <col min="14087" max="14087" width="10.85546875" customWidth="1"/>
    <col min="14088" max="14088" width="10.42578125" customWidth="1"/>
    <col min="14089" max="14089" width="9.7109375" customWidth="1"/>
    <col min="14090" max="14090" width="60.28515625" customWidth="1"/>
    <col min="14091" max="14091" width="50.7109375" customWidth="1"/>
    <col min="14092" max="14092" width="12.140625" customWidth="1"/>
    <col min="14337" max="14337" width="7.28515625" customWidth="1"/>
    <col min="14338" max="14338" width="43.7109375" customWidth="1"/>
    <col min="14339" max="14339" width="8.7109375" customWidth="1"/>
    <col min="14340" max="14340" width="8.85546875" customWidth="1"/>
    <col min="14341" max="14341" width="10.7109375" customWidth="1"/>
    <col min="14342" max="14342" width="11.85546875" customWidth="1"/>
    <col min="14343" max="14343" width="10.85546875" customWidth="1"/>
    <col min="14344" max="14344" width="10.42578125" customWidth="1"/>
    <col min="14345" max="14345" width="9.7109375" customWidth="1"/>
    <col min="14346" max="14346" width="60.28515625" customWidth="1"/>
    <col min="14347" max="14347" width="50.7109375" customWidth="1"/>
    <col min="14348" max="14348" width="12.140625" customWidth="1"/>
    <col min="14593" max="14593" width="7.28515625" customWidth="1"/>
    <col min="14594" max="14594" width="43.7109375" customWidth="1"/>
    <col min="14595" max="14595" width="8.7109375" customWidth="1"/>
    <col min="14596" max="14596" width="8.85546875" customWidth="1"/>
    <col min="14597" max="14597" width="10.7109375" customWidth="1"/>
    <col min="14598" max="14598" width="11.85546875" customWidth="1"/>
    <col min="14599" max="14599" width="10.85546875" customWidth="1"/>
    <col min="14600" max="14600" width="10.42578125" customWidth="1"/>
    <col min="14601" max="14601" width="9.7109375" customWidth="1"/>
    <col min="14602" max="14602" width="60.28515625" customWidth="1"/>
    <col min="14603" max="14603" width="50.7109375" customWidth="1"/>
    <col min="14604" max="14604" width="12.140625" customWidth="1"/>
    <col min="14849" max="14849" width="7.28515625" customWidth="1"/>
    <col min="14850" max="14850" width="43.7109375" customWidth="1"/>
    <col min="14851" max="14851" width="8.7109375" customWidth="1"/>
    <col min="14852" max="14852" width="8.85546875" customWidth="1"/>
    <col min="14853" max="14853" width="10.7109375" customWidth="1"/>
    <col min="14854" max="14854" width="11.85546875" customWidth="1"/>
    <col min="14855" max="14855" width="10.85546875" customWidth="1"/>
    <col min="14856" max="14856" width="10.42578125" customWidth="1"/>
    <col min="14857" max="14857" width="9.7109375" customWidth="1"/>
    <col min="14858" max="14858" width="60.28515625" customWidth="1"/>
    <col min="14859" max="14859" width="50.7109375" customWidth="1"/>
    <col min="14860" max="14860" width="12.140625" customWidth="1"/>
    <col min="15105" max="15105" width="7.28515625" customWidth="1"/>
    <col min="15106" max="15106" width="43.7109375" customWidth="1"/>
    <col min="15107" max="15107" width="8.7109375" customWidth="1"/>
    <col min="15108" max="15108" width="8.85546875" customWidth="1"/>
    <col min="15109" max="15109" width="10.7109375" customWidth="1"/>
    <col min="15110" max="15110" width="11.85546875" customWidth="1"/>
    <col min="15111" max="15111" width="10.85546875" customWidth="1"/>
    <col min="15112" max="15112" width="10.42578125" customWidth="1"/>
    <col min="15113" max="15113" width="9.7109375" customWidth="1"/>
    <col min="15114" max="15114" width="60.28515625" customWidth="1"/>
    <col min="15115" max="15115" width="50.7109375" customWidth="1"/>
    <col min="15116" max="15116" width="12.140625" customWidth="1"/>
    <col min="15361" max="15361" width="7.28515625" customWidth="1"/>
    <col min="15362" max="15362" width="43.7109375" customWidth="1"/>
    <col min="15363" max="15363" width="8.7109375" customWidth="1"/>
    <col min="15364" max="15364" width="8.85546875" customWidth="1"/>
    <col min="15365" max="15365" width="10.7109375" customWidth="1"/>
    <col min="15366" max="15366" width="11.85546875" customWidth="1"/>
    <col min="15367" max="15367" width="10.85546875" customWidth="1"/>
    <col min="15368" max="15368" width="10.42578125" customWidth="1"/>
    <col min="15369" max="15369" width="9.7109375" customWidth="1"/>
    <col min="15370" max="15370" width="60.28515625" customWidth="1"/>
    <col min="15371" max="15371" width="50.7109375" customWidth="1"/>
    <col min="15372" max="15372" width="12.140625" customWidth="1"/>
    <col min="15617" max="15617" width="7.28515625" customWidth="1"/>
    <col min="15618" max="15618" width="43.7109375" customWidth="1"/>
    <col min="15619" max="15619" width="8.7109375" customWidth="1"/>
    <col min="15620" max="15620" width="8.85546875" customWidth="1"/>
    <col min="15621" max="15621" width="10.7109375" customWidth="1"/>
    <col min="15622" max="15622" width="11.85546875" customWidth="1"/>
    <col min="15623" max="15623" width="10.85546875" customWidth="1"/>
    <col min="15624" max="15624" width="10.42578125" customWidth="1"/>
    <col min="15625" max="15625" width="9.7109375" customWidth="1"/>
    <col min="15626" max="15626" width="60.28515625" customWidth="1"/>
    <col min="15627" max="15627" width="50.7109375" customWidth="1"/>
    <col min="15628" max="15628" width="12.140625" customWidth="1"/>
    <col min="15873" max="15873" width="7.28515625" customWidth="1"/>
    <col min="15874" max="15874" width="43.7109375" customWidth="1"/>
    <col min="15875" max="15875" width="8.7109375" customWidth="1"/>
    <col min="15876" max="15876" width="8.85546875" customWidth="1"/>
    <col min="15877" max="15877" width="10.7109375" customWidth="1"/>
    <col min="15878" max="15878" width="11.85546875" customWidth="1"/>
    <col min="15879" max="15879" width="10.85546875" customWidth="1"/>
    <col min="15880" max="15880" width="10.42578125" customWidth="1"/>
    <col min="15881" max="15881" width="9.7109375" customWidth="1"/>
    <col min="15882" max="15882" width="60.28515625" customWidth="1"/>
    <col min="15883" max="15883" width="50.7109375" customWidth="1"/>
    <col min="15884" max="15884" width="12.140625" customWidth="1"/>
    <col min="16129" max="16129" width="7.28515625" customWidth="1"/>
    <col min="16130" max="16130" width="43.7109375" customWidth="1"/>
    <col min="16131" max="16131" width="8.7109375" customWidth="1"/>
    <col min="16132" max="16132" width="8.85546875" customWidth="1"/>
    <col min="16133" max="16133" width="10.7109375" customWidth="1"/>
    <col min="16134" max="16134" width="11.85546875" customWidth="1"/>
    <col min="16135" max="16135" width="10.85546875" customWidth="1"/>
    <col min="16136" max="16136" width="10.42578125" customWidth="1"/>
    <col min="16137" max="16137" width="9.7109375" customWidth="1"/>
    <col min="16138" max="16138" width="60.28515625" customWidth="1"/>
    <col min="16139" max="16139" width="50.7109375" customWidth="1"/>
    <col min="16140" max="16140" width="12.140625" customWidth="1"/>
  </cols>
  <sheetData>
    <row r="1" spans="1:12" ht="15.75" customHeight="1">
      <c r="A1" s="2937" t="s">
        <v>2654</v>
      </c>
      <c r="B1" s="2938"/>
      <c r="C1" s="2939"/>
      <c r="D1" s="2939"/>
      <c r="E1" s="2939"/>
      <c r="F1" s="2939"/>
      <c r="G1" s="2939"/>
      <c r="H1" s="2939"/>
      <c r="I1" s="2939"/>
      <c r="J1" s="2940"/>
      <c r="K1" s="2941"/>
    </row>
    <row r="2" spans="1:12">
      <c r="A2" s="2942"/>
      <c r="B2" s="2943"/>
      <c r="C2" s="2944"/>
      <c r="D2" s="2944"/>
      <c r="E2" s="2944"/>
      <c r="F2" s="2944"/>
      <c r="G2" s="2944"/>
      <c r="H2" s="2944"/>
      <c r="I2" s="2944"/>
      <c r="J2" s="2945"/>
      <c r="K2" s="2946"/>
    </row>
    <row r="3" spans="1:12" ht="15" customHeight="1">
      <c r="A3" s="2008" t="s">
        <v>1</v>
      </c>
      <c r="B3" s="2947" t="s">
        <v>2</v>
      </c>
      <c r="C3" s="2009" t="s">
        <v>3</v>
      </c>
      <c r="D3" s="2009" t="s">
        <v>4</v>
      </c>
      <c r="E3" s="2009"/>
      <c r="F3" s="2009"/>
      <c r="G3" s="2009"/>
      <c r="H3" s="2009"/>
      <c r="I3" s="2009"/>
      <c r="J3" s="2010" t="s">
        <v>5</v>
      </c>
      <c r="K3" s="2009" t="s">
        <v>6</v>
      </c>
    </row>
    <row r="4" spans="1:12" ht="36.75" customHeight="1">
      <c r="A4" s="1989"/>
      <c r="B4" s="2948"/>
      <c r="C4" s="1991"/>
      <c r="D4" s="451" t="s">
        <v>7</v>
      </c>
      <c r="E4" s="7" t="s">
        <v>8</v>
      </c>
      <c r="F4" s="453" t="s">
        <v>9</v>
      </c>
      <c r="G4" s="7" t="s">
        <v>10</v>
      </c>
      <c r="H4" s="7" t="s">
        <v>11</v>
      </c>
      <c r="I4" s="7" t="s">
        <v>12</v>
      </c>
      <c r="J4" s="1990"/>
      <c r="K4" s="1991"/>
    </row>
    <row r="5" spans="1:12" ht="15" customHeight="1">
      <c r="A5" s="2949"/>
      <c r="B5" s="2950" t="s">
        <v>13</v>
      </c>
      <c r="C5" s="2951" t="s">
        <v>14</v>
      </c>
      <c r="D5" s="605" t="s">
        <v>8</v>
      </c>
      <c r="E5" s="606">
        <f t="shared" ref="E5:E68" si="0">SUM(F5:I5)</f>
        <v>4300438.9000000004</v>
      </c>
      <c r="F5" s="606">
        <f>SUM(F6:F7)</f>
        <v>3003990.9000000004</v>
      </c>
      <c r="G5" s="606">
        <f>SUM(G6:G7)</f>
        <v>1043525.8</v>
      </c>
      <c r="H5" s="606">
        <f>SUM(H6:H7)</f>
        <v>216922.2</v>
      </c>
      <c r="I5" s="606">
        <f>SUM(I6:I7)</f>
        <v>36000</v>
      </c>
      <c r="J5" s="2952"/>
      <c r="K5" s="2953" t="s">
        <v>2655</v>
      </c>
    </row>
    <row r="6" spans="1:12">
      <c r="A6" s="2949"/>
      <c r="B6" s="2950"/>
      <c r="C6" s="2951"/>
      <c r="D6" s="605">
        <v>2019</v>
      </c>
      <c r="E6" s="606">
        <f t="shared" si="0"/>
        <v>1944680.1000000003</v>
      </c>
      <c r="F6" s="606">
        <f t="shared" ref="F6:I7" si="1">SUM(F15,F54,F117,F270)</f>
        <v>1471857.6000000003</v>
      </c>
      <c r="G6" s="606">
        <f t="shared" si="1"/>
        <v>334080.5</v>
      </c>
      <c r="H6" s="606">
        <f t="shared" si="1"/>
        <v>110442</v>
      </c>
      <c r="I6" s="606">
        <f t="shared" si="1"/>
        <v>28300</v>
      </c>
      <c r="J6" s="2952"/>
      <c r="K6" s="2953"/>
      <c r="L6" s="69"/>
    </row>
    <row r="7" spans="1:12">
      <c r="A7" s="2949"/>
      <c r="B7" s="2950"/>
      <c r="C7" s="2951"/>
      <c r="D7" s="605">
        <v>2020</v>
      </c>
      <c r="E7" s="606">
        <f>SUM(F7:I7)</f>
        <v>2355758.7999999998</v>
      </c>
      <c r="F7" s="606">
        <f t="shared" si="1"/>
        <v>1532133.2999999998</v>
      </c>
      <c r="G7" s="606">
        <f t="shared" si="1"/>
        <v>709445.3</v>
      </c>
      <c r="H7" s="606">
        <f t="shared" si="1"/>
        <v>106480.20000000001</v>
      </c>
      <c r="I7" s="606">
        <f t="shared" si="1"/>
        <v>7700</v>
      </c>
      <c r="J7" s="2952"/>
      <c r="K7" s="2953"/>
      <c r="L7" s="69"/>
    </row>
    <row r="8" spans="1:12">
      <c r="A8" s="2954"/>
      <c r="B8" s="2955" t="s">
        <v>652</v>
      </c>
      <c r="C8" s="2956" t="s">
        <v>14</v>
      </c>
      <c r="D8" s="607" t="s">
        <v>8</v>
      </c>
      <c r="E8" s="608">
        <f t="shared" si="0"/>
        <v>1894104.0000000002</v>
      </c>
      <c r="F8" s="608">
        <f>SUM(F9:F10)</f>
        <v>1745138.9000000001</v>
      </c>
      <c r="G8" s="608">
        <f>SUM(G9:G10)</f>
        <v>141093.00000000006</v>
      </c>
      <c r="H8" s="608">
        <f>SUM(H9:H10)</f>
        <v>7872.1000000000058</v>
      </c>
      <c r="I8" s="608">
        <f>SUM(I9:I10)</f>
        <v>0</v>
      </c>
      <c r="J8" s="2957"/>
      <c r="K8" s="2958" t="s">
        <v>2656</v>
      </c>
    </row>
    <row r="9" spans="1:12">
      <c r="A9" s="2954"/>
      <c r="B9" s="2955"/>
      <c r="C9" s="2956"/>
      <c r="D9" s="607">
        <v>2019</v>
      </c>
      <c r="E9" s="608">
        <f>SUM(F9:I9)</f>
        <v>878753.60000000033</v>
      </c>
      <c r="F9" s="608">
        <f>F6-F12</f>
        <v>814122.40000000037</v>
      </c>
      <c r="G9" s="608">
        <f t="shared" ref="G9:I10" si="2">G6-G12</f>
        <v>61993.200000000012</v>
      </c>
      <c r="H9" s="608">
        <f t="shared" si="2"/>
        <v>2638</v>
      </c>
      <c r="I9" s="608">
        <f t="shared" si="2"/>
        <v>0</v>
      </c>
      <c r="J9" s="2957"/>
      <c r="K9" s="2958"/>
    </row>
    <row r="10" spans="1:12">
      <c r="A10" s="2954"/>
      <c r="B10" s="2955"/>
      <c r="C10" s="2956"/>
      <c r="D10" s="607">
        <v>2020</v>
      </c>
      <c r="E10" s="608">
        <f t="shared" si="0"/>
        <v>1015350.3999999998</v>
      </c>
      <c r="F10" s="608">
        <f>F7-F13</f>
        <v>931016.49999999977</v>
      </c>
      <c r="G10" s="608">
        <f>G7-G13</f>
        <v>79099.800000000047</v>
      </c>
      <c r="H10" s="608">
        <f t="shared" si="2"/>
        <v>5234.1000000000058</v>
      </c>
      <c r="I10" s="608">
        <f t="shared" si="2"/>
        <v>0</v>
      </c>
      <c r="J10" s="2957"/>
      <c r="K10" s="2958"/>
    </row>
    <row r="11" spans="1:12">
      <c r="A11" s="2959"/>
      <c r="B11" s="2960" t="s">
        <v>318</v>
      </c>
      <c r="C11" s="2961" t="s">
        <v>14</v>
      </c>
      <c r="D11" s="609" t="s">
        <v>8</v>
      </c>
      <c r="E11" s="610">
        <f t="shared" si="0"/>
        <v>2406334.9</v>
      </c>
      <c r="F11" s="610">
        <f>SUM(F12:F13)</f>
        <v>1258852</v>
      </c>
      <c r="G11" s="610">
        <f>SUM(G12:G13)</f>
        <v>902432.8</v>
      </c>
      <c r="H11" s="610">
        <f>SUM(H12:H13)</f>
        <v>209050.1</v>
      </c>
      <c r="I11" s="610">
        <f>SUM(I12:I13)</f>
        <v>36000</v>
      </c>
      <c r="J11" s="2962"/>
      <c r="K11" s="2962" t="s">
        <v>2657</v>
      </c>
    </row>
    <row r="12" spans="1:12">
      <c r="A12" s="2959"/>
      <c r="B12" s="2960"/>
      <c r="C12" s="2961"/>
      <c r="D12" s="609">
        <v>2019</v>
      </c>
      <c r="E12" s="610">
        <f t="shared" si="0"/>
        <v>1065926.5</v>
      </c>
      <c r="F12" s="610">
        <f t="shared" ref="F12:I13" si="3">F123+F126+F132+F138+F150+F174+F177+F180+F210+F213+F216+F234+F237+F240+F243+F246+F252+F264+F267+F156+F129+F135+F153+F159+F162+F165+F219+F222</f>
        <v>657735.19999999995</v>
      </c>
      <c r="G12" s="610">
        <f t="shared" si="3"/>
        <v>272087.3</v>
      </c>
      <c r="H12" s="610">
        <f t="shared" si="3"/>
        <v>107804</v>
      </c>
      <c r="I12" s="610">
        <f t="shared" si="3"/>
        <v>28300</v>
      </c>
      <c r="J12" s="2962"/>
      <c r="K12" s="2962"/>
    </row>
    <row r="13" spans="1:12">
      <c r="A13" s="2959"/>
      <c r="B13" s="2960"/>
      <c r="C13" s="2961"/>
      <c r="D13" s="609">
        <v>2020</v>
      </c>
      <c r="E13" s="610">
        <f t="shared" si="0"/>
        <v>1340408.4000000001</v>
      </c>
      <c r="F13" s="610">
        <f t="shared" si="3"/>
        <v>601116.80000000005</v>
      </c>
      <c r="G13" s="610">
        <f t="shared" si="3"/>
        <v>630345.5</v>
      </c>
      <c r="H13" s="610">
        <f t="shared" si="3"/>
        <v>101246.1</v>
      </c>
      <c r="I13" s="610">
        <f t="shared" si="3"/>
        <v>7700</v>
      </c>
      <c r="J13" s="2962"/>
      <c r="K13" s="2962"/>
    </row>
    <row r="14" spans="1:12" ht="15" customHeight="1">
      <c r="A14" s="2963" t="s">
        <v>16</v>
      </c>
      <c r="B14" s="2964" t="s">
        <v>17</v>
      </c>
      <c r="C14" s="2965" t="s">
        <v>2658</v>
      </c>
      <c r="D14" s="611" t="s">
        <v>8</v>
      </c>
      <c r="E14" s="612">
        <f t="shared" si="0"/>
        <v>192963.09999999998</v>
      </c>
      <c r="F14" s="612">
        <f>SUM(F15:F16)</f>
        <v>131755.4</v>
      </c>
      <c r="G14" s="612">
        <f>SUM(G15:G16)</f>
        <v>61207.7</v>
      </c>
      <c r="H14" s="612">
        <f>SUM(H15:H16)</f>
        <v>0</v>
      </c>
      <c r="I14" s="612">
        <f>SUM(I15:I16)</f>
        <v>0</v>
      </c>
      <c r="J14" s="2966"/>
      <c r="K14" s="2967" t="s">
        <v>2659</v>
      </c>
    </row>
    <row r="15" spans="1:12">
      <c r="A15" s="2963"/>
      <c r="B15" s="2964"/>
      <c r="C15" s="2965"/>
      <c r="D15" s="611">
        <v>2019</v>
      </c>
      <c r="E15" s="612">
        <f t="shared" si="0"/>
        <v>63574.1</v>
      </c>
      <c r="F15" s="612">
        <f t="shared" ref="F15:I16" si="4">F18+F27+F33</f>
        <v>50490.5</v>
      </c>
      <c r="G15" s="612">
        <f t="shared" si="4"/>
        <v>13083.599999999999</v>
      </c>
      <c r="H15" s="612">
        <f t="shared" si="4"/>
        <v>0</v>
      </c>
      <c r="I15" s="612">
        <f t="shared" si="4"/>
        <v>0</v>
      </c>
      <c r="J15" s="2966"/>
      <c r="K15" s="2967"/>
    </row>
    <row r="16" spans="1:12">
      <c r="A16" s="2963"/>
      <c r="B16" s="2964"/>
      <c r="C16" s="2965"/>
      <c r="D16" s="611">
        <v>2020</v>
      </c>
      <c r="E16" s="612">
        <f t="shared" si="0"/>
        <v>129389</v>
      </c>
      <c r="F16" s="612">
        <f>F19+F28+F34</f>
        <v>81264.899999999994</v>
      </c>
      <c r="G16" s="612">
        <f t="shared" si="4"/>
        <v>48124.1</v>
      </c>
      <c r="H16" s="612">
        <f t="shared" si="4"/>
        <v>0</v>
      </c>
      <c r="I16" s="612">
        <f t="shared" si="4"/>
        <v>0</v>
      </c>
      <c r="J16" s="2966"/>
      <c r="K16" s="2967"/>
    </row>
    <row r="17" spans="1:11" ht="15" customHeight="1" outlineLevel="1">
      <c r="A17" s="2968" t="s">
        <v>172</v>
      </c>
      <c r="B17" s="2969" t="s">
        <v>20</v>
      </c>
      <c r="C17" s="2970">
        <v>2019</v>
      </c>
      <c r="D17" s="613" t="s">
        <v>8</v>
      </c>
      <c r="E17" s="614">
        <f t="shared" si="0"/>
        <v>41585.5</v>
      </c>
      <c r="F17" s="614">
        <f>F18+F19</f>
        <v>41585.5</v>
      </c>
      <c r="G17" s="614">
        <f>G18+G19</f>
        <v>0</v>
      </c>
      <c r="H17" s="614">
        <f>H18+H19</f>
        <v>0</v>
      </c>
      <c r="I17" s="614">
        <f>I18+I19</f>
        <v>0</v>
      </c>
      <c r="J17" s="2971" t="s">
        <v>21</v>
      </c>
      <c r="K17" s="2972" t="s">
        <v>2660</v>
      </c>
    </row>
    <row r="18" spans="1:11" ht="16.5" customHeight="1" outlineLevel="1">
      <c r="A18" s="2968"/>
      <c r="B18" s="2969"/>
      <c r="C18" s="2970"/>
      <c r="D18" s="613">
        <v>2019</v>
      </c>
      <c r="E18" s="614">
        <f t="shared" si="0"/>
        <v>22585.5</v>
      </c>
      <c r="F18" s="614">
        <f>F21+F24</f>
        <v>22585.5</v>
      </c>
      <c r="G18" s="614">
        <f t="shared" ref="G18:I19" si="5">G21+G24</f>
        <v>0</v>
      </c>
      <c r="H18" s="614">
        <f t="shared" si="5"/>
        <v>0</v>
      </c>
      <c r="I18" s="614">
        <f t="shared" si="5"/>
        <v>0</v>
      </c>
      <c r="J18" s="2971"/>
      <c r="K18" s="2972"/>
    </row>
    <row r="19" spans="1:11" ht="16.5" customHeight="1" outlineLevel="1">
      <c r="A19" s="2968"/>
      <c r="B19" s="2969"/>
      <c r="C19" s="2970"/>
      <c r="D19" s="613">
        <v>2020</v>
      </c>
      <c r="E19" s="614">
        <f t="shared" si="0"/>
        <v>19000</v>
      </c>
      <c r="F19" s="614">
        <f>F22+F25</f>
        <v>19000</v>
      </c>
      <c r="G19" s="614">
        <f t="shared" si="5"/>
        <v>0</v>
      </c>
      <c r="H19" s="614">
        <f t="shared" si="5"/>
        <v>0</v>
      </c>
      <c r="I19" s="614">
        <f t="shared" si="5"/>
        <v>0</v>
      </c>
      <c r="J19" s="2971"/>
      <c r="K19" s="2972"/>
    </row>
    <row r="20" spans="1:11" s="2" customFormat="1" ht="15" customHeight="1" outlineLevel="1">
      <c r="A20" s="1950" t="s">
        <v>19</v>
      </c>
      <c r="B20" s="2973" t="s">
        <v>189</v>
      </c>
      <c r="C20" s="2976">
        <v>2019</v>
      </c>
      <c r="D20" s="452" t="s">
        <v>8</v>
      </c>
      <c r="E20" s="13">
        <f t="shared" si="0"/>
        <v>22585.5</v>
      </c>
      <c r="F20" s="13">
        <f>F21+F22</f>
        <v>22585.5</v>
      </c>
      <c r="G20" s="13">
        <f>G21+G22</f>
        <v>0</v>
      </c>
      <c r="H20" s="13">
        <f>H21+H22</f>
        <v>0</v>
      </c>
      <c r="I20" s="13">
        <f>I21+I22</f>
        <v>0</v>
      </c>
      <c r="J20" s="1990" t="s">
        <v>2661</v>
      </c>
      <c r="K20" s="1990" t="s">
        <v>2662</v>
      </c>
    </row>
    <row r="21" spans="1:11" s="2" customFormat="1" outlineLevel="1">
      <c r="A21" s="1951"/>
      <c r="B21" s="2974"/>
      <c r="C21" s="2976"/>
      <c r="D21" s="452">
        <v>2019</v>
      </c>
      <c r="E21" s="13">
        <f t="shared" si="0"/>
        <v>22585.5</v>
      </c>
      <c r="F21" s="615">
        <v>22585.5</v>
      </c>
      <c r="G21" s="615">
        <v>0</v>
      </c>
      <c r="H21" s="615">
        <v>0</v>
      </c>
      <c r="I21" s="615">
        <v>0</v>
      </c>
      <c r="J21" s="1990"/>
      <c r="K21" s="1990"/>
    </row>
    <row r="22" spans="1:11" s="2" customFormat="1" outlineLevel="1">
      <c r="A22" s="1951"/>
      <c r="B22" s="2975"/>
      <c r="C22" s="2976"/>
      <c r="D22" s="452">
        <v>2020</v>
      </c>
      <c r="E22" s="13">
        <f t="shared" si="0"/>
        <v>0</v>
      </c>
      <c r="F22" s="615">
        <v>0</v>
      </c>
      <c r="G22" s="615">
        <v>0</v>
      </c>
      <c r="H22" s="615">
        <v>0</v>
      </c>
      <c r="I22" s="615">
        <v>0</v>
      </c>
      <c r="J22" s="1990"/>
      <c r="K22" s="1990"/>
    </row>
    <row r="23" spans="1:11" s="2" customFormat="1" ht="15" customHeight="1" outlineLevel="1">
      <c r="A23" s="1950" t="s">
        <v>180</v>
      </c>
      <c r="B23" s="2977" t="s">
        <v>654</v>
      </c>
      <c r="C23" s="2976">
        <v>2020</v>
      </c>
      <c r="D23" s="452" t="s">
        <v>8</v>
      </c>
      <c r="E23" s="13">
        <f>SUM(F23:I23)</f>
        <v>19000</v>
      </c>
      <c r="F23" s="13">
        <f>F24+F25</f>
        <v>19000</v>
      </c>
      <c r="G23" s="13">
        <f>G24+G25</f>
        <v>0</v>
      </c>
      <c r="H23" s="13">
        <f>H24+H25</f>
        <v>0</v>
      </c>
      <c r="I23" s="13">
        <f>I24+I25</f>
        <v>0</v>
      </c>
      <c r="J23" s="2980" t="s">
        <v>2663</v>
      </c>
      <c r="K23" s="2983" t="s">
        <v>2662</v>
      </c>
    </row>
    <row r="24" spans="1:11" s="2" customFormat="1" outlineLevel="1">
      <c r="A24" s="1951"/>
      <c r="B24" s="2978"/>
      <c r="C24" s="2976"/>
      <c r="D24" s="452">
        <v>2019</v>
      </c>
      <c r="E24" s="13">
        <f>SUM(F24:I24)</f>
        <v>0</v>
      </c>
      <c r="F24" s="615">
        <v>0</v>
      </c>
      <c r="G24" s="615">
        <v>0</v>
      </c>
      <c r="H24" s="615">
        <v>0</v>
      </c>
      <c r="I24" s="615">
        <v>0</v>
      </c>
      <c r="J24" s="2981"/>
      <c r="K24" s="2983"/>
    </row>
    <row r="25" spans="1:11" s="2" customFormat="1" outlineLevel="1">
      <c r="A25" s="1951"/>
      <c r="B25" s="2979"/>
      <c r="C25" s="2976"/>
      <c r="D25" s="452">
        <v>2020</v>
      </c>
      <c r="E25" s="13">
        <f>SUM(F25:I25)</f>
        <v>19000</v>
      </c>
      <c r="F25" s="616">
        <v>19000</v>
      </c>
      <c r="G25" s="615">
        <v>0</v>
      </c>
      <c r="H25" s="615">
        <v>0</v>
      </c>
      <c r="I25" s="615">
        <v>0</v>
      </c>
      <c r="J25" s="2982"/>
      <c r="K25" s="2983"/>
    </row>
    <row r="26" spans="1:11" ht="20.100000000000001" customHeight="1" outlineLevel="1">
      <c r="A26" s="2968" t="s">
        <v>173</v>
      </c>
      <c r="B26" s="2969" t="s">
        <v>34</v>
      </c>
      <c r="C26" s="2970" t="s">
        <v>2658</v>
      </c>
      <c r="D26" s="613" t="s">
        <v>8</v>
      </c>
      <c r="E26" s="614">
        <f t="shared" si="0"/>
        <v>855</v>
      </c>
      <c r="F26" s="614">
        <f>F27+F28</f>
        <v>855</v>
      </c>
      <c r="G26" s="614">
        <f>G27+G28</f>
        <v>0</v>
      </c>
      <c r="H26" s="614">
        <f>H27+H28</f>
        <v>0</v>
      </c>
      <c r="I26" s="614">
        <f>I27+I28</f>
        <v>0</v>
      </c>
      <c r="J26" s="2984" t="s">
        <v>2664</v>
      </c>
      <c r="K26" s="2972" t="s">
        <v>2659</v>
      </c>
    </row>
    <row r="27" spans="1:11" ht="20.100000000000001" customHeight="1" outlineLevel="1">
      <c r="A27" s="2968"/>
      <c r="B27" s="2969"/>
      <c r="C27" s="2970"/>
      <c r="D27" s="613">
        <v>2019</v>
      </c>
      <c r="E27" s="614">
        <f t="shared" si="0"/>
        <v>427.5</v>
      </c>
      <c r="F27" s="614">
        <f t="shared" ref="F27:I28" si="6">F30</f>
        <v>427.5</v>
      </c>
      <c r="G27" s="614">
        <f t="shared" si="6"/>
        <v>0</v>
      </c>
      <c r="H27" s="614">
        <f t="shared" si="6"/>
        <v>0</v>
      </c>
      <c r="I27" s="614">
        <f t="shared" si="6"/>
        <v>0</v>
      </c>
      <c r="J27" s="2984"/>
      <c r="K27" s="2972"/>
    </row>
    <row r="28" spans="1:11" ht="18.75" customHeight="1" outlineLevel="1">
      <c r="A28" s="2968"/>
      <c r="B28" s="2969"/>
      <c r="C28" s="2970"/>
      <c r="D28" s="613">
        <v>2020</v>
      </c>
      <c r="E28" s="614">
        <f t="shared" si="0"/>
        <v>427.5</v>
      </c>
      <c r="F28" s="614">
        <f t="shared" si="6"/>
        <v>427.5</v>
      </c>
      <c r="G28" s="614">
        <f t="shared" si="6"/>
        <v>0</v>
      </c>
      <c r="H28" s="614">
        <f t="shared" si="6"/>
        <v>0</v>
      </c>
      <c r="I28" s="614">
        <f t="shared" si="6"/>
        <v>0</v>
      </c>
      <c r="J28" s="2984"/>
      <c r="K28" s="2972"/>
    </row>
    <row r="29" spans="1:11" s="2" customFormat="1" ht="18.75" customHeight="1" outlineLevel="1">
      <c r="A29" s="1951" t="s">
        <v>33</v>
      </c>
      <c r="B29" s="2985" t="s">
        <v>22</v>
      </c>
      <c r="C29" s="2986" t="s">
        <v>2658</v>
      </c>
      <c r="D29" s="452" t="s">
        <v>8</v>
      </c>
      <c r="E29" s="13">
        <f t="shared" si="0"/>
        <v>855</v>
      </c>
      <c r="F29" s="13">
        <f>F30+F31</f>
        <v>855</v>
      </c>
      <c r="G29" s="13">
        <f>G30+G31</f>
        <v>0</v>
      </c>
      <c r="H29" s="13">
        <f>H30+H31</f>
        <v>0</v>
      </c>
      <c r="I29" s="13">
        <f>I30+I31</f>
        <v>0</v>
      </c>
      <c r="J29" s="2987" t="s">
        <v>2665</v>
      </c>
      <c r="K29" s="1990" t="s">
        <v>23</v>
      </c>
    </row>
    <row r="30" spans="1:11" s="2" customFormat="1" ht="18.75" customHeight="1" outlineLevel="1">
      <c r="A30" s="1951"/>
      <c r="B30" s="2985"/>
      <c r="C30" s="2986"/>
      <c r="D30" s="452">
        <v>2019</v>
      </c>
      <c r="E30" s="13">
        <f t="shared" si="0"/>
        <v>427.5</v>
      </c>
      <c r="F30" s="13">
        <v>427.5</v>
      </c>
      <c r="G30" s="615">
        <v>0</v>
      </c>
      <c r="H30" s="615">
        <v>0</v>
      </c>
      <c r="I30" s="615">
        <v>0</v>
      </c>
      <c r="J30" s="2987"/>
      <c r="K30" s="1990"/>
    </row>
    <row r="31" spans="1:11" s="2" customFormat="1" ht="18.75" customHeight="1" outlineLevel="1">
      <c r="A31" s="1951"/>
      <c r="B31" s="2985"/>
      <c r="C31" s="2986"/>
      <c r="D31" s="452">
        <v>2020</v>
      </c>
      <c r="E31" s="13">
        <f t="shared" si="0"/>
        <v>427.5</v>
      </c>
      <c r="F31" s="13">
        <v>427.5</v>
      </c>
      <c r="G31" s="615">
        <v>0</v>
      </c>
      <c r="H31" s="615">
        <v>0</v>
      </c>
      <c r="I31" s="615">
        <v>0</v>
      </c>
      <c r="J31" s="2987"/>
      <c r="K31" s="1990"/>
    </row>
    <row r="32" spans="1:11" s="2" customFormat="1" ht="15" customHeight="1" outlineLevel="1">
      <c r="A32" s="2988" t="s">
        <v>529</v>
      </c>
      <c r="B32" s="2989" t="s">
        <v>631</v>
      </c>
      <c r="C32" s="2990" t="s">
        <v>2658</v>
      </c>
      <c r="D32" s="617" t="s">
        <v>8</v>
      </c>
      <c r="E32" s="618">
        <f t="shared" si="0"/>
        <v>150522.59999999998</v>
      </c>
      <c r="F32" s="618">
        <f>F33+F34</f>
        <v>89314.9</v>
      </c>
      <c r="G32" s="618">
        <f>G33+G34</f>
        <v>61207.7</v>
      </c>
      <c r="H32" s="618">
        <f>H33+H34</f>
        <v>0</v>
      </c>
      <c r="I32" s="618">
        <f>I33+I34</f>
        <v>0</v>
      </c>
      <c r="J32" s="2971" t="s">
        <v>2666</v>
      </c>
      <c r="K32" s="2971" t="s">
        <v>2667</v>
      </c>
    </row>
    <row r="33" spans="1:11" outlineLevel="1">
      <c r="A33" s="2988"/>
      <c r="B33" s="2989"/>
      <c r="C33" s="2990"/>
      <c r="D33" s="617">
        <v>2019</v>
      </c>
      <c r="E33" s="618">
        <f t="shared" si="0"/>
        <v>40561.1</v>
      </c>
      <c r="F33" s="618">
        <f>F36+F39+F42+F45+F48+F51</f>
        <v>27477.5</v>
      </c>
      <c r="G33" s="618">
        <f t="shared" ref="G33:I34" si="7">G36+G39+G42+G45+G48+G51</f>
        <v>13083.599999999999</v>
      </c>
      <c r="H33" s="618">
        <f t="shared" si="7"/>
        <v>0</v>
      </c>
      <c r="I33" s="618">
        <f t="shared" si="7"/>
        <v>0</v>
      </c>
      <c r="J33" s="2971"/>
      <c r="K33" s="2971"/>
    </row>
    <row r="34" spans="1:11" outlineLevel="1">
      <c r="A34" s="2988"/>
      <c r="B34" s="2989"/>
      <c r="C34" s="2990"/>
      <c r="D34" s="617">
        <v>2020</v>
      </c>
      <c r="E34" s="618">
        <f t="shared" si="0"/>
        <v>109961.5</v>
      </c>
      <c r="F34" s="618">
        <f>F37+F40+F43+F46+F49+F52</f>
        <v>61837.4</v>
      </c>
      <c r="G34" s="618">
        <f t="shared" si="7"/>
        <v>48124.1</v>
      </c>
      <c r="H34" s="618">
        <f t="shared" si="7"/>
        <v>0</v>
      </c>
      <c r="I34" s="618">
        <f t="shared" si="7"/>
        <v>0</v>
      </c>
      <c r="J34" s="2971"/>
      <c r="K34" s="2971"/>
    </row>
    <row r="35" spans="1:11" s="2" customFormat="1" ht="15.75" customHeight="1" outlineLevel="1">
      <c r="A35" s="1951" t="s">
        <v>632</v>
      </c>
      <c r="B35" s="2991" t="s">
        <v>655</v>
      </c>
      <c r="C35" s="2986" t="s">
        <v>2658</v>
      </c>
      <c r="D35" s="452" t="s">
        <v>8</v>
      </c>
      <c r="E35" s="13">
        <f t="shared" si="0"/>
        <v>52263.200000000004</v>
      </c>
      <c r="F35" s="13">
        <f>F36+F37</f>
        <v>3135.8</v>
      </c>
      <c r="G35" s="13">
        <f>G36+G37</f>
        <v>49127.4</v>
      </c>
      <c r="H35" s="13">
        <f>H36+H37</f>
        <v>0</v>
      </c>
      <c r="I35" s="13">
        <f>I36+I37</f>
        <v>0</v>
      </c>
      <c r="J35" s="2983" t="s">
        <v>2668</v>
      </c>
      <c r="K35" s="2992" t="s">
        <v>2669</v>
      </c>
    </row>
    <row r="36" spans="1:11" s="2" customFormat="1" outlineLevel="1">
      <c r="A36" s="1951"/>
      <c r="B36" s="2991"/>
      <c r="C36" s="2986"/>
      <c r="D36" s="452">
        <v>2019</v>
      </c>
      <c r="E36" s="13">
        <f t="shared" si="0"/>
        <v>6365.2999999999993</v>
      </c>
      <c r="F36" s="615">
        <v>381.9</v>
      </c>
      <c r="G36" s="615">
        <v>5983.4</v>
      </c>
      <c r="H36" s="615">
        <v>0</v>
      </c>
      <c r="I36" s="615">
        <v>0</v>
      </c>
      <c r="J36" s="2983"/>
      <c r="K36" s="2992"/>
    </row>
    <row r="37" spans="1:11" s="2" customFormat="1" outlineLevel="1">
      <c r="A37" s="1951"/>
      <c r="B37" s="2991"/>
      <c r="C37" s="2986"/>
      <c r="D37" s="452">
        <v>2020</v>
      </c>
      <c r="E37" s="13">
        <f t="shared" si="0"/>
        <v>45897.9</v>
      </c>
      <c r="F37" s="615">
        <v>2753.9</v>
      </c>
      <c r="G37" s="615">
        <v>43144</v>
      </c>
      <c r="H37" s="615">
        <v>0</v>
      </c>
      <c r="I37" s="615">
        <v>0</v>
      </c>
      <c r="J37" s="2983"/>
      <c r="K37" s="2992"/>
    </row>
    <row r="38" spans="1:11" s="2" customFormat="1" ht="15" customHeight="1" outlineLevel="1">
      <c r="A38" s="1951" t="s">
        <v>2670</v>
      </c>
      <c r="B38" s="2991" t="s">
        <v>2671</v>
      </c>
      <c r="C38" s="2986">
        <v>2019</v>
      </c>
      <c r="D38" s="452" t="s">
        <v>8</v>
      </c>
      <c r="E38" s="13">
        <f t="shared" si="0"/>
        <v>10000.299999999999</v>
      </c>
      <c r="F38" s="13">
        <f>F39+F40</f>
        <v>2900.1</v>
      </c>
      <c r="G38" s="13">
        <f>G39+G40</f>
        <v>7100.2</v>
      </c>
      <c r="H38" s="13">
        <f>H39+H40</f>
        <v>0</v>
      </c>
      <c r="I38" s="13">
        <f>I39+I40</f>
        <v>0</v>
      </c>
      <c r="J38" s="1990" t="s">
        <v>2672</v>
      </c>
      <c r="K38" s="1990" t="s">
        <v>2656</v>
      </c>
    </row>
    <row r="39" spans="1:11" outlineLevel="1">
      <c r="A39" s="1951"/>
      <c r="B39" s="2991"/>
      <c r="C39" s="2986"/>
      <c r="D39" s="452">
        <v>2019</v>
      </c>
      <c r="E39" s="13">
        <f t="shared" si="0"/>
        <v>10000.299999999999</v>
      </c>
      <c r="F39" s="615">
        <v>2900.1</v>
      </c>
      <c r="G39" s="615">
        <v>7100.2</v>
      </c>
      <c r="H39" s="615">
        <v>0</v>
      </c>
      <c r="I39" s="615">
        <v>0</v>
      </c>
      <c r="J39" s="1990"/>
      <c r="K39" s="1990"/>
    </row>
    <row r="40" spans="1:11" outlineLevel="1">
      <c r="A40" s="1951"/>
      <c r="B40" s="2991"/>
      <c r="C40" s="2986"/>
      <c r="D40" s="452">
        <v>2020</v>
      </c>
      <c r="E40" s="13">
        <f t="shared" si="0"/>
        <v>0</v>
      </c>
      <c r="F40" s="615">
        <v>0</v>
      </c>
      <c r="G40" s="615">
        <v>0</v>
      </c>
      <c r="H40" s="615">
        <v>0</v>
      </c>
      <c r="I40" s="615">
        <v>0</v>
      </c>
      <c r="J40" s="1990"/>
      <c r="K40" s="1990"/>
    </row>
    <row r="41" spans="1:11" s="2" customFormat="1" ht="15" customHeight="1" outlineLevel="1">
      <c r="A41" s="1951" t="s">
        <v>656</v>
      </c>
      <c r="B41" s="2985" t="s">
        <v>657</v>
      </c>
      <c r="C41" s="2986" t="s">
        <v>2658</v>
      </c>
      <c r="D41" s="452" t="s">
        <v>8</v>
      </c>
      <c r="E41" s="13">
        <f t="shared" si="0"/>
        <v>3272.2</v>
      </c>
      <c r="F41" s="13">
        <f>F42+F43</f>
        <v>3272.2</v>
      </c>
      <c r="G41" s="13">
        <f>G42+G43</f>
        <v>0</v>
      </c>
      <c r="H41" s="13">
        <f>H42+H43</f>
        <v>0</v>
      </c>
      <c r="I41" s="13">
        <f>I42+I43</f>
        <v>0</v>
      </c>
      <c r="J41" s="1990" t="s">
        <v>25</v>
      </c>
      <c r="K41" s="1990" t="s">
        <v>2656</v>
      </c>
    </row>
    <row r="42" spans="1:11" s="2" customFormat="1" outlineLevel="1">
      <c r="A42" s="1951"/>
      <c r="B42" s="2985"/>
      <c r="C42" s="2986"/>
      <c r="D42" s="452">
        <v>2019</v>
      </c>
      <c r="E42" s="13">
        <f t="shared" si="0"/>
        <v>1636.1</v>
      </c>
      <c r="F42" s="615">
        <v>1636.1</v>
      </c>
      <c r="G42" s="615">
        <v>0</v>
      </c>
      <c r="H42" s="615">
        <v>0</v>
      </c>
      <c r="I42" s="615">
        <v>0</v>
      </c>
      <c r="J42" s="1990"/>
      <c r="K42" s="1990"/>
    </row>
    <row r="43" spans="1:11" s="2" customFormat="1" outlineLevel="1">
      <c r="A43" s="1951"/>
      <c r="B43" s="2985"/>
      <c r="C43" s="2986"/>
      <c r="D43" s="452">
        <v>2020</v>
      </c>
      <c r="E43" s="13">
        <f t="shared" si="0"/>
        <v>1636.1</v>
      </c>
      <c r="F43" s="615">
        <v>1636.1</v>
      </c>
      <c r="G43" s="615">
        <v>0</v>
      </c>
      <c r="H43" s="615">
        <v>0</v>
      </c>
      <c r="I43" s="615">
        <v>0</v>
      </c>
      <c r="J43" s="1990"/>
      <c r="K43" s="1990"/>
    </row>
    <row r="44" spans="1:11" s="619" customFormat="1" ht="19.5" customHeight="1" outlineLevel="1">
      <c r="A44" s="1951" t="s">
        <v>658</v>
      </c>
      <c r="B44" s="2993" t="s">
        <v>659</v>
      </c>
      <c r="C44" s="2986" t="s">
        <v>2658</v>
      </c>
      <c r="D44" s="452" t="s">
        <v>8</v>
      </c>
      <c r="E44" s="13">
        <f t="shared" si="0"/>
        <v>6700</v>
      </c>
      <c r="F44" s="13">
        <f>F45+F46</f>
        <v>6700</v>
      </c>
      <c r="G44" s="13">
        <f>G45+G46</f>
        <v>0</v>
      </c>
      <c r="H44" s="13">
        <f>H45+H46</f>
        <v>0</v>
      </c>
      <c r="I44" s="13">
        <f>I45+I46</f>
        <v>0</v>
      </c>
      <c r="J44" s="2987" t="s">
        <v>2673</v>
      </c>
      <c r="K44" s="1990" t="s">
        <v>2656</v>
      </c>
    </row>
    <row r="45" spans="1:11" s="619" customFormat="1" ht="19.5" customHeight="1" outlineLevel="1">
      <c r="A45" s="1951"/>
      <c r="B45" s="2993"/>
      <c r="C45" s="2986"/>
      <c r="D45" s="452">
        <v>2019</v>
      </c>
      <c r="E45" s="13">
        <f t="shared" si="0"/>
        <v>2000</v>
      </c>
      <c r="F45" s="615">
        <v>2000</v>
      </c>
      <c r="G45" s="615">
        <v>0</v>
      </c>
      <c r="H45" s="615">
        <v>0</v>
      </c>
      <c r="I45" s="615">
        <v>0</v>
      </c>
      <c r="J45" s="2987"/>
      <c r="K45" s="1990"/>
    </row>
    <row r="46" spans="1:11" s="619" customFormat="1" ht="19.5" customHeight="1" outlineLevel="1">
      <c r="A46" s="1951"/>
      <c r="B46" s="2993"/>
      <c r="C46" s="2986"/>
      <c r="D46" s="452">
        <v>2020</v>
      </c>
      <c r="E46" s="13">
        <f t="shared" si="0"/>
        <v>4700</v>
      </c>
      <c r="F46" s="620">
        <f>2000+2700</f>
        <v>4700</v>
      </c>
      <c r="G46" s="615">
        <v>0</v>
      </c>
      <c r="H46" s="615">
        <v>0</v>
      </c>
      <c r="I46" s="615">
        <v>0</v>
      </c>
      <c r="J46" s="2987"/>
      <c r="K46" s="1990"/>
    </row>
    <row r="47" spans="1:11" s="2" customFormat="1" ht="15.75" customHeight="1" outlineLevel="1">
      <c r="A47" s="1951" t="s">
        <v>660</v>
      </c>
      <c r="B47" s="2985" t="s">
        <v>636</v>
      </c>
      <c r="C47" s="2986">
        <v>2020</v>
      </c>
      <c r="D47" s="452" t="s">
        <v>8</v>
      </c>
      <c r="E47" s="13">
        <f t="shared" si="0"/>
        <v>7014.2000000000007</v>
      </c>
      <c r="F47" s="13">
        <f>F48+F49</f>
        <v>2034.1</v>
      </c>
      <c r="G47" s="13">
        <f>G48+G49</f>
        <v>4980.1000000000004</v>
      </c>
      <c r="H47" s="13">
        <f>H48+H49</f>
        <v>0</v>
      </c>
      <c r="I47" s="13">
        <f>I48+I49</f>
        <v>0</v>
      </c>
      <c r="J47" s="2983" t="s">
        <v>2674</v>
      </c>
      <c r="K47" s="1990" t="s">
        <v>2656</v>
      </c>
    </row>
    <row r="48" spans="1:11" s="2" customFormat="1" outlineLevel="1">
      <c r="A48" s="1951"/>
      <c r="B48" s="2985"/>
      <c r="C48" s="2986"/>
      <c r="D48" s="452">
        <v>2019</v>
      </c>
      <c r="E48" s="13">
        <f t="shared" si="0"/>
        <v>0</v>
      </c>
      <c r="F48" s="615">
        <v>0</v>
      </c>
      <c r="G48" s="615">
        <v>0</v>
      </c>
      <c r="H48" s="615">
        <v>0</v>
      </c>
      <c r="I48" s="615">
        <v>0</v>
      </c>
      <c r="J48" s="2983"/>
      <c r="K48" s="1990"/>
    </row>
    <row r="49" spans="1:11" s="2" customFormat="1" outlineLevel="1">
      <c r="A49" s="1951"/>
      <c r="B49" s="2985"/>
      <c r="C49" s="2986"/>
      <c r="D49" s="452">
        <v>2020</v>
      </c>
      <c r="E49" s="13">
        <f t="shared" si="0"/>
        <v>7014.2000000000007</v>
      </c>
      <c r="F49" s="615">
        <v>2034.1</v>
      </c>
      <c r="G49" s="615">
        <v>4980.1000000000004</v>
      </c>
      <c r="H49" s="615">
        <v>0</v>
      </c>
      <c r="I49" s="615">
        <v>0</v>
      </c>
      <c r="J49" s="2983"/>
      <c r="K49" s="1990"/>
    </row>
    <row r="50" spans="1:11" s="619" customFormat="1" ht="16.5" customHeight="1" outlineLevel="1">
      <c r="A50" s="1951" t="s">
        <v>661</v>
      </c>
      <c r="B50" s="2985" t="s">
        <v>22</v>
      </c>
      <c r="C50" s="2986" t="s">
        <v>2658</v>
      </c>
      <c r="D50" s="452" t="s">
        <v>8</v>
      </c>
      <c r="E50" s="13">
        <f t="shared" si="0"/>
        <v>71272.700000000012</v>
      </c>
      <c r="F50" s="13">
        <f>F51+F52</f>
        <v>71272.700000000012</v>
      </c>
      <c r="G50" s="13">
        <f>G51+G52</f>
        <v>0</v>
      </c>
      <c r="H50" s="13">
        <f>H51+H52</f>
        <v>0</v>
      </c>
      <c r="I50" s="13">
        <f>I51+I52</f>
        <v>0</v>
      </c>
      <c r="J50" s="2987" t="s">
        <v>2675</v>
      </c>
      <c r="K50" s="1990" t="s">
        <v>23</v>
      </c>
    </row>
    <row r="51" spans="1:11" s="619" customFormat="1" outlineLevel="1">
      <c r="A51" s="1951"/>
      <c r="B51" s="2985"/>
      <c r="C51" s="2986"/>
      <c r="D51" s="452">
        <v>2019</v>
      </c>
      <c r="E51" s="13">
        <f t="shared" si="0"/>
        <v>20559.400000000001</v>
      </c>
      <c r="F51" s="13">
        <v>20559.400000000001</v>
      </c>
      <c r="G51" s="615">
        <v>0</v>
      </c>
      <c r="H51" s="615">
        <v>0</v>
      </c>
      <c r="I51" s="615">
        <v>0</v>
      </c>
      <c r="J51" s="2987"/>
      <c r="K51" s="1990"/>
    </row>
    <row r="52" spans="1:11" s="619" customFormat="1" outlineLevel="1">
      <c r="A52" s="1951"/>
      <c r="B52" s="2985"/>
      <c r="C52" s="2986"/>
      <c r="D52" s="452">
        <v>2020</v>
      </c>
      <c r="E52" s="13">
        <f t="shared" si="0"/>
        <v>50713.3</v>
      </c>
      <c r="F52" s="620">
        <f>23913.3+26800</f>
        <v>50713.3</v>
      </c>
      <c r="G52" s="615">
        <v>0</v>
      </c>
      <c r="H52" s="615">
        <v>0</v>
      </c>
      <c r="I52" s="615">
        <v>0</v>
      </c>
      <c r="J52" s="2987"/>
      <c r="K52" s="1990"/>
    </row>
    <row r="53" spans="1:11" s="2" customFormat="1" ht="15" customHeight="1">
      <c r="A53" s="2963" t="s">
        <v>40</v>
      </c>
      <c r="B53" s="2994" t="s">
        <v>41</v>
      </c>
      <c r="C53" s="2965" t="s">
        <v>2658</v>
      </c>
      <c r="D53" s="611" t="s">
        <v>8</v>
      </c>
      <c r="E53" s="612">
        <f t="shared" si="0"/>
        <v>1435324.7000000002</v>
      </c>
      <c r="F53" s="612">
        <f>F54+F55</f>
        <v>1392682.3</v>
      </c>
      <c r="G53" s="612">
        <f>G54+G55</f>
        <v>39885.300000000003</v>
      </c>
      <c r="H53" s="612">
        <f>H54+H55</f>
        <v>2757.1</v>
      </c>
      <c r="I53" s="612">
        <f>I54+I55</f>
        <v>0</v>
      </c>
      <c r="J53" s="2966"/>
      <c r="K53" s="2967" t="s">
        <v>2667</v>
      </c>
    </row>
    <row r="54" spans="1:11">
      <c r="A54" s="2963"/>
      <c r="B54" s="2994"/>
      <c r="C54" s="2965"/>
      <c r="D54" s="611">
        <v>2019</v>
      </c>
      <c r="E54" s="612">
        <f t="shared" si="0"/>
        <v>656487.80000000005</v>
      </c>
      <c r="F54" s="612">
        <f t="shared" ref="F54:I55" si="8">F57+F81+F96+F102</f>
        <v>647578.20000000007</v>
      </c>
      <c r="G54" s="612">
        <f t="shared" si="8"/>
        <v>8909.6</v>
      </c>
      <c r="H54" s="612">
        <f t="shared" si="8"/>
        <v>0</v>
      </c>
      <c r="I54" s="612">
        <f t="shared" si="8"/>
        <v>0</v>
      </c>
      <c r="J54" s="2966"/>
      <c r="K54" s="2967"/>
    </row>
    <row r="55" spans="1:11">
      <c r="A55" s="2963"/>
      <c r="B55" s="2994"/>
      <c r="C55" s="2965"/>
      <c r="D55" s="611">
        <v>2020</v>
      </c>
      <c r="E55" s="612">
        <f t="shared" si="0"/>
        <v>778836.89999999991</v>
      </c>
      <c r="F55" s="612">
        <f>F58+F82+F97+F103</f>
        <v>745104.1</v>
      </c>
      <c r="G55" s="612">
        <f t="shared" si="8"/>
        <v>30975.7</v>
      </c>
      <c r="H55" s="612">
        <f t="shared" si="8"/>
        <v>2757.1</v>
      </c>
      <c r="I55" s="612">
        <f t="shared" si="8"/>
        <v>0</v>
      </c>
      <c r="J55" s="2966"/>
      <c r="K55" s="2967"/>
    </row>
    <row r="56" spans="1:11" ht="13.5" customHeight="1" outlineLevel="1">
      <c r="A56" s="2968" t="s">
        <v>174</v>
      </c>
      <c r="B56" s="2969" t="s">
        <v>44</v>
      </c>
      <c r="C56" s="2970" t="s">
        <v>2658</v>
      </c>
      <c r="D56" s="613" t="s">
        <v>8</v>
      </c>
      <c r="E56" s="614">
        <f t="shared" si="0"/>
        <v>120415.59999999999</v>
      </c>
      <c r="F56" s="614">
        <f>F57+F58</f>
        <v>120415.59999999999</v>
      </c>
      <c r="G56" s="614">
        <f>G57+G58</f>
        <v>0</v>
      </c>
      <c r="H56" s="614">
        <f>H57+H58</f>
        <v>0</v>
      </c>
      <c r="I56" s="614">
        <f>I57+I58</f>
        <v>0</v>
      </c>
      <c r="J56" s="2984" t="s">
        <v>45</v>
      </c>
      <c r="K56" s="2972" t="s">
        <v>2659</v>
      </c>
    </row>
    <row r="57" spans="1:11" ht="13.5" customHeight="1" outlineLevel="1">
      <c r="A57" s="2968"/>
      <c r="B57" s="2969"/>
      <c r="C57" s="2970"/>
      <c r="D57" s="613">
        <v>2019</v>
      </c>
      <c r="E57" s="614">
        <f t="shared" si="0"/>
        <v>55778.2</v>
      </c>
      <c r="F57" s="614">
        <f t="shared" ref="F57:I58" si="9">F60+F63+F66+F69+F72+F75+F78</f>
        <v>55778.2</v>
      </c>
      <c r="G57" s="614">
        <f t="shared" si="9"/>
        <v>0</v>
      </c>
      <c r="H57" s="614">
        <f t="shared" si="9"/>
        <v>0</v>
      </c>
      <c r="I57" s="614">
        <f t="shared" si="9"/>
        <v>0</v>
      </c>
      <c r="J57" s="2984"/>
      <c r="K57" s="2972"/>
    </row>
    <row r="58" spans="1:11" ht="13.5" customHeight="1" outlineLevel="1">
      <c r="A58" s="2968"/>
      <c r="B58" s="2969"/>
      <c r="C58" s="2970"/>
      <c r="D58" s="613">
        <v>2020</v>
      </c>
      <c r="E58" s="614">
        <f t="shared" si="0"/>
        <v>64637.399999999994</v>
      </c>
      <c r="F58" s="614">
        <f>F61+F64+F67+F70+F73+F76+F79</f>
        <v>64637.399999999994</v>
      </c>
      <c r="G58" s="614">
        <f t="shared" si="9"/>
        <v>0</v>
      </c>
      <c r="H58" s="614">
        <f t="shared" si="9"/>
        <v>0</v>
      </c>
      <c r="I58" s="614">
        <f t="shared" si="9"/>
        <v>0</v>
      </c>
      <c r="J58" s="2984"/>
      <c r="K58" s="2972"/>
    </row>
    <row r="59" spans="1:11" s="619" customFormat="1" ht="13.5" customHeight="1" outlineLevel="1">
      <c r="A59" s="1951" t="s">
        <v>43</v>
      </c>
      <c r="B59" s="2985" t="s">
        <v>50</v>
      </c>
      <c r="C59" s="2986" t="s">
        <v>2658</v>
      </c>
      <c r="D59" s="452" t="s">
        <v>8</v>
      </c>
      <c r="E59" s="13">
        <f t="shared" si="0"/>
        <v>1022.6</v>
      </c>
      <c r="F59" s="13">
        <f>F60+F61</f>
        <v>1022.6</v>
      </c>
      <c r="G59" s="13">
        <f>G60+G61</f>
        <v>0</v>
      </c>
      <c r="H59" s="13">
        <f>H60+H61</f>
        <v>0</v>
      </c>
      <c r="I59" s="13">
        <f>I60+I61</f>
        <v>0</v>
      </c>
      <c r="J59" s="2995" t="s">
        <v>51</v>
      </c>
      <c r="K59" s="1990" t="s">
        <v>2676</v>
      </c>
    </row>
    <row r="60" spans="1:11" s="619" customFormat="1" ht="13.5" customHeight="1" outlineLevel="1">
      <c r="A60" s="1951"/>
      <c r="B60" s="2985"/>
      <c r="C60" s="2986"/>
      <c r="D60" s="452">
        <v>2019</v>
      </c>
      <c r="E60" s="13">
        <f t="shared" si="0"/>
        <v>511.3</v>
      </c>
      <c r="F60" s="615">
        <v>511.3</v>
      </c>
      <c r="G60" s="615">
        <v>0</v>
      </c>
      <c r="H60" s="615">
        <v>0</v>
      </c>
      <c r="I60" s="615">
        <v>0</v>
      </c>
      <c r="J60" s="2995"/>
      <c r="K60" s="1990"/>
    </row>
    <row r="61" spans="1:11" s="619" customFormat="1" ht="13.5" customHeight="1" outlineLevel="1">
      <c r="A61" s="1951"/>
      <c r="B61" s="2985"/>
      <c r="C61" s="2986"/>
      <c r="D61" s="452">
        <v>2020</v>
      </c>
      <c r="E61" s="13">
        <f t="shared" si="0"/>
        <v>511.3</v>
      </c>
      <c r="F61" s="615">
        <v>511.3</v>
      </c>
      <c r="G61" s="615">
        <v>0</v>
      </c>
      <c r="H61" s="615">
        <v>0</v>
      </c>
      <c r="I61" s="615">
        <v>0</v>
      </c>
      <c r="J61" s="2995"/>
      <c r="K61" s="1990"/>
    </row>
    <row r="62" spans="1:11" s="619" customFormat="1" ht="15" customHeight="1" outlineLevel="1">
      <c r="A62" s="1951" t="s">
        <v>196</v>
      </c>
      <c r="B62" s="2993" t="s">
        <v>662</v>
      </c>
      <c r="C62" s="2986" t="s">
        <v>2658</v>
      </c>
      <c r="D62" s="452" t="s">
        <v>8</v>
      </c>
      <c r="E62" s="13">
        <f t="shared" si="0"/>
        <v>20</v>
      </c>
      <c r="F62" s="13">
        <f>F63+F64</f>
        <v>20</v>
      </c>
      <c r="G62" s="13">
        <f>G63+G64</f>
        <v>0</v>
      </c>
      <c r="H62" s="13">
        <f>H63+H64</f>
        <v>0</v>
      </c>
      <c r="I62" s="13">
        <f>I63+I64</f>
        <v>0</v>
      </c>
      <c r="J62" s="2992" t="s">
        <v>2677</v>
      </c>
      <c r="K62" s="1990" t="s">
        <v>2656</v>
      </c>
    </row>
    <row r="63" spans="1:11" s="619" customFormat="1" outlineLevel="1">
      <c r="A63" s="1951"/>
      <c r="B63" s="2993"/>
      <c r="C63" s="2986"/>
      <c r="D63" s="452">
        <v>2019</v>
      </c>
      <c r="E63" s="13">
        <f t="shared" si="0"/>
        <v>10</v>
      </c>
      <c r="F63" s="13">
        <v>10</v>
      </c>
      <c r="G63" s="615">
        <v>0</v>
      </c>
      <c r="H63" s="615">
        <v>0</v>
      </c>
      <c r="I63" s="615">
        <v>0</v>
      </c>
      <c r="J63" s="2992"/>
      <c r="K63" s="1990"/>
    </row>
    <row r="64" spans="1:11" s="619" customFormat="1" outlineLevel="1">
      <c r="A64" s="1951"/>
      <c r="B64" s="2993"/>
      <c r="C64" s="2986"/>
      <c r="D64" s="452">
        <v>2020</v>
      </c>
      <c r="E64" s="13">
        <f t="shared" si="0"/>
        <v>10</v>
      </c>
      <c r="F64" s="13">
        <v>10</v>
      </c>
      <c r="G64" s="615">
        <v>0</v>
      </c>
      <c r="H64" s="615">
        <v>0</v>
      </c>
      <c r="I64" s="615">
        <v>0</v>
      </c>
      <c r="J64" s="2992"/>
      <c r="K64" s="1990"/>
    </row>
    <row r="65" spans="1:11" s="619" customFormat="1" ht="13.5" customHeight="1" outlineLevel="1">
      <c r="A65" s="1950" t="s">
        <v>197</v>
      </c>
      <c r="B65" s="2985" t="s">
        <v>663</v>
      </c>
      <c r="C65" s="2986" t="s">
        <v>2658</v>
      </c>
      <c r="D65" s="452" t="s">
        <v>8</v>
      </c>
      <c r="E65" s="13">
        <f t="shared" si="0"/>
        <v>60000</v>
      </c>
      <c r="F65" s="13">
        <f>F66+F67</f>
        <v>60000</v>
      </c>
      <c r="G65" s="13">
        <f>G66+G67</f>
        <v>0</v>
      </c>
      <c r="H65" s="13">
        <f>H66+H67</f>
        <v>0</v>
      </c>
      <c r="I65" s="13">
        <f>I66+I67</f>
        <v>0</v>
      </c>
      <c r="J65" s="2995" t="s">
        <v>280</v>
      </c>
      <c r="K65" s="1990" t="s">
        <v>2656</v>
      </c>
    </row>
    <row r="66" spans="1:11" s="619" customFormat="1" ht="13.5" customHeight="1" outlineLevel="1">
      <c r="A66" s="1950"/>
      <c r="B66" s="2985"/>
      <c r="C66" s="2986"/>
      <c r="D66" s="452">
        <v>2019</v>
      </c>
      <c r="E66" s="13">
        <f t="shared" si="0"/>
        <v>30000</v>
      </c>
      <c r="F66" s="13">
        <v>30000</v>
      </c>
      <c r="G66" s="615">
        <v>0</v>
      </c>
      <c r="H66" s="615">
        <v>0</v>
      </c>
      <c r="I66" s="615">
        <v>0</v>
      </c>
      <c r="J66" s="2995"/>
      <c r="K66" s="1990"/>
    </row>
    <row r="67" spans="1:11" s="619" customFormat="1" ht="13.5" customHeight="1" outlineLevel="1">
      <c r="A67" s="1950"/>
      <c r="B67" s="2985"/>
      <c r="C67" s="2986"/>
      <c r="D67" s="452">
        <v>2020</v>
      </c>
      <c r="E67" s="13">
        <f t="shared" si="0"/>
        <v>30000</v>
      </c>
      <c r="F67" s="13">
        <v>30000</v>
      </c>
      <c r="G67" s="615">
        <v>0</v>
      </c>
      <c r="H67" s="615">
        <v>0</v>
      </c>
      <c r="I67" s="615">
        <v>0</v>
      </c>
      <c r="J67" s="2995"/>
      <c r="K67" s="1990"/>
    </row>
    <row r="68" spans="1:11" s="619" customFormat="1" ht="15" customHeight="1" outlineLevel="1">
      <c r="A68" s="1951" t="s">
        <v>198</v>
      </c>
      <c r="B68" s="2985" t="s">
        <v>56</v>
      </c>
      <c r="C68" s="2986" t="s">
        <v>2658</v>
      </c>
      <c r="D68" s="452" t="s">
        <v>8</v>
      </c>
      <c r="E68" s="13">
        <f t="shared" si="0"/>
        <v>1312</v>
      </c>
      <c r="F68" s="13">
        <f>F69+F70</f>
        <v>1312</v>
      </c>
      <c r="G68" s="13">
        <f>G69+G70</f>
        <v>0</v>
      </c>
      <c r="H68" s="13">
        <f>H69+H70</f>
        <v>0</v>
      </c>
      <c r="I68" s="13">
        <f>I69+I70</f>
        <v>0</v>
      </c>
      <c r="J68" s="1990" t="s">
        <v>57</v>
      </c>
      <c r="K68" s="1990" t="s">
        <v>2656</v>
      </c>
    </row>
    <row r="69" spans="1:11" s="619" customFormat="1" outlineLevel="1">
      <c r="A69" s="1951"/>
      <c r="B69" s="2985"/>
      <c r="C69" s="2986"/>
      <c r="D69" s="452">
        <v>2019</v>
      </c>
      <c r="E69" s="13">
        <f t="shared" ref="E69:E120" si="10">SUM(F69:I69)</f>
        <v>228</v>
      </c>
      <c r="F69" s="13">
        <v>228</v>
      </c>
      <c r="G69" s="615">
        <v>0</v>
      </c>
      <c r="H69" s="615">
        <v>0</v>
      </c>
      <c r="I69" s="615">
        <v>0</v>
      </c>
      <c r="J69" s="1990"/>
      <c r="K69" s="1990"/>
    </row>
    <row r="70" spans="1:11" s="619" customFormat="1" outlineLevel="1">
      <c r="A70" s="1951"/>
      <c r="B70" s="2985"/>
      <c r="C70" s="2986"/>
      <c r="D70" s="452">
        <v>2020</v>
      </c>
      <c r="E70" s="13">
        <f t="shared" si="10"/>
        <v>1084</v>
      </c>
      <c r="F70" s="13">
        <v>1084</v>
      </c>
      <c r="G70" s="615">
        <v>0</v>
      </c>
      <c r="H70" s="615">
        <v>0</v>
      </c>
      <c r="I70" s="615">
        <v>0</v>
      </c>
      <c r="J70" s="1990"/>
      <c r="K70" s="1990"/>
    </row>
    <row r="71" spans="1:11" s="619" customFormat="1" ht="15" customHeight="1" outlineLevel="1">
      <c r="A71" s="1951" t="s">
        <v>199</v>
      </c>
      <c r="B71" s="2985" t="s">
        <v>152</v>
      </c>
      <c r="C71" s="2986" t="s">
        <v>2658</v>
      </c>
      <c r="D71" s="452" t="s">
        <v>8</v>
      </c>
      <c r="E71" s="13">
        <f t="shared" si="10"/>
        <v>61</v>
      </c>
      <c r="F71" s="13">
        <f>F72+F73</f>
        <v>61</v>
      </c>
      <c r="G71" s="13">
        <f>G72+G73</f>
        <v>0</v>
      </c>
      <c r="H71" s="13">
        <f>H72+H73</f>
        <v>0</v>
      </c>
      <c r="I71" s="13">
        <f>I72+I73</f>
        <v>0</v>
      </c>
      <c r="J71" s="1990" t="s">
        <v>281</v>
      </c>
      <c r="K71" s="2992" t="s">
        <v>2659</v>
      </c>
    </row>
    <row r="72" spans="1:11" s="619" customFormat="1" outlineLevel="1">
      <c r="A72" s="1951"/>
      <c r="B72" s="2985"/>
      <c r="C72" s="2986"/>
      <c r="D72" s="452">
        <v>2019</v>
      </c>
      <c r="E72" s="13">
        <f t="shared" si="10"/>
        <v>28.9</v>
      </c>
      <c r="F72" s="13">
        <v>28.9</v>
      </c>
      <c r="G72" s="615">
        <v>0</v>
      </c>
      <c r="H72" s="615">
        <v>0</v>
      </c>
      <c r="I72" s="615">
        <v>0</v>
      </c>
      <c r="J72" s="1990"/>
      <c r="K72" s="2992"/>
    </row>
    <row r="73" spans="1:11" s="619" customFormat="1" outlineLevel="1">
      <c r="A73" s="1951"/>
      <c r="B73" s="2985"/>
      <c r="C73" s="2986"/>
      <c r="D73" s="452">
        <v>2020</v>
      </c>
      <c r="E73" s="13">
        <f t="shared" si="10"/>
        <v>32.1</v>
      </c>
      <c r="F73" s="13">
        <v>32.1</v>
      </c>
      <c r="G73" s="615">
        <v>0</v>
      </c>
      <c r="H73" s="615">
        <v>0</v>
      </c>
      <c r="I73" s="615">
        <v>0</v>
      </c>
      <c r="J73" s="1990"/>
      <c r="K73" s="2992"/>
    </row>
    <row r="74" spans="1:11" s="619" customFormat="1" ht="15" customHeight="1" outlineLevel="1">
      <c r="A74" s="1951" t="s">
        <v>201</v>
      </c>
      <c r="B74" s="2993" t="s">
        <v>664</v>
      </c>
      <c r="C74" s="2986" t="s">
        <v>2658</v>
      </c>
      <c r="D74" s="452" t="s">
        <v>8</v>
      </c>
      <c r="E74" s="13">
        <f t="shared" si="10"/>
        <v>50000</v>
      </c>
      <c r="F74" s="13">
        <f>F75+F76</f>
        <v>50000</v>
      </c>
      <c r="G74" s="13">
        <f>G75+G76</f>
        <v>0</v>
      </c>
      <c r="H74" s="13">
        <f>H75+H76</f>
        <v>0</v>
      </c>
      <c r="I74" s="13">
        <f>I75+I76</f>
        <v>0</v>
      </c>
      <c r="J74" s="2996" t="s">
        <v>2678</v>
      </c>
      <c r="K74" s="1990" t="s">
        <v>66</v>
      </c>
    </row>
    <row r="75" spans="1:11" s="619" customFormat="1" outlineLevel="1">
      <c r="A75" s="1951"/>
      <c r="B75" s="2993"/>
      <c r="C75" s="2986"/>
      <c r="D75" s="452">
        <v>2019</v>
      </c>
      <c r="E75" s="13">
        <f t="shared" si="10"/>
        <v>25000</v>
      </c>
      <c r="F75" s="13">
        <v>25000</v>
      </c>
      <c r="G75" s="615">
        <v>0</v>
      </c>
      <c r="H75" s="615">
        <v>0</v>
      </c>
      <c r="I75" s="615">
        <v>0</v>
      </c>
      <c r="J75" s="2996"/>
      <c r="K75" s="1990"/>
    </row>
    <row r="76" spans="1:11" s="619" customFormat="1" outlineLevel="1">
      <c r="A76" s="1951"/>
      <c r="B76" s="2993"/>
      <c r="C76" s="2986"/>
      <c r="D76" s="452">
        <v>2020</v>
      </c>
      <c r="E76" s="13">
        <f t="shared" si="10"/>
        <v>25000</v>
      </c>
      <c r="F76" s="13">
        <v>25000</v>
      </c>
      <c r="G76" s="615">
        <v>0</v>
      </c>
      <c r="H76" s="615">
        <v>0</v>
      </c>
      <c r="I76" s="615">
        <v>0</v>
      </c>
      <c r="J76" s="2996"/>
      <c r="K76" s="1990"/>
    </row>
    <row r="77" spans="1:11" s="619" customFormat="1" outlineLevel="1">
      <c r="A77" s="1951" t="s">
        <v>203</v>
      </c>
      <c r="B77" s="2997" t="s">
        <v>665</v>
      </c>
      <c r="C77" s="2986" t="s">
        <v>2658</v>
      </c>
      <c r="D77" s="452" t="s">
        <v>8</v>
      </c>
      <c r="E77" s="13">
        <f>SUM(F77:I77)</f>
        <v>8000</v>
      </c>
      <c r="F77" s="13">
        <f>F78+F79</f>
        <v>8000</v>
      </c>
      <c r="G77" s="13">
        <f>G78+G79</f>
        <v>0</v>
      </c>
      <c r="H77" s="13">
        <f>H78+H79</f>
        <v>0</v>
      </c>
      <c r="I77" s="13">
        <f>I78+I79</f>
        <v>0</v>
      </c>
      <c r="J77" s="2998" t="s">
        <v>280</v>
      </c>
      <c r="K77" s="1990" t="s">
        <v>2656</v>
      </c>
    </row>
    <row r="78" spans="1:11" s="619" customFormat="1" outlineLevel="1">
      <c r="A78" s="1951"/>
      <c r="B78" s="2997"/>
      <c r="C78" s="2986"/>
      <c r="D78" s="452">
        <v>2019</v>
      </c>
      <c r="E78" s="13">
        <f>SUM(F78:I78)</f>
        <v>0</v>
      </c>
      <c r="F78" s="13">
        <v>0</v>
      </c>
      <c r="G78" s="615">
        <v>0</v>
      </c>
      <c r="H78" s="615">
        <v>0</v>
      </c>
      <c r="I78" s="615">
        <v>0</v>
      </c>
      <c r="J78" s="2998"/>
      <c r="K78" s="1990"/>
    </row>
    <row r="79" spans="1:11" s="619" customFormat="1" outlineLevel="1">
      <c r="A79" s="1951"/>
      <c r="B79" s="2997"/>
      <c r="C79" s="2986"/>
      <c r="D79" s="452">
        <v>2020</v>
      </c>
      <c r="E79" s="13">
        <f>SUM(F79:I79)</f>
        <v>8000</v>
      </c>
      <c r="F79" s="620">
        <v>8000</v>
      </c>
      <c r="G79" s="615">
        <v>0</v>
      </c>
      <c r="H79" s="615">
        <v>0</v>
      </c>
      <c r="I79" s="615">
        <v>0</v>
      </c>
      <c r="J79" s="2998"/>
      <c r="K79" s="1990"/>
    </row>
    <row r="80" spans="1:11" s="2" customFormat="1" ht="30" customHeight="1" outlineLevel="1">
      <c r="A80" s="2988" t="s">
        <v>175</v>
      </c>
      <c r="B80" s="2999" t="s">
        <v>2679</v>
      </c>
      <c r="C80" s="2990" t="s">
        <v>2658</v>
      </c>
      <c r="D80" s="617" t="s">
        <v>8</v>
      </c>
      <c r="E80" s="618">
        <f t="shared" si="10"/>
        <v>354249.7</v>
      </c>
      <c r="F80" s="618">
        <f>F81+F82</f>
        <v>354249.7</v>
      </c>
      <c r="G80" s="618">
        <f>G81+G82</f>
        <v>0</v>
      </c>
      <c r="H80" s="618">
        <f>H81+H82</f>
        <v>0</v>
      </c>
      <c r="I80" s="618">
        <f>I81+I82</f>
        <v>0</v>
      </c>
      <c r="J80" s="2984" t="s">
        <v>60</v>
      </c>
      <c r="K80" s="2971" t="s">
        <v>2667</v>
      </c>
    </row>
    <row r="81" spans="1:11" s="2" customFormat="1" ht="30" customHeight="1" outlineLevel="1">
      <c r="A81" s="2988"/>
      <c r="B81" s="2999"/>
      <c r="C81" s="2990"/>
      <c r="D81" s="617">
        <v>2019</v>
      </c>
      <c r="E81" s="618">
        <f t="shared" si="10"/>
        <v>208398</v>
      </c>
      <c r="F81" s="618">
        <f t="shared" ref="F81:I82" si="11">F84+F87+F90+F93</f>
        <v>208398</v>
      </c>
      <c r="G81" s="618">
        <f t="shared" si="11"/>
        <v>0</v>
      </c>
      <c r="H81" s="618">
        <f t="shared" si="11"/>
        <v>0</v>
      </c>
      <c r="I81" s="618">
        <f t="shared" si="11"/>
        <v>0</v>
      </c>
      <c r="J81" s="2984"/>
      <c r="K81" s="2971"/>
    </row>
    <row r="82" spans="1:11" s="2" customFormat="1" ht="30" customHeight="1" outlineLevel="1">
      <c r="A82" s="2988"/>
      <c r="B82" s="2999"/>
      <c r="C82" s="2990"/>
      <c r="D82" s="617">
        <v>2020</v>
      </c>
      <c r="E82" s="618">
        <f t="shared" si="10"/>
        <v>145851.70000000001</v>
      </c>
      <c r="F82" s="618">
        <f>F85+F88+F91+F94</f>
        <v>145851.70000000001</v>
      </c>
      <c r="G82" s="618">
        <f t="shared" si="11"/>
        <v>0</v>
      </c>
      <c r="H82" s="618">
        <f t="shared" si="11"/>
        <v>0</v>
      </c>
      <c r="I82" s="618">
        <f t="shared" si="11"/>
        <v>0</v>
      </c>
      <c r="J82" s="2984"/>
      <c r="K82" s="2971"/>
    </row>
    <row r="83" spans="1:11" s="619" customFormat="1" ht="17.100000000000001" customHeight="1" outlineLevel="1">
      <c r="A83" s="1951" t="s">
        <v>58</v>
      </c>
      <c r="B83" s="2985" t="s">
        <v>22</v>
      </c>
      <c r="C83" s="2986" t="s">
        <v>2658</v>
      </c>
      <c r="D83" s="452" t="s">
        <v>8</v>
      </c>
      <c r="E83" s="13">
        <f t="shared" si="10"/>
        <v>346756</v>
      </c>
      <c r="F83" s="13">
        <f>F84+F85</f>
        <v>346756</v>
      </c>
      <c r="G83" s="13">
        <f>G84+G85</f>
        <v>0</v>
      </c>
      <c r="H83" s="13">
        <f>H84+H85</f>
        <v>0</v>
      </c>
      <c r="I83" s="13">
        <f>I84+I85</f>
        <v>0</v>
      </c>
      <c r="J83" s="1990" t="s">
        <v>2680</v>
      </c>
      <c r="K83" s="1990" t="s">
        <v>2681</v>
      </c>
    </row>
    <row r="84" spans="1:11" s="619" customFormat="1" ht="17.100000000000001" customHeight="1" outlineLevel="1">
      <c r="A84" s="1951"/>
      <c r="B84" s="2985"/>
      <c r="C84" s="2986"/>
      <c r="D84" s="452">
        <v>2019</v>
      </c>
      <c r="E84" s="13">
        <f t="shared" si="10"/>
        <v>204465.6</v>
      </c>
      <c r="F84" s="615">
        <v>204465.6</v>
      </c>
      <c r="G84" s="615">
        <v>0</v>
      </c>
      <c r="H84" s="615">
        <v>0</v>
      </c>
      <c r="I84" s="615">
        <v>0</v>
      </c>
      <c r="J84" s="1990"/>
      <c r="K84" s="1990"/>
    </row>
    <row r="85" spans="1:11" s="619" customFormat="1" ht="17.100000000000001" customHeight="1" outlineLevel="1">
      <c r="A85" s="1951"/>
      <c r="B85" s="2985"/>
      <c r="C85" s="2986"/>
      <c r="D85" s="452">
        <v>2020</v>
      </c>
      <c r="E85" s="13">
        <f t="shared" si="10"/>
        <v>142290.4</v>
      </c>
      <c r="F85" s="616">
        <f>171937.4-29647</f>
        <v>142290.4</v>
      </c>
      <c r="G85" s="615">
        <v>0</v>
      </c>
      <c r="H85" s="615">
        <v>0</v>
      </c>
      <c r="I85" s="615">
        <v>0</v>
      </c>
      <c r="J85" s="1990"/>
      <c r="K85" s="1990"/>
    </row>
    <row r="86" spans="1:11" s="619" customFormat="1" ht="13.5" customHeight="1" outlineLevel="1">
      <c r="A86" s="1951" t="s">
        <v>67</v>
      </c>
      <c r="B86" s="2985" t="s">
        <v>62</v>
      </c>
      <c r="C86" s="2986" t="s">
        <v>2658</v>
      </c>
      <c r="D86" s="452" t="s">
        <v>8</v>
      </c>
      <c r="E86" s="13">
        <f t="shared" si="10"/>
        <v>7044.5</v>
      </c>
      <c r="F86" s="13">
        <f>F87+F88</f>
        <v>7044.5</v>
      </c>
      <c r="G86" s="13">
        <f>G87+G88</f>
        <v>0</v>
      </c>
      <c r="H86" s="13">
        <f>H87+H88</f>
        <v>0</v>
      </c>
      <c r="I86" s="13">
        <f>I87+I88</f>
        <v>0</v>
      </c>
      <c r="J86" s="1990" t="s">
        <v>63</v>
      </c>
      <c r="K86" s="2992" t="s">
        <v>2659</v>
      </c>
    </row>
    <row r="87" spans="1:11" s="619" customFormat="1" ht="13.5" customHeight="1" outlineLevel="1">
      <c r="A87" s="1951"/>
      <c r="B87" s="2985"/>
      <c r="C87" s="2986"/>
      <c r="D87" s="452">
        <v>2019</v>
      </c>
      <c r="E87" s="13">
        <f t="shared" si="10"/>
        <v>3561.3</v>
      </c>
      <c r="F87" s="615">
        <v>3561.3</v>
      </c>
      <c r="G87" s="615">
        <v>0</v>
      </c>
      <c r="H87" s="615">
        <v>0</v>
      </c>
      <c r="I87" s="615">
        <v>0</v>
      </c>
      <c r="J87" s="1990"/>
      <c r="K87" s="2992"/>
    </row>
    <row r="88" spans="1:11" s="619" customFormat="1" outlineLevel="1">
      <c r="A88" s="1951"/>
      <c r="B88" s="2985"/>
      <c r="C88" s="2986"/>
      <c r="D88" s="452">
        <v>2020</v>
      </c>
      <c r="E88" s="13">
        <f t="shared" si="10"/>
        <v>3483.2</v>
      </c>
      <c r="F88" s="615">
        <v>3483.2</v>
      </c>
      <c r="G88" s="615">
        <v>0</v>
      </c>
      <c r="H88" s="615">
        <v>0</v>
      </c>
      <c r="I88" s="615">
        <v>0</v>
      </c>
      <c r="J88" s="1990"/>
      <c r="K88" s="2992"/>
    </row>
    <row r="89" spans="1:11" s="2" customFormat="1" ht="24.95" customHeight="1" outlineLevel="1">
      <c r="A89" s="1951" t="s">
        <v>208</v>
      </c>
      <c r="B89" s="2997" t="s">
        <v>2682</v>
      </c>
      <c r="C89" s="3000">
        <v>2019</v>
      </c>
      <c r="D89" s="452" t="s">
        <v>8</v>
      </c>
      <c r="E89" s="13">
        <f t="shared" si="10"/>
        <v>236.1</v>
      </c>
      <c r="F89" s="13">
        <f>F90+F91</f>
        <v>236.1</v>
      </c>
      <c r="G89" s="13">
        <f>G90+G91</f>
        <v>0</v>
      </c>
      <c r="H89" s="13">
        <f>H90+H91</f>
        <v>0</v>
      </c>
      <c r="I89" s="13">
        <f>I90+I91</f>
        <v>0</v>
      </c>
      <c r="J89" s="3003" t="s">
        <v>2683</v>
      </c>
      <c r="K89" s="2992" t="s">
        <v>2659</v>
      </c>
    </row>
    <row r="90" spans="1:11" s="2" customFormat="1" ht="24.95" customHeight="1" outlineLevel="1">
      <c r="A90" s="1951"/>
      <c r="B90" s="2997"/>
      <c r="C90" s="3001"/>
      <c r="D90" s="452">
        <v>2019</v>
      </c>
      <c r="E90" s="13">
        <f t="shared" si="10"/>
        <v>236.1</v>
      </c>
      <c r="F90" s="615">
        <v>236.1</v>
      </c>
      <c r="G90" s="615">
        <v>0</v>
      </c>
      <c r="H90" s="615">
        <v>0</v>
      </c>
      <c r="I90" s="615">
        <v>0</v>
      </c>
      <c r="J90" s="3003"/>
      <c r="K90" s="2992"/>
    </row>
    <row r="91" spans="1:11" s="2" customFormat="1" ht="24.95" customHeight="1" outlineLevel="1">
      <c r="A91" s="1951"/>
      <c r="B91" s="2997"/>
      <c r="C91" s="3002"/>
      <c r="D91" s="452">
        <v>2020</v>
      </c>
      <c r="E91" s="13">
        <f t="shared" si="10"/>
        <v>0</v>
      </c>
      <c r="F91" s="615">
        <v>0</v>
      </c>
      <c r="G91" s="615">
        <v>0</v>
      </c>
      <c r="H91" s="615">
        <v>0</v>
      </c>
      <c r="I91" s="615">
        <v>0</v>
      </c>
      <c r="J91" s="3003"/>
      <c r="K91" s="2992"/>
    </row>
    <row r="92" spans="1:11" s="2" customFormat="1" ht="15" customHeight="1" outlineLevel="1">
      <c r="A92" s="1951" t="s">
        <v>209</v>
      </c>
      <c r="B92" s="2985" t="s">
        <v>156</v>
      </c>
      <c r="C92" s="2986">
        <v>2019</v>
      </c>
      <c r="D92" s="452" t="s">
        <v>8</v>
      </c>
      <c r="E92" s="13">
        <f t="shared" si="10"/>
        <v>213.1</v>
      </c>
      <c r="F92" s="13">
        <f>F93+F94</f>
        <v>213.1</v>
      </c>
      <c r="G92" s="13">
        <f>G93+G94</f>
        <v>0</v>
      </c>
      <c r="H92" s="13">
        <f>H93+H94</f>
        <v>0</v>
      </c>
      <c r="I92" s="13">
        <f>I93+I94</f>
        <v>0</v>
      </c>
      <c r="J92" s="1990" t="s">
        <v>2684</v>
      </c>
      <c r="K92" s="2992" t="s">
        <v>2659</v>
      </c>
    </row>
    <row r="93" spans="1:11" s="2" customFormat="1" outlineLevel="1">
      <c r="A93" s="1951"/>
      <c r="B93" s="2985"/>
      <c r="C93" s="2986"/>
      <c r="D93" s="452">
        <v>2019</v>
      </c>
      <c r="E93" s="13">
        <f t="shared" si="10"/>
        <v>135</v>
      </c>
      <c r="F93" s="13">
        <v>135</v>
      </c>
      <c r="G93" s="615">
        <v>0</v>
      </c>
      <c r="H93" s="615">
        <v>0</v>
      </c>
      <c r="I93" s="615">
        <v>0</v>
      </c>
      <c r="J93" s="1990"/>
      <c r="K93" s="2992"/>
    </row>
    <row r="94" spans="1:11" s="2" customFormat="1" outlineLevel="1">
      <c r="A94" s="1951"/>
      <c r="B94" s="2985"/>
      <c r="C94" s="2986"/>
      <c r="D94" s="452">
        <v>2020</v>
      </c>
      <c r="E94" s="13">
        <f t="shared" si="10"/>
        <v>78.099999999999994</v>
      </c>
      <c r="F94" s="13">
        <v>78.099999999999994</v>
      </c>
      <c r="G94" s="615">
        <v>0</v>
      </c>
      <c r="H94" s="615">
        <v>0</v>
      </c>
      <c r="I94" s="615">
        <v>0</v>
      </c>
      <c r="J94" s="1990"/>
      <c r="K94" s="2992"/>
    </row>
    <row r="95" spans="1:11" s="2" customFormat="1" ht="15.75" customHeight="1" outlineLevel="1">
      <c r="A95" s="2988" t="s">
        <v>176</v>
      </c>
      <c r="B95" s="2999" t="s">
        <v>68</v>
      </c>
      <c r="C95" s="2990" t="s">
        <v>2658</v>
      </c>
      <c r="D95" s="617" t="s">
        <v>8</v>
      </c>
      <c r="E95" s="618">
        <f t="shared" si="10"/>
        <v>1046.8</v>
      </c>
      <c r="F95" s="618">
        <f>F96+F97</f>
        <v>1046.8</v>
      </c>
      <c r="G95" s="618">
        <f>G96+G97</f>
        <v>0</v>
      </c>
      <c r="H95" s="618">
        <f>H96+H97</f>
        <v>0</v>
      </c>
      <c r="I95" s="618">
        <f>I96+I97</f>
        <v>0</v>
      </c>
      <c r="J95" s="2984" t="s">
        <v>69</v>
      </c>
      <c r="K95" s="2971" t="s">
        <v>2667</v>
      </c>
    </row>
    <row r="96" spans="1:11" s="2" customFormat="1" outlineLevel="1">
      <c r="A96" s="2988"/>
      <c r="B96" s="2999"/>
      <c r="C96" s="2990"/>
      <c r="D96" s="617">
        <v>2019</v>
      </c>
      <c r="E96" s="618">
        <f t="shared" si="10"/>
        <v>523.4</v>
      </c>
      <c r="F96" s="618">
        <f>F99</f>
        <v>523.4</v>
      </c>
      <c r="G96" s="618">
        <f t="shared" ref="F96:I97" si="12">G99</f>
        <v>0</v>
      </c>
      <c r="H96" s="618">
        <f t="shared" si="12"/>
        <v>0</v>
      </c>
      <c r="I96" s="618">
        <f t="shared" si="12"/>
        <v>0</v>
      </c>
      <c r="J96" s="2984"/>
      <c r="K96" s="2971"/>
    </row>
    <row r="97" spans="1:11" s="2" customFormat="1" outlineLevel="1">
      <c r="A97" s="2988"/>
      <c r="B97" s="2999"/>
      <c r="C97" s="2990"/>
      <c r="D97" s="617">
        <v>2020</v>
      </c>
      <c r="E97" s="618">
        <f t="shared" si="10"/>
        <v>523.4</v>
      </c>
      <c r="F97" s="618">
        <f t="shared" si="12"/>
        <v>523.4</v>
      </c>
      <c r="G97" s="618">
        <f t="shared" si="12"/>
        <v>0</v>
      </c>
      <c r="H97" s="618">
        <f t="shared" si="12"/>
        <v>0</v>
      </c>
      <c r="I97" s="618">
        <f t="shared" si="12"/>
        <v>0</v>
      </c>
      <c r="J97" s="2984"/>
      <c r="K97" s="2971"/>
    </row>
    <row r="98" spans="1:11" s="2" customFormat="1" ht="15.75" customHeight="1" outlineLevel="1">
      <c r="A98" s="1951" t="s">
        <v>210</v>
      </c>
      <c r="B98" s="2985" t="s">
        <v>70</v>
      </c>
      <c r="C98" s="2986" t="s">
        <v>2658</v>
      </c>
      <c r="D98" s="452" t="s">
        <v>8</v>
      </c>
      <c r="E98" s="13">
        <f t="shared" si="10"/>
        <v>1046.8</v>
      </c>
      <c r="F98" s="13">
        <f>F99+F100</f>
        <v>1046.8</v>
      </c>
      <c r="G98" s="13">
        <f>G99+G100</f>
        <v>0</v>
      </c>
      <c r="H98" s="13">
        <f>H99+H100</f>
        <v>0</v>
      </c>
      <c r="I98" s="13">
        <f>I99+I100</f>
        <v>0</v>
      </c>
      <c r="J98" s="1990" t="s">
        <v>2685</v>
      </c>
      <c r="K98" s="2992" t="s">
        <v>2662</v>
      </c>
    </row>
    <row r="99" spans="1:11" s="2" customFormat="1" outlineLevel="1">
      <c r="A99" s="1951"/>
      <c r="B99" s="2985"/>
      <c r="C99" s="2986"/>
      <c r="D99" s="452">
        <v>2019</v>
      </c>
      <c r="E99" s="13">
        <f t="shared" si="10"/>
        <v>523.4</v>
      </c>
      <c r="F99" s="13">
        <v>523.4</v>
      </c>
      <c r="G99" s="615">
        <v>0</v>
      </c>
      <c r="H99" s="615">
        <v>0</v>
      </c>
      <c r="I99" s="615">
        <v>0</v>
      </c>
      <c r="J99" s="1990"/>
      <c r="K99" s="2992"/>
    </row>
    <row r="100" spans="1:11" s="2" customFormat="1" outlineLevel="1">
      <c r="A100" s="1951"/>
      <c r="B100" s="2985"/>
      <c r="C100" s="2986"/>
      <c r="D100" s="452">
        <v>2020</v>
      </c>
      <c r="E100" s="13">
        <f t="shared" si="10"/>
        <v>523.4</v>
      </c>
      <c r="F100" s="13">
        <v>523.4</v>
      </c>
      <c r="G100" s="615">
        <v>0</v>
      </c>
      <c r="H100" s="615">
        <v>0</v>
      </c>
      <c r="I100" s="615">
        <v>0</v>
      </c>
      <c r="J100" s="1990"/>
      <c r="K100" s="2992"/>
    </row>
    <row r="101" spans="1:11" s="2" customFormat="1" ht="15.75" customHeight="1" outlineLevel="1">
      <c r="A101" s="2968" t="s">
        <v>579</v>
      </c>
      <c r="B101" s="2969" t="s">
        <v>631</v>
      </c>
      <c r="C101" s="2970" t="s">
        <v>2658</v>
      </c>
      <c r="D101" s="613" t="s">
        <v>8</v>
      </c>
      <c r="E101" s="614">
        <f t="shared" si="10"/>
        <v>959612.6</v>
      </c>
      <c r="F101" s="614">
        <f>F102+F103</f>
        <v>916970.2</v>
      </c>
      <c r="G101" s="614">
        <f>G102+G103</f>
        <v>39885.300000000003</v>
      </c>
      <c r="H101" s="614">
        <f>H102+H103</f>
        <v>2757.1</v>
      </c>
      <c r="I101" s="614">
        <f>I102+I103</f>
        <v>0</v>
      </c>
      <c r="J101" s="2984" t="s">
        <v>2686</v>
      </c>
      <c r="K101" s="2972" t="s">
        <v>2667</v>
      </c>
    </row>
    <row r="102" spans="1:11" s="2" customFormat="1" outlineLevel="1">
      <c r="A102" s="2968"/>
      <c r="B102" s="2969"/>
      <c r="C102" s="2970"/>
      <c r="D102" s="613">
        <v>2019</v>
      </c>
      <c r="E102" s="614">
        <f t="shared" si="10"/>
        <v>391788.2</v>
      </c>
      <c r="F102" s="621">
        <f>F105+F108+F111+F114</f>
        <v>382878.60000000003</v>
      </c>
      <c r="G102" s="621">
        <f t="shared" ref="G102:I103" si="13">G105+G108+G111+G114</f>
        <v>8909.6</v>
      </c>
      <c r="H102" s="621">
        <f t="shared" si="13"/>
        <v>0</v>
      </c>
      <c r="I102" s="621">
        <f t="shared" si="13"/>
        <v>0</v>
      </c>
      <c r="J102" s="2984"/>
      <c r="K102" s="2972"/>
    </row>
    <row r="103" spans="1:11" s="2" customFormat="1" outlineLevel="1">
      <c r="A103" s="2968"/>
      <c r="B103" s="2969"/>
      <c r="C103" s="2970"/>
      <c r="D103" s="613">
        <v>2020</v>
      </c>
      <c r="E103" s="614">
        <f>SUM(F103:I103)</f>
        <v>567824.39999999991</v>
      </c>
      <c r="F103" s="621">
        <f>F106+F109+F112+F115</f>
        <v>534091.6</v>
      </c>
      <c r="G103" s="621">
        <f t="shared" si="13"/>
        <v>30975.7</v>
      </c>
      <c r="H103" s="621">
        <f t="shared" si="13"/>
        <v>2757.1</v>
      </c>
      <c r="I103" s="621">
        <f t="shared" si="13"/>
        <v>0</v>
      </c>
      <c r="J103" s="2984"/>
      <c r="K103" s="2972"/>
    </row>
    <row r="104" spans="1:11" s="619" customFormat="1" ht="15.75" customHeight="1" outlineLevel="1">
      <c r="A104" s="1951" t="s">
        <v>633</v>
      </c>
      <c r="B104" s="2993" t="s">
        <v>666</v>
      </c>
      <c r="C104" s="2986">
        <v>2020</v>
      </c>
      <c r="D104" s="452" t="s">
        <v>8</v>
      </c>
      <c r="E104" s="13">
        <f t="shared" si="10"/>
        <v>26595.7</v>
      </c>
      <c r="F104" s="13">
        <f>F105+F106</f>
        <v>1595.7</v>
      </c>
      <c r="G104" s="13">
        <f>G105+G106</f>
        <v>25000</v>
      </c>
      <c r="H104" s="13">
        <f>H105+H106</f>
        <v>0</v>
      </c>
      <c r="I104" s="13">
        <f>I105+I106</f>
        <v>0</v>
      </c>
      <c r="J104" s="2996" t="s">
        <v>2687</v>
      </c>
      <c r="K104" s="1990" t="s">
        <v>2656</v>
      </c>
    </row>
    <row r="105" spans="1:11" s="619" customFormat="1" outlineLevel="1">
      <c r="A105" s="1951"/>
      <c r="B105" s="2993"/>
      <c r="C105" s="2986"/>
      <c r="D105" s="452">
        <v>2019</v>
      </c>
      <c r="E105" s="13">
        <f t="shared" si="10"/>
        <v>0</v>
      </c>
      <c r="F105" s="13">
        <v>0</v>
      </c>
      <c r="G105" s="615">
        <v>0</v>
      </c>
      <c r="H105" s="615">
        <v>0</v>
      </c>
      <c r="I105" s="615">
        <v>0</v>
      </c>
      <c r="J105" s="2996"/>
      <c r="K105" s="1990"/>
    </row>
    <row r="106" spans="1:11" s="619" customFormat="1" outlineLevel="1">
      <c r="A106" s="1951"/>
      <c r="B106" s="2993"/>
      <c r="C106" s="2986"/>
      <c r="D106" s="452">
        <v>2020</v>
      </c>
      <c r="E106" s="13">
        <f t="shared" si="10"/>
        <v>26595.7</v>
      </c>
      <c r="F106" s="622">
        <v>1595.7</v>
      </c>
      <c r="G106" s="623">
        <v>25000</v>
      </c>
      <c r="H106" s="615">
        <v>0</v>
      </c>
      <c r="I106" s="615">
        <v>0</v>
      </c>
      <c r="J106" s="2996"/>
      <c r="K106" s="1990"/>
    </row>
    <row r="107" spans="1:11" s="619" customFormat="1" ht="15" customHeight="1" outlineLevel="1">
      <c r="A107" s="1951" t="s">
        <v>634</v>
      </c>
      <c r="B107" s="2985" t="s">
        <v>48</v>
      </c>
      <c r="C107" s="2986" t="s">
        <v>2658</v>
      </c>
      <c r="D107" s="452" t="s">
        <v>8</v>
      </c>
      <c r="E107" s="13">
        <f t="shared" si="10"/>
        <v>25843.7</v>
      </c>
      <c r="F107" s="13">
        <f>F108+F109</f>
        <v>25843.7</v>
      </c>
      <c r="G107" s="13">
        <f>G108+G109</f>
        <v>0</v>
      </c>
      <c r="H107" s="13">
        <f>H108+H109</f>
        <v>0</v>
      </c>
      <c r="I107" s="13">
        <f>I108+I109</f>
        <v>0</v>
      </c>
      <c r="J107" s="1990" t="s">
        <v>2688</v>
      </c>
      <c r="K107" s="3004" t="s">
        <v>23</v>
      </c>
    </row>
    <row r="108" spans="1:11" s="619" customFormat="1" outlineLevel="1">
      <c r="A108" s="1951"/>
      <c r="B108" s="2985"/>
      <c r="C108" s="2986"/>
      <c r="D108" s="452">
        <v>2019</v>
      </c>
      <c r="E108" s="13">
        <f t="shared" si="10"/>
        <v>11236.2</v>
      </c>
      <c r="F108" s="615">
        <v>11236.2</v>
      </c>
      <c r="G108" s="615">
        <v>0</v>
      </c>
      <c r="H108" s="615">
        <v>0</v>
      </c>
      <c r="I108" s="615">
        <v>0</v>
      </c>
      <c r="J108" s="1990"/>
      <c r="K108" s="3005"/>
    </row>
    <row r="109" spans="1:11" s="619" customFormat="1" outlineLevel="1">
      <c r="A109" s="1951"/>
      <c r="B109" s="2985"/>
      <c r="C109" s="2986"/>
      <c r="D109" s="452">
        <v>2020</v>
      </c>
      <c r="E109" s="13">
        <f t="shared" si="10"/>
        <v>14607.5</v>
      </c>
      <c r="F109" s="13">
        <v>14607.5</v>
      </c>
      <c r="G109" s="615">
        <v>0</v>
      </c>
      <c r="H109" s="615">
        <v>0</v>
      </c>
      <c r="I109" s="615">
        <v>0</v>
      </c>
      <c r="J109" s="1990"/>
      <c r="K109" s="2010"/>
    </row>
    <row r="110" spans="1:11" s="619" customFormat="1" ht="15" customHeight="1" outlineLevel="1">
      <c r="A110" s="1951" t="s">
        <v>635</v>
      </c>
      <c r="B110" s="2985" t="s">
        <v>667</v>
      </c>
      <c r="C110" s="2986">
        <v>2020</v>
      </c>
      <c r="D110" s="452" t="s">
        <v>8</v>
      </c>
      <c r="E110" s="13">
        <f t="shared" si="10"/>
        <v>34180.699999999997</v>
      </c>
      <c r="F110" s="13">
        <f>F111+F112</f>
        <v>31423.599999999999</v>
      </c>
      <c r="G110" s="13">
        <f>G111+G112</f>
        <v>0</v>
      </c>
      <c r="H110" s="13">
        <f>H111+H112</f>
        <v>2757.1</v>
      </c>
      <c r="I110" s="13">
        <f>I111+I112</f>
        <v>0</v>
      </c>
      <c r="J110" s="2992" t="s">
        <v>2689</v>
      </c>
      <c r="K110" s="1990" t="s">
        <v>2690</v>
      </c>
    </row>
    <row r="111" spans="1:11" s="619" customFormat="1" outlineLevel="1">
      <c r="A111" s="1951"/>
      <c r="B111" s="2985"/>
      <c r="C111" s="2986"/>
      <c r="D111" s="452">
        <v>2019</v>
      </c>
      <c r="E111" s="13">
        <f t="shared" si="10"/>
        <v>0</v>
      </c>
      <c r="F111" s="615">
        <v>0</v>
      </c>
      <c r="G111" s="615">
        <v>0</v>
      </c>
      <c r="H111" s="615">
        <v>0</v>
      </c>
      <c r="I111" s="615">
        <v>0</v>
      </c>
      <c r="J111" s="2992"/>
      <c r="K111" s="1990"/>
    </row>
    <row r="112" spans="1:11" s="619" customFormat="1" outlineLevel="1">
      <c r="A112" s="1951"/>
      <c r="B112" s="2985"/>
      <c r="C112" s="2986"/>
      <c r="D112" s="452">
        <v>2020</v>
      </c>
      <c r="E112" s="13">
        <f t="shared" si="10"/>
        <v>34180.699999999997</v>
      </c>
      <c r="F112" s="622">
        <v>31423.599999999999</v>
      </c>
      <c r="G112" s="623">
        <v>0</v>
      </c>
      <c r="H112" s="623">
        <v>2757.1</v>
      </c>
      <c r="I112" s="615">
        <v>0</v>
      </c>
      <c r="J112" s="2992"/>
      <c r="K112" s="1990"/>
    </row>
    <row r="113" spans="1:11" s="2" customFormat="1" ht="17.100000000000001" customHeight="1" outlineLevel="1">
      <c r="A113" s="1951" t="s">
        <v>668</v>
      </c>
      <c r="B113" s="2991" t="s">
        <v>22</v>
      </c>
      <c r="C113" s="2986" t="s">
        <v>2658</v>
      </c>
      <c r="D113" s="452" t="s">
        <v>8</v>
      </c>
      <c r="E113" s="13">
        <f t="shared" si="10"/>
        <v>872992.5</v>
      </c>
      <c r="F113" s="622">
        <f>F114+F115</f>
        <v>858107.2</v>
      </c>
      <c r="G113" s="622">
        <f>G114+G115</f>
        <v>14885.3</v>
      </c>
      <c r="H113" s="622">
        <f>H114+H115</f>
        <v>0</v>
      </c>
      <c r="I113" s="13">
        <f>I114+I115</f>
        <v>0</v>
      </c>
      <c r="J113" s="3006" t="s">
        <v>2691</v>
      </c>
      <c r="K113" s="2992" t="s">
        <v>2662</v>
      </c>
    </row>
    <row r="114" spans="1:11" s="2" customFormat="1" ht="17.100000000000001" customHeight="1" outlineLevel="1">
      <c r="A114" s="1951"/>
      <c r="B114" s="2991"/>
      <c r="C114" s="2986"/>
      <c r="D114" s="452">
        <v>2019</v>
      </c>
      <c r="E114" s="13">
        <f t="shared" si="10"/>
        <v>380552</v>
      </c>
      <c r="F114" s="623">
        <v>371642.4</v>
      </c>
      <c r="G114" s="623">
        <v>8909.6</v>
      </c>
      <c r="H114" s="623">
        <v>0</v>
      </c>
      <c r="I114" s="615">
        <v>0</v>
      </c>
      <c r="J114" s="3006"/>
      <c r="K114" s="2992"/>
    </row>
    <row r="115" spans="1:11" s="2" customFormat="1" ht="17.100000000000001" customHeight="1" outlineLevel="1">
      <c r="A115" s="1951"/>
      <c r="B115" s="2991"/>
      <c r="C115" s="2986"/>
      <c r="D115" s="452">
        <v>2020</v>
      </c>
      <c r="E115" s="13">
        <f t="shared" si="10"/>
        <v>492440.5</v>
      </c>
      <c r="F115" s="616">
        <f>479247.5+7217.3</f>
        <v>486464.8</v>
      </c>
      <c r="G115" s="615">
        <v>5975.7</v>
      </c>
      <c r="H115" s="615">
        <v>0</v>
      </c>
      <c r="I115" s="615">
        <v>0</v>
      </c>
      <c r="J115" s="3006"/>
      <c r="K115" s="2992"/>
    </row>
    <row r="116" spans="1:11" s="2" customFormat="1" ht="15.95" customHeight="1">
      <c r="A116" s="2963" t="s">
        <v>76</v>
      </c>
      <c r="B116" s="2964" t="s">
        <v>77</v>
      </c>
      <c r="C116" s="2965" t="s">
        <v>2658</v>
      </c>
      <c r="D116" s="611" t="s">
        <v>8</v>
      </c>
      <c r="E116" s="612">
        <f t="shared" si="10"/>
        <v>2596180.4</v>
      </c>
      <c r="F116" s="612">
        <f>F117+F118</f>
        <v>1403582.5</v>
      </c>
      <c r="G116" s="612">
        <f>G117+G118</f>
        <v>942432.8</v>
      </c>
      <c r="H116" s="612">
        <f>H117+H118</f>
        <v>214165.1</v>
      </c>
      <c r="I116" s="612">
        <f>I117+I118</f>
        <v>36000</v>
      </c>
      <c r="J116" s="2966"/>
      <c r="K116" s="2967" t="s">
        <v>2692</v>
      </c>
    </row>
    <row r="117" spans="1:11" s="2" customFormat="1" ht="15.95" customHeight="1">
      <c r="A117" s="2963"/>
      <c r="B117" s="2964"/>
      <c r="C117" s="2965"/>
      <c r="D117" s="611">
        <v>2019</v>
      </c>
      <c r="E117" s="612">
        <f t="shared" si="10"/>
        <v>1195454.9000000001</v>
      </c>
      <c r="F117" s="612">
        <f t="shared" ref="F117:I118" si="14">F120+F168+F231</f>
        <v>744625.60000000009</v>
      </c>
      <c r="G117" s="612">
        <f t="shared" si="14"/>
        <v>312087.3</v>
      </c>
      <c r="H117" s="612">
        <f t="shared" si="14"/>
        <v>110442</v>
      </c>
      <c r="I117" s="612">
        <f t="shared" si="14"/>
        <v>28300</v>
      </c>
      <c r="J117" s="2966"/>
      <c r="K117" s="2967"/>
    </row>
    <row r="118" spans="1:11" s="2" customFormat="1" ht="15.95" customHeight="1">
      <c r="A118" s="2963"/>
      <c r="B118" s="2964"/>
      <c r="C118" s="2965"/>
      <c r="D118" s="611">
        <v>2020</v>
      </c>
      <c r="E118" s="612">
        <f t="shared" si="10"/>
        <v>1400725.5</v>
      </c>
      <c r="F118" s="612">
        <f t="shared" si="14"/>
        <v>658956.9</v>
      </c>
      <c r="G118" s="612">
        <f t="shared" si="14"/>
        <v>630345.5</v>
      </c>
      <c r="H118" s="612">
        <f t="shared" si="14"/>
        <v>103723.1</v>
      </c>
      <c r="I118" s="612">
        <f t="shared" si="14"/>
        <v>7700</v>
      </c>
      <c r="J118" s="2966"/>
      <c r="K118" s="2967"/>
    </row>
    <row r="119" spans="1:11" s="2" customFormat="1" ht="15" customHeight="1" outlineLevel="1">
      <c r="A119" s="2968" t="s">
        <v>177</v>
      </c>
      <c r="B119" s="2969" t="s">
        <v>80</v>
      </c>
      <c r="C119" s="2970" t="s">
        <v>2658</v>
      </c>
      <c r="D119" s="613" t="s">
        <v>8</v>
      </c>
      <c r="E119" s="614">
        <f t="shared" si="10"/>
        <v>753283</v>
      </c>
      <c r="F119" s="614">
        <f>F120+F121</f>
        <v>589804.1</v>
      </c>
      <c r="G119" s="614">
        <f>G120+G121</f>
        <v>120000</v>
      </c>
      <c r="H119" s="614">
        <f>H120+H121</f>
        <v>43478.9</v>
      </c>
      <c r="I119" s="614">
        <f>I120+I121</f>
        <v>0</v>
      </c>
      <c r="J119" s="2971" t="s">
        <v>81</v>
      </c>
      <c r="K119" s="2972" t="s">
        <v>82</v>
      </c>
    </row>
    <row r="120" spans="1:11" s="2" customFormat="1" outlineLevel="1">
      <c r="A120" s="2968"/>
      <c r="B120" s="2969"/>
      <c r="C120" s="2970"/>
      <c r="D120" s="613">
        <v>2019</v>
      </c>
      <c r="E120" s="614">
        <f t="shared" si="10"/>
        <v>453644.5</v>
      </c>
      <c r="F120" s="614">
        <f t="shared" ref="F120:I121" si="15">F123+F126+F129+F132+F135+F138+F141+F144+F147+F150+F153+F156+F159+F162+F165</f>
        <v>417704.9</v>
      </c>
      <c r="G120" s="614">
        <f t="shared" si="15"/>
        <v>0</v>
      </c>
      <c r="H120" s="614">
        <f t="shared" si="15"/>
        <v>35939.599999999999</v>
      </c>
      <c r="I120" s="614">
        <f t="shared" si="15"/>
        <v>0</v>
      </c>
      <c r="J120" s="2971"/>
      <c r="K120" s="2972"/>
    </row>
    <row r="121" spans="1:11" s="2" customFormat="1" outlineLevel="1">
      <c r="A121" s="2968"/>
      <c r="B121" s="2969"/>
      <c r="C121" s="2970"/>
      <c r="D121" s="613">
        <v>2020</v>
      </c>
      <c r="E121" s="614">
        <f>SUM(F121:I121)</f>
        <v>299638.49999999994</v>
      </c>
      <c r="F121" s="614">
        <f>F124+F127+F130+F133+F136+F139+F142+F145+F148+F151+F154+F157+F160+F163+F166</f>
        <v>172099.19999999998</v>
      </c>
      <c r="G121" s="614">
        <f t="shared" si="15"/>
        <v>120000</v>
      </c>
      <c r="H121" s="614">
        <f t="shared" si="15"/>
        <v>7539.3000000000011</v>
      </c>
      <c r="I121" s="614">
        <f t="shared" si="15"/>
        <v>0</v>
      </c>
      <c r="J121" s="2971"/>
      <c r="K121" s="2972"/>
    </row>
    <row r="122" spans="1:11" s="626" customFormat="1" ht="13.5" customHeight="1" outlineLevel="1">
      <c r="A122" s="3007" t="s">
        <v>79</v>
      </c>
      <c r="B122" s="3008" t="s">
        <v>97</v>
      </c>
      <c r="C122" s="3009">
        <v>2019</v>
      </c>
      <c r="D122" s="624" t="s">
        <v>8</v>
      </c>
      <c r="E122" s="625">
        <f t="shared" ref="E122:E185" si="16">SUM(F122:I122)</f>
        <v>255383.69999999998</v>
      </c>
      <c r="F122" s="625">
        <f>F123+F124</f>
        <v>252829.8</v>
      </c>
      <c r="G122" s="625">
        <f>G123+G124</f>
        <v>0</v>
      </c>
      <c r="H122" s="625">
        <f>H123+H124</f>
        <v>2553.9</v>
      </c>
      <c r="I122" s="625">
        <f>I123+I124</f>
        <v>0</v>
      </c>
      <c r="J122" s="3010" t="s">
        <v>2693</v>
      </c>
      <c r="K122" s="3010" t="s">
        <v>98</v>
      </c>
    </row>
    <row r="123" spans="1:11" s="626" customFormat="1" ht="14.25" customHeight="1" outlineLevel="1">
      <c r="A123" s="3007"/>
      <c r="B123" s="3008"/>
      <c r="C123" s="3009"/>
      <c r="D123" s="624">
        <v>2019</v>
      </c>
      <c r="E123" s="625">
        <f t="shared" si="16"/>
        <v>255383.69999999998</v>
      </c>
      <c r="F123" s="627">
        <f>257277-4447.2</f>
        <v>252829.8</v>
      </c>
      <c r="G123" s="627">
        <v>0</v>
      </c>
      <c r="H123" s="627">
        <v>2553.9</v>
      </c>
      <c r="I123" s="627">
        <v>0</v>
      </c>
      <c r="J123" s="3010"/>
      <c r="K123" s="3010"/>
    </row>
    <row r="124" spans="1:11" s="626" customFormat="1" ht="12.75" outlineLevel="1">
      <c r="A124" s="3007"/>
      <c r="B124" s="3008"/>
      <c r="C124" s="3009"/>
      <c r="D124" s="624">
        <v>2020</v>
      </c>
      <c r="E124" s="625">
        <f t="shared" si="16"/>
        <v>0</v>
      </c>
      <c r="F124" s="627">
        <v>0</v>
      </c>
      <c r="G124" s="627">
        <v>0</v>
      </c>
      <c r="H124" s="627">
        <v>0</v>
      </c>
      <c r="I124" s="627">
        <v>0</v>
      </c>
      <c r="J124" s="3010"/>
      <c r="K124" s="3010"/>
    </row>
    <row r="125" spans="1:11" s="626" customFormat="1" ht="12.75" outlineLevel="1">
      <c r="A125" s="3007" t="s">
        <v>214</v>
      </c>
      <c r="B125" s="3011" t="s">
        <v>2694</v>
      </c>
      <c r="C125" s="3009">
        <v>2019</v>
      </c>
      <c r="D125" s="624" t="s">
        <v>8</v>
      </c>
      <c r="E125" s="625">
        <f t="shared" si="16"/>
        <v>4724.1000000000004</v>
      </c>
      <c r="F125" s="625">
        <f>F126+F127</f>
        <v>4724.1000000000004</v>
      </c>
      <c r="G125" s="625">
        <f>G126+G127</f>
        <v>0</v>
      </c>
      <c r="H125" s="625">
        <f>H126+H127</f>
        <v>0</v>
      </c>
      <c r="I125" s="625">
        <f>I126+I127</f>
        <v>0</v>
      </c>
      <c r="J125" s="3010" t="s">
        <v>2695</v>
      </c>
      <c r="K125" s="3010" t="s">
        <v>100</v>
      </c>
    </row>
    <row r="126" spans="1:11" s="626" customFormat="1" ht="12.75" outlineLevel="1">
      <c r="A126" s="3007"/>
      <c r="B126" s="3011"/>
      <c r="C126" s="3009"/>
      <c r="D126" s="624">
        <v>2019</v>
      </c>
      <c r="E126" s="625">
        <f t="shared" si="16"/>
        <v>4724.1000000000004</v>
      </c>
      <c r="F126" s="627">
        <v>4724.1000000000004</v>
      </c>
      <c r="G126" s="627">
        <v>0</v>
      </c>
      <c r="H126" s="627">
        <v>0</v>
      </c>
      <c r="I126" s="627">
        <v>0</v>
      </c>
      <c r="J126" s="3010"/>
      <c r="K126" s="3010"/>
    </row>
    <row r="127" spans="1:11" s="626" customFormat="1" ht="12.75" outlineLevel="1">
      <c r="A127" s="3007"/>
      <c r="B127" s="3011"/>
      <c r="C127" s="3009"/>
      <c r="D127" s="624">
        <v>2020</v>
      </c>
      <c r="E127" s="625">
        <f t="shared" si="16"/>
        <v>0</v>
      </c>
      <c r="F127" s="627">
        <v>0</v>
      </c>
      <c r="G127" s="627">
        <v>0</v>
      </c>
      <c r="H127" s="627">
        <v>0</v>
      </c>
      <c r="I127" s="627">
        <v>0</v>
      </c>
      <c r="J127" s="3010"/>
      <c r="K127" s="3010"/>
    </row>
    <row r="128" spans="1:11" s="626" customFormat="1" ht="12.75" outlineLevel="1">
      <c r="A128" s="3012" t="s">
        <v>216</v>
      </c>
      <c r="B128" s="3011" t="s">
        <v>637</v>
      </c>
      <c r="C128" s="3012">
        <v>2019</v>
      </c>
      <c r="D128" s="628" t="s">
        <v>8</v>
      </c>
      <c r="E128" s="629">
        <f>SUM(F128:I128)</f>
        <v>72000</v>
      </c>
      <c r="F128" s="629">
        <f>F129+F130</f>
        <v>72000</v>
      </c>
      <c r="G128" s="629">
        <f>G129+G130</f>
        <v>0</v>
      </c>
      <c r="H128" s="629">
        <f>H129+H130</f>
        <v>0</v>
      </c>
      <c r="I128" s="629">
        <f>I129+I130</f>
        <v>0</v>
      </c>
      <c r="J128" s="3013" t="s">
        <v>2696</v>
      </c>
      <c r="K128" s="3014" t="s">
        <v>89</v>
      </c>
    </row>
    <row r="129" spans="1:11" s="626" customFormat="1" ht="12.75" outlineLevel="1">
      <c r="A129" s="3012"/>
      <c r="B129" s="3011"/>
      <c r="C129" s="3012"/>
      <c r="D129" s="628">
        <v>2019</v>
      </c>
      <c r="E129" s="629">
        <f>SUM(F129:I129)</f>
        <v>72000</v>
      </c>
      <c r="F129" s="630">
        <v>72000</v>
      </c>
      <c r="G129" s="630">
        <v>0</v>
      </c>
      <c r="H129" s="630">
        <v>0</v>
      </c>
      <c r="I129" s="630">
        <v>0</v>
      </c>
      <c r="J129" s="3013"/>
      <c r="K129" s="3014"/>
    </row>
    <row r="130" spans="1:11" s="626" customFormat="1" ht="12.75" outlineLevel="1">
      <c r="A130" s="3012"/>
      <c r="B130" s="3011"/>
      <c r="C130" s="3012"/>
      <c r="D130" s="628">
        <v>2020</v>
      </c>
      <c r="E130" s="629">
        <f>SUM(F130:I130)</f>
        <v>0</v>
      </c>
      <c r="F130" s="630">
        <v>0</v>
      </c>
      <c r="G130" s="630">
        <v>0</v>
      </c>
      <c r="H130" s="630">
        <v>0</v>
      </c>
      <c r="I130" s="630">
        <v>0</v>
      </c>
      <c r="J130" s="3013"/>
      <c r="K130" s="3014"/>
    </row>
    <row r="131" spans="1:11" s="626" customFormat="1" ht="12.75" outlineLevel="1">
      <c r="A131" s="3007" t="s">
        <v>217</v>
      </c>
      <c r="B131" s="3008" t="s">
        <v>230</v>
      </c>
      <c r="C131" s="3009">
        <v>2019</v>
      </c>
      <c r="D131" s="624" t="s">
        <v>8</v>
      </c>
      <c r="E131" s="625">
        <f t="shared" si="16"/>
        <v>7352.7</v>
      </c>
      <c r="F131" s="625">
        <f>F132+F133</f>
        <v>7352.7</v>
      </c>
      <c r="G131" s="625">
        <f>G132+G133</f>
        <v>0</v>
      </c>
      <c r="H131" s="625">
        <f>H132+H133</f>
        <v>0</v>
      </c>
      <c r="I131" s="625">
        <f>I132+I133</f>
        <v>0</v>
      </c>
      <c r="J131" s="3010" t="s">
        <v>2697</v>
      </c>
      <c r="K131" s="3010" t="s">
        <v>292</v>
      </c>
    </row>
    <row r="132" spans="1:11" s="626" customFormat="1" ht="12.75" outlineLevel="1">
      <c r="A132" s="3007"/>
      <c r="B132" s="3008"/>
      <c r="C132" s="3009"/>
      <c r="D132" s="624">
        <v>2019</v>
      </c>
      <c r="E132" s="625">
        <f t="shared" si="16"/>
        <v>7352.7</v>
      </c>
      <c r="F132" s="627">
        <v>7352.7</v>
      </c>
      <c r="G132" s="627">
        <v>0</v>
      </c>
      <c r="H132" s="627">
        <v>0</v>
      </c>
      <c r="I132" s="627">
        <v>0</v>
      </c>
      <c r="J132" s="3010"/>
      <c r="K132" s="3010"/>
    </row>
    <row r="133" spans="1:11" s="626" customFormat="1" ht="12.75" outlineLevel="1">
      <c r="A133" s="3007"/>
      <c r="B133" s="3008"/>
      <c r="C133" s="3009"/>
      <c r="D133" s="624">
        <v>2020</v>
      </c>
      <c r="E133" s="625">
        <f t="shared" si="16"/>
        <v>0</v>
      </c>
      <c r="F133" s="627">
        <v>0</v>
      </c>
      <c r="G133" s="627">
        <v>0</v>
      </c>
      <c r="H133" s="627">
        <v>0</v>
      </c>
      <c r="I133" s="627">
        <v>0</v>
      </c>
      <c r="J133" s="3010"/>
      <c r="K133" s="3010"/>
    </row>
    <row r="134" spans="1:11" s="626" customFormat="1" ht="12.75" outlineLevel="1">
      <c r="A134" s="3012" t="s">
        <v>219</v>
      </c>
      <c r="B134" s="3011" t="s">
        <v>2698</v>
      </c>
      <c r="C134" s="3012">
        <v>2019</v>
      </c>
      <c r="D134" s="628" t="s">
        <v>8</v>
      </c>
      <c r="E134" s="629">
        <f>SUM(F134:I134)</f>
        <v>50000</v>
      </c>
      <c r="F134" s="629">
        <f>F135+F136</f>
        <v>25000</v>
      </c>
      <c r="G134" s="629">
        <f>G135+G136</f>
        <v>0</v>
      </c>
      <c r="H134" s="629">
        <f>H135+H136</f>
        <v>25000</v>
      </c>
      <c r="I134" s="629">
        <f>I135+I136</f>
        <v>0</v>
      </c>
      <c r="J134" s="3014" t="s">
        <v>2699</v>
      </c>
      <c r="K134" s="3014" t="s">
        <v>2700</v>
      </c>
    </row>
    <row r="135" spans="1:11" s="626" customFormat="1" ht="12.75" outlineLevel="1">
      <c r="A135" s="3012"/>
      <c r="B135" s="3011"/>
      <c r="C135" s="3012"/>
      <c r="D135" s="628">
        <v>2019</v>
      </c>
      <c r="E135" s="629">
        <f>SUM(F135:I135)</f>
        <v>50000</v>
      </c>
      <c r="F135" s="630">
        <v>25000</v>
      </c>
      <c r="G135" s="630">
        <v>0</v>
      </c>
      <c r="H135" s="630">
        <v>25000</v>
      </c>
      <c r="I135" s="630">
        <v>0</v>
      </c>
      <c r="J135" s="3014"/>
      <c r="K135" s="3014"/>
    </row>
    <row r="136" spans="1:11" s="626" customFormat="1" ht="12.75" outlineLevel="1">
      <c r="A136" s="3012"/>
      <c r="B136" s="3011"/>
      <c r="C136" s="3012"/>
      <c r="D136" s="628">
        <v>2020</v>
      </c>
      <c r="E136" s="629">
        <f>SUM(F136:I136)</f>
        <v>0</v>
      </c>
      <c r="F136" s="630">
        <v>0</v>
      </c>
      <c r="G136" s="630">
        <v>0</v>
      </c>
      <c r="H136" s="630">
        <v>0</v>
      </c>
      <c r="I136" s="630">
        <v>0</v>
      </c>
      <c r="J136" s="3014"/>
      <c r="K136" s="3014"/>
    </row>
    <row r="137" spans="1:11" s="626" customFormat="1" ht="13.5" customHeight="1" outlineLevel="1">
      <c r="A137" s="3007" t="s">
        <v>220</v>
      </c>
      <c r="B137" s="3008" t="s">
        <v>2701</v>
      </c>
      <c r="C137" s="3009">
        <v>2019</v>
      </c>
      <c r="D137" s="624" t="s">
        <v>8</v>
      </c>
      <c r="E137" s="625">
        <f t="shared" si="16"/>
        <v>24555.899999999998</v>
      </c>
      <c r="F137" s="625">
        <f>F138+F139</f>
        <v>24310.3</v>
      </c>
      <c r="G137" s="625">
        <f>G138+G139</f>
        <v>0</v>
      </c>
      <c r="H137" s="625">
        <f>H138+H139</f>
        <v>245.6</v>
      </c>
      <c r="I137" s="625">
        <f>I138+I139</f>
        <v>0</v>
      </c>
      <c r="J137" s="3010" t="s">
        <v>2702</v>
      </c>
      <c r="K137" s="3010" t="s">
        <v>2703</v>
      </c>
    </row>
    <row r="138" spans="1:11" s="626" customFormat="1" ht="14.25" customHeight="1" outlineLevel="1">
      <c r="A138" s="3007"/>
      <c r="B138" s="3008"/>
      <c r="C138" s="3009"/>
      <c r="D138" s="624">
        <v>2019</v>
      </c>
      <c r="E138" s="625">
        <f t="shared" si="16"/>
        <v>24555.899999999998</v>
      </c>
      <c r="F138" s="627">
        <v>24310.3</v>
      </c>
      <c r="G138" s="627">
        <v>0</v>
      </c>
      <c r="H138" s="627">
        <v>245.6</v>
      </c>
      <c r="I138" s="627">
        <v>0</v>
      </c>
      <c r="J138" s="3010"/>
      <c r="K138" s="3010"/>
    </row>
    <row r="139" spans="1:11" s="626" customFormat="1" ht="14.25" customHeight="1" outlineLevel="1">
      <c r="A139" s="3007"/>
      <c r="B139" s="3008"/>
      <c r="C139" s="3009"/>
      <c r="D139" s="624">
        <v>2020</v>
      </c>
      <c r="E139" s="625">
        <f t="shared" si="16"/>
        <v>0</v>
      </c>
      <c r="F139" s="627">
        <v>0</v>
      </c>
      <c r="G139" s="627">
        <v>0</v>
      </c>
      <c r="H139" s="627">
        <v>0</v>
      </c>
      <c r="I139" s="627">
        <v>0</v>
      </c>
      <c r="J139" s="3010"/>
      <c r="K139" s="3010"/>
    </row>
    <row r="140" spans="1:11" ht="15" customHeight="1" outlineLevel="1">
      <c r="A140" s="1951" t="s">
        <v>221</v>
      </c>
      <c r="B140" s="2985" t="s">
        <v>2704</v>
      </c>
      <c r="C140" s="2986">
        <v>2019</v>
      </c>
      <c r="D140" s="452" t="s">
        <v>8</v>
      </c>
      <c r="E140" s="13">
        <f t="shared" si="16"/>
        <v>5700</v>
      </c>
      <c r="F140" s="13">
        <f>F141+F142</f>
        <v>5700</v>
      </c>
      <c r="G140" s="13">
        <f>G141+G142</f>
        <v>0</v>
      </c>
      <c r="H140" s="13">
        <f>H141+H142</f>
        <v>0</v>
      </c>
      <c r="I140" s="13">
        <f>I141+I142</f>
        <v>0</v>
      </c>
      <c r="J140" s="1990" t="s">
        <v>2705</v>
      </c>
      <c r="K140" s="1990" t="s">
        <v>2676</v>
      </c>
    </row>
    <row r="141" spans="1:11" outlineLevel="1">
      <c r="A141" s="1951"/>
      <c r="B141" s="2985"/>
      <c r="C141" s="2986"/>
      <c r="D141" s="452">
        <v>2019</v>
      </c>
      <c r="E141" s="13">
        <f t="shared" si="16"/>
        <v>5700</v>
      </c>
      <c r="F141" s="615">
        <v>5700</v>
      </c>
      <c r="G141" s="615">
        <v>0</v>
      </c>
      <c r="H141" s="615">
        <v>0</v>
      </c>
      <c r="I141" s="615">
        <v>0</v>
      </c>
      <c r="J141" s="1990"/>
      <c r="K141" s="1990"/>
    </row>
    <row r="142" spans="1:11" outlineLevel="1">
      <c r="A142" s="1951"/>
      <c r="B142" s="2985"/>
      <c r="C142" s="2986"/>
      <c r="D142" s="452">
        <v>2020</v>
      </c>
      <c r="E142" s="13">
        <f t="shared" si="16"/>
        <v>0</v>
      </c>
      <c r="F142" s="615">
        <v>0</v>
      </c>
      <c r="G142" s="615">
        <v>0</v>
      </c>
      <c r="H142" s="615">
        <v>0</v>
      </c>
      <c r="I142" s="615">
        <v>0</v>
      </c>
      <c r="J142" s="1990"/>
      <c r="K142" s="1990"/>
    </row>
    <row r="143" spans="1:11" ht="15" customHeight="1" outlineLevel="1">
      <c r="A143" s="1951" t="s">
        <v>226</v>
      </c>
      <c r="B143" s="2985" t="s">
        <v>2706</v>
      </c>
      <c r="C143" s="2986">
        <v>2019</v>
      </c>
      <c r="D143" s="452" t="s">
        <v>8</v>
      </c>
      <c r="E143" s="13">
        <f t="shared" si="16"/>
        <v>24300</v>
      </c>
      <c r="F143" s="13">
        <f>F144+F145</f>
        <v>24300</v>
      </c>
      <c r="G143" s="13">
        <f>G144+G145</f>
        <v>0</v>
      </c>
      <c r="H143" s="13">
        <f>H144+H145</f>
        <v>0</v>
      </c>
      <c r="I143" s="13">
        <f>I144+I145</f>
        <v>0</v>
      </c>
      <c r="J143" s="1990" t="s">
        <v>2707</v>
      </c>
      <c r="K143" s="1990" t="s">
        <v>2676</v>
      </c>
    </row>
    <row r="144" spans="1:11" outlineLevel="1">
      <c r="A144" s="1951"/>
      <c r="B144" s="2985"/>
      <c r="C144" s="2986"/>
      <c r="D144" s="452">
        <v>2019</v>
      </c>
      <c r="E144" s="13">
        <f t="shared" si="16"/>
        <v>24300</v>
      </c>
      <c r="F144" s="615">
        <v>24300</v>
      </c>
      <c r="G144" s="615">
        <v>0</v>
      </c>
      <c r="H144" s="615">
        <v>0</v>
      </c>
      <c r="I144" s="615">
        <v>0</v>
      </c>
      <c r="J144" s="1990"/>
      <c r="K144" s="1990"/>
    </row>
    <row r="145" spans="1:11" outlineLevel="1">
      <c r="A145" s="1951"/>
      <c r="B145" s="2985"/>
      <c r="C145" s="2986"/>
      <c r="D145" s="452">
        <v>2020</v>
      </c>
      <c r="E145" s="13">
        <f t="shared" si="16"/>
        <v>0</v>
      </c>
      <c r="F145" s="615">
        <v>0</v>
      </c>
      <c r="G145" s="615">
        <v>0</v>
      </c>
      <c r="H145" s="615">
        <v>0</v>
      </c>
      <c r="I145" s="615">
        <v>0</v>
      </c>
      <c r="J145" s="1990"/>
      <c r="K145" s="1990"/>
    </row>
    <row r="146" spans="1:11" s="631" customFormat="1" ht="15" customHeight="1" outlineLevel="1">
      <c r="A146" s="2976" t="s">
        <v>227</v>
      </c>
      <c r="B146" s="2991" t="s">
        <v>2708</v>
      </c>
      <c r="C146" s="2976">
        <v>2019</v>
      </c>
      <c r="D146" s="37" t="s">
        <v>8</v>
      </c>
      <c r="E146" s="622">
        <f t="shared" si="16"/>
        <v>597.9</v>
      </c>
      <c r="F146" s="622">
        <f>F147+F148</f>
        <v>568</v>
      </c>
      <c r="G146" s="622">
        <f>G147+G148</f>
        <v>0</v>
      </c>
      <c r="H146" s="622">
        <f>H147+H148</f>
        <v>29.9</v>
      </c>
      <c r="I146" s="622">
        <f>I147+I148</f>
        <v>0</v>
      </c>
      <c r="J146" s="3015" t="s">
        <v>2709</v>
      </c>
      <c r="K146" s="3015" t="s">
        <v>2710</v>
      </c>
    </row>
    <row r="147" spans="1:11" s="631" customFormat="1" outlineLevel="1">
      <c r="A147" s="2976"/>
      <c r="B147" s="2991"/>
      <c r="C147" s="2976"/>
      <c r="D147" s="37">
        <v>2019</v>
      </c>
      <c r="E147" s="622">
        <f t="shared" si="16"/>
        <v>597.9</v>
      </c>
      <c r="F147" s="632">
        <v>568</v>
      </c>
      <c r="G147" s="623">
        <v>0</v>
      </c>
      <c r="H147" s="623">
        <v>29.9</v>
      </c>
      <c r="I147" s="623">
        <v>0</v>
      </c>
      <c r="J147" s="3015"/>
      <c r="K147" s="3015"/>
    </row>
    <row r="148" spans="1:11" s="631" customFormat="1" outlineLevel="1">
      <c r="A148" s="2976"/>
      <c r="B148" s="2991"/>
      <c r="C148" s="2976"/>
      <c r="D148" s="37">
        <v>2020</v>
      </c>
      <c r="E148" s="622">
        <f t="shared" si="16"/>
        <v>0</v>
      </c>
      <c r="F148" s="623">
        <v>0</v>
      </c>
      <c r="G148" s="623">
        <v>0</v>
      </c>
      <c r="H148" s="623">
        <v>0</v>
      </c>
      <c r="I148" s="623">
        <v>0</v>
      </c>
      <c r="J148" s="3015"/>
      <c r="K148" s="3015"/>
    </row>
    <row r="149" spans="1:11" s="633" customFormat="1" ht="15" customHeight="1" outlineLevel="1">
      <c r="A149" s="3007" t="s">
        <v>228</v>
      </c>
      <c r="B149" s="3008" t="s">
        <v>2711</v>
      </c>
      <c r="C149" s="3007">
        <v>2020</v>
      </c>
      <c r="D149" s="624" t="s">
        <v>8</v>
      </c>
      <c r="E149" s="625">
        <f t="shared" si="16"/>
        <v>9998.5</v>
      </c>
      <c r="F149" s="625">
        <f>F150+F151</f>
        <v>9998.5</v>
      </c>
      <c r="G149" s="625">
        <f>G150+G151</f>
        <v>0</v>
      </c>
      <c r="H149" s="625">
        <f>H150+H151</f>
        <v>0</v>
      </c>
      <c r="I149" s="625">
        <f>I150+I151</f>
        <v>0</v>
      </c>
      <c r="J149" s="3010" t="s">
        <v>2712</v>
      </c>
      <c r="K149" s="3014" t="s">
        <v>89</v>
      </c>
    </row>
    <row r="150" spans="1:11" s="633" customFormat="1" outlineLevel="1">
      <c r="A150" s="3007"/>
      <c r="B150" s="3008"/>
      <c r="C150" s="3007"/>
      <c r="D150" s="624">
        <v>2019</v>
      </c>
      <c r="E150" s="625">
        <f t="shared" si="16"/>
        <v>0</v>
      </c>
      <c r="F150" s="627">
        <v>0</v>
      </c>
      <c r="G150" s="627">
        <v>0</v>
      </c>
      <c r="H150" s="627">
        <v>0</v>
      </c>
      <c r="I150" s="627">
        <v>0</v>
      </c>
      <c r="J150" s="3010"/>
      <c r="K150" s="3014"/>
    </row>
    <row r="151" spans="1:11" s="633" customFormat="1" outlineLevel="1">
      <c r="A151" s="3007"/>
      <c r="B151" s="3008"/>
      <c r="C151" s="3007"/>
      <c r="D151" s="624">
        <v>2020</v>
      </c>
      <c r="E151" s="625">
        <f t="shared" si="16"/>
        <v>9998.5</v>
      </c>
      <c r="F151" s="627">
        <v>9998.5</v>
      </c>
      <c r="G151" s="627">
        <v>0</v>
      </c>
      <c r="H151" s="627">
        <v>0</v>
      </c>
      <c r="I151" s="627">
        <v>0</v>
      </c>
      <c r="J151" s="3010"/>
      <c r="K151" s="3014"/>
    </row>
    <row r="152" spans="1:11" s="633" customFormat="1" outlineLevel="1">
      <c r="A152" s="3012" t="s">
        <v>229</v>
      </c>
      <c r="B152" s="3011" t="s">
        <v>649</v>
      </c>
      <c r="C152" s="3012">
        <v>2019</v>
      </c>
      <c r="D152" s="628" t="s">
        <v>8</v>
      </c>
      <c r="E152" s="629">
        <f t="shared" si="16"/>
        <v>265483.7</v>
      </c>
      <c r="F152" s="629">
        <f>F153+F154</f>
        <v>130504.8</v>
      </c>
      <c r="G152" s="629">
        <f>G153+G154</f>
        <v>120000</v>
      </c>
      <c r="H152" s="629">
        <f>H153+H154</f>
        <v>14978.9</v>
      </c>
      <c r="I152" s="629">
        <f>I153+I154</f>
        <v>0</v>
      </c>
      <c r="J152" s="2983" t="s">
        <v>2713</v>
      </c>
      <c r="K152" s="3014" t="s">
        <v>89</v>
      </c>
    </row>
    <row r="153" spans="1:11" s="633" customFormat="1" outlineLevel="1">
      <c r="A153" s="3012"/>
      <c r="B153" s="3011"/>
      <c r="C153" s="3012"/>
      <c r="D153" s="628">
        <v>2019</v>
      </c>
      <c r="E153" s="629">
        <f t="shared" si="16"/>
        <v>8110.2</v>
      </c>
      <c r="F153" s="630">
        <v>0</v>
      </c>
      <c r="G153" s="630">
        <v>0</v>
      </c>
      <c r="H153" s="630">
        <v>8110.2</v>
      </c>
      <c r="I153" s="630">
        <v>0</v>
      </c>
      <c r="J153" s="2983"/>
      <c r="K153" s="3014"/>
    </row>
    <row r="154" spans="1:11" s="633" customFormat="1" outlineLevel="1">
      <c r="A154" s="3012"/>
      <c r="B154" s="3011"/>
      <c r="C154" s="3012"/>
      <c r="D154" s="628">
        <v>2020</v>
      </c>
      <c r="E154" s="629">
        <f t="shared" si="16"/>
        <v>257373.5</v>
      </c>
      <c r="F154" s="634">
        <v>130504.8</v>
      </c>
      <c r="G154" s="634">
        <v>120000</v>
      </c>
      <c r="H154" s="634">
        <v>6868.7</v>
      </c>
      <c r="I154" s="630">
        <v>0</v>
      </c>
      <c r="J154" s="2983"/>
      <c r="K154" s="3014"/>
    </row>
    <row r="155" spans="1:11" s="633" customFormat="1" outlineLevel="1">
      <c r="A155" s="3012" t="s">
        <v>233</v>
      </c>
      <c r="B155" s="3011" t="s">
        <v>2714</v>
      </c>
      <c r="C155" s="3012">
        <v>2019</v>
      </c>
      <c r="D155" s="628" t="s">
        <v>8</v>
      </c>
      <c r="E155" s="629">
        <f t="shared" si="16"/>
        <v>920</v>
      </c>
      <c r="F155" s="629">
        <f>F156+F157</f>
        <v>920</v>
      </c>
      <c r="G155" s="629">
        <f>G156+G157</f>
        <v>0</v>
      </c>
      <c r="H155" s="629">
        <f>H156+H157</f>
        <v>0</v>
      </c>
      <c r="I155" s="629">
        <f>I156+I157</f>
        <v>0</v>
      </c>
      <c r="J155" s="3014" t="s">
        <v>2715</v>
      </c>
      <c r="K155" s="3014" t="s">
        <v>89</v>
      </c>
    </row>
    <row r="156" spans="1:11" s="633" customFormat="1" outlineLevel="1">
      <c r="A156" s="3012"/>
      <c r="B156" s="3011"/>
      <c r="C156" s="3012"/>
      <c r="D156" s="628">
        <v>2019</v>
      </c>
      <c r="E156" s="629">
        <f t="shared" si="16"/>
        <v>920</v>
      </c>
      <c r="F156" s="630">
        <v>920</v>
      </c>
      <c r="G156" s="630">
        <v>0</v>
      </c>
      <c r="H156" s="630">
        <v>0</v>
      </c>
      <c r="I156" s="630">
        <v>0</v>
      </c>
      <c r="J156" s="3014"/>
      <c r="K156" s="3014"/>
    </row>
    <row r="157" spans="1:11" s="633" customFormat="1" outlineLevel="1">
      <c r="A157" s="3012"/>
      <c r="B157" s="3011"/>
      <c r="C157" s="3012"/>
      <c r="D157" s="628">
        <v>2020</v>
      </c>
      <c r="E157" s="629">
        <f t="shared" si="16"/>
        <v>0</v>
      </c>
      <c r="F157" s="630">
        <v>0</v>
      </c>
      <c r="G157" s="630">
        <v>0</v>
      </c>
      <c r="H157" s="630">
        <v>0</v>
      </c>
      <c r="I157" s="630">
        <v>0</v>
      </c>
      <c r="J157" s="3014"/>
      <c r="K157" s="3014"/>
    </row>
    <row r="158" spans="1:11" s="633" customFormat="1" ht="15" customHeight="1" outlineLevel="1">
      <c r="A158" s="3016" t="s">
        <v>449</v>
      </c>
      <c r="B158" s="2993" t="s">
        <v>2716</v>
      </c>
      <c r="C158" s="3012">
        <v>2020</v>
      </c>
      <c r="D158" s="628" t="s">
        <v>8</v>
      </c>
      <c r="E158" s="629">
        <f t="shared" si="16"/>
        <v>20000</v>
      </c>
      <c r="F158" s="629">
        <f>F159+F160</f>
        <v>20000</v>
      </c>
      <c r="G158" s="629">
        <f>G159+G160</f>
        <v>0</v>
      </c>
      <c r="H158" s="629">
        <f>H159+H160</f>
        <v>0</v>
      </c>
      <c r="I158" s="629">
        <f>I159+I160</f>
        <v>0</v>
      </c>
      <c r="J158" s="3014" t="s">
        <v>2717</v>
      </c>
      <c r="K158" s="3014" t="s">
        <v>89</v>
      </c>
    </row>
    <row r="159" spans="1:11" s="633" customFormat="1" outlineLevel="1">
      <c r="A159" s="3016"/>
      <c r="B159" s="2993"/>
      <c r="C159" s="3012"/>
      <c r="D159" s="628">
        <v>2019</v>
      </c>
      <c r="E159" s="629">
        <f t="shared" si="16"/>
        <v>0</v>
      </c>
      <c r="F159" s="630">
        <v>0</v>
      </c>
      <c r="G159" s="630">
        <v>0</v>
      </c>
      <c r="H159" s="630">
        <v>0</v>
      </c>
      <c r="I159" s="630">
        <v>0</v>
      </c>
      <c r="J159" s="3014"/>
      <c r="K159" s="3014"/>
    </row>
    <row r="160" spans="1:11" s="633" customFormat="1" outlineLevel="1">
      <c r="A160" s="3016"/>
      <c r="B160" s="2993"/>
      <c r="C160" s="3012"/>
      <c r="D160" s="628">
        <v>2020</v>
      </c>
      <c r="E160" s="629">
        <f t="shared" si="16"/>
        <v>20000</v>
      </c>
      <c r="F160" s="634">
        <v>20000</v>
      </c>
      <c r="G160" s="630">
        <v>0</v>
      </c>
      <c r="H160" s="630">
        <v>0</v>
      </c>
      <c r="I160" s="630">
        <v>0</v>
      </c>
      <c r="J160" s="3014"/>
      <c r="K160" s="3014"/>
    </row>
    <row r="161" spans="1:12" s="633" customFormat="1" ht="15" customHeight="1" outlineLevel="1">
      <c r="A161" s="3016" t="s">
        <v>638</v>
      </c>
      <c r="B161" s="3011" t="s">
        <v>650</v>
      </c>
      <c r="C161" s="3012">
        <v>2020</v>
      </c>
      <c r="D161" s="628" t="s">
        <v>8</v>
      </c>
      <c r="E161" s="629">
        <f t="shared" si="16"/>
        <v>9974.6</v>
      </c>
      <c r="F161" s="629">
        <f>F162+F163</f>
        <v>9475.9</v>
      </c>
      <c r="G161" s="629">
        <f>G162+G163</f>
        <v>0</v>
      </c>
      <c r="H161" s="629">
        <f>H162+H163</f>
        <v>498.70000000000073</v>
      </c>
      <c r="I161" s="629">
        <f>I162+I163</f>
        <v>0</v>
      </c>
      <c r="J161" s="3014" t="s">
        <v>2718</v>
      </c>
      <c r="K161" s="3014" t="s">
        <v>89</v>
      </c>
    </row>
    <row r="162" spans="1:12" s="633" customFormat="1" outlineLevel="1">
      <c r="A162" s="3016"/>
      <c r="B162" s="3011"/>
      <c r="C162" s="3012"/>
      <c r="D162" s="628">
        <v>2019</v>
      </c>
      <c r="E162" s="629">
        <f t="shared" si="16"/>
        <v>0</v>
      </c>
      <c r="F162" s="630">
        <v>0</v>
      </c>
      <c r="G162" s="630">
        <v>0</v>
      </c>
      <c r="H162" s="630">
        <v>0</v>
      </c>
      <c r="I162" s="630">
        <v>0</v>
      </c>
      <c r="J162" s="3014"/>
      <c r="K162" s="3014"/>
      <c r="L162" s="635"/>
    </row>
    <row r="163" spans="1:12" s="633" customFormat="1" outlineLevel="1">
      <c r="A163" s="3016"/>
      <c r="B163" s="3011"/>
      <c r="C163" s="3012"/>
      <c r="D163" s="628">
        <v>2020</v>
      </c>
      <c r="E163" s="629">
        <f t="shared" si="16"/>
        <v>9974.6</v>
      </c>
      <c r="F163" s="634">
        <v>9475.9</v>
      </c>
      <c r="G163" s="630">
        <v>0</v>
      </c>
      <c r="H163" s="630">
        <v>498.70000000000073</v>
      </c>
      <c r="I163" s="630">
        <v>0</v>
      </c>
      <c r="J163" s="3014"/>
      <c r="K163" s="3014"/>
    </row>
    <row r="164" spans="1:12" s="633" customFormat="1" ht="15" customHeight="1" outlineLevel="1">
      <c r="A164" s="3016" t="s">
        <v>639</v>
      </c>
      <c r="B164" s="3011" t="s">
        <v>651</v>
      </c>
      <c r="C164" s="3012">
        <v>2020</v>
      </c>
      <c r="D164" s="628" t="s">
        <v>8</v>
      </c>
      <c r="E164" s="629">
        <f t="shared" si="16"/>
        <v>2291.9</v>
      </c>
      <c r="F164" s="629">
        <f>F165+F166</f>
        <v>2120</v>
      </c>
      <c r="G164" s="629">
        <f>G165+G166</f>
        <v>0</v>
      </c>
      <c r="H164" s="629">
        <f>H165+H166</f>
        <v>171.90000000000009</v>
      </c>
      <c r="I164" s="629">
        <f>I165+I166</f>
        <v>0</v>
      </c>
      <c r="J164" s="3014" t="s">
        <v>2719</v>
      </c>
      <c r="K164" s="3014" t="s">
        <v>89</v>
      </c>
    </row>
    <row r="165" spans="1:12" s="633" customFormat="1" outlineLevel="1">
      <c r="A165" s="3016"/>
      <c r="B165" s="3011"/>
      <c r="C165" s="3012"/>
      <c r="D165" s="628">
        <v>2019</v>
      </c>
      <c r="E165" s="629">
        <f t="shared" si="16"/>
        <v>0</v>
      </c>
      <c r="F165" s="630">
        <v>0</v>
      </c>
      <c r="G165" s="630">
        <v>0</v>
      </c>
      <c r="H165" s="630">
        <v>0</v>
      </c>
      <c r="I165" s="630">
        <v>0</v>
      </c>
      <c r="J165" s="3014"/>
      <c r="K165" s="3014"/>
      <c r="L165" s="635"/>
    </row>
    <row r="166" spans="1:12" s="633" customFormat="1" outlineLevel="1">
      <c r="A166" s="3016"/>
      <c r="B166" s="3011"/>
      <c r="C166" s="3012"/>
      <c r="D166" s="628">
        <v>2020</v>
      </c>
      <c r="E166" s="629">
        <f t="shared" si="16"/>
        <v>2291.9</v>
      </c>
      <c r="F166" s="634">
        <v>2120</v>
      </c>
      <c r="G166" s="630">
        <v>0</v>
      </c>
      <c r="H166" s="630">
        <v>171.90000000000009</v>
      </c>
      <c r="I166" s="630">
        <v>0</v>
      </c>
      <c r="J166" s="3014"/>
      <c r="K166" s="3014"/>
    </row>
    <row r="167" spans="1:12" outlineLevel="1">
      <c r="A167" s="2968" t="s">
        <v>178</v>
      </c>
      <c r="B167" s="2969" t="s">
        <v>2720</v>
      </c>
      <c r="C167" s="2970" t="s">
        <v>2658</v>
      </c>
      <c r="D167" s="613" t="s">
        <v>8</v>
      </c>
      <c r="E167" s="614">
        <f t="shared" si="16"/>
        <v>296374.99999999994</v>
      </c>
      <c r="F167" s="614">
        <f>F168+F169</f>
        <v>274300.39999999997</v>
      </c>
      <c r="G167" s="614">
        <f>G168+G169</f>
        <v>0</v>
      </c>
      <c r="H167" s="614">
        <f>H168+H169</f>
        <v>22074.600000000002</v>
      </c>
      <c r="I167" s="614">
        <f>I168+I169</f>
        <v>0</v>
      </c>
      <c r="J167" s="2971" t="s">
        <v>104</v>
      </c>
      <c r="K167" s="2972" t="s">
        <v>2721</v>
      </c>
    </row>
    <row r="168" spans="1:12" outlineLevel="1">
      <c r="A168" s="2968"/>
      <c r="B168" s="2969"/>
      <c r="C168" s="2970"/>
      <c r="D168" s="613">
        <v>2019</v>
      </c>
      <c r="E168" s="614">
        <f>SUM(F168:I168)</f>
        <v>132689.9</v>
      </c>
      <c r="F168" s="621">
        <f t="shared" ref="F168:I169" si="17">F171+F174+F177+F180+F183+F186+F189+F192+F195+F198+F201+F207+F210+F213+F216+F204+F219+F222+F225</f>
        <v>125237.59999999999</v>
      </c>
      <c r="G168" s="621">
        <f t="shared" si="17"/>
        <v>0</v>
      </c>
      <c r="H168" s="621">
        <f t="shared" si="17"/>
        <v>7452.3</v>
      </c>
      <c r="I168" s="621">
        <f t="shared" si="17"/>
        <v>0</v>
      </c>
      <c r="J168" s="2971"/>
      <c r="K168" s="2972"/>
    </row>
    <row r="169" spans="1:12" outlineLevel="1">
      <c r="A169" s="2968"/>
      <c r="B169" s="2969"/>
      <c r="C169" s="2970"/>
      <c r="D169" s="613">
        <v>2020</v>
      </c>
      <c r="E169" s="614">
        <f t="shared" si="16"/>
        <v>163685.09999999998</v>
      </c>
      <c r="F169" s="621">
        <f t="shared" si="17"/>
        <v>149062.79999999999</v>
      </c>
      <c r="G169" s="621">
        <f t="shared" si="17"/>
        <v>0</v>
      </c>
      <c r="H169" s="621">
        <f t="shared" si="17"/>
        <v>14622.300000000001</v>
      </c>
      <c r="I169" s="621">
        <f t="shared" si="17"/>
        <v>0</v>
      </c>
      <c r="J169" s="2971"/>
      <c r="K169" s="2972"/>
    </row>
    <row r="170" spans="1:12" s="619" customFormat="1" outlineLevel="1">
      <c r="A170" s="1951" t="s">
        <v>102</v>
      </c>
      <c r="B170" s="2985" t="s">
        <v>2722</v>
      </c>
      <c r="C170" s="2986" t="s">
        <v>2658</v>
      </c>
      <c r="D170" s="452" t="s">
        <v>8</v>
      </c>
      <c r="E170" s="13">
        <f t="shared" si="16"/>
        <v>11400</v>
      </c>
      <c r="F170" s="13">
        <f>F171+F172</f>
        <v>11400</v>
      </c>
      <c r="G170" s="13">
        <f>G171+G172</f>
        <v>0</v>
      </c>
      <c r="H170" s="13">
        <f>H171+H172</f>
        <v>0</v>
      </c>
      <c r="I170" s="13">
        <f>I171+I172</f>
        <v>0</v>
      </c>
      <c r="J170" s="1994" t="s">
        <v>2723</v>
      </c>
      <c r="K170" s="1990" t="s">
        <v>2724</v>
      </c>
    </row>
    <row r="171" spans="1:12" s="619" customFormat="1" outlineLevel="1">
      <c r="A171" s="1951"/>
      <c r="B171" s="2985"/>
      <c r="C171" s="2986"/>
      <c r="D171" s="452">
        <v>2019</v>
      </c>
      <c r="E171" s="13">
        <f t="shared" si="16"/>
        <v>5400</v>
      </c>
      <c r="F171" s="13">
        <v>5400</v>
      </c>
      <c r="G171" s="636">
        <v>0</v>
      </c>
      <c r="H171" s="636">
        <v>0</v>
      </c>
      <c r="I171" s="636">
        <v>0</v>
      </c>
      <c r="J171" s="1994"/>
      <c r="K171" s="1990"/>
    </row>
    <row r="172" spans="1:12" s="619" customFormat="1" outlineLevel="1">
      <c r="A172" s="1951"/>
      <c r="B172" s="2985"/>
      <c r="C172" s="2986"/>
      <c r="D172" s="452">
        <v>2020</v>
      </c>
      <c r="E172" s="13">
        <f t="shared" si="16"/>
        <v>6000</v>
      </c>
      <c r="F172" s="13">
        <v>6000</v>
      </c>
      <c r="G172" s="636">
        <v>0</v>
      </c>
      <c r="H172" s="636">
        <v>0</v>
      </c>
      <c r="I172" s="636">
        <v>0</v>
      </c>
      <c r="J172" s="1994"/>
      <c r="K172" s="1990"/>
    </row>
    <row r="173" spans="1:12" s="637" customFormat="1" ht="15" customHeight="1" outlineLevel="1">
      <c r="A173" s="3007" t="s">
        <v>236</v>
      </c>
      <c r="B173" s="3008" t="s">
        <v>2725</v>
      </c>
      <c r="C173" s="3007">
        <v>2019</v>
      </c>
      <c r="D173" s="624" t="s">
        <v>8</v>
      </c>
      <c r="E173" s="625">
        <f t="shared" si="16"/>
        <v>61252.6</v>
      </c>
      <c r="F173" s="625">
        <f>F174+F175</f>
        <v>58189.9</v>
      </c>
      <c r="G173" s="625">
        <f>G174+G175</f>
        <v>0</v>
      </c>
      <c r="H173" s="625">
        <f>H174+H175</f>
        <v>3062.7000000000003</v>
      </c>
      <c r="I173" s="625">
        <f>I174+I175</f>
        <v>0</v>
      </c>
      <c r="J173" s="2992" t="s">
        <v>2726</v>
      </c>
      <c r="K173" s="3010" t="s">
        <v>2727</v>
      </c>
    </row>
    <row r="174" spans="1:12" s="637" customFormat="1" outlineLevel="1">
      <c r="A174" s="3007"/>
      <c r="B174" s="3008"/>
      <c r="C174" s="3007"/>
      <c r="D174" s="624">
        <v>2019</v>
      </c>
      <c r="E174" s="625">
        <f t="shared" si="16"/>
        <v>55755.100000000006</v>
      </c>
      <c r="F174" s="627">
        <v>52967.3</v>
      </c>
      <c r="G174" s="627">
        <v>0</v>
      </c>
      <c r="H174" s="627">
        <v>2787.8</v>
      </c>
      <c r="I174" s="627">
        <v>0</v>
      </c>
      <c r="J174" s="2992"/>
      <c r="K174" s="3010"/>
    </row>
    <row r="175" spans="1:12" s="637" customFormat="1" ht="13.5" customHeight="1" outlineLevel="1">
      <c r="A175" s="3007"/>
      <c r="B175" s="3008"/>
      <c r="C175" s="3007"/>
      <c r="D175" s="624">
        <v>2020</v>
      </c>
      <c r="E175" s="625">
        <f t="shared" si="16"/>
        <v>5497.5</v>
      </c>
      <c r="F175" s="616">
        <v>5222.6000000000004</v>
      </c>
      <c r="G175" s="627">
        <v>0</v>
      </c>
      <c r="H175" s="634">
        <v>274.89999999999998</v>
      </c>
      <c r="I175" s="627">
        <v>0</v>
      </c>
      <c r="J175" s="2992"/>
      <c r="K175" s="3010"/>
    </row>
    <row r="176" spans="1:12" s="637" customFormat="1" ht="17.100000000000001" customHeight="1" outlineLevel="1">
      <c r="A176" s="3007" t="s">
        <v>237</v>
      </c>
      <c r="B176" s="2993" t="s">
        <v>2728</v>
      </c>
      <c r="C176" s="3007">
        <v>2019</v>
      </c>
      <c r="D176" s="624" t="s">
        <v>8</v>
      </c>
      <c r="E176" s="625">
        <f t="shared" si="16"/>
        <v>10438.4</v>
      </c>
      <c r="F176" s="625">
        <f>F177+F178</f>
        <v>8747.4</v>
      </c>
      <c r="G176" s="625">
        <f>G177+G178</f>
        <v>0</v>
      </c>
      <c r="H176" s="629">
        <f>H177+H178</f>
        <v>1691</v>
      </c>
      <c r="I176" s="625">
        <f>I177+I178</f>
        <v>0</v>
      </c>
      <c r="J176" s="2992" t="s">
        <v>2729</v>
      </c>
      <c r="K176" s="3010" t="s">
        <v>2730</v>
      </c>
    </row>
    <row r="177" spans="1:11" s="637" customFormat="1" ht="17.100000000000001" customHeight="1" outlineLevel="1">
      <c r="A177" s="3007"/>
      <c r="B177" s="2993"/>
      <c r="C177" s="3007"/>
      <c r="D177" s="624">
        <v>2019</v>
      </c>
      <c r="E177" s="625">
        <f t="shared" si="16"/>
        <v>10438.4</v>
      </c>
      <c r="F177" s="627">
        <v>8747.4</v>
      </c>
      <c r="G177" s="627">
        <v>0</v>
      </c>
      <c r="H177" s="630">
        <v>1691</v>
      </c>
      <c r="I177" s="627">
        <v>0</v>
      </c>
      <c r="J177" s="2992"/>
      <c r="K177" s="3010"/>
    </row>
    <row r="178" spans="1:11" s="637" customFormat="1" ht="17.100000000000001" customHeight="1" outlineLevel="1">
      <c r="A178" s="3007"/>
      <c r="B178" s="2993"/>
      <c r="C178" s="3007"/>
      <c r="D178" s="624">
        <v>2020</v>
      </c>
      <c r="E178" s="625">
        <f t="shared" si="16"/>
        <v>0</v>
      </c>
      <c r="F178" s="616">
        <v>0</v>
      </c>
      <c r="G178" s="627">
        <v>0</v>
      </c>
      <c r="H178" s="634">
        <v>0</v>
      </c>
      <c r="I178" s="627">
        <v>0</v>
      </c>
      <c r="J178" s="2992"/>
      <c r="K178" s="3010"/>
    </row>
    <row r="179" spans="1:11" s="633" customFormat="1" ht="17.100000000000001" customHeight="1" outlineLevel="1">
      <c r="A179" s="3017" t="s">
        <v>238</v>
      </c>
      <c r="B179" s="3018" t="s">
        <v>2731</v>
      </c>
      <c r="C179" s="3007">
        <v>2019</v>
      </c>
      <c r="D179" s="624" t="s">
        <v>8</v>
      </c>
      <c r="E179" s="625">
        <f t="shared" si="16"/>
        <v>16367.8</v>
      </c>
      <c r="F179" s="625">
        <f>F180+F181</f>
        <v>15549.4</v>
      </c>
      <c r="G179" s="625">
        <f>G180+G181</f>
        <v>0</v>
      </c>
      <c r="H179" s="625">
        <f>H180+H181</f>
        <v>818.4</v>
      </c>
      <c r="I179" s="625">
        <f>I180+I181</f>
        <v>0</v>
      </c>
      <c r="J179" s="3010" t="s">
        <v>2732</v>
      </c>
      <c r="K179" s="3010" t="s">
        <v>2733</v>
      </c>
    </row>
    <row r="180" spans="1:11" s="633" customFormat="1" ht="17.100000000000001" customHeight="1" outlineLevel="1">
      <c r="A180" s="3007"/>
      <c r="B180" s="3018"/>
      <c r="C180" s="3007"/>
      <c r="D180" s="624">
        <v>2019</v>
      </c>
      <c r="E180" s="625">
        <f t="shared" si="16"/>
        <v>16367.8</v>
      </c>
      <c r="F180" s="627">
        <v>15549.4</v>
      </c>
      <c r="G180" s="627">
        <v>0</v>
      </c>
      <c r="H180" s="627">
        <v>818.4</v>
      </c>
      <c r="I180" s="627">
        <v>0</v>
      </c>
      <c r="J180" s="3010"/>
      <c r="K180" s="3010"/>
    </row>
    <row r="181" spans="1:11" s="638" customFormat="1" ht="17.100000000000001" customHeight="1" outlineLevel="1">
      <c r="A181" s="3007"/>
      <c r="B181" s="3018"/>
      <c r="C181" s="3007"/>
      <c r="D181" s="624">
        <v>2020</v>
      </c>
      <c r="E181" s="625">
        <f t="shared" si="16"/>
        <v>0</v>
      </c>
      <c r="F181" s="627">
        <v>0</v>
      </c>
      <c r="G181" s="627">
        <v>0</v>
      </c>
      <c r="H181" s="627">
        <v>0</v>
      </c>
      <c r="I181" s="627">
        <v>0</v>
      </c>
      <c r="J181" s="3010"/>
      <c r="K181" s="3010"/>
    </row>
    <row r="182" spans="1:11" s="2" customFormat="1" ht="14.25" customHeight="1" outlineLevel="1">
      <c r="A182" s="1951" t="s">
        <v>239</v>
      </c>
      <c r="B182" s="2985" t="s">
        <v>2734</v>
      </c>
      <c r="C182" s="1951">
        <v>2019</v>
      </c>
      <c r="D182" s="452" t="s">
        <v>8</v>
      </c>
      <c r="E182" s="13">
        <f t="shared" si="16"/>
        <v>2139.3000000000002</v>
      </c>
      <c r="F182" s="13">
        <f>F183+F184</f>
        <v>2139.3000000000002</v>
      </c>
      <c r="G182" s="13">
        <f>G183+G184</f>
        <v>0</v>
      </c>
      <c r="H182" s="13">
        <f>H183+H184</f>
        <v>0</v>
      </c>
      <c r="I182" s="13">
        <f>I183+I184</f>
        <v>0</v>
      </c>
      <c r="J182" s="1990" t="s">
        <v>2735</v>
      </c>
      <c r="K182" s="2992" t="s">
        <v>2736</v>
      </c>
    </row>
    <row r="183" spans="1:11" s="2" customFormat="1" outlineLevel="1">
      <c r="A183" s="1951"/>
      <c r="B183" s="2985"/>
      <c r="C183" s="1951"/>
      <c r="D183" s="452">
        <v>2019</v>
      </c>
      <c r="E183" s="13">
        <f t="shared" si="16"/>
        <v>2139.3000000000002</v>
      </c>
      <c r="F183" s="615">
        <v>2139.3000000000002</v>
      </c>
      <c r="G183" s="615">
        <v>0</v>
      </c>
      <c r="H183" s="615">
        <v>0</v>
      </c>
      <c r="I183" s="615">
        <v>0</v>
      </c>
      <c r="J183" s="1990"/>
      <c r="K183" s="2992"/>
    </row>
    <row r="184" spans="1:11" s="2" customFormat="1" outlineLevel="1">
      <c r="A184" s="1951"/>
      <c r="B184" s="2985"/>
      <c r="C184" s="1951"/>
      <c r="D184" s="452">
        <v>2020</v>
      </c>
      <c r="E184" s="13">
        <f t="shared" si="16"/>
        <v>0</v>
      </c>
      <c r="F184" s="615">
        <v>0</v>
      </c>
      <c r="G184" s="615">
        <v>0</v>
      </c>
      <c r="H184" s="615">
        <v>0</v>
      </c>
      <c r="I184" s="615">
        <v>0</v>
      </c>
      <c r="J184" s="1990"/>
      <c r="K184" s="2992"/>
    </row>
    <row r="185" spans="1:11" s="2" customFormat="1" ht="15" customHeight="1" outlineLevel="1">
      <c r="A185" s="1951" t="s">
        <v>240</v>
      </c>
      <c r="B185" s="2985" t="s">
        <v>2737</v>
      </c>
      <c r="C185" s="1951">
        <v>2019</v>
      </c>
      <c r="D185" s="452" t="s">
        <v>8</v>
      </c>
      <c r="E185" s="13">
        <f t="shared" si="16"/>
        <v>213.2</v>
      </c>
      <c r="F185" s="13">
        <f>F186+F187</f>
        <v>213.2</v>
      </c>
      <c r="G185" s="13">
        <f>G186+G187</f>
        <v>0</v>
      </c>
      <c r="H185" s="13">
        <f>H186+H187</f>
        <v>0</v>
      </c>
      <c r="I185" s="13">
        <f>I186+I187</f>
        <v>0</v>
      </c>
      <c r="J185" s="1990" t="s">
        <v>2738</v>
      </c>
      <c r="K185" s="1990" t="s">
        <v>2739</v>
      </c>
    </row>
    <row r="186" spans="1:11" s="2" customFormat="1" outlineLevel="1">
      <c r="A186" s="1951"/>
      <c r="B186" s="2985"/>
      <c r="C186" s="1951"/>
      <c r="D186" s="452">
        <v>2019</v>
      </c>
      <c r="E186" s="13">
        <f t="shared" ref="E186:E249" si="18">SUM(F186:I186)</f>
        <v>213.2</v>
      </c>
      <c r="F186" s="615">
        <v>213.2</v>
      </c>
      <c r="G186" s="615">
        <v>0</v>
      </c>
      <c r="H186" s="615">
        <v>0</v>
      </c>
      <c r="I186" s="615">
        <v>0</v>
      </c>
      <c r="J186" s="1990"/>
      <c r="K186" s="1990"/>
    </row>
    <row r="187" spans="1:11" s="2" customFormat="1" outlineLevel="1">
      <c r="A187" s="1951"/>
      <c r="B187" s="2985"/>
      <c r="C187" s="1951"/>
      <c r="D187" s="452">
        <v>2020</v>
      </c>
      <c r="E187" s="13">
        <f t="shared" si="18"/>
        <v>0</v>
      </c>
      <c r="F187" s="615">
        <v>0</v>
      </c>
      <c r="G187" s="615">
        <v>0</v>
      </c>
      <c r="H187" s="615">
        <v>0</v>
      </c>
      <c r="I187" s="615">
        <v>0</v>
      </c>
      <c r="J187" s="1990"/>
      <c r="K187" s="1990"/>
    </row>
    <row r="188" spans="1:11" s="631" customFormat="1" ht="15" customHeight="1" outlineLevel="1">
      <c r="A188" s="2976" t="s">
        <v>241</v>
      </c>
      <c r="B188" s="2991" t="s">
        <v>2740</v>
      </c>
      <c r="C188" s="2976">
        <v>2019</v>
      </c>
      <c r="D188" s="37" t="s">
        <v>8</v>
      </c>
      <c r="E188" s="622">
        <f t="shared" si="18"/>
        <v>10105.299999999999</v>
      </c>
      <c r="F188" s="622">
        <f>F189+F190</f>
        <v>9600</v>
      </c>
      <c r="G188" s="622">
        <f>G189+G190</f>
        <v>0</v>
      </c>
      <c r="H188" s="622">
        <f>H189+H190</f>
        <v>505.3</v>
      </c>
      <c r="I188" s="622">
        <f>I189+I190</f>
        <v>0</v>
      </c>
      <c r="J188" s="3015" t="s">
        <v>2741</v>
      </c>
      <c r="K188" s="3015" t="s">
        <v>2710</v>
      </c>
    </row>
    <row r="189" spans="1:11" s="631" customFormat="1" outlineLevel="1">
      <c r="A189" s="2976"/>
      <c r="B189" s="2991"/>
      <c r="C189" s="2976"/>
      <c r="D189" s="37">
        <v>2019</v>
      </c>
      <c r="E189" s="622">
        <f t="shared" si="18"/>
        <v>10105.299999999999</v>
      </c>
      <c r="F189" s="623">
        <v>9600</v>
      </c>
      <c r="G189" s="623">
        <v>0</v>
      </c>
      <c r="H189" s="623">
        <v>505.3</v>
      </c>
      <c r="I189" s="623">
        <v>0</v>
      </c>
      <c r="J189" s="3015"/>
      <c r="K189" s="3015"/>
    </row>
    <row r="190" spans="1:11" s="631" customFormat="1" outlineLevel="1">
      <c r="A190" s="2976"/>
      <c r="B190" s="2991"/>
      <c r="C190" s="2976"/>
      <c r="D190" s="37">
        <v>2020</v>
      </c>
      <c r="E190" s="622">
        <f t="shared" si="18"/>
        <v>0</v>
      </c>
      <c r="F190" s="623">
        <v>0</v>
      </c>
      <c r="G190" s="623">
        <v>0</v>
      </c>
      <c r="H190" s="623">
        <v>0</v>
      </c>
      <c r="I190" s="623">
        <v>0</v>
      </c>
      <c r="J190" s="3015"/>
      <c r="K190" s="3015"/>
    </row>
    <row r="191" spans="1:11" s="619" customFormat="1" ht="15" customHeight="1" outlineLevel="1">
      <c r="A191" s="1951" t="s">
        <v>242</v>
      </c>
      <c r="B191" s="2985" t="s">
        <v>2742</v>
      </c>
      <c r="C191" s="1951">
        <v>2019</v>
      </c>
      <c r="D191" s="452" t="s">
        <v>8</v>
      </c>
      <c r="E191" s="13">
        <f t="shared" si="18"/>
        <v>19544.5</v>
      </c>
      <c r="F191" s="13">
        <f>F192+F193</f>
        <v>18567.3</v>
      </c>
      <c r="G191" s="13">
        <f>G192+G193</f>
        <v>0</v>
      </c>
      <c r="H191" s="13">
        <f>H192+H193</f>
        <v>977.2</v>
      </c>
      <c r="I191" s="13">
        <f>I192+I193</f>
        <v>0</v>
      </c>
      <c r="J191" s="1990" t="s">
        <v>2743</v>
      </c>
      <c r="K191" s="1990" t="s">
        <v>2710</v>
      </c>
    </row>
    <row r="192" spans="1:11" s="619" customFormat="1" outlineLevel="1">
      <c r="A192" s="1951"/>
      <c r="B192" s="2985"/>
      <c r="C192" s="1951"/>
      <c r="D192" s="452">
        <v>2019</v>
      </c>
      <c r="E192" s="13">
        <f t="shared" si="18"/>
        <v>19544.5</v>
      </c>
      <c r="F192" s="639">
        <v>18567.3</v>
      </c>
      <c r="G192" s="615">
        <v>0</v>
      </c>
      <c r="H192" s="623">
        <v>977.2</v>
      </c>
      <c r="I192" s="615">
        <v>0</v>
      </c>
      <c r="J192" s="1990"/>
      <c r="K192" s="1990"/>
    </row>
    <row r="193" spans="1:11" s="619" customFormat="1" outlineLevel="1">
      <c r="A193" s="1951"/>
      <c r="B193" s="2985"/>
      <c r="C193" s="1951"/>
      <c r="D193" s="452">
        <v>2020</v>
      </c>
      <c r="E193" s="13">
        <f t="shared" si="18"/>
        <v>0</v>
      </c>
      <c r="F193" s="615">
        <v>0</v>
      </c>
      <c r="G193" s="615">
        <v>0</v>
      </c>
      <c r="H193" s="615">
        <v>0</v>
      </c>
      <c r="I193" s="615">
        <v>0</v>
      </c>
      <c r="J193" s="1990"/>
      <c r="K193" s="1990"/>
    </row>
    <row r="194" spans="1:11" s="619" customFormat="1" ht="15" customHeight="1" outlineLevel="1">
      <c r="A194" s="1951" t="s">
        <v>243</v>
      </c>
      <c r="B194" s="2985" t="s">
        <v>2744</v>
      </c>
      <c r="C194" s="1951">
        <v>2019</v>
      </c>
      <c r="D194" s="452" t="s">
        <v>8</v>
      </c>
      <c r="E194" s="13">
        <f t="shared" si="18"/>
        <v>12692.5</v>
      </c>
      <c r="F194" s="13">
        <f>F195+F196</f>
        <v>12019.9</v>
      </c>
      <c r="G194" s="13">
        <f>G195+G196</f>
        <v>0</v>
      </c>
      <c r="H194" s="13">
        <f>H195+H196</f>
        <v>672.6</v>
      </c>
      <c r="I194" s="13">
        <f>I195+I196</f>
        <v>0</v>
      </c>
      <c r="J194" s="1990" t="s">
        <v>2745</v>
      </c>
      <c r="K194" s="1990" t="s">
        <v>2710</v>
      </c>
    </row>
    <row r="195" spans="1:11" s="619" customFormat="1" outlineLevel="1">
      <c r="A195" s="1951"/>
      <c r="B195" s="2985"/>
      <c r="C195" s="1951"/>
      <c r="D195" s="452">
        <v>2019</v>
      </c>
      <c r="E195" s="13">
        <f t="shared" si="18"/>
        <v>12692.5</v>
      </c>
      <c r="F195" s="639">
        <v>12019.9</v>
      </c>
      <c r="G195" s="615">
        <v>0</v>
      </c>
      <c r="H195" s="623">
        <v>672.6</v>
      </c>
      <c r="I195" s="615">
        <v>0</v>
      </c>
      <c r="J195" s="1990"/>
      <c r="K195" s="1990"/>
    </row>
    <row r="196" spans="1:11" s="619" customFormat="1" outlineLevel="1">
      <c r="A196" s="1951"/>
      <c r="B196" s="2985"/>
      <c r="C196" s="1951"/>
      <c r="D196" s="452">
        <v>2020</v>
      </c>
      <c r="E196" s="13">
        <f t="shared" si="18"/>
        <v>0</v>
      </c>
      <c r="F196" s="615">
        <v>0</v>
      </c>
      <c r="G196" s="615">
        <v>0</v>
      </c>
      <c r="H196" s="615">
        <v>0</v>
      </c>
      <c r="I196" s="615">
        <v>0</v>
      </c>
      <c r="J196" s="1990"/>
      <c r="K196" s="1990"/>
    </row>
    <row r="197" spans="1:11" s="619" customFormat="1" ht="14.25" customHeight="1" outlineLevel="1">
      <c r="A197" s="1951" t="s">
        <v>244</v>
      </c>
      <c r="B197" s="2985" t="s">
        <v>2746</v>
      </c>
      <c r="C197" s="1951" t="s">
        <v>2658</v>
      </c>
      <c r="D197" s="452" t="s">
        <v>8</v>
      </c>
      <c r="E197" s="13">
        <f t="shared" si="18"/>
        <v>70.3</v>
      </c>
      <c r="F197" s="13">
        <f>F198+F199</f>
        <v>70.3</v>
      </c>
      <c r="G197" s="13">
        <f>G198+G199</f>
        <v>0</v>
      </c>
      <c r="H197" s="13">
        <f>H198+H199</f>
        <v>0</v>
      </c>
      <c r="I197" s="13">
        <f>I198+I199</f>
        <v>0</v>
      </c>
      <c r="J197" s="1990" t="s">
        <v>2747</v>
      </c>
      <c r="K197" s="1990" t="s">
        <v>2748</v>
      </c>
    </row>
    <row r="198" spans="1:11" s="619" customFormat="1" outlineLevel="1">
      <c r="A198" s="1951"/>
      <c r="B198" s="2985"/>
      <c r="C198" s="1951"/>
      <c r="D198" s="452">
        <v>2019</v>
      </c>
      <c r="E198" s="13">
        <f t="shared" si="18"/>
        <v>33.799999999999997</v>
      </c>
      <c r="F198" s="615">
        <v>33.799999999999997</v>
      </c>
      <c r="G198" s="615">
        <v>0</v>
      </c>
      <c r="H198" s="615">
        <v>0</v>
      </c>
      <c r="I198" s="615">
        <v>0</v>
      </c>
      <c r="J198" s="1990"/>
      <c r="K198" s="1990"/>
    </row>
    <row r="199" spans="1:11" s="619" customFormat="1" outlineLevel="1">
      <c r="A199" s="1951"/>
      <c r="B199" s="2985"/>
      <c r="C199" s="1951"/>
      <c r="D199" s="452">
        <v>2020</v>
      </c>
      <c r="E199" s="13">
        <f t="shared" si="18"/>
        <v>36.5</v>
      </c>
      <c r="F199" s="615">
        <v>36.5</v>
      </c>
      <c r="G199" s="615">
        <v>0</v>
      </c>
      <c r="H199" s="615">
        <v>0</v>
      </c>
      <c r="I199" s="615">
        <v>0</v>
      </c>
      <c r="J199" s="1990"/>
      <c r="K199" s="1990"/>
    </row>
    <row r="200" spans="1:11" s="619" customFormat="1" ht="14.25" customHeight="1" outlineLevel="1">
      <c r="A200" s="1951" t="s">
        <v>245</v>
      </c>
      <c r="B200" s="2985" t="s">
        <v>2749</v>
      </c>
      <c r="C200" s="1951">
        <v>2020</v>
      </c>
      <c r="D200" s="452" t="s">
        <v>8</v>
      </c>
      <c r="E200" s="13">
        <f t="shared" si="18"/>
        <v>8112</v>
      </c>
      <c r="F200" s="13">
        <f>F201+F202</f>
        <v>8112</v>
      </c>
      <c r="G200" s="13">
        <f>G201+G202</f>
        <v>0</v>
      </c>
      <c r="H200" s="13">
        <f>H201+H202</f>
        <v>0</v>
      </c>
      <c r="I200" s="13">
        <f>I201+I202</f>
        <v>0</v>
      </c>
      <c r="J200" s="1990" t="s">
        <v>2750</v>
      </c>
      <c r="K200" s="1990" t="s">
        <v>2659</v>
      </c>
    </row>
    <row r="201" spans="1:11" s="619" customFormat="1" outlineLevel="1">
      <c r="A201" s="1951"/>
      <c r="B201" s="2985"/>
      <c r="C201" s="1951"/>
      <c r="D201" s="452">
        <v>2019</v>
      </c>
      <c r="E201" s="13">
        <f t="shared" si="18"/>
        <v>0</v>
      </c>
      <c r="F201" s="615">
        <v>0</v>
      </c>
      <c r="G201" s="615">
        <v>0</v>
      </c>
      <c r="H201" s="615">
        <v>0</v>
      </c>
      <c r="I201" s="615">
        <v>0</v>
      </c>
      <c r="J201" s="1990"/>
      <c r="K201" s="1990"/>
    </row>
    <row r="202" spans="1:11" s="619" customFormat="1" outlineLevel="1">
      <c r="A202" s="1951"/>
      <c r="B202" s="2985"/>
      <c r="C202" s="1951"/>
      <c r="D202" s="452">
        <v>2020</v>
      </c>
      <c r="E202" s="13">
        <f t="shared" si="18"/>
        <v>8112</v>
      </c>
      <c r="F202" s="616">
        <f>6653+1459</f>
        <v>8112</v>
      </c>
      <c r="G202" s="615">
        <v>0</v>
      </c>
      <c r="H202" s="615">
        <v>0</v>
      </c>
      <c r="I202" s="615">
        <v>0</v>
      </c>
      <c r="J202" s="1990"/>
      <c r="K202" s="1990"/>
    </row>
    <row r="203" spans="1:11" s="619" customFormat="1" outlineLevel="1">
      <c r="A203" s="2085" t="s">
        <v>248</v>
      </c>
      <c r="B203" s="2985" t="s">
        <v>2704</v>
      </c>
      <c r="C203" s="1951">
        <v>2020</v>
      </c>
      <c r="D203" s="452" t="s">
        <v>8</v>
      </c>
      <c r="E203" s="13">
        <f>SUM(F203:I203)</f>
        <v>4646.1000000000004</v>
      </c>
      <c r="F203" s="13">
        <f>F204+F205</f>
        <v>4646.1000000000004</v>
      </c>
      <c r="G203" s="13">
        <f>G204+G205</f>
        <v>0</v>
      </c>
      <c r="H203" s="13">
        <f>H204+H205</f>
        <v>0</v>
      </c>
      <c r="I203" s="13">
        <f>I204+I205</f>
        <v>0</v>
      </c>
      <c r="J203" s="1990" t="s">
        <v>2751</v>
      </c>
      <c r="K203" s="1990" t="s">
        <v>2676</v>
      </c>
    </row>
    <row r="204" spans="1:11" s="619" customFormat="1" outlineLevel="1">
      <c r="A204" s="2086"/>
      <c r="B204" s="2985"/>
      <c r="C204" s="1951"/>
      <c r="D204" s="452">
        <v>2019</v>
      </c>
      <c r="E204" s="13">
        <f>SUM(F204:I204)</f>
        <v>0</v>
      </c>
      <c r="F204" s="615">
        <v>0</v>
      </c>
      <c r="G204" s="615">
        <v>0</v>
      </c>
      <c r="H204" s="615">
        <v>0</v>
      </c>
      <c r="I204" s="615">
        <v>0</v>
      </c>
      <c r="J204" s="1990"/>
      <c r="K204" s="1990"/>
    </row>
    <row r="205" spans="1:11" s="619" customFormat="1" outlineLevel="1">
      <c r="A205" s="2087"/>
      <c r="B205" s="2985"/>
      <c r="C205" s="1951"/>
      <c r="D205" s="452">
        <v>2020</v>
      </c>
      <c r="E205" s="13">
        <f>SUM(F205:I205)</f>
        <v>4646.1000000000004</v>
      </c>
      <c r="F205" s="615">
        <v>4646.1000000000004</v>
      </c>
      <c r="G205" s="615">
        <v>0</v>
      </c>
      <c r="H205" s="615">
        <v>0</v>
      </c>
      <c r="I205" s="615">
        <v>0</v>
      </c>
      <c r="J205" s="1990"/>
      <c r="K205" s="1990"/>
    </row>
    <row r="206" spans="1:11" s="619" customFormat="1" ht="14.25" customHeight="1" outlineLevel="1">
      <c r="A206" s="2085" t="s">
        <v>249</v>
      </c>
      <c r="B206" s="2985" t="s">
        <v>2752</v>
      </c>
      <c r="C206" s="1951">
        <v>2020</v>
      </c>
      <c r="D206" s="452" t="s">
        <v>8</v>
      </c>
      <c r="E206" s="13">
        <f t="shared" si="18"/>
        <v>1445.5</v>
      </c>
      <c r="F206" s="13">
        <f>F207+F208</f>
        <v>1445.5</v>
      </c>
      <c r="G206" s="13">
        <f>G207+G208</f>
        <v>0</v>
      </c>
      <c r="H206" s="13">
        <f>H207+H208</f>
        <v>0</v>
      </c>
      <c r="I206" s="13">
        <f>I207+I208</f>
        <v>0</v>
      </c>
      <c r="J206" s="1990" t="s">
        <v>2753</v>
      </c>
      <c r="K206" s="1990" t="s">
        <v>2754</v>
      </c>
    </row>
    <row r="207" spans="1:11" s="619" customFormat="1" outlineLevel="1">
      <c r="A207" s="2086"/>
      <c r="B207" s="2985"/>
      <c r="C207" s="1951"/>
      <c r="D207" s="452">
        <v>2019</v>
      </c>
      <c r="E207" s="13">
        <f t="shared" si="18"/>
        <v>0</v>
      </c>
      <c r="F207" s="615">
        <v>0</v>
      </c>
      <c r="G207" s="615">
        <v>0</v>
      </c>
      <c r="H207" s="615">
        <v>0</v>
      </c>
      <c r="I207" s="615">
        <v>0</v>
      </c>
      <c r="J207" s="1990"/>
      <c r="K207" s="1990"/>
    </row>
    <row r="208" spans="1:11" s="619" customFormat="1" outlineLevel="1">
      <c r="A208" s="2087"/>
      <c r="B208" s="2985"/>
      <c r="C208" s="1951"/>
      <c r="D208" s="452">
        <v>2020</v>
      </c>
      <c r="E208" s="13">
        <f t="shared" si="18"/>
        <v>1445.5</v>
      </c>
      <c r="F208" s="615">
        <v>1445.5</v>
      </c>
      <c r="G208" s="615">
        <v>0</v>
      </c>
      <c r="H208" s="615">
        <v>0</v>
      </c>
      <c r="I208" s="615">
        <v>0</v>
      </c>
      <c r="J208" s="1990"/>
      <c r="K208" s="1990"/>
    </row>
    <row r="209" spans="1:12" s="633" customFormat="1" ht="14.25" customHeight="1" outlineLevel="1">
      <c r="A209" s="3019" t="s">
        <v>250</v>
      </c>
      <c r="B209" s="3008" t="s">
        <v>2755</v>
      </c>
      <c r="C209" s="3007">
        <v>2020</v>
      </c>
      <c r="D209" s="624" t="s">
        <v>8</v>
      </c>
      <c r="E209" s="625">
        <f t="shared" si="18"/>
        <v>8895.1</v>
      </c>
      <c r="F209" s="625">
        <f>F210+F211</f>
        <v>8445.1</v>
      </c>
      <c r="G209" s="625">
        <f>G210+G211</f>
        <v>0</v>
      </c>
      <c r="H209" s="625">
        <f>H210+H211</f>
        <v>450</v>
      </c>
      <c r="I209" s="625">
        <f>I210+I211</f>
        <v>0</v>
      </c>
      <c r="J209" s="3010" t="s">
        <v>2756</v>
      </c>
      <c r="K209" s="3010" t="s">
        <v>2757</v>
      </c>
    </row>
    <row r="210" spans="1:12" s="633" customFormat="1" outlineLevel="1">
      <c r="A210" s="3020"/>
      <c r="B210" s="3008"/>
      <c r="C210" s="3007"/>
      <c r="D210" s="624">
        <v>2019</v>
      </c>
      <c r="E210" s="625">
        <f t="shared" si="18"/>
        <v>0</v>
      </c>
      <c r="F210" s="627">
        <v>0</v>
      </c>
      <c r="G210" s="627">
        <v>0</v>
      </c>
      <c r="H210" s="627">
        <v>0</v>
      </c>
      <c r="I210" s="627">
        <v>0</v>
      </c>
      <c r="J210" s="3010"/>
      <c r="K210" s="3010"/>
    </row>
    <row r="211" spans="1:12" s="633" customFormat="1" outlineLevel="1">
      <c r="A211" s="3021"/>
      <c r="B211" s="3008"/>
      <c r="C211" s="3007"/>
      <c r="D211" s="624">
        <v>2020</v>
      </c>
      <c r="E211" s="625">
        <f t="shared" si="18"/>
        <v>8895.1</v>
      </c>
      <c r="F211" s="627">
        <v>8445.1</v>
      </c>
      <c r="G211" s="627">
        <v>0</v>
      </c>
      <c r="H211" s="630">
        <v>450</v>
      </c>
      <c r="I211" s="627">
        <v>0</v>
      </c>
      <c r="J211" s="3010"/>
      <c r="K211" s="3010"/>
    </row>
    <row r="212" spans="1:12" s="633" customFormat="1" ht="14.25" customHeight="1" outlineLevel="1">
      <c r="A212" s="3007" t="s">
        <v>253</v>
      </c>
      <c r="B212" s="3008" t="s">
        <v>2758</v>
      </c>
      <c r="C212" s="3007">
        <v>2020</v>
      </c>
      <c r="D212" s="624" t="s">
        <v>8</v>
      </c>
      <c r="E212" s="625">
        <f t="shared" si="18"/>
        <v>9314.4000000000015</v>
      </c>
      <c r="F212" s="625">
        <f>F213+F214</f>
        <v>8848.7000000000007</v>
      </c>
      <c r="G212" s="625">
        <f>G213+G214</f>
        <v>0</v>
      </c>
      <c r="H212" s="629">
        <f>H213+H214</f>
        <v>465.7</v>
      </c>
      <c r="I212" s="625">
        <f>I213+I214</f>
        <v>0</v>
      </c>
      <c r="J212" s="3010" t="s">
        <v>2759</v>
      </c>
      <c r="K212" s="3010" t="s">
        <v>2760</v>
      </c>
    </row>
    <row r="213" spans="1:12" s="633" customFormat="1" outlineLevel="1">
      <c r="A213" s="3007"/>
      <c r="B213" s="3008"/>
      <c r="C213" s="3007"/>
      <c r="D213" s="624">
        <v>2019</v>
      </c>
      <c r="E213" s="625">
        <f t="shared" si="18"/>
        <v>0</v>
      </c>
      <c r="F213" s="627">
        <v>0</v>
      </c>
      <c r="G213" s="627">
        <v>0</v>
      </c>
      <c r="H213" s="630">
        <v>0</v>
      </c>
      <c r="I213" s="627">
        <v>0</v>
      </c>
      <c r="J213" s="3010"/>
      <c r="K213" s="3010"/>
    </row>
    <row r="214" spans="1:12" s="633" customFormat="1" outlineLevel="1">
      <c r="A214" s="3007"/>
      <c r="B214" s="3008"/>
      <c r="C214" s="3007"/>
      <c r="D214" s="624">
        <v>2020</v>
      </c>
      <c r="E214" s="625">
        <f t="shared" si="18"/>
        <v>9314.4000000000015</v>
      </c>
      <c r="F214" s="627">
        <v>8848.7000000000007</v>
      </c>
      <c r="G214" s="627">
        <v>0</v>
      </c>
      <c r="H214" s="630">
        <v>465.7</v>
      </c>
      <c r="I214" s="627">
        <v>0</v>
      </c>
      <c r="J214" s="3010"/>
      <c r="K214" s="3010"/>
    </row>
    <row r="215" spans="1:12" s="633" customFormat="1" ht="14.25" customHeight="1" outlineLevel="1">
      <c r="A215" s="3007" t="s">
        <v>257</v>
      </c>
      <c r="B215" s="3008" t="s">
        <v>2761</v>
      </c>
      <c r="C215" s="3007">
        <v>2020</v>
      </c>
      <c r="D215" s="624" t="s">
        <v>8</v>
      </c>
      <c r="E215" s="625">
        <f t="shared" si="18"/>
        <v>14529.1</v>
      </c>
      <c r="F215" s="625">
        <f>F216+F217</f>
        <v>13802.6</v>
      </c>
      <c r="G215" s="625">
        <f>G216+G217</f>
        <v>0</v>
      </c>
      <c r="H215" s="629">
        <f>H216+H217</f>
        <v>726.5</v>
      </c>
      <c r="I215" s="625">
        <f>I216+I217</f>
        <v>0</v>
      </c>
      <c r="J215" s="3010" t="s">
        <v>2762</v>
      </c>
      <c r="K215" s="3010" t="s">
        <v>2760</v>
      </c>
    </row>
    <row r="216" spans="1:12" s="633" customFormat="1" outlineLevel="1">
      <c r="A216" s="3007"/>
      <c r="B216" s="3008"/>
      <c r="C216" s="3007"/>
      <c r="D216" s="624">
        <v>2019</v>
      </c>
      <c r="E216" s="625">
        <f t="shared" si="18"/>
        <v>0</v>
      </c>
      <c r="F216" s="627">
        <v>0</v>
      </c>
      <c r="G216" s="627">
        <v>0</v>
      </c>
      <c r="H216" s="630">
        <v>0</v>
      </c>
      <c r="I216" s="627">
        <v>0</v>
      </c>
      <c r="J216" s="3010"/>
      <c r="K216" s="3010"/>
    </row>
    <row r="217" spans="1:12" s="633" customFormat="1" outlineLevel="1">
      <c r="A217" s="3007"/>
      <c r="B217" s="3008"/>
      <c r="C217" s="3007"/>
      <c r="D217" s="624">
        <v>2020</v>
      </c>
      <c r="E217" s="625">
        <f t="shared" si="18"/>
        <v>14529.1</v>
      </c>
      <c r="F217" s="627">
        <v>13802.6</v>
      </c>
      <c r="G217" s="627">
        <v>0</v>
      </c>
      <c r="H217" s="630">
        <v>726.5</v>
      </c>
      <c r="I217" s="627">
        <v>0</v>
      </c>
      <c r="J217" s="3010"/>
      <c r="K217" s="3010"/>
    </row>
    <row r="218" spans="1:12" s="633" customFormat="1" outlineLevel="1">
      <c r="A218" s="3022" t="s">
        <v>260</v>
      </c>
      <c r="B218" s="3008" t="s">
        <v>2763</v>
      </c>
      <c r="C218" s="3007">
        <v>2020</v>
      </c>
      <c r="D218" s="624" t="s">
        <v>8</v>
      </c>
      <c r="E218" s="625">
        <f t="shared" si="18"/>
        <v>39811.5</v>
      </c>
      <c r="F218" s="625">
        <f>F219+F220</f>
        <v>30376.2</v>
      </c>
      <c r="G218" s="625">
        <f>G219+G220</f>
        <v>0</v>
      </c>
      <c r="H218" s="629">
        <f>H219+H220</f>
        <v>9435.2999999999993</v>
      </c>
      <c r="I218" s="625">
        <f>I219+I220</f>
        <v>0</v>
      </c>
      <c r="J218" s="3014" t="s">
        <v>2764</v>
      </c>
      <c r="K218" s="3010" t="s">
        <v>2765</v>
      </c>
    </row>
    <row r="219" spans="1:12" s="633" customFormat="1" outlineLevel="1">
      <c r="A219" s="3022"/>
      <c r="B219" s="3008"/>
      <c r="C219" s="3007"/>
      <c r="D219" s="624">
        <v>2019</v>
      </c>
      <c r="E219" s="625">
        <f t="shared" si="18"/>
        <v>0</v>
      </c>
      <c r="F219" s="627">
        <v>0</v>
      </c>
      <c r="G219" s="627">
        <v>0</v>
      </c>
      <c r="H219" s="630">
        <v>0</v>
      </c>
      <c r="I219" s="627">
        <v>0</v>
      </c>
      <c r="J219" s="3014"/>
      <c r="K219" s="3010"/>
      <c r="L219" s="635"/>
    </row>
    <row r="220" spans="1:12" s="633" customFormat="1" outlineLevel="1">
      <c r="A220" s="3022"/>
      <c r="B220" s="3008"/>
      <c r="C220" s="3007"/>
      <c r="D220" s="624">
        <v>2020</v>
      </c>
      <c r="E220" s="625">
        <f t="shared" si="18"/>
        <v>39811.5</v>
      </c>
      <c r="F220" s="616">
        <v>30376.2</v>
      </c>
      <c r="G220" s="627">
        <v>0</v>
      </c>
      <c r="H220" s="630">
        <v>9435.2999999999993</v>
      </c>
      <c r="I220" s="627">
        <v>0</v>
      </c>
      <c r="J220" s="3014"/>
      <c r="K220" s="3010"/>
    </row>
    <row r="221" spans="1:12" s="633" customFormat="1" ht="15" customHeight="1" outlineLevel="1">
      <c r="A221" s="3022" t="s">
        <v>263</v>
      </c>
      <c r="B221" s="2993" t="s">
        <v>2766</v>
      </c>
      <c r="C221" s="3007">
        <v>2020</v>
      </c>
      <c r="D221" s="624" t="s">
        <v>8</v>
      </c>
      <c r="E221" s="625">
        <f t="shared" si="18"/>
        <v>56397.4</v>
      </c>
      <c r="F221" s="625">
        <f>F222+F223</f>
        <v>53577.5</v>
      </c>
      <c r="G221" s="625">
        <f>G222+G223</f>
        <v>0</v>
      </c>
      <c r="H221" s="629">
        <f>H222+H223</f>
        <v>2819.9000000000015</v>
      </c>
      <c r="I221" s="625">
        <f>I222+I223</f>
        <v>0</v>
      </c>
      <c r="J221" s="3014" t="s">
        <v>2767</v>
      </c>
      <c r="K221" s="3010" t="s">
        <v>2765</v>
      </c>
    </row>
    <row r="222" spans="1:12" s="633" customFormat="1" outlineLevel="1">
      <c r="A222" s="3022"/>
      <c r="B222" s="2993"/>
      <c r="C222" s="3007"/>
      <c r="D222" s="624">
        <v>2019</v>
      </c>
      <c r="E222" s="625">
        <f t="shared" si="18"/>
        <v>0</v>
      </c>
      <c r="F222" s="627">
        <v>0</v>
      </c>
      <c r="G222" s="627">
        <v>0</v>
      </c>
      <c r="H222" s="630">
        <v>0</v>
      </c>
      <c r="I222" s="627">
        <v>0</v>
      </c>
      <c r="J222" s="3014"/>
      <c r="K222" s="3010"/>
      <c r="L222" s="635"/>
    </row>
    <row r="223" spans="1:12" s="633" customFormat="1" outlineLevel="1">
      <c r="A223" s="3022"/>
      <c r="B223" s="2993"/>
      <c r="C223" s="3007"/>
      <c r="D223" s="624">
        <v>2020</v>
      </c>
      <c r="E223" s="625">
        <f t="shared" si="18"/>
        <v>56397.4</v>
      </c>
      <c r="F223" s="616">
        <v>53577.5</v>
      </c>
      <c r="G223" s="627">
        <v>0</v>
      </c>
      <c r="H223" s="634">
        <v>2819.9000000000015</v>
      </c>
      <c r="I223" s="627">
        <v>0</v>
      </c>
      <c r="J223" s="3014"/>
      <c r="K223" s="3010"/>
    </row>
    <row r="224" spans="1:12" s="633" customFormat="1" outlineLevel="1">
      <c r="A224" s="3022" t="s">
        <v>669</v>
      </c>
      <c r="B224" s="2993" t="s">
        <v>2768</v>
      </c>
      <c r="C224" s="3007">
        <v>2020</v>
      </c>
      <c r="D224" s="624" t="s">
        <v>8</v>
      </c>
      <c r="E224" s="625">
        <f>SUM(F224:I224)</f>
        <v>9000</v>
      </c>
      <c r="F224" s="625">
        <f>F225+F226</f>
        <v>8550</v>
      </c>
      <c r="G224" s="625">
        <f>G225+G226</f>
        <v>0</v>
      </c>
      <c r="H224" s="629">
        <f>H225+H226</f>
        <v>450</v>
      </c>
      <c r="I224" s="625">
        <f>I225+I226</f>
        <v>0</v>
      </c>
      <c r="J224" s="2983" t="s">
        <v>2769</v>
      </c>
      <c r="K224" s="3010" t="s">
        <v>2765</v>
      </c>
    </row>
    <row r="225" spans="1:11" s="633" customFormat="1" outlineLevel="1">
      <c r="A225" s="3022"/>
      <c r="B225" s="2993"/>
      <c r="C225" s="3007"/>
      <c r="D225" s="624">
        <v>2019</v>
      </c>
      <c r="E225" s="625">
        <v>0</v>
      </c>
      <c r="F225" s="627">
        <v>0</v>
      </c>
      <c r="G225" s="627">
        <v>0</v>
      </c>
      <c r="H225" s="630">
        <v>0</v>
      </c>
      <c r="I225" s="627">
        <v>0</v>
      </c>
      <c r="J225" s="2983"/>
      <c r="K225" s="3010"/>
    </row>
    <row r="226" spans="1:11" s="633" customFormat="1" outlineLevel="1">
      <c r="A226" s="3022"/>
      <c r="B226" s="2993"/>
      <c r="C226" s="3007"/>
      <c r="D226" s="624">
        <v>2020</v>
      </c>
      <c r="E226" s="625">
        <v>9000</v>
      </c>
      <c r="F226" s="616">
        <v>8550</v>
      </c>
      <c r="G226" s="627">
        <v>0</v>
      </c>
      <c r="H226" s="634">
        <v>450</v>
      </c>
      <c r="I226" s="627">
        <v>0</v>
      </c>
      <c r="J226" s="2983"/>
      <c r="K226" s="3010"/>
    </row>
    <row r="227" spans="1:11" s="633" customFormat="1" outlineLevel="1">
      <c r="A227" s="2988" t="s">
        <v>295</v>
      </c>
      <c r="B227" s="2969" t="s">
        <v>2770</v>
      </c>
      <c r="C227" s="2970" t="s">
        <v>2658</v>
      </c>
      <c r="D227" s="613" t="s">
        <v>8</v>
      </c>
      <c r="E227" s="614">
        <f>SUM(F227:I227)</f>
        <v>0</v>
      </c>
      <c r="F227" s="614">
        <f>F228+F229</f>
        <v>0</v>
      </c>
      <c r="G227" s="614">
        <f>G228+G229</f>
        <v>0</v>
      </c>
      <c r="H227" s="614">
        <f>H228+H229</f>
        <v>0</v>
      </c>
      <c r="I227" s="614">
        <f>I228+I229</f>
        <v>0</v>
      </c>
      <c r="J227" s="2971" t="s">
        <v>81</v>
      </c>
      <c r="K227" s="2972" t="s">
        <v>297</v>
      </c>
    </row>
    <row r="228" spans="1:11" s="633" customFormat="1" outlineLevel="1">
      <c r="A228" s="2988"/>
      <c r="B228" s="2969"/>
      <c r="C228" s="2970"/>
      <c r="D228" s="613">
        <v>2019</v>
      </c>
      <c r="E228" s="614">
        <f>SUM(F228:I228)</f>
        <v>0</v>
      </c>
      <c r="F228" s="614">
        <v>0</v>
      </c>
      <c r="G228" s="614">
        <v>0</v>
      </c>
      <c r="H228" s="614">
        <v>0</v>
      </c>
      <c r="I228" s="614">
        <v>0</v>
      </c>
      <c r="J228" s="2971"/>
      <c r="K228" s="2972"/>
    </row>
    <row r="229" spans="1:11" s="633" customFormat="1" outlineLevel="1">
      <c r="A229" s="2988"/>
      <c r="B229" s="2969"/>
      <c r="C229" s="2970"/>
      <c r="D229" s="613">
        <v>2020</v>
      </c>
      <c r="E229" s="614">
        <f>SUM(F229:I229)</f>
        <v>0</v>
      </c>
      <c r="F229" s="614">
        <v>0</v>
      </c>
      <c r="G229" s="614">
        <v>0</v>
      </c>
      <c r="H229" s="614">
        <v>0</v>
      </c>
      <c r="I229" s="614">
        <v>0</v>
      </c>
      <c r="J229" s="2971"/>
      <c r="K229" s="2972"/>
    </row>
    <row r="230" spans="1:11" ht="17.100000000000001" customHeight="1" outlineLevel="1">
      <c r="A230" s="2988" t="s">
        <v>617</v>
      </c>
      <c r="B230" s="2969" t="s">
        <v>631</v>
      </c>
      <c r="C230" s="2970" t="s">
        <v>2658</v>
      </c>
      <c r="D230" s="613" t="s">
        <v>8</v>
      </c>
      <c r="E230" s="614">
        <f t="shared" si="18"/>
        <v>1546522.4000000001</v>
      </c>
      <c r="F230" s="614">
        <f>F231+F232</f>
        <v>539478</v>
      </c>
      <c r="G230" s="614">
        <f>G231+G232</f>
        <v>822432.8</v>
      </c>
      <c r="H230" s="614">
        <f>H231+H232</f>
        <v>148611.6</v>
      </c>
      <c r="I230" s="614">
        <f>I231+I232</f>
        <v>36000</v>
      </c>
      <c r="J230" s="2971" t="s">
        <v>81</v>
      </c>
      <c r="K230" s="2972" t="s">
        <v>2771</v>
      </c>
    </row>
    <row r="231" spans="1:11" outlineLevel="1">
      <c r="A231" s="2988"/>
      <c r="B231" s="2969"/>
      <c r="C231" s="2970"/>
      <c r="D231" s="613">
        <v>2019</v>
      </c>
      <c r="E231" s="614">
        <f t="shared" si="18"/>
        <v>609120.5</v>
      </c>
      <c r="F231" s="614">
        <f>F234+F237+F240+F243+F246+F249+F252+F255+F258+F261+F264+F267</f>
        <v>201683.10000000003</v>
      </c>
      <c r="G231" s="614">
        <f t="shared" ref="G231:I232" si="19">G234+G237+G240+G243+G246+G249+G252+G255+G258+G261+G264+G267</f>
        <v>312087.3</v>
      </c>
      <c r="H231" s="614">
        <f t="shared" si="19"/>
        <v>67050.100000000006</v>
      </c>
      <c r="I231" s="614">
        <f t="shared" si="19"/>
        <v>28300</v>
      </c>
      <c r="J231" s="2971"/>
      <c r="K231" s="2972"/>
    </row>
    <row r="232" spans="1:11" outlineLevel="1">
      <c r="A232" s="2988"/>
      <c r="B232" s="2969"/>
      <c r="C232" s="2970"/>
      <c r="D232" s="613">
        <v>2020</v>
      </c>
      <c r="E232" s="614">
        <f>SUM(F232:I232)</f>
        <v>937401.9</v>
      </c>
      <c r="F232" s="614">
        <f>F235+F238+F241+F244+F247+F250+F253+F256+F259+F262+F265+F268</f>
        <v>337794.9</v>
      </c>
      <c r="G232" s="614">
        <f>G235+G238+G241+G244+G247+G250+G253+G256+G259+G262+G265+G268</f>
        <v>510345.5</v>
      </c>
      <c r="H232" s="614">
        <f>H235+H238+H241+H244+H247+H250+H253+H256+H259+H262+H265+H268</f>
        <v>81561.5</v>
      </c>
      <c r="I232" s="614">
        <f t="shared" si="19"/>
        <v>7700</v>
      </c>
      <c r="J232" s="2971"/>
      <c r="K232" s="2972"/>
    </row>
    <row r="233" spans="1:11" s="10" customFormat="1" ht="13.5" customHeight="1" outlineLevel="1">
      <c r="A233" s="3007" t="s">
        <v>2772</v>
      </c>
      <c r="B233" s="3008" t="s">
        <v>2773</v>
      </c>
      <c r="C233" s="3009">
        <v>2019</v>
      </c>
      <c r="D233" s="624" t="s">
        <v>8</v>
      </c>
      <c r="E233" s="625">
        <f t="shared" si="18"/>
        <v>8000</v>
      </c>
      <c r="F233" s="625">
        <f>F234+F235</f>
        <v>2320</v>
      </c>
      <c r="G233" s="625">
        <f>G234+G235</f>
        <v>5680</v>
      </c>
      <c r="H233" s="625">
        <f>H234+H235</f>
        <v>0</v>
      </c>
      <c r="I233" s="625">
        <f>I234+I235</f>
        <v>0</v>
      </c>
      <c r="J233" s="3010" t="s">
        <v>2774</v>
      </c>
      <c r="K233" s="3010" t="s">
        <v>89</v>
      </c>
    </row>
    <row r="234" spans="1:11" s="12" customFormat="1" ht="14.25" customHeight="1" outlineLevel="1">
      <c r="A234" s="3007"/>
      <c r="B234" s="3008"/>
      <c r="C234" s="3009"/>
      <c r="D234" s="624">
        <v>2019</v>
      </c>
      <c r="E234" s="625">
        <f t="shared" si="18"/>
        <v>8000</v>
      </c>
      <c r="F234" s="627">
        <v>2320</v>
      </c>
      <c r="G234" s="627">
        <v>5680</v>
      </c>
      <c r="H234" s="627">
        <v>0</v>
      </c>
      <c r="I234" s="627">
        <v>0</v>
      </c>
      <c r="J234" s="3010"/>
      <c r="K234" s="3010"/>
    </row>
    <row r="235" spans="1:11" s="12" customFormat="1" ht="14.25" customHeight="1" outlineLevel="1">
      <c r="A235" s="3007"/>
      <c r="B235" s="3008"/>
      <c r="C235" s="3009"/>
      <c r="D235" s="624">
        <v>2020</v>
      </c>
      <c r="E235" s="625">
        <f t="shared" si="18"/>
        <v>0</v>
      </c>
      <c r="F235" s="627">
        <v>0</v>
      </c>
      <c r="G235" s="627">
        <v>0</v>
      </c>
      <c r="H235" s="627">
        <v>0</v>
      </c>
      <c r="I235" s="627">
        <v>0</v>
      </c>
      <c r="J235" s="3010"/>
      <c r="K235" s="3010"/>
    </row>
    <row r="236" spans="1:11" s="626" customFormat="1" ht="13.5" customHeight="1" outlineLevel="1">
      <c r="A236" s="3007" t="s">
        <v>2775</v>
      </c>
      <c r="B236" s="3008" t="s">
        <v>286</v>
      </c>
      <c r="C236" s="3009">
        <v>2019</v>
      </c>
      <c r="D236" s="624" t="s">
        <v>8</v>
      </c>
      <c r="E236" s="625">
        <f t="shared" si="18"/>
        <v>101000</v>
      </c>
      <c r="F236" s="625">
        <f>F237+F238</f>
        <v>24326.5</v>
      </c>
      <c r="G236" s="625">
        <f>G237+G238</f>
        <v>59557.9</v>
      </c>
      <c r="H236" s="625">
        <f>H237+H238</f>
        <v>17115.599999999999</v>
      </c>
      <c r="I236" s="625">
        <f>I237+I238</f>
        <v>0</v>
      </c>
      <c r="J236" s="3010" t="s">
        <v>2776</v>
      </c>
      <c r="K236" s="3010" t="s">
        <v>90</v>
      </c>
    </row>
    <row r="237" spans="1:11" s="626" customFormat="1" ht="14.25" customHeight="1" outlineLevel="1">
      <c r="A237" s="3007"/>
      <c r="B237" s="3008"/>
      <c r="C237" s="3009"/>
      <c r="D237" s="624">
        <v>2019</v>
      </c>
      <c r="E237" s="625">
        <f t="shared" si="18"/>
        <v>101000</v>
      </c>
      <c r="F237" s="627">
        <v>24326.5</v>
      </c>
      <c r="G237" s="627">
        <v>59557.9</v>
      </c>
      <c r="H237" s="627">
        <v>17115.599999999999</v>
      </c>
      <c r="I237" s="627">
        <v>0</v>
      </c>
      <c r="J237" s="3010"/>
      <c r="K237" s="3010"/>
    </row>
    <row r="238" spans="1:11" s="626" customFormat="1" ht="12.75" outlineLevel="1">
      <c r="A238" s="3007"/>
      <c r="B238" s="3008"/>
      <c r="C238" s="3009"/>
      <c r="D238" s="624">
        <v>2020</v>
      </c>
      <c r="E238" s="625">
        <f t="shared" si="18"/>
        <v>0</v>
      </c>
      <c r="F238" s="627">
        <v>0</v>
      </c>
      <c r="G238" s="627">
        <v>0</v>
      </c>
      <c r="H238" s="627">
        <v>0</v>
      </c>
      <c r="I238" s="627">
        <v>0</v>
      </c>
      <c r="J238" s="3010"/>
      <c r="K238" s="3010"/>
    </row>
    <row r="239" spans="1:11" s="626" customFormat="1" ht="13.5" customHeight="1" outlineLevel="1">
      <c r="A239" s="3007" t="s">
        <v>641</v>
      </c>
      <c r="B239" s="3008" t="s">
        <v>642</v>
      </c>
      <c r="C239" s="3009" t="s">
        <v>2658</v>
      </c>
      <c r="D239" s="624" t="s">
        <v>8</v>
      </c>
      <c r="E239" s="625">
        <f t="shared" si="18"/>
        <v>374500.4</v>
      </c>
      <c r="F239" s="625">
        <f>F240+F241</f>
        <v>151461.40000000002</v>
      </c>
      <c r="G239" s="625">
        <f>G240+G241</f>
        <v>223039</v>
      </c>
      <c r="H239" s="625">
        <f>H240+H241</f>
        <v>0</v>
      </c>
      <c r="I239" s="625">
        <f>I240+I241</f>
        <v>0</v>
      </c>
      <c r="J239" s="3010" t="s">
        <v>2777</v>
      </c>
      <c r="K239" s="3010" t="s">
        <v>89</v>
      </c>
    </row>
    <row r="240" spans="1:11" s="626" customFormat="1" ht="14.25" customHeight="1" outlineLevel="1">
      <c r="A240" s="3007"/>
      <c r="B240" s="3008"/>
      <c r="C240" s="3009"/>
      <c r="D240" s="624">
        <v>2019</v>
      </c>
      <c r="E240" s="625">
        <f t="shared" si="18"/>
        <v>88528.6</v>
      </c>
      <c r="F240" s="627">
        <v>68528.600000000006</v>
      </c>
      <c r="G240" s="627">
        <v>20000</v>
      </c>
      <c r="H240" s="627">
        <v>0</v>
      </c>
      <c r="I240" s="627">
        <v>0</v>
      </c>
      <c r="J240" s="3010"/>
      <c r="K240" s="3010"/>
    </row>
    <row r="241" spans="1:11" s="626" customFormat="1" ht="14.25" customHeight="1" outlineLevel="1">
      <c r="A241" s="3007"/>
      <c r="B241" s="3008"/>
      <c r="C241" s="3009"/>
      <c r="D241" s="624">
        <v>2020</v>
      </c>
      <c r="E241" s="625">
        <f t="shared" si="18"/>
        <v>285971.8</v>
      </c>
      <c r="F241" s="627">
        <v>82932.800000000003</v>
      </c>
      <c r="G241" s="627">
        <v>203039</v>
      </c>
      <c r="H241" s="627">
        <v>0</v>
      </c>
      <c r="I241" s="627">
        <v>0</v>
      </c>
      <c r="J241" s="3010"/>
      <c r="K241" s="3010"/>
    </row>
    <row r="242" spans="1:11" s="633" customFormat="1" ht="15" customHeight="1" outlineLevel="1">
      <c r="A242" s="3007" t="s">
        <v>2778</v>
      </c>
      <c r="B242" s="3008" t="s">
        <v>2779</v>
      </c>
      <c r="C242" s="3009">
        <v>2019</v>
      </c>
      <c r="D242" s="624" t="s">
        <v>8</v>
      </c>
      <c r="E242" s="625">
        <f t="shared" si="18"/>
        <v>9265.2000000000007</v>
      </c>
      <c r="F242" s="625">
        <f>F243+F244</f>
        <v>2686.9</v>
      </c>
      <c r="G242" s="625">
        <f>G243+G244</f>
        <v>6578.3</v>
      </c>
      <c r="H242" s="625">
        <f>H243+H244</f>
        <v>0</v>
      </c>
      <c r="I242" s="625">
        <f>I243+I244</f>
        <v>0</v>
      </c>
      <c r="J242" s="3010" t="s">
        <v>2715</v>
      </c>
      <c r="K242" s="3010" t="s">
        <v>89</v>
      </c>
    </row>
    <row r="243" spans="1:11" s="633" customFormat="1" outlineLevel="1">
      <c r="A243" s="3007"/>
      <c r="B243" s="3008"/>
      <c r="C243" s="3009"/>
      <c r="D243" s="624">
        <v>2019</v>
      </c>
      <c r="E243" s="625">
        <f t="shared" si="18"/>
        <v>9265.2000000000007</v>
      </c>
      <c r="F243" s="627">
        <v>2686.9</v>
      </c>
      <c r="G243" s="627">
        <v>6578.3</v>
      </c>
      <c r="H243" s="627">
        <v>0</v>
      </c>
      <c r="I243" s="627">
        <v>0</v>
      </c>
      <c r="J243" s="3010"/>
      <c r="K243" s="3010"/>
    </row>
    <row r="244" spans="1:11" s="633" customFormat="1" outlineLevel="1">
      <c r="A244" s="3007"/>
      <c r="B244" s="3008"/>
      <c r="C244" s="3009"/>
      <c r="D244" s="624">
        <v>2020</v>
      </c>
      <c r="E244" s="625">
        <f t="shared" si="18"/>
        <v>0</v>
      </c>
      <c r="F244" s="627">
        <v>0</v>
      </c>
      <c r="G244" s="627">
        <v>0</v>
      </c>
      <c r="H244" s="627">
        <v>0</v>
      </c>
      <c r="I244" s="627">
        <v>0</v>
      </c>
      <c r="J244" s="3010"/>
      <c r="K244" s="3010"/>
    </row>
    <row r="245" spans="1:11" s="626" customFormat="1" ht="13.5" customHeight="1" outlineLevel="1">
      <c r="A245" s="3007" t="s">
        <v>643</v>
      </c>
      <c r="B245" s="3008" t="s">
        <v>644</v>
      </c>
      <c r="C245" s="3009" t="s">
        <v>2658</v>
      </c>
      <c r="D245" s="624" t="s">
        <v>8</v>
      </c>
      <c r="E245" s="625">
        <f t="shared" si="18"/>
        <v>294615.40000000002</v>
      </c>
      <c r="F245" s="625">
        <f>F246+F247</f>
        <v>113408.2</v>
      </c>
      <c r="G245" s="625">
        <f>G246+G247</f>
        <v>181207.2</v>
      </c>
      <c r="H245" s="625">
        <f>H246+H247</f>
        <v>0</v>
      </c>
      <c r="I245" s="625">
        <f>I246+I247</f>
        <v>0</v>
      </c>
      <c r="J245" s="3023" t="s">
        <v>2780</v>
      </c>
      <c r="K245" s="3010" t="s">
        <v>2781</v>
      </c>
    </row>
    <row r="246" spans="1:11" s="626" customFormat="1" ht="14.25" customHeight="1" outlineLevel="1">
      <c r="A246" s="3007"/>
      <c r="B246" s="3008"/>
      <c r="C246" s="3009"/>
      <c r="D246" s="624">
        <v>2019</v>
      </c>
      <c r="E246" s="625">
        <f t="shared" si="18"/>
        <v>158588.59999999998</v>
      </c>
      <c r="F246" s="627">
        <v>45990.7</v>
      </c>
      <c r="G246" s="627">
        <v>112597.9</v>
      </c>
      <c r="H246" s="627">
        <v>0</v>
      </c>
      <c r="I246" s="627">
        <v>0</v>
      </c>
      <c r="J246" s="3023"/>
      <c r="K246" s="3010"/>
    </row>
    <row r="247" spans="1:11" s="626" customFormat="1" ht="14.25" customHeight="1" outlineLevel="1">
      <c r="A247" s="3007"/>
      <c r="B247" s="3008"/>
      <c r="C247" s="3009"/>
      <c r="D247" s="624">
        <v>2020</v>
      </c>
      <c r="E247" s="625">
        <f t="shared" si="18"/>
        <v>136026.79999999999</v>
      </c>
      <c r="F247" s="630">
        <f>29906.3+37511.2</f>
        <v>67417.5</v>
      </c>
      <c r="G247" s="627">
        <v>68609.3</v>
      </c>
      <c r="H247" s="627">
        <v>0</v>
      </c>
      <c r="I247" s="627">
        <v>0</v>
      </c>
      <c r="J247" s="3023"/>
      <c r="K247" s="3010"/>
    </row>
    <row r="248" spans="1:11" s="2" customFormat="1" ht="16.5" customHeight="1" outlineLevel="1">
      <c r="A248" s="1951" t="s">
        <v>2782</v>
      </c>
      <c r="B248" s="3024" t="s">
        <v>2783</v>
      </c>
      <c r="C248" s="1951">
        <v>2019</v>
      </c>
      <c r="D248" s="452" t="s">
        <v>8</v>
      </c>
      <c r="E248" s="13">
        <f t="shared" si="18"/>
        <v>42553.2</v>
      </c>
      <c r="F248" s="13">
        <f>F249+F250</f>
        <v>2553.1999999999998</v>
      </c>
      <c r="G248" s="13">
        <f>G249+G250</f>
        <v>40000</v>
      </c>
      <c r="H248" s="13">
        <f>H249+H250</f>
        <v>0</v>
      </c>
      <c r="I248" s="13">
        <f>I249+I250</f>
        <v>0</v>
      </c>
      <c r="J248" s="1990" t="s">
        <v>2784</v>
      </c>
      <c r="K248" s="1990" t="s">
        <v>2710</v>
      </c>
    </row>
    <row r="249" spans="1:11" s="2" customFormat="1" ht="17.100000000000001" customHeight="1" outlineLevel="1">
      <c r="A249" s="1951"/>
      <c r="B249" s="3024"/>
      <c r="C249" s="1951"/>
      <c r="D249" s="452">
        <v>2019</v>
      </c>
      <c r="E249" s="13">
        <f t="shared" si="18"/>
        <v>42553.2</v>
      </c>
      <c r="F249" s="615">
        <v>2553.1999999999998</v>
      </c>
      <c r="G249" s="615">
        <v>40000</v>
      </c>
      <c r="H249" s="615">
        <v>0</v>
      </c>
      <c r="I249" s="615">
        <v>0</v>
      </c>
      <c r="J249" s="1990"/>
      <c r="K249" s="1990"/>
    </row>
    <row r="250" spans="1:11" s="95" customFormat="1" ht="17.100000000000001" customHeight="1" outlineLevel="1">
      <c r="A250" s="1951"/>
      <c r="B250" s="3024"/>
      <c r="C250" s="1951"/>
      <c r="D250" s="452">
        <v>2020</v>
      </c>
      <c r="E250" s="13">
        <f t="shared" ref="E250:E276" si="20">SUM(F250:I250)</f>
        <v>0</v>
      </c>
      <c r="F250" s="615">
        <v>0</v>
      </c>
      <c r="G250" s="615">
        <v>0</v>
      </c>
      <c r="H250" s="615">
        <v>0</v>
      </c>
      <c r="I250" s="615">
        <v>0</v>
      </c>
      <c r="J250" s="1990"/>
      <c r="K250" s="1990"/>
    </row>
    <row r="251" spans="1:11" s="637" customFormat="1" ht="15" customHeight="1" outlineLevel="1">
      <c r="A251" s="3007" t="s">
        <v>645</v>
      </c>
      <c r="B251" s="3008" t="s">
        <v>640</v>
      </c>
      <c r="C251" s="3009" t="s">
        <v>2658</v>
      </c>
      <c r="D251" s="624" t="s">
        <v>8</v>
      </c>
      <c r="E251" s="625">
        <f t="shared" si="20"/>
        <v>319568.90000000002</v>
      </c>
      <c r="F251" s="625">
        <f>F252+F253</f>
        <v>83316</v>
      </c>
      <c r="G251" s="625">
        <f>G252+G253</f>
        <v>116936.9</v>
      </c>
      <c r="H251" s="625">
        <f>H252+H253</f>
        <v>83316</v>
      </c>
      <c r="I251" s="625">
        <f>I252+I253</f>
        <v>36000</v>
      </c>
      <c r="J251" s="3010" t="s">
        <v>2785</v>
      </c>
      <c r="K251" s="3010" t="s">
        <v>2786</v>
      </c>
    </row>
    <row r="252" spans="1:11" s="637" customFormat="1" outlineLevel="1">
      <c r="A252" s="3007"/>
      <c r="B252" s="3008"/>
      <c r="C252" s="3009"/>
      <c r="D252" s="624">
        <v>2019</v>
      </c>
      <c r="E252" s="625">
        <f t="shared" si="20"/>
        <v>194936.2</v>
      </c>
      <c r="F252" s="627">
        <v>49481.5</v>
      </c>
      <c r="G252" s="627">
        <v>67673.2</v>
      </c>
      <c r="H252" s="627">
        <v>49481.5</v>
      </c>
      <c r="I252" s="640">
        <v>28300</v>
      </c>
      <c r="J252" s="3010"/>
      <c r="K252" s="3010"/>
    </row>
    <row r="253" spans="1:11" s="637" customFormat="1" outlineLevel="1">
      <c r="A253" s="3007"/>
      <c r="B253" s="3008"/>
      <c r="C253" s="3009"/>
      <c r="D253" s="624">
        <v>2020</v>
      </c>
      <c r="E253" s="625">
        <f t="shared" si="20"/>
        <v>124632.7</v>
      </c>
      <c r="F253" s="641">
        <v>33834.5</v>
      </c>
      <c r="G253" s="627">
        <v>49263.7</v>
      </c>
      <c r="H253" s="642">
        <v>33834.5</v>
      </c>
      <c r="I253" s="630">
        <v>7700</v>
      </c>
      <c r="J253" s="3010"/>
      <c r="K253" s="3010"/>
    </row>
    <row r="254" spans="1:11" s="2" customFormat="1" ht="15" customHeight="1" outlineLevel="1">
      <c r="A254" s="1951" t="s">
        <v>646</v>
      </c>
      <c r="B254" s="2985" t="s">
        <v>670</v>
      </c>
      <c r="C254" s="1951">
        <v>2020</v>
      </c>
      <c r="D254" s="452" t="s">
        <v>8</v>
      </c>
      <c r="E254" s="13">
        <f t="shared" si="20"/>
        <v>27027</v>
      </c>
      <c r="F254" s="13">
        <f>F255+F256</f>
        <v>25000</v>
      </c>
      <c r="G254" s="13">
        <f>G255+G256</f>
        <v>0</v>
      </c>
      <c r="H254" s="13">
        <f>H255+H256</f>
        <v>2027</v>
      </c>
      <c r="I254" s="13">
        <f>I255+I256</f>
        <v>0</v>
      </c>
      <c r="J254" s="1990" t="s">
        <v>2787</v>
      </c>
      <c r="K254" s="1990" t="s">
        <v>2710</v>
      </c>
    </row>
    <row r="255" spans="1:11" s="2" customFormat="1" outlineLevel="1">
      <c r="A255" s="1951"/>
      <c r="B255" s="2985"/>
      <c r="C255" s="1951"/>
      <c r="D255" s="452">
        <v>2019</v>
      </c>
      <c r="E255" s="13">
        <f t="shared" si="20"/>
        <v>0</v>
      </c>
      <c r="F255" s="615">
        <v>0</v>
      </c>
      <c r="G255" s="615">
        <v>0</v>
      </c>
      <c r="H255" s="615">
        <v>0</v>
      </c>
      <c r="I255" s="615">
        <v>0</v>
      </c>
      <c r="J255" s="1990"/>
      <c r="K255" s="1990"/>
    </row>
    <row r="256" spans="1:11" s="619" customFormat="1" outlineLevel="1">
      <c r="A256" s="1951"/>
      <c r="B256" s="2985"/>
      <c r="C256" s="1951"/>
      <c r="D256" s="452">
        <v>2020</v>
      </c>
      <c r="E256" s="13">
        <f t="shared" si="20"/>
        <v>27027</v>
      </c>
      <c r="F256" s="615">
        <v>25000</v>
      </c>
      <c r="G256" s="615">
        <v>0</v>
      </c>
      <c r="H256" s="615">
        <v>2027</v>
      </c>
      <c r="I256" s="615">
        <v>0</v>
      </c>
      <c r="J256" s="1990"/>
      <c r="K256" s="1990"/>
    </row>
    <row r="257" spans="1:11" s="631" customFormat="1" ht="15" customHeight="1" outlineLevel="1">
      <c r="A257" s="2976" t="s">
        <v>2788</v>
      </c>
      <c r="B257" s="2991" t="s">
        <v>2789</v>
      </c>
      <c r="C257" s="2976">
        <v>2019</v>
      </c>
      <c r="D257" s="37" t="s">
        <v>8</v>
      </c>
      <c r="E257" s="622">
        <f t="shared" si="20"/>
        <v>2198.6999999999998</v>
      </c>
      <c r="F257" s="622">
        <f>F258+F259</f>
        <v>1745.7</v>
      </c>
      <c r="G257" s="622">
        <f>G258+G259</f>
        <v>0</v>
      </c>
      <c r="H257" s="622">
        <f>H258+H259</f>
        <v>453</v>
      </c>
      <c r="I257" s="622">
        <f>I258+I259</f>
        <v>0</v>
      </c>
      <c r="J257" s="3015" t="s">
        <v>2790</v>
      </c>
      <c r="K257" s="3015" t="s">
        <v>2710</v>
      </c>
    </row>
    <row r="258" spans="1:11" s="631" customFormat="1" outlineLevel="1">
      <c r="A258" s="2976"/>
      <c r="B258" s="2991"/>
      <c r="C258" s="2976"/>
      <c r="D258" s="37">
        <v>2019</v>
      </c>
      <c r="E258" s="622">
        <f t="shared" si="20"/>
        <v>2198.6999999999998</v>
      </c>
      <c r="F258" s="632">
        <v>1745.7</v>
      </c>
      <c r="G258" s="623">
        <v>0</v>
      </c>
      <c r="H258" s="623">
        <v>453</v>
      </c>
      <c r="I258" s="623">
        <v>0</v>
      </c>
      <c r="J258" s="3015"/>
      <c r="K258" s="3015"/>
    </row>
    <row r="259" spans="1:11" s="631" customFormat="1" outlineLevel="1">
      <c r="A259" s="2976"/>
      <c r="B259" s="2991"/>
      <c r="C259" s="2976"/>
      <c r="D259" s="37">
        <v>2020</v>
      </c>
      <c r="E259" s="622">
        <f t="shared" si="20"/>
        <v>0</v>
      </c>
      <c r="F259" s="623">
        <v>0</v>
      </c>
      <c r="G259" s="623">
        <v>0</v>
      </c>
      <c r="H259" s="623">
        <v>0</v>
      </c>
      <c r="I259" s="623">
        <v>0</v>
      </c>
      <c r="J259" s="3015"/>
      <c r="K259" s="3015"/>
    </row>
    <row r="260" spans="1:11" s="643" customFormat="1" ht="12.75" outlineLevel="1">
      <c r="A260" s="1950" t="s">
        <v>647</v>
      </c>
      <c r="B260" s="2985" t="s">
        <v>215</v>
      </c>
      <c r="C260" s="2986" t="s">
        <v>2658</v>
      </c>
      <c r="D260" s="452" t="s">
        <v>8</v>
      </c>
      <c r="E260" s="13">
        <f t="shared" si="20"/>
        <v>8100</v>
      </c>
      <c r="F260" s="13">
        <f>F261+F262</f>
        <v>8100</v>
      </c>
      <c r="G260" s="13">
        <f>G261+G262</f>
        <v>0</v>
      </c>
      <c r="H260" s="13">
        <f>H261+H262</f>
        <v>0</v>
      </c>
      <c r="I260" s="13">
        <f>I261+I262</f>
        <v>0</v>
      </c>
      <c r="J260" s="1990" t="s">
        <v>2791</v>
      </c>
      <c r="K260" s="1990" t="s">
        <v>2656</v>
      </c>
    </row>
    <row r="261" spans="1:11" s="643" customFormat="1" ht="12.75" outlineLevel="1">
      <c r="A261" s="1951"/>
      <c r="B261" s="2985"/>
      <c r="C261" s="2986"/>
      <c r="D261" s="452">
        <v>2019</v>
      </c>
      <c r="E261" s="13">
        <f t="shared" si="20"/>
        <v>4050</v>
      </c>
      <c r="F261" s="615">
        <v>4050</v>
      </c>
      <c r="G261" s="615">
        <v>0</v>
      </c>
      <c r="H261" s="615">
        <v>0</v>
      </c>
      <c r="I261" s="615">
        <v>0</v>
      </c>
      <c r="J261" s="1990"/>
      <c r="K261" s="1990"/>
    </row>
    <row r="262" spans="1:11" s="643" customFormat="1" ht="12.75" outlineLevel="1">
      <c r="A262" s="1951"/>
      <c r="B262" s="2985"/>
      <c r="C262" s="2986"/>
      <c r="D262" s="452">
        <v>2020</v>
      </c>
      <c r="E262" s="13">
        <f t="shared" si="20"/>
        <v>4050</v>
      </c>
      <c r="F262" s="615">
        <v>4050</v>
      </c>
      <c r="G262" s="615">
        <v>0</v>
      </c>
      <c r="H262" s="615">
        <v>0</v>
      </c>
      <c r="I262" s="615">
        <v>0</v>
      </c>
      <c r="J262" s="1990"/>
      <c r="K262" s="1990"/>
    </row>
    <row r="263" spans="1:11" s="626" customFormat="1" ht="13.5" customHeight="1" outlineLevel="1">
      <c r="A263" s="3007" t="s">
        <v>648</v>
      </c>
      <c r="B263" s="3011" t="s">
        <v>637</v>
      </c>
      <c r="C263" s="3009">
        <v>2020</v>
      </c>
      <c r="D263" s="624" t="s">
        <v>8</v>
      </c>
      <c r="E263" s="625">
        <f t="shared" si="20"/>
        <v>201919.7</v>
      </c>
      <c r="F263" s="625">
        <f>F264+F265</f>
        <v>78860.100000000006</v>
      </c>
      <c r="G263" s="625">
        <f>G264+G265</f>
        <v>123059.6</v>
      </c>
      <c r="H263" s="625">
        <f>H264+H265</f>
        <v>0</v>
      </c>
      <c r="I263" s="625">
        <f>I264+I265</f>
        <v>0</v>
      </c>
      <c r="J263" s="3023" t="s">
        <v>2792</v>
      </c>
      <c r="K263" s="3010" t="s">
        <v>89</v>
      </c>
    </row>
    <row r="264" spans="1:11" s="626" customFormat="1" ht="14.25" customHeight="1" outlineLevel="1">
      <c r="A264" s="3007"/>
      <c r="B264" s="3011"/>
      <c r="C264" s="3009"/>
      <c r="D264" s="624">
        <v>2019</v>
      </c>
      <c r="E264" s="625">
        <f t="shared" si="20"/>
        <v>0</v>
      </c>
      <c r="F264" s="627">
        <v>0</v>
      </c>
      <c r="G264" s="627">
        <v>0</v>
      </c>
      <c r="H264" s="627">
        <v>0</v>
      </c>
      <c r="I264" s="627">
        <v>0</v>
      </c>
      <c r="J264" s="3023"/>
      <c r="K264" s="3010"/>
    </row>
    <row r="265" spans="1:11" s="626" customFormat="1" ht="10.5" customHeight="1" outlineLevel="1">
      <c r="A265" s="3007"/>
      <c r="B265" s="3011"/>
      <c r="C265" s="3009"/>
      <c r="D265" s="624">
        <v>2020</v>
      </c>
      <c r="E265" s="625">
        <f t="shared" si="20"/>
        <v>201919.7</v>
      </c>
      <c r="F265" s="630">
        <v>78860.100000000006</v>
      </c>
      <c r="G265" s="627">
        <v>123059.6</v>
      </c>
      <c r="H265" s="630">
        <v>0</v>
      </c>
      <c r="I265" s="627">
        <v>0</v>
      </c>
      <c r="J265" s="3023"/>
      <c r="K265" s="3010"/>
    </row>
    <row r="266" spans="1:11" s="626" customFormat="1" ht="13.5" customHeight="1" outlineLevel="1">
      <c r="A266" s="3007" t="s">
        <v>671</v>
      </c>
      <c r="B266" s="3011" t="s">
        <v>2698</v>
      </c>
      <c r="C266" s="3009">
        <v>2020</v>
      </c>
      <c r="D266" s="624" t="s">
        <v>8</v>
      </c>
      <c r="E266" s="625">
        <f t="shared" si="20"/>
        <v>157773.9</v>
      </c>
      <c r="F266" s="625">
        <f>F267+F268</f>
        <v>45700</v>
      </c>
      <c r="G266" s="625">
        <f>G267+G268</f>
        <v>66373.899999999994</v>
      </c>
      <c r="H266" s="625">
        <f>H267+H268</f>
        <v>45700</v>
      </c>
      <c r="I266" s="625">
        <f>I267+I268</f>
        <v>0</v>
      </c>
      <c r="J266" s="3010" t="s">
        <v>2793</v>
      </c>
      <c r="K266" s="3010" t="s">
        <v>2700</v>
      </c>
    </row>
    <row r="267" spans="1:11" s="626" customFormat="1" ht="14.25" customHeight="1" outlineLevel="1">
      <c r="A267" s="3007"/>
      <c r="B267" s="3011"/>
      <c r="C267" s="3009"/>
      <c r="D267" s="624">
        <v>2019</v>
      </c>
      <c r="E267" s="625">
        <f t="shared" si="20"/>
        <v>0</v>
      </c>
      <c r="F267" s="627">
        <v>0</v>
      </c>
      <c r="G267" s="627">
        <v>0</v>
      </c>
      <c r="H267" s="627">
        <v>0</v>
      </c>
      <c r="I267" s="627">
        <v>0</v>
      </c>
      <c r="J267" s="3010"/>
      <c r="K267" s="3010"/>
    </row>
    <row r="268" spans="1:11" s="626" customFormat="1" ht="14.25" customHeight="1" outlineLevel="1">
      <c r="A268" s="3007"/>
      <c r="B268" s="3011"/>
      <c r="C268" s="3009"/>
      <c r="D268" s="624">
        <v>2020</v>
      </c>
      <c r="E268" s="625">
        <f t="shared" si="20"/>
        <v>157773.9</v>
      </c>
      <c r="F268" s="627">
        <f>36289+9411</f>
        <v>45700</v>
      </c>
      <c r="G268" s="627">
        <v>66373.899999999994</v>
      </c>
      <c r="H268" s="630">
        <v>45700</v>
      </c>
      <c r="I268" s="627">
        <v>0</v>
      </c>
      <c r="J268" s="3010"/>
      <c r="K268" s="3010"/>
    </row>
    <row r="269" spans="1:11">
      <c r="A269" s="2963" t="s">
        <v>129</v>
      </c>
      <c r="B269" s="2964" t="s">
        <v>2794</v>
      </c>
      <c r="C269" s="2965" t="s">
        <v>2658</v>
      </c>
      <c r="D269" s="611" t="s">
        <v>8</v>
      </c>
      <c r="E269" s="612">
        <f t="shared" si="20"/>
        <v>75970.7</v>
      </c>
      <c r="F269" s="612">
        <f>F270+F271</f>
        <v>75970.7</v>
      </c>
      <c r="G269" s="644">
        <f>G270+G271</f>
        <v>0</v>
      </c>
      <c r="H269" s="644">
        <f>H270+H271</f>
        <v>0</v>
      </c>
      <c r="I269" s="644">
        <f>I270+I271</f>
        <v>0</v>
      </c>
      <c r="J269" s="3025"/>
      <c r="K269" s="2967" t="s">
        <v>2656</v>
      </c>
    </row>
    <row r="270" spans="1:11">
      <c r="A270" s="2963"/>
      <c r="B270" s="2964"/>
      <c r="C270" s="2965"/>
      <c r="D270" s="611">
        <v>2019</v>
      </c>
      <c r="E270" s="612">
        <f t="shared" si="20"/>
        <v>29163.3</v>
      </c>
      <c r="F270" s="644">
        <f>SUM(F273)</f>
        <v>29163.3</v>
      </c>
      <c r="G270" s="644">
        <v>0</v>
      </c>
      <c r="H270" s="644">
        <v>0</v>
      </c>
      <c r="I270" s="644">
        <v>0</v>
      </c>
      <c r="J270" s="3025"/>
      <c r="K270" s="2967"/>
    </row>
    <row r="271" spans="1:11">
      <c r="A271" s="2963"/>
      <c r="B271" s="2964"/>
      <c r="C271" s="2965"/>
      <c r="D271" s="611">
        <v>2020</v>
      </c>
      <c r="E271" s="612">
        <f t="shared" si="20"/>
        <v>46807.4</v>
      </c>
      <c r="F271" s="644">
        <f>SUM(F274)</f>
        <v>46807.4</v>
      </c>
      <c r="G271" s="644">
        <v>0</v>
      </c>
      <c r="H271" s="644">
        <v>0</v>
      </c>
      <c r="I271" s="644">
        <v>0</v>
      </c>
      <c r="J271" s="3025"/>
      <c r="K271" s="2967"/>
    </row>
    <row r="272" spans="1:11">
      <c r="A272" s="1951" t="s">
        <v>131</v>
      </c>
      <c r="B272" s="2985" t="s">
        <v>132</v>
      </c>
      <c r="C272" s="2986" t="s">
        <v>2658</v>
      </c>
      <c r="D272" s="452" t="s">
        <v>8</v>
      </c>
      <c r="E272" s="13">
        <f t="shared" si="20"/>
        <v>75970.7</v>
      </c>
      <c r="F272" s="13">
        <f>F273+F274</f>
        <v>75970.7</v>
      </c>
      <c r="G272" s="13">
        <f>G273+G274</f>
        <v>0</v>
      </c>
      <c r="H272" s="13">
        <f>H273+H274</f>
        <v>0</v>
      </c>
      <c r="I272" s="13">
        <f>I273+I274</f>
        <v>0</v>
      </c>
      <c r="J272" s="1990" t="s">
        <v>133</v>
      </c>
      <c r="K272" s="1990" t="s">
        <v>2656</v>
      </c>
    </row>
    <row r="273" spans="1:11">
      <c r="A273" s="1951"/>
      <c r="B273" s="2985"/>
      <c r="C273" s="2986"/>
      <c r="D273" s="452">
        <v>2019</v>
      </c>
      <c r="E273" s="13">
        <f t="shared" si="20"/>
        <v>29163.3</v>
      </c>
      <c r="F273" s="615">
        <f>SUM(F276)</f>
        <v>29163.3</v>
      </c>
      <c r="G273" s="615">
        <f t="shared" ref="F273:I274" si="21">SUM(G276)</f>
        <v>0</v>
      </c>
      <c r="H273" s="615">
        <f t="shared" si="21"/>
        <v>0</v>
      </c>
      <c r="I273" s="615">
        <f t="shared" si="21"/>
        <v>0</v>
      </c>
      <c r="J273" s="1990"/>
      <c r="K273" s="1990"/>
    </row>
    <row r="274" spans="1:11">
      <c r="A274" s="1951"/>
      <c r="B274" s="2985"/>
      <c r="C274" s="2986"/>
      <c r="D274" s="452">
        <v>2020</v>
      </c>
      <c r="E274" s="13">
        <f t="shared" si="20"/>
        <v>46807.4</v>
      </c>
      <c r="F274" s="615">
        <f t="shared" si="21"/>
        <v>46807.4</v>
      </c>
      <c r="G274" s="615">
        <f t="shared" si="21"/>
        <v>0</v>
      </c>
      <c r="H274" s="615">
        <f t="shared" si="21"/>
        <v>0</v>
      </c>
      <c r="I274" s="615">
        <f t="shared" si="21"/>
        <v>0</v>
      </c>
      <c r="J274" s="1990"/>
      <c r="K274" s="1990"/>
    </row>
    <row r="275" spans="1:11">
      <c r="A275" s="1951" t="s">
        <v>134</v>
      </c>
      <c r="B275" s="2985" t="s">
        <v>673</v>
      </c>
      <c r="C275" s="2986" t="s">
        <v>2658</v>
      </c>
      <c r="D275" s="452" t="s">
        <v>8</v>
      </c>
      <c r="E275" s="13">
        <f t="shared" si="20"/>
        <v>75970.7</v>
      </c>
      <c r="F275" s="13">
        <f>F276+F277</f>
        <v>75970.7</v>
      </c>
      <c r="G275" s="615">
        <f>G276+G277</f>
        <v>0</v>
      </c>
      <c r="H275" s="615">
        <f>H276+H277</f>
        <v>0</v>
      </c>
      <c r="I275" s="615">
        <f>I276+I277</f>
        <v>0</v>
      </c>
      <c r="J275" s="1990" t="s">
        <v>136</v>
      </c>
      <c r="K275" s="1990" t="s">
        <v>2656</v>
      </c>
    </row>
    <row r="276" spans="1:11">
      <c r="A276" s="1951"/>
      <c r="B276" s="2985"/>
      <c r="C276" s="2986"/>
      <c r="D276" s="452">
        <v>2019</v>
      </c>
      <c r="E276" s="13">
        <f t="shared" si="20"/>
        <v>29163.3</v>
      </c>
      <c r="F276" s="615">
        <v>29163.3</v>
      </c>
      <c r="G276" s="615">
        <v>0</v>
      </c>
      <c r="H276" s="615">
        <v>0</v>
      </c>
      <c r="I276" s="615">
        <v>0</v>
      </c>
      <c r="J276" s="1990"/>
      <c r="K276" s="1990"/>
    </row>
    <row r="277" spans="1:11">
      <c r="A277" s="1951"/>
      <c r="B277" s="2985"/>
      <c r="C277" s="2986"/>
      <c r="D277" s="452">
        <v>2020</v>
      </c>
      <c r="E277" s="13">
        <f>SUM(F277:I277)</f>
        <v>46807.4</v>
      </c>
      <c r="F277" s="616">
        <f>46447.4+360</f>
        <v>46807.4</v>
      </c>
      <c r="G277" s="615">
        <v>0</v>
      </c>
      <c r="H277" s="615">
        <v>0</v>
      </c>
      <c r="I277" s="615">
        <v>0</v>
      </c>
      <c r="J277" s="1990"/>
      <c r="K277" s="1990"/>
    </row>
    <row r="278" spans="1:11">
      <c r="A278" s="16"/>
      <c r="B278" s="645"/>
      <c r="C278" s="18"/>
      <c r="D278" s="18"/>
      <c r="E278" s="23"/>
      <c r="F278" s="24"/>
      <c r="G278" s="24"/>
      <c r="H278" s="24"/>
      <c r="I278" s="20"/>
      <c r="J278" s="116"/>
      <c r="K278" s="117"/>
    </row>
    <row r="279" spans="1:11">
      <c r="A279" s="16"/>
      <c r="B279" s="645"/>
      <c r="C279" s="18"/>
      <c r="D279" s="18"/>
      <c r="E279" s="19"/>
      <c r="F279" s="20"/>
      <c r="G279" s="20"/>
      <c r="H279" s="20"/>
      <c r="I279" s="20"/>
      <c r="J279" s="116"/>
      <c r="K279" s="117"/>
    </row>
    <row r="280" spans="1:11">
      <c r="A280" s="25"/>
      <c r="B280" s="646"/>
      <c r="C280" s="10"/>
      <c r="D280" s="119"/>
      <c r="E280" s="27"/>
      <c r="F280" s="28"/>
      <c r="G280" s="27"/>
      <c r="H280" s="27"/>
      <c r="I280" s="27"/>
      <c r="J280" s="120"/>
      <c r="K280" s="121"/>
    </row>
    <row r="281" spans="1:11">
      <c r="A281" s="31"/>
      <c r="B281" s="647"/>
      <c r="C281" s="31"/>
      <c r="D281" s="31"/>
      <c r="E281" s="33"/>
      <c r="F281" s="34"/>
      <c r="G281" s="33"/>
      <c r="H281" s="33"/>
      <c r="I281" s="33"/>
      <c r="J281" s="123"/>
      <c r="K281" s="122"/>
    </row>
  </sheetData>
  <autoFilter ref="A4:K277">
    <filterColumn colId="3">
      <colorFilter dxfId="0"/>
    </filterColumn>
  </autoFilter>
  <dataConsolidate/>
  <mergeCells count="462">
    <mergeCell ref="A266:A268"/>
    <mergeCell ref="B266:B268"/>
    <mergeCell ref="C266:C268"/>
    <mergeCell ref="J266:J268"/>
    <mergeCell ref="K266:K268"/>
    <mergeCell ref="A275:A277"/>
    <mergeCell ref="B275:B277"/>
    <mergeCell ref="C275:C277"/>
    <mergeCell ref="J275:J277"/>
    <mergeCell ref="K275:K277"/>
    <mergeCell ref="A269:A271"/>
    <mergeCell ref="B269:B271"/>
    <mergeCell ref="C269:C271"/>
    <mergeCell ref="J269:J271"/>
    <mergeCell ref="K269:K271"/>
    <mergeCell ref="A272:A274"/>
    <mergeCell ref="B272:B274"/>
    <mergeCell ref="C272:C274"/>
    <mergeCell ref="J272:J274"/>
    <mergeCell ref="K272:K274"/>
    <mergeCell ref="A260:A262"/>
    <mergeCell ref="B260:B262"/>
    <mergeCell ref="C260:C262"/>
    <mergeCell ref="J260:J262"/>
    <mergeCell ref="K260:K262"/>
    <mergeCell ref="A263:A265"/>
    <mergeCell ref="B263:B265"/>
    <mergeCell ref="C263:C265"/>
    <mergeCell ref="J263:J265"/>
    <mergeCell ref="K263:K265"/>
    <mergeCell ref="A254:A256"/>
    <mergeCell ref="B254:B256"/>
    <mergeCell ref="C254:C256"/>
    <mergeCell ref="J254:J256"/>
    <mergeCell ref="K254:K256"/>
    <mergeCell ref="A257:A259"/>
    <mergeCell ref="B257:B259"/>
    <mergeCell ref="C257:C259"/>
    <mergeCell ref="J257:J259"/>
    <mergeCell ref="K257:K259"/>
    <mergeCell ref="A248:A250"/>
    <mergeCell ref="B248:B250"/>
    <mergeCell ref="C248:C250"/>
    <mergeCell ref="J248:J250"/>
    <mergeCell ref="K248:K250"/>
    <mergeCell ref="A251:A253"/>
    <mergeCell ref="B251:B253"/>
    <mergeCell ref="C251:C253"/>
    <mergeCell ref="J251:J253"/>
    <mergeCell ref="K251:K253"/>
    <mergeCell ref="A242:A244"/>
    <mergeCell ref="B242:B244"/>
    <mergeCell ref="C242:C244"/>
    <mergeCell ref="J242:J244"/>
    <mergeCell ref="K242:K244"/>
    <mergeCell ref="A245:A247"/>
    <mergeCell ref="B245:B247"/>
    <mergeCell ref="C245:C247"/>
    <mergeCell ref="J245:J247"/>
    <mergeCell ref="K245:K247"/>
    <mergeCell ref="A236:A238"/>
    <mergeCell ref="B236:B238"/>
    <mergeCell ref="C236:C238"/>
    <mergeCell ref="J236:J238"/>
    <mergeCell ref="K236:K238"/>
    <mergeCell ref="A239:A241"/>
    <mergeCell ref="B239:B241"/>
    <mergeCell ref="C239:C241"/>
    <mergeCell ref="J239:J241"/>
    <mergeCell ref="K239:K241"/>
    <mergeCell ref="A230:A232"/>
    <mergeCell ref="B230:B232"/>
    <mergeCell ref="C230:C232"/>
    <mergeCell ref="J230:J232"/>
    <mergeCell ref="K230:K232"/>
    <mergeCell ref="A233:A235"/>
    <mergeCell ref="B233:B235"/>
    <mergeCell ref="C233:C235"/>
    <mergeCell ref="J233:J235"/>
    <mergeCell ref="K233:K235"/>
    <mergeCell ref="A224:A226"/>
    <mergeCell ref="B224:B226"/>
    <mergeCell ref="C224:C226"/>
    <mergeCell ref="J224:J226"/>
    <mergeCell ref="K224:K226"/>
    <mergeCell ref="A227:A229"/>
    <mergeCell ref="B227:B229"/>
    <mergeCell ref="C227:C229"/>
    <mergeCell ref="J227:J229"/>
    <mergeCell ref="K227:K229"/>
    <mergeCell ref="A218:A220"/>
    <mergeCell ref="B218:B220"/>
    <mergeCell ref="C218:C220"/>
    <mergeCell ref="J218:J220"/>
    <mergeCell ref="K218:K220"/>
    <mergeCell ref="A221:A223"/>
    <mergeCell ref="B221:B223"/>
    <mergeCell ref="C221:C223"/>
    <mergeCell ref="J221:J223"/>
    <mergeCell ref="K221:K223"/>
    <mergeCell ref="A212:A214"/>
    <mergeCell ref="B212:B214"/>
    <mergeCell ref="C212:C214"/>
    <mergeCell ref="J212:J214"/>
    <mergeCell ref="K212:K214"/>
    <mergeCell ref="A215:A217"/>
    <mergeCell ref="B215:B217"/>
    <mergeCell ref="C215:C217"/>
    <mergeCell ref="J215:J217"/>
    <mergeCell ref="K215:K217"/>
    <mergeCell ref="A206:A208"/>
    <mergeCell ref="B206:B208"/>
    <mergeCell ref="C206:C208"/>
    <mergeCell ref="J206:J208"/>
    <mergeCell ref="K206:K208"/>
    <mergeCell ref="A209:A211"/>
    <mergeCell ref="B209:B211"/>
    <mergeCell ref="C209:C211"/>
    <mergeCell ref="J209:J211"/>
    <mergeCell ref="K209:K211"/>
    <mergeCell ref="A200:A202"/>
    <mergeCell ref="B200:B202"/>
    <mergeCell ref="C200:C202"/>
    <mergeCell ref="J200:J202"/>
    <mergeCell ref="K200:K202"/>
    <mergeCell ref="A203:A205"/>
    <mergeCell ref="B203:B205"/>
    <mergeCell ref="C203:C205"/>
    <mergeCell ref="J203:J205"/>
    <mergeCell ref="K203:K205"/>
    <mergeCell ref="A194:A196"/>
    <mergeCell ref="B194:B196"/>
    <mergeCell ref="C194:C196"/>
    <mergeCell ref="J194:J196"/>
    <mergeCell ref="K194:K196"/>
    <mergeCell ref="A197:A199"/>
    <mergeCell ref="B197:B199"/>
    <mergeCell ref="C197:C199"/>
    <mergeCell ref="J197:J199"/>
    <mergeCell ref="K197:K199"/>
    <mergeCell ref="A188:A190"/>
    <mergeCell ref="B188:B190"/>
    <mergeCell ref="C188:C190"/>
    <mergeCell ref="J188:J190"/>
    <mergeCell ref="K188:K190"/>
    <mergeCell ref="A191:A193"/>
    <mergeCell ref="B191:B193"/>
    <mergeCell ref="C191:C193"/>
    <mergeCell ref="J191:J193"/>
    <mergeCell ref="K191:K193"/>
    <mergeCell ref="A182:A184"/>
    <mergeCell ref="B182:B184"/>
    <mergeCell ref="C182:C184"/>
    <mergeCell ref="J182:J184"/>
    <mergeCell ref="K182:K184"/>
    <mergeCell ref="A185:A187"/>
    <mergeCell ref="B185:B187"/>
    <mergeCell ref="C185:C187"/>
    <mergeCell ref="J185:J187"/>
    <mergeCell ref="K185:K187"/>
    <mergeCell ref="A176:A178"/>
    <mergeCell ref="B176:B178"/>
    <mergeCell ref="C176:C178"/>
    <mergeCell ref="J176:J178"/>
    <mergeCell ref="K176:K178"/>
    <mergeCell ref="A179:A181"/>
    <mergeCell ref="B179:B181"/>
    <mergeCell ref="C179:C181"/>
    <mergeCell ref="J179:J181"/>
    <mergeCell ref="K179:K181"/>
    <mergeCell ref="A170:A172"/>
    <mergeCell ref="B170:B172"/>
    <mergeCell ref="C170:C172"/>
    <mergeCell ref="J170:J172"/>
    <mergeCell ref="K170:K172"/>
    <mergeCell ref="A173:A175"/>
    <mergeCell ref="B173:B175"/>
    <mergeCell ref="C173:C175"/>
    <mergeCell ref="J173:J175"/>
    <mergeCell ref="K173:K175"/>
    <mergeCell ref="A164:A166"/>
    <mergeCell ref="B164:B166"/>
    <mergeCell ref="C164:C166"/>
    <mergeCell ref="J164:J166"/>
    <mergeCell ref="K164:K166"/>
    <mergeCell ref="A167:A169"/>
    <mergeCell ref="B167:B169"/>
    <mergeCell ref="C167:C169"/>
    <mergeCell ref="J167:J169"/>
    <mergeCell ref="K167:K169"/>
    <mergeCell ref="A158:A160"/>
    <mergeCell ref="B158:B160"/>
    <mergeCell ref="C158:C160"/>
    <mergeCell ref="J158:J160"/>
    <mergeCell ref="K158:K160"/>
    <mergeCell ref="A161:A163"/>
    <mergeCell ref="B161:B163"/>
    <mergeCell ref="C161:C163"/>
    <mergeCell ref="J161:J163"/>
    <mergeCell ref="K161:K163"/>
    <mergeCell ref="A152:A154"/>
    <mergeCell ref="B152:B154"/>
    <mergeCell ref="C152:C154"/>
    <mergeCell ref="J152:J154"/>
    <mergeCell ref="K152:K154"/>
    <mergeCell ref="A155:A157"/>
    <mergeCell ref="B155:B157"/>
    <mergeCell ref="C155:C157"/>
    <mergeCell ref="J155:J157"/>
    <mergeCell ref="K155:K157"/>
    <mergeCell ref="A146:A148"/>
    <mergeCell ref="B146:B148"/>
    <mergeCell ref="C146:C148"/>
    <mergeCell ref="J146:J148"/>
    <mergeCell ref="K146:K148"/>
    <mergeCell ref="A149:A151"/>
    <mergeCell ref="B149:B151"/>
    <mergeCell ref="C149:C151"/>
    <mergeCell ref="J149:J151"/>
    <mergeCell ref="K149:K151"/>
    <mergeCell ref="A140:A142"/>
    <mergeCell ref="B140:B142"/>
    <mergeCell ref="C140:C142"/>
    <mergeCell ref="J140:J142"/>
    <mergeCell ref="K140:K142"/>
    <mergeCell ref="A143:A145"/>
    <mergeCell ref="B143:B145"/>
    <mergeCell ref="C143:C145"/>
    <mergeCell ref="J143:J145"/>
    <mergeCell ref="K143:K145"/>
    <mergeCell ref="A134:A136"/>
    <mergeCell ref="B134:B136"/>
    <mergeCell ref="C134:C136"/>
    <mergeCell ref="J134:J136"/>
    <mergeCell ref="K134:K136"/>
    <mergeCell ref="A137:A139"/>
    <mergeCell ref="B137:B139"/>
    <mergeCell ref="C137:C139"/>
    <mergeCell ref="J137:J139"/>
    <mergeCell ref="K137:K139"/>
    <mergeCell ref="A128:A130"/>
    <mergeCell ref="B128:B130"/>
    <mergeCell ref="C128:C130"/>
    <mergeCell ref="J128:J130"/>
    <mergeCell ref="K128:K130"/>
    <mergeCell ref="A131:A133"/>
    <mergeCell ref="B131:B133"/>
    <mergeCell ref="C131:C133"/>
    <mergeCell ref="J131:J133"/>
    <mergeCell ref="K131:K133"/>
    <mergeCell ref="A122:A124"/>
    <mergeCell ref="B122:B124"/>
    <mergeCell ref="C122:C124"/>
    <mergeCell ref="J122:J124"/>
    <mergeCell ref="K122:K124"/>
    <mergeCell ref="A125:A127"/>
    <mergeCell ref="B125:B127"/>
    <mergeCell ref="C125:C127"/>
    <mergeCell ref="J125:J127"/>
    <mergeCell ref="K125:K127"/>
    <mergeCell ref="A116:A118"/>
    <mergeCell ref="B116:B118"/>
    <mergeCell ref="C116:C118"/>
    <mergeCell ref="J116:J118"/>
    <mergeCell ref="K116:K118"/>
    <mergeCell ref="A119:A121"/>
    <mergeCell ref="B119:B121"/>
    <mergeCell ref="C119:C121"/>
    <mergeCell ref="J119:J121"/>
    <mergeCell ref="K119:K121"/>
    <mergeCell ref="A110:A112"/>
    <mergeCell ref="B110:B112"/>
    <mergeCell ref="C110:C112"/>
    <mergeCell ref="J110:J112"/>
    <mergeCell ref="K110:K112"/>
    <mergeCell ref="A113:A115"/>
    <mergeCell ref="B113:B115"/>
    <mergeCell ref="C113:C115"/>
    <mergeCell ref="J113:J115"/>
    <mergeCell ref="K113:K115"/>
    <mergeCell ref="A104:A106"/>
    <mergeCell ref="B104:B106"/>
    <mergeCell ref="C104:C106"/>
    <mergeCell ref="J104:J106"/>
    <mergeCell ref="K104:K106"/>
    <mergeCell ref="A107:A109"/>
    <mergeCell ref="B107:B109"/>
    <mergeCell ref="C107:C109"/>
    <mergeCell ref="J107:J109"/>
    <mergeCell ref="K107:K109"/>
    <mergeCell ref="A98:A100"/>
    <mergeCell ref="B98:B100"/>
    <mergeCell ref="C98:C100"/>
    <mergeCell ref="J98:J100"/>
    <mergeCell ref="K98:K100"/>
    <mergeCell ref="A101:A103"/>
    <mergeCell ref="B101:B103"/>
    <mergeCell ref="C101:C103"/>
    <mergeCell ref="J101:J103"/>
    <mergeCell ref="K101:K103"/>
    <mergeCell ref="A92:A94"/>
    <mergeCell ref="B92:B94"/>
    <mergeCell ref="C92:C94"/>
    <mergeCell ref="J92:J94"/>
    <mergeCell ref="K92:K94"/>
    <mergeCell ref="A95:A97"/>
    <mergeCell ref="B95:B97"/>
    <mergeCell ref="C95:C97"/>
    <mergeCell ref="J95:J97"/>
    <mergeCell ref="K95:K97"/>
    <mergeCell ref="A86:A88"/>
    <mergeCell ref="B86:B88"/>
    <mergeCell ref="C86:C88"/>
    <mergeCell ref="J86:J88"/>
    <mergeCell ref="K86:K88"/>
    <mergeCell ref="A89:A91"/>
    <mergeCell ref="B89:B91"/>
    <mergeCell ref="C89:C91"/>
    <mergeCell ref="J89:J91"/>
    <mergeCell ref="K89:K91"/>
    <mergeCell ref="A80:A82"/>
    <mergeCell ref="B80:B82"/>
    <mergeCell ref="C80:C82"/>
    <mergeCell ref="J80:J82"/>
    <mergeCell ref="K80:K82"/>
    <mergeCell ref="A83:A85"/>
    <mergeCell ref="B83:B85"/>
    <mergeCell ref="C83:C85"/>
    <mergeCell ref="J83:J85"/>
    <mergeCell ref="K83:K85"/>
    <mergeCell ref="A74:A76"/>
    <mergeCell ref="B74:B76"/>
    <mergeCell ref="C74:C76"/>
    <mergeCell ref="J74:J76"/>
    <mergeCell ref="K74:K76"/>
    <mergeCell ref="A77:A79"/>
    <mergeCell ref="B77:B79"/>
    <mergeCell ref="C77:C79"/>
    <mergeCell ref="J77:J79"/>
    <mergeCell ref="K77:K79"/>
    <mergeCell ref="A68:A70"/>
    <mergeCell ref="B68:B70"/>
    <mergeCell ref="C68:C70"/>
    <mergeCell ref="J68:J70"/>
    <mergeCell ref="K68:K70"/>
    <mergeCell ref="A71:A73"/>
    <mergeCell ref="B71:B73"/>
    <mergeCell ref="C71:C73"/>
    <mergeCell ref="J71:J73"/>
    <mergeCell ref="K71:K73"/>
    <mergeCell ref="A62:A64"/>
    <mergeCell ref="B62:B64"/>
    <mergeCell ref="C62:C64"/>
    <mergeCell ref="J62:J64"/>
    <mergeCell ref="K62:K64"/>
    <mergeCell ref="A65:A67"/>
    <mergeCell ref="B65:B67"/>
    <mergeCell ref="C65:C67"/>
    <mergeCell ref="J65:J67"/>
    <mergeCell ref="K65:K67"/>
    <mergeCell ref="A56:A58"/>
    <mergeCell ref="B56:B58"/>
    <mergeCell ref="C56:C58"/>
    <mergeCell ref="J56:J58"/>
    <mergeCell ref="K56:K58"/>
    <mergeCell ref="A59:A61"/>
    <mergeCell ref="B59:B61"/>
    <mergeCell ref="C59:C61"/>
    <mergeCell ref="J59:J61"/>
    <mergeCell ref="K59:K61"/>
    <mergeCell ref="A50:A52"/>
    <mergeCell ref="B50:B52"/>
    <mergeCell ref="C50:C52"/>
    <mergeCell ref="J50:J52"/>
    <mergeCell ref="K50:K52"/>
    <mergeCell ref="A53:A55"/>
    <mergeCell ref="B53:B55"/>
    <mergeCell ref="C53:C55"/>
    <mergeCell ref="J53:J55"/>
    <mergeCell ref="K53:K55"/>
    <mergeCell ref="A44:A46"/>
    <mergeCell ref="B44:B46"/>
    <mergeCell ref="C44:C46"/>
    <mergeCell ref="J44:J46"/>
    <mergeCell ref="K44:K46"/>
    <mergeCell ref="A47:A49"/>
    <mergeCell ref="B47:B49"/>
    <mergeCell ref="C47:C49"/>
    <mergeCell ref="J47:J49"/>
    <mergeCell ref="K47:K49"/>
    <mergeCell ref="A38:A40"/>
    <mergeCell ref="B38:B40"/>
    <mergeCell ref="C38:C40"/>
    <mergeCell ref="J38:J40"/>
    <mergeCell ref="K38:K40"/>
    <mergeCell ref="A41:A43"/>
    <mergeCell ref="B41:B43"/>
    <mergeCell ref="C41:C43"/>
    <mergeCell ref="J41:J43"/>
    <mergeCell ref="K41:K43"/>
    <mergeCell ref="A32:A34"/>
    <mergeCell ref="B32:B34"/>
    <mergeCell ref="C32:C34"/>
    <mergeCell ref="J32:J34"/>
    <mergeCell ref="K32:K34"/>
    <mergeCell ref="A35:A37"/>
    <mergeCell ref="B35:B37"/>
    <mergeCell ref="C35:C37"/>
    <mergeCell ref="J35:J37"/>
    <mergeCell ref="K35:K37"/>
    <mergeCell ref="A26:A28"/>
    <mergeCell ref="B26:B28"/>
    <mergeCell ref="C26:C28"/>
    <mergeCell ref="J26:J28"/>
    <mergeCell ref="K26:K28"/>
    <mergeCell ref="A29:A31"/>
    <mergeCell ref="B29:B31"/>
    <mergeCell ref="C29:C31"/>
    <mergeCell ref="J29:J31"/>
    <mergeCell ref="K29:K31"/>
    <mergeCell ref="A20:A22"/>
    <mergeCell ref="B20:B22"/>
    <mergeCell ref="C20:C22"/>
    <mergeCell ref="J20:J22"/>
    <mergeCell ref="K20:K22"/>
    <mergeCell ref="A23:A25"/>
    <mergeCell ref="B23:B25"/>
    <mergeCell ref="C23:C25"/>
    <mergeCell ref="J23:J25"/>
    <mergeCell ref="K23:K25"/>
    <mergeCell ref="A14:A16"/>
    <mergeCell ref="B14:B16"/>
    <mergeCell ref="C14:C16"/>
    <mergeCell ref="J14:J16"/>
    <mergeCell ref="K14:K16"/>
    <mergeCell ref="A17:A19"/>
    <mergeCell ref="B17:B19"/>
    <mergeCell ref="C17:C19"/>
    <mergeCell ref="J17:J19"/>
    <mergeCell ref="K17:K19"/>
    <mergeCell ref="A8:A10"/>
    <mergeCell ref="B8:B10"/>
    <mergeCell ref="C8:C10"/>
    <mergeCell ref="J8:J10"/>
    <mergeCell ref="K8:K10"/>
    <mergeCell ref="A11:A13"/>
    <mergeCell ref="B11:B13"/>
    <mergeCell ref="C11:C13"/>
    <mergeCell ref="J11:J13"/>
    <mergeCell ref="K11:K13"/>
    <mergeCell ref="A1:K2"/>
    <mergeCell ref="A3:A4"/>
    <mergeCell ref="B3:B4"/>
    <mergeCell ref="C3:C4"/>
    <mergeCell ref="D3:I3"/>
    <mergeCell ref="J3:J4"/>
    <mergeCell ref="K3:K4"/>
    <mergeCell ref="A5:A7"/>
    <mergeCell ref="B5:B7"/>
    <mergeCell ref="C5:C7"/>
    <mergeCell ref="J5:J7"/>
    <mergeCell ref="K5:K7"/>
  </mergeCells>
  <printOptions horizontalCentered="1" verticalCentered="1"/>
  <pageMargins left="0.11811023622047245" right="0.11811023622047245" top="0.15748031496062992" bottom="0.15748031496062992" header="0.11811023622047245" footer="0.11811023622047245"/>
  <pageSetup paperSize="9" scale="62" orientation="landscape" r:id="rId1"/>
  <rowBreaks count="4" manualBreakCount="4">
    <brk id="49" max="10" man="1"/>
    <brk id="94" max="10" man="1"/>
    <brk id="154" max="10" man="1"/>
    <brk id="226"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4"/>
  <sheetViews>
    <sheetView zoomScale="90" zoomScaleNormal="90" workbookViewId="0">
      <selection activeCell="B45" sqref="A45:XFD48"/>
    </sheetView>
  </sheetViews>
  <sheetFormatPr defaultColWidth="8.85546875" defaultRowHeight="12.75"/>
  <cols>
    <col min="1" max="1" width="6.7109375" style="128" customWidth="1"/>
    <col min="2" max="2" width="61.85546875" style="128" customWidth="1"/>
    <col min="3" max="3" width="19.28515625" style="128" customWidth="1"/>
    <col min="4" max="4" width="19.42578125" style="357" customWidth="1"/>
    <col min="5" max="5" width="9.7109375" style="128" customWidth="1"/>
    <col min="6" max="6" width="23.7109375" style="128" customWidth="1"/>
    <col min="7" max="7" width="18.7109375" style="128" customWidth="1"/>
    <col min="8" max="8" width="17.7109375" style="128" customWidth="1"/>
    <col min="9" max="9" width="29.28515625" style="128" customWidth="1"/>
    <col min="10" max="256" width="9.140625" style="128"/>
    <col min="257" max="257" width="6.7109375" style="128" customWidth="1"/>
    <col min="258" max="258" width="61.85546875" style="128" customWidth="1"/>
    <col min="259" max="259" width="19.28515625" style="128" customWidth="1"/>
    <col min="260" max="260" width="19.42578125" style="128" customWidth="1"/>
    <col min="261" max="261" width="9.7109375" style="128" customWidth="1"/>
    <col min="262" max="262" width="23.7109375" style="128" customWidth="1"/>
    <col min="263" max="263" width="18.7109375" style="128" customWidth="1"/>
    <col min="264" max="264" width="17.7109375" style="128" customWidth="1"/>
    <col min="265" max="265" width="29.28515625" style="128" customWidth="1"/>
    <col min="266" max="512" width="9.140625" style="128"/>
    <col min="513" max="513" width="6.7109375" style="128" customWidth="1"/>
    <col min="514" max="514" width="61.85546875" style="128" customWidth="1"/>
    <col min="515" max="515" width="19.28515625" style="128" customWidth="1"/>
    <col min="516" max="516" width="19.42578125" style="128" customWidth="1"/>
    <col min="517" max="517" width="9.7109375" style="128" customWidth="1"/>
    <col min="518" max="518" width="23.7109375" style="128" customWidth="1"/>
    <col min="519" max="519" width="18.7109375" style="128" customWidth="1"/>
    <col min="520" max="520" width="17.7109375" style="128" customWidth="1"/>
    <col min="521" max="521" width="29.28515625" style="128" customWidth="1"/>
    <col min="522" max="768" width="9.140625" style="128"/>
    <col min="769" max="769" width="6.7109375" style="128" customWidth="1"/>
    <col min="770" max="770" width="61.85546875" style="128" customWidth="1"/>
    <col min="771" max="771" width="19.28515625" style="128" customWidth="1"/>
    <col min="772" max="772" width="19.42578125" style="128" customWidth="1"/>
    <col min="773" max="773" width="9.7109375" style="128" customWidth="1"/>
    <col min="774" max="774" width="23.7109375" style="128" customWidth="1"/>
    <col min="775" max="775" width="18.7109375" style="128" customWidth="1"/>
    <col min="776" max="776" width="17.7109375" style="128" customWidth="1"/>
    <col min="777" max="777" width="29.28515625" style="128" customWidth="1"/>
    <col min="778" max="1024" width="9.140625" style="128"/>
    <col min="1025" max="1025" width="6.7109375" style="128" customWidth="1"/>
    <col min="1026" max="1026" width="61.85546875" style="128" customWidth="1"/>
    <col min="1027" max="1027" width="19.28515625" style="128" customWidth="1"/>
    <col min="1028" max="1028" width="19.42578125" style="128" customWidth="1"/>
    <col min="1029" max="1029" width="9.7109375" style="128" customWidth="1"/>
    <col min="1030" max="1030" width="23.7109375" style="128" customWidth="1"/>
    <col min="1031" max="1031" width="18.7109375" style="128" customWidth="1"/>
    <col min="1032" max="1032" width="17.7109375" style="128" customWidth="1"/>
    <col min="1033" max="1033" width="29.28515625" style="128" customWidth="1"/>
    <col min="1034" max="1280" width="9.140625" style="128"/>
    <col min="1281" max="1281" width="6.7109375" style="128" customWidth="1"/>
    <col min="1282" max="1282" width="61.85546875" style="128" customWidth="1"/>
    <col min="1283" max="1283" width="19.28515625" style="128" customWidth="1"/>
    <col min="1284" max="1284" width="19.42578125" style="128" customWidth="1"/>
    <col min="1285" max="1285" width="9.7109375" style="128" customWidth="1"/>
    <col min="1286" max="1286" width="23.7109375" style="128" customWidth="1"/>
    <col min="1287" max="1287" width="18.7109375" style="128" customWidth="1"/>
    <col min="1288" max="1288" width="17.7109375" style="128" customWidth="1"/>
    <col min="1289" max="1289" width="29.28515625" style="128" customWidth="1"/>
    <col min="1290" max="1536" width="9.140625" style="128"/>
    <col min="1537" max="1537" width="6.7109375" style="128" customWidth="1"/>
    <col min="1538" max="1538" width="61.85546875" style="128" customWidth="1"/>
    <col min="1539" max="1539" width="19.28515625" style="128" customWidth="1"/>
    <col min="1540" max="1540" width="19.42578125" style="128" customWidth="1"/>
    <col min="1541" max="1541" width="9.7109375" style="128" customWidth="1"/>
    <col min="1542" max="1542" width="23.7109375" style="128" customWidth="1"/>
    <col min="1543" max="1543" width="18.7109375" style="128" customWidth="1"/>
    <col min="1544" max="1544" width="17.7109375" style="128" customWidth="1"/>
    <col min="1545" max="1545" width="29.28515625" style="128" customWidth="1"/>
    <col min="1546" max="1792" width="9.140625" style="128"/>
    <col min="1793" max="1793" width="6.7109375" style="128" customWidth="1"/>
    <col min="1794" max="1794" width="61.85546875" style="128" customWidth="1"/>
    <col min="1795" max="1795" width="19.28515625" style="128" customWidth="1"/>
    <col min="1796" max="1796" width="19.42578125" style="128" customWidth="1"/>
    <col min="1797" max="1797" width="9.7109375" style="128" customWidth="1"/>
    <col min="1798" max="1798" width="23.7109375" style="128" customWidth="1"/>
    <col min="1799" max="1799" width="18.7109375" style="128" customWidth="1"/>
    <col min="1800" max="1800" width="17.7109375" style="128" customWidth="1"/>
    <col min="1801" max="1801" width="29.28515625" style="128" customWidth="1"/>
    <col min="1802" max="2048" width="9.140625" style="128"/>
    <col min="2049" max="2049" width="6.7109375" style="128" customWidth="1"/>
    <col min="2050" max="2050" width="61.85546875" style="128" customWidth="1"/>
    <col min="2051" max="2051" width="19.28515625" style="128" customWidth="1"/>
    <col min="2052" max="2052" width="19.42578125" style="128" customWidth="1"/>
    <col min="2053" max="2053" width="9.7109375" style="128" customWidth="1"/>
    <col min="2054" max="2054" width="23.7109375" style="128" customWidth="1"/>
    <col min="2055" max="2055" width="18.7109375" style="128" customWidth="1"/>
    <col min="2056" max="2056" width="17.7109375" style="128" customWidth="1"/>
    <col min="2057" max="2057" width="29.28515625" style="128" customWidth="1"/>
    <col min="2058" max="2304" width="9.140625" style="128"/>
    <col min="2305" max="2305" width="6.7109375" style="128" customWidth="1"/>
    <col min="2306" max="2306" width="61.85546875" style="128" customWidth="1"/>
    <col min="2307" max="2307" width="19.28515625" style="128" customWidth="1"/>
    <col min="2308" max="2308" width="19.42578125" style="128" customWidth="1"/>
    <col min="2309" max="2309" width="9.7109375" style="128" customWidth="1"/>
    <col min="2310" max="2310" width="23.7109375" style="128" customWidth="1"/>
    <col min="2311" max="2311" width="18.7109375" style="128" customWidth="1"/>
    <col min="2312" max="2312" width="17.7109375" style="128" customWidth="1"/>
    <col min="2313" max="2313" width="29.28515625" style="128" customWidth="1"/>
    <col min="2314" max="2560" width="9.140625" style="128"/>
    <col min="2561" max="2561" width="6.7109375" style="128" customWidth="1"/>
    <col min="2562" max="2562" width="61.85546875" style="128" customWidth="1"/>
    <col min="2563" max="2563" width="19.28515625" style="128" customWidth="1"/>
    <col min="2564" max="2564" width="19.42578125" style="128" customWidth="1"/>
    <col min="2565" max="2565" width="9.7109375" style="128" customWidth="1"/>
    <col min="2566" max="2566" width="23.7109375" style="128" customWidth="1"/>
    <col min="2567" max="2567" width="18.7109375" style="128" customWidth="1"/>
    <col min="2568" max="2568" width="17.7109375" style="128" customWidth="1"/>
    <col min="2569" max="2569" width="29.28515625" style="128" customWidth="1"/>
    <col min="2570" max="2816" width="9.140625" style="128"/>
    <col min="2817" max="2817" width="6.7109375" style="128" customWidth="1"/>
    <col min="2818" max="2818" width="61.85546875" style="128" customWidth="1"/>
    <col min="2819" max="2819" width="19.28515625" style="128" customWidth="1"/>
    <col min="2820" max="2820" width="19.42578125" style="128" customWidth="1"/>
    <col min="2821" max="2821" width="9.7109375" style="128" customWidth="1"/>
    <col min="2822" max="2822" width="23.7109375" style="128" customWidth="1"/>
    <col min="2823" max="2823" width="18.7109375" style="128" customWidth="1"/>
    <col min="2824" max="2824" width="17.7109375" style="128" customWidth="1"/>
    <col min="2825" max="2825" width="29.28515625" style="128" customWidth="1"/>
    <col min="2826" max="3072" width="9.140625" style="128"/>
    <col min="3073" max="3073" width="6.7109375" style="128" customWidth="1"/>
    <col min="3074" max="3074" width="61.85546875" style="128" customWidth="1"/>
    <col min="3075" max="3075" width="19.28515625" style="128" customWidth="1"/>
    <col min="3076" max="3076" width="19.42578125" style="128" customWidth="1"/>
    <col min="3077" max="3077" width="9.7109375" style="128" customWidth="1"/>
    <col min="3078" max="3078" width="23.7109375" style="128" customWidth="1"/>
    <col min="3079" max="3079" width="18.7109375" style="128" customWidth="1"/>
    <col min="3080" max="3080" width="17.7109375" style="128" customWidth="1"/>
    <col min="3081" max="3081" width="29.28515625" style="128" customWidth="1"/>
    <col min="3082" max="3328" width="9.140625" style="128"/>
    <col min="3329" max="3329" width="6.7109375" style="128" customWidth="1"/>
    <col min="3330" max="3330" width="61.85546875" style="128" customWidth="1"/>
    <col min="3331" max="3331" width="19.28515625" style="128" customWidth="1"/>
    <col min="3332" max="3332" width="19.42578125" style="128" customWidth="1"/>
    <col min="3333" max="3333" width="9.7109375" style="128" customWidth="1"/>
    <col min="3334" max="3334" width="23.7109375" style="128" customWidth="1"/>
    <col min="3335" max="3335" width="18.7109375" style="128" customWidth="1"/>
    <col min="3336" max="3336" width="17.7109375" style="128" customWidth="1"/>
    <col min="3337" max="3337" width="29.28515625" style="128" customWidth="1"/>
    <col min="3338" max="3584" width="9.140625" style="128"/>
    <col min="3585" max="3585" width="6.7109375" style="128" customWidth="1"/>
    <col min="3586" max="3586" width="61.85546875" style="128" customWidth="1"/>
    <col min="3587" max="3587" width="19.28515625" style="128" customWidth="1"/>
    <col min="3588" max="3588" width="19.42578125" style="128" customWidth="1"/>
    <col min="3589" max="3589" width="9.7109375" style="128" customWidth="1"/>
    <col min="3590" max="3590" width="23.7109375" style="128" customWidth="1"/>
    <col min="3591" max="3591" width="18.7109375" style="128" customWidth="1"/>
    <col min="3592" max="3592" width="17.7109375" style="128" customWidth="1"/>
    <col min="3593" max="3593" width="29.28515625" style="128" customWidth="1"/>
    <col min="3594" max="3840" width="9.140625" style="128"/>
    <col min="3841" max="3841" width="6.7109375" style="128" customWidth="1"/>
    <col min="3842" max="3842" width="61.85546875" style="128" customWidth="1"/>
    <col min="3843" max="3843" width="19.28515625" style="128" customWidth="1"/>
    <col min="3844" max="3844" width="19.42578125" style="128" customWidth="1"/>
    <col min="3845" max="3845" width="9.7109375" style="128" customWidth="1"/>
    <col min="3846" max="3846" width="23.7109375" style="128" customWidth="1"/>
    <col min="3847" max="3847" width="18.7109375" style="128" customWidth="1"/>
    <col min="3848" max="3848" width="17.7109375" style="128" customWidth="1"/>
    <col min="3849" max="3849" width="29.28515625" style="128" customWidth="1"/>
    <col min="3850" max="4096" width="9.140625" style="128"/>
    <col min="4097" max="4097" width="6.7109375" style="128" customWidth="1"/>
    <col min="4098" max="4098" width="61.85546875" style="128" customWidth="1"/>
    <col min="4099" max="4099" width="19.28515625" style="128" customWidth="1"/>
    <col min="4100" max="4100" width="19.42578125" style="128" customWidth="1"/>
    <col min="4101" max="4101" width="9.7109375" style="128" customWidth="1"/>
    <col min="4102" max="4102" width="23.7109375" style="128" customWidth="1"/>
    <col min="4103" max="4103" width="18.7109375" style="128" customWidth="1"/>
    <col min="4104" max="4104" width="17.7109375" style="128" customWidth="1"/>
    <col min="4105" max="4105" width="29.28515625" style="128" customWidth="1"/>
    <col min="4106" max="4352" width="9.140625" style="128"/>
    <col min="4353" max="4353" width="6.7109375" style="128" customWidth="1"/>
    <col min="4354" max="4354" width="61.85546875" style="128" customWidth="1"/>
    <col min="4355" max="4355" width="19.28515625" style="128" customWidth="1"/>
    <col min="4356" max="4356" width="19.42578125" style="128" customWidth="1"/>
    <col min="4357" max="4357" width="9.7109375" style="128" customWidth="1"/>
    <col min="4358" max="4358" width="23.7109375" style="128" customWidth="1"/>
    <col min="4359" max="4359" width="18.7109375" style="128" customWidth="1"/>
    <col min="4360" max="4360" width="17.7109375" style="128" customWidth="1"/>
    <col min="4361" max="4361" width="29.28515625" style="128" customWidth="1"/>
    <col min="4362" max="4608" width="9.140625" style="128"/>
    <col min="4609" max="4609" width="6.7109375" style="128" customWidth="1"/>
    <col min="4610" max="4610" width="61.85546875" style="128" customWidth="1"/>
    <col min="4611" max="4611" width="19.28515625" style="128" customWidth="1"/>
    <col min="4612" max="4612" width="19.42578125" style="128" customWidth="1"/>
    <col min="4613" max="4613" width="9.7109375" style="128" customWidth="1"/>
    <col min="4614" max="4614" width="23.7109375" style="128" customWidth="1"/>
    <col min="4615" max="4615" width="18.7109375" style="128" customWidth="1"/>
    <col min="4616" max="4616" width="17.7109375" style="128" customWidth="1"/>
    <col min="4617" max="4617" width="29.28515625" style="128" customWidth="1"/>
    <col min="4618" max="4864" width="9.140625" style="128"/>
    <col min="4865" max="4865" width="6.7109375" style="128" customWidth="1"/>
    <col min="4866" max="4866" width="61.85546875" style="128" customWidth="1"/>
    <col min="4867" max="4867" width="19.28515625" style="128" customWidth="1"/>
    <col min="4868" max="4868" width="19.42578125" style="128" customWidth="1"/>
    <col min="4869" max="4869" width="9.7109375" style="128" customWidth="1"/>
    <col min="4870" max="4870" width="23.7109375" style="128" customWidth="1"/>
    <col min="4871" max="4871" width="18.7109375" style="128" customWidth="1"/>
    <col min="4872" max="4872" width="17.7109375" style="128" customWidth="1"/>
    <col min="4873" max="4873" width="29.28515625" style="128" customWidth="1"/>
    <col min="4874" max="5120" width="9.140625" style="128"/>
    <col min="5121" max="5121" width="6.7109375" style="128" customWidth="1"/>
    <col min="5122" max="5122" width="61.85546875" style="128" customWidth="1"/>
    <col min="5123" max="5123" width="19.28515625" style="128" customWidth="1"/>
    <col min="5124" max="5124" width="19.42578125" style="128" customWidth="1"/>
    <col min="5125" max="5125" width="9.7109375" style="128" customWidth="1"/>
    <col min="5126" max="5126" width="23.7109375" style="128" customWidth="1"/>
    <col min="5127" max="5127" width="18.7109375" style="128" customWidth="1"/>
    <col min="5128" max="5128" width="17.7109375" style="128" customWidth="1"/>
    <col min="5129" max="5129" width="29.28515625" style="128" customWidth="1"/>
    <col min="5130" max="5376" width="9.140625" style="128"/>
    <col min="5377" max="5377" width="6.7109375" style="128" customWidth="1"/>
    <col min="5378" max="5378" width="61.85546875" style="128" customWidth="1"/>
    <col min="5379" max="5379" width="19.28515625" style="128" customWidth="1"/>
    <col min="5380" max="5380" width="19.42578125" style="128" customWidth="1"/>
    <col min="5381" max="5381" width="9.7109375" style="128" customWidth="1"/>
    <col min="5382" max="5382" width="23.7109375" style="128" customWidth="1"/>
    <col min="5383" max="5383" width="18.7109375" style="128" customWidth="1"/>
    <col min="5384" max="5384" width="17.7109375" style="128" customWidth="1"/>
    <col min="5385" max="5385" width="29.28515625" style="128" customWidth="1"/>
    <col min="5386" max="5632" width="9.140625" style="128"/>
    <col min="5633" max="5633" width="6.7109375" style="128" customWidth="1"/>
    <col min="5634" max="5634" width="61.85546875" style="128" customWidth="1"/>
    <col min="5635" max="5635" width="19.28515625" style="128" customWidth="1"/>
    <col min="5636" max="5636" width="19.42578125" style="128" customWidth="1"/>
    <col min="5637" max="5637" width="9.7109375" style="128" customWidth="1"/>
    <col min="5638" max="5638" width="23.7109375" style="128" customWidth="1"/>
    <col min="5639" max="5639" width="18.7109375" style="128" customWidth="1"/>
    <col min="5640" max="5640" width="17.7109375" style="128" customWidth="1"/>
    <col min="5641" max="5641" width="29.28515625" style="128" customWidth="1"/>
    <col min="5642" max="5888" width="9.140625" style="128"/>
    <col min="5889" max="5889" width="6.7109375" style="128" customWidth="1"/>
    <col min="5890" max="5890" width="61.85546875" style="128" customWidth="1"/>
    <col min="5891" max="5891" width="19.28515625" style="128" customWidth="1"/>
    <col min="5892" max="5892" width="19.42578125" style="128" customWidth="1"/>
    <col min="5893" max="5893" width="9.7109375" style="128" customWidth="1"/>
    <col min="5894" max="5894" width="23.7109375" style="128" customWidth="1"/>
    <col min="5895" max="5895" width="18.7109375" style="128" customWidth="1"/>
    <col min="5896" max="5896" width="17.7109375" style="128" customWidth="1"/>
    <col min="5897" max="5897" width="29.28515625" style="128" customWidth="1"/>
    <col min="5898" max="6144" width="9.140625" style="128"/>
    <col min="6145" max="6145" width="6.7109375" style="128" customWidth="1"/>
    <col min="6146" max="6146" width="61.85546875" style="128" customWidth="1"/>
    <col min="6147" max="6147" width="19.28515625" style="128" customWidth="1"/>
    <col min="6148" max="6148" width="19.42578125" style="128" customWidth="1"/>
    <col min="6149" max="6149" width="9.7109375" style="128" customWidth="1"/>
    <col min="6150" max="6150" width="23.7109375" style="128" customWidth="1"/>
    <col min="6151" max="6151" width="18.7109375" style="128" customWidth="1"/>
    <col min="6152" max="6152" width="17.7109375" style="128" customWidth="1"/>
    <col min="6153" max="6153" width="29.28515625" style="128" customWidth="1"/>
    <col min="6154" max="6400" width="9.140625" style="128"/>
    <col min="6401" max="6401" width="6.7109375" style="128" customWidth="1"/>
    <col min="6402" max="6402" width="61.85546875" style="128" customWidth="1"/>
    <col min="6403" max="6403" width="19.28515625" style="128" customWidth="1"/>
    <col min="6404" max="6404" width="19.42578125" style="128" customWidth="1"/>
    <col min="6405" max="6405" width="9.7109375" style="128" customWidth="1"/>
    <col min="6406" max="6406" width="23.7109375" style="128" customWidth="1"/>
    <col min="6407" max="6407" width="18.7109375" style="128" customWidth="1"/>
    <col min="6408" max="6408" width="17.7109375" style="128" customWidth="1"/>
    <col min="6409" max="6409" width="29.28515625" style="128" customWidth="1"/>
    <col min="6410" max="6656" width="9.140625" style="128"/>
    <col min="6657" max="6657" width="6.7109375" style="128" customWidth="1"/>
    <col min="6658" max="6658" width="61.85546875" style="128" customWidth="1"/>
    <col min="6659" max="6659" width="19.28515625" style="128" customWidth="1"/>
    <col min="6660" max="6660" width="19.42578125" style="128" customWidth="1"/>
    <col min="6661" max="6661" width="9.7109375" style="128" customWidth="1"/>
    <col min="6662" max="6662" width="23.7109375" style="128" customWidth="1"/>
    <col min="6663" max="6663" width="18.7109375" style="128" customWidth="1"/>
    <col min="6664" max="6664" width="17.7109375" style="128" customWidth="1"/>
    <col min="6665" max="6665" width="29.28515625" style="128" customWidth="1"/>
    <col min="6666" max="6912" width="9.140625" style="128"/>
    <col min="6913" max="6913" width="6.7109375" style="128" customWidth="1"/>
    <col min="6914" max="6914" width="61.85546875" style="128" customWidth="1"/>
    <col min="6915" max="6915" width="19.28515625" style="128" customWidth="1"/>
    <col min="6916" max="6916" width="19.42578125" style="128" customWidth="1"/>
    <col min="6917" max="6917" width="9.7109375" style="128" customWidth="1"/>
    <col min="6918" max="6918" width="23.7109375" style="128" customWidth="1"/>
    <col min="6919" max="6919" width="18.7109375" style="128" customWidth="1"/>
    <col min="6920" max="6920" width="17.7109375" style="128" customWidth="1"/>
    <col min="6921" max="6921" width="29.28515625" style="128" customWidth="1"/>
    <col min="6922" max="7168" width="9.140625" style="128"/>
    <col min="7169" max="7169" width="6.7109375" style="128" customWidth="1"/>
    <col min="7170" max="7170" width="61.85546875" style="128" customWidth="1"/>
    <col min="7171" max="7171" width="19.28515625" style="128" customWidth="1"/>
    <col min="7172" max="7172" width="19.42578125" style="128" customWidth="1"/>
    <col min="7173" max="7173" width="9.7109375" style="128" customWidth="1"/>
    <col min="7174" max="7174" width="23.7109375" style="128" customWidth="1"/>
    <col min="7175" max="7175" width="18.7109375" style="128" customWidth="1"/>
    <col min="7176" max="7176" width="17.7109375" style="128" customWidth="1"/>
    <col min="7177" max="7177" width="29.28515625" style="128" customWidth="1"/>
    <col min="7178" max="7424" width="9.140625" style="128"/>
    <col min="7425" max="7425" width="6.7109375" style="128" customWidth="1"/>
    <col min="7426" max="7426" width="61.85546875" style="128" customWidth="1"/>
    <col min="7427" max="7427" width="19.28515625" style="128" customWidth="1"/>
    <col min="7428" max="7428" width="19.42578125" style="128" customWidth="1"/>
    <col min="7429" max="7429" width="9.7109375" style="128" customWidth="1"/>
    <col min="7430" max="7430" width="23.7109375" style="128" customWidth="1"/>
    <col min="7431" max="7431" width="18.7109375" style="128" customWidth="1"/>
    <col min="7432" max="7432" width="17.7109375" style="128" customWidth="1"/>
    <col min="7433" max="7433" width="29.28515625" style="128" customWidth="1"/>
    <col min="7434" max="7680" width="9.140625" style="128"/>
    <col min="7681" max="7681" width="6.7109375" style="128" customWidth="1"/>
    <col min="7682" max="7682" width="61.85546875" style="128" customWidth="1"/>
    <col min="7683" max="7683" width="19.28515625" style="128" customWidth="1"/>
    <col min="7684" max="7684" width="19.42578125" style="128" customWidth="1"/>
    <col min="7685" max="7685" width="9.7109375" style="128" customWidth="1"/>
    <col min="7686" max="7686" width="23.7109375" style="128" customWidth="1"/>
    <col min="7687" max="7687" width="18.7109375" style="128" customWidth="1"/>
    <col min="7688" max="7688" width="17.7109375" style="128" customWidth="1"/>
    <col min="7689" max="7689" width="29.28515625" style="128" customWidth="1"/>
    <col min="7690" max="7936" width="9.140625" style="128"/>
    <col min="7937" max="7937" width="6.7109375" style="128" customWidth="1"/>
    <col min="7938" max="7938" width="61.85546875" style="128" customWidth="1"/>
    <col min="7939" max="7939" width="19.28515625" style="128" customWidth="1"/>
    <col min="7940" max="7940" width="19.42578125" style="128" customWidth="1"/>
    <col min="7941" max="7941" width="9.7109375" style="128" customWidth="1"/>
    <col min="7942" max="7942" width="23.7109375" style="128" customWidth="1"/>
    <col min="7943" max="7943" width="18.7109375" style="128" customWidth="1"/>
    <col min="7944" max="7944" width="17.7109375" style="128" customWidth="1"/>
    <col min="7945" max="7945" width="29.28515625" style="128" customWidth="1"/>
    <col min="7946" max="8192" width="9.140625" style="128"/>
    <col min="8193" max="8193" width="6.7109375" style="128" customWidth="1"/>
    <col min="8194" max="8194" width="61.85546875" style="128" customWidth="1"/>
    <col min="8195" max="8195" width="19.28515625" style="128" customWidth="1"/>
    <col min="8196" max="8196" width="19.42578125" style="128" customWidth="1"/>
    <col min="8197" max="8197" width="9.7109375" style="128" customWidth="1"/>
    <col min="8198" max="8198" width="23.7109375" style="128" customWidth="1"/>
    <col min="8199" max="8199" width="18.7109375" style="128" customWidth="1"/>
    <col min="8200" max="8200" width="17.7109375" style="128" customWidth="1"/>
    <col min="8201" max="8201" width="29.28515625" style="128" customWidth="1"/>
    <col min="8202" max="8448" width="9.140625" style="128"/>
    <col min="8449" max="8449" width="6.7109375" style="128" customWidth="1"/>
    <col min="8450" max="8450" width="61.85546875" style="128" customWidth="1"/>
    <col min="8451" max="8451" width="19.28515625" style="128" customWidth="1"/>
    <col min="8452" max="8452" width="19.42578125" style="128" customWidth="1"/>
    <col min="8453" max="8453" width="9.7109375" style="128" customWidth="1"/>
    <col min="8454" max="8454" width="23.7109375" style="128" customWidth="1"/>
    <col min="8455" max="8455" width="18.7109375" style="128" customWidth="1"/>
    <col min="8456" max="8456" width="17.7109375" style="128" customWidth="1"/>
    <col min="8457" max="8457" width="29.28515625" style="128" customWidth="1"/>
    <col min="8458" max="8704" width="9.140625" style="128"/>
    <col min="8705" max="8705" width="6.7109375" style="128" customWidth="1"/>
    <col min="8706" max="8706" width="61.85546875" style="128" customWidth="1"/>
    <col min="8707" max="8707" width="19.28515625" style="128" customWidth="1"/>
    <col min="8708" max="8708" width="19.42578125" style="128" customWidth="1"/>
    <col min="8709" max="8709" width="9.7109375" style="128" customWidth="1"/>
    <col min="8710" max="8710" width="23.7109375" style="128" customWidth="1"/>
    <col min="8711" max="8711" width="18.7109375" style="128" customWidth="1"/>
    <col min="8712" max="8712" width="17.7109375" style="128" customWidth="1"/>
    <col min="8713" max="8713" width="29.28515625" style="128" customWidth="1"/>
    <col min="8714" max="8960" width="9.140625" style="128"/>
    <col min="8961" max="8961" width="6.7109375" style="128" customWidth="1"/>
    <col min="8962" max="8962" width="61.85546875" style="128" customWidth="1"/>
    <col min="8963" max="8963" width="19.28515625" style="128" customWidth="1"/>
    <col min="8964" max="8964" width="19.42578125" style="128" customWidth="1"/>
    <col min="8965" max="8965" width="9.7109375" style="128" customWidth="1"/>
    <col min="8966" max="8966" width="23.7109375" style="128" customWidth="1"/>
    <col min="8967" max="8967" width="18.7109375" style="128" customWidth="1"/>
    <col min="8968" max="8968" width="17.7109375" style="128" customWidth="1"/>
    <col min="8969" max="8969" width="29.28515625" style="128" customWidth="1"/>
    <col min="8970" max="9216" width="9.140625" style="128"/>
    <col min="9217" max="9217" width="6.7109375" style="128" customWidth="1"/>
    <col min="9218" max="9218" width="61.85546875" style="128" customWidth="1"/>
    <col min="9219" max="9219" width="19.28515625" style="128" customWidth="1"/>
    <col min="9220" max="9220" width="19.42578125" style="128" customWidth="1"/>
    <col min="9221" max="9221" width="9.7109375" style="128" customWidth="1"/>
    <col min="9222" max="9222" width="23.7109375" style="128" customWidth="1"/>
    <col min="9223" max="9223" width="18.7109375" style="128" customWidth="1"/>
    <col min="9224" max="9224" width="17.7109375" style="128" customWidth="1"/>
    <col min="9225" max="9225" width="29.28515625" style="128" customWidth="1"/>
    <col min="9226" max="9472" width="9.140625" style="128"/>
    <col min="9473" max="9473" width="6.7109375" style="128" customWidth="1"/>
    <col min="9474" max="9474" width="61.85546875" style="128" customWidth="1"/>
    <col min="9475" max="9475" width="19.28515625" style="128" customWidth="1"/>
    <col min="9476" max="9476" width="19.42578125" style="128" customWidth="1"/>
    <col min="9477" max="9477" width="9.7109375" style="128" customWidth="1"/>
    <col min="9478" max="9478" width="23.7109375" style="128" customWidth="1"/>
    <col min="9479" max="9479" width="18.7109375" style="128" customWidth="1"/>
    <col min="9480" max="9480" width="17.7109375" style="128" customWidth="1"/>
    <col min="9481" max="9481" width="29.28515625" style="128" customWidth="1"/>
    <col min="9482" max="9728" width="9.140625" style="128"/>
    <col min="9729" max="9729" width="6.7109375" style="128" customWidth="1"/>
    <col min="9730" max="9730" width="61.85546875" style="128" customWidth="1"/>
    <col min="9731" max="9731" width="19.28515625" style="128" customWidth="1"/>
    <col min="9732" max="9732" width="19.42578125" style="128" customWidth="1"/>
    <col min="9733" max="9733" width="9.7109375" style="128" customWidth="1"/>
    <col min="9734" max="9734" width="23.7109375" style="128" customWidth="1"/>
    <col min="9735" max="9735" width="18.7109375" style="128" customWidth="1"/>
    <col min="9736" max="9736" width="17.7109375" style="128" customWidth="1"/>
    <col min="9737" max="9737" width="29.28515625" style="128" customWidth="1"/>
    <col min="9738" max="9984" width="9.140625" style="128"/>
    <col min="9985" max="9985" width="6.7109375" style="128" customWidth="1"/>
    <col min="9986" max="9986" width="61.85546875" style="128" customWidth="1"/>
    <col min="9987" max="9987" width="19.28515625" style="128" customWidth="1"/>
    <col min="9988" max="9988" width="19.42578125" style="128" customWidth="1"/>
    <col min="9989" max="9989" width="9.7109375" style="128" customWidth="1"/>
    <col min="9990" max="9990" width="23.7109375" style="128" customWidth="1"/>
    <col min="9991" max="9991" width="18.7109375" style="128" customWidth="1"/>
    <col min="9992" max="9992" width="17.7109375" style="128" customWidth="1"/>
    <col min="9993" max="9993" width="29.28515625" style="128" customWidth="1"/>
    <col min="9994" max="10240" width="9.140625" style="128"/>
    <col min="10241" max="10241" width="6.7109375" style="128" customWidth="1"/>
    <col min="10242" max="10242" width="61.85546875" style="128" customWidth="1"/>
    <col min="10243" max="10243" width="19.28515625" style="128" customWidth="1"/>
    <col min="10244" max="10244" width="19.42578125" style="128" customWidth="1"/>
    <col min="10245" max="10245" width="9.7109375" style="128" customWidth="1"/>
    <col min="10246" max="10246" width="23.7109375" style="128" customWidth="1"/>
    <col min="10247" max="10247" width="18.7109375" style="128" customWidth="1"/>
    <col min="10248" max="10248" width="17.7109375" style="128" customWidth="1"/>
    <col min="10249" max="10249" width="29.28515625" style="128" customWidth="1"/>
    <col min="10250" max="10496" width="9.140625" style="128"/>
    <col min="10497" max="10497" width="6.7109375" style="128" customWidth="1"/>
    <col min="10498" max="10498" width="61.85546875" style="128" customWidth="1"/>
    <col min="10499" max="10499" width="19.28515625" style="128" customWidth="1"/>
    <col min="10500" max="10500" width="19.42578125" style="128" customWidth="1"/>
    <col min="10501" max="10501" width="9.7109375" style="128" customWidth="1"/>
    <col min="10502" max="10502" width="23.7109375" style="128" customWidth="1"/>
    <col min="10503" max="10503" width="18.7109375" style="128" customWidth="1"/>
    <col min="10504" max="10504" width="17.7109375" style="128" customWidth="1"/>
    <col min="10505" max="10505" width="29.28515625" style="128" customWidth="1"/>
    <col min="10506" max="10752" width="9.140625" style="128"/>
    <col min="10753" max="10753" width="6.7109375" style="128" customWidth="1"/>
    <col min="10754" max="10754" width="61.85546875" style="128" customWidth="1"/>
    <col min="10755" max="10755" width="19.28515625" style="128" customWidth="1"/>
    <col min="10756" max="10756" width="19.42578125" style="128" customWidth="1"/>
    <col min="10757" max="10757" width="9.7109375" style="128" customWidth="1"/>
    <col min="10758" max="10758" width="23.7109375" style="128" customWidth="1"/>
    <col min="10759" max="10759" width="18.7109375" style="128" customWidth="1"/>
    <col min="10760" max="10760" width="17.7109375" style="128" customWidth="1"/>
    <col min="10761" max="10761" width="29.28515625" style="128" customWidth="1"/>
    <col min="10762" max="11008" width="9.140625" style="128"/>
    <col min="11009" max="11009" width="6.7109375" style="128" customWidth="1"/>
    <col min="11010" max="11010" width="61.85546875" style="128" customWidth="1"/>
    <col min="11011" max="11011" width="19.28515625" style="128" customWidth="1"/>
    <col min="11012" max="11012" width="19.42578125" style="128" customWidth="1"/>
    <col min="11013" max="11013" width="9.7109375" style="128" customWidth="1"/>
    <col min="11014" max="11014" width="23.7109375" style="128" customWidth="1"/>
    <col min="11015" max="11015" width="18.7109375" style="128" customWidth="1"/>
    <col min="11016" max="11016" width="17.7109375" style="128" customWidth="1"/>
    <col min="11017" max="11017" width="29.28515625" style="128" customWidth="1"/>
    <col min="11018" max="11264" width="9.140625" style="128"/>
    <col min="11265" max="11265" width="6.7109375" style="128" customWidth="1"/>
    <col min="11266" max="11266" width="61.85546875" style="128" customWidth="1"/>
    <col min="11267" max="11267" width="19.28515625" style="128" customWidth="1"/>
    <col min="11268" max="11268" width="19.42578125" style="128" customWidth="1"/>
    <col min="11269" max="11269" width="9.7109375" style="128" customWidth="1"/>
    <col min="11270" max="11270" width="23.7109375" style="128" customWidth="1"/>
    <col min="11271" max="11271" width="18.7109375" style="128" customWidth="1"/>
    <col min="11272" max="11272" width="17.7109375" style="128" customWidth="1"/>
    <col min="11273" max="11273" width="29.28515625" style="128" customWidth="1"/>
    <col min="11274" max="11520" width="9.140625" style="128"/>
    <col min="11521" max="11521" width="6.7109375" style="128" customWidth="1"/>
    <col min="11522" max="11522" width="61.85546875" style="128" customWidth="1"/>
    <col min="11523" max="11523" width="19.28515625" style="128" customWidth="1"/>
    <col min="11524" max="11524" width="19.42578125" style="128" customWidth="1"/>
    <col min="11525" max="11525" width="9.7109375" style="128" customWidth="1"/>
    <col min="11526" max="11526" width="23.7109375" style="128" customWidth="1"/>
    <col min="11527" max="11527" width="18.7109375" style="128" customWidth="1"/>
    <col min="11528" max="11528" width="17.7109375" style="128" customWidth="1"/>
    <col min="11529" max="11529" width="29.28515625" style="128" customWidth="1"/>
    <col min="11530" max="11776" width="9.140625" style="128"/>
    <col min="11777" max="11777" width="6.7109375" style="128" customWidth="1"/>
    <col min="11778" max="11778" width="61.85546875" style="128" customWidth="1"/>
    <col min="11779" max="11779" width="19.28515625" style="128" customWidth="1"/>
    <col min="11780" max="11780" width="19.42578125" style="128" customWidth="1"/>
    <col min="11781" max="11781" width="9.7109375" style="128" customWidth="1"/>
    <col min="11782" max="11782" width="23.7109375" style="128" customWidth="1"/>
    <col min="11783" max="11783" width="18.7109375" style="128" customWidth="1"/>
    <col min="11784" max="11784" width="17.7109375" style="128" customWidth="1"/>
    <col min="11785" max="11785" width="29.28515625" style="128" customWidth="1"/>
    <col min="11786" max="12032" width="9.140625" style="128"/>
    <col min="12033" max="12033" width="6.7109375" style="128" customWidth="1"/>
    <col min="12034" max="12034" width="61.85546875" style="128" customWidth="1"/>
    <col min="12035" max="12035" width="19.28515625" style="128" customWidth="1"/>
    <col min="12036" max="12036" width="19.42578125" style="128" customWidth="1"/>
    <col min="12037" max="12037" width="9.7109375" style="128" customWidth="1"/>
    <col min="12038" max="12038" width="23.7109375" style="128" customWidth="1"/>
    <col min="12039" max="12039" width="18.7109375" style="128" customWidth="1"/>
    <col min="12040" max="12040" width="17.7109375" style="128" customWidth="1"/>
    <col min="12041" max="12041" width="29.28515625" style="128" customWidth="1"/>
    <col min="12042" max="12288" width="9.140625" style="128"/>
    <col min="12289" max="12289" width="6.7109375" style="128" customWidth="1"/>
    <col min="12290" max="12290" width="61.85546875" style="128" customWidth="1"/>
    <col min="12291" max="12291" width="19.28515625" style="128" customWidth="1"/>
    <col min="12292" max="12292" width="19.42578125" style="128" customWidth="1"/>
    <col min="12293" max="12293" width="9.7109375" style="128" customWidth="1"/>
    <col min="12294" max="12294" width="23.7109375" style="128" customWidth="1"/>
    <col min="12295" max="12295" width="18.7109375" style="128" customWidth="1"/>
    <col min="12296" max="12296" width="17.7109375" style="128" customWidth="1"/>
    <col min="12297" max="12297" width="29.28515625" style="128" customWidth="1"/>
    <col min="12298" max="12544" width="9.140625" style="128"/>
    <col min="12545" max="12545" width="6.7109375" style="128" customWidth="1"/>
    <col min="12546" max="12546" width="61.85546875" style="128" customWidth="1"/>
    <col min="12547" max="12547" width="19.28515625" style="128" customWidth="1"/>
    <col min="12548" max="12548" width="19.42578125" style="128" customWidth="1"/>
    <col min="12549" max="12549" width="9.7109375" style="128" customWidth="1"/>
    <col min="12550" max="12550" width="23.7109375" style="128" customWidth="1"/>
    <col min="12551" max="12551" width="18.7109375" style="128" customWidth="1"/>
    <col min="12552" max="12552" width="17.7109375" style="128" customWidth="1"/>
    <col min="12553" max="12553" width="29.28515625" style="128" customWidth="1"/>
    <col min="12554" max="12800" width="9.140625" style="128"/>
    <col min="12801" max="12801" width="6.7109375" style="128" customWidth="1"/>
    <col min="12802" max="12802" width="61.85546875" style="128" customWidth="1"/>
    <col min="12803" max="12803" width="19.28515625" style="128" customWidth="1"/>
    <col min="12804" max="12804" width="19.42578125" style="128" customWidth="1"/>
    <col min="12805" max="12805" width="9.7109375" style="128" customWidth="1"/>
    <col min="12806" max="12806" width="23.7109375" style="128" customWidth="1"/>
    <col min="12807" max="12807" width="18.7109375" style="128" customWidth="1"/>
    <col min="12808" max="12808" width="17.7109375" style="128" customWidth="1"/>
    <col min="12809" max="12809" width="29.28515625" style="128" customWidth="1"/>
    <col min="12810" max="13056" width="9.140625" style="128"/>
    <col min="13057" max="13057" width="6.7109375" style="128" customWidth="1"/>
    <col min="13058" max="13058" width="61.85546875" style="128" customWidth="1"/>
    <col min="13059" max="13059" width="19.28515625" style="128" customWidth="1"/>
    <col min="13060" max="13060" width="19.42578125" style="128" customWidth="1"/>
    <col min="13061" max="13061" width="9.7109375" style="128" customWidth="1"/>
    <col min="13062" max="13062" width="23.7109375" style="128" customWidth="1"/>
    <col min="13063" max="13063" width="18.7109375" style="128" customWidth="1"/>
    <col min="13064" max="13064" width="17.7109375" style="128" customWidth="1"/>
    <col min="13065" max="13065" width="29.28515625" style="128" customWidth="1"/>
    <col min="13066" max="13312" width="9.140625" style="128"/>
    <col min="13313" max="13313" width="6.7109375" style="128" customWidth="1"/>
    <col min="13314" max="13314" width="61.85546875" style="128" customWidth="1"/>
    <col min="13315" max="13315" width="19.28515625" style="128" customWidth="1"/>
    <col min="13316" max="13316" width="19.42578125" style="128" customWidth="1"/>
    <col min="13317" max="13317" width="9.7109375" style="128" customWidth="1"/>
    <col min="13318" max="13318" width="23.7109375" style="128" customWidth="1"/>
    <col min="13319" max="13319" width="18.7109375" style="128" customWidth="1"/>
    <col min="13320" max="13320" width="17.7109375" style="128" customWidth="1"/>
    <col min="13321" max="13321" width="29.28515625" style="128" customWidth="1"/>
    <col min="13322" max="13568" width="9.140625" style="128"/>
    <col min="13569" max="13569" width="6.7109375" style="128" customWidth="1"/>
    <col min="13570" max="13570" width="61.85546875" style="128" customWidth="1"/>
    <col min="13571" max="13571" width="19.28515625" style="128" customWidth="1"/>
    <col min="13572" max="13572" width="19.42578125" style="128" customWidth="1"/>
    <col min="13573" max="13573" width="9.7109375" style="128" customWidth="1"/>
    <col min="13574" max="13574" width="23.7109375" style="128" customWidth="1"/>
    <col min="13575" max="13575" width="18.7109375" style="128" customWidth="1"/>
    <col min="13576" max="13576" width="17.7109375" style="128" customWidth="1"/>
    <col min="13577" max="13577" width="29.28515625" style="128" customWidth="1"/>
    <col min="13578" max="13824" width="9.140625" style="128"/>
    <col min="13825" max="13825" width="6.7109375" style="128" customWidth="1"/>
    <col min="13826" max="13826" width="61.85546875" style="128" customWidth="1"/>
    <col min="13827" max="13827" width="19.28515625" style="128" customWidth="1"/>
    <col min="13828" max="13828" width="19.42578125" style="128" customWidth="1"/>
    <col min="13829" max="13829" width="9.7109375" style="128" customWidth="1"/>
    <col min="13830" max="13830" width="23.7109375" style="128" customWidth="1"/>
    <col min="13831" max="13831" width="18.7109375" style="128" customWidth="1"/>
    <col min="13832" max="13832" width="17.7109375" style="128" customWidth="1"/>
    <col min="13833" max="13833" width="29.28515625" style="128" customWidth="1"/>
    <col min="13834" max="14080" width="9.140625" style="128"/>
    <col min="14081" max="14081" width="6.7109375" style="128" customWidth="1"/>
    <col min="14082" max="14082" width="61.85546875" style="128" customWidth="1"/>
    <col min="14083" max="14083" width="19.28515625" style="128" customWidth="1"/>
    <col min="14084" max="14084" width="19.42578125" style="128" customWidth="1"/>
    <col min="14085" max="14085" width="9.7109375" style="128" customWidth="1"/>
    <col min="14086" max="14086" width="23.7109375" style="128" customWidth="1"/>
    <col min="14087" max="14087" width="18.7109375" style="128" customWidth="1"/>
    <col min="14088" max="14088" width="17.7109375" style="128" customWidth="1"/>
    <col min="14089" max="14089" width="29.28515625" style="128" customWidth="1"/>
    <col min="14090" max="14336" width="9.140625" style="128"/>
    <col min="14337" max="14337" width="6.7109375" style="128" customWidth="1"/>
    <col min="14338" max="14338" width="61.85546875" style="128" customWidth="1"/>
    <col min="14339" max="14339" width="19.28515625" style="128" customWidth="1"/>
    <col min="14340" max="14340" width="19.42578125" style="128" customWidth="1"/>
    <col min="14341" max="14341" width="9.7109375" style="128" customWidth="1"/>
    <col min="14342" max="14342" width="23.7109375" style="128" customWidth="1"/>
    <col min="14343" max="14343" width="18.7109375" style="128" customWidth="1"/>
    <col min="14344" max="14344" width="17.7109375" style="128" customWidth="1"/>
    <col min="14345" max="14345" width="29.28515625" style="128" customWidth="1"/>
    <col min="14346" max="14592" width="9.140625" style="128"/>
    <col min="14593" max="14593" width="6.7109375" style="128" customWidth="1"/>
    <col min="14594" max="14594" width="61.85546875" style="128" customWidth="1"/>
    <col min="14595" max="14595" width="19.28515625" style="128" customWidth="1"/>
    <col min="14596" max="14596" width="19.42578125" style="128" customWidth="1"/>
    <col min="14597" max="14597" width="9.7109375" style="128" customWidth="1"/>
    <col min="14598" max="14598" width="23.7109375" style="128" customWidth="1"/>
    <col min="14599" max="14599" width="18.7109375" style="128" customWidth="1"/>
    <col min="14600" max="14600" width="17.7109375" style="128" customWidth="1"/>
    <col min="14601" max="14601" width="29.28515625" style="128" customWidth="1"/>
    <col min="14602" max="14848" width="9.140625" style="128"/>
    <col min="14849" max="14849" width="6.7109375" style="128" customWidth="1"/>
    <col min="14850" max="14850" width="61.85546875" style="128" customWidth="1"/>
    <col min="14851" max="14851" width="19.28515625" style="128" customWidth="1"/>
    <col min="14852" max="14852" width="19.42578125" style="128" customWidth="1"/>
    <col min="14853" max="14853" width="9.7109375" style="128" customWidth="1"/>
    <col min="14854" max="14854" width="23.7109375" style="128" customWidth="1"/>
    <col min="14855" max="14855" width="18.7109375" style="128" customWidth="1"/>
    <col min="14856" max="14856" width="17.7109375" style="128" customWidth="1"/>
    <col min="14857" max="14857" width="29.28515625" style="128" customWidth="1"/>
    <col min="14858" max="15104" width="9.140625" style="128"/>
    <col min="15105" max="15105" width="6.7109375" style="128" customWidth="1"/>
    <col min="15106" max="15106" width="61.85546875" style="128" customWidth="1"/>
    <col min="15107" max="15107" width="19.28515625" style="128" customWidth="1"/>
    <col min="15108" max="15108" width="19.42578125" style="128" customWidth="1"/>
    <col min="15109" max="15109" width="9.7109375" style="128" customWidth="1"/>
    <col min="15110" max="15110" width="23.7109375" style="128" customWidth="1"/>
    <col min="15111" max="15111" width="18.7109375" style="128" customWidth="1"/>
    <col min="15112" max="15112" width="17.7109375" style="128" customWidth="1"/>
    <col min="15113" max="15113" width="29.28515625" style="128" customWidth="1"/>
    <col min="15114" max="15360" width="9.140625" style="128"/>
    <col min="15361" max="15361" width="6.7109375" style="128" customWidth="1"/>
    <col min="15362" max="15362" width="61.85546875" style="128" customWidth="1"/>
    <col min="15363" max="15363" width="19.28515625" style="128" customWidth="1"/>
    <col min="15364" max="15364" width="19.42578125" style="128" customWidth="1"/>
    <col min="15365" max="15365" width="9.7109375" style="128" customWidth="1"/>
    <col min="15366" max="15366" width="23.7109375" style="128" customWidth="1"/>
    <col min="15367" max="15367" width="18.7109375" style="128" customWidth="1"/>
    <col min="15368" max="15368" width="17.7109375" style="128" customWidth="1"/>
    <col min="15369" max="15369" width="29.28515625" style="128" customWidth="1"/>
    <col min="15370" max="15616" width="9.140625" style="128"/>
    <col min="15617" max="15617" width="6.7109375" style="128" customWidth="1"/>
    <col min="15618" max="15618" width="61.85546875" style="128" customWidth="1"/>
    <col min="15619" max="15619" width="19.28515625" style="128" customWidth="1"/>
    <col min="15620" max="15620" width="19.42578125" style="128" customWidth="1"/>
    <col min="15621" max="15621" width="9.7109375" style="128" customWidth="1"/>
    <col min="15622" max="15622" width="23.7109375" style="128" customWidth="1"/>
    <col min="15623" max="15623" width="18.7109375" style="128" customWidth="1"/>
    <col min="15624" max="15624" width="17.7109375" style="128" customWidth="1"/>
    <col min="15625" max="15625" width="29.28515625" style="128" customWidth="1"/>
    <col min="15626" max="15872" width="9.140625" style="128"/>
    <col min="15873" max="15873" width="6.7109375" style="128" customWidth="1"/>
    <col min="15874" max="15874" width="61.85546875" style="128" customWidth="1"/>
    <col min="15875" max="15875" width="19.28515625" style="128" customWidth="1"/>
    <col min="15876" max="15876" width="19.42578125" style="128" customWidth="1"/>
    <col min="15877" max="15877" width="9.7109375" style="128" customWidth="1"/>
    <col min="15878" max="15878" width="23.7109375" style="128" customWidth="1"/>
    <col min="15879" max="15879" width="18.7109375" style="128" customWidth="1"/>
    <col min="15880" max="15880" width="17.7109375" style="128" customWidth="1"/>
    <col min="15881" max="15881" width="29.28515625" style="128" customWidth="1"/>
    <col min="15882" max="16128" width="9.140625" style="128"/>
    <col min="16129" max="16129" width="6.7109375" style="128" customWidth="1"/>
    <col min="16130" max="16130" width="61.85546875" style="128" customWidth="1"/>
    <col min="16131" max="16131" width="19.28515625" style="128" customWidth="1"/>
    <col min="16132" max="16132" width="19.42578125" style="128" customWidth="1"/>
    <col min="16133" max="16133" width="9.7109375" style="128" customWidth="1"/>
    <col min="16134" max="16134" width="23.7109375" style="128" customWidth="1"/>
    <col min="16135" max="16135" width="18.7109375" style="128" customWidth="1"/>
    <col min="16136" max="16136" width="17.7109375" style="128" customWidth="1"/>
    <col min="16137" max="16137" width="29.28515625" style="128" customWidth="1"/>
    <col min="16138" max="16384" width="9.140625" style="128"/>
  </cols>
  <sheetData>
    <row r="1" spans="1:9" ht="28.35" customHeight="1">
      <c r="B1" s="1980" t="s">
        <v>567</v>
      </c>
      <c r="C1" s="1980"/>
      <c r="D1" s="1980"/>
      <c r="E1" s="1980"/>
      <c r="F1" s="1980"/>
    </row>
    <row r="2" spans="1:9" ht="12" customHeight="1">
      <c r="B2" s="129"/>
      <c r="C2" s="129"/>
      <c r="D2" s="356"/>
      <c r="E2" s="129"/>
    </row>
    <row r="3" spans="1:9" ht="5.0999999999999996" customHeight="1">
      <c r="B3" s="130"/>
    </row>
    <row r="4" spans="1:9" ht="48" customHeight="1">
      <c r="A4" s="1981" t="s">
        <v>454</v>
      </c>
      <c r="B4" s="1983">
        <v>1588</v>
      </c>
      <c r="C4" s="131" t="s">
        <v>568</v>
      </c>
      <c r="D4" s="358" t="s">
        <v>440</v>
      </c>
      <c r="E4" s="1985" t="s">
        <v>456</v>
      </c>
      <c r="F4" s="1987" t="s">
        <v>457</v>
      </c>
      <c r="G4" s="1973" t="s">
        <v>458</v>
      </c>
    </row>
    <row r="5" spans="1:9" ht="52.35" customHeight="1">
      <c r="A5" s="1982"/>
      <c r="B5" s="1984"/>
      <c r="C5" s="133" t="s">
        <v>459</v>
      </c>
      <c r="D5" s="359" t="s">
        <v>569</v>
      </c>
      <c r="E5" s="1986"/>
      <c r="F5" s="1988"/>
      <c r="G5" s="1973"/>
    </row>
    <row r="6" spans="1:9" ht="17.100000000000001" customHeight="1">
      <c r="A6" s="135">
        <v>1</v>
      </c>
      <c r="B6" s="136">
        <v>2</v>
      </c>
      <c r="C6" s="137">
        <v>3</v>
      </c>
      <c r="D6" s="360">
        <v>4</v>
      </c>
      <c r="E6" s="139">
        <v>5</v>
      </c>
      <c r="F6" s="135">
        <v>6</v>
      </c>
      <c r="G6" s="140">
        <v>7</v>
      </c>
    </row>
    <row r="7" spans="1:9" ht="50.1" customHeight="1">
      <c r="A7" s="1974" t="s">
        <v>461</v>
      </c>
      <c r="B7" s="1974"/>
      <c r="C7" s="141">
        <f>C8+C9+C128+C133</f>
        <v>906360589.59000015</v>
      </c>
      <c r="D7" s="361">
        <f>D8+D9</f>
        <v>323387764.80000001</v>
      </c>
      <c r="E7" s="142">
        <f>(D7/C7)*100</f>
        <v>35.679813146585197</v>
      </c>
      <c r="F7" s="143">
        <f>C7-D7</f>
        <v>582972824.7900002</v>
      </c>
      <c r="G7" s="144"/>
      <c r="H7" s="223">
        <f>323387764.8-D7</f>
        <v>0</v>
      </c>
    </row>
    <row r="8" spans="1:9" ht="33" customHeight="1">
      <c r="A8" s="145"/>
      <c r="B8" s="146" t="s">
        <v>462</v>
      </c>
      <c r="C8" s="147">
        <v>516187.82</v>
      </c>
      <c r="D8" s="362">
        <v>516187.82</v>
      </c>
      <c r="E8" s="148">
        <f>(D8/C8)*100</f>
        <v>100</v>
      </c>
      <c r="F8" s="149">
        <f>C8-D8</f>
        <v>0</v>
      </c>
      <c r="G8" s="150"/>
    </row>
    <row r="9" spans="1:9" ht="53.25" customHeight="1">
      <c r="A9" s="1975" t="s">
        <v>570</v>
      </c>
      <c r="B9" s="1976"/>
      <c r="C9" s="151">
        <f>C13+C33+C92+C121</f>
        <v>903889544.2700001</v>
      </c>
      <c r="D9" s="363">
        <f>D13+D33+D92+D121+D128+D133</f>
        <v>322871576.98000002</v>
      </c>
      <c r="E9" s="152">
        <f>(D9/C9)*100</f>
        <v>35.720246907022009</v>
      </c>
      <c r="F9" s="153">
        <f>C9-D9</f>
        <v>581017967.29000008</v>
      </c>
      <c r="G9" s="154"/>
    </row>
    <row r="10" spans="1:9" ht="38.1" customHeight="1">
      <c r="A10" s="324"/>
      <c r="B10" s="325" t="s">
        <v>571</v>
      </c>
      <c r="C10" s="326">
        <f>C18+C67+C112</f>
        <v>508399238.0200001</v>
      </c>
      <c r="D10" s="363">
        <f>D18+D67+D112</f>
        <v>205338484.40000004</v>
      </c>
      <c r="E10" s="164">
        <f>D10/C10*100</f>
        <v>40.389219543228769</v>
      </c>
      <c r="F10" s="326">
        <f>F18+F67+F112</f>
        <v>303060753.62</v>
      </c>
      <c r="G10" s="154"/>
    </row>
    <row r="11" spans="1:9" ht="21.6" customHeight="1">
      <c r="A11" s="324"/>
      <c r="B11" s="327" t="s">
        <v>472</v>
      </c>
      <c r="C11" s="326">
        <f>C25+C28+C87+C90+C115</f>
        <v>61993200</v>
      </c>
      <c r="D11" s="363">
        <f>D25+D28+D87+D90+D115</f>
        <v>0</v>
      </c>
      <c r="E11" s="164">
        <f>D11/C11*100</f>
        <v>0</v>
      </c>
      <c r="F11" s="326">
        <f>F25+F28+F87+F90+F115</f>
        <v>61993200</v>
      </c>
      <c r="G11" s="154"/>
      <c r="H11" s="223"/>
    </row>
    <row r="12" spans="1:9" ht="20.45" customHeight="1">
      <c r="A12" s="324"/>
      <c r="B12" s="327" t="s">
        <v>474</v>
      </c>
      <c r="C12" s="326">
        <f>C19+C22+C23+C26+C29+C30+C68+C77+C80+C88+C91+C113+C116+C117+C118+C119+C120</f>
        <v>446406038.0200001</v>
      </c>
      <c r="D12" s="363">
        <f>D19+D22+D23+D26+D29+D30+D68+D77+D80+D88+D91+D113+D116+D117+D118+D119+D120</f>
        <v>205338484.40000001</v>
      </c>
      <c r="E12" s="164">
        <f>D12/C12*100</f>
        <v>45.998142254249778</v>
      </c>
      <c r="F12" s="326">
        <f>C12-D12</f>
        <v>241067553.62000009</v>
      </c>
      <c r="G12" s="154"/>
      <c r="H12" s="223"/>
      <c r="I12" s="223"/>
    </row>
    <row r="13" spans="1:9" ht="41.1" customHeight="1">
      <c r="A13" s="155" t="s">
        <v>16</v>
      </c>
      <c r="B13" s="328" t="s">
        <v>17</v>
      </c>
      <c r="C13" s="157">
        <f>C14+C16+C18</f>
        <v>63430095.919999994</v>
      </c>
      <c r="D13" s="364">
        <f>D14+D16+D18</f>
        <v>19046763.550000001</v>
      </c>
      <c r="E13" s="158">
        <f>(D13/C13)*100</f>
        <v>30.027959557277622</v>
      </c>
      <c r="F13" s="157">
        <f>F14+F16+F18</f>
        <v>44383332.36999999</v>
      </c>
      <c r="G13" s="160"/>
    </row>
    <row r="14" spans="1:9" ht="60.6" customHeight="1">
      <c r="A14" s="329" t="s">
        <v>172</v>
      </c>
      <c r="B14" s="330" t="s">
        <v>466</v>
      </c>
      <c r="C14" s="331">
        <f>C15</f>
        <v>22585493.07</v>
      </c>
      <c r="D14" s="365">
        <f>D15</f>
        <v>5374541</v>
      </c>
      <c r="E14" s="332">
        <f>(D14/C14)*100</f>
        <v>23.796429785006236</v>
      </c>
      <c r="F14" s="331">
        <f>F15</f>
        <v>17210952.07</v>
      </c>
      <c r="G14" s="154"/>
    </row>
    <row r="15" spans="1:9" s="382" customFormat="1" ht="42" customHeight="1">
      <c r="A15" s="405"/>
      <c r="B15" s="397" t="s">
        <v>478</v>
      </c>
      <c r="C15" s="406">
        <v>22585493.07</v>
      </c>
      <c r="D15" s="407">
        <v>5374541</v>
      </c>
      <c r="E15" s="384">
        <f>(D15/C15)*100</f>
        <v>23.796429785006236</v>
      </c>
      <c r="F15" s="380">
        <f>C15-D15</f>
        <v>17210952.07</v>
      </c>
      <c r="G15" s="381" t="s">
        <v>469</v>
      </c>
    </row>
    <row r="16" spans="1:9" ht="71.45" customHeight="1">
      <c r="A16" s="333" t="s">
        <v>173</v>
      </c>
      <c r="B16" s="334" t="s">
        <v>480</v>
      </c>
      <c r="C16" s="335">
        <f>C17</f>
        <v>427500</v>
      </c>
      <c r="D16" s="363">
        <f>D17</f>
        <v>148800</v>
      </c>
      <c r="E16" s="332">
        <f>(D16/C16)*100</f>
        <v>34.807017543859651</v>
      </c>
      <c r="F16" s="335">
        <f>F17</f>
        <v>278700</v>
      </c>
      <c r="G16" s="154"/>
    </row>
    <row r="17" spans="1:7" s="382" customFormat="1" ht="48.6" customHeight="1">
      <c r="A17" s="408"/>
      <c r="B17" s="409" t="s">
        <v>572</v>
      </c>
      <c r="C17" s="379">
        <v>427500</v>
      </c>
      <c r="D17" s="379">
        <v>148800</v>
      </c>
      <c r="E17" s="384">
        <f>(D17/C17)*100</f>
        <v>34.807017543859651</v>
      </c>
      <c r="F17" s="380">
        <f>C17-D17</f>
        <v>278700</v>
      </c>
      <c r="G17" s="381" t="s">
        <v>23</v>
      </c>
    </row>
    <row r="18" spans="1:7" ht="36.6" customHeight="1">
      <c r="A18" s="187" t="s">
        <v>529</v>
      </c>
      <c r="B18" s="336" t="s">
        <v>573</v>
      </c>
      <c r="C18" s="163">
        <f>C19+C22+C23+C24+C27+C30</f>
        <v>40417102.849999994</v>
      </c>
      <c r="D18" s="365">
        <f>D19+D22+D23+D24+D27+D30</f>
        <v>13523422.550000001</v>
      </c>
      <c r="E18" s="164">
        <f>D18/C18*100</f>
        <v>33.459653454601842</v>
      </c>
      <c r="F18" s="163">
        <f>C18-D18</f>
        <v>26893680.299999993</v>
      </c>
      <c r="G18" s="337"/>
    </row>
    <row r="19" spans="1:7" s="382" customFormat="1" ht="36.6" customHeight="1">
      <c r="A19" s="408"/>
      <c r="B19" s="410" t="s">
        <v>574</v>
      </c>
      <c r="C19" s="411">
        <f>C20+C21</f>
        <v>9761959.2599999998</v>
      </c>
      <c r="D19" s="411">
        <f>D20+D21</f>
        <v>5270000</v>
      </c>
      <c r="E19" s="384">
        <f t="shared" ref="E19:E24" si="0">(D19/C19)*100</f>
        <v>53.985064469527401</v>
      </c>
      <c r="F19" s="380">
        <f>C19-D19</f>
        <v>4491959.26</v>
      </c>
      <c r="G19" s="381" t="s">
        <v>23</v>
      </c>
    </row>
    <row r="20" spans="1:7" s="382" customFormat="1" ht="35.450000000000003" customHeight="1">
      <c r="A20" s="408"/>
      <c r="B20" s="392" t="s">
        <v>575</v>
      </c>
      <c r="C20" s="412">
        <v>6812345.9100000001</v>
      </c>
      <c r="D20" s="413">
        <v>4920000</v>
      </c>
      <c r="E20" s="384">
        <f t="shared" si="0"/>
        <v>72.22181705097826</v>
      </c>
      <c r="F20" s="391">
        <f>C20-D20</f>
        <v>1892345.9100000001</v>
      </c>
      <c r="G20" s="381"/>
    </row>
    <row r="21" spans="1:7" s="382" customFormat="1" ht="38.1" customHeight="1">
      <c r="A21" s="408"/>
      <c r="B21" s="414" t="s">
        <v>576</v>
      </c>
      <c r="C21" s="412">
        <v>2949613.35</v>
      </c>
      <c r="D21" s="413">
        <v>350000</v>
      </c>
      <c r="E21" s="384">
        <f t="shared" si="0"/>
        <v>11.865962025158314</v>
      </c>
      <c r="F21" s="391">
        <f>C21-D21</f>
        <v>2599613.35</v>
      </c>
      <c r="G21" s="381"/>
    </row>
    <row r="22" spans="1:7" s="382" customFormat="1" ht="36.6" customHeight="1">
      <c r="A22" s="408"/>
      <c r="B22" s="415" t="s">
        <v>24</v>
      </c>
      <c r="C22" s="406">
        <v>1636120.2</v>
      </c>
      <c r="D22" s="406">
        <v>0</v>
      </c>
      <c r="E22" s="384">
        <f t="shared" si="0"/>
        <v>0</v>
      </c>
      <c r="F22" s="380">
        <f t="shared" ref="F22:F29" si="1">C22-D22</f>
        <v>1636120.2</v>
      </c>
      <c r="G22" s="385" t="s">
        <v>469</v>
      </c>
    </row>
    <row r="23" spans="1:7" s="382" customFormat="1" ht="59.45" customHeight="1">
      <c r="A23" s="408"/>
      <c r="B23" s="415" t="s">
        <v>27</v>
      </c>
      <c r="C23" s="406">
        <v>2000000</v>
      </c>
      <c r="D23" s="406">
        <v>0</v>
      </c>
      <c r="E23" s="384">
        <f t="shared" si="0"/>
        <v>0</v>
      </c>
      <c r="F23" s="380">
        <f t="shared" si="1"/>
        <v>2000000</v>
      </c>
      <c r="G23" s="385" t="s">
        <v>469</v>
      </c>
    </row>
    <row r="24" spans="1:7" s="382" customFormat="1" ht="36.6" customHeight="1">
      <c r="A24" s="408"/>
      <c r="B24" s="397" t="s">
        <v>476</v>
      </c>
      <c r="C24" s="416">
        <f>C25+C26</f>
        <v>10000281.689999999</v>
      </c>
      <c r="D24" s="417">
        <f>D25+D26</f>
        <v>0</v>
      </c>
      <c r="E24" s="384">
        <f t="shared" si="0"/>
        <v>0</v>
      </c>
      <c r="F24" s="380">
        <f t="shared" si="1"/>
        <v>10000281.689999999</v>
      </c>
      <c r="G24" s="381" t="s">
        <v>469</v>
      </c>
    </row>
    <row r="25" spans="1:7" s="382" customFormat="1" ht="27.6" customHeight="1">
      <c r="A25" s="408"/>
      <c r="B25" s="389" t="s">
        <v>472</v>
      </c>
      <c r="C25" s="407">
        <v>7100200</v>
      </c>
      <c r="D25" s="407"/>
      <c r="E25" s="418"/>
      <c r="F25" s="391">
        <f t="shared" si="1"/>
        <v>7100200</v>
      </c>
      <c r="G25" s="381"/>
    </row>
    <row r="26" spans="1:7" s="382" customFormat="1" ht="26.1" customHeight="1">
      <c r="A26" s="408"/>
      <c r="B26" s="389" t="s">
        <v>474</v>
      </c>
      <c r="C26" s="407">
        <v>2900081.69</v>
      </c>
      <c r="D26" s="407"/>
      <c r="E26" s="418"/>
      <c r="F26" s="391">
        <f t="shared" si="1"/>
        <v>2900081.69</v>
      </c>
      <c r="G26" s="381"/>
    </row>
    <row r="27" spans="1:7" s="382" customFormat="1" ht="36.6" customHeight="1">
      <c r="A27" s="408"/>
      <c r="B27" s="419" t="s">
        <v>577</v>
      </c>
      <c r="C27" s="396">
        <f>C28+C29</f>
        <v>6365319.1500000004</v>
      </c>
      <c r="D27" s="396">
        <f>D28+D29</f>
        <v>0</v>
      </c>
      <c r="E27" s="420"/>
      <c r="F27" s="380">
        <f t="shared" si="1"/>
        <v>6365319.1500000004</v>
      </c>
      <c r="G27" s="381" t="s">
        <v>469</v>
      </c>
    </row>
    <row r="28" spans="1:7" s="382" customFormat="1" ht="23.45" customHeight="1">
      <c r="A28" s="408"/>
      <c r="B28" s="421" t="s">
        <v>511</v>
      </c>
      <c r="C28" s="394">
        <v>5983400</v>
      </c>
      <c r="D28" s="394"/>
      <c r="E28" s="420"/>
      <c r="F28" s="422">
        <f t="shared" si="1"/>
        <v>5983400</v>
      </c>
      <c r="G28" s="423"/>
    </row>
    <row r="29" spans="1:7" s="382" customFormat="1" ht="23.1" customHeight="1">
      <c r="A29" s="408"/>
      <c r="B29" s="421" t="s">
        <v>474</v>
      </c>
      <c r="C29" s="394">
        <v>381919.15</v>
      </c>
      <c r="D29" s="394"/>
      <c r="E29" s="420"/>
      <c r="F29" s="391">
        <f t="shared" si="1"/>
        <v>381919.15</v>
      </c>
      <c r="G29" s="423"/>
    </row>
    <row r="30" spans="1:7" s="382" customFormat="1" ht="36.6" customHeight="1">
      <c r="A30" s="408"/>
      <c r="B30" s="397" t="s">
        <v>481</v>
      </c>
      <c r="C30" s="379">
        <f>C31+C32</f>
        <v>10653422.550000001</v>
      </c>
      <c r="D30" s="379">
        <f>D31+D32</f>
        <v>8253422.5499999998</v>
      </c>
      <c r="E30" s="384">
        <f t="shared" ref="E30:E66" si="2">(D30/C30)*100</f>
        <v>77.47202846093812</v>
      </c>
      <c r="F30" s="380">
        <f>C30-D30</f>
        <v>2400000.0000000009</v>
      </c>
      <c r="G30" s="381" t="s">
        <v>23</v>
      </c>
    </row>
    <row r="31" spans="1:7" s="382" customFormat="1" ht="70.349999999999994" customHeight="1">
      <c r="A31" s="408"/>
      <c r="B31" s="389" t="s">
        <v>482</v>
      </c>
      <c r="C31" s="424">
        <v>2658665.2999999998</v>
      </c>
      <c r="D31" s="424">
        <v>1324985.6299999999</v>
      </c>
      <c r="E31" s="384">
        <f t="shared" si="2"/>
        <v>49.836496154668289</v>
      </c>
      <c r="F31" s="391">
        <f>C31-D31</f>
        <v>1333679.67</v>
      </c>
      <c r="G31" s="381"/>
    </row>
    <row r="32" spans="1:7" s="382" customFormat="1" ht="36.6" customHeight="1">
      <c r="A32" s="408"/>
      <c r="B32" s="389" t="s">
        <v>483</v>
      </c>
      <c r="C32" s="424">
        <v>7994757.25</v>
      </c>
      <c r="D32" s="424">
        <v>6928436.9199999999</v>
      </c>
      <c r="E32" s="384">
        <f t="shared" si="2"/>
        <v>86.662255067219206</v>
      </c>
      <c r="F32" s="391">
        <f>C32-D32</f>
        <v>1066320.33</v>
      </c>
      <c r="G32" s="381"/>
    </row>
    <row r="33" spans="1:7" ht="38.450000000000003" customHeight="1">
      <c r="A33" s="197" t="s">
        <v>485</v>
      </c>
      <c r="B33" s="338" t="s">
        <v>41</v>
      </c>
      <c r="C33" s="199">
        <f>C34+C44+C59+C67</f>
        <v>656123454.33000016</v>
      </c>
      <c r="D33" s="365">
        <f>D34+D44+D59+D67</f>
        <v>288665803.73000002</v>
      </c>
      <c r="E33" s="200">
        <f t="shared" si="2"/>
        <v>43.995653839988215</v>
      </c>
      <c r="F33" s="199">
        <f>F34+F44</f>
        <v>234969247.42000002</v>
      </c>
      <c r="G33" s="160"/>
    </row>
    <row r="34" spans="1:7" ht="60" customHeight="1">
      <c r="A34" s="339" t="s">
        <v>174</v>
      </c>
      <c r="B34" s="340" t="s">
        <v>487</v>
      </c>
      <c r="C34" s="331">
        <f>C35+C36+C37+C38+C39+C43</f>
        <v>56249981.049999997</v>
      </c>
      <c r="D34" s="365">
        <f>D35+D36+D37+D38+D39+D43</f>
        <v>29305357.23</v>
      </c>
      <c r="E34" s="332">
        <f t="shared" si="2"/>
        <v>52.098430404715671</v>
      </c>
      <c r="F34" s="331">
        <f>F35+F36+F37+F38+F39+F43</f>
        <v>26944623.82</v>
      </c>
      <c r="G34" s="154"/>
    </row>
    <row r="35" spans="1:7" s="382" customFormat="1" ht="54" customHeight="1">
      <c r="A35" s="408"/>
      <c r="B35" s="397" t="s">
        <v>50</v>
      </c>
      <c r="C35" s="406">
        <v>511257.7</v>
      </c>
      <c r="D35" s="406">
        <v>0</v>
      </c>
      <c r="E35" s="384">
        <f t="shared" si="2"/>
        <v>0</v>
      </c>
      <c r="F35" s="380">
        <f t="shared" ref="F35:F66" si="3">C35-D35</f>
        <v>511257.7</v>
      </c>
      <c r="G35" s="381" t="s">
        <v>469</v>
      </c>
    </row>
    <row r="36" spans="1:7" s="382" customFormat="1" ht="32.450000000000003" customHeight="1">
      <c r="A36" s="408"/>
      <c r="B36" s="397" t="s">
        <v>52</v>
      </c>
      <c r="C36" s="406">
        <v>10000</v>
      </c>
      <c r="D36" s="406">
        <v>0</v>
      </c>
      <c r="E36" s="384">
        <f t="shared" si="2"/>
        <v>0</v>
      </c>
      <c r="F36" s="380">
        <f t="shared" si="3"/>
        <v>10000</v>
      </c>
      <c r="G36" s="381" t="s">
        <v>469</v>
      </c>
    </row>
    <row r="37" spans="1:7" s="382" customFormat="1" ht="33.6" customHeight="1">
      <c r="A37" s="408"/>
      <c r="B37" s="397" t="s">
        <v>495</v>
      </c>
      <c r="C37" s="406">
        <v>30000000</v>
      </c>
      <c r="D37" s="406">
        <v>18743744.23</v>
      </c>
      <c r="E37" s="384">
        <f t="shared" si="2"/>
        <v>62.479147433333338</v>
      </c>
      <c r="F37" s="380">
        <f t="shared" si="3"/>
        <v>11256255.77</v>
      </c>
      <c r="G37" s="381" t="s">
        <v>469</v>
      </c>
    </row>
    <row r="38" spans="1:7" s="382" customFormat="1" ht="21.6" customHeight="1">
      <c r="A38" s="408"/>
      <c r="B38" s="397" t="s">
        <v>496</v>
      </c>
      <c r="C38" s="406">
        <v>699860.35</v>
      </c>
      <c r="D38" s="406">
        <v>171000</v>
      </c>
      <c r="E38" s="384">
        <f t="shared" si="2"/>
        <v>24.433445901028687</v>
      </c>
      <c r="F38" s="380">
        <f t="shared" si="3"/>
        <v>528860.35</v>
      </c>
      <c r="G38" s="381" t="s">
        <v>469</v>
      </c>
    </row>
    <row r="39" spans="1:7" s="382" customFormat="1" ht="49.35" customHeight="1">
      <c r="A39" s="408"/>
      <c r="B39" s="397" t="s">
        <v>152</v>
      </c>
      <c r="C39" s="406">
        <f>C40+C41+C42</f>
        <v>28863</v>
      </c>
      <c r="D39" s="406">
        <f>D40+D41+D42</f>
        <v>21813</v>
      </c>
      <c r="E39" s="384">
        <f t="shared" si="2"/>
        <v>75.574264629456394</v>
      </c>
      <c r="F39" s="380">
        <f>C39-D39</f>
        <v>7050</v>
      </c>
      <c r="G39" s="401"/>
    </row>
    <row r="40" spans="1:7" s="382" customFormat="1" ht="25.35" customHeight="1">
      <c r="A40" s="408"/>
      <c r="B40" s="392" t="s">
        <v>497</v>
      </c>
      <c r="C40" s="425">
        <v>3300</v>
      </c>
      <c r="D40" s="425">
        <v>0</v>
      </c>
      <c r="E40" s="384">
        <f t="shared" si="2"/>
        <v>0</v>
      </c>
      <c r="F40" s="391">
        <f>C40-D40</f>
        <v>3300</v>
      </c>
      <c r="G40" s="401"/>
    </row>
    <row r="41" spans="1:7" s="382" customFormat="1" ht="25.35" customHeight="1">
      <c r="A41" s="408"/>
      <c r="B41" s="392" t="s">
        <v>498</v>
      </c>
      <c r="C41" s="425">
        <v>21813</v>
      </c>
      <c r="D41" s="394">
        <v>21813</v>
      </c>
      <c r="E41" s="384">
        <f t="shared" si="2"/>
        <v>100</v>
      </c>
      <c r="F41" s="391">
        <f>C41-D41</f>
        <v>0</v>
      </c>
      <c r="G41" s="401"/>
    </row>
    <row r="42" spans="1:7" s="382" customFormat="1" ht="25.35" customHeight="1">
      <c r="A42" s="408"/>
      <c r="B42" s="392" t="s">
        <v>499</v>
      </c>
      <c r="C42" s="407">
        <v>3750</v>
      </c>
      <c r="D42" s="394"/>
      <c r="E42" s="384">
        <f t="shared" si="2"/>
        <v>0</v>
      </c>
      <c r="F42" s="391">
        <f>C42-D42</f>
        <v>3750</v>
      </c>
      <c r="G42" s="401"/>
    </row>
    <row r="43" spans="1:7" s="382" customFormat="1" ht="51.6" customHeight="1">
      <c r="A43" s="408"/>
      <c r="B43" s="419" t="s">
        <v>500</v>
      </c>
      <c r="C43" s="416">
        <v>25000000</v>
      </c>
      <c r="D43" s="406">
        <v>10368800</v>
      </c>
      <c r="E43" s="384">
        <f t="shared" si="2"/>
        <v>41.475200000000001</v>
      </c>
      <c r="F43" s="380">
        <f>C43-D43</f>
        <v>14631200</v>
      </c>
      <c r="G43" s="381" t="s">
        <v>23</v>
      </c>
    </row>
    <row r="44" spans="1:7" ht="54.6" customHeight="1">
      <c r="A44" s="341" t="s">
        <v>175</v>
      </c>
      <c r="B44" s="330" t="s">
        <v>502</v>
      </c>
      <c r="C44" s="331">
        <f>C45+C49+C57</f>
        <v>208024623.60000002</v>
      </c>
      <c r="D44" s="365">
        <f>D45+D49+D57</f>
        <v>67448404.650000006</v>
      </c>
      <c r="E44" s="342">
        <f t="shared" si="2"/>
        <v>32.42327926509946</v>
      </c>
      <c r="F44" s="331">
        <v>208024623.60000002</v>
      </c>
      <c r="G44" s="154"/>
    </row>
    <row r="45" spans="1:7" s="382" customFormat="1" ht="35.450000000000003" customHeight="1">
      <c r="A45" s="3026"/>
      <c r="B45" s="447" t="s">
        <v>488</v>
      </c>
      <c r="C45" s="379">
        <f>C46+C47+C48</f>
        <v>204227183.95000002</v>
      </c>
      <c r="D45" s="379">
        <f>D46+D47+D48</f>
        <v>65643815</v>
      </c>
      <c r="E45" s="384">
        <f t="shared" si="2"/>
        <v>32.142545243179413</v>
      </c>
      <c r="F45" s="379">
        <f>F46+F47+F48</f>
        <v>138583368.94999999</v>
      </c>
      <c r="G45" s="401"/>
    </row>
    <row r="46" spans="1:7" s="382" customFormat="1" ht="25.35" customHeight="1">
      <c r="A46" s="3027"/>
      <c r="B46" s="389" t="s">
        <v>505</v>
      </c>
      <c r="C46" s="425">
        <v>170505117.78</v>
      </c>
      <c r="D46" s="425">
        <v>47118215</v>
      </c>
      <c r="E46" s="384">
        <f t="shared" si="2"/>
        <v>27.634487230345702</v>
      </c>
      <c r="F46" s="380">
        <f t="shared" si="3"/>
        <v>123386902.78</v>
      </c>
      <c r="G46" s="381" t="s">
        <v>23</v>
      </c>
    </row>
    <row r="47" spans="1:7" s="382" customFormat="1" ht="25.35" customHeight="1">
      <c r="A47" s="448"/>
      <c r="B47" s="389" t="s">
        <v>506</v>
      </c>
      <c r="C47" s="425">
        <v>1084330.8600000001</v>
      </c>
      <c r="D47" s="425">
        <v>638000</v>
      </c>
      <c r="E47" s="384">
        <f t="shared" si="2"/>
        <v>58.838129904372536</v>
      </c>
      <c r="F47" s="380">
        <f t="shared" si="3"/>
        <v>446330.8600000001</v>
      </c>
      <c r="G47" s="381" t="s">
        <v>23</v>
      </c>
    </row>
    <row r="48" spans="1:7" s="382" customFormat="1" ht="25.35" customHeight="1">
      <c r="A48" s="448"/>
      <c r="B48" s="443" t="s">
        <v>507</v>
      </c>
      <c r="C48" s="425">
        <v>32637735.309999999</v>
      </c>
      <c r="D48" s="449">
        <v>17887600</v>
      </c>
      <c r="E48" s="384">
        <f t="shared" si="2"/>
        <v>54.806498766228273</v>
      </c>
      <c r="F48" s="380">
        <f>C48-D48</f>
        <v>14750135.309999999</v>
      </c>
      <c r="G48" s="423"/>
    </row>
    <row r="49" spans="1:7" s="382" customFormat="1" ht="53.45" customHeight="1">
      <c r="A49" s="426"/>
      <c r="B49" s="427" t="s">
        <v>508</v>
      </c>
      <c r="C49" s="428">
        <f>C50+C51+C52+C53+C54+C55+C56</f>
        <v>3561300</v>
      </c>
      <c r="D49" s="428">
        <f>D50+D51+D52+D53+D54+D55+D56</f>
        <v>1568450</v>
      </c>
      <c r="E49" s="429">
        <f t="shared" si="2"/>
        <v>44.041501698817846</v>
      </c>
      <c r="F49" s="430">
        <f t="shared" si="3"/>
        <v>1992850</v>
      </c>
      <c r="G49" s="431"/>
    </row>
    <row r="50" spans="1:7" s="382" customFormat="1" ht="25.35" customHeight="1">
      <c r="A50" s="432"/>
      <c r="B50" s="433" t="s">
        <v>499</v>
      </c>
      <c r="C50" s="425">
        <v>370000</v>
      </c>
      <c r="D50" s="425">
        <v>218950</v>
      </c>
      <c r="E50" s="384">
        <f t="shared" si="2"/>
        <v>59.175675675675677</v>
      </c>
      <c r="F50" s="391">
        <f t="shared" si="3"/>
        <v>151050</v>
      </c>
      <c r="G50" s="401"/>
    </row>
    <row r="51" spans="1:7" s="382" customFormat="1" ht="25.35" customHeight="1">
      <c r="A51" s="434"/>
      <c r="B51" s="392" t="s">
        <v>497</v>
      </c>
      <c r="C51" s="394">
        <v>288000</v>
      </c>
      <c r="D51" s="425">
        <v>288000</v>
      </c>
      <c r="E51" s="384">
        <f t="shared" si="2"/>
        <v>100</v>
      </c>
      <c r="F51" s="391">
        <f t="shared" si="3"/>
        <v>0</v>
      </c>
      <c r="G51" s="401"/>
    </row>
    <row r="52" spans="1:7" s="382" customFormat="1" ht="25.35" customHeight="1">
      <c r="A52" s="434"/>
      <c r="B52" s="392" t="s">
        <v>498</v>
      </c>
      <c r="C52" s="394">
        <v>167000</v>
      </c>
      <c r="D52" s="425">
        <v>6000</v>
      </c>
      <c r="E52" s="384">
        <f t="shared" si="2"/>
        <v>3.5928143712574849</v>
      </c>
      <c r="F52" s="391">
        <f t="shared" si="3"/>
        <v>161000</v>
      </c>
      <c r="G52" s="401"/>
    </row>
    <row r="53" spans="1:7" s="382" customFormat="1" ht="25.35" customHeight="1">
      <c r="A53" s="434"/>
      <c r="B53" s="392" t="s">
        <v>504</v>
      </c>
      <c r="C53" s="394">
        <v>225000</v>
      </c>
      <c r="D53" s="394">
        <v>98000</v>
      </c>
      <c r="E53" s="384">
        <f t="shared" si="2"/>
        <v>43.55555555555555</v>
      </c>
      <c r="F53" s="391">
        <f t="shared" si="3"/>
        <v>127000</v>
      </c>
      <c r="G53" s="401"/>
    </row>
    <row r="54" spans="1:7" s="382" customFormat="1" ht="25.35" customHeight="1">
      <c r="A54" s="434"/>
      <c r="B54" s="392" t="s">
        <v>232</v>
      </c>
      <c r="C54" s="394">
        <v>300000</v>
      </c>
      <c r="D54" s="394"/>
      <c r="E54" s="384">
        <f t="shared" si="2"/>
        <v>0</v>
      </c>
      <c r="F54" s="391">
        <f t="shared" si="3"/>
        <v>300000</v>
      </c>
      <c r="G54" s="401"/>
    </row>
    <row r="55" spans="1:7" s="382" customFormat="1" ht="25.35" customHeight="1">
      <c r="A55" s="434"/>
      <c r="B55" s="389" t="s">
        <v>23</v>
      </c>
      <c r="C55" s="390">
        <v>1728600</v>
      </c>
      <c r="D55" s="390">
        <v>572500</v>
      </c>
      <c r="E55" s="420">
        <f t="shared" si="2"/>
        <v>33.119287284507692</v>
      </c>
      <c r="F55" s="422">
        <f>C55-D55</f>
        <v>1156100</v>
      </c>
      <c r="G55" s="435"/>
    </row>
    <row r="56" spans="1:7" s="382" customFormat="1" ht="25.35" customHeight="1">
      <c r="A56" s="434"/>
      <c r="B56" s="421" t="s">
        <v>507</v>
      </c>
      <c r="C56" s="390">
        <v>482700</v>
      </c>
      <c r="D56" s="390">
        <v>385000</v>
      </c>
      <c r="E56" s="420">
        <f t="shared" si="2"/>
        <v>79.759685104619848</v>
      </c>
      <c r="F56" s="422">
        <f t="shared" si="3"/>
        <v>97700</v>
      </c>
      <c r="G56" s="435"/>
    </row>
    <row r="57" spans="1:7" ht="47.1" customHeight="1">
      <c r="A57" s="210"/>
      <c r="B57" s="343" t="s">
        <v>578</v>
      </c>
      <c r="C57" s="255">
        <f>C58</f>
        <v>236139.65</v>
      </c>
      <c r="D57" s="366">
        <f>D58</f>
        <v>236139.65</v>
      </c>
      <c r="E57" s="237">
        <f t="shared" si="2"/>
        <v>100</v>
      </c>
      <c r="F57" s="238">
        <f>C57-D57</f>
        <v>0</v>
      </c>
      <c r="G57" s="344"/>
    </row>
    <row r="58" spans="1:7" ht="20.100000000000001" customHeight="1">
      <c r="A58" s="210"/>
      <c r="B58" s="345" t="s">
        <v>474</v>
      </c>
      <c r="C58" s="256">
        <v>236139.65</v>
      </c>
      <c r="D58" s="367">
        <v>236139.65</v>
      </c>
      <c r="E58" s="237">
        <f t="shared" si="2"/>
        <v>100</v>
      </c>
      <c r="F58" s="184">
        <f>C58-D58</f>
        <v>0</v>
      </c>
      <c r="G58" s="346"/>
    </row>
    <row r="59" spans="1:7" s="382" customFormat="1" ht="50.45" customHeight="1">
      <c r="A59" s="436" t="s">
        <v>176</v>
      </c>
      <c r="B59" s="437" t="s">
        <v>512</v>
      </c>
      <c r="C59" s="428">
        <f>C60</f>
        <v>523386</v>
      </c>
      <c r="D59" s="428">
        <f>D60</f>
        <v>96980</v>
      </c>
      <c r="E59" s="384">
        <f t="shared" si="2"/>
        <v>18.529345454406499</v>
      </c>
      <c r="F59" s="430">
        <f t="shared" si="3"/>
        <v>426406</v>
      </c>
      <c r="G59" s="431"/>
    </row>
    <row r="60" spans="1:7" s="382" customFormat="1" ht="33" customHeight="1">
      <c r="A60" s="438"/>
      <c r="B60" s="439" t="s">
        <v>70</v>
      </c>
      <c r="C60" s="379">
        <f>C61+C62+C63+C64+C65+C66</f>
        <v>523386</v>
      </c>
      <c r="D60" s="379">
        <f>D61+D62+D63+D64+D65+D66</f>
        <v>96980</v>
      </c>
      <c r="E60" s="384">
        <f t="shared" si="2"/>
        <v>18.529345454406499</v>
      </c>
      <c r="F60" s="380">
        <f t="shared" si="3"/>
        <v>426406</v>
      </c>
      <c r="G60" s="401"/>
    </row>
    <row r="61" spans="1:7" s="382" customFormat="1" ht="25.35" customHeight="1">
      <c r="A61" s="440"/>
      <c r="B61" s="392" t="s">
        <v>499</v>
      </c>
      <c r="C61" s="394">
        <v>60400</v>
      </c>
      <c r="D61" s="394"/>
      <c r="E61" s="384">
        <f t="shared" si="2"/>
        <v>0</v>
      </c>
      <c r="F61" s="391">
        <f t="shared" si="3"/>
        <v>60400</v>
      </c>
      <c r="G61" s="401"/>
    </row>
    <row r="62" spans="1:7" s="382" customFormat="1" ht="25.35" customHeight="1">
      <c r="A62" s="440"/>
      <c r="B62" s="392" t="s">
        <v>497</v>
      </c>
      <c r="C62" s="394">
        <v>48980</v>
      </c>
      <c r="D62" s="394"/>
      <c r="E62" s="384">
        <f t="shared" si="2"/>
        <v>0</v>
      </c>
      <c r="F62" s="391">
        <f t="shared" si="3"/>
        <v>48980</v>
      </c>
      <c r="G62" s="401"/>
    </row>
    <row r="63" spans="1:7" s="382" customFormat="1" ht="25.35" customHeight="1">
      <c r="A63" s="440"/>
      <c r="B63" s="392" t="s">
        <v>498</v>
      </c>
      <c r="C63" s="394">
        <v>45000</v>
      </c>
      <c r="D63" s="394">
        <v>25680</v>
      </c>
      <c r="E63" s="384">
        <f t="shared" si="2"/>
        <v>57.066666666666663</v>
      </c>
      <c r="F63" s="391">
        <f t="shared" si="3"/>
        <v>19320</v>
      </c>
      <c r="G63" s="401"/>
    </row>
    <row r="64" spans="1:7" s="382" customFormat="1" ht="25.35" customHeight="1">
      <c r="A64" s="440"/>
      <c r="B64" s="392" t="s">
        <v>504</v>
      </c>
      <c r="C64" s="394">
        <v>130000</v>
      </c>
      <c r="D64" s="394"/>
      <c r="E64" s="384">
        <f t="shared" si="2"/>
        <v>0</v>
      </c>
      <c r="F64" s="391">
        <f t="shared" si="3"/>
        <v>130000</v>
      </c>
      <c r="G64" s="401"/>
    </row>
    <row r="65" spans="1:7" s="382" customFormat="1" ht="25.35" customHeight="1">
      <c r="A65" s="440"/>
      <c r="B65" s="392" t="s">
        <v>232</v>
      </c>
      <c r="C65" s="394">
        <v>97000</v>
      </c>
      <c r="D65" s="394"/>
      <c r="E65" s="384">
        <f t="shared" si="2"/>
        <v>0</v>
      </c>
      <c r="F65" s="391">
        <f t="shared" si="3"/>
        <v>97000</v>
      </c>
      <c r="G65" s="401"/>
    </row>
    <row r="66" spans="1:7" s="382" customFormat="1" ht="24.6" customHeight="1">
      <c r="A66" s="440"/>
      <c r="B66" s="392" t="s">
        <v>513</v>
      </c>
      <c r="C66" s="394">
        <v>142006</v>
      </c>
      <c r="D66" s="394">
        <v>71300</v>
      </c>
      <c r="E66" s="384">
        <f t="shared" si="2"/>
        <v>50.209146092418635</v>
      </c>
      <c r="F66" s="391">
        <f t="shared" si="3"/>
        <v>70706</v>
      </c>
      <c r="G66" s="401"/>
    </row>
    <row r="67" spans="1:7" ht="24.6" customHeight="1">
      <c r="A67" s="248" t="s">
        <v>579</v>
      </c>
      <c r="B67" s="336" t="s">
        <v>573</v>
      </c>
      <c r="C67" s="163">
        <f>C68+C77+C80+C86+C89</f>
        <v>391325463.68000007</v>
      </c>
      <c r="D67" s="365">
        <f>D68+D77+D80+D86+D89</f>
        <v>191815061.85000002</v>
      </c>
      <c r="E67" s="164">
        <f>D67/C67*100</f>
        <v>49.016759616454095</v>
      </c>
      <c r="F67" s="163">
        <f>C67-D67</f>
        <v>199510401.83000004</v>
      </c>
      <c r="G67" s="337"/>
    </row>
    <row r="68" spans="1:7" s="382" customFormat="1" ht="35.1" customHeight="1">
      <c r="A68" s="440"/>
      <c r="B68" s="419" t="s">
        <v>488</v>
      </c>
      <c r="C68" s="379">
        <f>C69+C70+C71+C72+C73+C74+C75+C76</f>
        <v>97267723.609999999</v>
      </c>
      <c r="D68" s="379">
        <f>D69+D70+D71+D72+D73+D74+D75+D76</f>
        <v>44730000</v>
      </c>
      <c r="E68" s="384">
        <f t="shared" ref="E68:E91" si="4">(D68/C68)*100</f>
        <v>45.986477672025373</v>
      </c>
      <c r="F68" s="380">
        <f t="shared" ref="F68:F73" si="5">C68-D68</f>
        <v>52537723.609999999</v>
      </c>
      <c r="G68" s="381" t="s">
        <v>23</v>
      </c>
    </row>
    <row r="69" spans="1:7" s="382" customFormat="1" ht="35.450000000000003" customHeight="1">
      <c r="A69" s="440"/>
      <c r="B69" s="392" t="s">
        <v>580</v>
      </c>
      <c r="C69" s="425">
        <v>1316135.75</v>
      </c>
      <c r="D69" s="424">
        <v>526000</v>
      </c>
      <c r="E69" s="384">
        <f t="shared" si="4"/>
        <v>39.965482284027317</v>
      </c>
      <c r="F69" s="391">
        <f t="shared" si="5"/>
        <v>790135.75</v>
      </c>
      <c r="G69" s="381" t="s">
        <v>23</v>
      </c>
    </row>
    <row r="70" spans="1:7" s="382" customFormat="1" ht="35.450000000000003" customHeight="1">
      <c r="A70" s="440"/>
      <c r="B70" s="392" t="s">
        <v>581</v>
      </c>
      <c r="C70" s="398">
        <v>44696405.850000001</v>
      </c>
      <c r="D70" s="424">
        <v>21080702.760000002</v>
      </c>
      <c r="E70" s="384">
        <f t="shared" si="4"/>
        <v>47.164201145716959</v>
      </c>
      <c r="F70" s="391">
        <f t="shared" si="5"/>
        <v>23615703.09</v>
      </c>
      <c r="G70" s="381" t="s">
        <v>23</v>
      </c>
    </row>
    <row r="71" spans="1:7" s="382" customFormat="1" ht="35.450000000000003" customHeight="1">
      <c r="A71" s="440"/>
      <c r="B71" s="392" t="s">
        <v>582</v>
      </c>
      <c r="C71" s="398">
        <v>1518906.06</v>
      </c>
      <c r="D71" s="424">
        <v>1082943.8799999999</v>
      </c>
      <c r="E71" s="384">
        <f t="shared" si="4"/>
        <v>71.297620604660693</v>
      </c>
      <c r="F71" s="391">
        <f t="shared" si="5"/>
        <v>435962.18000000017</v>
      </c>
      <c r="G71" s="381" t="s">
        <v>23</v>
      </c>
    </row>
    <row r="72" spans="1:7" s="382" customFormat="1" ht="35.450000000000003" customHeight="1">
      <c r="A72" s="440"/>
      <c r="B72" s="392" t="s">
        <v>490</v>
      </c>
      <c r="C72" s="425">
        <v>2499640.29</v>
      </c>
      <c r="D72" s="441">
        <v>773679.78</v>
      </c>
      <c r="E72" s="384">
        <f t="shared" si="4"/>
        <v>30.951644646438307</v>
      </c>
      <c r="F72" s="391">
        <f t="shared" si="5"/>
        <v>1725960.51</v>
      </c>
      <c r="G72" s="381" t="s">
        <v>23</v>
      </c>
    </row>
    <row r="73" spans="1:7" s="382" customFormat="1" ht="35.450000000000003" customHeight="1">
      <c r="A73" s="440"/>
      <c r="B73" s="392" t="s">
        <v>583</v>
      </c>
      <c r="C73" s="425">
        <v>8025770.4299999997</v>
      </c>
      <c r="D73" s="441">
        <v>3863236.62</v>
      </c>
      <c r="E73" s="384">
        <f t="shared" si="4"/>
        <v>48.135399008665644</v>
      </c>
      <c r="F73" s="391">
        <f t="shared" si="5"/>
        <v>4162533.8099999996</v>
      </c>
      <c r="G73" s="381" t="s">
        <v>23</v>
      </c>
    </row>
    <row r="74" spans="1:7" s="382" customFormat="1" ht="35.450000000000003" customHeight="1">
      <c r="A74" s="440"/>
      <c r="B74" s="392" t="s">
        <v>491</v>
      </c>
      <c r="C74" s="425">
        <v>17835045.399999999</v>
      </c>
      <c r="D74" s="441">
        <v>7391265.96</v>
      </c>
      <c r="E74" s="384">
        <f t="shared" si="4"/>
        <v>41.442372554880066</v>
      </c>
      <c r="F74" s="391">
        <v>17835045.399999999</v>
      </c>
      <c r="G74" s="381" t="s">
        <v>23</v>
      </c>
    </row>
    <row r="75" spans="1:7" s="382" customFormat="1" ht="35.450000000000003" customHeight="1">
      <c r="A75" s="440"/>
      <c r="B75" s="392" t="s">
        <v>492</v>
      </c>
      <c r="C75" s="425">
        <v>15978390.41</v>
      </c>
      <c r="D75" s="441">
        <v>5696291.3700000001</v>
      </c>
      <c r="E75" s="384">
        <f t="shared" si="4"/>
        <v>35.649969889551599</v>
      </c>
      <c r="F75" s="391">
        <f>C75-D75</f>
        <v>10282099.039999999</v>
      </c>
      <c r="G75" s="381" t="s">
        <v>23</v>
      </c>
    </row>
    <row r="76" spans="1:7" s="382" customFormat="1" ht="35.450000000000003" customHeight="1">
      <c r="A76" s="440"/>
      <c r="B76" s="392" t="s">
        <v>493</v>
      </c>
      <c r="C76" s="398">
        <v>5397429.4199999999</v>
      </c>
      <c r="D76" s="424">
        <v>4315879.63</v>
      </c>
      <c r="E76" s="384">
        <f t="shared" si="4"/>
        <v>79.961761315630127</v>
      </c>
      <c r="F76" s="391">
        <f>C76-D76</f>
        <v>1081549.79</v>
      </c>
      <c r="G76" s="381" t="s">
        <v>23</v>
      </c>
    </row>
    <row r="77" spans="1:7" s="382" customFormat="1" ht="36.6" customHeight="1">
      <c r="A77" s="440"/>
      <c r="B77" s="397" t="s">
        <v>48</v>
      </c>
      <c r="C77" s="406">
        <f>C78+C79</f>
        <v>13643595.4</v>
      </c>
      <c r="D77" s="406">
        <f>D78+D79</f>
        <v>11236213.23</v>
      </c>
      <c r="E77" s="384">
        <f t="shared" si="4"/>
        <v>82.35522163021632</v>
      </c>
      <c r="F77" s="380">
        <f>C77-D77</f>
        <v>2407382.17</v>
      </c>
      <c r="G77" s="442" t="s">
        <v>494</v>
      </c>
    </row>
    <row r="78" spans="1:7" s="382" customFormat="1" ht="24.6" customHeight="1">
      <c r="A78" s="440"/>
      <c r="B78" s="389" t="s">
        <v>23</v>
      </c>
      <c r="C78" s="441">
        <v>12490674.9</v>
      </c>
      <c r="D78" s="441">
        <v>10083292.73</v>
      </c>
      <c r="E78" s="384">
        <f t="shared" si="4"/>
        <v>80.726564502931708</v>
      </c>
      <c r="F78" s="380">
        <f>C78-D78</f>
        <v>2407382.17</v>
      </c>
      <c r="G78" s="442"/>
    </row>
    <row r="79" spans="1:7" s="382" customFormat="1" ht="24.6" customHeight="1">
      <c r="A79" s="440"/>
      <c r="B79" s="443" t="s">
        <v>507</v>
      </c>
      <c r="C79" s="441">
        <v>1152920.5</v>
      </c>
      <c r="D79" s="441">
        <v>1152920.5</v>
      </c>
      <c r="E79" s="384">
        <f t="shared" si="4"/>
        <v>100</v>
      </c>
      <c r="F79" s="380">
        <f>C79-D79</f>
        <v>0</v>
      </c>
      <c r="G79" s="442"/>
    </row>
    <row r="80" spans="1:7" s="382" customFormat="1" ht="35.450000000000003" customHeight="1">
      <c r="A80" s="440"/>
      <c r="B80" s="419" t="s">
        <v>503</v>
      </c>
      <c r="C80" s="379">
        <f>C81+C82+C83+C84+C85</f>
        <v>267865412.27000004</v>
      </c>
      <c r="D80" s="379">
        <f>D81+D82+D83+D84+D85</f>
        <v>135848848.62</v>
      </c>
      <c r="E80" s="384">
        <f t="shared" si="4"/>
        <v>50.715337776819268</v>
      </c>
      <c r="F80" s="379">
        <f>F81+F82+F83+F84+F85+F88</f>
        <v>133288765.06</v>
      </c>
      <c r="G80" s="401"/>
    </row>
    <row r="81" spans="1:7" s="382" customFormat="1" ht="24.6" customHeight="1">
      <c r="A81" s="440"/>
      <c r="B81" s="392" t="s">
        <v>499</v>
      </c>
      <c r="C81" s="425">
        <v>69677291.480000004</v>
      </c>
      <c r="D81" s="425">
        <v>35615340</v>
      </c>
      <c r="E81" s="384">
        <f t="shared" si="4"/>
        <v>51.114702141117149</v>
      </c>
      <c r="F81" s="391">
        <f t="shared" ref="F81:F91" si="6">C81-D81</f>
        <v>34061951.480000004</v>
      </c>
      <c r="G81" s="401"/>
    </row>
    <row r="82" spans="1:7" s="382" customFormat="1" ht="24.6" customHeight="1">
      <c r="A82" s="440"/>
      <c r="B82" s="392" t="s">
        <v>497</v>
      </c>
      <c r="C82" s="425">
        <v>34070813.57</v>
      </c>
      <c r="D82" s="425">
        <v>15923030.01</v>
      </c>
      <c r="E82" s="384">
        <f t="shared" si="4"/>
        <v>46.735103572696985</v>
      </c>
      <c r="F82" s="391">
        <f t="shared" si="6"/>
        <v>18147783.560000002</v>
      </c>
      <c r="G82" s="401"/>
    </row>
    <row r="83" spans="1:7" s="382" customFormat="1" ht="24.6" customHeight="1">
      <c r="A83" s="440"/>
      <c r="B83" s="392" t="s">
        <v>498</v>
      </c>
      <c r="C83" s="425">
        <v>68622819.799999997</v>
      </c>
      <c r="D83" s="425">
        <v>34560720.799999997</v>
      </c>
      <c r="E83" s="384">
        <f t="shared" si="4"/>
        <v>50.363306114098215</v>
      </c>
      <c r="F83" s="391">
        <f t="shared" si="6"/>
        <v>34062099</v>
      </c>
      <c r="G83" s="401"/>
    </row>
    <row r="84" spans="1:7" s="382" customFormat="1" ht="24.6" customHeight="1">
      <c r="A84" s="440"/>
      <c r="B84" s="392" t="s">
        <v>504</v>
      </c>
      <c r="C84" s="425">
        <v>50169324.68</v>
      </c>
      <c r="D84" s="425">
        <v>27552209</v>
      </c>
      <c r="E84" s="384">
        <f t="shared" si="4"/>
        <v>54.918437064359551</v>
      </c>
      <c r="F84" s="391">
        <f t="shared" si="6"/>
        <v>22617115.68</v>
      </c>
      <c r="G84" s="401"/>
    </row>
    <row r="85" spans="1:7" s="382" customFormat="1" ht="24.6" customHeight="1">
      <c r="A85" s="440"/>
      <c r="B85" s="389" t="s">
        <v>232</v>
      </c>
      <c r="C85" s="425">
        <v>45325162.740000002</v>
      </c>
      <c r="D85" s="425">
        <v>22197548.809999999</v>
      </c>
      <c r="E85" s="384">
        <f t="shared" si="4"/>
        <v>48.974007964036268</v>
      </c>
      <c r="F85" s="391">
        <f t="shared" si="6"/>
        <v>23127613.930000003</v>
      </c>
      <c r="G85" s="401"/>
    </row>
    <row r="86" spans="1:7" s="382" customFormat="1" ht="54.6" customHeight="1">
      <c r="A86" s="440"/>
      <c r="B86" s="444" t="s">
        <v>584</v>
      </c>
      <c r="C86" s="396">
        <f>C87+C88</f>
        <v>4386901.41</v>
      </c>
      <c r="D86" s="396">
        <f>D87+D88</f>
        <v>0</v>
      </c>
      <c r="E86" s="420">
        <f t="shared" si="4"/>
        <v>0</v>
      </c>
      <c r="F86" s="380">
        <f t="shared" si="6"/>
        <v>4386901.41</v>
      </c>
      <c r="G86" s="381" t="s">
        <v>585</v>
      </c>
    </row>
    <row r="87" spans="1:7" s="382" customFormat="1" ht="24.6" customHeight="1">
      <c r="A87" s="440"/>
      <c r="B87" s="421" t="s">
        <v>511</v>
      </c>
      <c r="C87" s="394">
        <v>3114700</v>
      </c>
      <c r="D87" s="394"/>
      <c r="E87" s="420">
        <f t="shared" si="4"/>
        <v>0</v>
      </c>
      <c r="F87" s="422">
        <f t="shared" si="6"/>
        <v>3114700</v>
      </c>
      <c r="G87" s="381"/>
    </row>
    <row r="88" spans="1:7" s="382" customFormat="1" ht="24.6" customHeight="1">
      <c r="A88" s="440"/>
      <c r="B88" s="421" t="s">
        <v>474</v>
      </c>
      <c r="C88" s="394">
        <v>1272201.4099999999</v>
      </c>
      <c r="D88" s="394"/>
      <c r="E88" s="420">
        <f t="shared" si="4"/>
        <v>0</v>
      </c>
      <c r="F88" s="391">
        <f t="shared" si="6"/>
        <v>1272201.4099999999</v>
      </c>
      <c r="G88" s="381"/>
    </row>
    <row r="89" spans="1:7" s="382" customFormat="1" ht="51" customHeight="1">
      <c r="A89" s="440"/>
      <c r="B89" s="397" t="s">
        <v>586</v>
      </c>
      <c r="C89" s="406">
        <f>C90+C91</f>
        <v>8161830.9900000002</v>
      </c>
      <c r="D89" s="394"/>
      <c r="E89" s="420">
        <f t="shared" si="4"/>
        <v>0</v>
      </c>
      <c r="F89" s="445">
        <f t="shared" si="6"/>
        <v>8161830.9900000002</v>
      </c>
      <c r="G89" s="446" t="s">
        <v>587</v>
      </c>
    </row>
    <row r="90" spans="1:7" s="382" customFormat="1" ht="24.6" customHeight="1">
      <c r="A90" s="440"/>
      <c r="B90" s="389" t="s">
        <v>472</v>
      </c>
      <c r="C90" s="407">
        <v>5794900</v>
      </c>
      <c r="D90" s="394"/>
      <c r="E90" s="420">
        <f t="shared" si="4"/>
        <v>0</v>
      </c>
      <c r="F90" s="391">
        <f t="shared" si="6"/>
        <v>5794900</v>
      </c>
      <c r="G90" s="423"/>
    </row>
    <row r="91" spans="1:7" s="382" customFormat="1" ht="24.6" customHeight="1">
      <c r="A91" s="440"/>
      <c r="B91" s="389" t="s">
        <v>474</v>
      </c>
      <c r="C91" s="425">
        <v>2366930.9900000002</v>
      </c>
      <c r="D91" s="394"/>
      <c r="E91" s="420">
        <f t="shared" si="4"/>
        <v>0</v>
      </c>
      <c r="F91" s="391">
        <f t="shared" si="6"/>
        <v>2366930.9900000002</v>
      </c>
      <c r="G91" s="423"/>
    </row>
    <row r="92" spans="1:7" ht="38.450000000000003" customHeight="1">
      <c r="A92" s="249" t="s">
        <v>76</v>
      </c>
      <c r="B92" s="348" t="s">
        <v>77</v>
      </c>
      <c r="C92" s="199">
        <f>C93+C101+C112</f>
        <v>155582083.49000001</v>
      </c>
      <c r="D92" s="365">
        <f>D93+D101+D112</f>
        <v>0</v>
      </c>
      <c r="E92" s="200">
        <f>(D92/C92)*100</f>
        <v>0</v>
      </c>
      <c r="F92" s="201">
        <f>C92-D92</f>
        <v>155582083.49000001</v>
      </c>
      <c r="G92" s="160"/>
    </row>
    <row r="93" spans="1:7" ht="49.5" customHeight="1">
      <c r="A93" s="349" t="s">
        <v>177</v>
      </c>
      <c r="B93" s="347" t="s">
        <v>514</v>
      </c>
      <c r="C93" s="331">
        <f>C94+C95+C96+C97+C98+C99+C100</f>
        <v>30899399.999999993</v>
      </c>
      <c r="D93" s="365">
        <f>D94+D95+D96+D97+D98+D99+D100</f>
        <v>0</v>
      </c>
      <c r="E93" s="169">
        <f>(D93/C93)*100</f>
        <v>0</v>
      </c>
      <c r="F93" s="331">
        <f>F94+F95+F96+F97+F98+F99+F100</f>
        <v>30899399.999999993</v>
      </c>
      <c r="G93" s="160"/>
    </row>
    <row r="94" spans="1:7" s="382" customFormat="1" ht="49.5" customHeight="1">
      <c r="A94" s="377" t="s">
        <v>588</v>
      </c>
      <c r="B94" s="378" t="s">
        <v>589</v>
      </c>
      <c r="C94" s="379">
        <v>5700000</v>
      </c>
      <c r="D94" s="379"/>
      <c r="E94" s="379"/>
      <c r="F94" s="380">
        <f t="shared" ref="F94:F100" si="7">C94-D94</f>
        <v>5700000</v>
      </c>
      <c r="G94" s="381" t="s">
        <v>23</v>
      </c>
    </row>
    <row r="95" spans="1:7" s="382" customFormat="1" ht="26.1" customHeight="1">
      <c r="A95" s="377" t="s">
        <v>590</v>
      </c>
      <c r="B95" s="383" t="s">
        <v>591</v>
      </c>
      <c r="C95" s="379">
        <v>24300000</v>
      </c>
      <c r="D95" s="379"/>
      <c r="E95" s="384">
        <f t="shared" ref="E95:E105" si="8">(D95/C95)*100</f>
        <v>0</v>
      </c>
      <c r="F95" s="380">
        <f t="shared" si="7"/>
        <v>24300000</v>
      </c>
      <c r="G95" s="381" t="s">
        <v>23</v>
      </c>
    </row>
    <row r="96" spans="1:7" s="382" customFormat="1" ht="35.1" customHeight="1">
      <c r="A96" s="377" t="s">
        <v>592</v>
      </c>
      <c r="B96" s="383" t="s">
        <v>593</v>
      </c>
      <c r="C96" s="379">
        <v>189347.4</v>
      </c>
      <c r="D96" s="379"/>
      <c r="E96" s="384">
        <f t="shared" si="8"/>
        <v>0</v>
      </c>
      <c r="F96" s="380">
        <f t="shared" si="7"/>
        <v>189347.4</v>
      </c>
      <c r="G96" s="385" t="s">
        <v>516</v>
      </c>
    </row>
    <row r="97" spans="1:7" s="382" customFormat="1" ht="35.1" customHeight="1">
      <c r="A97" s="377" t="s">
        <v>594</v>
      </c>
      <c r="B97" s="383" t="s">
        <v>595</v>
      </c>
      <c r="C97" s="379">
        <v>189347.4</v>
      </c>
      <c r="D97" s="379"/>
      <c r="E97" s="384">
        <f t="shared" si="8"/>
        <v>0</v>
      </c>
      <c r="F97" s="380">
        <f t="shared" si="7"/>
        <v>189347.4</v>
      </c>
      <c r="G97" s="385" t="s">
        <v>516</v>
      </c>
    </row>
    <row r="98" spans="1:7" s="382" customFormat="1" ht="35.1" customHeight="1">
      <c r="A98" s="377" t="s">
        <v>596</v>
      </c>
      <c r="B98" s="383" t="s">
        <v>597</v>
      </c>
      <c r="C98" s="379">
        <v>189347.4</v>
      </c>
      <c r="D98" s="379"/>
      <c r="E98" s="384">
        <f t="shared" si="8"/>
        <v>0</v>
      </c>
      <c r="F98" s="380">
        <f t="shared" si="7"/>
        <v>189347.4</v>
      </c>
      <c r="G98" s="385" t="s">
        <v>516</v>
      </c>
    </row>
    <row r="99" spans="1:7" s="382" customFormat="1" ht="35.1" customHeight="1">
      <c r="A99" s="377" t="s">
        <v>598</v>
      </c>
      <c r="B99" s="383" t="s">
        <v>599</v>
      </c>
      <c r="C99" s="379">
        <v>142010.4</v>
      </c>
      <c r="D99" s="379"/>
      <c r="E99" s="384">
        <f t="shared" si="8"/>
        <v>0</v>
      </c>
      <c r="F99" s="380">
        <f t="shared" si="7"/>
        <v>142010.4</v>
      </c>
      <c r="G99" s="385" t="s">
        <v>516</v>
      </c>
    </row>
    <row r="100" spans="1:7" s="382" customFormat="1" ht="35.1" customHeight="1">
      <c r="A100" s="377" t="s">
        <v>600</v>
      </c>
      <c r="B100" s="383" t="s">
        <v>601</v>
      </c>
      <c r="C100" s="379">
        <v>189347.4</v>
      </c>
      <c r="D100" s="379"/>
      <c r="E100" s="384">
        <f t="shared" si="8"/>
        <v>0</v>
      </c>
      <c r="F100" s="380">
        <f t="shared" si="7"/>
        <v>189347.4</v>
      </c>
      <c r="G100" s="385" t="s">
        <v>516</v>
      </c>
    </row>
    <row r="101" spans="1:7" ht="72.75" customHeight="1">
      <c r="A101" s="349" t="s">
        <v>178</v>
      </c>
      <c r="B101" s="347" t="s">
        <v>515</v>
      </c>
      <c r="C101" s="331">
        <f>C102+C103+C107+C108+C109+C110+C111</f>
        <v>48026012</v>
      </c>
      <c r="D101" s="365">
        <f>D102+D103+D107+D108+D109+D110+D111</f>
        <v>0</v>
      </c>
      <c r="E101" s="332">
        <f t="shared" si="8"/>
        <v>0</v>
      </c>
      <c r="F101" s="331">
        <f>F102+F103+F107+F108+F109+F110+F111</f>
        <v>48026012</v>
      </c>
      <c r="G101" s="154"/>
    </row>
    <row r="102" spans="1:7" s="382" customFormat="1" ht="33.6" customHeight="1">
      <c r="A102" s="377" t="s">
        <v>602</v>
      </c>
      <c r="B102" s="395" t="s">
        <v>106</v>
      </c>
      <c r="C102" s="396">
        <v>5400000</v>
      </c>
      <c r="D102" s="394"/>
      <c r="E102" s="384">
        <f t="shared" si="8"/>
        <v>0</v>
      </c>
      <c r="F102" s="380">
        <f>C102-D102</f>
        <v>5400000</v>
      </c>
      <c r="G102" s="385" t="s">
        <v>469</v>
      </c>
    </row>
    <row r="103" spans="1:7" s="382" customFormat="1" ht="42.6" customHeight="1">
      <c r="A103" s="377" t="s">
        <v>603</v>
      </c>
      <c r="B103" s="386" t="s">
        <v>604</v>
      </c>
      <c r="C103" s="387">
        <f>C104+C105+C106</f>
        <v>2217792</v>
      </c>
      <c r="D103" s="387">
        <f>D104+D105+D106</f>
        <v>0</v>
      </c>
      <c r="E103" s="384">
        <f t="shared" si="8"/>
        <v>0</v>
      </c>
      <c r="F103" s="380">
        <f>C103-D103</f>
        <v>2217792</v>
      </c>
      <c r="G103" s="388" t="s">
        <v>605</v>
      </c>
    </row>
    <row r="104" spans="1:7" s="382" customFormat="1" ht="24.6" customHeight="1">
      <c r="A104" s="377"/>
      <c r="B104" s="389" t="s">
        <v>507</v>
      </c>
      <c r="C104" s="390">
        <v>2106737</v>
      </c>
      <c r="D104" s="390"/>
      <c r="E104" s="384">
        <f t="shared" si="8"/>
        <v>0</v>
      </c>
      <c r="F104" s="391">
        <f>C104-D104</f>
        <v>2106737</v>
      </c>
      <c r="G104" s="388"/>
    </row>
    <row r="105" spans="1:7" s="382" customFormat="1" ht="26.1" customHeight="1">
      <c r="A105" s="377"/>
      <c r="B105" s="392" t="s">
        <v>497</v>
      </c>
      <c r="C105" s="390">
        <v>111055</v>
      </c>
      <c r="D105" s="390"/>
      <c r="E105" s="384">
        <f t="shared" si="8"/>
        <v>0</v>
      </c>
      <c r="F105" s="391">
        <f>C105-D105</f>
        <v>111055</v>
      </c>
      <c r="G105" s="388"/>
    </row>
    <row r="106" spans="1:7" s="382" customFormat="1" ht="26.1" customHeight="1">
      <c r="A106" s="377"/>
      <c r="B106" s="392" t="s">
        <v>504</v>
      </c>
      <c r="C106" s="387">
        <v>0</v>
      </c>
      <c r="D106" s="390"/>
      <c r="E106" s="384"/>
      <c r="F106" s="380"/>
      <c r="G106" s="388"/>
    </row>
    <row r="107" spans="1:7" s="382" customFormat="1" ht="33.6" customHeight="1">
      <c r="A107" s="377" t="s">
        <v>606</v>
      </c>
      <c r="B107" s="393" t="s">
        <v>607</v>
      </c>
      <c r="C107" s="387">
        <v>221000</v>
      </c>
      <c r="D107" s="394"/>
      <c r="E107" s="384">
        <f>(D107/C107)*100</f>
        <v>0</v>
      </c>
      <c r="F107" s="380">
        <f t="shared" ref="F107:F128" si="9">C107-D107</f>
        <v>221000</v>
      </c>
      <c r="G107" s="388" t="s">
        <v>608</v>
      </c>
    </row>
    <row r="108" spans="1:7" s="382" customFormat="1" ht="42" customHeight="1">
      <c r="A108" s="377" t="s">
        <v>609</v>
      </c>
      <c r="B108" s="395" t="s">
        <v>610</v>
      </c>
      <c r="C108" s="387">
        <v>9600000</v>
      </c>
      <c r="D108" s="394"/>
      <c r="E108" s="384">
        <f>(D108/C108)*100</f>
        <v>0</v>
      </c>
      <c r="F108" s="380">
        <f t="shared" si="9"/>
        <v>9600000</v>
      </c>
      <c r="G108" s="385" t="s">
        <v>516</v>
      </c>
    </row>
    <row r="109" spans="1:7" s="382" customFormat="1" ht="29.1" customHeight="1">
      <c r="A109" s="377" t="s">
        <v>611</v>
      </c>
      <c r="B109" s="386" t="s">
        <v>612</v>
      </c>
      <c r="C109" s="387">
        <v>18567322</v>
      </c>
      <c r="D109" s="390"/>
      <c r="E109" s="384">
        <f>(D109/C109)*100</f>
        <v>0</v>
      </c>
      <c r="F109" s="380">
        <f t="shared" si="9"/>
        <v>18567322</v>
      </c>
      <c r="G109" s="385" t="s">
        <v>516</v>
      </c>
    </row>
    <row r="110" spans="1:7" s="382" customFormat="1" ht="29.1" customHeight="1">
      <c r="A110" s="377" t="s">
        <v>613</v>
      </c>
      <c r="B110" s="386" t="s">
        <v>614</v>
      </c>
      <c r="C110" s="387">
        <v>2247623</v>
      </c>
      <c r="D110" s="390"/>
      <c r="E110" s="384">
        <f>(D110/C110)*100</f>
        <v>0</v>
      </c>
      <c r="F110" s="380">
        <f t="shared" si="9"/>
        <v>2247623</v>
      </c>
      <c r="G110" s="385" t="s">
        <v>516</v>
      </c>
    </row>
    <row r="111" spans="1:7" s="382" customFormat="1" ht="29.1" customHeight="1">
      <c r="A111" s="377" t="s">
        <v>615</v>
      </c>
      <c r="B111" s="386" t="s">
        <v>616</v>
      </c>
      <c r="C111" s="387">
        <v>9772275</v>
      </c>
      <c r="D111" s="390"/>
      <c r="E111" s="384">
        <f>(D111/C111)*100</f>
        <v>0</v>
      </c>
      <c r="F111" s="380">
        <f t="shared" si="9"/>
        <v>9772275</v>
      </c>
      <c r="G111" s="385" t="s">
        <v>516</v>
      </c>
    </row>
    <row r="112" spans="1:7" ht="41.1" customHeight="1">
      <c r="A112" s="350" t="s">
        <v>617</v>
      </c>
      <c r="B112" s="336" t="s">
        <v>573</v>
      </c>
      <c r="C112" s="163">
        <f>C113+C114+C117+C118+C119+C120</f>
        <v>76656671.49000001</v>
      </c>
      <c r="D112" s="365">
        <f>D113+D114+D117+D118+D119+D120</f>
        <v>0</v>
      </c>
      <c r="E112" s="164"/>
      <c r="F112" s="163">
        <f t="shared" si="9"/>
        <v>76656671.49000001</v>
      </c>
      <c r="G112" s="337"/>
    </row>
    <row r="113" spans="1:7" s="382" customFormat="1" ht="32.1" customHeight="1">
      <c r="A113" s="377"/>
      <c r="B113" s="395" t="s">
        <v>215</v>
      </c>
      <c r="C113" s="379">
        <v>4050000</v>
      </c>
      <c r="D113" s="379"/>
      <c r="E113" s="384">
        <f t="shared" ref="E113:E128" si="10">(D113/C113)*100</f>
        <v>0</v>
      </c>
      <c r="F113" s="380">
        <f t="shared" si="9"/>
        <v>4050000</v>
      </c>
      <c r="G113" s="385" t="s">
        <v>469</v>
      </c>
    </row>
    <row r="114" spans="1:7" s="382" customFormat="1" ht="40.35" customHeight="1">
      <c r="A114" s="377"/>
      <c r="B114" s="397" t="s">
        <v>476</v>
      </c>
      <c r="C114" s="379">
        <f>C115+C116</f>
        <v>42553191.490000002</v>
      </c>
      <c r="D114" s="379"/>
      <c r="E114" s="384">
        <f t="shared" si="10"/>
        <v>0</v>
      </c>
      <c r="F114" s="380">
        <f t="shared" si="9"/>
        <v>42553191.490000002</v>
      </c>
      <c r="G114" s="381" t="s">
        <v>469</v>
      </c>
    </row>
    <row r="115" spans="1:7" s="382" customFormat="1" ht="29.1" customHeight="1">
      <c r="A115" s="377"/>
      <c r="B115" s="389" t="s">
        <v>472</v>
      </c>
      <c r="C115" s="398">
        <v>40000000</v>
      </c>
      <c r="D115" s="379"/>
      <c r="E115" s="384">
        <f t="shared" si="10"/>
        <v>0</v>
      </c>
      <c r="F115" s="391">
        <f t="shared" si="9"/>
        <v>40000000</v>
      </c>
      <c r="G115" s="381"/>
    </row>
    <row r="116" spans="1:7" s="382" customFormat="1" ht="32.1" customHeight="1">
      <c r="A116" s="377"/>
      <c r="B116" s="389" t="s">
        <v>474</v>
      </c>
      <c r="C116" s="398">
        <v>2553191.4900000002</v>
      </c>
      <c r="D116" s="379"/>
      <c r="E116" s="384">
        <f t="shared" si="10"/>
        <v>0</v>
      </c>
      <c r="F116" s="391">
        <f t="shared" si="9"/>
        <v>2553191.4900000002</v>
      </c>
      <c r="G116" s="381"/>
    </row>
    <row r="117" spans="1:7" s="382" customFormat="1" ht="32.1" customHeight="1">
      <c r="A117" s="377" t="s">
        <v>618</v>
      </c>
      <c r="B117" s="395" t="s">
        <v>619</v>
      </c>
      <c r="C117" s="387">
        <v>3877094</v>
      </c>
      <c r="D117" s="394"/>
      <c r="E117" s="384">
        <f t="shared" si="10"/>
        <v>0</v>
      </c>
      <c r="F117" s="380">
        <f t="shared" si="9"/>
        <v>3877094</v>
      </c>
      <c r="G117" s="385" t="s">
        <v>516</v>
      </c>
    </row>
    <row r="118" spans="1:7" s="382" customFormat="1" ht="38.1" customHeight="1">
      <c r="A118" s="377" t="s">
        <v>620</v>
      </c>
      <c r="B118" s="395" t="s">
        <v>621</v>
      </c>
      <c r="C118" s="387">
        <v>24430686</v>
      </c>
      <c r="D118" s="394"/>
      <c r="E118" s="384">
        <f t="shared" si="10"/>
        <v>0</v>
      </c>
      <c r="F118" s="380">
        <f t="shared" si="9"/>
        <v>24430686</v>
      </c>
      <c r="G118" s="385" t="s">
        <v>516</v>
      </c>
    </row>
    <row r="119" spans="1:7" s="382" customFormat="1" ht="48" customHeight="1">
      <c r="A119" s="377" t="s">
        <v>622</v>
      </c>
      <c r="B119" s="395" t="s">
        <v>623</v>
      </c>
      <c r="C119" s="387">
        <v>1047420</v>
      </c>
      <c r="D119" s="390"/>
      <c r="E119" s="384">
        <f t="shared" si="10"/>
        <v>0</v>
      </c>
      <c r="F119" s="380">
        <f t="shared" si="9"/>
        <v>1047420</v>
      </c>
      <c r="G119" s="385"/>
    </row>
    <row r="120" spans="1:7" s="382" customFormat="1" ht="45.6" customHeight="1">
      <c r="A120" s="377" t="s">
        <v>624</v>
      </c>
      <c r="B120" s="395" t="s">
        <v>625</v>
      </c>
      <c r="C120" s="387">
        <v>698280</v>
      </c>
      <c r="D120" s="390"/>
      <c r="E120" s="384">
        <f t="shared" si="10"/>
        <v>0</v>
      </c>
      <c r="F120" s="380">
        <f t="shared" si="9"/>
        <v>698280</v>
      </c>
      <c r="G120" s="385"/>
    </row>
    <row r="121" spans="1:7" s="382" customFormat="1" ht="31.5">
      <c r="A121" s="399" t="s">
        <v>129</v>
      </c>
      <c r="B121" s="400" t="s">
        <v>130</v>
      </c>
      <c r="C121" s="379">
        <f>C122</f>
        <v>28753910.530000001</v>
      </c>
      <c r="D121" s="379">
        <f>D122</f>
        <v>13469752.199999999</v>
      </c>
      <c r="E121" s="384">
        <f t="shared" si="10"/>
        <v>46.84494022455317</v>
      </c>
      <c r="F121" s="380">
        <f t="shared" si="9"/>
        <v>15284158.330000002</v>
      </c>
      <c r="G121" s="401"/>
    </row>
    <row r="122" spans="1:7" s="382" customFormat="1" ht="59.1" customHeight="1">
      <c r="A122" s="402" t="s">
        <v>134</v>
      </c>
      <c r="B122" s="403" t="s">
        <v>517</v>
      </c>
      <c r="C122" s="396">
        <f>C123+C124+C125+C126+C127</f>
        <v>28753910.530000001</v>
      </c>
      <c r="D122" s="396">
        <f>D123+D124+D125+D126+D127</f>
        <v>13469752.199999999</v>
      </c>
      <c r="E122" s="384">
        <f t="shared" si="10"/>
        <v>46.84494022455317</v>
      </c>
      <c r="F122" s="380">
        <f t="shared" si="9"/>
        <v>15284158.330000002</v>
      </c>
      <c r="G122" s="401"/>
    </row>
    <row r="123" spans="1:7" s="382" customFormat="1" ht="24.6" customHeight="1">
      <c r="A123" s="402"/>
      <c r="B123" s="392" t="s">
        <v>626</v>
      </c>
      <c r="C123" s="404">
        <v>24704143.34</v>
      </c>
      <c r="D123" s="398">
        <v>11733818.619999999</v>
      </c>
      <c r="E123" s="384">
        <f t="shared" si="10"/>
        <v>47.49737102197367</v>
      </c>
      <c r="F123" s="391">
        <f t="shared" si="9"/>
        <v>12970324.720000001</v>
      </c>
      <c r="G123" s="385" t="s">
        <v>469</v>
      </c>
    </row>
    <row r="124" spans="1:7" s="382" customFormat="1" ht="24.6" customHeight="1">
      <c r="A124" s="402"/>
      <c r="B124" s="392" t="s">
        <v>627</v>
      </c>
      <c r="C124" s="390">
        <v>584550</v>
      </c>
      <c r="D124" s="398">
        <v>456978.86</v>
      </c>
      <c r="E124" s="384">
        <f t="shared" si="10"/>
        <v>78.176179967496367</v>
      </c>
      <c r="F124" s="391">
        <f t="shared" si="9"/>
        <v>127571.14000000001</v>
      </c>
      <c r="G124" s="385" t="s">
        <v>469</v>
      </c>
    </row>
    <row r="125" spans="1:7" s="382" customFormat="1" ht="24.6" customHeight="1">
      <c r="A125" s="402"/>
      <c r="B125" s="392" t="s">
        <v>628</v>
      </c>
      <c r="C125" s="390">
        <v>3086342.19</v>
      </c>
      <c r="D125" s="398">
        <v>1160716.8</v>
      </c>
      <c r="E125" s="384">
        <f t="shared" si="10"/>
        <v>37.608169429845368</v>
      </c>
      <c r="F125" s="391">
        <f t="shared" si="9"/>
        <v>1925625.39</v>
      </c>
      <c r="G125" s="385" t="s">
        <v>469</v>
      </c>
    </row>
    <row r="126" spans="1:7" s="382" customFormat="1" ht="24.6" customHeight="1">
      <c r="A126" s="402"/>
      <c r="B126" s="392" t="s">
        <v>629</v>
      </c>
      <c r="C126" s="390">
        <v>378300</v>
      </c>
      <c r="D126" s="398">
        <v>117787.92</v>
      </c>
      <c r="E126" s="384">
        <f t="shared" si="10"/>
        <v>31.136114195083266</v>
      </c>
      <c r="F126" s="391">
        <f t="shared" si="9"/>
        <v>260512.08000000002</v>
      </c>
      <c r="G126" s="385" t="s">
        <v>469</v>
      </c>
    </row>
    <row r="127" spans="1:7" s="382" customFormat="1" ht="24.6" customHeight="1">
      <c r="A127" s="402"/>
      <c r="B127" s="392" t="s">
        <v>630</v>
      </c>
      <c r="C127" s="390">
        <v>575</v>
      </c>
      <c r="D127" s="398">
        <v>450</v>
      </c>
      <c r="E127" s="384">
        <f t="shared" si="10"/>
        <v>78.260869565217391</v>
      </c>
      <c r="F127" s="391">
        <f t="shared" si="9"/>
        <v>125</v>
      </c>
      <c r="G127" s="385"/>
    </row>
    <row r="128" spans="1:7" ht="38.1" customHeight="1">
      <c r="A128" s="262"/>
      <c r="B128" s="263" t="s">
        <v>518</v>
      </c>
      <c r="C128" s="264">
        <f t="shared" ref="C128:F129" si="11">C129</f>
        <v>1686585.5</v>
      </c>
      <c r="D128" s="365">
        <f t="shared" si="11"/>
        <v>1591653.5</v>
      </c>
      <c r="E128" s="265">
        <f t="shared" si="10"/>
        <v>94.371349688468214</v>
      </c>
      <c r="F128" s="266">
        <f t="shared" si="9"/>
        <v>94932</v>
      </c>
      <c r="G128" s="154"/>
    </row>
    <row r="129" spans="1:7" ht="42.75" customHeight="1">
      <c r="A129" s="267"/>
      <c r="B129" s="268" t="s">
        <v>519</v>
      </c>
      <c r="C129" s="206">
        <f>C130</f>
        <v>1686585.5</v>
      </c>
      <c r="D129" s="365">
        <f t="shared" si="11"/>
        <v>1591653.5</v>
      </c>
      <c r="E129" s="206">
        <f t="shared" si="11"/>
        <v>94.371349688468214</v>
      </c>
      <c r="F129" s="206">
        <f t="shared" si="11"/>
        <v>94932</v>
      </c>
      <c r="G129" s="154"/>
    </row>
    <row r="130" spans="1:7" ht="46.35" customHeight="1">
      <c r="A130" s="353"/>
      <c r="B130" s="351" t="s">
        <v>520</v>
      </c>
      <c r="C130" s="331">
        <f>C131+C132</f>
        <v>1686585.5</v>
      </c>
      <c r="D130" s="365">
        <f>D131+D132</f>
        <v>1591653.5</v>
      </c>
      <c r="E130" s="332">
        <f t="shared" ref="E130:E136" si="12">(D130/C130)*100</f>
        <v>94.371349688468214</v>
      </c>
      <c r="F130" s="331">
        <f>F131+F132</f>
        <v>94932</v>
      </c>
      <c r="G130" s="154"/>
    </row>
    <row r="131" spans="1:7" ht="53.45" customHeight="1">
      <c r="A131" s="270"/>
      <c r="B131" s="271" t="s">
        <v>521</v>
      </c>
      <c r="C131" s="256">
        <v>387980</v>
      </c>
      <c r="D131" s="368">
        <v>293048</v>
      </c>
      <c r="E131" s="169">
        <f t="shared" si="12"/>
        <v>75.531728439610291</v>
      </c>
      <c r="F131" s="180">
        <f t="shared" ref="F131:F136" si="13">C131-D131</f>
        <v>94932</v>
      </c>
      <c r="G131" s="175" t="s">
        <v>23</v>
      </c>
    </row>
    <row r="132" spans="1:7" ht="67.349999999999994" customHeight="1">
      <c r="A132" s="267"/>
      <c r="B132" s="273" t="s">
        <v>522</v>
      </c>
      <c r="C132" s="274">
        <v>1298605.5</v>
      </c>
      <c r="D132" s="368">
        <v>1298605.5</v>
      </c>
      <c r="E132" s="169">
        <f t="shared" si="12"/>
        <v>100</v>
      </c>
      <c r="F132" s="174">
        <f t="shared" si="13"/>
        <v>0</v>
      </c>
      <c r="G132" s="175" t="s">
        <v>23</v>
      </c>
    </row>
    <row r="133" spans="1:7" ht="39.6" customHeight="1">
      <c r="A133" s="276"/>
      <c r="B133" s="277" t="s">
        <v>523</v>
      </c>
      <c r="C133" s="278">
        <f t="shared" ref="C133:D135" si="14">C134</f>
        <v>268272</v>
      </c>
      <c r="D133" s="365">
        <f t="shared" si="14"/>
        <v>97604</v>
      </c>
      <c r="E133" s="265">
        <f t="shared" si="12"/>
        <v>36.382477485537066</v>
      </c>
      <c r="F133" s="279">
        <f t="shared" si="13"/>
        <v>170668</v>
      </c>
      <c r="G133" s="154"/>
    </row>
    <row r="134" spans="1:7" ht="47.25">
      <c r="A134" s="280"/>
      <c r="B134" s="281" t="s">
        <v>524</v>
      </c>
      <c r="C134" s="206">
        <f>C135</f>
        <v>268272</v>
      </c>
      <c r="D134" s="365">
        <f>D135</f>
        <v>97604</v>
      </c>
      <c r="E134" s="169">
        <f t="shared" si="12"/>
        <v>36.382477485537066</v>
      </c>
      <c r="F134" s="174">
        <f t="shared" si="13"/>
        <v>170668</v>
      </c>
      <c r="G134" s="154"/>
    </row>
    <row r="135" spans="1:7" ht="51" customHeight="1">
      <c r="A135" s="354"/>
      <c r="B135" s="355" t="s">
        <v>526</v>
      </c>
      <c r="C135" s="331">
        <f t="shared" si="14"/>
        <v>268272</v>
      </c>
      <c r="D135" s="365">
        <f t="shared" si="14"/>
        <v>97604</v>
      </c>
      <c r="E135" s="332">
        <f t="shared" si="12"/>
        <v>36.382477485537066</v>
      </c>
      <c r="F135" s="352">
        <f t="shared" si="13"/>
        <v>170668</v>
      </c>
      <c r="G135" s="154"/>
    </row>
    <row r="136" spans="1:7" ht="29.45" customHeight="1">
      <c r="A136" s="280"/>
      <c r="B136" s="284" t="s">
        <v>527</v>
      </c>
      <c r="C136" s="285">
        <v>268272</v>
      </c>
      <c r="D136" s="369">
        <v>97604</v>
      </c>
      <c r="E136" s="169">
        <f t="shared" si="12"/>
        <v>36.382477485537066</v>
      </c>
      <c r="F136" s="174">
        <f t="shared" si="13"/>
        <v>170668</v>
      </c>
      <c r="G136" s="175" t="s">
        <v>23</v>
      </c>
    </row>
    <row r="137" spans="1:7" ht="15">
      <c r="C137" s="286"/>
      <c r="D137" s="370" t="s">
        <v>528</v>
      </c>
      <c r="E137" s="287"/>
      <c r="F137" s="286"/>
      <c r="G137" s="288"/>
    </row>
    <row r="138" spans="1:7" ht="15">
      <c r="C138" s="286"/>
      <c r="D138" s="370"/>
      <c r="E138" s="287"/>
      <c r="F138" s="286"/>
      <c r="G138" s="288"/>
    </row>
    <row r="139" spans="1:7" ht="15">
      <c r="C139" s="286"/>
      <c r="D139" s="370"/>
      <c r="E139" s="287"/>
      <c r="F139" s="286"/>
      <c r="G139" s="288"/>
    </row>
    <row r="140" spans="1:7" ht="15">
      <c r="C140" s="286"/>
      <c r="D140" s="370"/>
      <c r="E140" s="287"/>
      <c r="F140" s="286"/>
      <c r="G140" s="288"/>
    </row>
    <row r="141" spans="1:7" ht="15">
      <c r="C141" s="286"/>
      <c r="D141" s="370"/>
      <c r="E141" s="287"/>
      <c r="F141" s="286"/>
      <c r="G141" s="288"/>
    </row>
    <row r="142" spans="1:7" ht="15">
      <c r="C142" s="286"/>
      <c r="D142" s="370"/>
      <c r="E142" s="287"/>
      <c r="F142" s="286"/>
      <c r="G142" s="288"/>
    </row>
    <row r="143" spans="1:7" ht="15">
      <c r="C143" s="286"/>
      <c r="D143" s="370"/>
      <c r="E143" s="287"/>
      <c r="F143" s="286"/>
      <c r="G143" s="288"/>
    </row>
    <row r="144" spans="1:7" ht="15">
      <c r="C144" s="286"/>
      <c r="D144" s="370"/>
      <c r="E144" s="287"/>
      <c r="F144" s="286"/>
      <c r="G144" s="288"/>
    </row>
    <row r="145" spans="3:7" ht="15">
      <c r="C145" s="286"/>
      <c r="D145" s="370"/>
      <c r="E145" s="287"/>
      <c r="F145" s="286"/>
      <c r="G145" s="288"/>
    </row>
    <row r="146" spans="3:7" ht="15">
      <c r="C146" s="286"/>
      <c r="D146" s="370"/>
      <c r="E146" s="287"/>
      <c r="F146" s="286"/>
      <c r="G146" s="288"/>
    </row>
    <row r="147" spans="3:7" ht="15">
      <c r="C147" s="286"/>
      <c r="D147" s="370"/>
      <c r="E147" s="287"/>
      <c r="F147" s="286"/>
      <c r="G147" s="288"/>
    </row>
    <row r="148" spans="3:7" ht="15">
      <c r="C148" s="286"/>
      <c r="D148" s="370"/>
      <c r="E148" s="287"/>
      <c r="F148" s="286"/>
      <c r="G148" s="288"/>
    </row>
    <row r="149" spans="3:7">
      <c r="C149" s="286"/>
      <c r="D149" s="371"/>
      <c r="E149" s="286"/>
      <c r="F149" s="286"/>
      <c r="G149" s="288"/>
    </row>
    <row r="150" spans="3:7">
      <c r="C150" s="286"/>
      <c r="D150" s="371"/>
      <c r="E150" s="286"/>
      <c r="F150" s="286"/>
      <c r="G150" s="288"/>
    </row>
    <row r="151" spans="3:7">
      <c r="C151" s="286"/>
      <c r="D151" s="371"/>
      <c r="E151" s="286"/>
      <c r="F151" s="286"/>
      <c r="G151" s="288"/>
    </row>
    <row r="152" spans="3:7">
      <c r="C152" s="286"/>
      <c r="D152" s="371"/>
      <c r="E152" s="286"/>
      <c r="F152" s="286"/>
      <c r="G152" s="288"/>
    </row>
    <row r="153" spans="3:7">
      <c r="C153" s="286"/>
      <c r="D153" s="371"/>
      <c r="E153" s="286"/>
      <c r="F153" s="286"/>
      <c r="G153" s="288"/>
    </row>
    <row r="154" spans="3:7">
      <c r="C154" s="286"/>
      <c r="D154" s="371"/>
      <c r="E154" s="286"/>
      <c r="F154" s="286"/>
      <c r="G154" s="288"/>
    </row>
    <row r="155" spans="3:7">
      <c r="C155" s="286"/>
      <c r="D155" s="371"/>
      <c r="E155" s="286"/>
      <c r="F155" s="286"/>
      <c r="G155" s="288"/>
    </row>
    <row r="156" spans="3:7">
      <c r="C156" s="286"/>
      <c r="D156" s="371"/>
      <c r="E156" s="286"/>
      <c r="F156" s="286"/>
      <c r="G156" s="288"/>
    </row>
    <row r="157" spans="3:7">
      <c r="C157" s="286"/>
      <c r="D157" s="371"/>
      <c r="E157" s="286"/>
      <c r="F157" s="286"/>
      <c r="G157" s="288"/>
    </row>
    <row r="158" spans="3:7">
      <c r="C158" s="286"/>
      <c r="D158" s="371"/>
      <c r="E158" s="286"/>
      <c r="F158" s="286"/>
      <c r="G158" s="288"/>
    </row>
    <row r="159" spans="3:7">
      <c r="C159" s="286"/>
      <c r="D159" s="371"/>
      <c r="E159" s="286"/>
      <c r="F159" s="286"/>
      <c r="G159" s="288"/>
    </row>
    <row r="160" spans="3:7">
      <c r="C160" s="286"/>
      <c r="D160" s="371"/>
      <c r="E160" s="286"/>
      <c r="F160" s="286"/>
      <c r="G160" s="288"/>
    </row>
    <row r="161" spans="3:7">
      <c r="C161" s="286"/>
      <c r="D161" s="371"/>
      <c r="E161" s="286"/>
      <c r="F161" s="286"/>
      <c r="G161" s="288"/>
    </row>
    <row r="162" spans="3:7">
      <c r="C162" s="286"/>
      <c r="D162" s="371"/>
      <c r="E162" s="286"/>
      <c r="F162" s="286"/>
      <c r="G162" s="288"/>
    </row>
    <row r="163" spans="3:7">
      <c r="C163" s="286"/>
      <c r="D163" s="371"/>
      <c r="E163" s="286"/>
      <c r="F163" s="286"/>
      <c r="G163" s="288"/>
    </row>
    <row r="164" spans="3:7">
      <c r="C164" s="286"/>
      <c r="D164" s="371"/>
      <c r="E164" s="286"/>
      <c r="F164" s="286"/>
      <c r="G164" s="288"/>
    </row>
    <row r="165" spans="3:7">
      <c r="C165" s="286"/>
      <c r="D165" s="371"/>
      <c r="E165" s="286"/>
      <c r="F165" s="286"/>
      <c r="G165" s="288"/>
    </row>
    <row r="166" spans="3:7">
      <c r="C166" s="286"/>
      <c r="F166" s="286"/>
      <c r="G166" s="288"/>
    </row>
    <row r="167" spans="3:7">
      <c r="C167" s="286"/>
      <c r="F167" s="286"/>
      <c r="G167" s="288"/>
    </row>
    <row r="168" spans="3:7">
      <c r="C168" s="286"/>
      <c r="F168" s="286"/>
      <c r="G168" s="288"/>
    </row>
    <row r="169" spans="3:7">
      <c r="C169" s="286"/>
      <c r="F169" s="286"/>
      <c r="G169" s="288"/>
    </row>
    <row r="170" spans="3:7">
      <c r="C170" s="286"/>
      <c r="F170" s="286"/>
      <c r="G170" s="288"/>
    </row>
    <row r="171" spans="3:7">
      <c r="C171" s="286"/>
      <c r="F171" s="286"/>
      <c r="G171" s="288"/>
    </row>
    <row r="172" spans="3:7">
      <c r="C172" s="286"/>
      <c r="F172" s="286"/>
      <c r="G172" s="288"/>
    </row>
    <row r="173" spans="3:7">
      <c r="C173" s="286"/>
      <c r="F173" s="286"/>
      <c r="G173" s="288"/>
    </row>
    <row r="174" spans="3:7">
      <c r="C174" s="286"/>
      <c r="F174" s="286"/>
      <c r="G174" s="288"/>
    </row>
    <row r="175" spans="3:7">
      <c r="C175" s="286"/>
      <c r="F175" s="286"/>
      <c r="G175" s="288"/>
    </row>
    <row r="176" spans="3:7">
      <c r="C176" s="286"/>
      <c r="F176" s="286"/>
      <c r="G176" s="288"/>
    </row>
    <row r="177" spans="3:7">
      <c r="C177" s="286"/>
      <c r="F177" s="286"/>
      <c r="G177" s="288"/>
    </row>
    <row r="178" spans="3:7">
      <c r="C178" s="286"/>
      <c r="F178" s="286"/>
      <c r="G178" s="288"/>
    </row>
    <row r="179" spans="3:7">
      <c r="C179" s="286"/>
      <c r="F179" s="286"/>
      <c r="G179" s="288"/>
    </row>
    <row r="180" spans="3:7">
      <c r="C180" s="286"/>
      <c r="F180" s="286"/>
      <c r="G180" s="288"/>
    </row>
    <row r="181" spans="3:7">
      <c r="C181" s="286"/>
      <c r="F181" s="286"/>
      <c r="G181" s="288"/>
    </row>
    <row r="182" spans="3:7">
      <c r="C182" s="286"/>
      <c r="F182" s="286"/>
      <c r="G182" s="288"/>
    </row>
    <row r="183" spans="3:7">
      <c r="C183" s="286"/>
      <c r="F183" s="286"/>
      <c r="G183" s="288"/>
    </row>
    <row r="184" spans="3:7">
      <c r="C184" s="286"/>
      <c r="F184" s="286"/>
      <c r="G184" s="288"/>
    </row>
    <row r="185" spans="3:7">
      <c r="C185" s="286"/>
      <c r="F185" s="286"/>
      <c r="G185" s="288"/>
    </row>
    <row r="186" spans="3:7">
      <c r="C186" s="286"/>
      <c r="F186" s="286"/>
      <c r="G186" s="288"/>
    </row>
    <row r="187" spans="3:7">
      <c r="C187" s="286"/>
      <c r="F187" s="286"/>
      <c r="G187" s="288"/>
    </row>
    <row r="188" spans="3:7">
      <c r="C188" s="286"/>
      <c r="F188" s="286"/>
      <c r="G188" s="288"/>
    </row>
    <row r="189" spans="3:7">
      <c r="C189" s="286"/>
      <c r="F189" s="286"/>
      <c r="G189" s="288"/>
    </row>
    <row r="190" spans="3:7">
      <c r="C190" s="286"/>
      <c r="F190" s="286"/>
      <c r="G190" s="288"/>
    </row>
    <row r="191" spans="3:7">
      <c r="C191" s="286"/>
      <c r="F191" s="286"/>
      <c r="G191" s="288"/>
    </row>
    <row r="192" spans="3:7">
      <c r="C192" s="286"/>
      <c r="F192" s="286"/>
      <c r="G192" s="288"/>
    </row>
    <row r="193" spans="3:7">
      <c r="C193" s="286"/>
      <c r="F193" s="286"/>
      <c r="G193" s="288"/>
    </row>
    <row r="194" spans="3:7">
      <c r="C194" s="286"/>
      <c r="F194" s="286"/>
      <c r="G194" s="288"/>
    </row>
    <row r="195" spans="3:7">
      <c r="C195" s="286"/>
      <c r="F195" s="286"/>
      <c r="G195" s="288"/>
    </row>
    <row r="196" spans="3:7">
      <c r="C196" s="286"/>
      <c r="F196" s="286"/>
      <c r="G196" s="288"/>
    </row>
    <row r="197" spans="3:7">
      <c r="C197" s="286"/>
      <c r="F197" s="286"/>
      <c r="G197" s="288"/>
    </row>
    <row r="198" spans="3:7">
      <c r="C198" s="286"/>
      <c r="F198" s="286"/>
      <c r="G198" s="288"/>
    </row>
    <row r="199" spans="3:7">
      <c r="C199" s="286"/>
      <c r="F199" s="286"/>
      <c r="G199" s="288"/>
    </row>
    <row r="200" spans="3:7">
      <c r="C200" s="286"/>
      <c r="F200" s="286"/>
      <c r="G200" s="288"/>
    </row>
    <row r="201" spans="3:7">
      <c r="C201" s="286"/>
      <c r="F201" s="286"/>
      <c r="G201" s="288"/>
    </row>
    <row r="202" spans="3:7">
      <c r="C202" s="286"/>
      <c r="F202" s="286"/>
      <c r="G202" s="288"/>
    </row>
    <row r="203" spans="3:7">
      <c r="C203" s="286"/>
      <c r="F203" s="286"/>
      <c r="G203" s="288"/>
    </row>
    <row r="204" spans="3:7">
      <c r="C204" s="286"/>
      <c r="F204" s="286"/>
      <c r="G204" s="288"/>
    </row>
    <row r="205" spans="3:7">
      <c r="C205" s="286"/>
      <c r="F205" s="286"/>
      <c r="G205" s="288"/>
    </row>
    <row r="206" spans="3:7">
      <c r="C206" s="286"/>
      <c r="F206" s="286"/>
    </row>
    <row r="207" spans="3:7">
      <c r="C207" s="286"/>
      <c r="F207" s="286"/>
    </row>
    <row r="208" spans="3:7">
      <c r="C208" s="286"/>
      <c r="F208" s="286"/>
    </row>
    <row r="209" spans="3:6">
      <c r="C209" s="286"/>
      <c r="F209" s="286"/>
    </row>
    <row r="210" spans="3:6">
      <c r="C210" s="286"/>
      <c r="F210" s="286"/>
    </row>
    <row r="211" spans="3:6">
      <c r="C211" s="286"/>
      <c r="F211" s="286"/>
    </row>
    <row r="212" spans="3:6">
      <c r="C212" s="286"/>
      <c r="F212" s="286"/>
    </row>
    <row r="213" spans="3:6">
      <c r="C213" s="286"/>
      <c r="F213" s="286"/>
    </row>
    <row r="214" spans="3:6">
      <c r="C214" s="286"/>
      <c r="F214" s="286"/>
    </row>
    <row r="215" spans="3:6">
      <c r="C215" s="286"/>
      <c r="F215" s="286"/>
    </row>
    <row r="216" spans="3:6">
      <c r="C216" s="286"/>
      <c r="F216" s="286"/>
    </row>
    <row r="217" spans="3:6">
      <c r="C217" s="286"/>
      <c r="F217" s="286"/>
    </row>
    <row r="218" spans="3:6">
      <c r="C218" s="286"/>
      <c r="F218" s="286"/>
    </row>
    <row r="219" spans="3:6">
      <c r="C219" s="286"/>
      <c r="F219" s="286"/>
    </row>
    <row r="220" spans="3:6">
      <c r="C220" s="286"/>
      <c r="F220" s="286"/>
    </row>
    <row r="221" spans="3:6">
      <c r="C221" s="286"/>
      <c r="F221" s="286"/>
    </row>
    <row r="222" spans="3:6">
      <c r="C222" s="286"/>
      <c r="F222" s="286"/>
    </row>
    <row r="223" spans="3:6">
      <c r="C223" s="286"/>
      <c r="F223" s="286"/>
    </row>
    <row r="224" spans="3:6">
      <c r="C224" s="286"/>
      <c r="F224" s="286"/>
    </row>
    <row r="225" spans="3:6">
      <c r="C225" s="286"/>
      <c r="F225" s="286"/>
    </row>
    <row r="226" spans="3:6">
      <c r="C226" s="286"/>
      <c r="F226" s="286"/>
    </row>
    <row r="227" spans="3:6">
      <c r="C227" s="286"/>
      <c r="F227" s="286"/>
    </row>
    <row r="228" spans="3:6">
      <c r="C228" s="286"/>
      <c r="F228" s="286"/>
    </row>
    <row r="229" spans="3:6">
      <c r="C229" s="286"/>
      <c r="F229" s="286"/>
    </row>
    <row r="230" spans="3:6">
      <c r="C230" s="286"/>
      <c r="F230" s="286"/>
    </row>
    <row r="231" spans="3:6">
      <c r="C231" s="286"/>
      <c r="F231" s="286"/>
    </row>
    <row r="232" spans="3:6">
      <c r="C232" s="286"/>
      <c r="F232" s="286"/>
    </row>
    <row r="233" spans="3:6">
      <c r="C233" s="286"/>
      <c r="F233" s="286"/>
    </row>
    <row r="234" spans="3:6">
      <c r="C234" s="286"/>
      <c r="F234" s="286"/>
    </row>
    <row r="235" spans="3:6">
      <c r="C235" s="286"/>
      <c r="F235" s="286"/>
    </row>
    <row r="236" spans="3:6">
      <c r="C236" s="286"/>
      <c r="F236" s="286"/>
    </row>
    <row r="237" spans="3:6">
      <c r="C237" s="286"/>
      <c r="F237" s="286"/>
    </row>
    <row r="238" spans="3:6">
      <c r="C238" s="286"/>
      <c r="F238" s="286"/>
    </row>
    <row r="239" spans="3:6">
      <c r="C239" s="286"/>
      <c r="F239" s="286"/>
    </row>
    <row r="240" spans="3:6">
      <c r="C240" s="286"/>
      <c r="F240" s="286"/>
    </row>
    <row r="241" spans="3:6">
      <c r="C241" s="286"/>
      <c r="F241" s="286"/>
    </row>
    <row r="242" spans="3:6">
      <c r="C242" s="286"/>
      <c r="F242" s="286"/>
    </row>
    <row r="243" spans="3:6">
      <c r="C243" s="286"/>
      <c r="F243" s="286"/>
    </row>
    <row r="244" spans="3:6">
      <c r="C244" s="286"/>
      <c r="F244" s="286"/>
    </row>
    <row r="245" spans="3:6">
      <c r="C245" s="286"/>
      <c r="F245" s="286"/>
    </row>
    <row r="246" spans="3:6">
      <c r="C246" s="286"/>
      <c r="F246" s="286"/>
    </row>
    <row r="247" spans="3:6">
      <c r="C247" s="286"/>
      <c r="F247" s="286"/>
    </row>
    <row r="248" spans="3:6">
      <c r="C248" s="286"/>
      <c r="F248" s="286"/>
    </row>
    <row r="249" spans="3:6">
      <c r="C249" s="286"/>
      <c r="F249" s="286"/>
    </row>
    <row r="250" spans="3:6">
      <c r="C250" s="286"/>
      <c r="F250" s="286"/>
    </row>
    <row r="251" spans="3:6">
      <c r="C251" s="286"/>
      <c r="F251" s="286"/>
    </row>
    <row r="252" spans="3:6">
      <c r="C252" s="286"/>
      <c r="F252" s="286"/>
    </row>
    <row r="253" spans="3:6">
      <c r="C253" s="286"/>
      <c r="F253" s="286"/>
    </row>
    <row r="254" spans="3:6">
      <c r="C254" s="286"/>
      <c r="F254" s="286"/>
    </row>
    <row r="255" spans="3:6">
      <c r="C255" s="286"/>
      <c r="F255" s="286"/>
    </row>
    <row r="256" spans="3:6">
      <c r="C256" s="286"/>
      <c r="F256" s="286"/>
    </row>
    <row r="257" spans="3:6">
      <c r="C257" s="286"/>
      <c r="F257" s="286"/>
    </row>
    <row r="258" spans="3:6">
      <c r="C258" s="286"/>
      <c r="F258" s="286"/>
    </row>
    <row r="259" spans="3:6">
      <c r="C259" s="286"/>
      <c r="F259" s="286"/>
    </row>
    <row r="260" spans="3:6">
      <c r="C260" s="286"/>
      <c r="F260" s="286"/>
    </row>
    <row r="261" spans="3:6">
      <c r="C261" s="286"/>
      <c r="F261" s="286"/>
    </row>
    <row r="262" spans="3:6">
      <c r="C262" s="286"/>
      <c r="F262" s="286"/>
    </row>
    <row r="263" spans="3:6">
      <c r="C263" s="286"/>
      <c r="F263" s="286"/>
    </row>
    <row r="264" spans="3:6">
      <c r="C264" s="286"/>
      <c r="F264" s="286"/>
    </row>
    <row r="265" spans="3:6">
      <c r="C265" s="286"/>
      <c r="F265" s="286"/>
    </row>
    <row r="266" spans="3:6">
      <c r="C266" s="286"/>
      <c r="F266" s="286"/>
    </row>
    <row r="267" spans="3:6">
      <c r="C267" s="286"/>
      <c r="F267" s="286"/>
    </row>
    <row r="268" spans="3:6">
      <c r="C268" s="286"/>
      <c r="F268" s="286"/>
    </row>
    <row r="269" spans="3:6">
      <c r="C269" s="286"/>
      <c r="F269" s="286"/>
    </row>
    <row r="270" spans="3:6">
      <c r="C270" s="286"/>
      <c r="F270" s="286"/>
    </row>
    <row r="271" spans="3:6">
      <c r="C271" s="286"/>
      <c r="F271" s="286"/>
    </row>
    <row r="272" spans="3:6">
      <c r="C272" s="286"/>
      <c r="F272" s="286"/>
    </row>
    <row r="273" spans="3:6">
      <c r="C273" s="286"/>
      <c r="F273" s="286"/>
    </row>
    <row r="274" spans="3:6">
      <c r="C274" s="286"/>
      <c r="F274" s="286"/>
    </row>
    <row r="275" spans="3:6">
      <c r="C275" s="286"/>
      <c r="F275" s="286"/>
    </row>
    <row r="276" spans="3:6">
      <c r="C276" s="286"/>
      <c r="F276" s="286"/>
    </row>
    <row r="277" spans="3:6">
      <c r="C277" s="286"/>
      <c r="F277" s="286"/>
    </row>
    <row r="278" spans="3:6">
      <c r="C278" s="286"/>
      <c r="F278" s="286"/>
    </row>
    <row r="279" spans="3:6">
      <c r="C279" s="286"/>
      <c r="F279" s="286"/>
    </row>
    <row r="280" spans="3:6">
      <c r="C280" s="286"/>
      <c r="F280" s="286"/>
    </row>
    <row r="281" spans="3:6">
      <c r="C281" s="286"/>
      <c r="F281" s="286"/>
    </row>
    <row r="282" spans="3:6">
      <c r="C282" s="286"/>
      <c r="F282" s="286"/>
    </row>
    <row r="283" spans="3:6">
      <c r="C283" s="286"/>
      <c r="F283" s="286"/>
    </row>
    <row r="284" spans="3:6">
      <c r="C284" s="286"/>
      <c r="F284" s="286"/>
    </row>
    <row r="285" spans="3:6">
      <c r="C285" s="286"/>
      <c r="F285" s="286"/>
    </row>
    <row r="286" spans="3:6">
      <c r="C286" s="286"/>
      <c r="F286" s="286"/>
    </row>
    <row r="287" spans="3:6">
      <c r="C287" s="286"/>
      <c r="F287" s="286"/>
    </row>
    <row r="288" spans="3:6">
      <c r="C288" s="286"/>
      <c r="F288" s="286"/>
    </row>
    <row r="289" spans="3:6">
      <c r="C289" s="286"/>
      <c r="F289" s="286"/>
    </row>
    <row r="290" spans="3:6">
      <c r="C290" s="286"/>
      <c r="F290" s="286"/>
    </row>
    <row r="291" spans="3:6">
      <c r="C291" s="286"/>
      <c r="F291" s="286"/>
    </row>
    <row r="292" spans="3:6">
      <c r="C292" s="286"/>
      <c r="F292" s="286"/>
    </row>
    <row r="293" spans="3:6">
      <c r="C293" s="286"/>
      <c r="F293" s="286"/>
    </row>
    <row r="294" spans="3:6">
      <c r="C294" s="286"/>
      <c r="F294" s="286"/>
    </row>
    <row r="295" spans="3:6">
      <c r="C295" s="286"/>
      <c r="F295" s="286"/>
    </row>
    <row r="296" spans="3:6">
      <c r="C296" s="286"/>
      <c r="F296" s="286"/>
    </row>
    <row r="297" spans="3:6">
      <c r="C297" s="286"/>
      <c r="F297" s="286"/>
    </row>
    <row r="298" spans="3:6">
      <c r="C298" s="286"/>
      <c r="F298" s="286"/>
    </row>
    <row r="299" spans="3:6">
      <c r="C299" s="286"/>
      <c r="F299" s="286"/>
    </row>
    <row r="300" spans="3:6">
      <c r="C300" s="286"/>
      <c r="F300" s="286"/>
    </row>
    <row r="301" spans="3:6">
      <c r="C301" s="286"/>
      <c r="F301" s="286"/>
    </row>
    <row r="302" spans="3:6">
      <c r="C302" s="286"/>
      <c r="F302" s="286"/>
    </row>
    <row r="303" spans="3:6">
      <c r="C303" s="286"/>
      <c r="F303" s="286"/>
    </row>
    <row r="304" spans="3:6">
      <c r="C304" s="286"/>
      <c r="F304" s="286"/>
    </row>
    <row r="305" spans="3:6">
      <c r="C305" s="286"/>
      <c r="F305" s="286"/>
    </row>
    <row r="306" spans="3:6">
      <c r="C306" s="286"/>
      <c r="F306" s="286"/>
    </row>
    <row r="307" spans="3:6">
      <c r="C307" s="286"/>
      <c r="F307" s="286"/>
    </row>
    <row r="308" spans="3:6">
      <c r="C308" s="286"/>
      <c r="F308" s="286"/>
    </row>
    <row r="309" spans="3:6">
      <c r="C309" s="286"/>
      <c r="F309" s="286"/>
    </row>
    <row r="310" spans="3:6">
      <c r="C310" s="286"/>
      <c r="F310" s="286"/>
    </row>
    <row r="311" spans="3:6">
      <c r="C311" s="286"/>
      <c r="F311" s="286"/>
    </row>
    <row r="312" spans="3:6">
      <c r="C312" s="286"/>
      <c r="F312" s="286"/>
    </row>
    <row r="313" spans="3:6">
      <c r="C313" s="286"/>
      <c r="F313" s="286"/>
    </row>
    <row r="314" spans="3:6">
      <c r="C314" s="286"/>
      <c r="F314" s="286"/>
    </row>
    <row r="315" spans="3:6">
      <c r="C315" s="286"/>
      <c r="F315" s="286"/>
    </row>
    <row r="316" spans="3:6">
      <c r="C316" s="286"/>
      <c r="F316" s="286"/>
    </row>
    <row r="317" spans="3:6">
      <c r="C317" s="286"/>
      <c r="F317" s="286"/>
    </row>
    <row r="318" spans="3:6">
      <c r="C318" s="286"/>
      <c r="F318" s="286"/>
    </row>
    <row r="319" spans="3:6">
      <c r="C319" s="286"/>
      <c r="F319" s="286"/>
    </row>
    <row r="320" spans="3:6">
      <c r="C320" s="286"/>
      <c r="F320" s="286"/>
    </row>
    <row r="321" spans="3:6">
      <c r="C321" s="286"/>
      <c r="F321" s="286"/>
    </row>
    <row r="322" spans="3:6">
      <c r="C322" s="286"/>
    </row>
    <row r="323" spans="3:6">
      <c r="C323" s="286"/>
    </row>
    <row r="324" spans="3:6">
      <c r="C324" s="286"/>
    </row>
    <row r="325" spans="3:6">
      <c r="C325" s="286"/>
    </row>
    <row r="326" spans="3:6">
      <c r="C326" s="286"/>
    </row>
    <row r="327" spans="3:6">
      <c r="C327" s="286"/>
    </row>
    <row r="328" spans="3:6">
      <c r="C328" s="286"/>
    </row>
    <row r="329" spans="3:6">
      <c r="C329" s="286"/>
    </row>
    <row r="330" spans="3:6">
      <c r="C330" s="286"/>
    </row>
    <row r="331" spans="3:6">
      <c r="C331" s="286"/>
    </row>
    <row r="332" spans="3:6">
      <c r="C332" s="286"/>
    </row>
    <row r="333" spans="3:6">
      <c r="C333" s="286"/>
    </row>
    <row r="334" spans="3:6">
      <c r="C334" s="286"/>
    </row>
    <row r="335" spans="3:6">
      <c r="C335" s="286"/>
    </row>
    <row r="336" spans="3:6">
      <c r="C336" s="286"/>
    </row>
    <row r="337" spans="3:3">
      <c r="C337" s="286"/>
    </row>
    <row r="338" spans="3:3">
      <c r="C338" s="286"/>
    </row>
    <row r="339" spans="3:3">
      <c r="C339" s="286"/>
    </row>
    <row r="340" spans="3:3">
      <c r="C340" s="286"/>
    </row>
    <row r="341" spans="3:3">
      <c r="C341" s="286"/>
    </row>
    <row r="342" spans="3:3">
      <c r="C342" s="286"/>
    </row>
    <row r="343" spans="3:3">
      <c r="C343" s="286"/>
    </row>
    <row r="344" spans="3:3">
      <c r="C344" s="286"/>
    </row>
    <row r="345" spans="3:3">
      <c r="C345" s="286"/>
    </row>
    <row r="346" spans="3:3">
      <c r="C346" s="286"/>
    </row>
    <row r="347" spans="3:3">
      <c r="C347" s="286"/>
    </row>
    <row r="348" spans="3:3">
      <c r="C348" s="286"/>
    </row>
    <row r="349" spans="3:3">
      <c r="C349" s="286"/>
    </row>
    <row r="350" spans="3:3">
      <c r="C350" s="286"/>
    </row>
    <row r="351" spans="3:3">
      <c r="C351" s="286"/>
    </row>
    <row r="352" spans="3:3">
      <c r="C352" s="286"/>
    </row>
    <row r="353" spans="3:3">
      <c r="C353" s="286"/>
    </row>
    <row r="354" spans="3:3">
      <c r="C354" s="286"/>
    </row>
  </sheetData>
  <mergeCells count="9">
    <mergeCell ref="G4:G5"/>
    <mergeCell ref="A7:B7"/>
    <mergeCell ref="A9:B9"/>
    <mergeCell ref="A45:A46"/>
    <mergeCell ref="B1:F1"/>
    <mergeCell ref="A4:A5"/>
    <mergeCell ref="B4:B5"/>
    <mergeCell ref="E4:E5"/>
    <mergeCell ref="F4:F5"/>
  </mergeCells>
  <pageMargins left="0" right="0" top="0" bottom="0" header="0.31496062992125984" footer="0.31496062992125984"/>
  <pageSetup paperSize="9" scale="63"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L134"/>
  <sheetViews>
    <sheetView topLeftCell="A11" zoomScaleSheetLayoutView="100" workbookViewId="0">
      <selection activeCell="E20" sqref="E20"/>
    </sheetView>
  </sheetViews>
  <sheetFormatPr defaultColWidth="8.85546875" defaultRowHeight="15"/>
  <cols>
    <col min="1" max="1" width="5.42578125" style="76" customWidth="1"/>
    <col min="2" max="2" width="40.42578125" customWidth="1"/>
    <col min="4" max="4" width="11.7109375" style="77" customWidth="1"/>
    <col min="5" max="6" width="9.140625" style="69" bestFit="1" customWidth="1"/>
    <col min="7" max="8" width="7.85546875" style="69" bestFit="1" customWidth="1"/>
    <col min="9" max="9" width="9" style="69" bestFit="1" customWidth="1"/>
    <col min="10" max="10" width="38.42578125" customWidth="1"/>
    <col min="11" max="11" width="14.7109375" customWidth="1"/>
    <col min="257" max="257" width="5.42578125" customWidth="1"/>
    <col min="258" max="258" width="40.42578125" customWidth="1"/>
    <col min="260" max="260" width="11.7109375" customWidth="1"/>
    <col min="261" max="262" width="9.140625" bestFit="1" customWidth="1"/>
    <col min="263" max="264" width="7.85546875" bestFit="1" customWidth="1"/>
    <col min="265" max="265" width="9" bestFit="1" customWidth="1"/>
    <col min="266" max="266" width="38.42578125" customWidth="1"/>
    <col min="267" max="267" width="14.7109375" customWidth="1"/>
    <col min="513" max="513" width="5.42578125" customWidth="1"/>
    <col min="514" max="514" width="40.42578125" customWidth="1"/>
    <col min="516" max="516" width="11.7109375" customWidth="1"/>
    <col min="517" max="518" width="9.140625" bestFit="1" customWidth="1"/>
    <col min="519" max="520" width="7.85546875" bestFit="1" customWidth="1"/>
    <col min="521" max="521" width="9" bestFit="1" customWidth="1"/>
    <col min="522" max="522" width="38.42578125" customWidth="1"/>
    <col min="523" max="523" width="14.7109375" customWidth="1"/>
    <col min="769" max="769" width="5.42578125" customWidth="1"/>
    <col min="770" max="770" width="40.42578125" customWidth="1"/>
    <col min="772" max="772" width="11.7109375" customWidth="1"/>
    <col min="773" max="774" width="9.140625" bestFit="1" customWidth="1"/>
    <col min="775" max="776" width="7.85546875" bestFit="1" customWidth="1"/>
    <col min="777" max="777" width="9" bestFit="1" customWidth="1"/>
    <col min="778" max="778" width="38.42578125" customWidth="1"/>
    <col min="779" max="779" width="14.7109375" customWidth="1"/>
    <col min="1025" max="1025" width="5.42578125" customWidth="1"/>
    <col min="1026" max="1026" width="40.42578125" customWidth="1"/>
    <col min="1028" max="1028" width="11.7109375" customWidth="1"/>
    <col min="1029" max="1030" width="9.140625" bestFit="1" customWidth="1"/>
    <col min="1031" max="1032" width="7.85546875" bestFit="1" customWidth="1"/>
    <col min="1033" max="1033" width="9" bestFit="1" customWidth="1"/>
    <col min="1034" max="1034" width="38.42578125" customWidth="1"/>
    <col min="1035" max="1035" width="14.7109375" customWidth="1"/>
    <col min="1281" max="1281" width="5.42578125" customWidth="1"/>
    <col min="1282" max="1282" width="40.42578125" customWidth="1"/>
    <col min="1284" max="1284" width="11.7109375" customWidth="1"/>
    <col min="1285" max="1286" width="9.140625" bestFit="1" customWidth="1"/>
    <col min="1287" max="1288" width="7.85546875" bestFit="1" customWidth="1"/>
    <col min="1289" max="1289" width="9" bestFit="1" customWidth="1"/>
    <col min="1290" max="1290" width="38.42578125" customWidth="1"/>
    <col min="1291" max="1291" width="14.7109375" customWidth="1"/>
    <col min="1537" max="1537" width="5.42578125" customWidth="1"/>
    <col min="1538" max="1538" width="40.42578125" customWidth="1"/>
    <col min="1540" max="1540" width="11.7109375" customWidth="1"/>
    <col min="1541" max="1542" width="9.140625" bestFit="1" customWidth="1"/>
    <col min="1543" max="1544" width="7.85546875" bestFit="1" customWidth="1"/>
    <col min="1545" max="1545" width="9" bestFit="1" customWidth="1"/>
    <col min="1546" max="1546" width="38.42578125" customWidth="1"/>
    <col min="1547" max="1547" width="14.7109375" customWidth="1"/>
    <col min="1793" max="1793" width="5.42578125" customWidth="1"/>
    <col min="1794" max="1794" width="40.42578125" customWidth="1"/>
    <col min="1796" max="1796" width="11.7109375" customWidth="1"/>
    <col min="1797" max="1798" width="9.140625" bestFit="1" customWidth="1"/>
    <col min="1799" max="1800" width="7.85546875" bestFit="1" customWidth="1"/>
    <col min="1801" max="1801" width="9" bestFit="1" customWidth="1"/>
    <col min="1802" max="1802" width="38.42578125" customWidth="1"/>
    <col min="1803" max="1803" width="14.7109375" customWidth="1"/>
    <col min="2049" max="2049" width="5.42578125" customWidth="1"/>
    <col min="2050" max="2050" width="40.42578125" customWidth="1"/>
    <col min="2052" max="2052" width="11.7109375" customWidth="1"/>
    <col min="2053" max="2054" width="9.140625" bestFit="1" customWidth="1"/>
    <col min="2055" max="2056" width="7.85546875" bestFit="1" customWidth="1"/>
    <col min="2057" max="2057" width="9" bestFit="1" customWidth="1"/>
    <col min="2058" max="2058" width="38.42578125" customWidth="1"/>
    <col min="2059" max="2059" width="14.7109375" customWidth="1"/>
    <col min="2305" max="2305" width="5.42578125" customWidth="1"/>
    <col min="2306" max="2306" width="40.42578125" customWidth="1"/>
    <col min="2308" max="2308" width="11.7109375" customWidth="1"/>
    <col min="2309" max="2310" width="9.140625" bestFit="1" customWidth="1"/>
    <col min="2311" max="2312" width="7.85546875" bestFit="1" customWidth="1"/>
    <col min="2313" max="2313" width="9" bestFit="1" customWidth="1"/>
    <col min="2314" max="2314" width="38.42578125" customWidth="1"/>
    <col min="2315" max="2315" width="14.7109375" customWidth="1"/>
    <col min="2561" max="2561" width="5.42578125" customWidth="1"/>
    <col min="2562" max="2562" width="40.42578125" customWidth="1"/>
    <col min="2564" max="2564" width="11.7109375" customWidth="1"/>
    <col min="2565" max="2566" width="9.140625" bestFit="1" customWidth="1"/>
    <col min="2567" max="2568" width="7.85546875" bestFit="1" customWidth="1"/>
    <col min="2569" max="2569" width="9" bestFit="1" customWidth="1"/>
    <col min="2570" max="2570" width="38.42578125" customWidth="1"/>
    <col min="2571" max="2571" width="14.7109375" customWidth="1"/>
    <col min="2817" max="2817" width="5.42578125" customWidth="1"/>
    <col min="2818" max="2818" width="40.42578125" customWidth="1"/>
    <col min="2820" max="2820" width="11.7109375" customWidth="1"/>
    <col min="2821" max="2822" width="9.140625" bestFit="1" customWidth="1"/>
    <col min="2823" max="2824" width="7.85546875" bestFit="1" customWidth="1"/>
    <col min="2825" max="2825" width="9" bestFit="1" customWidth="1"/>
    <col min="2826" max="2826" width="38.42578125" customWidth="1"/>
    <col min="2827" max="2827" width="14.7109375" customWidth="1"/>
    <col min="3073" max="3073" width="5.42578125" customWidth="1"/>
    <col min="3074" max="3074" width="40.42578125" customWidth="1"/>
    <col min="3076" max="3076" width="11.7109375" customWidth="1"/>
    <col min="3077" max="3078" width="9.140625" bestFit="1" customWidth="1"/>
    <col min="3079" max="3080" width="7.85546875" bestFit="1" customWidth="1"/>
    <col min="3081" max="3081" width="9" bestFit="1" customWidth="1"/>
    <col min="3082" max="3082" width="38.42578125" customWidth="1"/>
    <col min="3083" max="3083" width="14.7109375" customWidth="1"/>
    <col min="3329" max="3329" width="5.42578125" customWidth="1"/>
    <col min="3330" max="3330" width="40.42578125" customWidth="1"/>
    <col min="3332" max="3332" width="11.7109375" customWidth="1"/>
    <col min="3333" max="3334" width="9.140625" bestFit="1" customWidth="1"/>
    <col min="3335" max="3336" width="7.85546875" bestFit="1" customWidth="1"/>
    <col min="3337" max="3337" width="9" bestFit="1" customWidth="1"/>
    <col min="3338" max="3338" width="38.42578125" customWidth="1"/>
    <col min="3339" max="3339" width="14.7109375" customWidth="1"/>
    <col min="3585" max="3585" width="5.42578125" customWidth="1"/>
    <col min="3586" max="3586" width="40.42578125" customWidth="1"/>
    <col min="3588" max="3588" width="11.7109375" customWidth="1"/>
    <col min="3589" max="3590" width="9.140625" bestFit="1" customWidth="1"/>
    <col min="3591" max="3592" width="7.85546875" bestFit="1" customWidth="1"/>
    <col min="3593" max="3593" width="9" bestFit="1" customWidth="1"/>
    <col min="3594" max="3594" width="38.42578125" customWidth="1"/>
    <col min="3595" max="3595" width="14.7109375" customWidth="1"/>
    <col min="3841" max="3841" width="5.42578125" customWidth="1"/>
    <col min="3842" max="3842" width="40.42578125" customWidth="1"/>
    <col min="3844" max="3844" width="11.7109375" customWidth="1"/>
    <col min="3845" max="3846" width="9.140625" bestFit="1" customWidth="1"/>
    <col min="3847" max="3848" width="7.85546875" bestFit="1" customWidth="1"/>
    <col min="3849" max="3849" width="9" bestFit="1" customWidth="1"/>
    <col min="3850" max="3850" width="38.42578125" customWidth="1"/>
    <col min="3851" max="3851" width="14.7109375" customWidth="1"/>
    <col min="4097" max="4097" width="5.42578125" customWidth="1"/>
    <col min="4098" max="4098" width="40.42578125" customWidth="1"/>
    <col min="4100" max="4100" width="11.7109375" customWidth="1"/>
    <col min="4101" max="4102" width="9.140625" bestFit="1" customWidth="1"/>
    <col min="4103" max="4104" width="7.85546875" bestFit="1" customWidth="1"/>
    <col min="4105" max="4105" width="9" bestFit="1" customWidth="1"/>
    <col min="4106" max="4106" width="38.42578125" customWidth="1"/>
    <col min="4107" max="4107" width="14.7109375" customWidth="1"/>
    <col min="4353" max="4353" width="5.42578125" customWidth="1"/>
    <col min="4354" max="4354" width="40.42578125" customWidth="1"/>
    <col min="4356" max="4356" width="11.7109375" customWidth="1"/>
    <col min="4357" max="4358" width="9.140625" bestFit="1" customWidth="1"/>
    <col min="4359" max="4360" width="7.85546875" bestFit="1" customWidth="1"/>
    <col min="4361" max="4361" width="9" bestFit="1" customWidth="1"/>
    <col min="4362" max="4362" width="38.42578125" customWidth="1"/>
    <col min="4363" max="4363" width="14.7109375" customWidth="1"/>
    <col min="4609" max="4609" width="5.42578125" customWidth="1"/>
    <col min="4610" max="4610" width="40.42578125" customWidth="1"/>
    <col min="4612" max="4612" width="11.7109375" customWidth="1"/>
    <col min="4613" max="4614" width="9.140625" bestFit="1" customWidth="1"/>
    <col min="4615" max="4616" width="7.85546875" bestFit="1" customWidth="1"/>
    <col min="4617" max="4617" width="9" bestFit="1" customWidth="1"/>
    <col min="4618" max="4618" width="38.42578125" customWidth="1"/>
    <col min="4619" max="4619" width="14.7109375" customWidth="1"/>
    <col min="4865" max="4865" width="5.42578125" customWidth="1"/>
    <col min="4866" max="4866" width="40.42578125" customWidth="1"/>
    <col min="4868" max="4868" width="11.7109375" customWidth="1"/>
    <col min="4869" max="4870" width="9.140625" bestFit="1" customWidth="1"/>
    <col min="4871" max="4872" width="7.85546875" bestFit="1" customWidth="1"/>
    <col min="4873" max="4873" width="9" bestFit="1" customWidth="1"/>
    <col min="4874" max="4874" width="38.42578125" customWidth="1"/>
    <col min="4875" max="4875" width="14.7109375" customWidth="1"/>
    <col min="5121" max="5121" width="5.42578125" customWidth="1"/>
    <col min="5122" max="5122" width="40.42578125" customWidth="1"/>
    <col min="5124" max="5124" width="11.7109375" customWidth="1"/>
    <col min="5125" max="5126" width="9.140625" bestFit="1" customWidth="1"/>
    <col min="5127" max="5128" width="7.85546875" bestFit="1" customWidth="1"/>
    <col min="5129" max="5129" width="9" bestFit="1" customWidth="1"/>
    <col min="5130" max="5130" width="38.42578125" customWidth="1"/>
    <col min="5131" max="5131" width="14.7109375" customWidth="1"/>
    <col min="5377" max="5377" width="5.42578125" customWidth="1"/>
    <col min="5378" max="5378" width="40.42578125" customWidth="1"/>
    <col min="5380" max="5380" width="11.7109375" customWidth="1"/>
    <col min="5381" max="5382" width="9.140625" bestFit="1" customWidth="1"/>
    <col min="5383" max="5384" width="7.85546875" bestFit="1" customWidth="1"/>
    <col min="5385" max="5385" width="9" bestFit="1" customWidth="1"/>
    <col min="5386" max="5386" width="38.42578125" customWidth="1"/>
    <col min="5387" max="5387" width="14.7109375" customWidth="1"/>
    <col min="5633" max="5633" width="5.42578125" customWidth="1"/>
    <col min="5634" max="5634" width="40.42578125" customWidth="1"/>
    <col min="5636" max="5636" width="11.7109375" customWidth="1"/>
    <col min="5637" max="5638" width="9.140625" bestFit="1" customWidth="1"/>
    <col min="5639" max="5640" width="7.85546875" bestFit="1" customWidth="1"/>
    <col min="5641" max="5641" width="9" bestFit="1" customWidth="1"/>
    <col min="5642" max="5642" width="38.42578125" customWidth="1"/>
    <col min="5643" max="5643" width="14.7109375" customWidth="1"/>
    <col min="5889" max="5889" width="5.42578125" customWidth="1"/>
    <col min="5890" max="5890" width="40.42578125" customWidth="1"/>
    <col min="5892" max="5892" width="11.7109375" customWidth="1"/>
    <col min="5893" max="5894" width="9.140625" bestFit="1" customWidth="1"/>
    <col min="5895" max="5896" width="7.85546875" bestFit="1" customWidth="1"/>
    <col min="5897" max="5897" width="9" bestFit="1" customWidth="1"/>
    <col min="5898" max="5898" width="38.42578125" customWidth="1"/>
    <col min="5899" max="5899" width="14.7109375" customWidth="1"/>
    <col min="6145" max="6145" width="5.42578125" customWidth="1"/>
    <col min="6146" max="6146" width="40.42578125" customWidth="1"/>
    <col min="6148" max="6148" width="11.7109375" customWidth="1"/>
    <col min="6149" max="6150" width="9.140625" bestFit="1" customWidth="1"/>
    <col min="6151" max="6152" width="7.85546875" bestFit="1" customWidth="1"/>
    <col min="6153" max="6153" width="9" bestFit="1" customWidth="1"/>
    <col min="6154" max="6154" width="38.42578125" customWidth="1"/>
    <col min="6155" max="6155" width="14.7109375" customWidth="1"/>
    <col min="6401" max="6401" width="5.42578125" customWidth="1"/>
    <col min="6402" max="6402" width="40.42578125" customWidth="1"/>
    <col min="6404" max="6404" width="11.7109375" customWidth="1"/>
    <col min="6405" max="6406" width="9.140625" bestFit="1" customWidth="1"/>
    <col min="6407" max="6408" width="7.85546875" bestFit="1" customWidth="1"/>
    <col min="6409" max="6409" width="9" bestFit="1" customWidth="1"/>
    <col min="6410" max="6410" width="38.42578125" customWidth="1"/>
    <col min="6411" max="6411" width="14.7109375" customWidth="1"/>
    <col min="6657" max="6657" width="5.42578125" customWidth="1"/>
    <col min="6658" max="6658" width="40.42578125" customWidth="1"/>
    <col min="6660" max="6660" width="11.7109375" customWidth="1"/>
    <col min="6661" max="6662" width="9.140625" bestFit="1" customWidth="1"/>
    <col min="6663" max="6664" width="7.85546875" bestFit="1" customWidth="1"/>
    <col min="6665" max="6665" width="9" bestFit="1" customWidth="1"/>
    <col min="6666" max="6666" width="38.42578125" customWidth="1"/>
    <col min="6667" max="6667" width="14.7109375" customWidth="1"/>
    <col min="6913" max="6913" width="5.42578125" customWidth="1"/>
    <col min="6914" max="6914" width="40.42578125" customWidth="1"/>
    <col min="6916" max="6916" width="11.7109375" customWidth="1"/>
    <col min="6917" max="6918" width="9.140625" bestFit="1" customWidth="1"/>
    <col min="6919" max="6920" width="7.85546875" bestFit="1" customWidth="1"/>
    <col min="6921" max="6921" width="9" bestFit="1" customWidth="1"/>
    <col min="6922" max="6922" width="38.42578125" customWidth="1"/>
    <col min="6923" max="6923" width="14.7109375" customWidth="1"/>
    <col min="7169" max="7169" width="5.42578125" customWidth="1"/>
    <col min="7170" max="7170" width="40.42578125" customWidth="1"/>
    <col min="7172" max="7172" width="11.7109375" customWidth="1"/>
    <col min="7173" max="7174" width="9.140625" bestFit="1" customWidth="1"/>
    <col min="7175" max="7176" width="7.85546875" bestFit="1" customWidth="1"/>
    <col min="7177" max="7177" width="9" bestFit="1" customWidth="1"/>
    <col min="7178" max="7178" width="38.42578125" customWidth="1"/>
    <col min="7179" max="7179" width="14.7109375" customWidth="1"/>
    <col min="7425" max="7425" width="5.42578125" customWidth="1"/>
    <col min="7426" max="7426" width="40.42578125" customWidth="1"/>
    <col min="7428" max="7428" width="11.7109375" customWidth="1"/>
    <col min="7429" max="7430" width="9.140625" bestFit="1" customWidth="1"/>
    <col min="7431" max="7432" width="7.85546875" bestFit="1" customWidth="1"/>
    <col min="7433" max="7433" width="9" bestFit="1" customWidth="1"/>
    <col min="7434" max="7434" width="38.42578125" customWidth="1"/>
    <col min="7435" max="7435" width="14.7109375" customWidth="1"/>
    <col min="7681" max="7681" width="5.42578125" customWidth="1"/>
    <col min="7682" max="7682" width="40.42578125" customWidth="1"/>
    <col min="7684" max="7684" width="11.7109375" customWidth="1"/>
    <col min="7685" max="7686" width="9.140625" bestFit="1" customWidth="1"/>
    <col min="7687" max="7688" width="7.85546875" bestFit="1" customWidth="1"/>
    <col min="7689" max="7689" width="9" bestFit="1" customWidth="1"/>
    <col min="7690" max="7690" width="38.42578125" customWidth="1"/>
    <col min="7691" max="7691" width="14.7109375" customWidth="1"/>
    <col min="7937" max="7937" width="5.42578125" customWidth="1"/>
    <col min="7938" max="7938" width="40.42578125" customWidth="1"/>
    <col min="7940" max="7940" width="11.7109375" customWidth="1"/>
    <col min="7941" max="7942" width="9.140625" bestFit="1" customWidth="1"/>
    <col min="7943" max="7944" width="7.85546875" bestFit="1" customWidth="1"/>
    <col min="7945" max="7945" width="9" bestFit="1" customWidth="1"/>
    <col min="7946" max="7946" width="38.42578125" customWidth="1"/>
    <col min="7947" max="7947" width="14.7109375" customWidth="1"/>
    <col min="8193" max="8193" width="5.42578125" customWidth="1"/>
    <col min="8194" max="8194" width="40.42578125" customWidth="1"/>
    <col min="8196" max="8196" width="11.7109375" customWidth="1"/>
    <col min="8197" max="8198" width="9.140625" bestFit="1" customWidth="1"/>
    <col min="8199" max="8200" width="7.85546875" bestFit="1" customWidth="1"/>
    <col min="8201" max="8201" width="9" bestFit="1" customWidth="1"/>
    <col min="8202" max="8202" width="38.42578125" customWidth="1"/>
    <col min="8203" max="8203" width="14.7109375" customWidth="1"/>
    <col min="8449" max="8449" width="5.42578125" customWidth="1"/>
    <col min="8450" max="8450" width="40.42578125" customWidth="1"/>
    <col min="8452" max="8452" width="11.7109375" customWidth="1"/>
    <col min="8453" max="8454" width="9.140625" bestFit="1" customWidth="1"/>
    <col min="8455" max="8456" width="7.85546875" bestFit="1" customWidth="1"/>
    <col min="8457" max="8457" width="9" bestFit="1" customWidth="1"/>
    <col min="8458" max="8458" width="38.42578125" customWidth="1"/>
    <col min="8459" max="8459" width="14.7109375" customWidth="1"/>
    <col min="8705" max="8705" width="5.42578125" customWidth="1"/>
    <col min="8706" max="8706" width="40.42578125" customWidth="1"/>
    <col min="8708" max="8708" width="11.7109375" customWidth="1"/>
    <col min="8709" max="8710" width="9.140625" bestFit="1" customWidth="1"/>
    <col min="8711" max="8712" width="7.85546875" bestFit="1" customWidth="1"/>
    <col min="8713" max="8713" width="9" bestFit="1" customWidth="1"/>
    <col min="8714" max="8714" width="38.42578125" customWidth="1"/>
    <col min="8715" max="8715" width="14.7109375" customWidth="1"/>
    <col min="8961" max="8961" width="5.42578125" customWidth="1"/>
    <col min="8962" max="8962" width="40.42578125" customWidth="1"/>
    <col min="8964" max="8964" width="11.7109375" customWidth="1"/>
    <col min="8965" max="8966" width="9.140625" bestFit="1" customWidth="1"/>
    <col min="8967" max="8968" width="7.85546875" bestFit="1" customWidth="1"/>
    <col min="8969" max="8969" width="9" bestFit="1" customWidth="1"/>
    <col min="8970" max="8970" width="38.42578125" customWidth="1"/>
    <col min="8971" max="8971" width="14.7109375" customWidth="1"/>
    <col min="9217" max="9217" width="5.42578125" customWidth="1"/>
    <col min="9218" max="9218" width="40.42578125" customWidth="1"/>
    <col min="9220" max="9220" width="11.7109375" customWidth="1"/>
    <col min="9221" max="9222" width="9.140625" bestFit="1" customWidth="1"/>
    <col min="9223" max="9224" width="7.85546875" bestFit="1" customWidth="1"/>
    <col min="9225" max="9225" width="9" bestFit="1" customWidth="1"/>
    <col min="9226" max="9226" width="38.42578125" customWidth="1"/>
    <col min="9227" max="9227" width="14.7109375" customWidth="1"/>
    <col min="9473" max="9473" width="5.42578125" customWidth="1"/>
    <col min="9474" max="9474" width="40.42578125" customWidth="1"/>
    <col min="9476" max="9476" width="11.7109375" customWidth="1"/>
    <col min="9477" max="9478" width="9.140625" bestFit="1" customWidth="1"/>
    <col min="9479" max="9480" width="7.85546875" bestFit="1" customWidth="1"/>
    <col min="9481" max="9481" width="9" bestFit="1" customWidth="1"/>
    <col min="9482" max="9482" width="38.42578125" customWidth="1"/>
    <col min="9483" max="9483" width="14.7109375" customWidth="1"/>
    <col min="9729" max="9729" width="5.42578125" customWidth="1"/>
    <col min="9730" max="9730" width="40.42578125" customWidth="1"/>
    <col min="9732" max="9732" width="11.7109375" customWidth="1"/>
    <col min="9733" max="9734" width="9.140625" bestFit="1" customWidth="1"/>
    <col min="9735" max="9736" width="7.85546875" bestFit="1" customWidth="1"/>
    <col min="9737" max="9737" width="9" bestFit="1" customWidth="1"/>
    <col min="9738" max="9738" width="38.42578125" customWidth="1"/>
    <col min="9739" max="9739" width="14.7109375" customWidth="1"/>
    <col min="9985" max="9985" width="5.42578125" customWidth="1"/>
    <col min="9986" max="9986" width="40.42578125" customWidth="1"/>
    <col min="9988" max="9988" width="11.7109375" customWidth="1"/>
    <col min="9989" max="9990" width="9.140625" bestFit="1" customWidth="1"/>
    <col min="9991" max="9992" width="7.85546875" bestFit="1" customWidth="1"/>
    <col min="9993" max="9993" width="9" bestFit="1" customWidth="1"/>
    <col min="9994" max="9994" width="38.42578125" customWidth="1"/>
    <col min="9995" max="9995" width="14.7109375" customWidth="1"/>
    <col min="10241" max="10241" width="5.42578125" customWidth="1"/>
    <col min="10242" max="10242" width="40.42578125" customWidth="1"/>
    <col min="10244" max="10244" width="11.7109375" customWidth="1"/>
    <col min="10245" max="10246" width="9.140625" bestFit="1" customWidth="1"/>
    <col min="10247" max="10248" width="7.85546875" bestFit="1" customWidth="1"/>
    <col min="10249" max="10249" width="9" bestFit="1" customWidth="1"/>
    <col min="10250" max="10250" width="38.42578125" customWidth="1"/>
    <col min="10251" max="10251" width="14.7109375" customWidth="1"/>
    <col min="10497" max="10497" width="5.42578125" customWidth="1"/>
    <col min="10498" max="10498" width="40.42578125" customWidth="1"/>
    <col min="10500" max="10500" width="11.7109375" customWidth="1"/>
    <col min="10501" max="10502" width="9.140625" bestFit="1" customWidth="1"/>
    <col min="10503" max="10504" width="7.85546875" bestFit="1" customWidth="1"/>
    <col min="10505" max="10505" width="9" bestFit="1" customWidth="1"/>
    <col min="10506" max="10506" width="38.42578125" customWidth="1"/>
    <col min="10507" max="10507" width="14.7109375" customWidth="1"/>
    <col min="10753" max="10753" width="5.42578125" customWidth="1"/>
    <col min="10754" max="10754" width="40.42578125" customWidth="1"/>
    <col min="10756" max="10756" width="11.7109375" customWidth="1"/>
    <col min="10757" max="10758" width="9.140625" bestFit="1" customWidth="1"/>
    <col min="10759" max="10760" width="7.85546875" bestFit="1" customWidth="1"/>
    <col min="10761" max="10761" width="9" bestFit="1" customWidth="1"/>
    <col min="10762" max="10762" width="38.42578125" customWidth="1"/>
    <col min="10763" max="10763" width="14.7109375" customWidth="1"/>
    <col min="11009" max="11009" width="5.42578125" customWidth="1"/>
    <col min="11010" max="11010" width="40.42578125" customWidth="1"/>
    <col min="11012" max="11012" width="11.7109375" customWidth="1"/>
    <col min="11013" max="11014" width="9.140625" bestFit="1" customWidth="1"/>
    <col min="11015" max="11016" width="7.85546875" bestFit="1" customWidth="1"/>
    <col min="11017" max="11017" width="9" bestFit="1" customWidth="1"/>
    <col min="11018" max="11018" width="38.42578125" customWidth="1"/>
    <col min="11019" max="11019" width="14.7109375" customWidth="1"/>
    <col min="11265" max="11265" width="5.42578125" customWidth="1"/>
    <col min="11266" max="11266" width="40.42578125" customWidth="1"/>
    <col min="11268" max="11268" width="11.7109375" customWidth="1"/>
    <col min="11269" max="11270" width="9.140625" bestFit="1" customWidth="1"/>
    <col min="11271" max="11272" width="7.85546875" bestFit="1" customWidth="1"/>
    <col min="11273" max="11273" width="9" bestFit="1" customWidth="1"/>
    <col min="11274" max="11274" width="38.42578125" customWidth="1"/>
    <col min="11275" max="11275" width="14.7109375" customWidth="1"/>
    <col min="11521" max="11521" width="5.42578125" customWidth="1"/>
    <col min="11522" max="11522" width="40.42578125" customWidth="1"/>
    <col min="11524" max="11524" width="11.7109375" customWidth="1"/>
    <col min="11525" max="11526" width="9.140625" bestFit="1" customWidth="1"/>
    <col min="11527" max="11528" width="7.85546875" bestFit="1" customWidth="1"/>
    <col min="11529" max="11529" width="9" bestFit="1" customWidth="1"/>
    <col min="11530" max="11530" width="38.42578125" customWidth="1"/>
    <col min="11531" max="11531" width="14.7109375" customWidth="1"/>
    <col min="11777" max="11777" width="5.42578125" customWidth="1"/>
    <col min="11778" max="11778" width="40.42578125" customWidth="1"/>
    <col min="11780" max="11780" width="11.7109375" customWidth="1"/>
    <col min="11781" max="11782" width="9.140625" bestFit="1" customWidth="1"/>
    <col min="11783" max="11784" width="7.85546875" bestFit="1" customWidth="1"/>
    <col min="11785" max="11785" width="9" bestFit="1" customWidth="1"/>
    <col min="11786" max="11786" width="38.42578125" customWidth="1"/>
    <col min="11787" max="11787" width="14.7109375" customWidth="1"/>
    <col min="12033" max="12033" width="5.42578125" customWidth="1"/>
    <col min="12034" max="12034" width="40.42578125" customWidth="1"/>
    <col min="12036" max="12036" width="11.7109375" customWidth="1"/>
    <col min="12037" max="12038" width="9.140625" bestFit="1" customWidth="1"/>
    <col min="12039" max="12040" width="7.85546875" bestFit="1" customWidth="1"/>
    <col min="12041" max="12041" width="9" bestFit="1" customWidth="1"/>
    <col min="12042" max="12042" width="38.42578125" customWidth="1"/>
    <col min="12043" max="12043" width="14.7109375" customWidth="1"/>
    <col min="12289" max="12289" width="5.42578125" customWidth="1"/>
    <col min="12290" max="12290" width="40.42578125" customWidth="1"/>
    <col min="12292" max="12292" width="11.7109375" customWidth="1"/>
    <col min="12293" max="12294" width="9.140625" bestFit="1" customWidth="1"/>
    <col min="12295" max="12296" width="7.85546875" bestFit="1" customWidth="1"/>
    <col min="12297" max="12297" width="9" bestFit="1" customWidth="1"/>
    <col min="12298" max="12298" width="38.42578125" customWidth="1"/>
    <col min="12299" max="12299" width="14.7109375" customWidth="1"/>
    <col min="12545" max="12545" width="5.42578125" customWidth="1"/>
    <col min="12546" max="12546" width="40.42578125" customWidth="1"/>
    <col min="12548" max="12548" width="11.7109375" customWidth="1"/>
    <col min="12549" max="12550" width="9.140625" bestFit="1" customWidth="1"/>
    <col min="12551" max="12552" width="7.85546875" bestFit="1" customWidth="1"/>
    <col min="12553" max="12553" width="9" bestFit="1" customWidth="1"/>
    <col min="12554" max="12554" width="38.42578125" customWidth="1"/>
    <col min="12555" max="12555" width="14.7109375" customWidth="1"/>
    <col min="12801" max="12801" width="5.42578125" customWidth="1"/>
    <col min="12802" max="12802" width="40.42578125" customWidth="1"/>
    <col min="12804" max="12804" width="11.7109375" customWidth="1"/>
    <col min="12805" max="12806" width="9.140625" bestFit="1" customWidth="1"/>
    <col min="12807" max="12808" width="7.85546875" bestFit="1" customWidth="1"/>
    <col min="12809" max="12809" width="9" bestFit="1" customWidth="1"/>
    <col min="12810" max="12810" width="38.42578125" customWidth="1"/>
    <col min="12811" max="12811" width="14.7109375" customWidth="1"/>
    <col min="13057" max="13057" width="5.42578125" customWidth="1"/>
    <col min="13058" max="13058" width="40.42578125" customWidth="1"/>
    <col min="13060" max="13060" width="11.7109375" customWidth="1"/>
    <col min="13061" max="13062" width="9.140625" bestFit="1" customWidth="1"/>
    <col min="13063" max="13064" width="7.85546875" bestFit="1" customWidth="1"/>
    <col min="13065" max="13065" width="9" bestFit="1" customWidth="1"/>
    <col min="13066" max="13066" width="38.42578125" customWidth="1"/>
    <col min="13067" max="13067" width="14.7109375" customWidth="1"/>
    <col min="13313" max="13313" width="5.42578125" customWidth="1"/>
    <col min="13314" max="13314" width="40.42578125" customWidth="1"/>
    <col min="13316" max="13316" width="11.7109375" customWidth="1"/>
    <col min="13317" max="13318" width="9.140625" bestFit="1" customWidth="1"/>
    <col min="13319" max="13320" width="7.85546875" bestFit="1" customWidth="1"/>
    <col min="13321" max="13321" width="9" bestFit="1" customWidth="1"/>
    <col min="13322" max="13322" width="38.42578125" customWidth="1"/>
    <col min="13323" max="13323" width="14.7109375" customWidth="1"/>
    <col min="13569" max="13569" width="5.42578125" customWidth="1"/>
    <col min="13570" max="13570" width="40.42578125" customWidth="1"/>
    <col min="13572" max="13572" width="11.7109375" customWidth="1"/>
    <col min="13573" max="13574" width="9.140625" bestFit="1" customWidth="1"/>
    <col min="13575" max="13576" width="7.85546875" bestFit="1" customWidth="1"/>
    <col min="13577" max="13577" width="9" bestFit="1" customWidth="1"/>
    <col min="13578" max="13578" width="38.42578125" customWidth="1"/>
    <col min="13579" max="13579" width="14.7109375" customWidth="1"/>
    <col min="13825" max="13825" width="5.42578125" customWidth="1"/>
    <col min="13826" max="13826" width="40.42578125" customWidth="1"/>
    <col min="13828" max="13828" width="11.7109375" customWidth="1"/>
    <col min="13829" max="13830" width="9.140625" bestFit="1" customWidth="1"/>
    <col min="13831" max="13832" width="7.85546875" bestFit="1" customWidth="1"/>
    <col min="13833" max="13833" width="9" bestFit="1" customWidth="1"/>
    <col min="13834" max="13834" width="38.42578125" customWidth="1"/>
    <col min="13835" max="13835" width="14.7109375" customWidth="1"/>
    <col min="14081" max="14081" width="5.42578125" customWidth="1"/>
    <col min="14082" max="14082" width="40.42578125" customWidth="1"/>
    <col min="14084" max="14084" width="11.7109375" customWidth="1"/>
    <col min="14085" max="14086" width="9.140625" bestFit="1" customWidth="1"/>
    <col min="14087" max="14088" width="7.85546875" bestFit="1" customWidth="1"/>
    <col min="14089" max="14089" width="9" bestFit="1" customWidth="1"/>
    <col min="14090" max="14090" width="38.42578125" customWidth="1"/>
    <col min="14091" max="14091" width="14.7109375" customWidth="1"/>
    <col min="14337" max="14337" width="5.42578125" customWidth="1"/>
    <col min="14338" max="14338" width="40.42578125" customWidth="1"/>
    <col min="14340" max="14340" width="11.7109375" customWidth="1"/>
    <col min="14341" max="14342" width="9.140625" bestFit="1" customWidth="1"/>
    <col min="14343" max="14344" width="7.85546875" bestFit="1" customWidth="1"/>
    <col min="14345" max="14345" width="9" bestFit="1" customWidth="1"/>
    <col min="14346" max="14346" width="38.42578125" customWidth="1"/>
    <col min="14347" max="14347" width="14.7109375" customWidth="1"/>
    <col min="14593" max="14593" width="5.42578125" customWidth="1"/>
    <col min="14594" max="14594" width="40.42578125" customWidth="1"/>
    <col min="14596" max="14596" width="11.7109375" customWidth="1"/>
    <col min="14597" max="14598" width="9.140625" bestFit="1" customWidth="1"/>
    <col min="14599" max="14600" width="7.85546875" bestFit="1" customWidth="1"/>
    <col min="14601" max="14601" width="9" bestFit="1" customWidth="1"/>
    <col min="14602" max="14602" width="38.42578125" customWidth="1"/>
    <col min="14603" max="14603" width="14.7109375" customWidth="1"/>
    <col min="14849" max="14849" width="5.42578125" customWidth="1"/>
    <col min="14850" max="14850" width="40.42578125" customWidth="1"/>
    <col min="14852" max="14852" width="11.7109375" customWidth="1"/>
    <col min="14853" max="14854" width="9.140625" bestFit="1" customWidth="1"/>
    <col min="14855" max="14856" width="7.85546875" bestFit="1" customWidth="1"/>
    <col min="14857" max="14857" width="9" bestFit="1" customWidth="1"/>
    <col min="14858" max="14858" width="38.42578125" customWidth="1"/>
    <col min="14859" max="14859" width="14.7109375" customWidth="1"/>
    <col min="15105" max="15105" width="5.42578125" customWidth="1"/>
    <col min="15106" max="15106" width="40.42578125" customWidth="1"/>
    <col min="15108" max="15108" width="11.7109375" customWidth="1"/>
    <col min="15109" max="15110" width="9.140625" bestFit="1" customWidth="1"/>
    <col min="15111" max="15112" width="7.85546875" bestFit="1" customWidth="1"/>
    <col min="15113" max="15113" width="9" bestFit="1" customWidth="1"/>
    <col min="15114" max="15114" width="38.42578125" customWidth="1"/>
    <col min="15115" max="15115" width="14.7109375" customWidth="1"/>
    <col min="15361" max="15361" width="5.42578125" customWidth="1"/>
    <col min="15362" max="15362" width="40.42578125" customWidth="1"/>
    <col min="15364" max="15364" width="11.7109375" customWidth="1"/>
    <col min="15365" max="15366" width="9.140625" bestFit="1" customWidth="1"/>
    <col min="15367" max="15368" width="7.85546875" bestFit="1" customWidth="1"/>
    <col min="15369" max="15369" width="9" bestFit="1" customWidth="1"/>
    <col min="15370" max="15370" width="38.42578125" customWidth="1"/>
    <col min="15371" max="15371" width="14.7109375" customWidth="1"/>
    <col min="15617" max="15617" width="5.42578125" customWidth="1"/>
    <col min="15618" max="15618" width="40.42578125" customWidth="1"/>
    <col min="15620" max="15620" width="11.7109375" customWidth="1"/>
    <col min="15621" max="15622" width="9.140625" bestFit="1" customWidth="1"/>
    <col min="15623" max="15624" width="7.85546875" bestFit="1" customWidth="1"/>
    <col min="15625" max="15625" width="9" bestFit="1" customWidth="1"/>
    <col min="15626" max="15626" width="38.42578125" customWidth="1"/>
    <col min="15627" max="15627" width="14.7109375" customWidth="1"/>
    <col min="15873" max="15873" width="5.42578125" customWidth="1"/>
    <col min="15874" max="15874" width="40.42578125" customWidth="1"/>
    <col min="15876" max="15876" width="11.7109375" customWidth="1"/>
    <col min="15877" max="15878" width="9.140625" bestFit="1" customWidth="1"/>
    <col min="15879" max="15880" width="7.85546875" bestFit="1" customWidth="1"/>
    <col min="15881" max="15881" width="9" bestFit="1" customWidth="1"/>
    <col min="15882" max="15882" width="38.42578125" customWidth="1"/>
    <col min="15883" max="15883" width="14.7109375" customWidth="1"/>
    <col min="16129" max="16129" width="5.42578125" customWidth="1"/>
    <col min="16130" max="16130" width="40.42578125" customWidth="1"/>
    <col min="16132" max="16132" width="11.7109375" customWidth="1"/>
    <col min="16133" max="16134" width="9.140625" bestFit="1" customWidth="1"/>
    <col min="16135" max="16136" width="7.85546875" bestFit="1" customWidth="1"/>
    <col min="16137" max="16137" width="9" bestFit="1" customWidth="1"/>
    <col min="16138" max="16138" width="38.42578125" customWidth="1"/>
    <col min="16139" max="16139" width="14.7109375" customWidth="1"/>
  </cols>
  <sheetData>
    <row r="1" spans="1:12">
      <c r="A1"/>
      <c r="D1"/>
      <c r="K1" s="70" t="s">
        <v>310</v>
      </c>
    </row>
    <row r="2" spans="1:12" ht="8.25" customHeight="1">
      <c r="A2"/>
      <c r="D2"/>
      <c r="F2" s="71"/>
    </row>
    <row r="3" spans="1:12" ht="14.25" customHeight="1">
      <c r="A3" s="1971" t="s">
        <v>311</v>
      </c>
      <c r="B3" s="1971"/>
      <c r="C3" s="1971"/>
      <c r="D3" s="1971"/>
      <c r="E3" s="1971"/>
      <c r="F3" s="1971"/>
      <c r="G3" s="1971"/>
      <c r="H3" s="1971"/>
      <c r="I3" s="1971"/>
      <c r="J3" s="1971"/>
      <c r="K3" s="1971"/>
      <c r="L3" s="72"/>
    </row>
    <row r="4" spans="1:12" ht="10.5" customHeight="1">
      <c r="A4"/>
      <c r="D4"/>
    </row>
    <row r="5" spans="1:12" ht="14.25" customHeight="1">
      <c r="A5" s="1959" t="s">
        <v>1</v>
      </c>
      <c r="B5" s="1972" t="s">
        <v>312</v>
      </c>
      <c r="C5" s="1972" t="s">
        <v>3</v>
      </c>
      <c r="D5" s="1972" t="s">
        <v>4</v>
      </c>
      <c r="E5" s="1972"/>
      <c r="F5" s="1972"/>
      <c r="G5" s="1972"/>
      <c r="H5" s="1972"/>
      <c r="I5" s="1972"/>
      <c r="J5" s="1961" t="s">
        <v>313</v>
      </c>
      <c r="K5" s="1961" t="s">
        <v>308</v>
      </c>
    </row>
    <row r="6" spans="1:12" ht="29.25" customHeight="1">
      <c r="A6" s="1959"/>
      <c r="B6" s="1972"/>
      <c r="C6" s="1972"/>
      <c r="D6" s="73" t="s">
        <v>314</v>
      </c>
      <c r="E6" s="74" t="s">
        <v>8</v>
      </c>
      <c r="F6" s="74" t="s">
        <v>9</v>
      </c>
      <c r="G6" s="74" t="s">
        <v>10</v>
      </c>
      <c r="H6" s="74" t="s">
        <v>11</v>
      </c>
      <c r="I6" s="74" t="s">
        <v>12</v>
      </c>
      <c r="J6" s="1962"/>
      <c r="K6" s="1964"/>
    </row>
    <row r="7" spans="1:12">
      <c r="A7" s="1959"/>
      <c r="B7" s="1963" t="s">
        <v>315</v>
      </c>
      <c r="C7" s="1959" t="s">
        <v>14</v>
      </c>
      <c r="D7" s="73" t="s">
        <v>8</v>
      </c>
      <c r="E7" s="75">
        <f>E8+E9+E10+E11+E12+E13+E14</f>
        <v>6565627.3499999996</v>
      </c>
      <c r="F7" s="75">
        <f>F8+F9+F10+F11+F12+F13+F14</f>
        <v>5607967.8499999996</v>
      </c>
      <c r="G7" s="75">
        <f>G8+G9+G10+G11+G12+G13+G14</f>
        <v>563694.10000000009</v>
      </c>
      <c r="H7" s="75">
        <f>H8+H9+H10+H11+H12+H13+H14</f>
        <v>324944.40000000002</v>
      </c>
      <c r="I7" s="75">
        <f>I8+I9+I10+I11+I12+I13+I14</f>
        <v>69021</v>
      </c>
      <c r="J7" s="1961"/>
      <c r="K7" s="1961" t="s">
        <v>316</v>
      </c>
    </row>
    <row r="8" spans="1:12">
      <c r="A8" s="1959"/>
      <c r="B8" s="1963"/>
      <c r="C8" s="1959"/>
      <c r="D8" s="73">
        <v>2014</v>
      </c>
      <c r="E8" s="75">
        <f t="shared" ref="E8:E14" si="0">F8+G8+H8+I8</f>
        <v>973077.3</v>
      </c>
      <c r="F8" s="75">
        <f>'[2]Пр14. План'!$F$6</f>
        <v>870639.50000000012</v>
      </c>
      <c r="G8" s="75">
        <f>'[2]Пр14. План'!$G$6</f>
        <v>95764.2</v>
      </c>
      <c r="H8" s="75">
        <f>'[2]Пр14. План'!$H$6</f>
        <v>1752.6</v>
      </c>
      <c r="I8" s="75">
        <f>I88</f>
        <v>4921</v>
      </c>
      <c r="J8" s="1962"/>
      <c r="K8" s="1962"/>
    </row>
    <row r="9" spans="1:12">
      <c r="A9" s="1959"/>
      <c r="B9" s="1963"/>
      <c r="C9" s="1959"/>
      <c r="D9" s="73">
        <v>2015</v>
      </c>
      <c r="E9" s="75">
        <f t="shared" si="0"/>
        <v>774698.8</v>
      </c>
      <c r="F9" s="75">
        <f>'[3]план 15-17'!F6</f>
        <v>621446.20000000007</v>
      </c>
      <c r="G9" s="75">
        <f>'[3]план 15-17'!G6</f>
        <v>150332</v>
      </c>
      <c r="H9" s="75">
        <f>'[3]план 15-17'!H6</f>
        <v>2920.6</v>
      </c>
      <c r="I9" s="75">
        <f>'[3]план 15-17'!I6</f>
        <v>0</v>
      </c>
      <c r="J9" s="1962"/>
      <c r="K9" s="1962"/>
    </row>
    <row r="10" spans="1:12">
      <c r="A10" s="1959"/>
      <c r="B10" s="1963"/>
      <c r="C10" s="1959"/>
      <c r="D10" s="73">
        <v>2016</v>
      </c>
      <c r="E10" s="75">
        <f t="shared" si="0"/>
        <v>596162.69999999995</v>
      </c>
      <c r="F10" s="75">
        <f>'[4]8 План18-20-2'!F6</f>
        <v>528911.6</v>
      </c>
      <c r="G10" s="75">
        <f>'[4]8 План18-20-2'!G6</f>
        <v>25501.9</v>
      </c>
      <c r="H10" s="75">
        <f>'[4]8 План18-20-2'!H6</f>
        <v>20949.2</v>
      </c>
      <c r="I10" s="75">
        <f>'[4]8 План18-20-2'!I6</f>
        <v>20800</v>
      </c>
      <c r="J10" s="1962"/>
      <c r="K10" s="1962"/>
    </row>
    <row r="11" spans="1:12">
      <c r="A11" s="1959"/>
      <c r="B11" s="1963"/>
      <c r="C11" s="1959"/>
      <c r="D11" s="73">
        <v>2017</v>
      </c>
      <c r="E11" s="75">
        <f t="shared" si="0"/>
        <v>741436.5</v>
      </c>
      <c r="F11" s="75">
        <f>'[4]8 План18-20-2'!F7</f>
        <v>622094.69999999995</v>
      </c>
      <c r="G11" s="75">
        <f>'[4]8 План18-20-2'!G7</f>
        <v>37021</v>
      </c>
      <c r="H11" s="75">
        <f>'[4]8 План18-20-2'!H7</f>
        <v>67320.800000000003</v>
      </c>
      <c r="I11" s="75">
        <f>'[4]8 План18-20-2'!I7</f>
        <v>15000</v>
      </c>
      <c r="J11" s="1962"/>
      <c r="K11" s="1962"/>
    </row>
    <row r="12" spans="1:12">
      <c r="A12" s="1959"/>
      <c r="B12" s="1963"/>
      <c r="C12" s="1959"/>
      <c r="D12" s="73">
        <v>2018</v>
      </c>
      <c r="E12" s="75">
        <f t="shared" si="0"/>
        <v>1097676.6499999999</v>
      </c>
      <c r="F12" s="75">
        <f>'[4]8 План18-20-2'!F8</f>
        <v>1011644.85</v>
      </c>
      <c r="G12" s="75">
        <f>'[4]8 План18-20-2'!G8</f>
        <v>32132.199999999997</v>
      </c>
      <c r="H12" s="75">
        <f>'[4]8 План18-20-2'!H8</f>
        <v>53899.6</v>
      </c>
      <c r="I12" s="75">
        <f>'[4]8 План18-20-2'!I8</f>
        <v>0</v>
      </c>
      <c r="J12" s="1962"/>
      <c r="K12" s="1962"/>
    </row>
    <row r="13" spans="1:12">
      <c r="A13" s="1959"/>
      <c r="B13" s="1963"/>
      <c r="C13" s="1959"/>
      <c r="D13" s="73">
        <v>2019</v>
      </c>
      <c r="E13" s="75">
        <f t="shared" si="0"/>
        <v>1383260.5</v>
      </c>
      <c r="F13" s="75">
        <f>'[4]8 План18-20-2'!F9</f>
        <v>1128676.5</v>
      </c>
      <c r="G13" s="75">
        <f>'[4]8 План18-20-2'!G9</f>
        <v>111471.4</v>
      </c>
      <c r="H13" s="75">
        <f>'[4]8 План18-20-2'!H9</f>
        <v>114812.6</v>
      </c>
      <c r="I13" s="75">
        <f>'[4]8 План18-20-2'!I9</f>
        <v>28300</v>
      </c>
      <c r="J13" s="1962"/>
      <c r="K13" s="1962"/>
    </row>
    <row r="14" spans="1:12">
      <c r="A14" s="1959"/>
      <c r="B14" s="1963"/>
      <c r="C14" s="1959"/>
      <c r="D14" s="73">
        <v>2020</v>
      </c>
      <c r="E14" s="75">
        <f t="shared" si="0"/>
        <v>999314.9</v>
      </c>
      <c r="F14" s="75">
        <f>F38+F62+F94+F126</f>
        <v>824554.5</v>
      </c>
      <c r="G14" s="75">
        <f>G38+G62+G94+G126</f>
        <v>111471.4</v>
      </c>
      <c r="H14" s="75">
        <f>H38+H62+H94+H126</f>
        <v>63289</v>
      </c>
      <c r="I14" s="75">
        <f>I38+I62+I94+I126</f>
        <v>0</v>
      </c>
      <c r="J14" s="1962"/>
      <c r="K14" s="1962"/>
    </row>
    <row r="15" spans="1:12">
      <c r="A15" s="1959"/>
      <c r="B15" s="1963" t="s">
        <v>149</v>
      </c>
      <c r="C15" s="1959"/>
      <c r="D15" s="73" t="s">
        <v>8</v>
      </c>
      <c r="E15" s="75">
        <f>E16+E17+E18+E19+E20+E21+E22</f>
        <v>3802749.4</v>
      </c>
      <c r="F15" s="75">
        <f>F16+F17+F18+F19+F20+F21+F22</f>
        <v>3663819.3000000003</v>
      </c>
      <c r="G15" s="75">
        <f>G16+G17+G18+G19+G20+G21+G22</f>
        <v>135751.29999999999</v>
      </c>
      <c r="H15" s="75">
        <f>H16+H17+H18+H19+H20+H21+H22</f>
        <v>3178.7999999999997</v>
      </c>
      <c r="I15" s="75">
        <f>I16+I17+I18+I19+I20+I21+I22</f>
        <v>0</v>
      </c>
      <c r="J15" s="1961"/>
      <c r="K15" s="1961" t="s">
        <v>317</v>
      </c>
    </row>
    <row r="16" spans="1:12">
      <c r="A16" s="1959"/>
      <c r="B16" s="1963"/>
      <c r="C16" s="1959"/>
      <c r="D16" s="73">
        <v>2014</v>
      </c>
      <c r="E16" s="75">
        <f>F16+G16+H16+I16</f>
        <v>434216.20000000007</v>
      </c>
      <c r="F16" s="75">
        <f>'[5]Пр14. План'!$F$14+'[5]Пр14. План'!$F$110+'[5]Пр14. План'!$F$694+'[5]Пр14. План'!$F$801+'[5]Пр14. План'!$F$825+'[5]Пр14. План'!$F$833+'[5]Пр14. План'!$F$841+'[5]Пр14. План'!$F$849+'[5]Пр14. План'!$F$857+'[5]Пр14. План'!$F$865+'[5]Пр14. План'!$F$889</f>
        <v>418452.00000000006</v>
      </c>
      <c r="G16" s="75">
        <f>'[5]Пр14. План'!$G$14+'[5]Пр14. План'!$G$110+'[5]Пр14. План'!$G$817</f>
        <v>15764.2</v>
      </c>
      <c r="H16" s="75">
        <v>0</v>
      </c>
      <c r="I16" s="75">
        <v>0</v>
      </c>
      <c r="J16" s="1962"/>
      <c r="K16" s="1962"/>
    </row>
    <row r="17" spans="1:11">
      <c r="A17" s="1959"/>
      <c r="B17" s="1963"/>
      <c r="C17" s="1959"/>
      <c r="D17" s="73">
        <v>2015</v>
      </c>
      <c r="E17" s="75">
        <f>E33+E57+E121+'[3]план 15-17'!E314+'[3]план 15-17'!E342+'[3]план 15-17'!E354+'[3]план 15-17'!E358+'[3]план 15-17'!E362+'[3]план 15-17'!E370+'[3]план 15-17'!E374</f>
        <v>397351.69999999995</v>
      </c>
      <c r="F17" s="75">
        <f>'[3]план 15-17'!$F$10+'[3]план 15-17'!$F$54+'[3]план 15-17'!$F$314+'[3]план 15-17'!$F$342+'[3]план 15-17'!$F$354+'[3]план 15-17'!$F$358+'[3]план 15-17'!$F$362+'[3]план 15-17'!$F$370+'[3]план 15-17'!$F$374+'[3]план 15-17'!$F$378</f>
        <v>372019.7</v>
      </c>
      <c r="G17" s="75">
        <f>G33+G57+G121+'[3]план 15-17'!G314+'[3]план 15-17'!G342+'[3]план 15-17'!G354+'[3]план 15-17'!G358+'[3]план 15-17'!G362+'[3]план 15-17'!G370+'[3]план 15-17'!G374</f>
        <v>25332</v>
      </c>
      <c r="H17" s="75">
        <f>H33+H57+H121+'[3]план 15-17'!H314+'[3]план 15-17'!H342+'[3]план 15-17'!H354+'[3]план 15-17'!H358+'[3]план 15-17'!H362+'[3]план 15-17'!H370+'[3]план 15-17'!H374</f>
        <v>0</v>
      </c>
      <c r="I17" s="75">
        <f>I33+I57+I121+'[3]план 15-17'!I314+'[3]план 15-17'!I342+'[3]план 15-17'!I354+'[3]план 15-17'!I358+'[3]план 15-17'!I362+'[3]план 15-17'!I370+'[3]план 15-17'!I374</f>
        <v>0</v>
      </c>
      <c r="J17" s="1962"/>
      <c r="K17" s="1962"/>
    </row>
    <row r="18" spans="1:11">
      <c r="A18" s="1959"/>
      <c r="B18" s="1963"/>
      <c r="C18" s="1959"/>
      <c r="D18" s="73">
        <v>2016</v>
      </c>
      <c r="E18" s="75">
        <f>'[4]8 План18-20-2'!E12+'[4]8 План18-20-2'!E84+'[4]8 План18-20-2'!E234+'[4]8 План18-20-2'!E306+'[4]8 План18-20-2'!E318+'[4]8 План18-20-2'!E324+'[4]8 План18-20-2'!E330+'[4]8 План18-20-2'!E342+'[4]8 План18-20-2'!E348+'[4]8 План18-20-2'!E354+'[4]8 План18-20-2'!E366+'[4]8 План18-20-2'!E372+'[4]8 План18-20-2'!E384+'[4]8 План18-20-2'!E426</f>
        <v>473180.8</v>
      </c>
      <c r="F18" s="75">
        <f>'[4]8 План18-20-2'!F12+'[4]8 План18-20-2'!F84+'[4]8 План18-20-2'!F234+'[4]8 План18-20-2'!F306+'[4]8 План18-20-2'!F318+'[4]8 План18-20-2'!F324+'[4]8 План18-20-2'!F330+'[4]8 План18-20-2'!F342+'[4]8 План18-20-2'!F348+'[4]8 План18-20-2'!F354+'[4]8 План18-20-2'!F366+'[4]8 План18-20-2'!F372+'[4]8 План18-20-2'!F384+'[4]8 План18-20-2'!F426</f>
        <v>446552.6</v>
      </c>
      <c r="G18" s="75">
        <f>'[4]8 План18-20-2'!G12+'[4]8 План18-20-2'!G84+'[4]8 План18-20-2'!G234+'[4]8 План18-20-2'!G306+'[4]8 План18-20-2'!G318+'[4]8 План18-20-2'!G324+'[4]8 План18-20-2'!G330+'[4]8 План18-20-2'!G342+'[4]8 План18-20-2'!G348+'[4]8 План18-20-2'!G354+'[4]8 План18-20-2'!G366+'[4]8 План18-20-2'!G372+'[4]8 План18-20-2'!G384+'[4]8 План18-20-2'!G426</f>
        <v>25501.9</v>
      </c>
      <c r="H18" s="75">
        <f>'[4]8 План18-20-2'!H12+'[4]8 План18-20-2'!H84+'[4]8 План18-20-2'!H234+'[4]8 План18-20-2'!H306+'[4]8 План18-20-2'!H318+'[4]8 План18-20-2'!H324+'[4]8 План18-20-2'!H330+'[4]8 План18-20-2'!H342+'[4]8 План18-20-2'!H348+'[4]8 План18-20-2'!H354+'[4]8 План18-20-2'!H366+'[4]8 План18-20-2'!H372+'[4]8 План18-20-2'!H384+'[4]8 План18-20-2'!H426</f>
        <v>1126.3</v>
      </c>
      <c r="I18" s="75">
        <f>'[4]8 План18-20-2'!I12+'[4]8 План18-20-2'!I84+'[4]8 План18-20-2'!I234+'[4]8 План18-20-2'!I306+'[4]8 План18-20-2'!I318+'[4]8 План18-20-2'!I324+'[4]8 План18-20-2'!I330+'[4]8 План18-20-2'!I342+'[4]8 План18-20-2'!I348+'[4]8 План18-20-2'!I354+'[4]8 План18-20-2'!I366+'[4]8 План18-20-2'!I372+'[4]8 План18-20-2'!I384+'[4]8 План18-20-2'!I426</f>
        <v>0</v>
      </c>
      <c r="J18" s="1962"/>
      <c r="K18" s="1962"/>
    </row>
    <row r="19" spans="1:11">
      <c r="A19" s="1959"/>
      <c r="B19" s="1963"/>
      <c r="C19" s="1959"/>
      <c r="D19" s="73">
        <v>2017</v>
      </c>
      <c r="E19" s="75">
        <f>'[4]8 План18-20-2'!E13+'[4]8 План18-20-2'!E85+'[4]8 План18-20-2'!E235+'[4]8 План18-20-2'!E307+'[4]8 План18-20-2'!E319+'[4]8 План18-20-2'!E325+'[4]8 План18-20-2'!E331+'[4]8 План18-20-2'!E343+'[4]8 План18-20-2'!E349+'[4]8 План18-20-2'!E355+'[4]8 План18-20-2'!E367+'[4]8 План18-20-2'!E373+'[4]8 План18-20-2'!E385+'[4]8 План18-20-2'!E427</f>
        <v>561166.19999999995</v>
      </c>
      <c r="F19" s="75">
        <f>'[4]8 План18-20-2'!F13+'[4]8 План18-20-2'!F85+'[4]8 План18-20-2'!F235+'[4]8 План18-20-2'!F307+'[4]8 План18-20-2'!F319+'[4]8 План18-20-2'!F325+'[4]8 План18-20-2'!F331+'[4]8 План18-20-2'!F343+'[4]8 План18-20-2'!F349+'[4]8 План18-20-2'!F355+'[4]8 План18-20-2'!F367+'[4]8 План18-20-2'!F373+'[4]8 План18-20-2'!F385+'[4]8 План18-20-2'!F427</f>
        <v>522424.4</v>
      </c>
      <c r="G19" s="75">
        <f>'[4]8 План18-20-2'!G13+'[4]8 План18-20-2'!G85+'[4]8 План18-20-2'!G235+'[4]8 План18-20-2'!G307+'[4]8 План18-20-2'!G319+'[4]8 План18-20-2'!G325+'[4]8 План18-20-2'!G331+'[4]8 План18-20-2'!G343+'[4]8 План18-20-2'!G349+'[4]8 План18-20-2'!G355+'[4]8 План18-20-2'!G367+'[4]8 План18-20-2'!G373+'[4]8 План18-20-2'!G385+'[4]8 План18-20-2'!G427</f>
        <v>37021</v>
      </c>
      <c r="H19" s="75">
        <f>'[4]8 План18-20-2'!H13+'[4]8 План18-20-2'!H85+'[4]8 План18-20-2'!H235+'[4]8 План18-20-2'!H307+'[4]8 План18-20-2'!H319+'[4]8 План18-20-2'!H325+'[4]8 План18-20-2'!H331+'[4]8 План18-20-2'!H343+'[4]8 План18-20-2'!H349+'[4]8 План18-20-2'!H355+'[4]8 План18-20-2'!H367+'[4]8 План18-20-2'!H373+'[4]8 План18-20-2'!H385+'[4]8 План18-20-2'!H427</f>
        <v>1720.8</v>
      </c>
      <c r="I19" s="75">
        <f>'[4]8 План18-20-2'!I13+'[4]8 План18-20-2'!I85+'[4]8 План18-20-2'!I235+'[4]8 План18-20-2'!I307+'[4]8 План18-20-2'!I319+'[4]8 План18-20-2'!I325+'[4]8 План18-20-2'!I331+'[4]8 План18-20-2'!I343+'[4]8 План18-20-2'!I349+'[4]8 План18-20-2'!I355+'[4]8 План18-20-2'!I367+'[4]8 План18-20-2'!I373+'[4]8 План18-20-2'!I385+'[4]8 План18-20-2'!I427</f>
        <v>0</v>
      </c>
      <c r="J19" s="1962"/>
      <c r="K19" s="1962"/>
    </row>
    <row r="20" spans="1:11">
      <c r="A20" s="1959"/>
      <c r="B20" s="1963"/>
      <c r="C20" s="1959"/>
      <c r="D20" s="73">
        <v>2018</v>
      </c>
      <c r="E20" s="75">
        <f>'[4]8 План18-20-2'!E14+'[4]8 План18-20-2'!E86+'[4]8 План18-20-2'!E236+'[4]8 План18-20-2'!E308+'[4]8 План18-20-2'!E320+'[4]8 План18-20-2'!E326+'[4]8 План18-20-2'!E332+'[4]8 План18-20-2'!E344+'[4]8 План18-20-2'!E350+'[4]8 План18-20-2'!E356+'[4]8 План18-20-2'!E368+'[4]8 План18-20-2'!E374+'[4]8 План18-20-2'!E386+'[4]8 План18-20-2'!E428</f>
        <v>689782.3</v>
      </c>
      <c r="F20" s="75">
        <f>'[4]8 План18-20-2'!F14+'[4]8 План18-20-2'!F86+'[4]8 План18-20-2'!F236+'[4]8 План18-20-2'!F308+'[4]8 План18-20-2'!F320+'[4]8 План18-20-2'!F326+'[4]8 План18-20-2'!F332+'[4]8 План18-20-2'!F344+'[4]8 План18-20-2'!F350+'[4]8 План18-20-2'!F356+'[4]8 План18-20-2'!F368+'[4]8 План18-20-2'!F374+'[4]8 План18-20-2'!F386+'[4]8 План18-20-2'!F428</f>
        <v>657318.39999999991</v>
      </c>
      <c r="G20" s="75">
        <f>'[4]8 План18-20-2'!G14+'[4]8 План18-20-2'!G86+'[4]8 План18-20-2'!G236+'[4]8 План18-20-2'!G308+'[4]8 План18-20-2'!G320+'[4]8 План18-20-2'!G326+'[4]8 План18-20-2'!G332+'[4]8 План18-20-2'!G344+'[4]8 План18-20-2'!G350+'[4]8 План18-20-2'!G356+'[4]8 План18-20-2'!G368+'[4]8 План18-20-2'!G374+'[4]8 План18-20-2'!G386+'[4]8 План18-20-2'!G428</f>
        <v>32132.199999999997</v>
      </c>
      <c r="H20" s="75">
        <f>'[4]8 План18-20-2'!H14+'[4]8 План18-20-2'!H86+'[4]8 План18-20-2'!H236+'[4]8 План18-20-2'!H308+'[4]8 План18-20-2'!H320+'[4]8 План18-20-2'!H326+'[4]8 План18-20-2'!H332+'[4]8 План18-20-2'!H344+'[4]8 План18-20-2'!H350+'[4]8 План18-20-2'!H356+'[4]8 План18-20-2'!H368+'[4]8 План18-20-2'!H374+'[4]8 План18-20-2'!H386+'[4]8 План18-20-2'!H428</f>
        <v>331.7</v>
      </c>
      <c r="I20" s="75">
        <f>'[4]8 План18-20-2'!I14+'[4]8 План18-20-2'!I86+'[4]8 План18-20-2'!I236+'[4]8 План18-20-2'!I308+'[4]8 План18-20-2'!I320+'[4]8 План18-20-2'!I326+'[4]8 План18-20-2'!I332+'[4]8 План18-20-2'!I344+'[4]8 План18-20-2'!I350+'[4]8 План18-20-2'!I356+'[4]8 План18-20-2'!I368+'[4]8 План18-20-2'!I374+'[4]8 План18-20-2'!I386+'[4]8 План18-20-2'!I428</f>
        <v>0</v>
      </c>
      <c r="J20" s="1962"/>
      <c r="K20" s="1962"/>
    </row>
    <row r="21" spans="1:11">
      <c r="A21" s="1959"/>
      <c r="B21" s="1963"/>
      <c r="C21" s="1959"/>
      <c r="D21" s="73">
        <v>2019</v>
      </c>
      <c r="E21" s="75">
        <f>'[4]8 План18-20-2'!E15+'[4]8 План18-20-2'!E87+'[4]8 План18-20-2'!E237+'[4]8 План18-20-2'!E309+'[4]8 План18-20-2'!E321+'[4]8 План18-20-2'!E327+'[4]8 План18-20-2'!E333+'[4]8 План18-20-2'!E345+'[4]8 План18-20-2'!E351+'[4]8 План18-20-2'!E357+'[4]8 План18-20-2'!E369+'[4]8 План18-20-2'!E375+'[4]8 План18-20-2'!E387+'[4]8 План18-20-2'!E429</f>
        <v>617102.30000000005</v>
      </c>
      <c r="F21" s="75">
        <f>'[4]8 План18-20-2'!F15+'[4]8 План18-20-2'!F87+'[4]8 План18-20-2'!F237+'[4]8 План18-20-2'!F309+'[4]8 План18-20-2'!F321+'[4]8 План18-20-2'!F327+'[4]8 План18-20-2'!F333+'[4]8 План18-20-2'!F345+'[4]8 План18-20-2'!F351+'[4]8 План18-20-2'!F357+'[4]8 План18-20-2'!F369+'[4]8 План18-20-2'!F375+'[4]8 План18-20-2'!F387+'[4]8 План18-20-2'!F429</f>
        <v>617102.30000000005</v>
      </c>
      <c r="G21" s="75">
        <f>'[4]8 План18-20-2'!G15+'[4]8 План18-20-2'!G87+'[4]8 План18-20-2'!G237+'[4]8 План18-20-2'!G309+'[4]8 План18-20-2'!G321+'[4]8 План18-20-2'!G327+'[4]8 План18-20-2'!G333+'[4]8 План18-20-2'!G345+'[4]8 План18-20-2'!G351+'[4]8 План18-20-2'!G357+'[4]8 План18-20-2'!G369+'[4]8 План18-20-2'!G375+'[4]8 План18-20-2'!G387+'[4]8 План18-20-2'!G429</f>
        <v>0</v>
      </c>
      <c r="H21" s="75">
        <f>'[4]8 План18-20-2'!H15+'[4]8 План18-20-2'!H87+'[4]8 План18-20-2'!H237+'[4]8 План18-20-2'!H309+'[4]8 План18-20-2'!H321+'[4]8 План18-20-2'!H327+'[4]8 План18-20-2'!H333+'[4]8 План18-20-2'!H345+'[4]8 План18-20-2'!H351+'[4]8 План18-20-2'!H357+'[4]8 План18-20-2'!H369+'[4]8 План18-20-2'!H375+'[4]8 План18-20-2'!H387+'[4]8 План18-20-2'!H429</f>
        <v>0</v>
      </c>
      <c r="I21" s="75">
        <f>'[4]8 План18-20-2'!I15+'[4]8 План18-20-2'!I87+'[4]8 План18-20-2'!I237+'[4]8 План18-20-2'!I309+'[4]8 План18-20-2'!I321+'[4]8 План18-20-2'!I327+'[4]8 План18-20-2'!I333+'[4]8 План18-20-2'!I345+'[4]8 План18-20-2'!I351+'[4]8 План18-20-2'!I357+'[4]8 План18-20-2'!I369+'[4]8 План18-20-2'!I375+'[4]8 План18-20-2'!I387+'[4]8 План18-20-2'!I429</f>
        <v>0</v>
      </c>
      <c r="J21" s="1962"/>
      <c r="K21" s="1962"/>
    </row>
    <row r="22" spans="1:11">
      <c r="A22" s="1959"/>
      <c r="B22" s="1963"/>
      <c r="C22" s="1959"/>
      <c r="D22" s="73">
        <v>2020</v>
      </c>
      <c r="E22" s="75">
        <f>'[4]8 План18-20-2'!E16+'[4]8 План18-20-2'!E88+'[4]8 План18-20-2'!E238+'[4]8 План18-20-2'!E310+'[4]8 План18-20-2'!E322+'[4]8 План18-20-2'!E328+'[4]8 План18-20-2'!E334+'[4]8 План18-20-2'!E346+'[4]8 План18-20-2'!E352+'[4]8 План18-20-2'!E358+'[4]8 План18-20-2'!E370+'[4]8 План18-20-2'!E376+'[4]8 План18-20-2'!E388+'[4]8 План18-20-2'!E430</f>
        <v>629949.9</v>
      </c>
      <c r="F22" s="75">
        <f>'[4]8 План18-20-2'!F16+'[4]8 План18-20-2'!F88+'[4]8 План18-20-2'!F238+'[4]8 План18-20-2'!F310+'[4]8 План18-20-2'!F322+'[4]8 План18-20-2'!F328+'[4]8 План18-20-2'!F334+'[4]8 План18-20-2'!F346+'[4]8 План18-20-2'!F352+'[4]8 План18-20-2'!F358+'[4]8 План18-20-2'!F370+'[4]8 План18-20-2'!F376+'[4]8 План18-20-2'!F388+'[4]8 План18-20-2'!F430</f>
        <v>629949.9</v>
      </c>
      <c r="G22" s="75">
        <f>'[4]8 План18-20-2'!G16+'[4]8 План18-20-2'!G88+'[4]8 План18-20-2'!G238+'[4]8 План18-20-2'!G310+'[4]8 План18-20-2'!G322+'[4]8 План18-20-2'!G328+'[4]8 План18-20-2'!G334+'[4]8 План18-20-2'!G346+'[4]8 План18-20-2'!G352+'[4]8 План18-20-2'!G358+'[4]8 План18-20-2'!G370+'[4]8 План18-20-2'!G376+'[4]8 План18-20-2'!G388+'[4]8 План18-20-2'!G430</f>
        <v>0</v>
      </c>
      <c r="H22" s="75">
        <f>'[4]8 План18-20-2'!H16+'[4]8 План18-20-2'!H88+'[4]8 План18-20-2'!H238+'[4]8 План18-20-2'!H310+'[4]8 План18-20-2'!H322+'[4]8 План18-20-2'!H328+'[4]8 План18-20-2'!H334+'[4]8 План18-20-2'!H346+'[4]8 План18-20-2'!H352+'[4]8 План18-20-2'!H358+'[4]8 План18-20-2'!H370+'[4]8 План18-20-2'!H376+'[4]8 План18-20-2'!H388+'[4]8 План18-20-2'!H430</f>
        <v>0</v>
      </c>
      <c r="I22" s="75">
        <f>'[4]8 План18-20-2'!I16+'[4]8 План18-20-2'!I88+'[4]8 План18-20-2'!I238+'[4]8 План18-20-2'!I310+'[4]8 План18-20-2'!I322+'[4]8 План18-20-2'!I328+'[4]8 План18-20-2'!I334+'[4]8 План18-20-2'!I346+'[4]8 План18-20-2'!I352+'[4]8 План18-20-2'!I358+'[4]8 План18-20-2'!I370+'[4]8 План18-20-2'!I376+'[4]8 План18-20-2'!I388+'[4]8 План18-20-2'!I430</f>
        <v>0</v>
      </c>
      <c r="J22" s="1962"/>
      <c r="K22" s="1962"/>
    </row>
    <row r="23" spans="1:11">
      <c r="A23" s="1959"/>
      <c r="B23" s="1963" t="s">
        <v>318</v>
      </c>
      <c r="C23" s="1959"/>
      <c r="D23" s="73" t="s">
        <v>8</v>
      </c>
      <c r="E23" s="75">
        <f>E24+E25+E26+E27+E28+E29+E30</f>
        <v>2762877.95</v>
      </c>
      <c r="F23" s="75">
        <f>F24+F25+F26+F27+F28+F29+F30</f>
        <v>1944148.5499999998</v>
      </c>
      <c r="G23" s="75">
        <f>G24+G25+G26+G27+G28+G29+G30</f>
        <v>427942.80000000005</v>
      </c>
      <c r="H23" s="75">
        <f>H24+H25+H26+H27+H28+H29+H30</f>
        <v>321765.59999999998</v>
      </c>
      <c r="I23" s="75">
        <f>I24+I25+I26+I27+I28+I29+I30</f>
        <v>69021</v>
      </c>
      <c r="J23" s="1961"/>
      <c r="K23" s="1961" t="s">
        <v>319</v>
      </c>
    </row>
    <row r="24" spans="1:11">
      <c r="A24" s="1959"/>
      <c r="B24" s="1963"/>
      <c r="C24" s="1959"/>
      <c r="D24" s="73">
        <v>2014</v>
      </c>
      <c r="E24" s="75">
        <f>E8-E16</f>
        <v>538861.1</v>
      </c>
      <c r="F24" s="75">
        <f>F8-F16</f>
        <v>452187.50000000006</v>
      </c>
      <c r="G24" s="75">
        <f>G8-G16</f>
        <v>80000</v>
      </c>
      <c r="H24" s="75">
        <f>H8-H16</f>
        <v>1752.6</v>
      </c>
      <c r="I24" s="75">
        <f>I8-I16</f>
        <v>4921</v>
      </c>
      <c r="J24" s="1962"/>
      <c r="K24" s="1962"/>
    </row>
    <row r="25" spans="1:11">
      <c r="A25" s="1959"/>
      <c r="B25" s="1963"/>
      <c r="C25" s="1959"/>
      <c r="D25" s="73">
        <v>2015</v>
      </c>
      <c r="E25" s="75">
        <f t="shared" ref="E25:I30" si="1">E9-E17</f>
        <v>377347.10000000009</v>
      </c>
      <c r="F25" s="75">
        <f>'[3]план 15-17'!$F$298+'[3]план 15-17'!$F$302+'[3]план 15-17'!$F$306+'[3]план 15-17'!$F$310+'[3]план 15-17'!$F$318+'[3]план 15-17'!$F$322+'[3]план 15-17'!$F$326+'[3]план 15-17'!$F$330+'[3]план 15-17'!$F$346+'[3]план 15-17'!$F$350+'[3]план 15-17'!$F$366</f>
        <v>249426.5</v>
      </c>
      <c r="G25" s="75">
        <f>G9-G17</f>
        <v>125000</v>
      </c>
      <c r="H25" s="75">
        <f>H9-H17</f>
        <v>2920.6</v>
      </c>
      <c r="I25" s="75">
        <f>I9-I17</f>
        <v>0</v>
      </c>
      <c r="J25" s="1962"/>
      <c r="K25" s="1962"/>
    </row>
    <row r="26" spans="1:11">
      <c r="A26" s="1959"/>
      <c r="B26" s="1963"/>
      <c r="C26" s="1959"/>
      <c r="D26" s="73">
        <v>2016</v>
      </c>
      <c r="E26" s="75">
        <f t="shared" si="1"/>
        <v>122981.89999999997</v>
      </c>
      <c r="F26" s="75">
        <f t="shared" si="1"/>
        <v>82359</v>
      </c>
      <c r="G26" s="75">
        <f t="shared" si="1"/>
        <v>0</v>
      </c>
      <c r="H26" s="75">
        <f t="shared" si="1"/>
        <v>19822.900000000001</v>
      </c>
      <c r="I26" s="75">
        <f t="shared" si="1"/>
        <v>20800</v>
      </c>
      <c r="J26" s="1962"/>
      <c r="K26" s="1962"/>
    </row>
    <row r="27" spans="1:11">
      <c r="A27" s="1959"/>
      <c r="B27" s="1963"/>
      <c r="C27" s="1959"/>
      <c r="D27" s="73">
        <v>2017</v>
      </c>
      <c r="E27" s="75">
        <f t="shared" si="1"/>
        <v>180270.30000000005</v>
      </c>
      <c r="F27" s="75">
        <f t="shared" si="1"/>
        <v>99670.29999999993</v>
      </c>
      <c r="G27" s="75">
        <f t="shared" si="1"/>
        <v>0</v>
      </c>
      <c r="H27" s="75">
        <f t="shared" si="1"/>
        <v>65600</v>
      </c>
      <c r="I27" s="75">
        <f t="shared" si="1"/>
        <v>15000</v>
      </c>
      <c r="J27" s="1962"/>
      <c r="K27" s="1962"/>
    </row>
    <row r="28" spans="1:11">
      <c r="A28" s="1959"/>
      <c r="B28" s="1963"/>
      <c r="C28" s="1959"/>
      <c r="D28" s="73">
        <v>2018</v>
      </c>
      <c r="E28" s="75">
        <f t="shared" si="1"/>
        <v>407894.34999999986</v>
      </c>
      <c r="F28" s="75">
        <f t="shared" si="1"/>
        <v>354326.45000000007</v>
      </c>
      <c r="G28" s="75">
        <f t="shared" si="1"/>
        <v>0</v>
      </c>
      <c r="H28" s="75">
        <f t="shared" si="1"/>
        <v>53567.9</v>
      </c>
      <c r="I28" s="75">
        <f t="shared" si="1"/>
        <v>0</v>
      </c>
      <c r="J28" s="1962"/>
      <c r="K28" s="1962"/>
    </row>
    <row r="29" spans="1:11">
      <c r="A29" s="1959"/>
      <c r="B29" s="1963"/>
      <c r="C29" s="1959"/>
      <c r="D29" s="73">
        <v>2019</v>
      </c>
      <c r="E29" s="75">
        <f t="shared" si="1"/>
        <v>766158.2</v>
      </c>
      <c r="F29" s="75">
        <f t="shared" si="1"/>
        <v>511574.19999999995</v>
      </c>
      <c r="G29" s="75">
        <f t="shared" si="1"/>
        <v>111471.4</v>
      </c>
      <c r="H29" s="75">
        <f t="shared" si="1"/>
        <v>114812.6</v>
      </c>
      <c r="I29" s="75">
        <f t="shared" si="1"/>
        <v>28300</v>
      </c>
      <c r="J29" s="1962"/>
      <c r="K29" s="1962"/>
    </row>
    <row r="30" spans="1:11">
      <c r="A30" s="1959"/>
      <c r="B30" s="1963"/>
      <c r="C30" s="1959"/>
      <c r="D30" s="73">
        <v>2020</v>
      </c>
      <c r="E30" s="75">
        <f t="shared" si="1"/>
        <v>369365</v>
      </c>
      <c r="F30" s="75">
        <f t="shared" si="1"/>
        <v>194604.59999999998</v>
      </c>
      <c r="G30" s="75">
        <f t="shared" si="1"/>
        <v>111471.4</v>
      </c>
      <c r="H30" s="75">
        <f t="shared" si="1"/>
        <v>63289</v>
      </c>
      <c r="I30" s="75">
        <f t="shared" si="1"/>
        <v>0</v>
      </c>
      <c r="J30" s="1962"/>
      <c r="K30" s="1962"/>
    </row>
    <row r="31" spans="1:11">
      <c r="A31" s="1959">
        <v>1</v>
      </c>
      <c r="B31" s="1960" t="s">
        <v>17</v>
      </c>
      <c r="C31" s="1959" t="s">
        <v>14</v>
      </c>
      <c r="D31" s="73" t="s">
        <v>8</v>
      </c>
      <c r="E31" s="75">
        <f>E32+E33+E34+E35+E36+E37+E38</f>
        <v>268463.90000000002</v>
      </c>
      <c r="F31" s="75">
        <f>F32+F33+F34+F35+F36+F37+F38</f>
        <v>224093.19999999998</v>
      </c>
      <c r="G31" s="75">
        <f>G32+G33+G34+G35+G36+G37+G38</f>
        <v>44370.7</v>
      </c>
      <c r="H31" s="75">
        <f>H32+H33+H34+H35+H36+H37+H38</f>
        <v>0</v>
      </c>
      <c r="I31" s="75">
        <f>I32+I33+I34+I35+I36+I37+I38</f>
        <v>0</v>
      </c>
      <c r="J31" s="1961"/>
      <c r="K31" s="1961" t="s">
        <v>320</v>
      </c>
    </row>
    <row r="32" spans="1:11">
      <c r="A32" s="1959"/>
      <c r="B32" s="1960"/>
      <c r="C32" s="1959"/>
      <c r="D32" s="73">
        <v>2014</v>
      </c>
      <c r="E32" s="75">
        <f>'[2]Пр14. План'!$E$14</f>
        <v>20666.400000000001</v>
      </c>
      <c r="F32" s="75">
        <f>'[2]Пр14. План'!$F$14</f>
        <v>20666.400000000001</v>
      </c>
      <c r="G32" s="75">
        <f>'[2]Пр14. План'!$G$14</f>
        <v>0</v>
      </c>
      <c r="H32" s="75">
        <f>'[2]Пр14. План'!$H$14</f>
        <v>0</v>
      </c>
      <c r="I32" s="75">
        <f>'[2]Пр14. План'!$I$14</f>
        <v>0</v>
      </c>
      <c r="J32" s="1962"/>
      <c r="K32" s="1962"/>
    </row>
    <row r="33" spans="1:11">
      <c r="A33" s="1959"/>
      <c r="B33" s="1960"/>
      <c r="C33" s="1959"/>
      <c r="D33" s="73">
        <v>2015</v>
      </c>
      <c r="E33" s="75">
        <f>'[3]план 15-17'!E10</f>
        <v>15058.3</v>
      </c>
      <c r="F33" s="75">
        <f>'[3]план 15-17'!F10</f>
        <v>13143.399999999998</v>
      </c>
      <c r="G33" s="75">
        <f>'[3]план 15-17'!G10</f>
        <v>1914.9</v>
      </c>
      <c r="H33" s="75">
        <f>'[3]план 15-17'!H10</f>
        <v>0</v>
      </c>
      <c r="I33" s="75">
        <f>'[3]план 15-17'!I10</f>
        <v>0</v>
      </c>
      <c r="J33" s="1962"/>
      <c r="K33" s="1962"/>
    </row>
    <row r="34" spans="1:11">
      <c r="A34" s="1959"/>
      <c r="B34" s="1960"/>
      <c r="C34" s="1959"/>
      <c r="D34" s="73">
        <v>2016</v>
      </c>
      <c r="E34" s="75">
        <f>F34+G34+H34+I34</f>
        <v>20057.099999999999</v>
      </c>
      <c r="F34" s="75">
        <f>'[4]8 План18-20-2'!F12</f>
        <v>12120.599999999999</v>
      </c>
      <c r="G34" s="75">
        <f>'[4]8 План18-20-2'!G12</f>
        <v>7936.5</v>
      </c>
      <c r="H34" s="75">
        <f>'[4]8 План18-20-2'!H12</f>
        <v>0</v>
      </c>
      <c r="I34" s="75">
        <f>'[4]8 План18-20-2'!I12</f>
        <v>0</v>
      </c>
      <c r="J34" s="1962"/>
      <c r="K34" s="1962"/>
    </row>
    <row r="35" spans="1:11">
      <c r="A35" s="1959"/>
      <c r="B35" s="1960"/>
      <c r="C35" s="1959"/>
      <c r="D35" s="73">
        <v>2017</v>
      </c>
      <c r="E35" s="75">
        <f>F35+G35+H35+I35</f>
        <v>29900.6</v>
      </c>
      <c r="F35" s="75">
        <f>'[4]8 План18-20-2'!F13</f>
        <v>12200.599999999999</v>
      </c>
      <c r="G35" s="75">
        <f>'[4]8 План18-20-2'!G13</f>
        <v>17700</v>
      </c>
      <c r="H35" s="75">
        <f>'[4]8 План18-20-2'!H13</f>
        <v>0</v>
      </c>
      <c r="I35" s="75">
        <f>'[4]8 План18-20-2'!I13</f>
        <v>0</v>
      </c>
      <c r="J35" s="1962"/>
      <c r="K35" s="1962"/>
    </row>
    <row r="36" spans="1:11">
      <c r="A36" s="1959"/>
      <c r="B36" s="1960"/>
      <c r="C36" s="1959"/>
      <c r="D36" s="73">
        <v>2018</v>
      </c>
      <c r="E36" s="75">
        <f>F36+G36+H36+I36</f>
        <v>79841.8</v>
      </c>
      <c r="F36" s="75">
        <f>'[4]8 План18-20-2'!F14</f>
        <v>63022.5</v>
      </c>
      <c r="G36" s="75">
        <f>'[4]8 План18-20-2'!G14</f>
        <v>16819.3</v>
      </c>
      <c r="H36" s="75">
        <f>'[4]8 План18-20-2'!H14</f>
        <v>0</v>
      </c>
      <c r="I36" s="75">
        <f>'[4]8 План18-20-2'!I14</f>
        <v>0</v>
      </c>
      <c r="J36" s="1962"/>
      <c r="K36" s="1962"/>
    </row>
    <row r="37" spans="1:11">
      <c r="A37" s="1959"/>
      <c r="B37" s="1960"/>
      <c r="C37" s="1959"/>
      <c r="D37" s="73">
        <v>2019</v>
      </c>
      <c r="E37" s="75">
        <f>F37+G37+H37+I37</f>
        <v>51190.8</v>
      </c>
      <c r="F37" s="75">
        <f>'[4]8 План18-20-2'!F15</f>
        <v>51190.8</v>
      </c>
      <c r="G37" s="75">
        <f>'[4]8 План18-20-2'!G15</f>
        <v>0</v>
      </c>
      <c r="H37" s="75">
        <f>'[4]8 План18-20-2'!H15</f>
        <v>0</v>
      </c>
      <c r="I37" s="75">
        <f>'[4]8 План18-20-2'!I15</f>
        <v>0</v>
      </c>
      <c r="J37" s="1962"/>
      <c r="K37" s="1962"/>
    </row>
    <row r="38" spans="1:11">
      <c r="A38" s="1959"/>
      <c r="B38" s="1960"/>
      <c r="C38" s="1959"/>
      <c r="D38" s="73">
        <v>2020</v>
      </c>
      <c r="E38" s="75">
        <f>F38+G38+H38+I38</f>
        <v>51748.9</v>
      </c>
      <c r="F38" s="75">
        <f>'[4]8 План18-20-2'!F16</f>
        <v>51748.9</v>
      </c>
      <c r="G38" s="75">
        <f>'[2]Пр14. План'!$G$20</f>
        <v>0</v>
      </c>
      <c r="H38" s="75">
        <f>'[2]Пр14. План'!$H$20</f>
        <v>0</v>
      </c>
      <c r="I38" s="75">
        <f>'[2]Пр14. План'!$I$20</f>
        <v>0</v>
      </c>
      <c r="J38" s="1962"/>
      <c r="K38" s="1962"/>
    </row>
    <row r="39" spans="1:11" ht="15" customHeight="1">
      <c r="A39" s="1965" t="s">
        <v>172</v>
      </c>
      <c r="B39" s="1968" t="s">
        <v>20</v>
      </c>
      <c r="C39" s="1965" t="s">
        <v>14</v>
      </c>
      <c r="D39" s="73" t="s">
        <v>8</v>
      </c>
      <c r="E39" s="75">
        <f>E40+E41+E42+E43+E44+E45+E46</f>
        <v>213536.2</v>
      </c>
      <c r="F39" s="75">
        <f>F40+F41+F42+F43+F44+F45+F46</f>
        <v>172039.90000000002</v>
      </c>
      <c r="G39" s="75">
        <f>G40+G41+G42+G43+G44+G45+G46</f>
        <v>41496.300000000003</v>
      </c>
      <c r="H39" s="75">
        <f>H40+H41+H42+H43+H44+H45+H46</f>
        <v>0</v>
      </c>
      <c r="I39" s="75">
        <f>I40+I41+I42+I43+I44+I45+I46</f>
        <v>0</v>
      </c>
      <c r="J39" s="1961" t="s">
        <v>321</v>
      </c>
      <c r="K39" s="1961" t="s">
        <v>320</v>
      </c>
    </row>
    <row r="40" spans="1:11">
      <c r="A40" s="1966"/>
      <c r="B40" s="1969"/>
      <c r="C40" s="1966"/>
      <c r="D40" s="73">
        <v>2014</v>
      </c>
      <c r="E40" s="75">
        <f t="shared" ref="E40:E46" si="2">F40+G40+H40+I40</f>
        <v>18951.900000000001</v>
      </c>
      <c r="F40" s="75">
        <f>'[2]Пр14. План'!$F$30</f>
        <v>18951.900000000001</v>
      </c>
      <c r="G40" s="75">
        <f>'[2]Пр14. План'!$G$30</f>
        <v>0</v>
      </c>
      <c r="H40" s="75">
        <f>'[2]Пр14. План'!$H$30</f>
        <v>0</v>
      </c>
      <c r="I40" s="75">
        <f>'[2]Пр14. План'!$I$30</f>
        <v>0</v>
      </c>
      <c r="J40" s="1962"/>
      <c r="K40" s="1962"/>
    </row>
    <row r="41" spans="1:11">
      <c r="A41" s="1966"/>
      <c r="B41" s="1969"/>
      <c r="C41" s="1966"/>
      <c r="D41" s="73">
        <v>2015</v>
      </c>
      <c r="E41" s="75">
        <f t="shared" si="2"/>
        <v>3145.7</v>
      </c>
      <c r="F41" s="75">
        <f>'[3]план 15-17'!F30</f>
        <v>3145.7</v>
      </c>
      <c r="G41" s="75">
        <f>'[3]план 15-17'!G30</f>
        <v>0</v>
      </c>
      <c r="H41" s="75">
        <f>'[3]план 15-17'!H30</f>
        <v>0</v>
      </c>
      <c r="I41" s="75">
        <f>'[3]план 15-17'!I30</f>
        <v>0</v>
      </c>
      <c r="J41" s="1962"/>
      <c r="K41" s="1962"/>
    </row>
    <row r="42" spans="1:11">
      <c r="A42" s="1966"/>
      <c r="B42" s="1969"/>
      <c r="C42" s="1966"/>
      <c r="D42" s="73">
        <v>2016</v>
      </c>
      <c r="E42" s="75">
        <f t="shared" si="2"/>
        <v>15841.4</v>
      </c>
      <c r="F42" s="75">
        <f>'[4]8 План18-20-2'!F18</f>
        <v>8864.4</v>
      </c>
      <c r="G42" s="75">
        <f>'[4]8 План18-20-2'!G18</f>
        <v>6977</v>
      </c>
      <c r="H42" s="75">
        <f>'[4]8 План18-20-2'!H18</f>
        <v>0</v>
      </c>
      <c r="I42" s="75">
        <f>'[4]8 План18-20-2'!I18</f>
        <v>0</v>
      </c>
      <c r="J42" s="1962"/>
      <c r="K42" s="1962"/>
    </row>
    <row r="43" spans="1:11">
      <c r="A43" s="1966"/>
      <c r="B43" s="1969"/>
      <c r="C43" s="1966"/>
      <c r="D43" s="73">
        <v>2017</v>
      </c>
      <c r="E43" s="75">
        <f>F43+G43+H43+I43</f>
        <v>27734.400000000001</v>
      </c>
      <c r="F43" s="75">
        <f>'[4]8 План18-20-2'!F19</f>
        <v>10034.4</v>
      </c>
      <c r="G43" s="75">
        <f>'[4]8 План18-20-2'!G19</f>
        <v>17700</v>
      </c>
      <c r="H43" s="75">
        <f>'[4]8 План18-20-2'!H19</f>
        <v>0</v>
      </c>
      <c r="I43" s="75">
        <f>'[4]8 План18-20-2'!I19</f>
        <v>0</v>
      </c>
      <c r="J43" s="1962"/>
      <c r="K43" s="1962"/>
    </row>
    <row r="44" spans="1:11">
      <c r="A44" s="1966"/>
      <c r="B44" s="1969"/>
      <c r="C44" s="1966"/>
      <c r="D44" s="73">
        <v>2018</v>
      </c>
      <c r="E44" s="75">
        <f>F44+G44+H44+I44</f>
        <v>68523.399999999994</v>
      </c>
      <c r="F44" s="75">
        <f>'[4]8 План18-20-2'!F20</f>
        <v>51704.1</v>
      </c>
      <c r="G44" s="75">
        <f>'[4]8 План18-20-2'!G20</f>
        <v>16819.3</v>
      </c>
      <c r="H44" s="75">
        <f>'[4]8 План18-20-2'!H20</f>
        <v>0</v>
      </c>
      <c r="I44" s="75">
        <f>'[4]8 План18-20-2'!I20</f>
        <v>0</v>
      </c>
      <c r="J44" s="1962"/>
      <c r="K44" s="1962"/>
    </row>
    <row r="45" spans="1:11">
      <c r="A45" s="1966"/>
      <c r="B45" s="1969"/>
      <c r="C45" s="1966"/>
      <c r="D45" s="73">
        <v>2019</v>
      </c>
      <c r="E45" s="75">
        <f>F45+G45+H45+I45</f>
        <v>39555.1</v>
      </c>
      <c r="F45" s="75">
        <f>'[4]8 План18-20-2'!F21</f>
        <v>39555.1</v>
      </c>
      <c r="G45" s="75">
        <f>'[4]8 План18-20-2'!G21</f>
        <v>0</v>
      </c>
      <c r="H45" s="75">
        <f>'[4]8 План18-20-2'!H21</f>
        <v>0</v>
      </c>
      <c r="I45" s="75">
        <f>'[4]8 План18-20-2'!I21</f>
        <v>0</v>
      </c>
      <c r="J45" s="1962"/>
      <c r="K45" s="1962"/>
    </row>
    <row r="46" spans="1:11">
      <c r="A46" s="1967"/>
      <c r="B46" s="1970"/>
      <c r="C46" s="1967"/>
      <c r="D46" s="73">
        <v>2020</v>
      </c>
      <c r="E46" s="75">
        <f t="shared" si="2"/>
        <v>39784.300000000003</v>
      </c>
      <c r="F46" s="75">
        <f>'[4]8 План18-20-2'!F22</f>
        <v>39784.300000000003</v>
      </c>
      <c r="G46" s="75">
        <f>'[2]Пр14. План'!$G$36</f>
        <v>0</v>
      </c>
      <c r="H46" s="75">
        <f>'[2]Пр14. План'!$H$36</f>
        <v>0</v>
      </c>
      <c r="I46" s="75">
        <f>'[4]8 План18-20-2'!I20</f>
        <v>0</v>
      </c>
      <c r="J46" s="1964"/>
      <c r="K46" s="1964"/>
    </row>
    <row r="47" spans="1:11">
      <c r="A47" s="1959" t="s">
        <v>173</v>
      </c>
      <c r="B47" s="1963" t="s">
        <v>34</v>
      </c>
      <c r="C47" s="1959" t="s">
        <v>14</v>
      </c>
      <c r="D47" s="73" t="s">
        <v>8</v>
      </c>
      <c r="E47" s="75">
        <f>E48+E49+E50+E51+E52+E53+E54</f>
        <v>46331.299999999996</v>
      </c>
      <c r="F47" s="75">
        <f>F48+F49+F50+F51+F52+F53+F54</f>
        <v>43456.9</v>
      </c>
      <c r="G47" s="75">
        <f>G48+G49+G50+G51+G52+G53+G54</f>
        <v>2874.4</v>
      </c>
      <c r="H47" s="75">
        <f>H48+H49+H50+H51+H52+H53+H54</f>
        <v>0</v>
      </c>
      <c r="I47" s="75">
        <f>I48+I49+I50+I51+I52+I53+I54</f>
        <v>0</v>
      </c>
      <c r="J47" s="1961" t="s">
        <v>322</v>
      </c>
      <c r="K47" s="1961" t="s">
        <v>320</v>
      </c>
    </row>
    <row r="48" spans="1:11">
      <c r="A48" s="1959"/>
      <c r="B48" s="1963"/>
      <c r="C48" s="1959"/>
      <c r="D48" s="73">
        <v>2014</v>
      </c>
      <c r="E48" s="75">
        <f>'[2]Пр14. План'!$E$78</f>
        <v>1714.5</v>
      </c>
      <c r="F48" s="75">
        <f>'[2]Пр14. План'!$F$78</f>
        <v>1714.5</v>
      </c>
      <c r="G48" s="75">
        <f>'[2]Пр14. План'!$G$78</f>
        <v>0</v>
      </c>
      <c r="H48" s="75">
        <f>'[2]Пр14. План'!$H$78</f>
        <v>0</v>
      </c>
      <c r="I48" s="75">
        <f>'[2]Пр14. План'!$I$78</f>
        <v>0</v>
      </c>
      <c r="J48" s="1962"/>
      <c r="K48" s="1962"/>
    </row>
    <row r="49" spans="1:11">
      <c r="A49" s="1959"/>
      <c r="B49" s="1963"/>
      <c r="C49" s="1959"/>
      <c r="D49" s="73">
        <v>2015</v>
      </c>
      <c r="E49" s="75">
        <f>'[3]план 15-17'!E42</f>
        <v>3316.2</v>
      </c>
      <c r="F49" s="75">
        <f>'[3]план 15-17'!F42</f>
        <v>1401.3</v>
      </c>
      <c r="G49" s="75">
        <f>'[3]план 15-17'!G42</f>
        <v>1914.9</v>
      </c>
      <c r="H49" s="75">
        <f>'[3]план 15-17'!H42</f>
        <v>0</v>
      </c>
      <c r="I49" s="75">
        <f>'[3]план 15-17'!I42</f>
        <v>0</v>
      </c>
      <c r="J49" s="1962"/>
      <c r="K49" s="1962"/>
    </row>
    <row r="50" spans="1:11">
      <c r="A50" s="1959"/>
      <c r="B50" s="1963"/>
      <c r="C50" s="1959"/>
      <c r="D50" s="73">
        <v>2016</v>
      </c>
      <c r="E50" s="75">
        <f>F50+G50+H50+I50</f>
        <v>4215.7</v>
      </c>
      <c r="F50" s="75">
        <f>'[4]8 План18-20-2'!F60</f>
        <v>3256.2</v>
      </c>
      <c r="G50" s="75">
        <f>'[4]8 План18-20-2'!G60</f>
        <v>959.5</v>
      </c>
      <c r="H50" s="75">
        <f>'[4]8 План18-20-2'!H60</f>
        <v>0</v>
      </c>
      <c r="I50" s="75">
        <f>'[4]8 План18-20-2'!I60</f>
        <v>0</v>
      </c>
      <c r="J50" s="1962"/>
      <c r="K50" s="1962"/>
    </row>
    <row r="51" spans="1:11">
      <c r="A51" s="1959"/>
      <c r="B51" s="1963"/>
      <c r="C51" s="1959"/>
      <c r="D51" s="73">
        <v>2017</v>
      </c>
      <c r="E51" s="75">
        <f>F51+G51+H51+I51</f>
        <v>2166.1999999999998</v>
      </c>
      <c r="F51" s="75">
        <f>'[4]8 План18-20-2'!F61</f>
        <v>2166.1999999999998</v>
      </c>
      <c r="G51" s="75">
        <f>'[4]8 План18-20-2'!G61</f>
        <v>0</v>
      </c>
      <c r="H51" s="75">
        <f>'[4]8 План18-20-2'!H61</f>
        <v>0</v>
      </c>
      <c r="I51" s="75">
        <f>'[4]8 План18-20-2'!I61</f>
        <v>0</v>
      </c>
      <c r="J51" s="1962"/>
      <c r="K51" s="1962"/>
    </row>
    <row r="52" spans="1:11">
      <c r="A52" s="1959"/>
      <c r="B52" s="1963"/>
      <c r="C52" s="1959"/>
      <c r="D52" s="73">
        <v>2018</v>
      </c>
      <c r="E52" s="75">
        <f>F52+G52+H52+I52</f>
        <v>11318.4</v>
      </c>
      <c r="F52" s="75">
        <f>'[4]8 План18-20-2'!F62</f>
        <v>11318.4</v>
      </c>
      <c r="G52" s="75">
        <f>'[4]8 План18-20-2'!G62</f>
        <v>0</v>
      </c>
      <c r="H52" s="75">
        <f>'[4]8 План18-20-2'!H62</f>
        <v>0</v>
      </c>
      <c r="I52" s="75">
        <f>'[4]8 План18-20-2'!I62</f>
        <v>0</v>
      </c>
      <c r="J52" s="1962"/>
      <c r="K52" s="1962"/>
    </row>
    <row r="53" spans="1:11">
      <c r="A53" s="1959"/>
      <c r="B53" s="1963"/>
      <c r="C53" s="1959"/>
      <c r="D53" s="73">
        <v>2019</v>
      </c>
      <c r="E53" s="75">
        <f>F53+G53+H53+I53</f>
        <v>11635.7</v>
      </c>
      <c r="F53" s="75">
        <f>'[4]8 План18-20-2'!F63</f>
        <v>11635.7</v>
      </c>
      <c r="G53" s="75">
        <f>'[4]8 План18-20-2'!G63</f>
        <v>0</v>
      </c>
      <c r="H53" s="75">
        <f>'[4]8 План18-20-2'!H63</f>
        <v>0</v>
      </c>
      <c r="I53" s="75">
        <f>'[4]8 План18-20-2'!I63</f>
        <v>0</v>
      </c>
      <c r="J53" s="1962"/>
      <c r="K53" s="1962"/>
    </row>
    <row r="54" spans="1:11">
      <c r="A54" s="1959"/>
      <c r="B54" s="1963"/>
      <c r="C54" s="1959"/>
      <c r="D54" s="73">
        <v>2020</v>
      </c>
      <c r="E54" s="75">
        <f>F54+G54+H54+I54</f>
        <v>11964.6</v>
      </c>
      <c r="F54" s="75">
        <f>'[4]8 План18-20-2'!F64</f>
        <v>11964.6</v>
      </c>
      <c r="G54" s="75">
        <f>'[2]Пр14. План'!$G$84</f>
        <v>0</v>
      </c>
      <c r="H54" s="75">
        <f>'[2]Пр14. План'!$H$84</f>
        <v>0</v>
      </c>
      <c r="I54" s="75">
        <f>'[2]Пр14. План'!$I$84</f>
        <v>0</v>
      </c>
      <c r="J54" s="1962"/>
      <c r="K54" s="1962"/>
    </row>
    <row r="55" spans="1:11">
      <c r="A55" s="1959">
        <v>2</v>
      </c>
      <c r="B55" s="1960" t="s">
        <v>41</v>
      </c>
      <c r="C55" s="1959" t="s">
        <v>14</v>
      </c>
      <c r="D55" s="73" t="s">
        <v>8</v>
      </c>
      <c r="E55" s="75">
        <f>E56+E57+E58+E59+E60+E61+E62</f>
        <v>3167411.8</v>
      </c>
      <c r="F55" s="75">
        <f>F56+F57+F58+F59+F60+F61+F62</f>
        <v>3123917.2</v>
      </c>
      <c r="G55" s="75">
        <f>G56+G57+G58+G59+G60+G61+G62</f>
        <v>43494.6</v>
      </c>
      <c r="H55" s="75">
        <f>H56+H57+H58+H59+H60+H61+H62</f>
        <v>0</v>
      </c>
      <c r="I55" s="75">
        <f>I56+I57+I58+I59+I60+I61+I62</f>
        <v>0</v>
      </c>
      <c r="J55" s="1961"/>
      <c r="K55" s="1961" t="s">
        <v>320</v>
      </c>
    </row>
    <row r="56" spans="1:11">
      <c r="A56" s="1959"/>
      <c r="B56" s="1960"/>
      <c r="C56" s="1959"/>
      <c r="D56" s="73">
        <v>2014</v>
      </c>
      <c r="E56" s="75">
        <f>'[2]Пр14. План'!$E$110</f>
        <v>358543.30000000005</v>
      </c>
      <c r="F56" s="75">
        <f>'[2]Пр14. План'!$F$110</f>
        <v>351200.10000000003</v>
      </c>
      <c r="G56" s="75">
        <f>'[2]Пр14. План'!$G$110</f>
        <v>7343.2</v>
      </c>
      <c r="H56" s="75">
        <f>'[2]Пр14. План'!$H$110</f>
        <v>0</v>
      </c>
      <c r="I56" s="75">
        <f>'[2]Пр14. План'!$I$110</f>
        <v>0</v>
      </c>
      <c r="J56" s="1962"/>
      <c r="K56" s="1962"/>
    </row>
    <row r="57" spans="1:11">
      <c r="A57" s="1959"/>
      <c r="B57" s="1960"/>
      <c r="C57" s="1959"/>
      <c r="D57" s="73">
        <v>2015</v>
      </c>
      <c r="E57" s="75">
        <f>'[3]план 15-17'!E54</f>
        <v>336025.29999999993</v>
      </c>
      <c r="F57" s="75">
        <f>'[3]план 15-17'!F54</f>
        <v>329450.19999999995</v>
      </c>
      <c r="G57" s="75">
        <f>'[3]план 15-17'!G54</f>
        <v>6575.1</v>
      </c>
      <c r="H57" s="75">
        <f>'[3]план 15-17'!H54</f>
        <v>0</v>
      </c>
      <c r="I57" s="75">
        <f>'[3]план 15-17'!I54</f>
        <v>0</v>
      </c>
      <c r="J57" s="1962"/>
      <c r="K57" s="1962"/>
    </row>
    <row r="58" spans="1:11">
      <c r="A58" s="1959"/>
      <c r="B58" s="1960"/>
      <c r="C58" s="1959"/>
      <c r="D58" s="73">
        <v>2016</v>
      </c>
      <c r="E58" s="75">
        <f>F58+G58+H58+I58</f>
        <v>385423.4</v>
      </c>
      <c r="F58" s="75">
        <f>'[4]8 План18-20-2'!F84</f>
        <v>379215.5</v>
      </c>
      <c r="G58" s="75">
        <f>'[4]8 План18-20-2'!G84</f>
        <v>6207.9</v>
      </c>
      <c r="H58" s="75">
        <f>'[4]8 План18-20-2'!H84</f>
        <v>0</v>
      </c>
      <c r="I58" s="75">
        <f>'[4]8 План18-20-2'!I84</f>
        <v>0</v>
      </c>
      <c r="J58" s="1962"/>
      <c r="K58" s="1962"/>
    </row>
    <row r="59" spans="1:11">
      <c r="A59" s="1959"/>
      <c r="B59" s="1960"/>
      <c r="C59" s="1959"/>
      <c r="D59" s="73">
        <v>2017</v>
      </c>
      <c r="E59" s="75">
        <f>F59+G59+H59+I59</f>
        <v>456261.4</v>
      </c>
      <c r="F59" s="75">
        <f>'[4]8 План18-20-2'!F85</f>
        <v>448205.9</v>
      </c>
      <c r="G59" s="75">
        <f>'[4]8 План18-20-2'!G85</f>
        <v>8055.5</v>
      </c>
      <c r="H59" s="75">
        <f>'[4]8 План18-20-2'!H85</f>
        <v>0</v>
      </c>
      <c r="I59" s="75">
        <f>'[4]8 План18-20-2'!I85</f>
        <v>0</v>
      </c>
      <c r="J59" s="1962"/>
      <c r="K59" s="1962"/>
    </row>
    <row r="60" spans="1:11">
      <c r="A60" s="1959"/>
      <c r="B60" s="1960"/>
      <c r="C60" s="1959"/>
      <c r="D60" s="73">
        <v>2018</v>
      </c>
      <c r="E60" s="75">
        <f>F60+G60+H60+I60</f>
        <v>564541.4</v>
      </c>
      <c r="F60" s="75">
        <f>'[4]8 План18-20-2'!F86</f>
        <v>549228.5</v>
      </c>
      <c r="G60" s="75">
        <f>'[4]8 План18-20-2'!G86</f>
        <v>15312.9</v>
      </c>
      <c r="H60" s="75">
        <f>'[4]8 План18-20-2'!H86</f>
        <v>0</v>
      </c>
      <c r="I60" s="75">
        <f>'[4]8 План18-20-2'!I86</f>
        <v>0</v>
      </c>
      <c r="J60" s="1962"/>
      <c r="K60" s="1962"/>
    </row>
    <row r="61" spans="1:11">
      <c r="A61" s="1959"/>
      <c r="B61" s="1960"/>
      <c r="C61" s="1959"/>
      <c r="D61" s="73">
        <v>2019</v>
      </c>
      <c r="E61" s="75">
        <f>F61+G61+H61+I61</f>
        <v>527685.5</v>
      </c>
      <c r="F61" s="75">
        <f>'[4]8 План18-20-2'!F87</f>
        <v>527685.5</v>
      </c>
      <c r="G61" s="75">
        <f>'[4]8 План18-20-2'!G87</f>
        <v>0</v>
      </c>
      <c r="H61" s="75">
        <f>'[4]8 План18-20-2'!H87</f>
        <v>0</v>
      </c>
      <c r="I61" s="75">
        <f>'[4]8 План18-20-2'!I87</f>
        <v>0</v>
      </c>
      <c r="J61" s="1962"/>
      <c r="K61" s="1962"/>
    </row>
    <row r="62" spans="1:11">
      <c r="A62" s="1959"/>
      <c r="B62" s="1960"/>
      <c r="C62" s="1959"/>
      <c r="D62" s="73">
        <v>2020</v>
      </c>
      <c r="E62" s="75">
        <f>F62+G62+H62+I62</f>
        <v>538931.5</v>
      </c>
      <c r="F62" s="75">
        <f>'[4]8 План18-20-2'!F88</f>
        <v>538931.5</v>
      </c>
      <c r="G62" s="75">
        <f>'[2]Пр14. План'!$G$116</f>
        <v>0</v>
      </c>
      <c r="H62" s="75">
        <f>'[2]Пр14. План'!$H$116</f>
        <v>0</v>
      </c>
      <c r="I62" s="75">
        <f>'[2]Пр14. План'!$I$116</f>
        <v>0</v>
      </c>
      <c r="J62" s="1962"/>
      <c r="K62" s="1962"/>
    </row>
    <row r="63" spans="1:11">
      <c r="A63" s="1959" t="s">
        <v>174</v>
      </c>
      <c r="B63" s="1963" t="s">
        <v>44</v>
      </c>
      <c r="C63" s="1959" t="s">
        <v>14</v>
      </c>
      <c r="D63" s="73" t="s">
        <v>8</v>
      </c>
      <c r="E63" s="75">
        <f>E64+E65+E66+E67+E68+E69+E70</f>
        <v>736827.2</v>
      </c>
      <c r="F63" s="75">
        <f>F64+F65+F66+F67+F68+F69+F70</f>
        <v>736847.2</v>
      </c>
      <c r="G63" s="75">
        <f>G64+G65+G66+G67+G68+G69+G70</f>
        <v>0</v>
      </c>
      <c r="H63" s="75">
        <f>H64+H65+H66+H67+H68+H69+H70</f>
        <v>0</v>
      </c>
      <c r="I63" s="75">
        <f>I64+I65+I66+I67+I68+I69+I70</f>
        <v>0</v>
      </c>
      <c r="J63" s="1961" t="s">
        <v>323</v>
      </c>
      <c r="K63" s="1961" t="s">
        <v>320</v>
      </c>
    </row>
    <row r="64" spans="1:11">
      <c r="A64" s="1959"/>
      <c r="B64" s="1963"/>
      <c r="C64" s="1959"/>
      <c r="D64" s="73">
        <v>2014</v>
      </c>
      <c r="E64" s="75">
        <f>'[2]Пр14. План'!$E$126</f>
        <v>128033.59999999999</v>
      </c>
      <c r="F64" s="75">
        <f>'[2]Пр14. План'!$F$126</f>
        <v>128033.59999999999</v>
      </c>
      <c r="G64" s="75">
        <f>'[2]Пр14. План'!$G$126</f>
        <v>0</v>
      </c>
      <c r="H64" s="75">
        <f>'[2]Пр14. План'!$H$126</f>
        <v>0</v>
      </c>
      <c r="I64" s="75">
        <f>'[2]Пр14. План'!$I$126</f>
        <v>0</v>
      </c>
      <c r="J64" s="1962"/>
      <c r="K64" s="1962"/>
    </row>
    <row r="65" spans="1:11">
      <c r="A65" s="1959"/>
      <c r="B65" s="1963"/>
      <c r="C65" s="1959"/>
      <c r="D65" s="73">
        <v>2015</v>
      </c>
      <c r="E65" s="75">
        <f>'[3]план 15-17'!E62</f>
        <v>86630.5</v>
      </c>
      <c r="F65" s="75">
        <f>'[3]план 15-17'!F62</f>
        <v>86650.5</v>
      </c>
      <c r="G65" s="75">
        <f>'[3]план 15-17'!G62</f>
        <v>0</v>
      </c>
      <c r="H65" s="75">
        <f>'[3]план 15-17'!H62</f>
        <v>0</v>
      </c>
      <c r="I65" s="75">
        <f>'[3]план 15-17'!I62</f>
        <v>0</v>
      </c>
      <c r="J65" s="1962"/>
      <c r="K65" s="1962"/>
    </row>
    <row r="66" spans="1:11">
      <c r="A66" s="1959"/>
      <c r="B66" s="1963"/>
      <c r="C66" s="1959"/>
      <c r="D66" s="73">
        <v>2016</v>
      </c>
      <c r="E66" s="75">
        <f>F66+G66+H66+I66</f>
        <v>86400.5</v>
      </c>
      <c r="F66" s="75">
        <f>'[4]8 План18-20-2'!F90</f>
        <v>86400.5</v>
      </c>
      <c r="G66" s="75">
        <f>'[4]8 План18-20-2'!G90</f>
        <v>0</v>
      </c>
      <c r="H66" s="75">
        <f>'[4]8 План18-20-2'!H90</f>
        <v>0</v>
      </c>
      <c r="I66" s="75">
        <f>'[4]8 План18-20-2'!I90</f>
        <v>0</v>
      </c>
      <c r="J66" s="1962"/>
      <c r="K66" s="1962"/>
    </row>
    <row r="67" spans="1:11">
      <c r="A67" s="1959"/>
      <c r="B67" s="1963"/>
      <c r="C67" s="1959"/>
      <c r="D67" s="73">
        <v>2017</v>
      </c>
      <c r="E67" s="75">
        <f>F67+G67+H67+I67</f>
        <v>84336.700000000012</v>
      </c>
      <c r="F67" s="75">
        <f>'[4]8 План18-20-2'!F91</f>
        <v>84336.700000000012</v>
      </c>
      <c r="G67" s="75">
        <f>'[4]8 План18-20-2'!G91</f>
        <v>0</v>
      </c>
      <c r="H67" s="75">
        <f>'[4]8 План18-20-2'!H91</f>
        <v>0</v>
      </c>
      <c r="I67" s="75">
        <f>'[4]8 План18-20-2'!I91</f>
        <v>0</v>
      </c>
      <c r="J67" s="1962"/>
      <c r="K67" s="1962"/>
    </row>
    <row r="68" spans="1:11">
      <c r="A68" s="1959"/>
      <c r="B68" s="1963"/>
      <c r="C68" s="1959"/>
      <c r="D68" s="73">
        <v>2018</v>
      </c>
      <c r="E68" s="75">
        <f>F68+G68+H68+I68</f>
        <v>116483.30000000002</v>
      </c>
      <c r="F68" s="75">
        <f>'[4]8 План18-20-2'!F92</f>
        <v>116483.30000000002</v>
      </c>
      <c r="G68" s="75">
        <f>'[4]8 План18-20-2'!G92</f>
        <v>0</v>
      </c>
      <c r="H68" s="75">
        <f>'[4]8 План18-20-2'!H92</f>
        <v>0</v>
      </c>
      <c r="I68" s="75">
        <f>'[4]8 План18-20-2'!I92</f>
        <v>0</v>
      </c>
      <c r="J68" s="1962"/>
      <c r="K68" s="1962"/>
    </row>
    <row r="69" spans="1:11">
      <c r="A69" s="1959"/>
      <c r="B69" s="1963"/>
      <c r="C69" s="1959"/>
      <c r="D69" s="73">
        <v>2019</v>
      </c>
      <c r="E69" s="75">
        <f>F69+G69+H69+I69</f>
        <v>116993.60000000002</v>
      </c>
      <c r="F69" s="75">
        <f>'[4]8 План18-20-2'!F93</f>
        <v>116993.60000000002</v>
      </c>
      <c r="G69" s="75">
        <f>'[2]Пр14. План'!$G$131</f>
        <v>0</v>
      </c>
      <c r="H69" s="75">
        <f>'[2]Пр14. План'!$H$131</f>
        <v>0</v>
      </c>
      <c r="I69" s="75">
        <f>'[2]Пр14. План'!$I$131</f>
        <v>0</v>
      </c>
      <c r="J69" s="1962"/>
      <c r="K69" s="1962"/>
    </row>
    <row r="70" spans="1:11">
      <c r="A70" s="1959"/>
      <c r="B70" s="1963"/>
      <c r="C70" s="1959"/>
      <c r="D70" s="73">
        <v>2020</v>
      </c>
      <c r="E70" s="75">
        <f>F70+G70+H70+I70</f>
        <v>117949.00000000001</v>
      </c>
      <c r="F70" s="75">
        <f>'[4]8 План18-20-2'!F94</f>
        <v>117949.00000000001</v>
      </c>
      <c r="G70" s="75">
        <f>'[2]Пр14. План'!$G$132</f>
        <v>0</v>
      </c>
      <c r="H70" s="75">
        <f>'[2]Пр14. План'!$H$132</f>
        <v>0</v>
      </c>
      <c r="I70" s="75">
        <f>'[2]Пр14. План'!$I$132</f>
        <v>0</v>
      </c>
      <c r="J70" s="1962"/>
      <c r="K70" s="1962"/>
    </row>
    <row r="71" spans="1:11">
      <c r="A71" s="1959" t="s">
        <v>175</v>
      </c>
      <c r="B71" s="1963" t="s">
        <v>324</v>
      </c>
      <c r="C71" s="1959" t="s">
        <v>14</v>
      </c>
      <c r="D71" s="73" t="s">
        <v>8</v>
      </c>
      <c r="E71" s="75">
        <f>E72+E73+E74+E75+E76+E77+E78</f>
        <v>2366152.5</v>
      </c>
      <c r="F71" s="75">
        <f>F72+F73+F74+F75+F76+F77+F78</f>
        <v>2322657.9</v>
      </c>
      <c r="G71" s="75">
        <f>G72+G73+G74+G75+G76+G77+G78</f>
        <v>43494.6</v>
      </c>
      <c r="H71" s="75">
        <f>H72+H73+H74+H75+H76+H77+H78</f>
        <v>0</v>
      </c>
      <c r="I71" s="75">
        <f>I72+I73+I74+I75+I76+I77+I78</f>
        <v>0</v>
      </c>
      <c r="J71" s="1961" t="s">
        <v>325</v>
      </c>
      <c r="K71" s="1961" t="s">
        <v>320</v>
      </c>
    </row>
    <row r="72" spans="1:11">
      <c r="A72" s="1959"/>
      <c r="B72" s="1963"/>
      <c r="C72" s="1959"/>
      <c r="D72" s="73">
        <v>2014</v>
      </c>
      <c r="E72" s="75">
        <f>'[2]Пр14. План'!$E$246</f>
        <v>213046.80000000005</v>
      </c>
      <c r="F72" s="75">
        <f>'[2]Пр14. План'!$F$246</f>
        <v>205703.60000000003</v>
      </c>
      <c r="G72" s="75">
        <f>'[2]Пр14. План'!$G$246</f>
        <v>7343.2</v>
      </c>
      <c r="H72" s="75">
        <f>'[2]Пр14. План'!$H$246</f>
        <v>0</v>
      </c>
      <c r="I72" s="75">
        <f>'[2]Пр14. План'!$I$246</f>
        <v>0</v>
      </c>
      <c r="J72" s="1962"/>
      <c r="K72" s="1962"/>
    </row>
    <row r="73" spans="1:11">
      <c r="A73" s="1959"/>
      <c r="B73" s="1963"/>
      <c r="C73" s="1959"/>
      <c r="D73" s="73">
        <v>2015</v>
      </c>
      <c r="E73" s="75">
        <f>'[3]план 15-17'!E118</f>
        <v>233706.69999999995</v>
      </c>
      <c r="F73" s="75">
        <f>'[3]план 15-17'!F118</f>
        <v>227131.59999999995</v>
      </c>
      <c r="G73" s="75">
        <f>'[3]план 15-17'!G118</f>
        <v>6575.1</v>
      </c>
      <c r="H73" s="75">
        <f>'[3]план 15-17'!H118</f>
        <v>0</v>
      </c>
      <c r="I73" s="75">
        <f>'[3]план 15-17'!I118</f>
        <v>0</v>
      </c>
      <c r="J73" s="1962"/>
      <c r="K73" s="1962"/>
    </row>
    <row r="74" spans="1:11">
      <c r="A74" s="1959"/>
      <c r="B74" s="1963"/>
      <c r="C74" s="1959"/>
      <c r="D74" s="73">
        <v>2016</v>
      </c>
      <c r="E74" s="75">
        <f>F74+G74+H74+I74</f>
        <v>297039.60000000003</v>
      </c>
      <c r="F74" s="75">
        <f>'[4]8 План18-20-2'!F156</f>
        <v>290831.7</v>
      </c>
      <c r="G74" s="75">
        <f>'[4]8 План18-20-2'!G156</f>
        <v>6207.9</v>
      </c>
      <c r="H74" s="75">
        <f>'[4]8 План18-20-2'!H156</f>
        <v>0</v>
      </c>
      <c r="I74" s="75">
        <f>'[4]8 План18-20-2'!I156</f>
        <v>0</v>
      </c>
      <c r="J74" s="1962"/>
      <c r="K74" s="1962"/>
    </row>
    <row r="75" spans="1:11">
      <c r="A75" s="1959"/>
      <c r="B75" s="1963"/>
      <c r="C75" s="1959"/>
      <c r="D75" s="73">
        <v>2017</v>
      </c>
      <c r="E75" s="75">
        <f>F75+G75+H75+I75</f>
        <v>344371.4</v>
      </c>
      <c r="F75" s="75">
        <f>'[4]8 План18-20-2'!F157</f>
        <v>336315.9</v>
      </c>
      <c r="G75" s="75">
        <f>'[4]8 План18-20-2'!G157</f>
        <v>8055.5</v>
      </c>
      <c r="H75" s="75">
        <f>'[4]8 План18-20-2'!H157</f>
        <v>0</v>
      </c>
      <c r="I75" s="75">
        <f>'[4]8 План18-20-2'!I157</f>
        <v>0</v>
      </c>
      <c r="J75" s="1962"/>
      <c r="K75" s="1962"/>
    </row>
    <row r="76" spans="1:11">
      <c r="A76" s="1959"/>
      <c r="B76" s="1963"/>
      <c r="C76" s="1959"/>
      <c r="D76" s="73">
        <v>2018</v>
      </c>
      <c r="E76" s="75">
        <f>F76+G76+H76+I76</f>
        <v>447476.60000000003</v>
      </c>
      <c r="F76" s="75">
        <f>'[4]8 План18-20-2'!F158</f>
        <v>432163.7</v>
      </c>
      <c r="G76" s="75">
        <f>'[4]8 План18-20-2'!G158</f>
        <v>15312.9</v>
      </c>
      <c r="H76" s="75">
        <f>'[4]8 План18-20-2'!H158</f>
        <v>0</v>
      </c>
      <c r="I76" s="75">
        <f>'[4]8 План18-20-2'!I158</f>
        <v>0</v>
      </c>
      <c r="J76" s="1962"/>
      <c r="K76" s="1962"/>
    </row>
    <row r="77" spans="1:11">
      <c r="A77" s="1959"/>
      <c r="B77" s="1963"/>
      <c r="C77" s="1959"/>
      <c r="D77" s="73">
        <v>2019</v>
      </c>
      <c r="E77" s="75">
        <f>F77+G77+H77+I77</f>
        <v>410110.4</v>
      </c>
      <c r="F77" s="75">
        <f>'[4]8 План18-20-2'!F159</f>
        <v>410110.4</v>
      </c>
      <c r="G77" s="75">
        <f>'[4]8 План18-20-2'!G159</f>
        <v>0</v>
      </c>
      <c r="H77" s="75">
        <f>'[4]8 План18-20-2'!H159</f>
        <v>0</v>
      </c>
      <c r="I77" s="75">
        <f>'[4]8 План18-20-2'!I159</f>
        <v>0</v>
      </c>
      <c r="J77" s="1962"/>
      <c r="K77" s="1962"/>
    </row>
    <row r="78" spans="1:11">
      <c r="A78" s="1959"/>
      <c r="B78" s="1963"/>
      <c r="C78" s="1959"/>
      <c r="D78" s="73">
        <v>2020</v>
      </c>
      <c r="E78" s="75">
        <f>F78+G78+H78+I78</f>
        <v>420401</v>
      </c>
      <c r="F78" s="75">
        <f>'[4]8 План18-20-2'!F160</f>
        <v>420401</v>
      </c>
      <c r="G78" s="75">
        <f>'[2]Пр14. План'!$G$252</f>
        <v>0</v>
      </c>
      <c r="H78" s="75">
        <f>'[2]Пр14. План'!$H$252</f>
        <v>0</v>
      </c>
      <c r="I78" s="75">
        <f>'[2]Пр14. План'!$I$252</f>
        <v>0</v>
      </c>
      <c r="J78" s="1962"/>
      <c r="K78" s="1962"/>
    </row>
    <row r="79" spans="1:11">
      <c r="A79" s="1959" t="s">
        <v>176</v>
      </c>
      <c r="B79" s="1963" t="s">
        <v>68</v>
      </c>
      <c r="C79" s="1959" t="s">
        <v>14</v>
      </c>
      <c r="D79" s="73" t="s">
        <v>8</v>
      </c>
      <c r="E79" s="75">
        <f>E80+E81+E82+E83+E84+E85+E86</f>
        <v>64412.100000000006</v>
      </c>
      <c r="F79" s="75">
        <f>F80+F81+F82+F83+F84+F85+F86</f>
        <v>64412.100000000006</v>
      </c>
      <c r="G79" s="75">
        <f>G80+G81+G82+G83+G84+G85+G86</f>
        <v>0</v>
      </c>
      <c r="H79" s="75">
        <f>H80+H81+H82+H83+H84+H85+H86</f>
        <v>0</v>
      </c>
      <c r="I79" s="75">
        <f>I80+I81+I82+I83+I84+I85+I86</f>
        <v>0</v>
      </c>
      <c r="J79" s="1961" t="s">
        <v>326</v>
      </c>
      <c r="K79" s="1961" t="s">
        <v>320</v>
      </c>
    </row>
    <row r="80" spans="1:11">
      <c r="A80" s="1959"/>
      <c r="B80" s="1963"/>
      <c r="C80" s="1959"/>
      <c r="D80" s="73">
        <v>2014</v>
      </c>
      <c r="E80" s="75">
        <f>'[2]Пр14. План'!$E$638</f>
        <v>17462.899999999998</v>
      </c>
      <c r="F80" s="75">
        <f>'[2]Пр14. План'!$F$638</f>
        <v>17462.899999999998</v>
      </c>
      <c r="G80" s="75">
        <f>'[2]Пр14. План'!$G$638</f>
        <v>0</v>
      </c>
      <c r="H80" s="75">
        <f>'[2]Пр14. План'!$H$638</f>
        <v>0</v>
      </c>
      <c r="I80" s="75">
        <f>'[2]Пр14. План'!$I$638</f>
        <v>0</v>
      </c>
      <c r="J80" s="1962"/>
      <c r="K80" s="1962"/>
    </row>
    <row r="81" spans="1:11">
      <c r="A81" s="1959"/>
      <c r="B81" s="1963"/>
      <c r="C81" s="1959"/>
      <c r="D81" s="73">
        <v>2015</v>
      </c>
      <c r="E81" s="75">
        <f>'[3]план 15-17'!E266</f>
        <v>15668.1</v>
      </c>
      <c r="F81" s="75">
        <f>'[3]план 15-17'!F266</f>
        <v>15668.1</v>
      </c>
      <c r="G81" s="75">
        <f>'[3]план 15-17'!G266</f>
        <v>0</v>
      </c>
      <c r="H81" s="75">
        <f>'[3]план 15-17'!H266</f>
        <v>0</v>
      </c>
      <c r="I81" s="75">
        <f>'[3]план 15-17'!I266</f>
        <v>0</v>
      </c>
      <c r="J81" s="1962"/>
      <c r="K81" s="1962"/>
    </row>
    <row r="82" spans="1:11">
      <c r="A82" s="1959"/>
      <c r="B82" s="1963"/>
      <c r="C82" s="1959"/>
      <c r="D82" s="73">
        <v>2016</v>
      </c>
      <c r="E82" s="75">
        <f>F82+G82+H82+I82</f>
        <v>1983.3</v>
      </c>
      <c r="F82" s="75">
        <f>'[4]8 План18-20-2'!F186</f>
        <v>1983.3</v>
      </c>
      <c r="G82" s="75">
        <f>'[4]8 План18-20-2'!G186</f>
        <v>0</v>
      </c>
      <c r="H82" s="75">
        <f>'[4]8 План18-20-2'!H186</f>
        <v>0</v>
      </c>
      <c r="I82" s="75">
        <f>'[4]8 План18-20-2'!I186</f>
        <v>0</v>
      </c>
      <c r="J82" s="1962"/>
      <c r="K82" s="1962"/>
    </row>
    <row r="83" spans="1:11">
      <c r="A83" s="1959"/>
      <c r="B83" s="1963"/>
      <c r="C83" s="1959"/>
      <c r="D83" s="73">
        <v>2017</v>
      </c>
      <c r="E83" s="75">
        <f>F83+G83+H83+I83</f>
        <v>27553.3</v>
      </c>
      <c r="F83" s="75">
        <f>'[4]8 План18-20-2'!F187</f>
        <v>27553.3</v>
      </c>
      <c r="G83" s="75">
        <f>'[4]8 План18-20-2'!G187</f>
        <v>0</v>
      </c>
      <c r="H83" s="75">
        <f>'[4]8 План18-20-2'!H187</f>
        <v>0</v>
      </c>
      <c r="I83" s="75">
        <f>'[4]8 План18-20-2'!I187</f>
        <v>0</v>
      </c>
      <c r="J83" s="1962"/>
      <c r="K83" s="1962"/>
    </row>
    <row r="84" spans="1:11">
      <c r="A84" s="1959"/>
      <c r="B84" s="1963"/>
      <c r="C84" s="1959"/>
      <c r="D84" s="73">
        <v>2018</v>
      </c>
      <c r="E84" s="75">
        <f>F84+G84+H84+I84</f>
        <v>581.5</v>
      </c>
      <c r="F84" s="75">
        <f>'[4]8 План18-20-2'!F188</f>
        <v>581.5</v>
      </c>
      <c r="G84" s="75">
        <f>'[4]8 План18-20-2'!G188</f>
        <v>0</v>
      </c>
      <c r="H84" s="75">
        <f>'[4]8 План18-20-2'!H188</f>
        <v>0</v>
      </c>
      <c r="I84" s="75">
        <f>'[4]8 План18-20-2'!I188</f>
        <v>0</v>
      </c>
      <c r="J84" s="1962"/>
      <c r="K84" s="1962"/>
    </row>
    <row r="85" spans="1:11">
      <c r="A85" s="1959"/>
      <c r="B85" s="1963"/>
      <c r="C85" s="1959"/>
      <c r="D85" s="73">
        <v>2019</v>
      </c>
      <c r="E85" s="75">
        <f>F85+G85+H85+I85</f>
        <v>581.5</v>
      </c>
      <c r="F85" s="75">
        <f>'[4]8 План18-20-2'!F189</f>
        <v>581.5</v>
      </c>
      <c r="G85" s="75">
        <f>'[4]8 План18-20-2'!G189</f>
        <v>0</v>
      </c>
      <c r="H85" s="75">
        <f>'[4]8 План18-20-2'!H189</f>
        <v>0</v>
      </c>
      <c r="I85" s="75">
        <f>'[4]8 План18-20-2'!I189</f>
        <v>0</v>
      </c>
      <c r="J85" s="1962"/>
      <c r="K85" s="1962"/>
    </row>
    <row r="86" spans="1:11">
      <c r="A86" s="1959"/>
      <c r="B86" s="1963"/>
      <c r="C86" s="1959"/>
      <c r="D86" s="73">
        <v>2020</v>
      </c>
      <c r="E86" s="75">
        <f>F86+G86+H86+I86</f>
        <v>581.5</v>
      </c>
      <c r="F86" s="75">
        <f>'[4]8 План18-20-2'!F190</f>
        <v>581.5</v>
      </c>
      <c r="G86" s="75">
        <f>'[2]Пр14. План'!$G$644</f>
        <v>0</v>
      </c>
      <c r="H86" s="75">
        <f>'[2]Пр14. План'!$H$644</f>
        <v>0</v>
      </c>
      <c r="I86" s="75">
        <f>'[2]Пр14. План'!$I$644</f>
        <v>0</v>
      </c>
      <c r="J86" s="1962"/>
      <c r="K86" s="1962"/>
    </row>
    <row r="87" spans="1:11">
      <c r="A87" s="1959">
        <v>3</v>
      </c>
      <c r="B87" s="1960" t="s">
        <v>77</v>
      </c>
      <c r="C87" s="1959" t="s">
        <v>14</v>
      </c>
      <c r="D87" s="73" t="s">
        <v>8</v>
      </c>
      <c r="E87" s="75">
        <f>E88+E89+E90+E91+E92+E93+E94</f>
        <v>2944254.05</v>
      </c>
      <c r="F87" s="75">
        <f>F88+F89+F90+F91+F92+F93+F94</f>
        <v>2074459.85</v>
      </c>
      <c r="G87" s="75">
        <f>G88+G89+G90+G91+G92+G93+G94</f>
        <v>475828.80000000005</v>
      </c>
      <c r="H87" s="75">
        <f>H88+H89+H90+H91+H92+H93+H94</f>
        <v>324944.40000000002</v>
      </c>
      <c r="I87" s="75">
        <f>I88+I89+I90+I91+I92+I93+I94</f>
        <v>69021</v>
      </c>
      <c r="J87" s="1961"/>
      <c r="K87" s="1961" t="s">
        <v>316</v>
      </c>
    </row>
    <row r="88" spans="1:11">
      <c r="A88" s="1959"/>
      <c r="B88" s="1960"/>
      <c r="C88" s="1959"/>
      <c r="D88" s="73">
        <v>2014</v>
      </c>
      <c r="E88" s="75">
        <f>F88+G88+H88+I88</f>
        <v>568430.29999999993</v>
      </c>
      <c r="F88" s="75">
        <f>'[2]Пр14. План'!$F$670</f>
        <v>473335.7</v>
      </c>
      <c r="G88" s="75">
        <f>'[2]Пр14. План'!$G$670</f>
        <v>88421</v>
      </c>
      <c r="H88" s="75">
        <f>'[2]Пр14. План'!$H$670</f>
        <v>1752.6</v>
      </c>
      <c r="I88" s="75">
        <f>'[4]4. ОКС'!L16</f>
        <v>4921</v>
      </c>
      <c r="J88" s="1962"/>
      <c r="K88" s="1962"/>
    </row>
    <row r="89" spans="1:11">
      <c r="A89" s="1959"/>
      <c r="B89" s="1960"/>
      <c r="C89" s="1959"/>
      <c r="D89" s="73">
        <v>2015</v>
      </c>
      <c r="E89" s="75">
        <f>F89+G89+H89+I89</f>
        <v>399598.3</v>
      </c>
      <c r="F89" s="75">
        <f>'[3]план 15-17'!F286</f>
        <v>254835.7</v>
      </c>
      <c r="G89" s="75">
        <f>'[3]план 15-17'!G286</f>
        <v>141842</v>
      </c>
      <c r="H89" s="75">
        <f>'[3]план 15-17'!H286</f>
        <v>2920.6</v>
      </c>
      <c r="I89" s="75">
        <f>'[3]план 15-17'!I286</f>
        <v>0</v>
      </c>
      <c r="J89" s="1962"/>
      <c r="K89" s="1962"/>
    </row>
    <row r="90" spans="1:11">
      <c r="A90" s="1959"/>
      <c r="B90" s="1960"/>
      <c r="C90" s="1959"/>
      <c r="D90" s="73">
        <v>2016</v>
      </c>
      <c r="E90" s="75">
        <f>'[4]8 План18-20-2'!E216</f>
        <v>165142.70000000001</v>
      </c>
      <c r="F90" s="75">
        <f>'[4]8 План18-20-2'!F216</f>
        <v>112036</v>
      </c>
      <c r="G90" s="75">
        <f>'[4]8 План18-20-2'!G216</f>
        <v>11357.5</v>
      </c>
      <c r="H90" s="75">
        <f>'[4]8 План18-20-2'!H216</f>
        <v>20949.2</v>
      </c>
      <c r="I90" s="75">
        <f>'[4]8 План18-20-2'!I216</f>
        <v>20800</v>
      </c>
      <c r="J90" s="1962"/>
      <c r="K90" s="1962"/>
    </row>
    <row r="91" spans="1:11">
      <c r="A91" s="1959"/>
      <c r="B91" s="1960"/>
      <c r="C91" s="1959"/>
      <c r="D91" s="73">
        <v>2017</v>
      </c>
      <c r="E91" s="75">
        <f>'[4]8 План18-20-2'!E217</f>
        <v>229531.3</v>
      </c>
      <c r="F91" s="75">
        <f>'[4]8 План18-20-2'!F217</f>
        <v>135945</v>
      </c>
      <c r="G91" s="75">
        <f>'[4]8 План18-20-2'!G217</f>
        <v>11265.5</v>
      </c>
      <c r="H91" s="75">
        <f>'[4]8 План18-20-2'!H217</f>
        <v>67320.800000000003</v>
      </c>
      <c r="I91" s="75">
        <f>'[4]8 План18-20-2'!I217</f>
        <v>15000</v>
      </c>
      <c r="J91" s="1962"/>
      <c r="K91" s="1962"/>
    </row>
    <row r="92" spans="1:11">
      <c r="A92" s="1959"/>
      <c r="B92" s="1960"/>
      <c r="C92" s="1959"/>
      <c r="D92" s="73">
        <v>2018</v>
      </c>
      <c r="E92" s="75">
        <f>'[4]8 План18-20-2'!E218</f>
        <v>425028.25</v>
      </c>
      <c r="F92" s="75">
        <f>'[4]8 План18-20-2'!F218</f>
        <v>371128.65</v>
      </c>
      <c r="G92" s="75">
        <f>'[4]8 План18-20-2'!G218</f>
        <v>0</v>
      </c>
      <c r="H92" s="75">
        <f>'[4]8 План18-20-2'!H218</f>
        <v>53899.6</v>
      </c>
      <c r="I92" s="75">
        <f>'[4]8 План18-20-2'!I218</f>
        <v>0</v>
      </c>
      <c r="J92" s="1962"/>
      <c r="K92" s="1962"/>
    </row>
    <row r="93" spans="1:11">
      <c r="A93" s="1959"/>
      <c r="B93" s="1960"/>
      <c r="C93" s="1959"/>
      <c r="D93" s="73">
        <v>2019</v>
      </c>
      <c r="E93" s="75">
        <f>'[4]8 План18-20-2'!E219</f>
        <v>776658.2</v>
      </c>
      <c r="F93" s="75">
        <f>'[4]8 План18-20-2'!F219</f>
        <v>522074.2</v>
      </c>
      <c r="G93" s="75">
        <f>'[4]8 План18-20-2'!G219</f>
        <v>111471.4</v>
      </c>
      <c r="H93" s="75">
        <f>'[4]8 План18-20-2'!H219</f>
        <v>114812.6</v>
      </c>
      <c r="I93" s="75">
        <f>'[4]8 План18-20-2'!I219</f>
        <v>28300</v>
      </c>
      <c r="J93" s="1962"/>
      <c r="K93" s="1962"/>
    </row>
    <row r="94" spans="1:11">
      <c r="A94" s="1959"/>
      <c r="B94" s="1960"/>
      <c r="C94" s="1959"/>
      <c r="D94" s="73">
        <v>2020</v>
      </c>
      <c r="E94" s="75">
        <f>'[4]8 План18-20-2'!E220</f>
        <v>379865</v>
      </c>
      <c r="F94" s="75">
        <f>'[4]8 План18-20-2'!F220</f>
        <v>205104.6</v>
      </c>
      <c r="G94" s="75">
        <f>'[4]8 План18-20-2'!G220</f>
        <v>111471.4</v>
      </c>
      <c r="H94" s="75">
        <f>'[4]8 План18-20-2'!H220</f>
        <v>63289</v>
      </c>
      <c r="I94" s="75">
        <f>'[4]8 План18-20-2'!I220</f>
        <v>0</v>
      </c>
      <c r="J94" s="1962"/>
      <c r="K94" s="1962"/>
    </row>
    <row r="95" spans="1:11" ht="15" customHeight="1">
      <c r="A95" s="1965" t="s">
        <v>177</v>
      </c>
      <c r="B95" s="1968" t="s">
        <v>80</v>
      </c>
      <c r="C95" s="1965" t="s">
        <v>14</v>
      </c>
      <c r="D95" s="73" t="s">
        <v>8</v>
      </c>
      <c r="E95" s="75">
        <f>E96+E97+E98+E99+E100+E101+E102</f>
        <v>2248815.15</v>
      </c>
      <c r="F95" s="75">
        <f>F96+F97+F98+F99+F100+F101+F102</f>
        <v>1609051.25</v>
      </c>
      <c r="G95" s="75">
        <f>G96+G97+G98+G99+G100+G101+G102</f>
        <v>427942.80000000005</v>
      </c>
      <c r="H95" s="75">
        <f>H96+H97+H98+H99+H100+H101+H102</f>
        <v>173833</v>
      </c>
      <c r="I95" s="75">
        <f>I96+I97+I98+I99+I100+I101+I102</f>
        <v>37988.1</v>
      </c>
      <c r="J95" s="1961" t="s">
        <v>327</v>
      </c>
      <c r="K95" s="1961" t="s">
        <v>319</v>
      </c>
    </row>
    <row r="96" spans="1:11">
      <c r="A96" s="1966"/>
      <c r="B96" s="1969"/>
      <c r="C96" s="1966"/>
      <c r="D96" s="73">
        <v>2014</v>
      </c>
      <c r="E96" s="75">
        <f>F96+G96+H96+I96</f>
        <v>516075.6</v>
      </c>
      <c r="F96" s="75">
        <f>'[2]Пр14. План'!$F$686</f>
        <v>433887.5</v>
      </c>
      <c r="G96" s="75">
        <f>'[2]Пр14. План'!$G$686</f>
        <v>80000</v>
      </c>
      <c r="H96" s="75">
        <f>'[2]Пр14. План'!$H$686</f>
        <v>0</v>
      </c>
      <c r="I96" s="75">
        <f>'[4]4. ОКС'!L101</f>
        <v>2188.1</v>
      </c>
      <c r="J96" s="1962"/>
      <c r="K96" s="1962"/>
    </row>
    <row r="97" spans="1:11">
      <c r="A97" s="1966"/>
      <c r="B97" s="1969"/>
      <c r="C97" s="1966"/>
      <c r="D97" s="73">
        <v>2015</v>
      </c>
      <c r="E97" s="75">
        <f>F97+G97+H97+I97</f>
        <v>323427.5</v>
      </c>
      <c r="F97" s="75">
        <f>'[3]план 15-17'!F294</f>
        <v>198427.5</v>
      </c>
      <c r="G97" s="75">
        <f>'[3]план 15-17'!G294</f>
        <v>125000</v>
      </c>
      <c r="H97" s="75">
        <f>'[3]план 15-17'!H294</f>
        <v>0</v>
      </c>
      <c r="I97" s="75">
        <f>'[3]план 15-17'!I294</f>
        <v>0</v>
      </c>
      <c r="J97" s="1962"/>
      <c r="K97" s="1962"/>
    </row>
    <row r="98" spans="1:11">
      <c r="A98" s="1966"/>
      <c r="B98" s="1969"/>
      <c r="C98" s="1966"/>
      <c r="D98" s="73">
        <v>2016</v>
      </c>
      <c r="E98" s="75">
        <f>'[4]8 План18-20-2'!E222</f>
        <v>76401.7</v>
      </c>
      <c r="F98" s="75">
        <f>'[4]8 План18-20-2'!F222</f>
        <v>38301.699999999997</v>
      </c>
      <c r="G98" s="75">
        <f>'[4]8 План18-20-2'!G222</f>
        <v>0</v>
      </c>
      <c r="H98" s="75">
        <f>'[4]8 План18-20-2'!H222</f>
        <v>17300</v>
      </c>
      <c r="I98" s="75">
        <f>'[4]8 План18-20-2'!I222</f>
        <v>20800</v>
      </c>
      <c r="J98" s="1962"/>
      <c r="K98" s="1962"/>
    </row>
    <row r="99" spans="1:11">
      <c r="A99" s="1966"/>
      <c r="B99" s="1969"/>
      <c r="C99" s="1966"/>
      <c r="D99" s="73">
        <v>2017</v>
      </c>
      <c r="E99" s="75">
        <f>'[4]8 План18-20-2'!E223</f>
        <v>165279.4</v>
      </c>
      <c r="F99" s="75">
        <f>'[4]8 План18-20-2'!F223</f>
        <v>85679.4</v>
      </c>
      <c r="G99" s="75">
        <f>'[4]8 План18-20-2'!G223</f>
        <v>0</v>
      </c>
      <c r="H99" s="75">
        <f>'[4]8 План18-20-2'!H223</f>
        <v>64600</v>
      </c>
      <c r="I99" s="75">
        <f>'[4]8 План18-20-2'!I223</f>
        <v>15000</v>
      </c>
      <c r="J99" s="1962"/>
      <c r="K99" s="1962"/>
    </row>
    <row r="100" spans="1:11">
      <c r="A100" s="1966"/>
      <c r="B100" s="1969"/>
      <c r="C100" s="1966"/>
      <c r="D100" s="73">
        <v>2018</v>
      </c>
      <c r="E100" s="75">
        <f>'[4]8 План18-20-2'!E224</f>
        <v>363024.95</v>
      </c>
      <c r="F100" s="75">
        <f>'[4]8 План18-20-2'!F224</f>
        <v>321650.85000000003</v>
      </c>
      <c r="G100" s="75">
        <f>'[4]8 План18-20-2'!G224</f>
        <v>0</v>
      </c>
      <c r="H100" s="75">
        <f>'[4]8 План18-20-2'!H224</f>
        <v>41374.1</v>
      </c>
      <c r="I100" s="75">
        <f>'[4]8 План18-20-2'!I224</f>
        <v>0</v>
      </c>
      <c r="J100" s="1962"/>
      <c r="K100" s="1962"/>
    </row>
    <row r="101" spans="1:11">
      <c r="A101" s="1966"/>
      <c r="B101" s="1969"/>
      <c r="C101" s="1966"/>
      <c r="D101" s="73">
        <v>2019</v>
      </c>
      <c r="E101" s="75">
        <f>'[4]8 План18-20-2'!E225</f>
        <v>555441</v>
      </c>
      <c r="F101" s="75">
        <f>'[4]8 План18-20-2'!F225</f>
        <v>394349.7</v>
      </c>
      <c r="G101" s="75">
        <f>'[4]8 План18-20-2'!G225</f>
        <v>111471.4</v>
      </c>
      <c r="H101" s="75">
        <f>'[4]8 План18-20-2'!H225</f>
        <v>49619.9</v>
      </c>
      <c r="I101" s="75">
        <f>'[4]8 План18-20-2'!I225</f>
        <v>0</v>
      </c>
      <c r="J101" s="1962"/>
      <c r="K101" s="1962"/>
    </row>
    <row r="102" spans="1:11">
      <c r="A102" s="1967"/>
      <c r="B102" s="1970"/>
      <c r="C102" s="1967"/>
      <c r="D102" s="73">
        <v>2020</v>
      </c>
      <c r="E102" s="75">
        <f>'[4]8 План18-20-2'!E226</f>
        <v>249165</v>
      </c>
      <c r="F102" s="75">
        <f>'[4]8 План18-20-2'!F226</f>
        <v>136754.6</v>
      </c>
      <c r="G102" s="75">
        <f>'[4]8 План18-20-2'!G226</f>
        <v>111471.4</v>
      </c>
      <c r="H102" s="75">
        <f>'[4]8 План18-20-2'!H226</f>
        <v>939</v>
      </c>
      <c r="I102" s="75">
        <f>'[4]8 План18-20-2'!I226</f>
        <v>0</v>
      </c>
      <c r="J102" s="1964"/>
      <c r="K102" s="1964"/>
    </row>
    <row r="103" spans="1:11">
      <c r="A103" s="1959" t="s">
        <v>178</v>
      </c>
      <c r="B103" s="1963" t="s">
        <v>103</v>
      </c>
      <c r="C103" s="1959" t="s">
        <v>14</v>
      </c>
      <c r="D103" s="73" t="s">
        <v>8</v>
      </c>
      <c r="E103" s="75">
        <f>E104+E105+E106+E107+E108+E109+E110</f>
        <v>409706</v>
      </c>
      <c r="F103" s="75">
        <f>F104+F105+F106+F107+F108+F109+F110</f>
        <v>343058.60000000003</v>
      </c>
      <c r="G103" s="75">
        <f>G104+G105+G106+G107+G108+G109+G110</f>
        <v>47886</v>
      </c>
      <c r="H103" s="75">
        <f>H104+H105+H106+H107+H108+H109+H110</f>
        <v>18761.400000000001</v>
      </c>
      <c r="I103" s="75">
        <f>I104+I105+I106+I107+I108+I109+I110</f>
        <v>0</v>
      </c>
      <c r="J103" s="1961" t="s">
        <v>328</v>
      </c>
      <c r="K103" s="1961" t="s">
        <v>316</v>
      </c>
    </row>
    <row r="104" spans="1:11">
      <c r="A104" s="1959"/>
      <c r="B104" s="1963"/>
      <c r="C104" s="1959"/>
      <c r="D104" s="73">
        <v>2014</v>
      </c>
      <c r="E104" s="75">
        <f>'[2]Пр14. План'!$E$817</f>
        <v>49621.8</v>
      </c>
      <c r="F104" s="75">
        <f>'[2]Пр14. План'!$F$817</f>
        <v>39448.199999999997</v>
      </c>
      <c r="G104" s="75">
        <f>'[2]Пр14. План'!$G$817</f>
        <v>8421</v>
      </c>
      <c r="H104" s="75">
        <f>'[2]Пр14. План'!$H$817</f>
        <v>1752.6</v>
      </c>
      <c r="I104" s="75">
        <f>'[2]Пр14. План'!$I$817</f>
        <v>0</v>
      </c>
      <c r="J104" s="1962"/>
      <c r="K104" s="1962"/>
    </row>
    <row r="105" spans="1:11">
      <c r="A105" s="1959"/>
      <c r="B105" s="1963"/>
      <c r="C105" s="1959"/>
      <c r="D105" s="73">
        <v>2015</v>
      </c>
      <c r="E105" s="75">
        <f>'[3]план 15-17'!E338</f>
        <v>76170.799999999988</v>
      </c>
      <c r="F105" s="75">
        <f>'[3]план 15-17'!F338</f>
        <v>56408.2</v>
      </c>
      <c r="G105" s="75">
        <f>'[3]план 15-17'!G338</f>
        <v>16842</v>
      </c>
      <c r="H105" s="75">
        <f>'[3]план 15-17'!H338</f>
        <v>2920.6</v>
      </c>
      <c r="I105" s="75">
        <f>'[3]план 15-17'!I338</f>
        <v>0</v>
      </c>
      <c r="J105" s="1962"/>
      <c r="K105" s="1962"/>
    </row>
    <row r="106" spans="1:11">
      <c r="A106" s="1959"/>
      <c r="B106" s="1963"/>
      <c r="C106" s="1959"/>
      <c r="D106" s="73">
        <v>2016</v>
      </c>
      <c r="E106" s="75">
        <f>F106+G106+H106+I106</f>
        <v>88741</v>
      </c>
      <c r="F106" s="75">
        <f>'[4]8 План18-20-2'!F300</f>
        <v>73734.3</v>
      </c>
      <c r="G106" s="75">
        <f>'[4]8 План18-20-2'!G300</f>
        <v>11357.5</v>
      </c>
      <c r="H106" s="75">
        <f>'[4]8 План18-20-2'!H300</f>
        <v>3649.2</v>
      </c>
      <c r="I106" s="75">
        <f>'[4]8 План18-20-2'!I300</f>
        <v>0</v>
      </c>
      <c r="J106" s="1962"/>
      <c r="K106" s="1962"/>
    </row>
    <row r="107" spans="1:11">
      <c r="A107" s="1959"/>
      <c r="B107" s="1963"/>
      <c r="C107" s="1959"/>
      <c r="D107" s="73">
        <v>2017</v>
      </c>
      <c r="E107" s="75">
        <f>F107+G107+H107+I107</f>
        <v>64251.900000000009</v>
      </c>
      <c r="F107" s="75">
        <f>'[4]8 План18-20-2'!F301</f>
        <v>50265.600000000006</v>
      </c>
      <c r="G107" s="75">
        <f>'[4]8 План18-20-2'!G301</f>
        <v>11265.5</v>
      </c>
      <c r="H107" s="75">
        <f>'[4]8 План18-20-2'!H301</f>
        <v>2720.8</v>
      </c>
      <c r="I107" s="75">
        <f>'[4]8 План18-20-2'!I301</f>
        <v>0</v>
      </c>
      <c r="J107" s="1962"/>
      <c r="K107" s="1962"/>
    </row>
    <row r="108" spans="1:11">
      <c r="A108" s="1959"/>
      <c r="B108" s="1963"/>
      <c r="C108" s="1959"/>
      <c r="D108" s="73">
        <v>2018</v>
      </c>
      <c r="E108" s="75">
        <f>F108+G108+H108+I108</f>
        <v>52003.3</v>
      </c>
      <c r="F108" s="75">
        <f>'[4]8 План18-20-2'!F302</f>
        <v>49477.8</v>
      </c>
      <c r="G108" s="75">
        <f>'[4]8 План18-20-2'!G302</f>
        <v>0</v>
      </c>
      <c r="H108" s="75">
        <f>'[4]8 План18-20-2'!H302</f>
        <v>2525.5</v>
      </c>
      <c r="I108" s="75">
        <f>'[4]8 План18-20-2'!I302</f>
        <v>0</v>
      </c>
      <c r="J108" s="1962"/>
      <c r="K108" s="1962"/>
    </row>
    <row r="109" spans="1:11">
      <c r="A109" s="1959"/>
      <c r="B109" s="1963"/>
      <c r="C109" s="1959"/>
      <c r="D109" s="73">
        <v>2019</v>
      </c>
      <c r="E109" s="75">
        <f>F109+G109+H109+I109</f>
        <v>72917.2</v>
      </c>
      <c r="F109" s="75">
        <f>'[4]8 План18-20-2'!F303</f>
        <v>67724.5</v>
      </c>
      <c r="G109" s="75">
        <f>'[4]8 План18-20-2'!G303</f>
        <v>0</v>
      </c>
      <c r="H109" s="75">
        <f>'[4]8 План18-20-2'!H303</f>
        <v>5192.7</v>
      </c>
      <c r="I109" s="75">
        <f>'[4]8 План18-20-2'!I303</f>
        <v>0</v>
      </c>
      <c r="J109" s="1962"/>
      <c r="K109" s="1962"/>
    </row>
    <row r="110" spans="1:11">
      <c r="A110" s="1959"/>
      <c r="B110" s="1963"/>
      <c r="C110" s="1959"/>
      <c r="D110" s="73">
        <v>2020</v>
      </c>
      <c r="E110" s="75">
        <f>F110+G110+H110+I110</f>
        <v>6000</v>
      </c>
      <c r="F110" s="75">
        <f>'[4]8 План18-20-2'!F304</f>
        <v>6000</v>
      </c>
      <c r="G110" s="75">
        <f>'[4]8 План18-20-2'!G304</f>
        <v>0</v>
      </c>
      <c r="H110" s="75">
        <f>'[4]8 План18-20-2'!H304</f>
        <v>0</v>
      </c>
      <c r="I110" s="75">
        <f>'[4]8 План18-20-2'!I304</f>
        <v>0</v>
      </c>
      <c r="J110" s="1962"/>
      <c r="K110" s="1962"/>
    </row>
    <row r="111" spans="1:11">
      <c r="A111" s="1959" t="s">
        <v>295</v>
      </c>
      <c r="B111" s="1963" t="s">
        <v>296</v>
      </c>
      <c r="C111" s="1959" t="s">
        <v>186</v>
      </c>
      <c r="D111" s="73" t="s">
        <v>8</v>
      </c>
      <c r="E111" s="75">
        <f>E112+E113+E114+E115+E116+E117+E118</f>
        <v>283000</v>
      </c>
      <c r="F111" s="75">
        <f>F112+F113+F114+F115+F116+F117+F118</f>
        <v>122350</v>
      </c>
      <c r="G111" s="75">
        <f>G112+G113+G114+G115+G116+G117+G118</f>
        <v>0</v>
      </c>
      <c r="H111" s="75">
        <f>H112+H113+H114+H115+H116+H117+H118</f>
        <v>132350</v>
      </c>
      <c r="I111" s="75">
        <f>I112+I113+I114+I115+I116+I117+I118</f>
        <v>28300</v>
      </c>
      <c r="J111" s="1961" t="s">
        <v>328</v>
      </c>
      <c r="K111" s="1961" t="s">
        <v>316</v>
      </c>
    </row>
    <row r="112" spans="1:11">
      <c r="A112" s="1959"/>
      <c r="B112" s="1963"/>
      <c r="C112" s="1959"/>
      <c r="D112" s="73">
        <v>2014</v>
      </c>
      <c r="E112" s="75">
        <f t="shared" ref="E112:E118" si="3">F112+G112+H112+I112</f>
        <v>0</v>
      </c>
      <c r="F112" s="75">
        <v>0</v>
      </c>
      <c r="G112" s="75">
        <v>0</v>
      </c>
      <c r="H112" s="75">
        <v>0</v>
      </c>
      <c r="I112" s="75">
        <v>0</v>
      </c>
      <c r="J112" s="1962"/>
      <c r="K112" s="1962"/>
    </row>
    <row r="113" spans="1:11">
      <c r="A113" s="1959"/>
      <c r="B113" s="1963"/>
      <c r="C113" s="1959"/>
      <c r="D113" s="73">
        <v>2015</v>
      </c>
      <c r="E113" s="75">
        <f t="shared" si="3"/>
        <v>0</v>
      </c>
      <c r="F113" s="75">
        <v>0</v>
      </c>
      <c r="G113" s="75">
        <v>0</v>
      </c>
      <c r="H113" s="75">
        <v>0</v>
      </c>
      <c r="I113" s="75">
        <v>0</v>
      </c>
      <c r="J113" s="1962"/>
      <c r="K113" s="1962"/>
    </row>
    <row r="114" spans="1:11">
      <c r="A114" s="1959"/>
      <c r="B114" s="1963"/>
      <c r="C114" s="1959"/>
      <c r="D114" s="73">
        <v>2016</v>
      </c>
      <c r="E114" s="75">
        <f t="shared" si="3"/>
        <v>0</v>
      </c>
      <c r="F114" s="75">
        <f>'[4]8 План18-20-2'!F414</f>
        <v>0</v>
      </c>
      <c r="G114" s="75">
        <f>'[4]8 План18-20-2'!G414</f>
        <v>0</v>
      </c>
      <c r="H114" s="75">
        <f>'[4]8 План18-20-2'!H414</f>
        <v>0</v>
      </c>
      <c r="I114" s="75">
        <f>'[4]8 План18-20-2'!I414</f>
        <v>0</v>
      </c>
      <c r="J114" s="1962"/>
      <c r="K114" s="1962"/>
    </row>
    <row r="115" spans="1:11">
      <c r="A115" s="1959"/>
      <c r="B115" s="1963"/>
      <c r="C115" s="1959"/>
      <c r="D115" s="73">
        <v>2017</v>
      </c>
      <c r="E115" s="75">
        <f t="shared" si="3"/>
        <v>0</v>
      </c>
      <c r="F115" s="75">
        <f>'[4]8 План18-20-2'!F415</f>
        <v>0</v>
      </c>
      <c r="G115" s="75">
        <f>'[4]8 План18-20-2'!G415</f>
        <v>0</v>
      </c>
      <c r="H115" s="75">
        <f>'[4]8 План18-20-2'!H415</f>
        <v>0</v>
      </c>
      <c r="I115" s="75">
        <f>'[4]8 План18-20-2'!I415</f>
        <v>0</v>
      </c>
      <c r="J115" s="1962"/>
      <c r="K115" s="1962"/>
    </row>
    <row r="116" spans="1:11">
      <c r="A116" s="1959"/>
      <c r="B116" s="1963"/>
      <c r="C116" s="1959"/>
      <c r="D116" s="73">
        <v>2018</v>
      </c>
      <c r="E116" s="75">
        <f t="shared" si="3"/>
        <v>10000</v>
      </c>
      <c r="F116" s="75">
        <f>'[4]8 План18-20-2'!F416</f>
        <v>0</v>
      </c>
      <c r="G116" s="75">
        <f>'[4]8 План18-20-2'!G416</f>
        <v>0</v>
      </c>
      <c r="H116" s="75">
        <f>'[4]8 План18-20-2'!H416</f>
        <v>10000</v>
      </c>
      <c r="I116" s="75">
        <f>'[4]8 План18-20-2'!I416</f>
        <v>0</v>
      </c>
      <c r="J116" s="1962"/>
      <c r="K116" s="1962"/>
    </row>
    <row r="117" spans="1:11">
      <c r="A117" s="1959"/>
      <c r="B117" s="1963"/>
      <c r="C117" s="1959"/>
      <c r="D117" s="73">
        <v>2019</v>
      </c>
      <c r="E117" s="75">
        <f t="shared" si="3"/>
        <v>148300</v>
      </c>
      <c r="F117" s="75">
        <f>'[4]8 План18-20-2'!F417</f>
        <v>60000</v>
      </c>
      <c r="G117" s="75">
        <f>'[4]8 План18-20-2'!G417</f>
        <v>0</v>
      </c>
      <c r="H117" s="75">
        <f>'[4]8 План18-20-2'!H417</f>
        <v>60000</v>
      </c>
      <c r="I117" s="75">
        <f>'[4]8 План18-20-2'!I417</f>
        <v>28300</v>
      </c>
      <c r="J117" s="1962"/>
      <c r="K117" s="1962"/>
    </row>
    <row r="118" spans="1:11">
      <c r="A118" s="1959"/>
      <c r="B118" s="1963"/>
      <c r="C118" s="1959"/>
      <c r="D118" s="73">
        <v>2020</v>
      </c>
      <c r="E118" s="75">
        <f t="shared" si="3"/>
        <v>124700</v>
      </c>
      <c r="F118" s="75">
        <f>'[4]8 План18-20-2'!F418</f>
        <v>62350</v>
      </c>
      <c r="G118" s="75">
        <f>'[4]8 План18-20-2'!G418</f>
        <v>0</v>
      </c>
      <c r="H118" s="75">
        <f>'[4]8 План18-20-2'!H418</f>
        <v>62350</v>
      </c>
      <c r="I118" s="75">
        <f>'[4]8 План18-20-2'!I418</f>
        <v>0</v>
      </c>
      <c r="J118" s="1962"/>
      <c r="K118" s="1962"/>
    </row>
    <row r="119" spans="1:11">
      <c r="A119" s="1959">
        <v>4</v>
      </c>
      <c r="B119" s="1960" t="s">
        <v>130</v>
      </c>
      <c r="C119" s="1959" t="s">
        <v>14</v>
      </c>
      <c r="D119" s="73" t="s">
        <v>8</v>
      </c>
      <c r="E119" s="75">
        <f>E120+E121+E122+E123+E124+E125+E126</f>
        <v>185497.59999999998</v>
      </c>
      <c r="F119" s="75">
        <f>F120+F121+F122+F123+F124+F125+F126</f>
        <v>185497.59999999998</v>
      </c>
      <c r="G119" s="75">
        <f>G120+G121+G122+G123+G124+G125+G126</f>
        <v>0</v>
      </c>
      <c r="H119" s="75">
        <f>H120+H121+H122+H123+H124+H125+H126</f>
        <v>0</v>
      </c>
      <c r="I119" s="75">
        <f>I120+I121+I122+I123+I124+I125+I126</f>
        <v>0</v>
      </c>
      <c r="J119" s="1961"/>
      <c r="K119" s="1961" t="s">
        <v>26</v>
      </c>
    </row>
    <row r="120" spans="1:11">
      <c r="A120" s="1959"/>
      <c r="B120" s="1960"/>
      <c r="C120" s="1959"/>
      <c r="D120" s="73">
        <v>2014</v>
      </c>
      <c r="E120" s="75">
        <f>'[2]Пр14. План'!$E$889</f>
        <v>25437.3</v>
      </c>
      <c r="F120" s="75">
        <f>'[2]Пр14. План'!$F$889</f>
        <v>25437.3</v>
      </c>
      <c r="G120" s="75">
        <f>'[2]Пр14. План'!$G$889</f>
        <v>0</v>
      </c>
      <c r="H120" s="75">
        <f>'[2]Пр14. План'!$H$889</f>
        <v>0</v>
      </c>
      <c r="I120" s="75">
        <f>'[2]Пр14. План'!$I$889</f>
        <v>0</v>
      </c>
      <c r="J120" s="1962"/>
      <c r="K120" s="1962"/>
    </row>
    <row r="121" spans="1:11">
      <c r="A121" s="1959"/>
      <c r="B121" s="1960"/>
      <c r="C121" s="1959"/>
      <c r="D121" s="73">
        <v>2015</v>
      </c>
      <c r="E121" s="75">
        <f>E129</f>
        <v>24016.899999999998</v>
      </c>
      <c r="F121" s="75">
        <f>F129</f>
        <v>24016.899999999998</v>
      </c>
      <c r="G121" s="75">
        <f>G129</f>
        <v>0</v>
      </c>
      <c r="H121" s="75">
        <f>H129</f>
        <v>0</v>
      </c>
      <c r="I121" s="75">
        <f>I129</f>
        <v>0</v>
      </c>
      <c r="J121" s="1962"/>
      <c r="K121" s="1962"/>
    </row>
    <row r="122" spans="1:11">
      <c r="A122" s="1959"/>
      <c r="B122" s="1960"/>
      <c r="C122" s="1959"/>
      <c r="D122" s="73">
        <v>2016</v>
      </c>
      <c r="E122" s="75">
        <f>'[4]8 План18-20-2'!E432</f>
        <v>25539.5</v>
      </c>
      <c r="F122" s="75">
        <f>'[4]8 План18-20-2'!F432</f>
        <v>25539.5</v>
      </c>
      <c r="G122" s="75">
        <f>'[4]8 План18-20-2'!G432</f>
        <v>0</v>
      </c>
      <c r="H122" s="75">
        <f>'[4]8 План18-20-2'!H432</f>
        <v>0</v>
      </c>
      <c r="I122" s="75">
        <f>'[4]8 План18-20-2'!I432</f>
        <v>0</v>
      </c>
      <c r="J122" s="1962"/>
      <c r="K122" s="1962"/>
    </row>
    <row r="123" spans="1:11">
      <c r="A123" s="1959"/>
      <c r="B123" s="1960"/>
      <c r="C123" s="1959"/>
      <c r="D123" s="73">
        <v>2017</v>
      </c>
      <c r="E123" s="75">
        <f>'[4]8 План18-20-2'!E433</f>
        <v>25743.200000000001</v>
      </c>
      <c r="F123" s="75">
        <f>'[4]8 План18-20-2'!F433</f>
        <v>25743.200000000001</v>
      </c>
      <c r="G123" s="75">
        <f>'[4]8 План18-20-2'!G433</f>
        <v>0</v>
      </c>
      <c r="H123" s="75">
        <f>'[4]8 План18-20-2'!H433</f>
        <v>0</v>
      </c>
      <c r="I123" s="75">
        <f>'[4]8 План18-20-2'!I433</f>
        <v>0</v>
      </c>
      <c r="J123" s="1962"/>
      <c r="K123" s="1962"/>
    </row>
    <row r="124" spans="1:11">
      <c r="A124" s="1959"/>
      <c r="B124" s="1960"/>
      <c r="C124" s="1959"/>
      <c r="D124" s="73">
        <v>2018</v>
      </c>
      <c r="E124" s="75">
        <f>'[4]8 План18-20-2'!E434</f>
        <v>28265.200000000001</v>
      </c>
      <c r="F124" s="75">
        <f>'[4]8 План18-20-2'!F434</f>
        <v>28265.200000000001</v>
      </c>
      <c r="G124" s="75">
        <f>'[4]8 План18-20-2'!G434</f>
        <v>0</v>
      </c>
      <c r="H124" s="75">
        <f>'[4]8 План18-20-2'!H434</f>
        <v>0</v>
      </c>
      <c r="I124" s="75">
        <f>'[4]8 План18-20-2'!I434</f>
        <v>0</v>
      </c>
      <c r="J124" s="1962"/>
      <c r="K124" s="1962"/>
    </row>
    <row r="125" spans="1:11">
      <c r="A125" s="1959"/>
      <c r="B125" s="1960"/>
      <c r="C125" s="1959"/>
      <c r="D125" s="73">
        <v>2019</v>
      </c>
      <c r="E125" s="75">
        <f>'[4]8 План18-20-2'!E435</f>
        <v>27726</v>
      </c>
      <c r="F125" s="75">
        <f>'[4]8 План18-20-2'!F435</f>
        <v>27726</v>
      </c>
      <c r="G125" s="75">
        <f>'[4]8 План18-20-2'!G435</f>
        <v>0</v>
      </c>
      <c r="H125" s="75">
        <f>'[4]8 План18-20-2'!H435</f>
        <v>0</v>
      </c>
      <c r="I125" s="75">
        <f>'[4]8 План18-20-2'!I435</f>
        <v>0</v>
      </c>
      <c r="J125" s="1962"/>
      <c r="K125" s="1962"/>
    </row>
    <row r="126" spans="1:11">
      <c r="A126" s="1959"/>
      <c r="B126" s="1960"/>
      <c r="C126" s="1959"/>
      <c r="D126" s="73">
        <v>2020</v>
      </c>
      <c r="E126" s="75">
        <f>'[4]8 План18-20-2'!E436</f>
        <v>28769.5</v>
      </c>
      <c r="F126" s="75">
        <f>'[4]8 План18-20-2'!F436</f>
        <v>28769.5</v>
      </c>
      <c r="G126" s="75">
        <f>'[4]8 План18-20-2'!G436</f>
        <v>0</v>
      </c>
      <c r="H126" s="75">
        <f>'[4]8 План18-20-2'!H436</f>
        <v>0</v>
      </c>
      <c r="I126" s="75">
        <f>'[4]8 План18-20-2'!I436</f>
        <v>0</v>
      </c>
      <c r="J126" s="1962"/>
      <c r="K126" s="1962"/>
    </row>
    <row r="127" spans="1:11">
      <c r="A127" s="1959" t="s">
        <v>131</v>
      </c>
      <c r="B127" s="1963" t="s">
        <v>132</v>
      </c>
      <c r="C127" s="1959" t="s">
        <v>14</v>
      </c>
      <c r="D127" s="73" t="s">
        <v>8</v>
      </c>
      <c r="E127" s="75">
        <f>E128+E129+E130+E131+E132+E133+E134</f>
        <v>185497.59999999998</v>
      </c>
      <c r="F127" s="75">
        <f>F128+F129+F130+F131+F132+F133+F134</f>
        <v>185497.59999999998</v>
      </c>
      <c r="G127" s="75">
        <f>G128+G129+G130+G131+G132+G133+G134</f>
        <v>0</v>
      </c>
      <c r="H127" s="75">
        <f>H128+H129+H130+H131+H132+H133+H134</f>
        <v>0</v>
      </c>
      <c r="I127" s="75">
        <f>I128+I129+I130+I131+I132+I133+I134</f>
        <v>0</v>
      </c>
      <c r="J127" s="1961"/>
      <c r="K127" s="1961" t="s">
        <v>26</v>
      </c>
    </row>
    <row r="128" spans="1:11">
      <c r="A128" s="1959"/>
      <c r="B128" s="1963"/>
      <c r="C128" s="1959"/>
      <c r="D128" s="73">
        <v>2014</v>
      </c>
      <c r="E128" s="75">
        <f>'[2]Пр14. План'!$E$897</f>
        <v>25437.3</v>
      </c>
      <c r="F128" s="75">
        <f>'[2]Пр14. План'!$F$897</f>
        <v>25437.3</v>
      </c>
      <c r="G128" s="75">
        <f>'[2]Пр14. План'!$G$897</f>
        <v>0</v>
      </c>
      <c r="H128" s="75">
        <f>'[2]Пр14. План'!$H$897</f>
        <v>0</v>
      </c>
      <c r="I128" s="75">
        <f>'[2]Пр14. План'!$I$897</f>
        <v>0</v>
      </c>
      <c r="J128" s="1962"/>
      <c r="K128" s="1962"/>
    </row>
    <row r="129" spans="1:11">
      <c r="A129" s="1959"/>
      <c r="B129" s="1963"/>
      <c r="C129" s="1959"/>
      <c r="D129" s="73">
        <v>2015</v>
      </c>
      <c r="E129" s="75">
        <f t="shared" ref="E129:E134" si="4">F129+G129+H129+I129</f>
        <v>24016.899999999998</v>
      </c>
      <c r="F129" s="75">
        <f>'[3]план 15-17'!F382</f>
        <v>24016.899999999998</v>
      </c>
      <c r="G129" s="75">
        <f>'[3]план 15-17'!G382</f>
        <v>0</v>
      </c>
      <c r="H129" s="75">
        <f>'[3]план 15-17'!H382</f>
        <v>0</v>
      </c>
      <c r="I129" s="75">
        <f>'[3]план 15-17'!I382</f>
        <v>0</v>
      </c>
      <c r="J129" s="1962"/>
      <c r="K129" s="1962"/>
    </row>
    <row r="130" spans="1:11">
      <c r="A130" s="1959"/>
      <c r="B130" s="1963"/>
      <c r="C130" s="1959"/>
      <c r="D130" s="73">
        <v>2016</v>
      </c>
      <c r="E130" s="75">
        <f t="shared" si="4"/>
        <v>25539.5</v>
      </c>
      <c r="F130" s="75">
        <f>'[4]8 План18-20-2'!F432</f>
        <v>25539.5</v>
      </c>
      <c r="G130" s="75">
        <f>'[4]8 План18-20-2'!G432</f>
        <v>0</v>
      </c>
      <c r="H130" s="75">
        <f>'[4]8 План18-20-2'!H432</f>
        <v>0</v>
      </c>
      <c r="I130" s="75">
        <f>'[4]8 План18-20-2'!I432</f>
        <v>0</v>
      </c>
      <c r="J130" s="1962"/>
      <c r="K130" s="1962"/>
    </row>
    <row r="131" spans="1:11">
      <c r="A131" s="1959"/>
      <c r="B131" s="1963"/>
      <c r="C131" s="1959"/>
      <c r="D131" s="73">
        <v>2017</v>
      </c>
      <c r="E131" s="75">
        <f t="shared" si="4"/>
        <v>25743.200000000001</v>
      </c>
      <c r="F131" s="75">
        <f>'[4]8 План18-20-2'!F433</f>
        <v>25743.200000000001</v>
      </c>
      <c r="G131" s="75">
        <f>'[4]8 План18-20-2'!G433</f>
        <v>0</v>
      </c>
      <c r="H131" s="75">
        <f>'[4]8 План18-20-2'!H433</f>
        <v>0</v>
      </c>
      <c r="I131" s="75">
        <f>'[4]8 План18-20-2'!I433</f>
        <v>0</v>
      </c>
      <c r="J131" s="1962"/>
      <c r="K131" s="1962"/>
    </row>
    <row r="132" spans="1:11">
      <c r="A132" s="1959"/>
      <c r="B132" s="1963"/>
      <c r="C132" s="1959"/>
      <c r="D132" s="73">
        <v>2018</v>
      </c>
      <c r="E132" s="75">
        <f t="shared" si="4"/>
        <v>28265.200000000001</v>
      </c>
      <c r="F132" s="75">
        <f>'[4]8 План18-20-2'!F434</f>
        <v>28265.200000000001</v>
      </c>
      <c r="G132" s="75">
        <f>'[4]8 План18-20-2'!G434</f>
        <v>0</v>
      </c>
      <c r="H132" s="75">
        <f>'[4]8 План18-20-2'!H434</f>
        <v>0</v>
      </c>
      <c r="I132" s="75">
        <f>'[4]8 План18-20-2'!I434</f>
        <v>0</v>
      </c>
      <c r="J132" s="1962"/>
      <c r="K132" s="1962"/>
    </row>
    <row r="133" spans="1:11">
      <c r="A133" s="1959"/>
      <c r="B133" s="1963"/>
      <c r="C133" s="1959"/>
      <c r="D133" s="73">
        <v>2019</v>
      </c>
      <c r="E133" s="75">
        <f t="shared" si="4"/>
        <v>27726</v>
      </c>
      <c r="F133" s="75">
        <f>'[4]8 План18-20-2'!F435</f>
        <v>27726</v>
      </c>
      <c r="G133" s="75">
        <f>'[4]8 План18-20-2'!G435</f>
        <v>0</v>
      </c>
      <c r="H133" s="75">
        <f>'[4]8 План18-20-2'!H435</f>
        <v>0</v>
      </c>
      <c r="I133" s="75">
        <f>'[4]8 План18-20-2'!I435</f>
        <v>0</v>
      </c>
      <c r="J133" s="1962"/>
      <c r="K133" s="1962"/>
    </row>
    <row r="134" spans="1:11">
      <c r="A134" s="1959"/>
      <c r="B134" s="1963"/>
      <c r="C134" s="1959"/>
      <c r="D134" s="73">
        <v>2020</v>
      </c>
      <c r="E134" s="75">
        <f t="shared" si="4"/>
        <v>28769.5</v>
      </c>
      <c r="F134" s="75">
        <f>'[4]8 План18-20-2'!F436</f>
        <v>28769.5</v>
      </c>
      <c r="G134" s="75">
        <f>'[4]8 План18-20-2'!G436</f>
        <v>0</v>
      </c>
      <c r="H134" s="75">
        <f>'[4]8 План18-20-2'!H436</f>
        <v>0</v>
      </c>
      <c r="I134" s="75">
        <f>'[4]8 План18-20-2'!I436</f>
        <v>0</v>
      </c>
      <c r="J134" s="1964"/>
      <c r="K134" s="1964"/>
    </row>
  </sheetData>
  <mergeCells count="87">
    <mergeCell ref="A3:K3"/>
    <mergeCell ref="A5:A6"/>
    <mergeCell ref="B5:B6"/>
    <mergeCell ref="C5:C6"/>
    <mergeCell ref="D5:I5"/>
    <mergeCell ref="J5:J6"/>
    <mergeCell ref="K5:K6"/>
    <mergeCell ref="A15:A22"/>
    <mergeCell ref="B15:B22"/>
    <mergeCell ref="C15:C22"/>
    <mergeCell ref="J15:J22"/>
    <mergeCell ref="K15:K22"/>
    <mergeCell ref="A7:A14"/>
    <mergeCell ref="B7:B14"/>
    <mergeCell ref="C7:C14"/>
    <mergeCell ref="J7:J14"/>
    <mergeCell ref="K7:K14"/>
    <mergeCell ref="A31:A38"/>
    <mergeCell ref="B31:B38"/>
    <mergeCell ref="C31:C38"/>
    <mergeCell ref="J31:J38"/>
    <mergeCell ref="K31:K38"/>
    <mergeCell ref="A23:A30"/>
    <mergeCell ref="B23:B30"/>
    <mergeCell ref="C23:C30"/>
    <mergeCell ref="J23:J30"/>
    <mergeCell ref="K23:K30"/>
    <mergeCell ref="A47:A54"/>
    <mergeCell ref="B47:B54"/>
    <mergeCell ref="C47:C54"/>
    <mergeCell ref="J47:J54"/>
    <mergeCell ref="K47:K54"/>
    <mergeCell ref="A39:A46"/>
    <mergeCell ref="B39:B46"/>
    <mergeCell ref="C39:C46"/>
    <mergeCell ref="J39:J46"/>
    <mergeCell ref="K39:K46"/>
    <mergeCell ref="A63:A70"/>
    <mergeCell ref="B63:B70"/>
    <mergeCell ref="C63:C70"/>
    <mergeCell ref="J63:J70"/>
    <mergeCell ref="K63:K70"/>
    <mergeCell ref="A55:A62"/>
    <mergeCell ref="B55:B62"/>
    <mergeCell ref="C55:C62"/>
    <mergeCell ref="J55:J62"/>
    <mergeCell ref="K55:K62"/>
    <mergeCell ref="A79:A86"/>
    <mergeCell ref="B79:B86"/>
    <mergeCell ref="C79:C86"/>
    <mergeCell ref="J79:J86"/>
    <mergeCell ref="K79:K86"/>
    <mergeCell ref="A71:A78"/>
    <mergeCell ref="B71:B78"/>
    <mergeCell ref="C71:C78"/>
    <mergeCell ref="J71:J78"/>
    <mergeCell ref="K71:K78"/>
    <mergeCell ref="A95:A102"/>
    <mergeCell ref="B95:B102"/>
    <mergeCell ref="C95:C102"/>
    <mergeCell ref="J95:J102"/>
    <mergeCell ref="K95:K102"/>
    <mergeCell ref="A87:A94"/>
    <mergeCell ref="B87:B94"/>
    <mergeCell ref="C87:C94"/>
    <mergeCell ref="J87:J94"/>
    <mergeCell ref="K87:K94"/>
    <mergeCell ref="A111:A118"/>
    <mergeCell ref="B111:B118"/>
    <mergeCell ref="C111:C118"/>
    <mergeCell ref="J111:J118"/>
    <mergeCell ref="K111:K118"/>
    <mergeCell ref="A103:A110"/>
    <mergeCell ref="B103:B110"/>
    <mergeCell ref="C103:C110"/>
    <mergeCell ref="J103:J110"/>
    <mergeCell ref="K103:K110"/>
    <mergeCell ref="A127:A134"/>
    <mergeCell ref="B127:B134"/>
    <mergeCell ref="C127:C134"/>
    <mergeCell ref="J127:J134"/>
    <mergeCell ref="K127:K134"/>
    <mergeCell ref="A119:A126"/>
    <mergeCell ref="B119:B126"/>
    <mergeCell ref="C119:C126"/>
    <mergeCell ref="J119:J126"/>
    <mergeCell ref="K119:K126"/>
  </mergeCells>
  <pageMargins left="0.39" right="0.21" top="0.55000000000000004" bottom="0.44" header="0.3" footer="0.3"/>
  <pageSetup paperSize="9" scale="65"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J15"/>
  <sheetViews>
    <sheetView view="pageBreakPreview" topLeftCell="A6" zoomScaleSheetLayoutView="100" workbookViewId="0">
      <selection activeCell="I7" sqref="I7"/>
    </sheetView>
  </sheetViews>
  <sheetFormatPr defaultColWidth="8.85546875" defaultRowHeight="15"/>
  <cols>
    <col min="1" max="1" width="5.140625" customWidth="1"/>
    <col min="2" max="2" width="26.42578125" customWidth="1"/>
    <col min="3" max="3" width="20.42578125" customWidth="1"/>
    <col min="4" max="4" width="15" customWidth="1"/>
    <col min="5" max="5" width="23.42578125" customWidth="1"/>
    <col min="6" max="6" width="16.140625" customWidth="1"/>
    <col min="7" max="7" width="17.42578125" customWidth="1"/>
    <col min="8" max="8" width="13.28515625" customWidth="1"/>
  </cols>
  <sheetData>
    <row r="1" spans="1:10" s="293" customFormat="1" ht="18.75">
      <c r="A1" s="289"/>
      <c r="B1" s="290"/>
      <c r="C1" s="290"/>
      <c r="D1" s="291"/>
      <c r="E1" s="291"/>
      <c r="F1" s="292"/>
      <c r="H1" s="294" t="s">
        <v>531</v>
      </c>
      <c r="I1" s="295"/>
    </row>
    <row r="2" spans="1:10" s="293" customFormat="1" ht="18.75">
      <c r="A2" s="289"/>
      <c r="B2" s="290"/>
      <c r="C2" s="290"/>
      <c r="D2" s="291"/>
      <c r="E2" s="291"/>
      <c r="F2" s="292"/>
      <c r="G2" s="290"/>
      <c r="H2" s="290"/>
      <c r="I2" s="290"/>
    </row>
    <row r="3" spans="1:10" s="293" customFormat="1" ht="15.75" customHeight="1">
      <c r="A3" s="3028" t="s">
        <v>532</v>
      </c>
      <c r="B3" s="3028"/>
      <c r="C3" s="3028"/>
      <c r="D3" s="3028"/>
      <c r="E3" s="3028"/>
      <c r="F3" s="3028"/>
      <c r="G3" s="3028"/>
      <c r="H3" s="3028"/>
      <c r="I3" s="296"/>
      <c r="J3" s="297"/>
    </row>
    <row r="4" spans="1:10" s="293" customFormat="1" ht="15.75">
      <c r="A4" s="298"/>
      <c r="B4" s="299"/>
      <c r="C4" s="299"/>
      <c r="D4" s="299"/>
      <c r="E4" s="299"/>
      <c r="F4" s="300"/>
      <c r="G4" s="299"/>
      <c r="H4" s="299"/>
      <c r="I4" s="299"/>
    </row>
    <row r="5" spans="1:10" s="293" customFormat="1" ht="67.5" customHeight="1">
      <c r="A5" s="301" t="s">
        <v>439</v>
      </c>
      <c r="B5" s="302" t="s">
        <v>533</v>
      </c>
      <c r="C5" s="302" t="s">
        <v>534</v>
      </c>
      <c r="D5" s="302" t="s">
        <v>535</v>
      </c>
      <c r="E5" s="302" t="s">
        <v>536</v>
      </c>
      <c r="F5" s="302" t="s">
        <v>537</v>
      </c>
      <c r="G5" s="302" t="s">
        <v>538</v>
      </c>
      <c r="H5" s="302" t="s">
        <v>539</v>
      </c>
      <c r="I5" s="299"/>
    </row>
    <row r="6" spans="1:10" s="293" customFormat="1" ht="15.75">
      <c r="A6" s="303"/>
      <c r="B6" s="302"/>
      <c r="C6" s="302"/>
      <c r="D6" s="302">
        <v>0.3</v>
      </c>
      <c r="E6" s="302">
        <v>0.35</v>
      </c>
      <c r="F6" s="302">
        <v>0.35</v>
      </c>
      <c r="G6" s="302"/>
      <c r="H6" s="302"/>
      <c r="I6" s="299"/>
    </row>
    <row r="7" spans="1:10" s="293" customFormat="1" ht="88.5" customHeight="1">
      <c r="A7" s="304">
        <v>1</v>
      </c>
      <c r="B7" s="305" t="s">
        <v>540</v>
      </c>
      <c r="C7" s="305" t="s">
        <v>149</v>
      </c>
      <c r="D7" s="306">
        <v>96.1</v>
      </c>
      <c r="E7" s="306">
        <v>108.5</v>
      </c>
      <c r="F7" s="306">
        <v>86.4</v>
      </c>
      <c r="G7" s="307">
        <v>96</v>
      </c>
      <c r="H7" s="306" t="s">
        <v>541</v>
      </c>
      <c r="I7" s="308">
        <f>D7*0.3+(E7-3)*0.35+F7*0.35</f>
        <v>95.99499999999999</v>
      </c>
    </row>
    <row r="8" spans="1:10" s="293" customFormat="1" ht="78" customHeight="1">
      <c r="A8" s="303" t="s">
        <v>542</v>
      </c>
      <c r="B8" s="309" t="s">
        <v>543</v>
      </c>
      <c r="C8" s="305" t="s">
        <v>149</v>
      </c>
      <c r="D8" s="302">
        <v>98.7</v>
      </c>
      <c r="E8" s="302">
        <v>111.1</v>
      </c>
      <c r="F8" s="302">
        <v>78.599999999999994</v>
      </c>
      <c r="G8" s="307">
        <v>95</v>
      </c>
      <c r="H8" s="306" t="s">
        <v>541</v>
      </c>
      <c r="I8" s="308">
        <f>D8*0.3+(E8-3)*0.35+F8*0.35</f>
        <v>94.954999999999984</v>
      </c>
    </row>
    <row r="9" spans="1:10" s="293" customFormat="1" ht="76.5" customHeight="1">
      <c r="A9" s="303" t="s">
        <v>544</v>
      </c>
      <c r="B9" s="309" t="s">
        <v>545</v>
      </c>
      <c r="C9" s="305" t="s">
        <v>149</v>
      </c>
      <c r="D9" s="302">
        <v>94.3</v>
      </c>
      <c r="E9" s="302">
        <v>106.1</v>
      </c>
      <c r="F9" s="302">
        <v>87.5</v>
      </c>
      <c r="G9" s="307">
        <v>95</v>
      </c>
      <c r="H9" s="306" t="s">
        <v>541</v>
      </c>
      <c r="I9" s="308">
        <f>D9*0.3+(E9-3)*0.35+F9*0.35</f>
        <v>95</v>
      </c>
    </row>
    <row r="10" spans="1:10" s="293" customFormat="1" ht="75.75" customHeight="1">
      <c r="A10" s="303" t="s">
        <v>529</v>
      </c>
      <c r="B10" s="309" t="s">
        <v>546</v>
      </c>
      <c r="C10" s="305" t="s">
        <v>149</v>
      </c>
      <c r="D10" s="302">
        <v>95.4</v>
      </c>
      <c r="E10" s="302">
        <v>118</v>
      </c>
      <c r="F10" s="302">
        <v>88.5</v>
      </c>
      <c r="G10" s="302">
        <v>99.8</v>
      </c>
      <c r="H10" s="306" t="s">
        <v>541</v>
      </c>
      <c r="I10" s="308">
        <f>D10*0.3+(E10-3)*0.35+F10*0.35</f>
        <v>99.844999999999999</v>
      </c>
    </row>
    <row r="11" spans="1:10" s="293" customFormat="1" ht="79.5" customHeight="1">
      <c r="A11" s="303" t="s">
        <v>530</v>
      </c>
      <c r="B11" s="309" t="s">
        <v>547</v>
      </c>
      <c r="C11" s="305" t="s">
        <v>149</v>
      </c>
      <c r="D11" s="310"/>
      <c r="E11" s="310"/>
      <c r="F11" s="302">
        <v>100</v>
      </c>
      <c r="G11" s="311"/>
      <c r="H11" s="311"/>
      <c r="I11" s="299"/>
    </row>
    <row r="12" spans="1:10" s="293" customFormat="1" ht="23.25" customHeight="1">
      <c r="A12" s="312" t="s">
        <v>548</v>
      </c>
      <c r="B12" s="311" t="s">
        <v>548</v>
      </c>
      <c r="C12" s="311"/>
      <c r="D12" s="311"/>
      <c r="E12" s="311"/>
      <c r="F12" s="311"/>
      <c r="G12" s="311"/>
      <c r="H12" s="311"/>
      <c r="I12" s="299"/>
    </row>
    <row r="13" spans="1:10" s="293" customFormat="1" ht="15.75">
      <c r="A13" s="313"/>
      <c r="B13" s="299"/>
      <c r="C13" s="299"/>
      <c r="D13" s="299"/>
      <c r="E13" s="299"/>
      <c r="F13" s="300"/>
      <c r="G13" s="299"/>
      <c r="H13" s="299"/>
      <c r="I13" s="299"/>
    </row>
    <row r="14" spans="1:10" s="293" customFormat="1" ht="63" customHeight="1">
      <c r="A14" s="3029" t="s">
        <v>549</v>
      </c>
      <c r="B14" s="3029"/>
      <c r="C14" s="3029"/>
      <c r="D14" s="3029"/>
      <c r="E14" s="3029"/>
      <c r="F14" s="3029"/>
      <c r="G14" s="3029"/>
      <c r="H14" s="3029"/>
      <c r="I14" s="299"/>
    </row>
    <row r="15" spans="1:10" s="293" customFormat="1" ht="15.75">
      <c r="A15" s="314"/>
      <c r="F15" s="315"/>
    </row>
  </sheetData>
  <mergeCells count="2">
    <mergeCell ref="A3:H3"/>
    <mergeCell ref="A14:H14"/>
  </mergeCells>
  <pageMargins left="0.70866141732283472" right="0.70866141732283472" top="0.74803149606299213" bottom="0.74803149606299213" header="0.31496062992125984" footer="0.31496062992125984"/>
  <pageSetup paperSize="9" scale="95" fitToHeight="0" orientation="landscape" r:id="rId1"/>
  <headerFooter>
    <oddHeader>&amp;C&amp;"Times New Roman,обычный" 6</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election activeCell="G8" sqref="G8"/>
    </sheetView>
  </sheetViews>
  <sheetFormatPr defaultColWidth="8.85546875" defaultRowHeight="15"/>
  <cols>
    <col min="2" max="2" width="21.42578125" customWidth="1"/>
    <col min="3" max="3" width="34.42578125" customWidth="1"/>
    <col min="4" max="4" width="15.42578125" customWidth="1"/>
    <col min="5" max="5" width="12.42578125" customWidth="1"/>
    <col min="6" max="6" width="19.42578125" customWidth="1"/>
    <col min="7" max="7" width="28.7109375" customWidth="1"/>
    <col min="258" max="258" width="21.42578125" customWidth="1"/>
    <col min="259" max="259" width="34.42578125" customWidth="1"/>
    <col min="260" max="260" width="15.42578125" customWidth="1"/>
    <col min="261" max="261" width="12.42578125" customWidth="1"/>
    <col min="262" max="262" width="19.42578125" customWidth="1"/>
    <col min="263" max="263" width="28.7109375" customWidth="1"/>
    <col min="514" max="514" width="21.42578125" customWidth="1"/>
    <col min="515" max="515" width="34.42578125" customWidth="1"/>
    <col min="516" max="516" width="15.42578125" customWidth="1"/>
    <col min="517" max="517" width="12.42578125" customWidth="1"/>
    <col min="518" max="518" width="19.42578125" customWidth="1"/>
    <col min="519" max="519" width="28.7109375" customWidth="1"/>
    <col min="770" max="770" width="21.42578125" customWidth="1"/>
    <col min="771" max="771" width="34.42578125" customWidth="1"/>
    <col min="772" max="772" width="15.42578125" customWidth="1"/>
    <col min="773" max="773" width="12.42578125" customWidth="1"/>
    <col min="774" max="774" width="19.42578125" customWidth="1"/>
    <col min="775" max="775" width="28.7109375" customWidth="1"/>
    <col min="1026" max="1026" width="21.42578125" customWidth="1"/>
    <col min="1027" max="1027" width="34.42578125" customWidth="1"/>
    <col min="1028" max="1028" width="15.42578125" customWidth="1"/>
    <col min="1029" max="1029" width="12.42578125" customWidth="1"/>
    <col min="1030" max="1030" width="19.42578125" customWidth="1"/>
    <col min="1031" max="1031" width="28.7109375" customWidth="1"/>
    <col min="1282" max="1282" width="21.42578125" customWidth="1"/>
    <col min="1283" max="1283" width="34.42578125" customWidth="1"/>
    <col min="1284" max="1284" width="15.42578125" customWidth="1"/>
    <col min="1285" max="1285" width="12.42578125" customWidth="1"/>
    <col min="1286" max="1286" width="19.42578125" customWidth="1"/>
    <col min="1287" max="1287" width="28.7109375" customWidth="1"/>
    <col min="1538" max="1538" width="21.42578125" customWidth="1"/>
    <col min="1539" max="1539" width="34.42578125" customWidth="1"/>
    <col min="1540" max="1540" width="15.42578125" customWidth="1"/>
    <col min="1541" max="1541" width="12.42578125" customWidth="1"/>
    <col min="1542" max="1542" width="19.42578125" customWidth="1"/>
    <col min="1543" max="1543" width="28.7109375" customWidth="1"/>
    <col min="1794" max="1794" width="21.42578125" customWidth="1"/>
    <col min="1795" max="1795" width="34.42578125" customWidth="1"/>
    <col min="1796" max="1796" width="15.42578125" customWidth="1"/>
    <col min="1797" max="1797" width="12.42578125" customWidth="1"/>
    <col min="1798" max="1798" width="19.42578125" customWidth="1"/>
    <col min="1799" max="1799" width="28.7109375" customWidth="1"/>
    <col min="2050" max="2050" width="21.42578125" customWidth="1"/>
    <col min="2051" max="2051" width="34.42578125" customWidth="1"/>
    <col min="2052" max="2052" width="15.42578125" customWidth="1"/>
    <col min="2053" max="2053" width="12.42578125" customWidth="1"/>
    <col min="2054" max="2054" width="19.42578125" customWidth="1"/>
    <col min="2055" max="2055" width="28.7109375" customWidth="1"/>
    <col min="2306" max="2306" width="21.42578125" customWidth="1"/>
    <col min="2307" max="2307" width="34.42578125" customWidth="1"/>
    <col min="2308" max="2308" width="15.42578125" customWidth="1"/>
    <col min="2309" max="2309" width="12.42578125" customWidth="1"/>
    <col min="2310" max="2310" width="19.42578125" customWidth="1"/>
    <col min="2311" max="2311" width="28.7109375" customWidth="1"/>
    <col min="2562" max="2562" width="21.42578125" customWidth="1"/>
    <col min="2563" max="2563" width="34.42578125" customWidth="1"/>
    <col min="2564" max="2564" width="15.42578125" customWidth="1"/>
    <col min="2565" max="2565" width="12.42578125" customWidth="1"/>
    <col min="2566" max="2566" width="19.42578125" customWidth="1"/>
    <col min="2567" max="2567" width="28.7109375" customWidth="1"/>
    <col min="2818" max="2818" width="21.42578125" customWidth="1"/>
    <col min="2819" max="2819" width="34.42578125" customWidth="1"/>
    <col min="2820" max="2820" width="15.42578125" customWidth="1"/>
    <col min="2821" max="2821" width="12.42578125" customWidth="1"/>
    <col min="2822" max="2822" width="19.42578125" customWidth="1"/>
    <col min="2823" max="2823" width="28.7109375" customWidth="1"/>
    <col min="3074" max="3074" width="21.42578125" customWidth="1"/>
    <col min="3075" max="3075" width="34.42578125" customWidth="1"/>
    <col min="3076" max="3076" width="15.42578125" customWidth="1"/>
    <col min="3077" max="3077" width="12.42578125" customWidth="1"/>
    <col min="3078" max="3078" width="19.42578125" customWidth="1"/>
    <col min="3079" max="3079" width="28.7109375" customWidth="1"/>
    <col min="3330" max="3330" width="21.42578125" customWidth="1"/>
    <col min="3331" max="3331" width="34.42578125" customWidth="1"/>
    <col min="3332" max="3332" width="15.42578125" customWidth="1"/>
    <col min="3333" max="3333" width="12.42578125" customWidth="1"/>
    <col min="3334" max="3334" width="19.42578125" customWidth="1"/>
    <col min="3335" max="3335" width="28.7109375" customWidth="1"/>
    <col min="3586" max="3586" width="21.42578125" customWidth="1"/>
    <col min="3587" max="3587" width="34.42578125" customWidth="1"/>
    <col min="3588" max="3588" width="15.42578125" customWidth="1"/>
    <col min="3589" max="3589" width="12.42578125" customWidth="1"/>
    <col min="3590" max="3590" width="19.42578125" customWidth="1"/>
    <col min="3591" max="3591" width="28.7109375" customWidth="1"/>
    <col min="3842" max="3842" width="21.42578125" customWidth="1"/>
    <col min="3843" max="3843" width="34.42578125" customWidth="1"/>
    <col min="3844" max="3844" width="15.42578125" customWidth="1"/>
    <col min="3845" max="3845" width="12.42578125" customWidth="1"/>
    <col min="3846" max="3846" width="19.42578125" customWidth="1"/>
    <col min="3847" max="3847" width="28.7109375" customWidth="1"/>
    <col min="4098" max="4098" width="21.42578125" customWidth="1"/>
    <col min="4099" max="4099" width="34.42578125" customWidth="1"/>
    <col min="4100" max="4100" width="15.42578125" customWidth="1"/>
    <col min="4101" max="4101" width="12.42578125" customWidth="1"/>
    <col min="4102" max="4102" width="19.42578125" customWidth="1"/>
    <col min="4103" max="4103" width="28.7109375" customWidth="1"/>
    <col min="4354" max="4354" width="21.42578125" customWidth="1"/>
    <col min="4355" max="4355" width="34.42578125" customWidth="1"/>
    <col min="4356" max="4356" width="15.42578125" customWidth="1"/>
    <col min="4357" max="4357" width="12.42578125" customWidth="1"/>
    <col min="4358" max="4358" width="19.42578125" customWidth="1"/>
    <col min="4359" max="4359" width="28.7109375" customWidth="1"/>
    <col min="4610" max="4610" width="21.42578125" customWidth="1"/>
    <col min="4611" max="4611" width="34.42578125" customWidth="1"/>
    <col min="4612" max="4612" width="15.42578125" customWidth="1"/>
    <col min="4613" max="4613" width="12.42578125" customWidth="1"/>
    <col min="4614" max="4614" width="19.42578125" customWidth="1"/>
    <col min="4615" max="4615" width="28.7109375" customWidth="1"/>
    <col min="4866" max="4866" width="21.42578125" customWidth="1"/>
    <col min="4867" max="4867" width="34.42578125" customWidth="1"/>
    <col min="4868" max="4868" width="15.42578125" customWidth="1"/>
    <col min="4869" max="4869" width="12.42578125" customWidth="1"/>
    <col min="4870" max="4870" width="19.42578125" customWidth="1"/>
    <col min="4871" max="4871" width="28.7109375" customWidth="1"/>
    <col min="5122" max="5122" width="21.42578125" customWidth="1"/>
    <col min="5123" max="5123" width="34.42578125" customWidth="1"/>
    <col min="5124" max="5124" width="15.42578125" customWidth="1"/>
    <col min="5125" max="5125" width="12.42578125" customWidth="1"/>
    <col min="5126" max="5126" width="19.42578125" customWidth="1"/>
    <col min="5127" max="5127" width="28.7109375" customWidth="1"/>
    <col min="5378" max="5378" width="21.42578125" customWidth="1"/>
    <col min="5379" max="5379" width="34.42578125" customWidth="1"/>
    <col min="5380" max="5380" width="15.42578125" customWidth="1"/>
    <col min="5381" max="5381" width="12.42578125" customWidth="1"/>
    <col min="5382" max="5382" width="19.42578125" customWidth="1"/>
    <col min="5383" max="5383" width="28.7109375" customWidth="1"/>
    <col min="5634" max="5634" width="21.42578125" customWidth="1"/>
    <col min="5635" max="5635" width="34.42578125" customWidth="1"/>
    <col min="5636" max="5636" width="15.42578125" customWidth="1"/>
    <col min="5637" max="5637" width="12.42578125" customWidth="1"/>
    <col min="5638" max="5638" width="19.42578125" customWidth="1"/>
    <col min="5639" max="5639" width="28.7109375" customWidth="1"/>
    <col min="5890" max="5890" width="21.42578125" customWidth="1"/>
    <col min="5891" max="5891" width="34.42578125" customWidth="1"/>
    <col min="5892" max="5892" width="15.42578125" customWidth="1"/>
    <col min="5893" max="5893" width="12.42578125" customWidth="1"/>
    <col min="5894" max="5894" width="19.42578125" customWidth="1"/>
    <col min="5895" max="5895" width="28.7109375" customWidth="1"/>
    <col min="6146" max="6146" width="21.42578125" customWidth="1"/>
    <col min="6147" max="6147" width="34.42578125" customWidth="1"/>
    <col min="6148" max="6148" width="15.42578125" customWidth="1"/>
    <col min="6149" max="6149" width="12.42578125" customWidth="1"/>
    <col min="6150" max="6150" width="19.42578125" customWidth="1"/>
    <col min="6151" max="6151" width="28.7109375" customWidth="1"/>
    <col min="6402" max="6402" width="21.42578125" customWidth="1"/>
    <col min="6403" max="6403" width="34.42578125" customWidth="1"/>
    <col min="6404" max="6404" width="15.42578125" customWidth="1"/>
    <col min="6405" max="6405" width="12.42578125" customWidth="1"/>
    <col min="6406" max="6406" width="19.42578125" customWidth="1"/>
    <col min="6407" max="6407" width="28.7109375" customWidth="1"/>
    <col min="6658" max="6658" width="21.42578125" customWidth="1"/>
    <col min="6659" max="6659" width="34.42578125" customWidth="1"/>
    <col min="6660" max="6660" width="15.42578125" customWidth="1"/>
    <col min="6661" max="6661" width="12.42578125" customWidth="1"/>
    <col min="6662" max="6662" width="19.42578125" customWidth="1"/>
    <col min="6663" max="6663" width="28.7109375" customWidth="1"/>
    <col min="6914" max="6914" width="21.42578125" customWidth="1"/>
    <col min="6915" max="6915" width="34.42578125" customWidth="1"/>
    <col min="6916" max="6916" width="15.42578125" customWidth="1"/>
    <col min="6917" max="6917" width="12.42578125" customWidth="1"/>
    <col min="6918" max="6918" width="19.42578125" customWidth="1"/>
    <col min="6919" max="6919" width="28.7109375" customWidth="1"/>
    <col min="7170" max="7170" width="21.42578125" customWidth="1"/>
    <col min="7171" max="7171" width="34.42578125" customWidth="1"/>
    <col min="7172" max="7172" width="15.42578125" customWidth="1"/>
    <col min="7173" max="7173" width="12.42578125" customWidth="1"/>
    <col min="7174" max="7174" width="19.42578125" customWidth="1"/>
    <col min="7175" max="7175" width="28.7109375" customWidth="1"/>
    <col min="7426" max="7426" width="21.42578125" customWidth="1"/>
    <col min="7427" max="7427" width="34.42578125" customWidth="1"/>
    <col min="7428" max="7428" width="15.42578125" customWidth="1"/>
    <col min="7429" max="7429" width="12.42578125" customWidth="1"/>
    <col min="7430" max="7430" width="19.42578125" customWidth="1"/>
    <col min="7431" max="7431" width="28.7109375" customWidth="1"/>
    <col min="7682" max="7682" width="21.42578125" customWidth="1"/>
    <col min="7683" max="7683" width="34.42578125" customWidth="1"/>
    <col min="7684" max="7684" width="15.42578125" customWidth="1"/>
    <col min="7685" max="7685" width="12.42578125" customWidth="1"/>
    <col min="7686" max="7686" width="19.42578125" customWidth="1"/>
    <col min="7687" max="7687" width="28.7109375" customWidth="1"/>
    <col min="7938" max="7938" width="21.42578125" customWidth="1"/>
    <col min="7939" max="7939" width="34.42578125" customWidth="1"/>
    <col min="7940" max="7940" width="15.42578125" customWidth="1"/>
    <col min="7941" max="7941" width="12.42578125" customWidth="1"/>
    <col min="7942" max="7942" width="19.42578125" customWidth="1"/>
    <col min="7943" max="7943" width="28.7109375" customWidth="1"/>
    <col min="8194" max="8194" width="21.42578125" customWidth="1"/>
    <col min="8195" max="8195" width="34.42578125" customWidth="1"/>
    <col min="8196" max="8196" width="15.42578125" customWidth="1"/>
    <col min="8197" max="8197" width="12.42578125" customWidth="1"/>
    <col min="8198" max="8198" width="19.42578125" customWidth="1"/>
    <col min="8199" max="8199" width="28.7109375" customWidth="1"/>
    <col min="8450" max="8450" width="21.42578125" customWidth="1"/>
    <col min="8451" max="8451" width="34.42578125" customWidth="1"/>
    <col min="8452" max="8452" width="15.42578125" customWidth="1"/>
    <col min="8453" max="8453" width="12.42578125" customWidth="1"/>
    <col min="8454" max="8454" width="19.42578125" customWidth="1"/>
    <col min="8455" max="8455" width="28.7109375" customWidth="1"/>
    <col min="8706" max="8706" width="21.42578125" customWidth="1"/>
    <col min="8707" max="8707" width="34.42578125" customWidth="1"/>
    <col min="8708" max="8708" width="15.42578125" customWidth="1"/>
    <col min="8709" max="8709" width="12.42578125" customWidth="1"/>
    <col min="8710" max="8710" width="19.42578125" customWidth="1"/>
    <col min="8711" max="8711" width="28.7109375" customWidth="1"/>
    <col min="8962" max="8962" width="21.42578125" customWidth="1"/>
    <col min="8963" max="8963" width="34.42578125" customWidth="1"/>
    <col min="8964" max="8964" width="15.42578125" customWidth="1"/>
    <col min="8965" max="8965" width="12.42578125" customWidth="1"/>
    <col min="8966" max="8966" width="19.42578125" customWidth="1"/>
    <col min="8967" max="8967" width="28.7109375" customWidth="1"/>
    <col min="9218" max="9218" width="21.42578125" customWidth="1"/>
    <col min="9219" max="9219" width="34.42578125" customWidth="1"/>
    <col min="9220" max="9220" width="15.42578125" customWidth="1"/>
    <col min="9221" max="9221" width="12.42578125" customWidth="1"/>
    <col min="9222" max="9222" width="19.42578125" customWidth="1"/>
    <col min="9223" max="9223" width="28.7109375" customWidth="1"/>
    <col min="9474" max="9474" width="21.42578125" customWidth="1"/>
    <col min="9475" max="9475" width="34.42578125" customWidth="1"/>
    <col min="9476" max="9476" width="15.42578125" customWidth="1"/>
    <col min="9477" max="9477" width="12.42578125" customWidth="1"/>
    <col min="9478" max="9478" width="19.42578125" customWidth="1"/>
    <col min="9479" max="9479" width="28.7109375" customWidth="1"/>
    <col min="9730" max="9730" width="21.42578125" customWidth="1"/>
    <col min="9731" max="9731" width="34.42578125" customWidth="1"/>
    <col min="9732" max="9732" width="15.42578125" customWidth="1"/>
    <col min="9733" max="9733" width="12.42578125" customWidth="1"/>
    <col min="9734" max="9734" width="19.42578125" customWidth="1"/>
    <col min="9735" max="9735" width="28.7109375" customWidth="1"/>
    <col min="9986" max="9986" width="21.42578125" customWidth="1"/>
    <col min="9987" max="9987" width="34.42578125" customWidth="1"/>
    <col min="9988" max="9988" width="15.42578125" customWidth="1"/>
    <col min="9989" max="9989" width="12.42578125" customWidth="1"/>
    <col min="9990" max="9990" width="19.42578125" customWidth="1"/>
    <col min="9991" max="9991" width="28.7109375" customWidth="1"/>
    <col min="10242" max="10242" width="21.42578125" customWidth="1"/>
    <col min="10243" max="10243" width="34.42578125" customWidth="1"/>
    <col min="10244" max="10244" width="15.42578125" customWidth="1"/>
    <col min="10245" max="10245" width="12.42578125" customWidth="1"/>
    <col min="10246" max="10246" width="19.42578125" customWidth="1"/>
    <col min="10247" max="10247" width="28.7109375" customWidth="1"/>
    <col min="10498" max="10498" width="21.42578125" customWidth="1"/>
    <col min="10499" max="10499" width="34.42578125" customWidth="1"/>
    <col min="10500" max="10500" width="15.42578125" customWidth="1"/>
    <col min="10501" max="10501" width="12.42578125" customWidth="1"/>
    <col min="10502" max="10502" width="19.42578125" customWidth="1"/>
    <col min="10503" max="10503" width="28.7109375" customWidth="1"/>
    <col min="10754" max="10754" width="21.42578125" customWidth="1"/>
    <col min="10755" max="10755" width="34.42578125" customWidth="1"/>
    <col min="10756" max="10756" width="15.42578125" customWidth="1"/>
    <col min="10757" max="10757" width="12.42578125" customWidth="1"/>
    <col min="10758" max="10758" width="19.42578125" customWidth="1"/>
    <col min="10759" max="10759" width="28.7109375" customWidth="1"/>
    <col min="11010" max="11010" width="21.42578125" customWidth="1"/>
    <col min="11011" max="11011" width="34.42578125" customWidth="1"/>
    <col min="11012" max="11012" width="15.42578125" customWidth="1"/>
    <col min="11013" max="11013" width="12.42578125" customWidth="1"/>
    <col min="11014" max="11014" width="19.42578125" customWidth="1"/>
    <col min="11015" max="11015" width="28.7109375" customWidth="1"/>
    <col min="11266" max="11266" width="21.42578125" customWidth="1"/>
    <col min="11267" max="11267" width="34.42578125" customWidth="1"/>
    <col min="11268" max="11268" width="15.42578125" customWidth="1"/>
    <col min="11269" max="11269" width="12.42578125" customWidth="1"/>
    <col min="11270" max="11270" width="19.42578125" customWidth="1"/>
    <col min="11271" max="11271" width="28.7109375" customWidth="1"/>
    <col min="11522" max="11522" width="21.42578125" customWidth="1"/>
    <col min="11523" max="11523" width="34.42578125" customWidth="1"/>
    <col min="11524" max="11524" width="15.42578125" customWidth="1"/>
    <col min="11525" max="11525" width="12.42578125" customWidth="1"/>
    <col min="11526" max="11526" width="19.42578125" customWidth="1"/>
    <col min="11527" max="11527" width="28.7109375" customWidth="1"/>
    <col min="11778" max="11778" width="21.42578125" customWidth="1"/>
    <col min="11779" max="11779" width="34.42578125" customWidth="1"/>
    <col min="11780" max="11780" width="15.42578125" customWidth="1"/>
    <col min="11781" max="11781" width="12.42578125" customWidth="1"/>
    <col min="11782" max="11782" width="19.42578125" customWidth="1"/>
    <col min="11783" max="11783" width="28.7109375" customWidth="1"/>
    <col min="12034" max="12034" width="21.42578125" customWidth="1"/>
    <col min="12035" max="12035" width="34.42578125" customWidth="1"/>
    <col min="12036" max="12036" width="15.42578125" customWidth="1"/>
    <col min="12037" max="12037" width="12.42578125" customWidth="1"/>
    <col min="12038" max="12038" width="19.42578125" customWidth="1"/>
    <col min="12039" max="12039" width="28.7109375" customWidth="1"/>
    <col min="12290" max="12290" width="21.42578125" customWidth="1"/>
    <col min="12291" max="12291" width="34.42578125" customWidth="1"/>
    <col min="12292" max="12292" width="15.42578125" customWidth="1"/>
    <col min="12293" max="12293" width="12.42578125" customWidth="1"/>
    <col min="12294" max="12294" width="19.42578125" customWidth="1"/>
    <col min="12295" max="12295" width="28.7109375" customWidth="1"/>
    <col min="12546" max="12546" width="21.42578125" customWidth="1"/>
    <col min="12547" max="12547" width="34.42578125" customWidth="1"/>
    <col min="12548" max="12548" width="15.42578125" customWidth="1"/>
    <col min="12549" max="12549" width="12.42578125" customWidth="1"/>
    <col min="12550" max="12550" width="19.42578125" customWidth="1"/>
    <col min="12551" max="12551" width="28.7109375" customWidth="1"/>
    <col min="12802" max="12802" width="21.42578125" customWidth="1"/>
    <col min="12803" max="12803" width="34.42578125" customWidth="1"/>
    <col min="12804" max="12804" width="15.42578125" customWidth="1"/>
    <col min="12805" max="12805" width="12.42578125" customWidth="1"/>
    <col min="12806" max="12806" width="19.42578125" customWidth="1"/>
    <col min="12807" max="12807" width="28.7109375" customWidth="1"/>
    <col min="13058" max="13058" width="21.42578125" customWidth="1"/>
    <col min="13059" max="13059" width="34.42578125" customWidth="1"/>
    <col min="13060" max="13060" width="15.42578125" customWidth="1"/>
    <col min="13061" max="13061" width="12.42578125" customWidth="1"/>
    <col min="13062" max="13062" width="19.42578125" customWidth="1"/>
    <col min="13063" max="13063" width="28.7109375" customWidth="1"/>
    <col min="13314" max="13314" width="21.42578125" customWidth="1"/>
    <col min="13315" max="13315" width="34.42578125" customWidth="1"/>
    <col min="13316" max="13316" width="15.42578125" customWidth="1"/>
    <col min="13317" max="13317" width="12.42578125" customWidth="1"/>
    <col min="13318" max="13318" width="19.42578125" customWidth="1"/>
    <col min="13319" max="13319" width="28.7109375" customWidth="1"/>
    <col min="13570" max="13570" width="21.42578125" customWidth="1"/>
    <col min="13571" max="13571" width="34.42578125" customWidth="1"/>
    <col min="13572" max="13572" width="15.42578125" customWidth="1"/>
    <col min="13573" max="13573" width="12.42578125" customWidth="1"/>
    <col min="13574" max="13574" width="19.42578125" customWidth="1"/>
    <col min="13575" max="13575" width="28.7109375" customWidth="1"/>
    <col min="13826" max="13826" width="21.42578125" customWidth="1"/>
    <col min="13827" max="13827" width="34.42578125" customWidth="1"/>
    <col min="13828" max="13828" width="15.42578125" customWidth="1"/>
    <col min="13829" max="13829" width="12.42578125" customWidth="1"/>
    <col min="13830" max="13830" width="19.42578125" customWidth="1"/>
    <col min="13831" max="13831" width="28.7109375" customWidth="1"/>
    <col min="14082" max="14082" width="21.42578125" customWidth="1"/>
    <col min="14083" max="14083" width="34.42578125" customWidth="1"/>
    <col min="14084" max="14084" width="15.42578125" customWidth="1"/>
    <col min="14085" max="14085" width="12.42578125" customWidth="1"/>
    <col min="14086" max="14086" width="19.42578125" customWidth="1"/>
    <col min="14087" max="14087" width="28.7109375" customWidth="1"/>
    <col min="14338" max="14338" width="21.42578125" customWidth="1"/>
    <col min="14339" max="14339" width="34.42578125" customWidth="1"/>
    <col min="14340" max="14340" width="15.42578125" customWidth="1"/>
    <col min="14341" max="14341" width="12.42578125" customWidth="1"/>
    <col min="14342" max="14342" width="19.42578125" customWidth="1"/>
    <col min="14343" max="14343" width="28.7109375" customWidth="1"/>
    <col min="14594" max="14594" width="21.42578125" customWidth="1"/>
    <col min="14595" max="14595" width="34.42578125" customWidth="1"/>
    <col min="14596" max="14596" width="15.42578125" customWidth="1"/>
    <col min="14597" max="14597" width="12.42578125" customWidth="1"/>
    <col min="14598" max="14598" width="19.42578125" customWidth="1"/>
    <col min="14599" max="14599" width="28.7109375" customWidth="1"/>
    <col min="14850" max="14850" width="21.42578125" customWidth="1"/>
    <col min="14851" max="14851" width="34.42578125" customWidth="1"/>
    <col min="14852" max="14852" width="15.42578125" customWidth="1"/>
    <col min="14853" max="14853" width="12.42578125" customWidth="1"/>
    <col min="14854" max="14854" width="19.42578125" customWidth="1"/>
    <col min="14855" max="14855" width="28.7109375" customWidth="1"/>
    <col min="15106" max="15106" width="21.42578125" customWidth="1"/>
    <col min="15107" max="15107" width="34.42578125" customWidth="1"/>
    <col min="15108" max="15108" width="15.42578125" customWidth="1"/>
    <col min="15109" max="15109" width="12.42578125" customWidth="1"/>
    <col min="15110" max="15110" width="19.42578125" customWidth="1"/>
    <col min="15111" max="15111" width="28.7109375" customWidth="1"/>
    <col min="15362" max="15362" width="21.42578125" customWidth="1"/>
    <col min="15363" max="15363" width="34.42578125" customWidth="1"/>
    <col min="15364" max="15364" width="15.42578125" customWidth="1"/>
    <col min="15365" max="15365" width="12.42578125" customWidth="1"/>
    <col min="15366" max="15366" width="19.42578125" customWidth="1"/>
    <col min="15367" max="15367" width="28.7109375" customWidth="1"/>
    <col min="15618" max="15618" width="21.42578125" customWidth="1"/>
    <col min="15619" max="15619" width="34.42578125" customWidth="1"/>
    <col min="15620" max="15620" width="15.42578125" customWidth="1"/>
    <col min="15621" max="15621" width="12.42578125" customWidth="1"/>
    <col min="15622" max="15622" width="19.42578125" customWidth="1"/>
    <col min="15623" max="15623" width="28.7109375" customWidth="1"/>
    <col min="15874" max="15874" width="21.42578125" customWidth="1"/>
    <col min="15875" max="15875" width="34.42578125" customWidth="1"/>
    <col min="15876" max="15876" width="15.42578125" customWidth="1"/>
    <col min="15877" max="15877" width="12.42578125" customWidth="1"/>
    <col min="15878" max="15878" width="19.42578125" customWidth="1"/>
    <col min="15879" max="15879" width="28.7109375" customWidth="1"/>
    <col min="16130" max="16130" width="21.42578125" customWidth="1"/>
    <col min="16131" max="16131" width="34.42578125" customWidth="1"/>
    <col min="16132" max="16132" width="15.42578125" customWidth="1"/>
    <col min="16133" max="16133" width="12.42578125" customWidth="1"/>
    <col min="16134" max="16134" width="19.42578125" customWidth="1"/>
    <col min="16135" max="16135" width="28.7109375" customWidth="1"/>
  </cols>
  <sheetData>
    <row r="1" spans="1:7" ht="15.75">
      <c r="E1" s="316"/>
      <c r="F1" s="316"/>
      <c r="G1" s="317" t="s">
        <v>550</v>
      </c>
    </row>
    <row r="3" spans="1:7">
      <c r="A3" s="3030" t="s">
        <v>551</v>
      </c>
      <c r="B3" s="3030"/>
      <c r="C3" s="3030"/>
      <c r="D3" s="3030"/>
      <c r="E3" s="3030"/>
      <c r="F3" s="3031"/>
      <c r="G3" s="3031"/>
    </row>
    <row r="5" spans="1:7" ht="87.75" customHeight="1">
      <c r="A5" s="318" t="s">
        <v>552</v>
      </c>
      <c r="B5" s="318" t="s">
        <v>553</v>
      </c>
      <c r="C5" s="318" t="s">
        <v>554</v>
      </c>
      <c r="D5" s="318" t="s">
        <v>555</v>
      </c>
      <c r="E5" s="318" t="s">
        <v>556</v>
      </c>
      <c r="F5" s="318" t="s">
        <v>557</v>
      </c>
      <c r="G5" s="318" t="s">
        <v>558</v>
      </c>
    </row>
    <row r="6" spans="1:7">
      <c r="A6" s="318"/>
      <c r="B6" s="3032" t="s">
        <v>41</v>
      </c>
      <c r="C6" s="3032"/>
      <c r="D6" s="3032"/>
      <c r="E6" s="3032"/>
      <c r="F6" s="3032"/>
      <c r="G6" s="3032"/>
    </row>
    <row r="7" spans="1:7" ht="89.25">
      <c r="A7" s="318" t="s">
        <v>16</v>
      </c>
      <c r="B7" s="318" t="s">
        <v>559</v>
      </c>
      <c r="C7" s="318" t="s">
        <v>560</v>
      </c>
      <c r="D7" s="3033" t="s">
        <v>149</v>
      </c>
      <c r="E7" s="318">
        <v>2018</v>
      </c>
      <c r="F7" s="318" t="s">
        <v>561</v>
      </c>
      <c r="G7" s="51" t="s">
        <v>562</v>
      </c>
    </row>
    <row r="8" spans="1:7" ht="118.5" customHeight="1">
      <c r="A8" s="318" t="s">
        <v>40</v>
      </c>
      <c r="B8" s="318" t="s">
        <v>563</v>
      </c>
      <c r="C8" s="318" t="s">
        <v>564</v>
      </c>
      <c r="D8" s="3034"/>
      <c r="E8" s="318">
        <v>2018</v>
      </c>
      <c r="F8" s="318" t="s">
        <v>565</v>
      </c>
      <c r="G8" s="318" t="s">
        <v>564</v>
      </c>
    </row>
    <row r="9" spans="1:7">
      <c r="A9" s="3035" t="s">
        <v>566</v>
      </c>
      <c r="B9" s="3035"/>
      <c r="C9" s="3035"/>
      <c r="D9" s="3035"/>
      <c r="E9" s="3035"/>
      <c r="F9" s="3035"/>
      <c r="G9" s="3035"/>
    </row>
  </sheetData>
  <mergeCells count="4">
    <mergeCell ref="A3:G3"/>
    <mergeCell ref="B6:G6"/>
    <mergeCell ref="D7:D8"/>
    <mergeCell ref="A9:G9"/>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R471"/>
  <sheetViews>
    <sheetView topLeftCell="A31" zoomScale="110" zoomScaleNormal="110" zoomScaleSheetLayoutView="128" workbookViewId="0">
      <selection activeCell="C124" sqref="C124:C131"/>
    </sheetView>
  </sheetViews>
  <sheetFormatPr defaultColWidth="8.85546875" defaultRowHeight="15"/>
  <cols>
    <col min="1" max="1" width="4.7109375" style="77" customWidth="1"/>
    <col min="2" max="2" width="23" style="101" customWidth="1"/>
    <col min="3" max="3" width="13.85546875" style="102" customWidth="1"/>
    <col min="4" max="4" width="19.42578125" style="102" customWidth="1"/>
    <col min="5" max="5" width="13.7109375" style="102" customWidth="1"/>
    <col min="6" max="6" width="15.7109375" style="102" customWidth="1"/>
    <col min="7" max="7" width="9.85546875" customWidth="1"/>
    <col min="8" max="9" width="9" style="103" customWidth="1"/>
    <col min="10" max="10" width="8.42578125" style="103" customWidth="1"/>
    <col min="11" max="11" width="8.28515625" style="103" customWidth="1"/>
    <col min="12" max="12" width="7.140625" style="103" customWidth="1"/>
    <col min="257" max="257" width="4.7109375" customWidth="1"/>
    <col min="258" max="258" width="23" customWidth="1"/>
    <col min="259" max="259" width="13.85546875" customWidth="1"/>
    <col min="260" max="260" width="19.42578125" customWidth="1"/>
    <col min="261" max="261" width="13.7109375" customWidth="1"/>
    <col min="262" max="262" width="15.7109375" customWidth="1"/>
    <col min="263" max="263" width="9.85546875" customWidth="1"/>
    <col min="264" max="265" width="9" customWidth="1"/>
    <col min="266" max="266" width="8.42578125" customWidth="1"/>
    <col min="267" max="267" width="8.28515625" customWidth="1"/>
    <col min="268" max="268" width="7.140625" customWidth="1"/>
    <col min="513" max="513" width="4.7109375" customWidth="1"/>
    <col min="514" max="514" width="23" customWidth="1"/>
    <col min="515" max="515" width="13.85546875" customWidth="1"/>
    <col min="516" max="516" width="19.42578125" customWidth="1"/>
    <col min="517" max="517" width="13.7109375" customWidth="1"/>
    <col min="518" max="518" width="15.7109375" customWidth="1"/>
    <col min="519" max="519" width="9.85546875" customWidth="1"/>
    <col min="520" max="521" width="9" customWidth="1"/>
    <col min="522" max="522" width="8.42578125" customWidth="1"/>
    <col min="523" max="523" width="8.28515625" customWidth="1"/>
    <col min="524" max="524" width="7.140625" customWidth="1"/>
    <col min="769" max="769" width="4.7109375" customWidth="1"/>
    <col min="770" max="770" width="23" customWidth="1"/>
    <col min="771" max="771" width="13.85546875" customWidth="1"/>
    <col min="772" max="772" width="19.42578125" customWidth="1"/>
    <col min="773" max="773" width="13.7109375" customWidth="1"/>
    <col min="774" max="774" width="15.7109375" customWidth="1"/>
    <col min="775" max="775" width="9.85546875" customWidth="1"/>
    <col min="776" max="777" width="9" customWidth="1"/>
    <col min="778" max="778" width="8.42578125" customWidth="1"/>
    <col min="779" max="779" width="8.28515625" customWidth="1"/>
    <col min="780" max="780" width="7.140625" customWidth="1"/>
    <col min="1025" max="1025" width="4.7109375" customWidth="1"/>
    <col min="1026" max="1026" width="23" customWidth="1"/>
    <col min="1027" max="1027" width="13.85546875" customWidth="1"/>
    <col min="1028" max="1028" width="19.42578125" customWidth="1"/>
    <col min="1029" max="1029" width="13.7109375" customWidth="1"/>
    <col min="1030" max="1030" width="15.7109375" customWidth="1"/>
    <col min="1031" max="1031" width="9.85546875" customWidth="1"/>
    <col min="1032" max="1033" width="9" customWidth="1"/>
    <col min="1034" max="1034" width="8.42578125" customWidth="1"/>
    <col min="1035" max="1035" width="8.28515625" customWidth="1"/>
    <col min="1036" max="1036" width="7.140625" customWidth="1"/>
    <col min="1281" max="1281" width="4.7109375" customWidth="1"/>
    <col min="1282" max="1282" width="23" customWidth="1"/>
    <col min="1283" max="1283" width="13.85546875" customWidth="1"/>
    <col min="1284" max="1284" width="19.42578125" customWidth="1"/>
    <col min="1285" max="1285" width="13.7109375" customWidth="1"/>
    <col min="1286" max="1286" width="15.7109375" customWidth="1"/>
    <col min="1287" max="1287" width="9.85546875" customWidth="1"/>
    <col min="1288" max="1289" width="9" customWidth="1"/>
    <col min="1290" max="1290" width="8.42578125" customWidth="1"/>
    <col min="1291" max="1291" width="8.28515625" customWidth="1"/>
    <col min="1292" max="1292" width="7.140625" customWidth="1"/>
    <col min="1537" max="1537" width="4.7109375" customWidth="1"/>
    <col min="1538" max="1538" width="23" customWidth="1"/>
    <col min="1539" max="1539" width="13.85546875" customWidth="1"/>
    <col min="1540" max="1540" width="19.42578125" customWidth="1"/>
    <col min="1541" max="1541" width="13.7109375" customWidth="1"/>
    <col min="1542" max="1542" width="15.7109375" customWidth="1"/>
    <col min="1543" max="1543" width="9.85546875" customWidth="1"/>
    <col min="1544" max="1545" width="9" customWidth="1"/>
    <col min="1546" max="1546" width="8.42578125" customWidth="1"/>
    <col min="1547" max="1547" width="8.28515625" customWidth="1"/>
    <col min="1548" max="1548" width="7.140625" customWidth="1"/>
    <col min="1793" max="1793" width="4.7109375" customWidth="1"/>
    <col min="1794" max="1794" width="23" customWidth="1"/>
    <col min="1795" max="1795" width="13.85546875" customWidth="1"/>
    <col min="1796" max="1796" width="19.42578125" customWidth="1"/>
    <col min="1797" max="1797" width="13.7109375" customWidth="1"/>
    <col min="1798" max="1798" width="15.7109375" customWidth="1"/>
    <col min="1799" max="1799" width="9.85546875" customWidth="1"/>
    <col min="1800" max="1801" width="9" customWidth="1"/>
    <col min="1802" max="1802" width="8.42578125" customWidth="1"/>
    <col min="1803" max="1803" width="8.28515625" customWidth="1"/>
    <col min="1804" max="1804" width="7.140625" customWidth="1"/>
    <col min="2049" max="2049" width="4.7109375" customWidth="1"/>
    <col min="2050" max="2050" width="23" customWidth="1"/>
    <col min="2051" max="2051" width="13.85546875" customWidth="1"/>
    <col min="2052" max="2052" width="19.42578125" customWidth="1"/>
    <col min="2053" max="2053" width="13.7109375" customWidth="1"/>
    <col min="2054" max="2054" width="15.7109375" customWidth="1"/>
    <col min="2055" max="2055" width="9.85546875" customWidth="1"/>
    <col min="2056" max="2057" width="9" customWidth="1"/>
    <col min="2058" max="2058" width="8.42578125" customWidth="1"/>
    <col min="2059" max="2059" width="8.28515625" customWidth="1"/>
    <col min="2060" max="2060" width="7.140625" customWidth="1"/>
    <col min="2305" max="2305" width="4.7109375" customWidth="1"/>
    <col min="2306" max="2306" width="23" customWidth="1"/>
    <col min="2307" max="2307" width="13.85546875" customWidth="1"/>
    <col min="2308" max="2308" width="19.42578125" customWidth="1"/>
    <col min="2309" max="2309" width="13.7109375" customWidth="1"/>
    <col min="2310" max="2310" width="15.7109375" customWidth="1"/>
    <col min="2311" max="2311" width="9.85546875" customWidth="1"/>
    <col min="2312" max="2313" width="9" customWidth="1"/>
    <col min="2314" max="2314" width="8.42578125" customWidth="1"/>
    <col min="2315" max="2315" width="8.28515625" customWidth="1"/>
    <col min="2316" max="2316" width="7.140625" customWidth="1"/>
    <col min="2561" max="2561" width="4.7109375" customWidth="1"/>
    <col min="2562" max="2562" width="23" customWidth="1"/>
    <col min="2563" max="2563" width="13.85546875" customWidth="1"/>
    <col min="2564" max="2564" width="19.42578125" customWidth="1"/>
    <col min="2565" max="2565" width="13.7109375" customWidth="1"/>
    <col min="2566" max="2566" width="15.7109375" customWidth="1"/>
    <col min="2567" max="2567" width="9.85546875" customWidth="1"/>
    <col min="2568" max="2569" width="9" customWidth="1"/>
    <col min="2570" max="2570" width="8.42578125" customWidth="1"/>
    <col min="2571" max="2571" width="8.28515625" customWidth="1"/>
    <col min="2572" max="2572" width="7.140625" customWidth="1"/>
    <col min="2817" max="2817" width="4.7109375" customWidth="1"/>
    <col min="2818" max="2818" width="23" customWidth="1"/>
    <col min="2819" max="2819" width="13.85546875" customWidth="1"/>
    <col min="2820" max="2820" width="19.42578125" customWidth="1"/>
    <col min="2821" max="2821" width="13.7109375" customWidth="1"/>
    <col min="2822" max="2822" width="15.7109375" customWidth="1"/>
    <col min="2823" max="2823" width="9.85546875" customWidth="1"/>
    <col min="2824" max="2825" width="9" customWidth="1"/>
    <col min="2826" max="2826" width="8.42578125" customWidth="1"/>
    <col min="2827" max="2827" width="8.28515625" customWidth="1"/>
    <col min="2828" max="2828" width="7.140625" customWidth="1"/>
    <col min="3073" max="3073" width="4.7109375" customWidth="1"/>
    <col min="3074" max="3074" width="23" customWidth="1"/>
    <col min="3075" max="3075" width="13.85546875" customWidth="1"/>
    <col min="3076" max="3076" width="19.42578125" customWidth="1"/>
    <col min="3077" max="3077" width="13.7109375" customWidth="1"/>
    <col min="3078" max="3078" width="15.7109375" customWidth="1"/>
    <col min="3079" max="3079" width="9.85546875" customWidth="1"/>
    <col min="3080" max="3081" width="9" customWidth="1"/>
    <col min="3082" max="3082" width="8.42578125" customWidth="1"/>
    <col min="3083" max="3083" width="8.28515625" customWidth="1"/>
    <col min="3084" max="3084" width="7.140625" customWidth="1"/>
    <col min="3329" max="3329" width="4.7109375" customWidth="1"/>
    <col min="3330" max="3330" width="23" customWidth="1"/>
    <col min="3331" max="3331" width="13.85546875" customWidth="1"/>
    <col min="3332" max="3332" width="19.42578125" customWidth="1"/>
    <col min="3333" max="3333" width="13.7109375" customWidth="1"/>
    <col min="3334" max="3334" width="15.7109375" customWidth="1"/>
    <col min="3335" max="3335" width="9.85546875" customWidth="1"/>
    <col min="3336" max="3337" width="9" customWidth="1"/>
    <col min="3338" max="3338" width="8.42578125" customWidth="1"/>
    <col min="3339" max="3339" width="8.28515625" customWidth="1"/>
    <col min="3340" max="3340" width="7.140625" customWidth="1"/>
    <col min="3585" max="3585" width="4.7109375" customWidth="1"/>
    <col min="3586" max="3586" width="23" customWidth="1"/>
    <col min="3587" max="3587" width="13.85546875" customWidth="1"/>
    <col min="3588" max="3588" width="19.42578125" customWidth="1"/>
    <col min="3589" max="3589" width="13.7109375" customWidth="1"/>
    <col min="3590" max="3590" width="15.7109375" customWidth="1"/>
    <col min="3591" max="3591" width="9.85546875" customWidth="1"/>
    <col min="3592" max="3593" width="9" customWidth="1"/>
    <col min="3594" max="3594" width="8.42578125" customWidth="1"/>
    <col min="3595" max="3595" width="8.28515625" customWidth="1"/>
    <col min="3596" max="3596" width="7.140625" customWidth="1"/>
    <col min="3841" max="3841" width="4.7109375" customWidth="1"/>
    <col min="3842" max="3842" width="23" customWidth="1"/>
    <col min="3843" max="3843" width="13.85546875" customWidth="1"/>
    <col min="3844" max="3844" width="19.42578125" customWidth="1"/>
    <col min="3845" max="3845" width="13.7109375" customWidth="1"/>
    <col min="3846" max="3846" width="15.7109375" customWidth="1"/>
    <col min="3847" max="3847" width="9.85546875" customWidth="1"/>
    <col min="3848" max="3849" width="9" customWidth="1"/>
    <col min="3850" max="3850" width="8.42578125" customWidth="1"/>
    <col min="3851" max="3851" width="8.28515625" customWidth="1"/>
    <col min="3852" max="3852" width="7.140625" customWidth="1"/>
    <col min="4097" max="4097" width="4.7109375" customWidth="1"/>
    <col min="4098" max="4098" width="23" customWidth="1"/>
    <col min="4099" max="4099" width="13.85546875" customWidth="1"/>
    <col min="4100" max="4100" width="19.42578125" customWidth="1"/>
    <col min="4101" max="4101" width="13.7109375" customWidth="1"/>
    <col min="4102" max="4102" width="15.7109375" customWidth="1"/>
    <col min="4103" max="4103" width="9.85546875" customWidth="1"/>
    <col min="4104" max="4105" width="9" customWidth="1"/>
    <col min="4106" max="4106" width="8.42578125" customWidth="1"/>
    <col min="4107" max="4107" width="8.28515625" customWidth="1"/>
    <col min="4108" max="4108" width="7.140625" customWidth="1"/>
    <col min="4353" max="4353" width="4.7109375" customWidth="1"/>
    <col min="4354" max="4354" width="23" customWidth="1"/>
    <col min="4355" max="4355" width="13.85546875" customWidth="1"/>
    <col min="4356" max="4356" width="19.42578125" customWidth="1"/>
    <col min="4357" max="4357" width="13.7109375" customWidth="1"/>
    <col min="4358" max="4358" width="15.7109375" customWidth="1"/>
    <col min="4359" max="4359" width="9.85546875" customWidth="1"/>
    <col min="4360" max="4361" width="9" customWidth="1"/>
    <col min="4362" max="4362" width="8.42578125" customWidth="1"/>
    <col min="4363" max="4363" width="8.28515625" customWidth="1"/>
    <col min="4364" max="4364" width="7.140625" customWidth="1"/>
    <col min="4609" max="4609" width="4.7109375" customWidth="1"/>
    <col min="4610" max="4610" width="23" customWidth="1"/>
    <col min="4611" max="4611" width="13.85546875" customWidth="1"/>
    <col min="4612" max="4612" width="19.42578125" customWidth="1"/>
    <col min="4613" max="4613" width="13.7109375" customWidth="1"/>
    <col min="4614" max="4614" width="15.7109375" customWidth="1"/>
    <col min="4615" max="4615" width="9.85546875" customWidth="1"/>
    <col min="4616" max="4617" width="9" customWidth="1"/>
    <col min="4618" max="4618" width="8.42578125" customWidth="1"/>
    <col min="4619" max="4619" width="8.28515625" customWidth="1"/>
    <col min="4620" max="4620" width="7.140625" customWidth="1"/>
    <col min="4865" max="4865" width="4.7109375" customWidth="1"/>
    <col min="4866" max="4866" width="23" customWidth="1"/>
    <col min="4867" max="4867" width="13.85546875" customWidth="1"/>
    <col min="4868" max="4868" width="19.42578125" customWidth="1"/>
    <col min="4869" max="4869" width="13.7109375" customWidth="1"/>
    <col min="4870" max="4870" width="15.7109375" customWidth="1"/>
    <col min="4871" max="4871" width="9.85546875" customWidth="1"/>
    <col min="4872" max="4873" width="9" customWidth="1"/>
    <col min="4874" max="4874" width="8.42578125" customWidth="1"/>
    <col min="4875" max="4875" width="8.28515625" customWidth="1"/>
    <col min="4876" max="4876" width="7.140625" customWidth="1"/>
    <col min="5121" max="5121" width="4.7109375" customWidth="1"/>
    <col min="5122" max="5122" width="23" customWidth="1"/>
    <col min="5123" max="5123" width="13.85546875" customWidth="1"/>
    <col min="5124" max="5124" width="19.42578125" customWidth="1"/>
    <col min="5125" max="5125" width="13.7109375" customWidth="1"/>
    <col min="5126" max="5126" width="15.7109375" customWidth="1"/>
    <col min="5127" max="5127" width="9.85546875" customWidth="1"/>
    <col min="5128" max="5129" width="9" customWidth="1"/>
    <col min="5130" max="5130" width="8.42578125" customWidth="1"/>
    <col min="5131" max="5131" width="8.28515625" customWidth="1"/>
    <col min="5132" max="5132" width="7.140625" customWidth="1"/>
    <col min="5377" max="5377" width="4.7109375" customWidth="1"/>
    <col min="5378" max="5378" width="23" customWidth="1"/>
    <col min="5379" max="5379" width="13.85546875" customWidth="1"/>
    <col min="5380" max="5380" width="19.42578125" customWidth="1"/>
    <col min="5381" max="5381" width="13.7109375" customWidth="1"/>
    <col min="5382" max="5382" width="15.7109375" customWidth="1"/>
    <col min="5383" max="5383" width="9.85546875" customWidth="1"/>
    <col min="5384" max="5385" width="9" customWidth="1"/>
    <col min="5386" max="5386" width="8.42578125" customWidth="1"/>
    <col min="5387" max="5387" width="8.28515625" customWidth="1"/>
    <col min="5388" max="5388" width="7.140625" customWidth="1"/>
    <col min="5633" max="5633" width="4.7109375" customWidth="1"/>
    <col min="5634" max="5634" width="23" customWidth="1"/>
    <col min="5635" max="5635" width="13.85546875" customWidth="1"/>
    <col min="5636" max="5636" width="19.42578125" customWidth="1"/>
    <col min="5637" max="5637" width="13.7109375" customWidth="1"/>
    <col min="5638" max="5638" width="15.7109375" customWidth="1"/>
    <col min="5639" max="5639" width="9.85546875" customWidth="1"/>
    <col min="5640" max="5641" width="9" customWidth="1"/>
    <col min="5642" max="5642" width="8.42578125" customWidth="1"/>
    <col min="5643" max="5643" width="8.28515625" customWidth="1"/>
    <col min="5644" max="5644" width="7.140625" customWidth="1"/>
    <col min="5889" max="5889" width="4.7109375" customWidth="1"/>
    <col min="5890" max="5890" width="23" customWidth="1"/>
    <col min="5891" max="5891" width="13.85546875" customWidth="1"/>
    <col min="5892" max="5892" width="19.42578125" customWidth="1"/>
    <col min="5893" max="5893" width="13.7109375" customWidth="1"/>
    <col min="5894" max="5894" width="15.7109375" customWidth="1"/>
    <col min="5895" max="5895" width="9.85546875" customWidth="1"/>
    <col min="5896" max="5897" width="9" customWidth="1"/>
    <col min="5898" max="5898" width="8.42578125" customWidth="1"/>
    <col min="5899" max="5899" width="8.28515625" customWidth="1"/>
    <col min="5900" max="5900" width="7.140625" customWidth="1"/>
    <col min="6145" max="6145" width="4.7109375" customWidth="1"/>
    <col min="6146" max="6146" width="23" customWidth="1"/>
    <col min="6147" max="6147" width="13.85546875" customWidth="1"/>
    <col min="6148" max="6148" width="19.42578125" customWidth="1"/>
    <col min="6149" max="6149" width="13.7109375" customWidth="1"/>
    <col min="6150" max="6150" width="15.7109375" customWidth="1"/>
    <col min="6151" max="6151" width="9.85546875" customWidth="1"/>
    <col min="6152" max="6153" width="9" customWidth="1"/>
    <col min="6154" max="6154" width="8.42578125" customWidth="1"/>
    <col min="6155" max="6155" width="8.28515625" customWidth="1"/>
    <col min="6156" max="6156" width="7.140625" customWidth="1"/>
    <col min="6401" max="6401" width="4.7109375" customWidth="1"/>
    <col min="6402" max="6402" width="23" customWidth="1"/>
    <col min="6403" max="6403" width="13.85546875" customWidth="1"/>
    <col min="6404" max="6404" width="19.42578125" customWidth="1"/>
    <col min="6405" max="6405" width="13.7109375" customWidth="1"/>
    <col min="6406" max="6406" width="15.7109375" customWidth="1"/>
    <col min="6407" max="6407" width="9.85546875" customWidth="1"/>
    <col min="6408" max="6409" width="9" customWidth="1"/>
    <col min="6410" max="6410" width="8.42578125" customWidth="1"/>
    <col min="6411" max="6411" width="8.28515625" customWidth="1"/>
    <col min="6412" max="6412" width="7.140625" customWidth="1"/>
    <col min="6657" max="6657" width="4.7109375" customWidth="1"/>
    <col min="6658" max="6658" width="23" customWidth="1"/>
    <col min="6659" max="6659" width="13.85546875" customWidth="1"/>
    <col min="6660" max="6660" width="19.42578125" customWidth="1"/>
    <col min="6661" max="6661" width="13.7109375" customWidth="1"/>
    <col min="6662" max="6662" width="15.7109375" customWidth="1"/>
    <col min="6663" max="6663" width="9.85546875" customWidth="1"/>
    <col min="6664" max="6665" width="9" customWidth="1"/>
    <col min="6666" max="6666" width="8.42578125" customWidth="1"/>
    <col min="6667" max="6667" width="8.28515625" customWidth="1"/>
    <col min="6668" max="6668" width="7.140625" customWidth="1"/>
    <col min="6913" max="6913" width="4.7109375" customWidth="1"/>
    <col min="6914" max="6914" width="23" customWidth="1"/>
    <col min="6915" max="6915" width="13.85546875" customWidth="1"/>
    <col min="6916" max="6916" width="19.42578125" customWidth="1"/>
    <col min="6917" max="6917" width="13.7109375" customWidth="1"/>
    <col min="6918" max="6918" width="15.7109375" customWidth="1"/>
    <col min="6919" max="6919" width="9.85546875" customWidth="1"/>
    <col min="6920" max="6921" width="9" customWidth="1"/>
    <col min="6922" max="6922" width="8.42578125" customWidth="1"/>
    <col min="6923" max="6923" width="8.28515625" customWidth="1"/>
    <col min="6924" max="6924" width="7.140625" customWidth="1"/>
    <col min="7169" max="7169" width="4.7109375" customWidth="1"/>
    <col min="7170" max="7170" width="23" customWidth="1"/>
    <col min="7171" max="7171" width="13.85546875" customWidth="1"/>
    <col min="7172" max="7172" width="19.42578125" customWidth="1"/>
    <col min="7173" max="7173" width="13.7109375" customWidth="1"/>
    <col min="7174" max="7174" width="15.7109375" customWidth="1"/>
    <col min="7175" max="7175" width="9.85546875" customWidth="1"/>
    <col min="7176" max="7177" width="9" customWidth="1"/>
    <col min="7178" max="7178" width="8.42578125" customWidth="1"/>
    <col min="7179" max="7179" width="8.28515625" customWidth="1"/>
    <col min="7180" max="7180" width="7.140625" customWidth="1"/>
    <col min="7425" max="7425" width="4.7109375" customWidth="1"/>
    <col min="7426" max="7426" width="23" customWidth="1"/>
    <col min="7427" max="7427" width="13.85546875" customWidth="1"/>
    <col min="7428" max="7428" width="19.42578125" customWidth="1"/>
    <col min="7429" max="7429" width="13.7109375" customWidth="1"/>
    <col min="7430" max="7430" width="15.7109375" customWidth="1"/>
    <col min="7431" max="7431" width="9.85546875" customWidth="1"/>
    <col min="7432" max="7433" width="9" customWidth="1"/>
    <col min="7434" max="7434" width="8.42578125" customWidth="1"/>
    <col min="7435" max="7435" width="8.28515625" customWidth="1"/>
    <col min="7436" max="7436" width="7.140625" customWidth="1"/>
    <col min="7681" max="7681" width="4.7109375" customWidth="1"/>
    <col min="7682" max="7682" width="23" customWidth="1"/>
    <col min="7683" max="7683" width="13.85546875" customWidth="1"/>
    <col min="7684" max="7684" width="19.42578125" customWidth="1"/>
    <col min="7685" max="7685" width="13.7109375" customWidth="1"/>
    <col min="7686" max="7686" width="15.7109375" customWidth="1"/>
    <col min="7687" max="7687" width="9.85546875" customWidth="1"/>
    <col min="7688" max="7689" width="9" customWidth="1"/>
    <col min="7690" max="7690" width="8.42578125" customWidth="1"/>
    <col min="7691" max="7691" width="8.28515625" customWidth="1"/>
    <col min="7692" max="7692" width="7.140625" customWidth="1"/>
    <col min="7937" max="7937" width="4.7109375" customWidth="1"/>
    <col min="7938" max="7938" width="23" customWidth="1"/>
    <col min="7939" max="7939" width="13.85546875" customWidth="1"/>
    <col min="7940" max="7940" width="19.42578125" customWidth="1"/>
    <col min="7941" max="7941" width="13.7109375" customWidth="1"/>
    <col min="7942" max="7942" width="15.7109375" customWidth="1"/>
    <col min="7943" max="7943" width="9.85546875" customWidth="1"/>
    <col min="7944" max="7945" width="9" customWidth="1"/>
    <col min="7946" max="7946" width="8.42578125" customWidth="1"/>
    <col min="7947" max="7947" width="8.28515625" customWidth="1"/>
    <col min="7948" max="7948" width="7.140625" customWidth="1"/>
    <col min="8193" max="8193" width="4.7109375" customWidth="1"/>
    <col min="8194" max="8194" width="23" customWidth="1"/>
    <col min="8195" max="8195" width="13.85546875" customWidth="1"/>
    <col min="8196" max="8196" width="19.42578125" customWidth="1"/>
    <col min="8197" max="8197" width="13.7109375" customWidth="1"/>
    <col min="8198" max="8198" width="15.7109375" customWidth="1"/>
    <col min="8199" max="8199" width="9.85546875" customWidth="1"/>
    <col min="8200" max="8201" width="9" customWidth="1"/>
    <col min="8202" max="8202" width="8.42578125" customWidth="1"/>
    <col min="8203" max="8203" width="8.28515625" customWidth="1"/>
    <col min="8204" max="8204" width="7.140625" customWidth="1"/>
    <col min="8449" max="8449" width="4.7109375" customWidth="1"/>
    <col min="8450" max="8450" width="23" customWidth="1"/>
    <col min="8451" max="8451" width="13.85546875" customWidth="1"/>
    <col min="8452" max="8452" width="19.42578125" customWidth="1"/>
    <col min="8453" max="8453" width="13.7109375" customWidth="1"/>
    <col min="8454" max="8454" width="15.7109375" customWidth="1"/>
    <col min="8455" max="8455" width="9.85546875" customWidth="1"/>
    <col min="8456" max="8457" width="9" customWidth="1"/>
    <col min="8458" max="8458" width="8.42578125" customWidth="1"/>
    <col min="8459" max="8459" width="8.28515625" customWidth="1"/>
    <col min="8460" max="8460" width="7.140625" customWidth="1"/>
    <col min="8705" max="8705" width="4.7109375" customWidth="1"/>
    <col min="8706" max="8706" width="23" customWidth="1"/>
    <col min="8707" max="8707" width="13.85546875" customWidth="1"/>
    <col min="8708" max="8708" width="19.42578125" customWidth="1"/>
    <col min="8709" max="8709" width="13.7109375" customWidth="1"/>
    <col min="8710" max="8710" width="15.7109375" customWidth="1"/>
    <col min="8711" max="8711" width="9.85546875" customWidth="1"/>
    <col min="8712" max="8713" width="9" customWidth="1"/>
    <col min="8714" max="8714" width="8.42578125" customWidth="1"/>
    <col min="8715" max="8715" width="8.28515625" customWidth="1"/>
    <col min="8716" max="8716" width="7.140625" customWidth="1"/>
    <col min="8961" max="8961" width="4.7109375" customWidth="1"/>
    <col min="8962" max="8962" width="23" customWidth="1"/>
    <col min="8963" max="8963" width="13.85546875" customWidth="1"/>
    <col min="8964" max="8964" width="19.42578125" customWidth="1"/>
    <col min="8965" max="8965" width="13.7109375" customWidth="1"/>
    <col min="8966" max="8966" width="15.7109375" customWidth="1"/>
    <col min="8967" max="8967" width="9.85546875" customWidth="1"/>
    <col min="8968" max="8969" width="9" customWidth="1"/>
    <col min="8970" max="8970" width="8.42578125" customWidth="1"/>
    <col min="8971" max="8971" width="8.28515625" customWidth="1"/>
    <col min="8972" max="8972" width="7.140625" customWidth="1"/>
    <col min="9217" max="9217" width="4.7109375" customWidth="1"/>
    <col min="9218" max="9218" width="23" customWidth="1"/>
    <col min="9219" max="9219" width="13.85546875" customWidth="1"/>
    <col min="9220" max="9220" width="19.42578125" customWidth="1"/>
    <col min="9221" max="9221" width="13.7109375" customWidth="1"/>
    <col min="9222" max="9222" width="15.7109375" customWidth="1"/>
    <col min="9223" max="9223" width="9.85546875" customWidth="1"/>
    <col min="9224" max="9225" width="9" customWidth="1"/>
    <col min="9226" max="9226" width="8.42578125" customWidth="1"/>
    <col min="9227" max="9227" width="8.28515625" customWidth="1"/>
    <col min="9228" max="9228" width="7.140625" customWidth="1"/>
    <col min="9473" max="9473" width="4.7109375" customWidth="1"/>
    <col min="9474" max="9474" width="23" customWidth="1"/>
    <col min="9475" max="9475" width="13.85546875" customWidth="1"/>
    <col min="9476" max="9476" width="19.42578125" customWidth="1"/>
    <col min="9477" max="9477" width="13.7109375" customWidth="1"/>
    <col min="9478" max="9478" width="15.7109375" customWidth="1"/>
    <col min="9479" max="9479" width="9.85546875" customWidth="1"/>
    <col min="9480" max="9481" width="9" customWidth="1"/>
    <col min="9482" max="9482" width="8.42578125" customWidth="1"/>
    <col min="9483" max="9483" width="8.28515625" customWidth="1"/>
    <col min="9484" max="9484" width="7.140625" customWidth="1"/>
    <col min="9729" max="9729" width="4.7109375" customWidth="1"/>
    <col min="9730" max="9730" width="23" customWidth="1"/>
    <col min="9731" max="9731" width="13.85546875" customWidth="1"/>
    <col min="9732" max="9732" width="19.42578125" customWidth="1"/>
    <col min="9733" max="9733" width="13.7109375" customWidth="1"/>
    <col min="9734" max="9734" width="15.7109375" customWidth="1"/>
    <col min="9735" max="9735" width="9.85546875" customWidth="1"/>
    <col min="9736" max="9737" width="9" customWidth="1"/>
    <col min="9738" max="9738" width="8.42578125" customWidth="1"/>
    <col min="9739" max="9739" width="8.28515625" customWidth="1"/>
    <col min="9740" max="9740" width="7.140625" customWidth="1"/>
    <col min="9985" max="9985" width="4.7109375" customWidth="1"/>
    <col min="9986" max="9986" width="23" customWidth="1"/>
    <col min="9987" max="9987" width="13.85546875" customWidth="1"/>
    <col min="9988" max="9988" width="19.42578125" customWidth="1"/>
    <col min="9989" max="9989" width="13.7109375" customWidth="1"/>
    <col min="9990" max="9990" width="15.7109375" customWidth="1"/>
    <col min="9991" max="9991" width="9.85546875" customWidth="1"/>
    <col min="9992" max="9993" width="9" customWidth="1"/>
    <col min="9994" max="9994" width="8.42578125" customWidth="1"/>
    <col min="9995" max="9995" width="8.28515625" customWidth="1"/>
    <col min="9996" max="9996" width="7.140625" customWidth="1"/>
    <col min="10241" max="10241" width="4.7109375" customWidth="1"/>
    <col min="10242" max="10242" width="23" customWidth="1"/>
    <col min="10243" max="10243" width="13.85546875" customWidth="1"/>
    <col min="10244" max="10244" width="19.42578125" customWidth="1"/>
    <col min="10245" max="10245" width="13.7109375" customWidth="1"/>
    <col min="10246" max="10246" width="15.7109375" customWidth="1"/>
    <col min="10247" max="10247" width="9.85546875" customWidth="1"/>
    <col min="10248" max="10249" width="9" customWidth="1"/>
    <col min="10250" max="10250" width="8.42578125" customWidth="1"/>
    <col min="10251" max="10251" width="8.28515625" customWidth="1"/>
    <col min="10252" max="10252" width="7.140625" customWidth="1"/>
    <col min="10497" max="10497" width="4.7109375" customWidth="1"/>
    <col min="10498" max="10498" width="23" customWidth="1"/>
    <col min="10499" max="10499" width="13.85546875" customWidth="1"/>
    <col min="10500" max="10500" width="19.42578125" customWidth="1"/>
    <col min="10501" max="10501" width="13.7109375" customWidth="1"/>
    <col min="10502" max="10502" width="15.7109375" customWidth="1"/>
    <col min="10503" max="10503" width="9.85546875" customWidth="1"/>
    <col min="10504" max="10505" width="9" customWidth="1"/>
    <col min="10506" max="10506" width="8.42578125" customWidth="1"/>
    <col min="10507" max="10507" width="8.28515625" customWidth="1"/>
    <col min="10508" max="10508" width="7.140625" customWidth="1"/>
    <col min="10753" max="10753" width="4.7109375" customWidth="1"/>
    <col min="10754" max="10754" width="23" customWidth="1"/>
    <col min="10755" max="10755" width="13.85546875" customWidth="1"/>
    <col min="10756" max="10756" width="19.42578125" customWidth="1"/>
    <col min="10757" max="10757" width="13.7109375" customWidth="1"/>
    <col min="10758" max="10758" width="15.7109375" customWidth="1"/>
    <col min="10759" max="10759" width="9.85546875" customWidth="1"/>
    <col min="10760" max="10761" width="9" customWidth="1"/>
    <col min="10762" max="10762" width="8.42578125" customWidth="1"/>
    <col min="10763" max="10763" width="8.28515625" customWidth="1"/>
    <col min="10764" max="10764" width="7.140625" customWidth="1"/>
    <col min="11009" max="11009" width="4.7109375" customWidth="1"/>
    <col min="11010" max="11010" width="23" customWidth="1"/>
    <col min="11011" max="11011" width="13.85546875" customWidth="1"/>
    <col min="11012" max="11012" width="19.42578125" customWidth="1"/>
    <col min="11013" max="11013" width="13.7109375" customWidth="1"/>
    <col min="11014" max="11014" width="15.7109375" customWidth="1"/>
    <col min="11015" max="11015" width="9.85546875" customWidth="1"/>
    <col min="11016" max="11017" width="9" customWidth="1"/>
    <col min="11018" max="11018" width="8.42578125" customWidth="1"/>
    <col min="11019" max="11019" width="8.28515625" customWidth="1"/>
    <col min="11020" max="11020" width="7.140625" customWidth="1"/>
    <col min="11265" max="11265" width="4.7109375" customWidth="1"/>
    <col min="11266" max="11266" width="23" customWidth="1"/>
    <col min="11267" max="11267" width="13.85546875" customWidth="1"/>
    <col min="11268" max="11268" width="19.42578125" customWidth="1"/>
    <col min="11269" max="11269" width="13.7109375" customWidth="1"/>
    <col min="11270" max="11270" width="15.7109375" customWidth="1"/>
    <col min="11271" max="11271" width="9.85546875" customWidth="1"/>
    <col min="11272" max="11273" width="9" customWidth="1"/>
    <col min="11274" max="11274" width="8.42578125" customWidth="1"/>
    <col min="11275" max="11275" width="8.28515625" customWidth="1"/>
    <col min="11276" max="11276" width="7.140625" customWidth="1"/>
    <col min="11521" max="11521" width="4.7109375" customWidth="1"/>
    <col min="11522" max="11522" width="23" customWidth="1"/>
    <col min="11523" max="11523" width="13.85546875" customWidth="1"/>
    <col min="11524" max="11524" width="19.42578125" customWidth="1"/>
    <col min="11525" max="11525" width="13.7109375" customWidth="1"/>
    <col min="11526" max="11526" width="15.7109375" customWidth="1"/>
    <col min="11527" max="11527" width="9.85546875" customWidth="1"/>
    <col min="11528" max="11529" width="9" customWidth="1"/>
    <col min="11530" max="11530" width="8.42578125" customWidth="1"/>
    <col min="11531" max="11531" width="8.28515625" customWidth="1"/>
    <col min="11532" max="11532" width="7.140625" customWidth="1"/>
    <col min="11777" max="11777" width="4.7109375" customWidth="1"/>
    <col min="11778" max="11778" width="23" customWidth="1"/>
    <col min="11779" max="11779" width="13.85546875" customWidth="1"/>
    <col min="11780" max="11780" width="19.42578125" customWidth="1"/>
    <col min="11781" max="11781" width="13.7109375" customWidth="1"/>
    <col min="11782" max="11782" width="15.7109375" customWidth="1"/>
    <col min="11783" max="11783" width="9.85546875" customWidth="1"/>
    <col min="11784" max="11785" width="9" customWidth="1"/>
    <col min="11786" max="11786" width="8.42578125" customWidth="1"/>
    <col min="11787" max="11787" width="8.28515625" customWidth="1"/>
    <col min="11788" max="11788" width="7.140625" customWidth="1"/>
    <col min="12033" max="12033" width="4.7109375" customWidth="1"/>
    <col min="12034" max="12034" width="23" customWidth="1"/>
    <col min="12035" max="12035" width="13.85546875" customWidth="1"/>
    <col min="12036" max="12036" width="19.42578125" customWidth="1"/>
    <col min="12037" max="12037" width="13.7109375" customWidth="1"/>
    <col min="12038" max="12038" width="15.7109375" customWidth="1"/>
    <col min="12039" max="12039" width="9.85546875" customWidth="1"/>
    <col min="12040" max="12041" width="9" customWidth="1"/>
    <col min="12042" max="12042" width="8.42578125" customWidth="1"/>
    <col min="12043" max="12043" width="8.28515625" customWidth="1"/>
    <col min="12044" max="12044" width="7.140625" customWidth="1"/>
    <col min="12289" max="12289" width="4.7109375" customWidth="1"/>
    <col min="12290" max="12290" width="23" customWidth="1"/>
    <col min="12291" max="12291" width="13.85546875" customWidth="1"/>
    <col min="12292" max="12292" width="19.42578125" customWidth="1"/>
    <col min="12293" max="12293" width="13.7109375" customWidth="1"/>
    <col min="12294" max="12294" width="15.7109375" customWidth="1"/>
    <col min="12295" max="12295" width="9.85546875" customWidth="1"/>
    <col min="12296" max="12297" width="9" customWidth="1"/>
    <col min="12298" max="12298" width="8.42578125" customWidth="1"/>
    <col min="12299" max="12299" width="8.28515625" customWidth="1"/>
    <col min="12300" max="12300" width="7.140625" customWidth="1"/>
    <col min="12545" max="12545" width="4.7109375" customWidth="1"/>
    <col min="12546" max="12546" width="23" customWidth="1"/>
    <col min="12547" max="12547" width="13.85546875" customWidth="1"/>
    <col min="12548" max="12548" width="19.42578125" customWidth="1"/>
    <col min="12549" max="12549" width="13.7109375" customWidth="1"/>
    <col min="12550" max="12550" width="15.7109375" customWidth="1"/>
    <col min="12551" max="12551" width="9.85546875" customWidth="1"/>
    <col min="12552" max="12553" width="9" customWidth="1"/>
    <col min="12554" max="12554" width="8.42578125" customWidth="1"/>
    <col min="12555" max="12555" width="8.28515625" customWidth="1"/>
    <col min="12556" max="12556" width="7.140625" customWidth="1"/>
    <col min="12801" max="12801" width="4.7109375" customWidth="1"/>
    <col min="12802" max="12802" width="23" customWidth="1"/>
    <col min="12803" max="12803" width="13.85546875" customWidth="1"/>
    <col min="12804" max="12804" width="19.42578125" customWidth="1"/>
    <col min="12805" max="12805" width="13.7109375" customWidth="1"/>
    <col min="12806" max="12806" width="15.7109375" customWidth="1"/>
    <col min="12807" max="12807" width="9.85546875" customWidth="1"/>
    <col min="12808" max="12809" width="9" customWidth="1"/>
    <col min="12810" max="12810" width="8.42578125" customWidth="1"/>
    <col min="12811" max="12811" width="8.28515625" customWidth="1"/>
    <col min="12812" max="12812" width="7.140625" customWidth="1"/>
    <col min="13057" max="13057" width="4.7109375" customWidth="1"/>
    <col min="13058" max="13058" width="23" customWidth="1"/>
    <col min="13059" max="13059" width="13.85546875" customWidth="1"/>
    <col min="13060" max="13060" width="19.42578125" customWidth="1"/>
    <col min="13061" max="13061" width="13.7109375" customWidth="1"/>
    <col min="13062" max="13062" width="15.7109375" customWidth="1"/>
    <col min="13063" max="13063" width="9.85546875" customWidth="1"/>
    <col min="13064" max="13065" width="9" customWidth="1"/>
    <col min="13066" max="13066" width="8.42578125" customWidth="1"/>
    <col min="13067" max="13067" width="8.28515625" customWidth="1"/>
    <col min="13068" max="13068" width="7.140625" customWidth="1"/>
    <col min="13313" max="13313" width="4.7109375" customWidth="1"/>
    <col min="13314" max="13314" width="23" customWidth="1"/>
    <col min="13315" max="13315" width="13.85546875" customWidth="1"/>
    <col min="13316" max="13316" width="19.42578125" customWidth="1"/>
    <col min="13317" max="13317" width="13.7109375" customWidth="1"/>
    <col min="13318" max="13318" width="15.7109375" customWidth="1"/>
    <col min="13319" max="13319" width="9.85546875" customWidth="1"/>
    <col min="13320" max="13321" width="9" customWidth="1"/>
    <col min="13322" max="13322" width="8.42578125" customWidth="1"/>
    <col min="13323" max="13323" width="8.28515625" customWidth="1"/>
    <col min="13324" max="13324" width="7.140625" customWidth="1"/>
    <col min="13569" max="13569" width="4.7109375" customWidth="1"/>
    <col min="13570" max="13570" width="23" customWidth="1"/>
    <col min="13571" max="13571" width="13.85546875" customWidth="1"/>
    <col min="13572" max="13572" width="19.42578125" customWidth="1"/>
    <col min="13573" max="13573" width="13.7109375" customWidth="1"/>
    <col min="13574" max="13574" width="15.7109375" customWidth="1"/>
    <col min="13575" max="13575" width="9.85546875" customWidth="1"/>
    <col min="13576" max="13577" width="9" customWidth="1"/>
    <col min="13578" max="13578" width="8.42578125" customWidth="1"/>
    <col min="13579" max="13579" width="8.28515625" customWidth="1"/>
    <col min="13580" max="13580" width="7.140625" customWidth="1"/>
    <col min="13825" max="13825" width="4.7109375" customWidth="1"/>
    <col min="13826" max="13826" width="23" customWidth="1"/>
    <col min="13827" max="13827" width="13.85546875" customWidth="1"/>
    <col min="13828" max="13828" width="19.42578125" customWidth="1"/>
    <col min="13829" max="13829" width="13.7109375" customWidth="1"/>
    <col min="13830" max="13830" width="15.7109375" customWidth="1"/>
    <col min="13831" max="13831" width="9.85546875" customWidth="1"/>
    <col min="13832" max="13833" width="9" customWidth="1"/>
    <col min="13834" max="13834" width="8.42578125" customWidth="1"/>
    <col min="13835" max="13835" width="8.28515625" customWidth="1"/>
    <col min="13836" max="13836" width="7.140625" customWidth="1"/>
    <col min="14081" max="14081" width="4.7109375" customWidth="1"/>
    <col min="14082" max="14082" width="23" customWidth="1"/>
    <col min="14083" max="14083" width="13.85546875" customWidth="1"/>
    <col min="14084" max="14084" width="19.42578125" customWidth="1"/>
    <col min="14085" max="14085" width="13.7109375" customWidth="1"/>
    <col min="14086" max="14086" width="15.7109375" customWidth="1"/>
    <col min="14087" max="14087" width="9.85546875" customWidth="1"/>
    <col min="14088" max="14089" width="9" customWidth="1"/>
    <col min="14090" max="14090" width="8.42578125" customWidth="1"/>
    <col min="14091" max="14091" width="8.28515625" customWidth="1"/>
    <col min="14092" max="14092" width="7.140625" customWidth="1"/>
    <col min="14337" max="14337" width="4.7109375" customWidth="1"/>
    <col min="14338" max="14338" width="23" customWidth="1"/>
    <col min="14339" max="14339" width="13.85546875" customWidth="1"/>
    <col min="14340" max="14340" width="19.42578125" customWidth="1"/>
    <col min="14341" max="14341" width="13.7109375" customWidth="1"/>
    <col min="14342" max="14342" width="15.7109375" customWidth="1"/>
    <col min="14343" max="14343" width="9.85546875" customWidth="1"/>
    <col min="14344" max="14345" width="9" customWidth="1"/>
    <col min="14346" max="14346" width="8.42578125" customWidth="1"/>
    <col min="14347" max="14347" width="8.28515625" customWidth="1"/>
    <col min="14348" max="14348" width="7.140625" customWidth="1"/>
    <col min="14593" max="14593" width="4.7109375" customWidth="1"/>
    <col min="14594" max="14594" width="23" customWidth="1"/>
    <col min="14595" max="14595" width="13.85546875" customWidth="1"/>
    <col min="14596" max="14596" width="19.42578125" customWidth="1"/>
    <col min="14597" max="14597" width="13.7109375" customWidth="1"/>
    <col min="14598" max="14598" width="15.7109375" customWidth="1"/>
    <col min="14599" max="14599" width="9.85546875" customWidth="1"/>
    <col min="14600" max="14601" width="9" customWidth="1"/>
    <col min="14602" max="14602" width="8.42578125" customWidth="1"/>
    <col min="14603" max="14603" width="8.28515625" customWidth="1"/>
    <col min="14604" max="14604" width="7.140625" customWidth="1"/>
    <col min="14849" max="14849" width="4.7109375" customWidth="1"/>
    <col min="14850" max="14850" width="23" customWidth="1"/>
    <col min="14851" max="14851" width="13.85546875" customWidth="1"/>
    <col min="14852" max="14852" width="19.42578125" customWidth="1"/>
    <col min="14853" max="14853" width="13.7109375" customWidth="1"/>
    <col min="14854" max="14854" width="15.7109375" customWidth="1"/>
    <col min="14855" max="14855" width="9.85546875" customWidth="1"/>
    <col min="14856" max="14857" width="9" customWidth="1"/>
    <col min="14858" max="14858" width="8.42578125" customWidth="1"/>
    <col min="14859" max="14859" width="8.28515625" customWidth="1"/>
    <col min="14860" max="14860" width="7.140625" customWidth="1"/>
    <col min="15105" max="15105" width="4.7109375" customWidth="1"/>
    <col min="15106" max="15106" width="23" customWidth="1"/>
    <col min="15107" max="15107" width="13.85546875" customWidth="1"/>
    <col min="15108" max="15108" width="19.42578125" customWidth="1"/>
    <col min="15109" max="15109" width="13.7109375" customWidth="1"/>
    <col min="15110" max="15110" width="15.7109375" customWidth="1"/>
    <col min="15111" max="15111" width="9.85546875" customWidth="1"/>
    <col min="15112" max="15113" width="9" customWidth="1"/>
    <col min="15114" max="15114" width="8.42578125" customWidth="1"/>
    <col min="15115" max="15115" width="8.28515625" customWidth="1"/>
    <col min="15116" max="15116" width="7.140625" customWidth="1"/>
    <col min="15361" max="15361" width="4.7109375" customWidth="1"/>
    <col min="15362" max="15362" width="23" customWidth="1"/>
    <col min="15363" max="15363" width="13.85546875" customWidth="1"/>
    <col min="15364" max="15364" width="19.42578125" customWidth="1"/>
    <col min="15365" max="15365" width="13.7109375" customWidth="1"/>
    <col min="15366" max="15366" width="15.7109375" customWidth="1"/>
    <col min="15367" max="15367" width="9.85546875" customWidth="1"/>
    <col min="15368" max="15369" width="9" customWidth="1"/>
    <col min="15370" max="15370" width="8.42578125" customWidth="1"/>
    <col min="15371" max="15371" width="8.28515625" customWidth="1"/>
    <col min="15372" max="15372" width="7.140625" customWidth="1"/>
    <col min="15617" max="15617" width="4.7109375" customWidth="1"/>
    <col min="15618" max="15618" width="23" customWidth="1"/>
    <col min="15619" max="15619" width="13.85546875" customWidth="1"/>
    <col min="15620" max="15620" width="19.42578125" customWidth="1"/>
    <col min="15621" max="15621" width="13.7109375" customWidth="1"/>
    <col min="15622" max="15622" width="15.7109375" customWidth="1"/>
    <col min="15623" max="15623" width="9.85546875" customWidth="1"/>
    <col min="15624" max="15625" width="9" customWidth="1"/>
    <col min="15626" max="15626" width="8.42578125" customWidth="1"/>
    <col min="15627" max="15627" width="8.28515625" customWidth="1"/>
    <col min="15628" max="15628" width="7.140625" customWidth="1"/>
    <col min="15873" max="15873" width="4.7109375" customWidth="1"/>
    <col min="15874" max="15874" width="23" customWidth="1"/>
    <col min="15875" max="15875" width="13.85546875" customWidth="1"/>
    <col min="15876" max="15876" width="19.42578125" customWidth="1"/>
    <col min="15877" max="15877" width="13.7109375" customWidth="1"/>
    <col min="15878" max="15878" width="15.7109375" customWidth="1"/>
    <col min="15879" max="15879" width="9.85546875" customWidth="1"/>
    <col min="15880" max="15881" width="9" customWidth="1"/>
    <col min="15882" max="15882" width="8.42578125" customWidth="1"/>
    <col min="15883" max="15883" width="8.28515625" customWidth="1"/>
    <col min="15884" max="15884" width="7.140625" customWidth="1"/>
    <col min="16129" max="16129" width="4.7109375" customWidth="1"/>
    <col min="16130" max="16130" width="23" customWidth="1"/>
    <col min="16131" max="16131" width="13.85546875" customWidth="1"/>
    <col min="16132" max="16132" width="19.42578125" customWidth="1"/>
    <col min="16133" max="16133" width="13.7109375" customWidth="1"/>
    <col min="16134" max="16134" width="15.7109375" customWidth="1"/>
    <col min="16135" max="16135" width="9.85546875" customWidth="1"/>
    <col min="16136" max="16137" width="9" customWidth="1"/>
    <col min="16138" max="16138" width="8.42578125" customWidth="1"/>
    <col min="16139" max="16139" width="8.28515625" customWidth="1"/>
    <col min="16140" max="16140" width="7.140625" customWidth="1"/>
  </cols>
  <sheetData>
    <row r="1" spans="1:18">
      <c r="A1" s="78"/>
      <c r="B1" s="79"/>
      <c r="C1" s="80"/>
      <c r="D1" s="80"/>
      <c r="E1" s="80"/>
      <c r="F1" s="80"/>
      <c r="G1" s="78"/>
      <c r="H1" s="81"/>
      <c r="I1" s="82" t="s">
        <v>331</v>
      </c>
      <c r="J1" s="81"/>
      <c r="K1" s="81"/>
      <c r="L1" s="81"/>
      <c r="M1" s="78"/>
      <c r="N1" s="78"/>
    </row>
    <row r="2" spans="1:18">
      <c r="A2" s="78"/>
      <c r="B2" s="79"/>
      <c r="C2" s="80"/>
      <c r="D2" s="80"/>
      <c r="E2" s="80"/>
      <c r="F2" s="80"/>
      <c r="G2" s="78"/>
      <c r="H2" s="81"/>
      <c r="I2" s="81"/>
      <c r="J2" s="81"/>
      <c r="K2" s="81"/>
      <c r="L2" s="81"/>
      <c r="M2" s="78"/>
      <c r="N2" s="78"/>
    </row>
    <row r="3" spans="1:18" ht="18.75" customHeight="1">
      <c r="A3" s="3038" t="s">
        <v>332</v>
      </c>
      <c r="B3" s="3038"/>
      <c r="C3" s="3038"/>
      <c r="D3" s="3038"/>
      <c r="E3" s="3038"/>
      <c r="F3" s="3038"/>
      <c r="G3" s="3038"/>
      <c r="H3" s="3038"/>
      <c r="I3" s="3038"/>
      <c r="J3" s="3038"/>
      <c r="K3" s="3038"/>
      <c r="L3" s="3038"/>
      <c r="M3" s="78"/>
      <c r="N3" s="78"/>
    </row>
    <row r="4" spans="1:18">
      <c r="A4" s="78"/>
      <c r="B4" s="79"/>
      <c r="C4" s="80"/>
      <c r="D4" s="80"/>
      <c r="E4" s="80"/>
      <c r="F4" s="80"/>
      <c r="G4" s="78"/>
      <c r="H4" s="81"/>
      <c r="I4" s="81"/>
      <c r="J4" s="81"/>
      <c r="K4" s="81"/>
      <c r="L4" s="81"/>
      <c r="M4" s="78"/>
      <c r="N4" s="78"/>
    </row>
    <row r="5" spans="1:18" ht="21.75" customHeight="1">
      <c r="A5" s="1939" t="s">
        <v>333</v>
      </c>
      <c r="B5" s="3036" t="s">
        <v>334</v>
      </c>
      <c r="C5" s="1939" t="s">
        <v>335</v>
      </c>
      <c r="D5" s="1939" t="s">
        <v>336</v>
      </c>
      <c r="E5" s="1939" t="s">
        <v>337</v>
      </c>
      <c r="F5" s="1939" t="s">
        <v>338</v>
      </c>
      <c r="G5" s="1939" t="s">
        <v>339</v>
      </c>
      <c r="H5" s="1939"/>
      <c r="I5" s="1939"/>
      <c r="J5" s="1939"/>
      <c r="K5" s="1939"/>
      <c r="L5" s="1939"/>
    </row>
    <row r="6" spans="1:18" ht="21.75" customHeight="1">
      <c r="A6" s="1939"/>
      <c r="B6" s="3036"/>
      <c r="C6" s="1939"/>
      <c r="D6" s="1939"/>
      <c r="E6" s="1939"/>
      <c r="F6" s="1939"/>
      <c r="G6" s="83" t="s">
        <v>340</v>
      </c>
      <c r="H6" s="84" t="s">
        <v>8</v>
      </c>
      <c r="I6" s="84" t="s">
        <v>304</v>
      </c>
      <c r="J6" s="84" t="s">
        <v>341</v>
      </c>
      <c r="K6" s="84" t="s">
        <v>11</v>
      </c>
      <c r="L6" s="84" t="s">
        <v>12</v>
      </c>
    </row>
    <row r="7" spans="1:18" ht="11.25" customHeight="1">
      <c r="A7" s="1939"/>
      <c r="B7" s="3036" t="s">
        <v>315</v>
      </c>
      <c r="C7" s="1939" t="s">
        <v>15</v>
      </c>
      <c r="D7" s="1939"/>
      <c r="E7" s="1939"/>
      <c r="F7" s="3037"/>
      <c r="G7" s="83" t="s">
        <v>342</v>
      </c>
      <c r="H7" s="84">
        <f t="shared" ref="H7:L14" si="0">H15</f>
        <v>2441812.9800000004</v>
      </c>
      <c r="I7" s="84">
        <f t="shared" si="0"/>
        <v>1671889.35</v>
      </c>
      <c r="J7" s="84">
        <f t="shared" si="0"/>
        <v>427942.80000000005</v>
      </c>
      <c r="K7" s="84">
        <f t="shared" si="0"/>
        <v>272959.82999999996</v>
      </c>
      <c r="L7" s="84">
        <f t="shared" si="0"/>
        <v>69021</v>
      </c>
    </row>
    <row r="8" spans="1:18" ht="11.25" customHeight="1">
      <c r="A8" s="1939"/>
      <c r="B8" s="3036"/>
      <c r="C8" s="1939"/>
      <c r="D8" s="1939"/>
      <c r="E8" s="1939"/>
      <c r="F8" s="3037"/>
      <c r="G8" s="83">
        <v>2014</v>
      </c>
      <c r="H8" s="84">
        <f t="shared" si="0"/>
        <v>503776.10000000003</v>
      </c>
      <c r="I8" s="84">
        <f t="shared" si="0"/>
        <v>418855.10000000003</v>
      </c>
      <c r="J8" s="84">
        <f t="shared" si="0"/>
        <v>80000</v>
      </c>
      <c r="K8" s="84">
        <f t="shared" si="0"/>
        <v>0</v>
      </c>
      <c r="L8" s="84">
        <f t="shared" si="0"/>
        <v>4921</v>
      </c>
    </row>
    <row r="9" spans="1:18" ht="11.25" customHeight="1">
      <c r="A9" s="1939"/>
      <c r="B9" s="3036"/>
      <c r="C9" s="1939"/>
      <c r="D9" s="1939"/>
      <c r="E9" s="1939"/>
      <c r="F9" s="3037"/>
      <c r="G9" s="83">
        <v>2015</v>
      </c>
      <c r="H9" s="84">
        <f t="shared" si="0"/>
        <v>314637.7</v>
      </c>
      <c r="I9" s="84">
        <f t="shared" si="0"/>
        <v>189637.7</v>
      </c>
      <c r="J9" s="84">
        <f t="shared" si="0"/>
        <v>125000</v>
      </c>
      <c r="K9" s="84">
        <f t="shared" si="0"/>
        <v>0</v>
      </c>
      <c r="L9" s="84">
        <f t="shared" si="0"/>
        <v>0</v>
      </c>
    </row>
    <row r="10" spans="1:18" ht="11.25" customHeight="1">
      <c r="A10" s="1939"/>
      <c r="B10" s="3036"/>
      <c r="C10" s="1939"/>
      <c r="D10" s="1939"/>
      <c r="E10" s="1939"/>
      <c r="F10" s="3037"/>
      <c r="G10" s="83">
        <v>2016</v>
      </c>
      <c r="H10" s="84">
        <f t="shared" si="0"/>
        <v>72651.7</v>
      </c>
      <c r="I10" s="84">
        <f t="shared" si="0"/>
        <v>34551.699999999997</v>
      </c>
      <c r="J10" s="84">
        <f t="shared" si="0"/>
        <v>0</v>
      </c>
      <c r="K10" s="84">
        <f t="shared" si="0"/>
        <v>17300</v>
      </c>
      <c r="L10" s="84">
        <f t="shared" si="0"/>
        <v>20800</v>
      </c>
    </row>
    <row r="11" spans="1:18" ht="11.25" customHeight="1">
      <c r="A11" s="1939"/>
      <c r="B11" s="3036"/>
      <c r="C11" s="1939"/>
      <c r="D11" s="1939"/>
      <c r="E11" s="1939"/>
      <c r="F11" s="3037"/>
      <c r="G11" s="83">
        <v>2017</v>
      </c>
      <c r="H11" s="84">
        <f t="shared" si="0"/>
        <v>113616.53</v>
      </c>
      <c r="I11" s="84">
        <f t="shared" si="0"/>
        <v>67239.7</v>
      </c>
      <c r="J11" s="84">
        <f t="shared" si="0"/>
        <v>0</v>
      </c>
      <c r="K11" s="84">
        <f t="shared" si="0"/>
        <v>31376.829999999998</v>
      </c>
      <c r="L11" s="84">
        <f t="shared" si="0"/>
        <v>15000</v>
      </c>
      <c r="R11" s="69">
        <f>'4. ОКС'!I456</f>
        <v>0</v>
      </c>
    </row>
    <row r="12" spans="1:18" ht="11.25" customHeight="1">
      <c r="A12" s="1939"/>
      <c r="B12" s="3036"/>
      <c r="C12" s="1939"/>
      <c r="D12" s="1939"/>
      <c r="E12" s="1939"/>
      <c r="F12" s="3037"/>
      <c r="G12" s="83">
        <v>2018</v>
      </c>
      <c r="H12" s="84">
        <f t="shared" si="0"/>
        <v>368524.94999999995</v>
      </c>
      <c r="I12" s="84">
        <f t="shared" si="0"/>
        <v>317150.84999999998</v>
      </c>
      <c r="J12" s="84">
        <f t="shared" si="0"/>
        <v>0</v>
      </c>
      <c r="K12" s="84">
        <f t="shared" si="0"/>
        <v>51374.1</v>
      </c>
      <c r="L12" s="84">
        <f t="shared" si="0"/>
        <v>0</v>
      </c>
    </row>
    <row r="13" spans="1:18" ht="11.25" customHeight="1">
      <c r="A13" s="1939"/>
      <c r="B13" s="3036"/>
      <c r="C13" s="1939"/>
      <c r="D13" s="1939"/>
      <c r="E13" s="1939"/>
      <c r="F13" s="3037"/>
      <c r="G13" s="83">
        <v>2019</v>
      </c>
      <c r="H13" s="84">
        <f t="shared" si="0"/>
        <v>699241</v>
      </c>
      <c r="I13" s="84">
        <f t="shared" si="0"/>
        <v>449849.69999999995</v>
      </c>
      <c r="J13" s="84">
        <f t="shared" si="0"/>
        <v>111471.4</v>
      </c>
      <c r="K13" s="84">
        <f t="shared" si="0"/>
        <v>109619.9</v>
      </c>
      <c r="L13" s="84">
        <f t="shared" si="0"/>
        <v>28300</v>
      </c>
    </row>
    <row r="14" spans="1:18" ht="11.25" customHeight="1">
      <c r="A14" s="1939"/>
      <c r="B14" s="3036"/>
      <c r="C14" s="1939"/>
      <c r="D14" s="1939"/>
      <c r="E14" s="1939"/>
      <c r="F14" s="3037"/>
      <c r="G14" s="83">
        <v>2020</v>
      </c>
      <c r="H14" s="84">
        <f t="shared" si="0"/>
        <v>369365</v>
      </c>
      <c r="I14" s="84">
        <f t="shared" si="0"/>
        <v>194604.6</v>
      </c>
      <c r="J14" s="84">
        <f t="shared" si="0"/>
        <v>111471.4</v>
      </c>
      <c r="K14" s="84">
        <f t="shared" si="0"/>
        <v>63289</v>
      </c>
      <c r="L14" s="84">
        <f t="shared" si="0"/>
        <v>0</v>
      </c>
    </row>
    <row r="15" spans="1:18" ht="11.25" customHeight="1">
      <c r="A15" s="1939"/>
      <c r="B15" s="3036" t="s">
        <v>77</v>
      </c>
      <c r="C15" s="1991" t="s">
        <v>343</v>
      </c>
      <c r="D15" s="1939"/>
      <c r="E15" s="1939"/>
      <c r="F15" s="3037"/>
      <c r="G15" s="85" t="s">
        <v>342</v>
      </c>
      <c r="H15" s="86">
        <f t="shared" ref="H15:H29" si="1">I15+J15+K15+L15</f>
        <v>2441812.9800000004</v>
      </c>
      <c r="I15" s="86">
        <f>I16+I17+I18+I19+I20+I21+I22</f>
        <v>1671889.35</v>
      </c>
      <c r="J15" s="86">
        <f>J16+J17+J18+J19+J20+J21+J22</f>
        <v>427942.80000000005</v>
      </c>
      <c r="K15" s="86">
        <f>K16+K17+K18+K19+K20+K21+K22</f>
        <v>272959.82999999996</v>
      </c>
      <c r="L15" s="86">
        <f>L16+L17+L18+L19+L20+L21+L22</f>
        <v>69021</v>
      </c>
    </row>
    <row r="16" spans="1:18" ht="11.25" customHeight="1">
      <c r="A16" s="1939"/>
      <c r="B16" s="3036"/>
      <c r="C16" s="1991"/>
      <c r="D16" s="1939"/>
      <c r="E16" s="1939"/>
      <c r="F16" s="3037"/>
      <c r="G16" s="85">
        <v>2014</v>
      </c>
      <c r="H16" s="86">
        <f t="shared" si="1"/>
        <v>503776.10000000003</v>
      </c>
      <c r="I16" s="86">
        <f t="shared" ref="I16:L22" si="2">I24+I33+I41+I50+I59+I68+I77+I85+I93+I101+I109+I117+I125+I134+I142+I150+I158+I166</f>
        <v>418855.10000000003</v>
      </c>
      <c r="J16" s="86">
        <f t="shared" si="2"/>
        <v>80000</v>
      </c>
      <c r="K16" s="86">
        <f t="shared" si="2"/>
        <v>0</v>
      </c>
      <c r="L16" s="86">
        <f t="shared" si="2"/>
        <v>4921</v>
      </c>
    </row>
    <row r="17" spans="1:12" ht="11.25" customHeight="1">
      <c r="A17" s="1939"/>
      <c r="B17" s="3036"/>
      <c r="C17" s="1991"/>
      <c r="D17" s="1939"/>
      <c r="E17" s="1939"/>
      <c r="F17" s="3037"/>
      <c r="G17" s="85">
        <v>2015</v>
      </c>
      <c r="H17" s="86">
        <f t="shared" si="1"/>
        <v>314637.7</v>
      </c>
      <c r="I17" s="86">
        <f t="shared" si="2"/>
        <v>189637.7</v>
      </c>
      <c r="J17" s="86">
        <f t="shared" si="2"/>
        <v>125000</v>
      </c>
      <c r="K17" s="86">
        <f t="shared" si="2"/>
        <v>0</v>
      </c>
      <c r="L17" s="86">
        <f t="shared" si="2"/>
        <v>0</v>
      </c>
    </row>
    <row r="18" spans="1:12" ht="11.25" customHeight="1">
      <c r="A18" s="1939"/>
      <c r="B18" s="3036"/>
      <c r="C18" s="1991"/>
      <c r="D18" s="1939"/>
      <c r="E18" s="1939"/>
      <c r="F18" s="3037"/>
      <c r="G18" s="85">
        <v>2016</v>
      </c>
      <c r="H18" s="86">
        <f t="shared" si="1"/>
        <v>72651.7</v>
      </c>
      <c r="I18" s="86">
        <f t="shared" si="2"/>
        <v>34551.699999999997</v>
      </c>
      <c r="J18" s="86">
        <f t="shared" si="2"/>
        <v>0</v>
      </c>
      <c r="K18" s="86">
        <f t="shared" si="2"/>
        <v>17300</v>
      </c>
      <c r="L18" s="86">
        <f t="shared" si="2"/>
        <v>20800</v>
      </c>
    </row>
    <row r="19" spans="1:12" ht="11.25" customHeight="1">
      <c r="A19" s="1939"/>
      <c r="B19" s="3036"/>
      <c r="C19" s="1991"/>
      <c r="D19" s="1939"/>
      <c r="E19" s="1939"/>
      <c r="F19" s="3037"/>
      <c r="G19" s="85">
        <v>2017</v>
      </c>
      <c r="H19" s="86">
        <f t="shared" si="1"/>
        <v>113616.53</v>
      </c>
      <c r="I19" s="86">
        <f t="shared" si="2"/>
        <v>67239.7</v>
      </c>
      <c r="J19" s="86">
        <f t="shared" si="2"/>
        <v>0</v>
      </c>
      <c r="K19" s="86">
        <f t="shared" si="2"/>
        <v>31376.829999999998</v>
      </c>
      <c r="L19" s="86">
        <f t="shared" si="2"/>
        <v>15000</v>
      </c>
    </row>
    <row r="20" spans="1:12" ht="11.25" customHeight="1">
      <c r="A20" s="1939"/>
      <c r="B20" s="3036"/>
      <c r="C20" s="1991"/>
      <c r="D20" s="1939"/>
      <c r="E20" s="1939"/>
      <c r="F20" s="3037"/>
      <c r="G20" s="85">
        <v>2018</v>
      </c>
      <c r="H20" s="86">
        <f t="shared" si="1"/>
        <v>368524.94999999995</v>
      </c>
      <c r="I20" s="86">
        <f t="shared" si="2"/>
        <v>317150.84999999998</v>
      </c>
      <c r="J20" s="86">
        <f t="shared" si="2"/>
        <v>0</v>
      </c>
      <c r="K20" s="86">
        <f t="shared" si="2"/>
        <v>51374.1</v>
      </c>
      <c r="L20" s="86">
        <f t="shared" si="2"/>
        <v>0</v>
      </c>
    </row>
    <row r="21" spans="1:12" ht="11.25" customHeight="1">
      <c r="A21" s="1939"/>
      <c r="B21" s="3036"/>
      <c r="C21" s="1991"/>
      <c r="D21" s="1939"/>
      <c r="E21" s="1939"/>
      <c r="F21" s="3037"/>
      <c r="G21" s="85">
        <v>2019</v>
      </c>
      <c r="H21" s="86">
        <f t="shared" si="1"/>
        <v>699241</v>
      </c>
      <c r="I21" s="86">
        <f t="shared" si="2"/>
        <v>449849.69999999995</v>
      </c>
      <c r="J21" s="86">
        <f t="shared" si="2"/>
        <v>111471.4</v>
      </c>
      <c r="K21" s="86">
        <f t="shared" si="2"/>
        <v>109619.9</v>
      </c>
      <c r="L21" s="86">
        <f t="shared" si="2"/>
        <v>28300</v>
      </c>
    </row>
    <row r="22" spans="1:12" ht="11.25" customHeight="1">
      <c r="A22" s="1939"/>
      <c r="B22" s="3036"/>
      <c r="C22" s="1991"/>
      <c r="D22" s="1939"/>
      <c r="E22" s="1939"/>
      <c r="F22" s="3037"/>
      <c r="G22" s="85">
        <v>2020</v>
      </c>
      <c r="H22" s="86">
        <f t="shared" si="1"/>
        <v>369365</v>
      </c>
      <c r="I22" s="86">
        <f t="shared" si="2"/>
        <v>194604.6</v>
      </c>
      <c r="J22" s="86">
        <f t="shared" si="2"/>
        <v>111471.4</v>
      </c>
      <c r="K22" s="86">
        <f t="shared" si="2"/>
        <v>63289</v>
      </c>
      <c r="L22" s="86">
        <f t="shared" si="2"/>
        <v>0</v>
      </c>
    </row>
    <row r="23" spans="1:12" ht="11.25" customHeight="1">
      <c r="A23" s="1939" t="s">
        <v>16</v>
      </c>
      <c r="B23" s="3036" t="s">
        <v>344</v>
      </c>
      <c r="C23" s="1939" t="s">
        <v>89</v>
      </c>
      <c r="D23" s="1939" t="s">
        <v>345</v>
      </c>
      <c r="E23" s="1939" t="s">
        <v>346</v>
      </c>
      <c r="F23" s="3037" t="s">
        <v>347</v>
      </c>
      <c r="G23" s="83" t="s">
        <v>342</v>
      </c>
      <c r="H23" s="87">
        <f t="shared" si="1"/>
        <v>3488.3</v>
      </c>
      <c r="I23" s="88">
        <f>I30+I29+I28+I27+I26+I25+I24</f>
        <v>3488.3</v>
      </c>
      <c r="J23" s="88">
        <f>J30+J29+J28+J27+J26+J25+J24</f>
        <v>0</v>
      </c>
      <c r="K23" s="88">
        <f>K30+K29+K28+K27+K26+K25+K24</f>
        <v>0</v>
      </c>
      <c r="L23" s="88">
        <f>L30+L29+L28+L27+L26+L25+L24</f>
        <v>0</v>
      </c>
    </row>
    <row r="24" spans="1:12" ht="11.25" customHeight="1">
      <c r="A24" s="1939"/>
      <c r="B24" s="3036"/>
      <c r="C24" s="1939"/>
      <c r="D24" s="1939"/>
      <c r="E24" s="1939"/>
      <c r="F24" s="3037"/>
      <c r="G24" s="83">
        <v>2014</v>
      </c>
      <c r="H24" s="87">
        <f t="shared" si="1"/>
        <v>3488.3</v>
      </c>
      <c r="I24" s="88">
        <v>3488.3</v>
      </c>
      <c r="J24" s="87">
        <v>0</v>
      </c>
      <c r="K24" s="87">
        <v>0</v>
      </c>
      <c r="L24" s="87">
        <v>0</v>
      </c>
    </row>
    <row r="25" spans="1:12" ht="11.25" customHeight="1">
      <c r="A25" s="1939"/>
      <c r="B25" s="3036"/>
      <c r="C25" s="1939"/>
      <c r="D25" s="1939"/>
      <c r="E25" s="1939"/>
      <c r="F25" s="3037"/>
      <c r="G25" s="83">
        <v>2015</v>
      </c>
      <c r="H25" s="87">
        <f t="shared" si="1"/>
        <v>0</v>
      </c>
      <c r="I25" s="87">
        <v>0</v>
      </c>
      <c r="J25" s="87">
        <v>0</v>
      </c>
      <c r="K25" s="87">
        <v>0</v>
      </c>
      <c r="L25" s="87">
        <v>0</v>
      </c>
    </row>
    <row r="26" spans="1:12" ht="11.25" customHeight="1">
      <c r="A26" s="1939"/>
      <c r="B26" s="3036"/>
      <c r="C26" s="1939"/>
      <c r="D26" s="1939"/>
      <c r="E26" s="1939"/>
      <c r="F26" s="3037"/>
      <c r="G26" s="83">
        <v>2016</v>
      </c>
      <c r="H26" s="87">
        <f t="shared" si="1"/>
        <v>0</v>
      </c>
      <c r="I26" s="87">
        <v>0</v>
      </c>
      <c r="J26" s="87">
        <v>0</v>
      </c>
      <c r="K26" s="87">
        <v>0</v>
      </c>
      <c r="L26" s="87">
        <v>0</v>
      </c>
    </row>
    <row r="27" spans="1:12" ht="11.25" customHeight="1">
      <c r="A27" s="1939"/>
      <c r="B27" s="3036"/>
      <c r="C27" s="1939"/>
      <c r="D27" s="1939"/>
      <c r="E27" s="1939"/>
      <c r="F27" s="3037"/>
      <c r="G27" s="83">
        <v>2017</v>
      </c>
      <c r="H27" s="87">
        <f t="shared" si="1"/>
        <v>0</v>
      </c>
      <c r="I27" s="87">
        <v>0</v>
      </c>
      <c r="J27" s="87">
        <v>0</v>
      </c>
      <c r="K27" s="87">
        <v>0</v>
      </c>
      <c r="L27" s="87">
        <v>0</v>
      </c>
    </row>
    <row r="28" spans="1:12" ht="11.25" customHeight="1">
      <c r="A28" s="1939"/>
      <c r="B28" s="3036"/>
      <c r="C28" s="1939"/>
      <c r="D28" s="1939"/>
      <c r="E28" s="1939"/>
      <c r="F28" s="3037"/>
      <c r="G28" s="83">
        <v>2018</v>
      </c>
      <c r="H28" s="87">
        <f t="shared" si="1"/>
        <v>0</v>
      </c>
      <c r="I28" s="87">
        <v>0</v>
      </c>
      <c r="J28" s="87">
        <v>0</v>
      </c>
      <c r="K28" s="87">
        <v>0</v>
      </c>
      <c r="L28" s="87">
        <v>0</v>
      </c>
    </row>
    <row r="29" spans="1:12" ht="11.25" customHeight="1">
      <c r="A29" s="1939"/>
      <c r="B29" s="3036"/>
      <c r="C29" s="1939"/>
      <c r="D29" s="1939"/>
      <c r="E29" s="1939"/>
      <c r="F29" s="3037"/>
      <c r="G29" s="83">
        <v>2019</v>
      </c>
      <c r="H29" s="87">
        <f t="shared" si="1"/>
        <v>0</v>
      </c>
      <c r="I29" s="87">
        <v>0</v>
      </c>
      <c r="J29" s="87">
        <v>0</v>
      </c>
      <c r="K29" s="87">
        <v>0</v>
      </c>
      <c r="L29" s="87">
        <v>0</v>
      </c>
    </row>
    <row r="30" spans="1:12" ht="11.25" customHeight="1">
      <c r="A30" s="1939"/>
      <c r="B30" s="3036"/>
      <c r="C30" s="1939"/>
      <c r="D30" s="1939"/>
      <c r="E30" s="1939"/>
      <c r="F30" s="3037"/>
      <c r="G30" s="83">
        <v>2020</v>
      </c>
      <c r="H30" s="87">
        <f>I30+J30+K30+L30</f>
        <v>0</v>
      </c>
      <c r="I30" s="87">
        <v>0</v>
      </c>
      <c r="J30" s="87">
        <v>0</v>
      </c>
      <c r="K30" s="87">
        <v>0</v>
      </c>
      <c r="L30" s="87">
        <v>0</v>
      </c>
    </row>
    <row r="31" spans="1:12" ht="11.25" customHeight="1">
      <c r="A31" s="1939" t="s">
        <v>40</v>
      </c>
      <c r="B31" s="3036" t="s">
        <v>348</v>
      </c>
      <c r="C31" s="1939" t="s">
        <v>89</v>
      </c>
      <c r="D31" s="1939" t="s">
        <v>349</v>
      </c>
      <c r="E31" s="1939" t="s">
        <v>350</v>
      </c>
      <c r="F31" s="3037" t="s">
        <v>351</v>
      </c>
      <c r="G31" s="83" t="s">
        <v>352</v>
      </c>
      <c r="H31" s="89">
        <f>I31+J31+K31+L31</f>
        <v>189157.2</v>
      </c>
      <c r="I31" s="89">
        <v>170000</v>
      </c>
      <c r="J31" s="89">
        <v>0</v>
      </c>
      <c r="K31" s="90">
        <v>19157.2</v>
      </c>
      <c r="L31" s="90">
        <v>0</v>
      </c>
    </row>
    <row r="32" spans="1:12" ht="11.25" customHeight="1">
      <c r="A32" s="1939"/>
      <c r="B32" s="3036"/>
      <c r="C32" s="1939"/>
      <c r="D32" s="1939"/>
      <c r="E32" s="1939"/>
      <c r="F32" s="3037"/>
      <c r="G32" s="83" t="s">
        <v>342</v>
      </c>
      <c r="H32" s="87">
        <f>I32+J32+K32+L32</f>
        <v>39588.400000000001</v>
      </c>
      <c r="I32" s="88">
        <v>39588.400000000001</v>
      </c>
      <c r="J32" s="88">
        <f>J39+J38+J37+J36+J35+J34+J33</f>
        <v>0</v>
      </c>
      <c r="K32" s="88">
        <f>K39+K38+K37+K36+K35+K34+K33</f>
        <v>0</v>
      </c>
      <c r="L32" s="88">
        <f>L39+L38+L37+L36+L35+L34+L33</f>
        <v>0</v>
      </c>
    </row>
    <row r="33" spans="1:13" ht="11.25" customHeight="1">
      <c r="A33" s="1939"/>
      <c r="B33" s="3036"/>
      <c r="C33" s="1939"/>
      <c r="D33" s="1939"/>
      <c r="E33" s="1939"/>
      <c r="F33" s="3037"/>
      <c r="G33" s="83">
        <v>2014</v>
      </c>
      <c r="H33" s="87">
        <f t="shared" ref="H33:H38" si="3">I33+J33+K33+L33</f>
        <v>39588.400000000001</v>
      </c>
      <c r="I33" s="88">
        <v>39588.400000000001</v>
      </c>
      <c r="J33" s="87">
        <v>0</v>
      </c>
      <c r="K33" s="87">
        <v>0</v>
      </c>
      <c r="L33" s="87">
        <v>0</v>
      </c>
    </row>
    <row r="34" spans="1:13" ht="11.25" customHeight="1">
      <c r="A34" s="1939"/>
      <c r="B34" s="3036"/>
      <c r="C34" s="1939"/>
      <c r="D34" s="1939"/>
      <c r="E34" s="1939"/>
      <c r="F34" s="3037"/>
      <c r="G34" s="83">
        <v>2015</v>
      </c>
      <c r="H34" s="87">
        <f t="shared" si="3"/>
        <v>0</v>
      </c>
      <c r="I34" s="87">
        <v>0</v>
      </c>
      <c r="J34" s="87">
        <v>0</v>
      </c>
      <c r="K34" s="87">
        <v>0</v>
      </c>
      <c r="L34" s="87">
        <v>0</v>
      </c>
    </row>
    <row r="35" spans="1:13" ht="11.25" customHeight="1">
      <c r="A35" s="1939"/>
      <c r="B35" s="3036"/>
      <c r="C35" s="1939"/>
      <c r="D35" s="1939"/>
      <c r="E35" s="1939"/>
      <c r="F35" s="3037"/>
      <c r="G35" s="83">
        <v>2016</v>
      </c>
      <c r="H35" s="87">
        <f t="shared" si="3"/>
        <v>0</v>
      </c>
      <c r="I35" s="87">
        <v>0</v>
      </c>
      <c r="J35" s="87">
        <v>0</v>
      </c>
      <c r="K35" s="87">
        <v>0</v>
      </c>
      <c r="L35" s="87">
        <v>0</v>
      </c>
    </row>
    <row r="36" spans="1:13" ht="11.25" customHeight="1">
      <c r="A36" s="1939"/>
      <c r="B36" s="3036"/>
      <c r="C36" s="1939"/>
      <c r="D36" s="1939"/>
      <c r="E36" s="1939"/>
      <c r="F36" s="3037"/>
      <c r="G36" s="83">
        <v>2017</v>
      </c>
      <c r="H36" s="87">
        <f t="shared" si="3"/>
        <v>0</v>
      </c>
      <c r="I36" s="87">
        <v>0</v>
      </c>
      <c r="J36" s="87">
        <v>0</v>
      </c>
      <c r="K36" s="87">
        <v>0</v>
      </c>
      <c r="L36" s="87">
        <v>0</v>
      </c>
    </row>
    <row r="37" spans="1:13" ht="11.25" customHeight="1">
      <c r="A37" s="1939"/>
      <c r="B37" s="3036"/>
      <c r="C37" s="1939"/>
      <c r="D37" s="1939"/>
      <c r="E37" s="1939"/>
      <c r="F37" s="3037"/>
      <c r="G37" s="83">
        <v>2018</v>
      </c>
      <c r="H37" s="87">
        <f t="shared" si="3"/>
        <v>0</v>
      </c>
      <c r="I37" s="87">
        <v>0</v>
      </c>
      <c r="J37" s="87">
        <v>0</v>
      </c>
      <c r="K37" s="87">
        <v>0</v>
      </c>
      <c r="L37" s="87">
        <v>0</v>
      </c>
    </row>
    <row r="38" spans="1:13" ht="11.25" customHeight="1">
      <c r="A38" s="1939"/>
      <c r="B38" s="3036"/>
      <c r="C38" s="1939"/>
      <c r="D38" s="1939"/>
      <c r="E38" s="1939"/>
      <c r="F38" s="3037"/>
      <c r="G38" s="83">
        <v>2019</v>
      </c>
      <c r="H38" s="87">
        <f t="shared" si="3"/>
        <v>0</v>
      </c>
      <c r="I38" s="87">
        <v>0</v>
      </c>
      <c r="J38" s="87">
        <v>0</v>
      </c>
      <c r="K38" s="87">
        <v>0</v>
      </c>
      <c r="L38" s="87">
        <v>0</v>
      </c>
    </row>
    <row r="39" spans="1:13" ht="11.25" customHeight="1">
      <c r="A39" s="1939"/>
      <c r="B39" s="3036"/>
      <c r="C39" s="1939"/>
      <c r="D39" s="1939"/>
      <c r="E39" s="1939"/>
      <c r="F39" s="3037"/>
      <c r="G39" s="83">
        <v>2020</v>
      </c>
      <c r="H39" s="87">
        <f>I39+J39+K39+L39</f>
        <v>0</v>
      </c>
      <c r="I39" s="87">
        <v>0</v>
      </c>
      <c r="J39" s="87">
        <v>0</v>
      </c>
      <c r="K39" s="87">
        <v>0</v>
      </c>
      <c r="L39" s="87">
        <v>0</v>
      </c>
    </row>
    <row r="40" spans="1:13" s="2" customFormat="1" ht="11.25" customHeight="1">
      <c r="A40" s="1991" t="s">
        <v>76</v>
      </c>
      <c r="B40" s="3039" t="s">
        <v>353</v>
      </c>
      <c r="C40" s="1991" t="s">
        <v>89</v>
      </c>
      <c r="D40" s="1991" t="s">
        <v>354</v>
      </c>
      <c r="E40" s="1991" t="s">
        <v>355</v>
      </c>
      <c r="F40" s="3040" t="s">
        <v>356</v>
      </c>
      <c r="G40" s="85" t="s">
        <v>342</v>
      </c>
      <c r="H40" s="91">
        <f>I40+J40+K40+L40</f>
        <v>452299.1</v>
      </c>
      <c r="I40" s="92">
        <f>I47+I46+I45+I44+I43+I42+I41</f>
        <v>229356.3</v>
      </c>
      <c r="J40" s="92">
        <f>J47+J46+J45+J44+J43+J42+J41</f>
        <v>222942.8</v>
      </c>
      <c r="K40" s="92">
        <f>K47+K46+K45+K44+K43+K42+K41</f>
        <v>0</v>
      </c>
      <c r="L40" s="92">
        <f>L47+L46+L45+L44+L43+L42+L41</f>
        <v>0</v>
      </c>
      <c r="M40" s="3">
        <f>H41+H45+H46+H47</f>
        <v>452299.1</v>
      </c>
    </row>
    <row r="41" spans="1:13" s="2" customFormat="1" ht="11.25" customHeight="1">
      <c r="A41" s="1991"/>
      <c r="B41" s="3039"/>
      <c r="C41" s="1991"/>
      <c r="D41" s="1991"/>
      <c r="E41" s="1991"/>
      <c r="F41" s="3040"/>
      <c r="G41" s="85">
        <v>2014</v>
      </c>
      <c r="H41" s="91">
        <f t="shared" ref="H41:H46" si="4">I41+J41+K41+L41</f>
        <v>6413.5</v>
      </c>
      <c r="I41" s="92">
        <v>6413.5</v>
      </c>
      <c r="J41" s="91">
        <v>0</v>
      </c>
      <c r="K41" s="91">
        <v>0</v>
      </c>
      <c r="L41" s="91">
        <v>0</v>
      </c>
    </row>
    <row r="42" spans="1:13" s="2" customFormat="1" ht="11.25" customHeight="1">
      <c r="A42" s="1991"/>
      <c r="B42" s="3039"/>
      <c r="C42" s="1991"/>
      <c r="D42" s="1991"/>
      <c r="E42" s="1991"/>
      <c r="F42" s="3040"/>
      <c r="G42" s="85">
        <v>2015</v>
      </c>
      <c r="H42" s="91">
        <f t="shared" si="4"/>
        <v>0</v>
      </c>
      <c r="I42" s="91">
        <v>0</v>
      </c>
      <c r="J42" s="91">
        <v>0</v>
      </c>
      <c r="K42" s="91">
        <v>0</v>
      </c>
      <c r="L42" s="91">
        <v>0</v>
      </c>
    </row>
    <row r="43" spans="1:13" s="2" customFormat="1" ht="11.25" customHeight="1">
      <c r="A43" s="1991"/>
      <c r="B43" s="3039"/>
      <c r="C43" s="1991"/>
      <c r="D43" s="1991"/>
      <c r="E43" s="1991"/>
      <c r="F43" s="3040"/>
      <c r="G43" s="85">
        <v>2016</v>
      </c>
      <c r="H43" s="91">
        <f t="shared" si="4"/>
        <v>0</v>
      </c>
      <c r="I43" s="91">
        <f>'[4]8 План18-20-2'!F264</f>
        <v>0</v>
      </c>
      <c r="J43" s="91">
        <f>'[4]8 План18-20-2'!G264</f>
        <v>0</v>
      </c>
      <c r="K43" s="91">
        <f>'[4]8 План18-20-2'!H264</f>
        <v>0</v>
      </c>
      <c r="L43" s="91">
        <f>'[4]8 План18-20-2'!I264</f>
        <v>0</v>
      </c>
    </row>
    <row r="44" spans="1:13" s="2" customFormat="1" ht="11.25" customHeight="1">
      <c r="A44" s="1991"/>
      <c r="B44" s="3039"/>
      <c r="C44" s="1991"/>
      <c r="D44" s="1991"/>
      <c r="E44" s="1991"/>
      <c r="F44" s="3040"/>
      <c r="G44" s="85">
        <v>2017</v>
      </c>
      <c r="H44" s="91">
        <f t="shared" si="4"/>
        <v>0</v>
      </c>
      <c r="I44" s="91">
        <f>'[4]8 План18-20-2'!F265</f>
        <v>0</v>
      </c>
      <c r="J44" s="91">
        <f>'[4]8 План18-20-2'!G265</f>
        <v>0</v>
      </c>
      <c r="K44" s="91">
        <f>'[4]8 План18-20-2'!H265</f>
        <v>0</v>
      </c>
      <c r="L44" s="91">
        <f>'[4]8 План18-20-2'!I265</f>
        <v>0</v>
      </c>
    </row>
    <row r="45" spans="1:13" s="2" customFormat="1" ht="11.25" customHeight="1">
      <c r="A45" s="1991"/>
      <c r="B45" s="3039"/>
      <c r="C45" s="1991"/>
      <c r="D45" s="1991"/>
      <c r="E45" s="1991"/>
      <c r="F45" s="3040"/>
      <c r="G45" s="85">
        <v>2018</v>
      </c>
      <c r="H45" s="91">
        <f t="shared" si="4"/>
        <v>40000</v>
      </c>
      <c r="I45" s="91">
        <f>'[4]8 План18-20-2'!F266</f>
        <v>40000</v>
      </c>
      <c r="J45" s="91">
        <f>'[4]8 План18-20-2'!G266</f>
        <v>0</v>
      </c>
      <c r="K45" s="91">
        <f>'[4]8 План18-20-2'!H266</f>
        <v>0</v>
      </c>
      <c r="L45" s="91">
        <f>'[4]8 План18-20-2'!I266</f>
        <v>0</v>
      </c>
    </row>
    <row r="46" spans="1:13" s="2" customFormat="1" ht="11.25" customHeight="1">
      <c r="A46" s="1991"/>
      <c r="B46" s="3039"/>
      <c r="C46" s="1991"/>
      <c r="D46" s="1991"/>
      <c r="E46" s="1991"/>
      <c r="F46" s="3040"/>
      <c r="G46" s="85">
        <v>2019</v>
      </c>
      <c r="H46" s="91">
        <f t="shared" si="4"/>
        <v>180000</v>
      </c>
      <c r="I46" s="91">
        <f>'[4]8 План18-20-2'!F267</f>
        <v>68528.600000000006</v>
      </c>
      <c r="J46" s="91">
        <f>'[4]8 План18-20-2'!G267</f>
        <v>111471.4</v>
      </c>
      <c r="K46" s="91">
        <f>'[4]8 План18-20-2'!H267</f>
        <v>0</v>
      </c>
      <c r="L46" s="91">
        <f>'[4]8 План18-20-2'!I267</f>
        <v>0</v>
      </c>
    </row>
    <row r="47" spans="1:13" s="2" customFormat="1" ht="11.25" customHeight="1">
      <c r="A47" s="1991"/>
      <c r="B47" s="3039"/>
      <c r="C47" s="1991"/>
      <c r="D47" s="1991"/>
      <c r="E47" s="1991"/>
      <c r="F47" s="3040"/>
      <c r="G47" s="85">
        <v>2020</v>
      </c>
      <c r="H47" s="91">
        <f>I47+J47+K47+L47</f>
        <v>225885.59999999998</v>
      </c>
      <c r="I47" s="91">
        <f>'[4]8 План18-20-2'!F268</f>
        <v>114414.2</v>
      </c>
      <c r="J47" s="91">
        <f>'[4]8 План18-20-2'!G268</f>
        <v>111471.4</v>
      </c>
      <c r="K47" s="91">
        <f>'[4]8 План18-20-2'!H268</f>
        <v>0</v>
      </c>
      <c r="L47" s="91">
        <f>'[4]8 План18-20-2'!I268</f>
        <v>0</v>
      </c>
    </row>
    <row r="48" spans="1:13" s="2" customFormat="1" ht="11.25" customHeight="1">
      <c r="A48" s="1991" t="s">
        <v>129</v>
      </c>
      <c r="B48" s="3041" t="s">
        <v>357</v>
      </c>
      <c r="C48" s="1991" t="s">
        <v>85</v>
      </c>
      <c r="D48" s="1991" t="s">
        <v>358</v>
      </c>
      <c r="E48" s="1991" t="s">
        <v>359</v>
      </c>
      <c r="F48" s="3040" t="s">
        <v>360</v>
      </c>
      <c r="G48" s="85" t="s">
        <v>352</v>
      </c>
      <c r="H48" s="91">
        <f>I48+L48</f>
        <v>7113.7</v>
      </c>
      <c r="I48" s="91">
        <v>5915.9</v>
      </c>
      <c r="J48" s="91">
        <v>0</v>
      </c>
      <c r="K48" s="91">
        <v>0</v>
      </c>
      <c r="L48" s="91">
        <v>1197.8</v>
      </c>
    </row>
    <row r="49" spans="1:12" s="2" customFormat="1" ht="11.25" customHeight="1">
      <c r="A49" s="1991"/>
      <c r="B49" s="3042"/>
      <c r="C49" s="1991"/>
      <c r="D49" s="1991"/>
      <c r="E49" s="1991"/>
      <c r="F49" s="3040"/>
      <c r="G49" s="85" t="s">
        <v>342</v>
      </c>
      <c r="H49" s="91">
        <f>I49+J49+K49+L49</f>
        <v>3382</v>
      </c>
      <c r="I49" s="91">
        <v>3382</v>
      </c>
      <c r="J49" s="92">
        <f>J56+J55+J54+J53+J52+J51+J50</f>
        <v>0</v>
      </c>
      <c r="K49" s="92">
        <f>K56+K55+K54+K53+K52+K51+K50</f>
        <v>0</v>
      </c>
      <c r="L49" s="92">
        <f>L56+L55+L54+L53+L52+L51+L50</f>
        <v>0</v>
      </c>
    </row>
    <row r="50" spans="1:12" s="2" customFormat="1" ht="11.25" customHeight="1">
      <c r="A50" s="1991"/>
      <c r="B50" s="3042"/>
      <c r="C50" s="1991"/>
      <c r="D50" s="1991"/>
      <c r="E50" s="1991"/>
      <c r="F50" s="3040"/>
      <c r="G50" s="85">
        <v>2014</v>
      </c>
      <c r="H50" s="91">
        <f t="shared" ref="H50:H55" si="5">I50+J50+K50+L50</f>
        <v>3382</v>
      </c>
      <c r="I50" s="91">
        <v>3382</v>
      </c>
      <c r="J50" s="91">
        <v>0</v>
      </c>
      <c r="K50" s="91">
        <v>0</v>
      </c>
      <c r="L50" s="91">
        <v>0</v>
      </c>
    </row>
    <row r="51" spans="1:12" s="2" customFormat="1" ht="11.25" customHeight="1">
      <c r="A51" s="1991"/>
      <c r="B51" s="3042"/>
      <c r="C51" s="1991"/>
      <c r="D51" s="1991"/>
      <c r="E51" s="1991"/>
      <c r="F51" s="3040"/>
      <c r="G51" s="85">
        <v>2015</v>
      </c>
      <c r="H51" s="91">
        <f t="shared" si="5"/>
        <v>0</v>
      </c>
      <c r="I51" s="91">
        <v>0</v>
      </c>
      <c r="J51" s="91">
        <v>0</v>
      </c>
      <c r="K51" s="91">
        <v>0</v>
      </c>
      <c r="L51" s="91">
        <v>0</v>
      </c>
    </row>
    <row r="52" spans="1:12" s="2" customFormat="1" ht="11.25" customHeight="1">
      <c r="A52" s="1991"/>
      <c r="B52" s="3042"/>
      <c r="C52" s="1991"/>
      <c r="D52" s="1991"/>
      <c r="E52" s="1991"/>
      <c r="F52" s="3040"/>
      <c r="G52" s="85">
        <v>2016</v>
      </c>
      <c r="H52" s="91">
        <f t="shared" si="5"/>
        <v>0</v>
      </c>
      <c r="I52" s="91">
        <v>0</v>
      </c>
      <c r="J52" s="91">
        <v>0</v>
      </c>
      <c r="K52" s="91">
        <v>0</v>
      </c>
      <c r="L52" s="91">
        <v>0</v>
      </c>
    </row>
    <row r="53" spans="1:12" s="2" customFormat="1" ht="11.25" customHeight="1">
      <c r="A53" s="1991"/>
      <c r="B53" s="3042"/>
      <c r="C53" s="1991"/>
      <c r="D53" s="1991"/>
      <c r="E53" s="1991"/>
      <c r="F53" s="3040"/>
      <c r="G53" s="85">
        <v>2017</v>
      </c>
      <c r="H53" s="91">
        <f t="shared" si="5"/>
        <v>0</v>
      </c>
      <c r="I53" s="91">
        <v>0</v>
      </c>
      <c r="J53" s="91">
        <v>0</v>
      </c>
      <c r="K53" s="91">
        <v>0</v>
      </c>
      <c r="L53" s="91">
        <v>0</v>
      </c>
    </row>
    <row r="54" spans="1:12" s="2" customFormat="1" ht="11.25" customHeight="1">
      <c r="A54" s="1991"/>
      <c r="B54" s="3042"/>
      <c r="C54" s="1991"/>
      <c r="D54" s="1991"/>
      <c r="E54" s="1991"/>
      <c r="F54" s="3040"/>
      <c r="G54" s="85">
        <v>2018</v>
      </c>
      <c r="H54" s="91">
        <f t="shared" si="5"/>
        <v>0</v>
      </c>
      <c r="I54" s="91">
        <v>0</v>
      </c>
      <c r="J54" s="91">
        <v>0</v>
      </c>
      <c r="K54" s="91">
        <v>0</v>
      </c>
      <c r="L54" s="91">
        <v>0</v>
      </c>
    </row>
    <row r="55" spans="1:12" s="2" customFormat="1" ht="11.25" customHeight="1">
      <c r="A55" s="1991"/>
      <c r="B55" s="3042"/>
      <c r="C55" s="1991"/>
      <c r="D55" s="1991"/>
      <c r="E55" s="1991"/>
      <c r="F55" s="3040"/>
      <c r="G55" s="85">
        <v>2019</v>
      </c>
      <c r="H55" s="91">
        <f t="shared" si="5"/>
        <v>0</v>
      </c>
      <c r="I55" s="91">
        <v>0</v>
      </c>
      <c r="J55" s="91">
        <v>0</v>
      </c>
      <c r="K55" s="91">
        <v>0</v>
      </c>
      <c r="L55" s="91">
        <v>0</v>
      </c>
    </row>
    <row r="56" spans="1:12" s="2" customFormat="1" ht="11.25" customHeight="1">
      <c r="A56" s="1991"/>
      <c r="B56" s="3043"/>
      <c r="C56" s="1991"/>
      <c r="D56" s="1991"/>
      <c r="E56" s="1991"/>
      <c r="F56" s="3040"/>
      <c r="G56" s="85">
        <v>2020</v>
      </c>
      <c r="H56" s="91">
        <f>I56+J56+K56+L56</f>
        <v>0</v>
      </c>
      <c r="I56" s="91">
        <v>0</v>
      </c>
      <c r="J56" s="91">
        <v>0</v>
      </c>
      <c r="K56" s="91">
        <v>0</v>
      </c>
      <c r="L56" s="91">
        <v>0</v>
      </c>
    </row>
    <row r="57" spans="1:12" s="2" customFormat="1" ht="11.25" customHeight="1">
      <c r="A57" s="1991" t="s">
        <v>361</v>
      </c>
      <c r="B57" s="3039" t="s">
        <v>362</v>
      </c>
      <c r="C57" s="1991" t="s">
        <v>89</v>
      </c>
      <c r="D57" s="1991" t="s">
        <v>363</v>
      </c>
      <c r="E57" s="1991" t="s">
        <v>364</v>
      </c>
      <c r="F57" s="3040" t="s">
        <v>365</v>
      </c>
      <c r="G57" s="85" t="s">
        <v>352</v>
      </c>
      <c r="H57" s="93">
        <f>I57+J57+K57+L57</f>
        <v>72883.199999999997</v>
      </c>
      <c r="I57" s="93">
        <v>63631.9</v>
      </c>
      <c r="J57" s="93">
        <v>9251.2999999999993</v>
      </c>
      <c r="K57" s="93">
        <v>0</v>
      </c>
      <c r="L57" s="93">
        <v>0</v>
      </c>
    </row>
    <row r="58" spans="1:12" s="2" customFormat="1" ht="11.25" customHeight="1">
      <c r="A58" s="1991"/>
      <c r="B58" s="3039"/>
      <c r="C58" s="1991"/>
      <c r="D58" s="1991"/>
      <c r="E58" s="1991"/>
      <c r="F58" s="3040"/>
      <c r="G58" s="85" t="s">
        <v>342</v>
      </c>
      <c r="H58" s="91">
        <f>I58+J58+K58+L58</f>
        <v>77440.2</v>
      </c>
      <c r="I58" s="86">
        <f>I59+I60+I61+I62+I63+I215+I65</f>
        <v>77440.2</v>
      </c>
      <c r="J58" s="92">
        <f>J65+J64+J63+J62+J61+J60+J59</f>
        <v>0</v>
      </c>
      <c r="K58" s="92">
        <f>K65+K64+K63+K62+K61+K60+K59</f>
        <v>0</v>
      </c>
      <c r="L58" s="92">
        <v>0</v>
      </c>
    </row>
    <row r="59" spans="1:12" s="2" customFormat="1" ht="11.25" customHeight="1">
      <c r="A59" s="1991"/>
      <c r="B59" s="3039"/>
      <c r="C59" s="1991"/>
      <c r="D59" s="1991"/>
      <c r="E59" s="1991"/>
      <c r="F59" s="3040"/>
      <c r="G59" s="85">
        <v>2014</v>
      </c>
      <c r="H59" s="91">
        <f t="shared" ref="H59:H64" si="6">I59+J59+K59+L59</f>
        <v>6277.5</v>
      </c>
      <c r="I59" s="92">
        <v>6277.5</v>
      </c>
      <c r="J59" s="86">
        <v>0</v>
      </c>
      <c r="K59" s="86">
        <v>0</v>
      </c>
      <c r="L59" s="86">
        <v>0</v>
      </c>
    </row>
    <row r="60" spans="1:12" s="2" customFormat="1" ht="11.25" customHeight="1">
      <c r="A60" s="1991"/>
      <c r="B60" s="3039"/>
      <c r="C60" s="1991"/>
      <c r="D60" s="1991"/>
      <c r="E60" s="1991"/>
      <c r="F60" s="3040"/>
      <c r="G60" s="85">
        <v>2015</v>
      </c>
      <c r="H60" s="91">
        <f t="shared" si="6"/>
        <v>66364.5</v>
      </c>
      <c r="I60" s="86">
        <v>66364.5</v>
      </c>
      <c r="J60" s="86">
        <v>0</v>
      </c>
      <c r="K60" s="86">
        <v>0</v>
      </c>
      <c r="L60" s="86">
        <v>0</v>
      </c>
    </row>
    <row r="61" spans="1:12" s="2" customFormat="1" ht="11.25" customHeight="1">
      <c r="A61" s="1991"/>
      <c r="B61" s="3039"/>
      <c r="C61" s="1991"/>
      <c r="D61" s="1991"/>
      <c r="E61" s="1991"/>
      <c r="F61" s="3040"/>
      <c r="G61" s="85">
        <v>2016</v>
      </c>
      <c r="H61" s="91">
        <f t="shared" si="6"/>
        <v>4798.2</v>
      </c>
      <c r="I61" s="86">
        <f>'[4]8 План18-20-2'!F258</f>
        <v>4798.2</v>
      </c>
      <c r="J61" s="86">
        <v>0</v>
      </c>
      <c r="K61" s="86">
        <v>0</v>
      </c>
      <c r="L61" s="86">
        <v>0</v>
      </c>
    </row>
    <row r="62" spans="1:12" s="2" customFormat="1" ht="11.25" customHeight="1">
      <c r="A62" s="1991"/>
      <c r="B62" s="3039"/>
      <c r="C62" s="1991"/>
      <c r="D62" s="1991"/>
      <c r="E62" s="1991"/>
      <c r="F62" s="3040"/>
      <c r="G62" s="85">
        <v>2017</v>
      </c>
      <c r="H62" s="91">
        <f t="shared" si="6"/>
        <v>0</v>
      </c>
      <c r="I62" s="86">
        <v>0</v>
      </c>
      <c r="J62" s="86">
        <v>0</v>
      </c>
      <c r="K62" s="86">
        <v>0</v>
      </c>
      <c r="L62" s="86">
        <v>0</v>
      </c>
    </row>
    <row r="63" spans="1:12" s="2" customFormat="1" ht="11.25" customHeight="1">
      <c r="A63" s="1991"/>
      <c r="B63" s="3039"/>
      <c r="C63" s="1991"/>
      <c r="D63" s="1991"/>
      <c r="E63" s="1991"/>
      <c r="F63" s="3040"/>
      <c r="G63" s="85">
        <v>2018</v>
      </c>
      <c r="H63" s="91">
        <f t="shared" si="6"/>
        <v>0</v>
      </c>
      <c r="I63" s="86">
        <v>0</v>
      </c>
      <c r="J63" s="86">
        <v>0</v>
      </c>
      <c r="K63" s="86">
        <v>0</v>
      </c>
      <c r="L63" s="86">
        <v>0</v>
      </c>
    </row>
    <row r="64" spans="1:12" s="2" customFormat="1" ht="11.25" customHeight="1">
      <c r="A64" s="1991"/>
      <c r="B64" s="3039"/>
      <c r="C64" s="1991"/>
      <c r="D64" s="1991"/>
      <c r="E64" s="1991"/>
      <c r="F64" s="3040"/>
      <c r="G64" s="85">
        <v>2019</v>
      </c>
      <c r="H64" s="91">
        <f t="shared" si="6"/>
        <v>0</v>
      </c>
      <c r="I64" s="86">
        <v>0</v>
      </c>
      <c r="J64" s="86">
        <v>0</v>
      </c>
      <c r="K64" s="86">
        <v>0</v>
      </c>
      <c r="L64" s="86">
        <v>0</v>
      </c>
    </row>
    <row r="65" spans="1:14" s="2" customFormat="1" ht="11.25" customHeight="1">
      <c r="A65" s="1991"/>
      <c r="B65" s="3039"/>
      <c r="C65" s="1991"/>
      <c r="D65" s="1991"/>
      <c r="E65" s="1991"/>
      <c r="F65" s="3040"/>
      <c r="G65" s="85">
        <v>2020</v>
      </c>
      <c r="H65" s="91">
        <f>I65+J65+K65+L65</f>
        <v>0</v>
      </c>
      <c r="I65" s="86">
        <v>0</v>
      </c>
      <c r="J65" s="86">
        <v>0</v>
      </c>
      <c r="K65" s="86">
        <v>0</v>
      </c>
      <c r="L65" s="86">
        <v>0</v>
      </c>
    </row>
    <row r="66" spans="1:14" s="2" customFormat="1" ht="11.25" customHeight="1">
      <c r="A66" s="1991" t="s">
        <v>366</v>
      </c>
      <c r="B66" s="3039" t="s">
        <v>367</v>
      </c>
      <c r="C66" s="1991" t="s">
        <v>85</v>
      </c>
      <c r="D66" s="1991" t="s">
        <v>368</v>
      </c>
      <c r="E66" s="1991" t="s">
        <v>369</v>
      </c>
      <c r="F66" s="3040" t="s">
        <v>370</v>
      </c>
      <c r="G66" s="85" t="s">
        <v>352</v>
      </c>
      <c r="H66" s="86">
        <f>I66+J66+K66+L66</f>
        <v>308630.80000000005</v>
      </c>
      <c r="I66" s="86">
        <v>245945.9</v>
      </c>
      <c r="J66" s="86">
        <v>60000</v>
      </c>
      <c r="K66" s="86">
        <v>0</v>
      </c>
      <c r="L66" s="93">
        <v>2684.9</v>
      </c>
      <c r="M66" s="94"/>
      <c r="N66" s="95"/>
    </row>
    <row r="67" spans="1:14" s="2" customFormat="1" ht="11.25" customHeight="1">
      <c r="A67" s="1991"/>
      <c r="B67" s="3039"/>
      <c r="C67" s="1991"/>
      <c r="D67" s="1991"/>
      <c r="E67" s="1991"/>
      <c r="F67" s="3040"/>
      <c r="G67" s="85" t="s">
        <v>342</v>
      </c>
      <c r="H67" s="91">
        <f>I67+J67+K67+L67</f>
        <v>301335.8</v>
      </c>
      <c r="I67" s="86">
        <f>I68+I69+I70+I71+I72+I225+I74</f>
        <v>125073.2</v>
      </c>
      <c r="J67" s="92">
        <f>J74+J73+J72+J71+J70+J69+J68</f>
        <v>175000</v>
      </c>
      <c r="K67" s="92">
        <f>K74+K73+K72+K71+K70+K69+K68</f>
        <v>0</v>
      </c>
      <c r="L67" s="92">
        <f>L74+L73+L72+L71+L70+L69+L68</f>
        <v>1262.5999999999999</v>
      </c>
      <c r="M67" s="3">
        <f>H68+H69</f>
        <v>301335.8</v>
      </c>
    </row>
    <row r="68" spans="1:14" s="2" customFormat="1" ht="11.25" customHeight="1">
      <c r="A68" s="1991"/>
      <c r="B68" s="3039"/>
      <c r="C68" s="1991"/>
      <c r="D68" s="1991"/>
      <c r="E68" s="1991"/>
      <c r="F68" s="3040"/>
      <c r="G68" s="85">
        <v>2014</v>
      </c>
      <c r="H68" s="91">
        <f t="shared" ref="H68:H73" si="7">I68+J68+K68+L68</f>
        <v>170362.6</v>
      </c>
      <c r="I68" s="86">
        <v>89100</v>
      </c>
      <c r="J68" s="86">
        <v>80000</v>
      </c>
      <c r="K68" s="86">
        <v>0</v>
      </c>
      <c r="L68" s="86">
        <v>1262.5999999999999</v>
      </c>
    </row>
    <row r="69" spans="1:14" s="2" customFormat="1" ht="11.25" customHeight="1">
      <c r="A69" s="1991"/>
      <c r="B69" s="3039"/>
      <c r="C69" s="1991"/>
      <c r="D69" s="1991"/>
      <c r="E69" s="1991"/>
      <c r="F69" s="3040"/>
      <c r="G69" s="85">
        <v>2015</v>
      </c>
      <c r="H69" s="91">
        <f t="shared" si="7"/>
        <v>130973.2</v>
      </c>
      <c r="I69" s="86">
        <v>35973.199999999997</v>
      </c>
      <c r="J69" s="86">
        <v>95000</v>
      </c>
      <c r="K69" s="86">
        <v>0</v>
      </c>
      <c r="L69" s="86">
        <v>0</v>
      </c>
    </row>
    <row r="70" spans="1:14" s="2" customFormat="1" ht="11.25" customHeight="1">
      <c r="A70" s="1991"/>
      <c r="B70" s="3039"/>
      <c r="C70" s="1991"/>
      <c r="D70" s="1991"/>
      <c r="E70" s="1991"/>
      <c r="F70" s="3040"/>
      <c r="G70" s="85">
        <v>2016</v>
      </c>
      <c r="H70" s="91">
        <f t="shared" si="7"/>
        <v>0</v>
      </c>
      <c r="I70" s="86">
        <v>0</v>
      </c>
      <c r="J70" s="86">
        <v>0</v>
      </c>
      <c r="K70" s="86">
        <v>0</v>
      </c>
      <c r="L70" s="86">
        <v>0</v>
      </c>
    </row>
    <row r="71" spans="1:14" s="2" customFormat="1" ht="11.25" customHeight="1">
      <c r="A71" s="1991"/>
      <c r="B71" s="3039"/>
      <c r="C71" s="1991"/>
      <c r="D71" s="1991"/>
      <c r="E71" s="1991"/>
      <c r="F71" s="3040"/>
      <c r="G71" s="85">
        <v>2017</v>
      </c>
      <c r="H71" s="91">
        <f t="shared" si="7"/>
        <v>0</v>
      </c>
      <c r="I71" s="86">
        <v>0</v>
      </c>
      <c r="J71" s="86">
        <v>0</v>
      </c>
      <c r="K71" s="86">
        <v>0</v>
      </c>
      <c r="L71" s="86">
        <v>0</v>
      </c>
    </row>
    <row r="72" spans="1:14" s="2" customFormat="1" ht="11.25" customHeight="1">
      <c r="A72" s="1991"/>
      <c r="B72" s="3039"/>
      <c r="C72" s="1991"/>
      <c r="D72" s="1991"/>
      <c r="E72" s="1991"/>
      <c r="F72" s="3040"/>
      <c r="G72" s="85">
        <v>2018</v>
      </c>
      <c r="H72" s="91">
        <f t="shared" si="7"/>
        <v>0</v>
      </c>
      <c r="I72" s="86">
        <v>0</v>
      </c>
      <c r="J72" s="86">
        <v>0</v>
      </c>
      <c r="K72" s="86">
        <v>0</v>
      </c>
      <c r="L72" s="86">
        <v>0</v>
      </c>
    </row>
    <row r="73" spans="1:14" s="2" customFormat="1" ht="11.25" customHeight="1">
      <c r="A73" s="1991"/>
      <c r="B73" s="3039"/>
      <c r="C73" s="1991"/>
      <c r="D73" s="1991"/>
      <c r="E73" s="1991"/>
      <c r="F73" s="3040"/>
      <c r="G73" s="85">
        <v>2019</v>
      </c>
      <c r="H73" s="91">
        <f t="shared" si="7"/>
        <v>0</v>
      </c>
      <c r="I73" s="86">
        <v>0</v>
      </c>
      <c r="J73" s="86">
        <v>0</v>
      </c>
      <c r="K73" s="86">
        <v>0</v>
      </c>
      <c r="L73" s="86">
        <v>0</v>
      </c>
    </row>
    <row r="74" spans="1:14" s="2" customFormat="1" ht="11.25" customHeight="1">
      <c r="A74" s="1991"/>
      <c r="B74" s="3039"/>
      <c r="C74" s="1991"/>
      <c r="D74" s="1991"/>
      <c r="E74" s="1991"/>
      <c r="F74" s="3040"/>
      <c r="G74" s="85">
        <v>2020</v>
      </c>
      <c r="H74" s="91">
        <f>I74+J74+K74+L74</f>
        <v>0</v>
      </c>
      <c r="I74" s="86">
        <v>0</v>
      </c>
      <c r="J74" s="86">
        <v>0</v>
      </c>
      <c r="K74" s="86">
        <v>0</v>
      </c>
      <c r="L74" s="86">
        <v>0</v>
      </c>
    </row>
    <row r="75" spans="1:14" s="2" customFormat="1" ht="11.25" customHeight="1">
      <c r="A75" s="1991" t="s">
        <v>371</v>
      </c>
      <c r="B75" s="3039" t="s">
        <v>372</v>
      </c>
      <c r="C75" s="1991" t="s">
        <v>85</v>
      </c>
      <c r="D75" s="1991" t="s">
        <v>373</v>
      </c>
      <c r="E75" s="1991" t="s">
        <v>374</v>
      </c>
      <c r="F75" s="3040" t="s">
        <v>375</v>
      </c>
      <c r="G75" s="85" t="s">
        <v>352</v>
      </c>
      <c r="H75" s="86">
        <f>I75+J75+K75+L75</f>
        <v>171578.9</v>
      </c>
      <c r="I75" s="86">
        <v>171578.9</v>
      </c>
      <c r="J75" s="86">
        <v>0</v>
      </c>
      <c r="K75" s="86">
        <v>0</v>
      </c>
      <c r="L75" s="86">
        <v>0</v>
      </c>
    </row>
    <row r="76" spans="1:14" s="2" customFormat="1" ht="11.25" customHeight="1">
      <c r="A76" s="1991"/>
      <c r="B76" s="3039"/>
      <c r="C76" s="1991"/>
      <c r="D76" s="1991"/>
      <c r="E76" s="1991"/>
      <c r="F76" s="3040"/>
      <c r="G76" s="85" t="s">
        <v>342</v>
      </c>
      <c r="H76" s="91">
        <f>I76+J76+K76+L76</f>
        <v>313529.8</v>
      </c>
      <c r="I76" s="86">
        <f>I77+I78+I79+I80+I81+I235+I83</f>
        <v>283529.8</v>
      </c>
      <c r="J76" s="92">
        <f>J83+J82+J81+J80+J79+J78+J77</f>
        <v>30000</v>
      </c>
      <c r="K76" s="92">
        <f>K83+K82+K81+K80+K79+K78+K77</f>
        <v>0</v>
      </c>
      <c r="L76" s="92">
        <f>L83+L82+L81+L80+L79+L78+L77</f>
        <v>0</v>
      </c>
      <c r="M76" s="3">
        <f>H77+H78</f>
        <v>313529.8</v>
      </c>
    </row>
    <row r="77" spans="1:14" s="2" customFormat="1" ht="11.25" customHeight="1">
      <c r="A77" s="1991"/>
      <c r="B77" s="3039"/>
      <c r="C77" s="1991"/>
      <c r="D77" s="1991"/>
      <c r="E77" s="1991"/>
      <c r="F77" s="3040"/>
      <c r="G77" s="85">
        <v>2014</v>
      </c>
      <c r="H77" s="91">
        <f t="shared" ref="H77:H82" si="8">I77+J77+K77+L77</f>
        <v>249605.5</v>
      </c>
      <c r="I77" s="86">
        <v>249605.5</v>
      </c>
      <c r="J77" s="86">
        <v>0</v>
      </c>
      <c r="K77" s="86">
        <v>0</v>
      </c>
      <c r="L77" s="86">
        <v>0</v>
      </c>
    </row>
    <row r="78" spans="1:14" s="2" customFormat="1" ht="11.25" customHeight="1">
      <c r="A78" s="1991"/>
      <c r="B78" s="3039"/>
      <c r="C78" s="1991"/>
      <c r="D78" s="1991"/>
      <c r="E78" s="1991"/>
      <c r="F78" s="3040"/>
      <c r="G78" s="85">
        <v>2015</v>
      </c>
      <c r="H78" s="91">
        <f t="shared" si="8"/>
        <v>63924.3</v>
      </c>
      <c r="I78" s="93">
        <v>33924.300000000003</v>
      </c>
      <c r="J78" s="93">
        <v>30000</v>
      </c>
      <c r="K78" s="93">
        <v>0</v>
      </c>
      <c r="L78" s="93">
        <v>0</v>
      </c>
    </row>
    <row r="79" spans="1:14" s="2" customFormat="1" ht="11.25" customHeight="1">
      <c r="A79" s="1991"/>
      <c r="B79" s="3039"/>
      <c r="C79" s="1991"/>
      <c r="D79" s="1991"/>
      <c r="E79" s="1991"/>
      <c r="F79" s="3040"/>
      <c r="G79" s="85">
        <v>2016</v>
      </c>
      <c r="H79" s="91">
        <f t="shared" si="8"/>
        <v>0</v>
      </c>
      <c r="I79" s="86">
        <v>0</v>
      </c>
      <c r="J79" s="86">
        <v>0</v>
      </c>
      <c r="K79" s="86">
        <v>0</v>
      </c>
      <c r="L79" s="86">
        <v>0</v>
      </c>
    </row>
    <row r="80" spans="1:14" s="2" customFormat="1" ht="11.25" customHeight="1">
      <c r="A80" s="1991"/>
      <c r="B80" s="3039"/>
      <c r="C80" s="1991"/>
      <c r="D80" s="1991"/>
      <c r="E80" s="1991"/>
      <c r="F80" s="3040"/>
      <c r="G80" s="85">
        <v>2017</v>
      </c>
      <c r="H80" s="91">
        <f t="shared" si="8"/>
        <v>0</v>
      </c>
      <c r="I80" s="86">
        <v>0</v>
      </c>
      <c r="J80" s="86">
        <v>0</v>
      </c>
      <c r="K80" s="86">
        <v>0</v>
      </c>
      <c r="L80" s="86">
        <v>0</v>
      </c>
    </row>
    <row r="81" spans="1:13" s="2" customFormat="1" ht="11.25" customHeight="1">
      <c r="A81" s="1991"/>
      <c r="B81" s="3039"/>
      <c r="C81" s="1991"/>
      <c r="D81" s="1991"/>
      <c r="E81" s="1991"/>
      <c r="F81" s="3040"/>
      <c r="G81" s="85">
        <v>2018</v>
      </c>
      <c r="H81" s="91">
        <f t="shared" si="8"/>
        <v>0</v>
      </c>
      <c r="I81" s="86">
        <v>0</v>
      </c>
      <c r="J81" s="86">
        <v>0</v>
      </c>
      <c r="K81" s="86">
        <v>0</v>
      </c>
      <c r="L81" s="86">
        <v>0</v>
      </c>
    </row>
    <row r="82" spans="1:13" s="2" customFormat="1" ht="11.25" customHeight="1">
      <c r="A82" s="1991"/>
      <c r="B82" s="3039"/>
      <c r="C82" s="1991"/>
      <c r="D82" s="1991"/>
      <c r="E82" s="1991"/>
      <c r="F82" s="3040"/>
      <c r="G82" s="85">
        <v>2019</v>
      </c>
      <c r="H82" s="91">
        <f t="shared" si="8"/>
        <v>0</v>
      </c>
      <c r="I82" s="86">
        <v>0</v>
      </c>
      <c r="J82" s="86">
        <v>0</v>
      </c>
      <c r="K82" s="86">
        <v>0</v>
      </c>
      <c r="L82" s="86">
        <v>0</v>
      </c>
    </row>
    <row r="83" spans="1:13" s="2" customFormat="1" ht="11.25" customHeight="1">
      <c r="A83" s="1991"/>
      <c r="B83" s="3039"/>
      <c r="C83" s="1991"/>
      <c r="D83" s="1991"/>
      <c r="E83" s="1991"/>
      <c r="F83" s="3040"/>
      <c r="G83" s="85">
        <v>2020</v>
      </c>
      <c r="H83" s="91">
        <f>I83+J83+K83+L83</f>
        <v>0</v>
      </c>
      <c r="I83" s="86">
        <v>0</v>
      </c>
      <c r="J83" s="86">
        <v>0</v>
      </c>
      <c r="K83" s="86">
        <v>0</v>
      </c>
      <c r="L83" s="86">
        <v>0</v>
      </c>
    </row>
    <row r="84" spans="1:13" s="2" customFormat="1" ht="11.25" customHeight="1">
      <c r="A84" s="1991" t="s">
        <v>376</v>
      </c>
      <c r="B84" s="3039" t="s">
        <v>377</v>
      </c>
      <c r="C84" s="1991" t="s">
        <v>85</v>
      </c>
      <c r="D84" s="1991" t="s">
        <v>378</v>
      </c>
      <c r="E84" s="1990" t="s">
        <v>379</v>
      </c>
      <c r="F84" s="3040" t="s">
        <v>380</v>
      </c>
      <c r="G84" s="96" t="s">
        <v>342</v>
      </c>
      <c r="H84" s="91">
        <f>I84+J84+K84+L84</f>
        <v>86057.7</v>
      </c>
      <c r="I84" s="97">
        <f>I85+I86+I87+I88+I89+I245+I91</f>
        <v>84587.4</v>
      </c>
      <c r="J84" s="92">
        <f>J91+J90+J89+J88+J87+J86+J85</f>
        <v>0</v>
      </c>
      <c r="K84" s="92">
        <f>K91+K90+K89+K88+K87+K86+K85</f>
        <v>0</v>
      </c>
      <c r="L84" s="92">
        <f>L91+L90+L89+L88+L87+L86+L85</f>
        <v>1470.3</v>
      </c>
    </row>
    <row r="85" spans="1:13" s="2" customFormat="1" ht="11.25" customHeight="1">
      <c r="A85" s="1991"/>
      <c r="B85" s="3039"/>
      <c r="C85" s="1991"/>
      <c r="D85" s="1991"/>
      <c r="E85" s="1990"/>
      <c r="F85" s="3040"/>
      <c r="G85" s="85">
        <v>2014</v>
      </c>
      <c r="H85" s="91">
        <f t="shared" ref="H85:H90" si="9">I85+J85+K85+L85</f>
        <v>22470.2</v>
      </c>
      <c r="I85" s="92">
        <v>20999.9</v>
      </c>
      <c r="J85" s="86">
        <v>0</v>
      </c>
      <c r="K85" s="86">
        <v>0</v>
      </c>
      <c r="L85" s="86">
        <v>1470.3</v>
      </c>
      <c r="M85" s="3">
        <f>H85+H86+H87</f>
        <v>86057.7</v>
      </c>
    </row>
    <row r="86" spans="1:13" s="2" customFormat="1" ht="11.25" customHeight="1">
      <c r="A86" s="1991"/>
      <c r="B86" s="3039"/>
      <c r="C86" s="1991"/>
      <c r="D86" s="1991"/>
      <c r="E86" s="1990"/>
      <c r="F86" s="3040"/>
      <c r="G86" s="85">
        <v>2015</v>
      </c>
      <c r="H86" s="91">
        <f t="shared" si="9"/>
        <v>38000</v>
      </c>
      <c r="I86" s="93">
        <v>38000</v>
      </c>
      <c r="J86" s="93">
        <v>0</v>
      </c>
      <c r="K86" s="93">
        <v>0</v>
      </c>
      <c r="L86" s="93">
        <v>0</v>
      </c>
    </row>
    <row r="87" spans="1:13" s="2" customFormat="1" ht="11.25" customHeight="1">
      <c r="A87" s="1991"/>
      <c r="B87" s="3039"/>
      <c r="C87" s="1991"/>
      <c r="D87" s="1991"/>
      <c r="E87" s="1990"/>
      <c r="F87" s="3040"/>
      <c r="G87" s="85">
        <v>2016</v>
      </c>
      <c r="H87" s="91">
        <f t="shared" si="9"/>
        <v>25587.5</v>
      </c>
      <c r="I87" s="86">
        <f>'[4]8 План18-20-2'!F228</f>
        <v>25587.5</v>
      </c>
      <c r="J87" s="86">
        <v>0</v>
      </c>
      <c r="K87" s="86">
        <v>0</v>
      </c>
      <c r="L87" s="86">
        <v>0</v>
      </c>
    </row>
    <row r="88" spans="1:13" s="2" customFormat="1" ht="11.25" customHeight="1">
      <c r="A88" s="1991"/>
      <c r="B88" s="3039"/>
      <c r="C88" s="1991"/>
      <c r="D88" s="1991"/>
      <c r="E88" s="1990"/>
      <c r="F88" s="3040"/>
      <c r="G88" s="85">
        <v>2017</v>
      </c>
      <c r="H88" s="91">
        <f t="shared" si="9"/>
        <v>0</v>
      </c>
      <c r="I88" s="86">
        <v>0</v>
      </c>
      <c r="J88" s="86">
        <v>0</v>
      </c>
      <c r="K88" s="86">
        <v>0</v>
      </c>
      <c r="L88" s="86">
        <v>0</v>
      </c>
    </row>
    <row r="89" spans="1:13" s="2" customFormat="1" ht="11.25" customHeight="1">
      <c r="A89" s="1991"/>
      <c r="B89" s="3039"/>
      <c r="C89" s="1991"/>
      <c r="D89" s="1991"/>
      <c r="E89" s="1990"/>
      <c r="F89" s="3040"/>
      <c r="G89" s="85">
        <v>2018</v>
      </c>
      <c r="H89" s="91">
        <f t="shared" si="9"/>
        <v>0</v>
      </c>
      <c r="I89" s="86">
        <v>0</v>
      </c>
      <c r="J89" s="86">
        <v>0</v>
      </c>
      <c r="K89" s="86">
        <v>0</v>
      </c>
      <c r="L89" s="86">
        <v>0</v>
      </c>
    </row>
    <row r="90" spans="1:13" s="2" customFormat="1" ht="11.25" customHeight="1">
      <c r="A90" s="1991"/>
      <c r="B90" s="3039"/>
      <c r="C90" s="1991"/>
      <c r="D90" s="1991"/>
      <c r="E90" s="1990"/>
      <c r="F90" s="3040"/>
      <c r="G90" s="85">
        <v>2019</v>
      </c>
      <c r="H90" s="91">
        <f t="shared" si="9"/>
        <v>0</v>
      </c>
      <c r="I90" s="86">
        <v>0</v>
      </c>
      <c r="J90" s="86">
        <v>0</v>
      </c>
      <c r="K90" s="86">
        <v>0</v>
      </c>
      <c r="L90" s="86">
        <v>0</v>
      </c>
    </row>
    <row r="91" spans="1:13" s="2" customFormat="1" ht="11.25" customHeight="1">
      <c r="A91" s="1991"/>
      <c r="B91" s="3039"/>
      <c r="C91" s="1991"/>
      <c r="D91" s="1991"/>
      <c r="E91" s="1990"/>
      <c r="F91" s="3040"/>
      <c r="G91" s="85">
        <v>2020</v>
      </c>
      <c r="H91" s="91">
        <f>I91+J91+K91+L91</f>
        <v>0</v>
      </c>
      <c r="I91" s="86">
        <v>0</v>
      </c>
      <c r="J91" s="86">
        <v>0</v>
      </c>
      <c r="K91" s="86">
        <v>0</v>
      </c>
      <c r="L91" s="86">
        <v>0</v>
      </c>
    </row>
    <row r="92" spans="1:13" s="2" customFormat="1" ht="11.25" customHeight="1">
      <c r="A92" s="1991" t="s">
        <v>381</v>
      </c>
      <c r="B92" s="3044" t="s">
        <v>382</v>
      </c>
      <c r="C92" s="1991" t="s">
        <v>383</v>
      </c>
      <c r="D92" s="1991" t="s">
        <v>384</v>
      </c>
      <c r="E92" s="1991" t="s">
        <v>385</v>
      </c>
      <c r="F92" s="3040" t="s">
        <v>386</v>
      </c>
      <c r="G92" s="96" t="s">
        <v>342</v>
      </c>
      <c r="H92" s="91">
        <f>I92+J92+K92+L92</f>
        <v>192414</v>
      </c>
      <c r="I92" s="97">
        <f>I93+I94+I95+I96+I97+I98+I99</f>
        <v>101232.7</v>
      </c>
      <c r="J92" s="92">
        <f>J99+J98+J97+J96+J95+J94+J93</f>
        <v>0</v>
      </c>
      <c r="K92" s="97">
        <f>K93+K94+K95+K96+K97+K98+K99</f>
        <v>91181.3</v>
      </c>
      <c r="L92" s="97">
        <f>L93+L94+L95+L96+L97+L265+L99</f>
        <v>0</v>
      </c>
      <c r="M92" s="3">
        <f>H95+H96+H97+H98</f>
        <v>192414</v>
      </c>
    </row>
    <row r="93" spans="1:13" s="2" customFormat="1" ht="11.25" customHeight="1">
      <c r="A93" s="1991"/>
      <c r="B93" s="3044"/>
      <c r="C93" s="1991"/>
      <c r="D93" s="1991"/>
      <c r="E93" s="1991"/>
      <c r="F93" s="3040"/>
      <c r="G93" s="85">
        <v>2014</v>
      </c>
      <c r="H93" s="91">
        <f t="shared" ref="H93:H98" si="10">I93+J93+K93+L93</f>
        <v>0</v>
      </c>
      <c r="I93" s="86">
        <v>0</v>
      </c>
      <c r="J93" s="86">
        <v>0</v>
      </c>
      <c r="K93" s="86">
        <v>0</v>
      </c>
      <c r="L93" s="86">
        <v>0</v>
      </c>
    </row>
    <row r="94" spans="1:13" s="2" customFormat="1" ht="11.25" customHeight="1">
      <c r="A94" s="1991"/>
      <c r="B94" s="3044"/>
      <c r="C94" s="1991"/>
      <c r="D94" s="1991"/>
      <c r="E94" s="1991"/>
      <c r="F94" s="3040"/>
      <c r="G94" s="85">
        <v>2015</v>
      </c>
      <c r="H94" s="91">
        <f t="shared" si="10"/>
        <v>0</v>
      </c>
      <c r="I94" s="86">
        <v>0</v>
      </c>
      <c r="J94" s="86">
        <v>0</v>
      </c>
      <c r="K94" s="86">
        <v>0</v>
      </c>
      <c r="L94" s="86">
        <v>0</v>
      </c>
    </row>
    <row r="95" spans="1:13" s="2" customFormat="1" ht="11.25" customHeight="1">
      <c r="A95" s="1991"/>
      <c r="B95" s="3044"/>
      <c r="C95" s="1991"/>
      <c r="D95" s="1991"/>
      <c r="E95" s="1991"/>
      <c r="F95" s="3040"/>
      <c r="G95" s="85">
        <v>2016</v>
      </c>
      <c r="H95" s="91">
        <f t="shared" si="10"/>
        <v>4600</v>
      </c>
      <c r="I95" s="86">
        <f>'[4]8 План18-20-2'!F246</f>
        <v>2300</v>
      </c>
      <c r="J95" s="86">
        <f>'[4]8 План18-20-2'!G246</f>
        <v>0</v>
      </c>
      <c r="K95" s="86">
        <f>'[4]8 План18-20-2'!H246</f>
        <v>2300</v>
      </c>
      <c r="L95" s="86">
        <f>'[4]8 План18-20-2'!I246</f>
        <v>0</v>
      </c>
    </row>
    <row r="96" spans="1:13" s="2" customFormat="1" ht="11.25" customHeight="1">
      <c r="A96" s="1991"/>
      <c r="B96" s="3044"/>
      <c r="C96" s="1991"/>
      <c r="D96" s="1991"/>
      <c r="E96" s="1991"/>
      <c r="F96" s="3040"/>
      <c r="G96" s="85">
        <v>2017</v>
      </c>
      <c r="H96" s="91">
        <f t="shared" si="10"/>
        <v>22593.3</v>
      </c>
      <c r="I96" s="86">
        <f>'[4]8 План18-20-2'!F247</f>
        <v>20000</v>
      </c>
      <c r="J96" s="86">
        <f>'[4]8 План18-20-2'!G247</f>
        <v>0</v>
      </c>
      <c r="K96" s="86">
        <v>2593.3000000000002</v>
      </c>
      <c r="L96" s="86">
        <f>'[4]8 План18-20-2'!I247</f>
        <v>0</v>
      </c>
    </row>
    <row r="97" spans="1:12" s="2" customFormat="1" ht="11.25" customHeight="1">
      <c r="A97" s="1991"/>
      <c r="B97" s="3044"/>
      <c r="C97" s="1991"/>
      <c r="D97" s="1991"/>
      <c r="E97" s="1991"/>
      <c r="F97" s="3040"/>
      <c r="G97" s="85">
        <v>2018</v>
      </c>
      <c r="H97" s="91">
        <f t="shared" si="10"/>
        <v>64220.7</v>
      </c>
      <c r="I97" s="86">
        <f>'[4]8 План18-20-2'!F248</f>
        <v>24998.7</v>
      </c>
      <c r="J97" s="86">
        <f>'[4]8 План18-20-2'!G248</f>
        <v>0</v>
      </c>
      <c r="K97" s="86">
        <f>'[4]8 План18-20-2'!H248</f>
        <v>39222</v>
      </c>
      <c r="L97" s="86">
        <f>'[4]8 План18-20-2'!I248</f>
        <v>0</v>
      </c>
    </row>
    <row r="98" spans="1:12" s="2" customFormat="1" ht="11.25" customHeight="1">
      <c r="A98" s="1991"/>
      <c r="B98" s="3044"/>
      <c r="C98" s="1991"/>
      <c r="D98" s="1991"/>
      <c r="E98" s="1991"/>
      <c r="F98" s="3040"/>
      <c r="G98" s="85">
        <v>2019</v>
      </c>
      <c r="H98" s="91">
        <f t="shared" si="10"/>
        <v>101000</v>
      </c>
      <c r="I98" s="86">
        <f>'[4]8 План18-20-2'!F249</f>
        <v>53934</v>
      </c>
      <c r="J98" s="86">
        <f>'[4]8 План18-20-2'!G249</f>
        <v>0</v>
      </c>
      <c r="K98" s="86">
        <f>'[4]8 План18-20-2'!H249</f>
        <v>47066</v>
      </c>
      <c r="L98" s="86">
        <f>'[4]8 План18-20-2'!I249</f>
        <v>0</v>
      </c>
    </row>
    <row r="99" spans="1:12" s="2" customFormat="1" ht="11.25" customHeight="1">
      <c r="A99" s="1991"/>
      <c r="B99" s="3044"/>
      <c r="C99" s="1991"/>
      <c r="D99" s="1991"/>
      <c r="E99" s="1991"/>
      <c r="F99" s="3040"/>
      <c r="G99" s="85">
        <v>2020</v>
      </c>
      <c r="H99" s="91">
        <f>I99+J99+K99+L99</f>
        <v>0</v>
      </c>
      <c r="I99" s="86">
        <f>'[4]8 План18-20-2'!F250</f>
        <v>0</v>
      </c>
      <c r="J99" s="86">
        <f>'[4]8 План18-20-2'!G250</f>
        <v>0</v>
      </c>
      <c r="K99" s="86">
        <f>'[4]8 План18-20-2'!H250</f>
        <v>0</v>
      </c>
      <c r="L99" s="86">
        <f>'[4]8 План18-20-2'!I250</f>
        <v>0</v>
      </c>
    </row>
    <row r="100" spans="1:12" s="2" customFormat="1" ht="11.25" customHeight="1">
      <c r="A100" s="1991" t="s">
        <v>387</v>
      </c>
      <c r="B100" s="3039" t="s">
        <v>388</v>
      </c>
      <c r="C100" s="1991" t="s">
        <v>85</v>
      </c>
      <c r="D100" s="1991" t="s">
        <v>389</v>
      </c>
      <c r="E100" s="1991" t="s">
        <v>390</v>
      </c>
      <c r="F100" s="3040" t="s">
        <v>391</v>
      </c>
      <c r="G100" s="96" t="s">
        <v>342</v>
      </c>
      <c r="H100" s="91">
        <f>I100+J100+K100+L100</f>
        <v>17563.8</v>
      </c>
      <c r="I100" s="97">
        <f>I101+I102+I103+I104+I105+I275+I107</f>
        <v>15375.7</v>
      </c>
      <c r="J100" s="92">
        <f>J107+J106+J105+J104+J103+J102+J101</f>
        <v>0</v>
      </c>
      <c r="K100" s="97">
        <f>K101+K102+K103+K104+K105+K275+K107</f>
        <v>0</v>
      </c>
      <c r="L100" s="98">
        <f>L101+L102+L103+L104+L105+L275+L107</f>
        <v>2188.1</v>
      </c>
    </row>
    <row r="101" spans="1:12" s="2" customFormat="1" ht="11.25" customHeight="1">
      <c r="A101" s="1991"/>
      <c r="B101" s="3039"/>
      <c r="C101" s="1991"/>
      <c r="D101" s="1991"/>
      <c r="E101" s="1991"/>
      <c r="F101" s="3040"/>
      <c r="G101" s="85">
        <v>2014</v>
      </c>
      <c r="H101" s="91">
        <f t="shared" ref="H101:H106" si="11">I101+J101+K101+L101</f>
        <v>2188.1</v>
      </c>
      <c r="I101" s="86">
        <v>0</v>
      </c>
      <c r="J101" s="86">
        <v>0</v>
      </c>
      <c r="K101" s="86">
        <v>0</v>
      </c>
      <c r="L101" s="99">
        <v>2188.1</v>
      </c>
    </row>
    <row r="102" spans="1:12" s="2" customFormat="1" ht="11.25" customHeight="1">
      <c r="A102" s="1991"/>
      <c r="B102" s="3039"/>
      <c r="C102" s="1991"/>
      <c r="D102" s="1991"/>
      <c r="E102" s="1991"/>
      <c r="F102" s="3040"/>
      <c r="G102" s="85">
        <v>2015</v>
      </c>
      <c r="H102" s="91">
        <f t="shared" si="11"/>
        <v>15375.7</v>
      </c>
      <c r="I102" s="86">
        <v>15375.7</v>
      </c>
      <c r="J102" s="86">
        <v>0</v>
      </c>
      <c r="K102" s="86">
        <v>0</v>
      </c>
      <c r="L102" s="86">
        <v>0</v>
      </c>
    </row>
    <row r="103" spans="1:12" s="2" customFormat="1" ht="11.25" customHeight="1">
      <c r="A103" s="1991"/>
      <c r="B103" s="3039"/>
      <c r="C103" s="1991"/>
      <c r="D103" s="1991"/>
      <c r="E103" s="1991"/>
      <c r="F103" s="3040"/>
      <c r="G103" s="85">
        <v>2016</v>
      </c>
      <c r="H103" s="91">
        <f t="shared" si="11"/>
        <v>0</v>
      </c>
      <c r="I103" s="86">
        <v>0</v>
      </c>
      <c r="J103" s="86">
        <v>0</v>
      </c>
      <c r="K103" s="86">
        <v>0</v>
      </c>
      <c r="L103" s="86">
        <v>0</v>
      </c>
    </row>
    <row r="104" spans="1:12" s="2" customFormat="1" ht="11.25" customHeight="1">
      <c r="A104" s="1991"/>
      <c r="B104" s="3039"/>
      <c r="C104" s="1991"/>
      <c r="D104" s="1991"/>
      <c r="E104" s="1991"/>
      <c r="F104" s="3040"/>
      <c r="G104" s="85">
        <v>2017</v>
      </c>
      <c r="H104" s="91">
        <f t="shared" si="11"/>
        <v>0</v>
      </c>
      <c r="I104" s="86">
        <v>0</v>
      </c>
      <c r="J104" s="86">
        <v>0</v>
      </c>
      <c r="K104" s="86">
        <v>0</v>
      </c>
      <c r="L104" s="86">
        <v>0</v>
      </c>
    </row>
    <row r="105" spans="1:12" s="2" customFormat="1" ht="11.25" customHeight="1">
      <c r="A105" s="1991"/>
      <c r="B105" s="3039"/>
      <c r="C105" s="1991"/>
      <c r="D105" s="1991"/>
      <c r="E105" s="1991"/>
      <c r="F105" s="3040"/>
      <c r="G105" s="85">
        <v>2018</v>
      </c>
      <c r="H105" s="91">
        <f t="shared" si="11"/>
        <v>0</v>
      </c>
      <c r="I105" s="86">
        <v>0</v>
      </c>
      <c r="J105" s="86">
        <v>0</v>
      </c>
      <c r="K105" s="86">
        <v>0</v>
      </c>
      <c r="L105" s="86">
        <v>0</v>
      </c>
    </row>
    <row r="106" spans="1:12" s="2" customFormat="1" ht="11.25" customHeight="1">
      <c r="A106" s="1991"/>
      <c r="B106" s="3039"/>
      <c r="C106" s="1991"/>
      <c r="D106" s="1991"/>
      <c r="E106" s="1991"/>
      <c r="F106" s="3040"/>
      <c r="G106" s="85">
        <v>2019</v>
      </c>
      <c r="H106" s="91">
        <f t="shared" si="11"/>
        <v>0</v>
      </c>
      <c r="I106" s="86">
        <v>0</v>
      </c>
      <c r="J106" s="86">
        <v>0</v>
      </c>
      <c r="K106" s="86">
        <v>0</v>
      </c>
      <c r="L106" s="86">
        <v>0</v>
      </c>
    </row>
    <row r="107" spans="1:12" s="2" customFormat="1" ht="11.25" customHeight="1">
      <c r="A107" s="1991"/>
      <c r="B107" s="3039"/>
      <c r="C107" s="1991"/>
      <c r="D107" s="1991"/>
      <c r="E107" s="1991"/>
      <c r="F107" s="3040"/>
      <c r="G107" s="85">
        <v>2020</v>
      </c>
      <c r="H107" s="91">
        <f>I107+J107+K107+L107</f>
        <v>0</v>
      </c>
      <c r="I107" s="86">
        <v>0</v>
      </c>
      <c r="J107" s="86">
        <v>0</v>
      </c>
      <c r="K107" s="86">
        <v>0</v>
      </c>
      <c r="L107" s="86">
        <v>0</v>
      </c>
    </row>
    <row r="108" spans="1:12" s="2" customFormat="1" ht="11.25" customHeight="1">
      <c r="A108" s="1991" t="s">
        <v>392</v>
      </c>
      <c r="B108" s="3039" t="s">
        <v>393</v>
      </c>
      <c r="C108" s="1991" t="s">
        <v>394</v>
      </c>
      <c r="D108" s="1991" t="s">
        <v>395</v>
      </c>
      <c r="E108" s="1991" t="s">
        <v>396</v>
      </c>
      <c r="F108" s="3040" t="s">
        <v>397</v>
      </c>
      <c r="G108" s="96" t="s">
        <v>342</v>
      </c>
      <c r="H108" s="91">
        <f>I108+J108+K108+L108</f>
        <v>43076.43</v>
      </c>
      <c r="I108" s="97">
        <f>I109+I110+I111+I112+I113+I114+I115</f>
        <v>0</v>
      </c>
      <c r="J108" s="97">
        <f>J109+J110+J111+J112+J113+J292+J115</f>
        <v>0</v>
      </c>
      <c r="K108" s="97">
        <f>K109+K110+K111+K112+K113+K114+K115</f>
        <v>18076.43</v>
      </c>
      <c r="L108" s="97">
        <f>L109+L110+L111+L112+L113+L292+L115</f>
        <v>25000</v>
      </c>
    </row>
    <row r="109" spans="1:12" s="2" customFormat="1" ht="11.25" customHeight="1">
      <c r="A109" s="1991"/>
      <c r="B109" s="3039"/>
      <c r="C109" s="1991"/>
      <c r="D109" s="1991"/>
      <c r="E109" s="1991"/>
      <c r="F109" s="3040"/>
      <c r="G109" s="85">
        <v>2014</v>
      </c>
      <c r="H109" s="91">
        <f t="shared" ref="H109:H114" si="12">I109+J109+K109+L109</f>
        <v>0</v>
      </c>
      <c r="I109" s="86">
        <v>0</v>
      </c>
      <c r="J109" s="86">
        <v>0</v>
      </c>
      <c r="K109" s="86">
        <v>0</v>
      </c>
      <c r="L109" s="86">
        <v>0</v>
      </c>
    </row>
    <row r="110" spans="1:12" s="2" customFormat="1" ht="11.25" customHeight="1">
      <c r="A110" s="1991"/>
      <c r="B110" s="3039"/>
      <c r="C110" s="1991"/>
      <c r="D110" s="1991"/>
      <c r="E110" s="1991"/>
      <c r="F110" s="3040"/>
      <c r="G110" s="85">
        <v>2015</v>
      </c>
      <c r="H110" s="91">
        <f t="shared" si="12"/>
        <v>0</v>
      </c>
      <c r="I110" s="86">
        <v>0</v>
      </c>
      <c r="J110" s="86">
        <v>0</v>
      </c>
      <c r="K110" s="86">
        <v>0</v>
      </c>
      <c r="L110" s="86">
        <v>0</v>
      </c>
    </row>
    <row r="111" spans="1:12" s="2" customFormat="1" ht="11.25" customHeight="1">
      <c r="A111" s="1991"/>
      <c r="B111" s="3039"/>
      <c r="C111" s="1991"/>
      <c r="D111" s="1991"/>
      <c r="E111" s="1991"/>
      <c r="F111" s="3040"/>
      <c r="G111" s="85">
        <v>2016</v>
      </c>
      <c r="H111" s="91">
        <f t="shared" si="12"/>
        <v>25000</v>
      </c>
      <c r="I111" s="86">
        <f>'[4]8 План18-20-2'!F252</f>
        <v>0</v>
      </c>
      <c r="J111" s="86">
        <f>'[4]8 План18-20-2'!G252</f>
        <v>0</v>
      </c>
      <c r="K111" s="86">
        <v>15000</v>
      </c>
      <c r="L111" s="86">
        <f>'[4]8 План18-20-2'!I252</f>
        <v>10000</v>
      </c>
    </row>
    <row r="112" spans="1:12" s="2" customFormat="1" ht="11.25" customHeight="1">
      <c r="A112" s="1991"/>
      <c r="B112" s="3039"/>
      <c r="C112" s="1991"/>
      <c r="D112" s="1991"/>
      <c r="E112" s="1991"/>
      <c r="F112" s="3040"/>
      <c r="G112" s="85">
        <v>2017</v>
      </c>
      <c r="H112" s="91">
        <f t="shared" si="12"/>
        <v>18076.43</v>
      </c>
      <c r="I112" s="86">
        <f>'[4]8 План18-20-2'!F253</f>
        <v>0</v>
      </c>
      <c r="J112" s="86">
        <f>'[4]8 План18-20-2'!G253</f>
        <v>0</v>
      </c>
      <c r="K112" s="86">
        <v>3076.43</v>
      </c>
      <c r="L112" s="86">
        <f>'[4]8 План18-20-2'!I253</f>
        <v>15000</v>
      </c>
    </row>
    <row r="113" spans="1:12" s="2" customFormat="1" ht="11.25" customHeight="1">
      <c r="A113" s="1991"/>
      <c r="B113" s="3039"/>
      <c r="C113" s="1991"/>
      <c r="D113" s="1991"/>
      <c r="E113" s="1991"/>
      <c r="F113" s="3040"/>
      <c r="G113" s="85">
        <v>2018</v>
      </c>
      <c r="H113" s="91">
        <f t="shared" si="12"/>
        <v>0</v>
      </c>
      <c r="I113" s="86">
        <f>'[4]8 План18-20-2'!F254</f>
        <v>0</v>
      </c>
      <c r="J113" s="86">
        <f>'[4]8 План18-20-2'!G254</f>
        <v>0</v>
      </c>
      <c r="K113" s="86">
        <f>'[4]8 План18-20-2'!H254</f>
        <v>0</v>
      </c>
      <c r="L113" s="86">
        <f>'[4]8 План18-20-2'!I254</f>
        <v>0</v>
      </c>
    </row>
    <row r="114" spans="1:12" s="2" customFormat="1" ht="11.25" customHeight="1">
      <c r="A114" s="1991"/>
      <c r="B114" s="3039"/>
      <c r="C114" s="1991"/>
      <c r="D114" s="1991"/>
      <c r="E114" s="1991"/>
      <c r="F114" s="3040"/>
      <c r="G114" s="85">
        <v>2019</v>
      </c>
      <c r="H114" s="91">
        <f t="shared" si="12"/>
        <v>0</v>
      </c>
      <c r="I114" s="86">
        <f>'[4]8 План18-20-2'!F255</f>
        <v>0</v>
      </c>
      <c r="J114" s="86">
        <f>'[4]8 План18-20-2'!G255</f>
        <v>0</v>
      </c>
      <c r="K114" s="86">
        <f>'[4]8 План18-20-2'!H255</f>
        <v>0</v>
      </c>
      <c r="L114" s="86">
        <f>'[4]8 План18-20-2'!I255</f>
        <v>0</v>
      </c>
    </row>
    <row r="115" spans="1:12" s="2" customFormat="1" ht="11.25" customHeight="1">
      <c r="A115" s="1991"/>
      <c r="B115" s="3039"/>
      <c r="C115" s="1991"/>
      <c r="D115" s="1991"/>
      <c r="E115" s="1991"/>
      <c r="F115" s="3040"/>
      <c r="G115" s="85">
        <v>2020</v>
      </c>
      <c r="H115" s="91">
        <f>I115+J115+K115+L115</f>
        <v>0</v>
      </c>
      <c r="I115" s="86">
        <v>0</v>
      </c>
      <c r="J115" s="86">
        <v>0</v>
      </c>
      <c r="K115" s="86">
        <v>0</v>
      </c>
      <c r="L115" s="86">
        <f>'[2]Пр14. План'!$I$789</f>
        <v>0</v>
      </c>
    </row>
    <row r="116" spans="1:12" s="2" customFormat="1" ht="11.25" customHeight="1">
      <c r="A116" s="1991" t="s">
        <v>398</v>
      </c>
      <c r="B116" s="3039" t="s">
        <v>399</v>
      </c>
      <c r="C116" s="1991" t="s">
        <v>89</v>
      </c>
      <c r="D116" s="1991" t="s">
        <v>400</v>
      </c>
      <c r="E116" s="1991" t="s">
        <v>329</v>
      </c>
      <c r="F116" s="3040" t="s">
        <v>401</v>
      </c>
      <c r="G116" s="65" t="s">
        <v>342</v>
      </c>
      <c r="H116" s="91">
        <f>I116+J116+K116+L116</f>
        <v>48012.05</v>
      </c>
      <c r="I116" s="86">
        <f>I117+I118+I119+I120+I121+I122+I123</f>
        <v>48012.05</v>
      </c>
      <c r="J116" s="86">
        <f>J117+J118+J119+J120+J121+J300+J123</f>
        <v>0</v>
      </c>
      <c r="K116" s="86">
        <f>K117+K118+K119+K120+K121+K122+K123</f>
        <v>0</v>
      </c>
      <c r="L116" s="86">
        <f>L117+L118+L119+L120+L121+L300+L123</f>
        <v>0</v>
      </c>
    </row>
    <row r="117" spans="1:12" s="2" customFormat="1" ht="11.25" customHeight="1">
      <c r="A117" s="1991"/>
      <c r="B117" s="3039"/>
      <c r="C117" s="1991"/>
      <c r="D117" s="1991"/>
      <c r="E117" s="1991"/>
      <c r="F117" s="3040"/>
      <c r="G117" s="85">
        <v>2014</v>
      </c>
      <c r="H117" s="91">
        <f t="shared" ref="H117:H122" si="13">I117+J117+K117+L117</f>
        <v>0</v>
      </c>
      <c r="I117" s="86">
        <v>0</v>
      </c>
      <c r="J117" s="86">
        <v>0</v>
      </c>
      <c r="K117" s="86">
        <v>0</v>
      </c>
      <c r="L117" s="86">
        <v>0</v>
      </c>
    </row>
    <row r="118" spans="1:12" s="2" customFormat="1" ht="11.25" customHeight="1">
      <c r="A118" s="1991"/>
      <c r="B118" s="3039"/>
      <c r="C118" s="1991"/>
      <c r="D118" s="1991"/>
      <c r="E118" s="1991"/>
      <c r="F118" s="3040"/>
      <c r="G118" s="85">
        <v>2015</v>
      </c>
      <c r="H118" s="91">
        <f t="shared" si="13"/>
        <v>0</v>
      </c>
      <c r="I118" s="86">
        <v>0</v>
      </c>
      <c r="J118" s="86">
        <v>0</v>
      </c>
      <c r="K118" s="86">
        <v>0</v>
      </c>
      <c r="L118" s="86">
        <v>0</v>
      </c>
    </row>
    <row r="119" spans="1:12" s="2" customFormat="1" ht="11.25" customHeight="1">
      <c r="A119" s="1991"/>
      <c r="B119" s="3039"/>
      <c r="C119" s="1991"/>
      <c r="D119" s="1991"/>
      <c r="E119" s="1991"/>
      <c r="F119" s="3040"/>
      <c r="G119" s="85">
        <v>2016</v>
      </c>
      <c r="H119" s="91">
        <f t="shared" si="13"/>
        <v>1866</v>
      </c>
      <c r="I119" s="86">
        <f>'[4]8 План18-20-2'!F240</f>
        <v>1866</v>
      </c>
      <c r="J119" s="86">
        <f>'[4]8 План18-20-2'!G240</f>
        <v>0</v>
      </c>
      <c r="K119" s="86">
        <f>'[4]8 План18-20-2'!H240</f>
        <v>0</v>
      </c>
      <c r="L119" s="86">
        <f>'[4]8 План18-20-2'!I240</f>
        <v>0</v>
      </c>
    </row>
    <row r="120" spans="1:12" s="2" customFormat="1" ht="11.25" customHeight="1">
      <c r="A120" s="1991"/>
      <c r="B120" s="3039"/>
      <c r="C120" s="1991"/>
      <c r="D120" s="1991"/>
      <c r="E120" s="1991"/>
      <c r="F120" s="3040"/>
      <c r="G120" s="85">
        <v>2017</v>
      </c>
      <c r="H120" s="91">
        <f t="shared" si="13"/>
        <v>99</v>
      </c>
      <c r="I120" s="86">
        <f>'[4]8 План18-20-2'!F241</f>
        <v>99</v>
      </c>
      <c r="J120" s="86">
        <f>'[4]8 План18-20-2'!G241</f>
        <v>0</v>
      </c>
      <c r="K120" s="86">
        <f>'[4]8 План18-20-2'!H241</f>
        <v>0</v>
      </c>
      <c r="L120" s="86">
        <f>'[4]8 План18-20-2'!I241</f>
        <v>0</v>
      </c>
    </row>
    <row r="121" spans="1:12" s="2" customFormat="1" ht="11.25" customHeight="1">
      <c r="A121" s="1991"/>
      <c r="B121" s="3039"/>
      <c r="C121" s="1991"/>
      <c r="D121" s="1991"/>
      <c r="E121" s="1991"/>
      <c r="F121" s="3040"/>
      <c r="G121" s="85">
        <v>2018</v>
      </c>
      <c r="H121" s="91">
        <f t="shared" si="13"/>
        <v>31489.75</v>
      </c>
      <c r="I121" s="86">
        <f>'[4]8 План18-20-2'!F242</f>
        <v>31489.75</v>
      </c>
      <c r="J121" s="86">
        <f>'[4]8 План18-20-2'!G242</f>
        <v>0</v>
      </c>
      <c r="K121" s="86">
        <f>'[4]8 План18-20-2'!H242</f>
        <v>0</v>
      </c>
      <c r="L121" s="86">
        <f>'[4]8 План18-20-2'!I242</f>
        <v>0</v>
      </c>
    </row>
    <row r="122" spans="1:12" s="2" customFormat="1" ht="11.25" customHeight="1">
      <c r="A122" s="1991"/>
      <c r="B122" s="3039"/>
      <c r="C122" s="1991"/>
      <c r="D122" s="1991"/>
      <c r="E122" s="1991"/>
      <c r="F122" s="3040"/>
      <c r="G122" s="85">
        <v>2019</v>
      </c>
      <c r="H122" s="91">
        <f t="shared" si="13"/>
        <v>14557.3</v>
      </c>
      <c r="I122" s="86">
        <f>'[4]8 План18-20-2'!F243</f>
        <v>14557.3</v>
      </c>
      <c r="J122" s="86">
        <f>'[4]8 План18-20-2'!G243</f>
        <v>0</v>
      </c>
      <c r="K122" s="86">
        <f>'[4]8 План18-20-2'!H243</f>
        <v>0</v>
      </c>
      <c r="L122" s="86">
        <f>'[4]8 План18-20-2'!I243</f>
        <v>0</v>
      </c>
    </row>
    <row r="123" spans="1:12" s="2" customFormat="1" ht="11.25" customHeight="1">
      <c r="A123" s="1991"/>
      <c r="B123" s="3039"/>
      <c r="C123" s="1991"/>
      <c r="D123" s="1991"/>
      <c r="E123" s="1991"/>
      <c r="F123" s="3040"/>
      <c r="G123" s="85">
        <v>2020</v>
      </c>
      <c r="H123" s="91">
        <f>I123+J123+K123+L123</f>
        <v>0</v>
      </c>
      <c r="I123" s="86">
        <f>'[4]8 План18-20-2'!F244</f>
        <v>0</v>
      </c>
      <c r="J123" s="86">
        <f>'[4]8 План18-20-2'!G244</f>
        <v>0</v>
      </c>
      <c r="K123" s="86">
        <f>'[4]8 План18-20-2'!H244</f>
        <v>0</v>
      </c>
      <c r="L123" s="86">
        <f>'[4]8 План18-20-2'!I244</f>
        <v>0</v>
      </c>
    </row>
    <row r="124" spans="1:12" s="2" customFormat="1" ht="11.25" customHeight="1">
      <c r="A124" s="1991" t="s">
        <v>402</v>
      </c>
      <c r="B124" s="3039" t="s">
        <v>305</v>
      </c>
      <c r="C124" s="1991" t="s">
        <v>330</v>
      </c>
      <c r="D124" s="1991" t="s">
        <v>306</v>
      </c>
      <c r="E124" s="1991" t="s">
        <v>403</v>
      </c>
      <c r="F124" s="3040" t="s">
        <v>404</v>
      </c>
      <c r="G124" s="65" t="s">
        <v>342</v>
      </c>
      <c r="H124" s="91">
        <f>I124+J124+K124+L124</f>
        <v>2527.4</v>
      </c>
      <c r="I124" s="86">
        <f>I125+I126+I127+I128+I129+I130+I131</f>
        <v>2527.4</v>
      </c>
      <c r="J124" s="86">
        <f>J125+J126+J127+J128+J129+J300+J131</f>
        <v>0</v>
      </c>
      <c r="K124" s="86">
        <f>K125+K126+K127+K128+K129+K130+K131</f>
        <v>0</v>
      </c>
      <c r="L124" s="86">
        <f>L125+L126+L127+L128+L129+L300+L131</f>
        <v>0</v>
      </c>
    </row>
    <row r="125" spans="1:12" s="2" customFormat="1" ht="11.25" customHeight="1">
      <c r="A125" s="1991"/>
      <c r="B125" s="3039"/>
      <c r="C125" s="1991"/>
      <c r="D125" s="1991"/>
      <c r="E125" s="1991"/>
      <c r="F125" s="3040"/>
      <c r="G125" s="85">
        <v>2014</v>
      </c>
      <c r="H125" s="91">
        <f t="shared" ref="H125:H130" si="14">I125+J125+K125+L125</f>
        <v>0</v>
      </c>
      <c r="I125" s="86">
        <v>0</v>
      </c>
      <c r="J125" s="86">
        <v>0</v>
      </c>
      <c r="K125" s="86">
        <v>0</v>
      </c>
      <c r="L125" s="86">
        <v>0</v>
      </c>
    </row>
    <row r="126" spans="1:12" s="2" customFormat="1" ht="11.25" customHeight="1">
      <c r="A126" s="1991"/>
      <c r="B126" s="3039"/>
      <c r="C126" s="1991"/>
      <c r="D126" s="1991"/>
      <c r="E126" s="1991"/>
      <c r="F126" s="3040"/>
      <c r="G126" s="85">
        <v>2015</v>
      </c>
      <c r="H126" s="91">
        <f t="shared" si="14"/>
        <v>0</v>
      </c>
      <c r="I126" s="86">
        <v>0</v>
      </c>
      <c r="J126" s="86">
        <v>0</v>
      </c>
      <c r="K126" s="86">
        <v>0</v>
      </c>
      <c r="L126" s="86">
        <v>0</v>
      </c>
    </row>
    <row r="127" spans="1:12" s="2" customFormat="1" ht="11.25" customHeight="1">
      <c r="A127" s="1991"/>
      <c r="B127" s="3039"/>
      <c r="C127" s="1991"/>
      <c r="D127" s="1991"/>
      <c r="E127" s="1991"/>
      <c r="F127" s="3040"/>
      <c r="G127" s="85">
        <v>2016</v>
      </c>
      <c r="H127" s="91">
        <f t="shared" si="14"/>
        <v>0</v>
      </c>
      <c r="I127" s="86">
        <f>'[4]8 План18-20-2'!F288</f>
        <v>0</v>
      </c>
      <c r="J127" s="86">
        <f>'[4]8 План18-20-2'!G288</f>
        <v>0</v>
      </c>
      <c r="K127" s="86">
        <f>'[4]8 План18-20-2'!H288</f>
        <v>0</v>
      </c>
      <c r="L127" s="86">
        <f>'[4]8 План18-20-2'!I288</f>
        <v>0</v>
      </c>
    </row>
    <row r="128" spans="1:12" s="2" customFormat="1" ht="11.25" customHeight="1">
      <c r="A128" s="1991"/>
      <c r="B128" s="3039"/>
      <c r="C128" s="1991"/>
      <c r="D128" s="1991"/>
      <c r="E128" s="1991"/>
      <c r="F128" s="3040"/>
      <c r="G128" s="85">
        <v>2017</v>
      </c>
      <c r="H128" s="91">
        <f t="shared" si="14"/>
        <v>0</v>
      </c>
      <c r="I128" s="86">
        <f>'[4]8 План18-20-2'!F289</f>
        <v>0</v>
      </c>
      <c r="J128" s="86">
        <f>'[4]8 План18-20-2'!G289</f>
        <v>0</v>
      </c>
      <c r="K128" s="86">
        <f>'[4]8 План18-20-2'!H289</f>
        <v>0</v>
      </c>
      <c r="L128" s="86">
        <f>'[4]8 План18-20-2'!I289</f>
        <v>0</v>
      </c>
    </row>
    <row r="129" spans="1:13" s="2" customFormat="1" ht="11.25" customHeight="1">
      <c r="A129" s="1991"/>
      <c r="B129" s="3039"/>
      <c r="C129" s="1991"/>
      <c r="D129" s="1991"/>
      <c r="E129" s="1991"/>
      <c r="F129" s="3040"/>
      <c r="G129" s="85">
        <v>2018</v>
      </c>
      <c r="H129" s="91">
        <f t="shared" si="14"/>
        <v>2527.4</v>
      </c>
      <c r="I129" s="86">
        <f>'[4]8 План18-20-2'!F290</f>
        <v>2527.4</v>
      </c>
      <c r="J129" s="86">
        <f>'[4]8 План18-20-2'!G290</f>
        <v>0</v>
      </c>
      <c r="K129" s="86">
        <f>'[4]8 План18-20-2'!H290</f>
        <v>0</v>
      </c>
      <c r="L129" s="86">
        <f>'[4]8 План18-20-2'!I290</f>
        <v>0</v>
      </c>
    </row>
    <row r="130" spans="1:13" s="2" customFormat="1" ht="11.25" customHeight="1">
      <c r="A130" s="1991"/>
      <c r="B130" s="3039"/>
      <c r="C130" s="1991"/>
      <c r="D130" s="1991"/>
      <c r="E130" s="1991"/>
      <c r="F130" s="3040"/>
      <c r="G130" s="85">
        <v>2019</v>
      </c>
      <c r="H130" s="91">
        <f t="shared" si="14"/>
        <v>0</v>
      </c>
      <c r="I130" s="86">
        <f>'[4]8 План18-20-2'!F291</f>
        <v>0</v>
      </c>
      <c r="J130" s="86">
        <f>'[4]8 План18-20-2'!G291</f>
        <v>0</v>
      </c>
      <c r="K130" s="86">
        <f>'[4]8 План18-20-2'!H291</f>
        <v>0</v>
      </c>
      <c r="L130" s="86">
        <f>'[4]8 План18-20-2'!I291</f>
        <v>0</v>
      </c>
    </row>
    <row r="131" spans="1:13" s="2" customFormat="1" ht="11.25" customHeight="1">
      <c r="A131" s="1991"/>
      <c r="B131" s="3039"/>
      <c r="C131" s="1991"/>
      <c r="D131" s="1991"/>
      <c r="E131" s="1991"/>
      <c r="F131" s="3040"/>
      <c r="G131" s="85">
        <v>2020</v>
      </c>
      <c r="H131" s="91">
        <f>I131+J131+K131+L131</f>
        <v>0</v>
      </c>
      <c r="I131" s="86">
        <f>'[4]8 План18-20-2'!F292</f>
        <v>0</v>
      </c>
      <c r="J131" s="86">
        <f>'[4]8 План18-20-2'!G292</f>
        <v>0</v>
      </c>
      <c r="K131" s="86">
        <f>'[4]8 План18-20-2'!H292</f>
        <v>0</v>
      </c>
      <c r="L131" s="86">
        <f>'[4]8 План18-20-2'!I292</f>
        <v>0</v>
      </c>
    </row>
    <row r="132" spans="1:13" s="2" customFormat="1" ht="11.25" customHeight="1">
      <c r="A132" s="3045" t="s">
        <v>405</v>
      </c>
      <c r="B132" s="3041" t="s">
        <v>406</v>
      </c>
      <c r="C132" s="3045" t="s">
        <v>407</v>
      </c>
      <c r="D132" s="3045" t="s">
        <v>408</v>
      </c>
      <c r="E132" s="3045" t="s">
        <v>409</v>
      </c>
      <c r="F132" s="3047" t="s">
        <v>410</v>
      </c>
      <c r="G132" s="85" t="s">
        <v>352</v>
      </c>
      <c r="H132" s="86">
        <f>I132+J132+K132+L132</f>
        <v>166</v>
      </c>
      <c r="I132" s="86">
        <v>0</v>
      </c>
      <c r="J132" s="86">
        <v>0</v>
      </c>
      <c r="K132" s="100">
        <v>166</v>
      </c>
      <c r="L132" s="86">
        <v>0</v>
      </c>
    </row>
    <row r="133" spans="1:13" s="2" customFormat="1" ht="11.25" customHeight="1">
      <c r="A133" s="3046"/>
      <c r="B133" s="3042"/>
      <c r="C133" s="3046"/>
      <c r="D133" s="3046"/>
      <c r="E133" s="3046"/>
      <c r="F133" s="3048"/>
      <c r="G133" s="65" t="s">
        <v>342</v>
      </c>
      <c r="H133" s="91">
        <f>I133+J133+K133+L133</f>
        <v>18779.400000000001</v>
      </c>
      <c r="I133" s="86">
        <f>I134+I135+I136+I137+I138+I139+I140</f>
        <v>17840.400000000001</v>
      </c>
      <c r="J133" s="86">
        <f>J134+J135+J136+J137+J138+J308+J140</f>
        <v>0</v>
      </c>
      <c r="K133" s="86">
        <f>K134+K135+K136+K137+K138+K139+K140</f>
        <v>939</v>
      </c>
      <c r="L133" s="86">
        <f>L134+L135+L136+L137+L138+L308+L140</f>
        <v>0</v>
      </c>
    </row>
    <row r="134" spans="1:13" s="2" customFormat="1" ht="11.25" customHeight="1">
      <c r="A134" s="3046"/>
      <c r="B134" s="3042"/>
      <c r="C134" s="3046"/>
      <c r="D134" s="3046"/>
      <c r="E134" s="3046"/>
      <c r="F134" s="3048"/>
      <c r="G134" s="85">
        <v>2014</v>
      </c>
      <c r="H134" s="91">
        <f t="shared" ref="H134:H139" si="15">I134+J134+K134+L134</f>
        <v>0</v>
      </c>
      <c r="I134" s="86">
        <v>0</v>
      </c>
      <c r="J134" s="86">
        <v>0</v>
      </c>
      <c r="K134" s="86">
        <v>0</v>
      </c>
      <c r="L134" s="86">
        <v>0</v>
      </c>
    </row>
    <row r="135" spans="1:13" s="2" customFormat="1" ht="11.25" customHeight="1">
      <c r="A135" s="3046"/>
      <c r="B135" s="3042"/>
      <c r="C135" s="3046"/>
      <c r="D135" s="3046"/>
      <c r="E135" s="3046"/>
      <c r="F135" s="3048"/>
      <c r="G135" s="85">
        <v>2015</v>
      </c>
      <c r="H135" s="91">
        <f t="shared" si="15"/>
        <v>0</v>
      </c>
      <c r="I135" s="86">
        <v>0</v>
      </c>
      <c r="J135" s="86">
        <v>0</v>
      </c>
      <c r="K135" s="86">
        <v>0</v>
      </c>
      <c r="L135" s="86">
        <v>0</v>
      </c>
    </row>
    <row r="136" spans="1:13" s="2" customFormat="1" ht="11.25" customHeight="1">
      <c r="A136" s="3046"/>
      <c r="B136" s="3042"/>
      <c r="C136" s="3046"/>
      <c r="D136" s="3046"/>
      <c r="E136" s="3046"/>
      <c r="F136" s="3048"/>
      <c r="G136" s="85">
        <v>2016</v>
      </c>
      <c r="H136" s="91">
        <f t="shared" si="15"/>
        <v>0</v>
      </c>
      <c r="I136" s="86">
        <f>'[4]8 План18-20-2'!F294</f>
        <v>0</v>
      </c>
      <c r="J136" s="86">
        <f>'[4]8 План18-20-2'!G294</f>
        <v>0</v>
      </c>
      <c r="K136" s="86">
        <f>'[4]8 План18-20-2'!H294</f>
        <v>0</v>
      </c>
      <c r="L136" s="86">
        <f>'[4]8 План18-20-2'!I294</f>
        <v>0</v>
      </c>
    </row>
    <row r="137" spans="1:13" s="2" customFormat="1" ht="11.25" customHeight="1">
      <c r="A137" s="3046"/>
      <c r="B137" s="3042"/>
      <c r="C137" s="3046"/>
      <c r="D137" s="3046"/>
      <c r="E137" s="3046"/>
      <c r="F137" s="3048"/>
      <c r="G137" s="85">
        <v>2017</v>
      </c>
      <c r="H137" s="91">
        <f t="shared" si="15"/>
        <v>0</v>
      </c>
      <c r="I137" s="86">
        <f>'[4]8 План18-20-2'!F295</f>
        <v>0</v>
      </c>
      <c r="J137" s="86">
        <f>'[4]8 План18-20-2'!G295</f>
        <v>0</v>
      </c>
      <c r="K137" s="86">
        <f>'[4]8 План18-20-2'!H295</f>
        <v>0</v>
      </c>
      <c r="L137" s="86">
        <f>'[4]8 План18-20-2'!I295</f>
        <v>0</v>
      </c>
    </row>
    <row r="138" spans="1:13" s="2" customFormat="1" ht="11.25" customHeight="1">
      <c r="A138" s="3046"/>
      <c r="B138" s="3042"/>
      <c r="C138" s="3046"/>
      <c r="D138" s="3046"/>
      <c r="E138" s="3046"/>
      <c r="F138" s="3048"/>
      <c r="G138" s="85">
        <v>2018</v>
      </c>
      <c r="H138" s="91">
        <f t="shared" si="15"/>
        <v>0</v>
      </c>
      <c r="I138" s="86">
        <f>'[4]8 План18-20-2'!F296</f>
        <v>0</v>
      </c>
      <c r="J138" s="86">
        <f>'[4]8 План18-20-2'!G296</f>
        <v>0</v>
      </c>
      <c r="K138" s="86">
        <f>'[4]8 План18-20-2'!H296</f>
        <v>0</v>
      </c>
      <c r="L138" s="86">
        <f>'[4]8 План18-20-2'!I296</f>
        <v>0</v>
      </c>
    </row>
    <row r="139" spans="1:13" s="2" customFormat="1" ht="11.25" customHeight="1">
      <c r="A139" s="3046"/>
      <c r="B139" s="3042"/>
      <c r="C139" s="3046"/>
      <c r="D139" s="3046"/>
      <c r="E139" s="3046"/>
      <c r="F139" s="3048"/>
      <c r="G139" s="85">
        <v>2019</v>
      </c>
      <c r="H139" s="91">
        <f t="shared" si="15"/>
        <v>0</v>
      </c>
      <c r="I139" s="86">
        <f>'[4]8 План18-20-2'!F297</f>
        <v>0</v>
      </c>
      <c r="J139" s="86">
        <f>'[4]8 План18-20-2'!G297</f>
        <v>0</v>
      </c>
      <c r="K139" s="86">
        <f>'[4]8 План18-20-2'!H297</f>
        <v>0</v>
      </c>
      <c r="L139" s="86">
        <f>'[4]8 План18-20-2'!I297</f>
        <v>0</v>
      </c>
    </row>
    <row r="140" spans="1:13" s="2" customFormat="1" ht="11.25" customHeight="1">
      <c r="A140" s="2009"/>
      <c r="B140" s="3043"/>
      <c r="C140" s="2009"/>
      <c r="D140" s="2009"/>
      <c r="E140" s="2009"/>
      <c r="F140" s="3049"/>
      <c r="G140" s="85">
        <v>2020</v>
      </c>
      <c r="H140" s="91">
        <f>I140+J140+K140+L140</f>
        <v>18779.400000000001</v>
      </c>
      <c r="I140" s="86">
        <f>'[4]8 План18-20-2'!F298</f>
        <v>17840.400000000001</v>
      </c>
      <c r="J140" s="86">
        <f>'[4]8 План18-20-2'!G298</f>
        <v>0</v>
      </c>
      <c r="K140" s="86">
        <f>'[4]8 План18-20-2'!H298</f>
        <v>939</v>
      </c>
      <c r="L140" s="86">
        <f>'[4]8 План18-20-2'!I298</f>
        <v>0</v>
      </c>
    </row>
    <row r="141" spans="1:13" s="2" customFormat="1" ht="11.25" customHeight="1">
      <c r="A141" s="1991" t="s">
        <v>411</v>
      </c>
      <c r="B141" s="3039" t="s">
        <v>307</v>
      </c>
      <c r="C141" s="1991" t="s">
        <v>412</v>
      </c>
      <c r="D141" s="1991" t="s">
        <v>413</v>
      </c>
      <c r="E141" s="1991" t="s">
        <v>414</v>
      </c>
      <c r="F141" s="3040" t="s">
        <v>415</v>
      </c>
      <c r="G141" s="65" t="s">
        <v>342</v>
      </c>
      <c r="H141" s="91">
        <f>I141+J141+K141+L141</f>
        <v>532800</v>
      </c>
      <c r="I141" s="93">
        <f>I142+I143+I144+I145+I146+I147+I148</f>
        <v>491586.9</v>
      </c>
      <c r="J141" s="86">
        <f>J142+J143+J144+J145+J146+J308+J148</f>
        <v>0</v>
      </c>
      <c r="K141" s="86">
        <f>K142+K143+K144+K145+K146+K147+K148</f>
        <v>30413.1</v>
      </c>
      <c r="L141" s="86">
        <f>L142+L143+L144+L145+L146+L308+L148</f>
        <v>10800</v>
      </c>
      <c r="M141" s="3">
        <f>H144+H145+H146+H147</f>
        <v>532800</v>
      </c>
    </row>
    <row r="142" spans="1:13" s="2" customFormat="1" ht="11.25" customHeight="1">
      <c r="A142" s="1991"/>
      <c r="B142" s="3039"/>
      <c r="C142" s="1991"/>
      <c r="D142" s="1991"/>
      <c r="E142" s="1991"/>
      <c r="F142" s="3040"/>
      <c r="G142" s="85">
        <v>2014</v>
      </c>
      <c r="H142" s="91">
        <f t="shared" ref="H142:H147" si="16">I142+J142+K142+L142</f>
        <v>0</v>
      </c>
      <c r="I142" s="86">
        <v>0</v>
      </c>
      <c r="J142" s="86">
        <v>0</v>
      </c>
      <c r="K142" s="86">
        <v>0</v>
      </c>
      <c r="L142" s="86">
        <v>0</v>
      </c>
    </row>
    <row r="143" spans="1:13" s="2" customFormat="1" ht="11.25" customHeight="1">
      <c r="A143" s="1991"/>
      <c r="B143" s="3039"/>
      <c r="C143" s="1991"/>
      <c r="D143" s="1991"/>
      <c r="E143" s="1991"/>
      <c r="F143" s="3040"/>
      <c r="G143" s="85">
        <v>2015</v>
      </c>
      <c r="H143" s="91">
        <f t="shared" si="16"/>
        <v>0</v>
      </c>
      <c r="I143" s="86">
        <v>0</v>
      </c>
      <c r="J143" s="86">
        <v>0</v>
      </c>
      <c r="K143" s="86">
        <v>0</v>
      </c>
      <c r="L143" s="86">
        <v>0</v>
      </c>
    </row>
    <row r="144" spans="1:13" s="2" customFormat="1" ht="11.25" customHeight="1">
      <c r="A144" s="1991"/>
      <c r="B144" s="3039"/>
      <c r="C144" s="1991"/>
      <c r="D144" s="1991"/>
      <c r="E144" s="1991"/>
      <c r="F144" s="3040"/>
      <c r="G144" s="85">
        <v>2016</v>
      </c>
      <c r="H144" s="91">
        <f t="shared" si="16"/>
        <v>10800</v>
      </c>
      <c r="I144" s="86">
        <f>'[4]8 План18-20-2'!F270</f>
        <v>0</v>
      </c>
      <c r="J144" s="86">
        <f>'[4]8 План18-20-2'!G270</f>
        <v>0</v>
      </c>
      <c r="K144" s="86">
        <f>'[4]8 План18-20-2'!H270</f>
        <v>0</v>
      </c>
      <c r="L144" s="86">
        <f>'[4]8 План18-20-2'!I270</f>
        <v>10800</v>
      </c>
    </row>
    <row r="145" spans="1:12" s="2" customFormat="1" ht="11.25" customHeight="1">
      <c r="A145" s="1991"/>
      <c r="B145" s="3039"/>
      <c r="C145" s="1991"/>
      <c r="D145" s="1991"/>
      <c r="E145" s="1991"/>
      <c r="F145" s="3040"/>
      <c r="G145" s="85">
        <v>2017</v>
      </c>
      <c r="H145" s="91">
        <f t="shared" si="16"/>
        <v>51414.2</v>
      </c>
      <c r="I145" s="86">
        <v>25707.1</v>
      </c>
      <c r="J145" s="86">
        <f>'[4]8 План18-20-2'!G271</f>
        <v>0</v>
      </c>
      <c r="K145" s="86">
        <v>25707.1</v>
      </c>
      <c r="L145" s="86">
        <f>'[4]8 План18-20-2'!I271</f>
        <v>0</v>
      </c>
    </row>
    <row r="146" spans="1:12" s="2" customFormat="1" ht="11.25" customHeight="1">
      <c r="A146" s="1991"/>
      <c r="B146" s="3039"/>
      <c r="C146" s="1991"/>
      <c r="D146" s="1991"/>
      <c r="E146" s="1991"/>
      <c r="F146" s="3040"/>
      <c r="G146" s="85">
        <v>2018</v>
      </c>
      <c r="H146" s="91">
        <f t="shared" si="16"/>
        <v>215202.1</v>
      </c>
      <c r="I146" s="86">
        <f>'[4]8 План18-20-2'!F272</f>
        <v>213050</v>
      </c>
      <c r="J146" s="86">
        <f>'[4]8 План18-20-2'!G272</f>
        <v>0</v>
      </c>
      <c r="K146" s="86">
        <f>'[4]8 План18-20-2'!H272</f>
        <v>2152.1</v>
      </c>
      <c r="L146" s="86">
        <f>'[4]8 План18-20-2'!I272</f>
        <v>0</v>
      </c>
    </row>
    <row r="147" spans="1:12" s="2" customFormat="1" ht="11.25" customHeight="1">
      <c r="A147" s="1991"/>
      <c r="B147" s="3039"/>
      <c r="C147" s="1991"/>
      <c r="D147" s="1991"/>
      <c r="E147" s="1991"/>
      <c r="F147" s="3040"/>
      <c r="G147" s="85">
        <v>2019</v>
      </c>
      <c r="H147" s="91">
        <f t="shared" si="16"/>
        <v>255383.69999999998</v>
      </c>
      <c r="I147" s="86">
        <f>'[4]8 План18-20-2'!F273</f>
        <v>252829.8</v>
      </c>
      <c r="J147" s="86">
        <f>'[4]8 План18-20-2'!G273</f>
        <v>0</v>
      </c>
      <c r="K147" s="86">
        <f>'[4]8 План18-20-2'!H273</f>
        <v>2553.9</v>
      </c>
      <c r="L147" s="86">
        <f>'[4]8 План18-20-2'!I273</f>
        <v>0</v>
      </c>
    </row>
    <row r="148" spans="1:12" s="2" customFormat="1" ht="11.25" customHeight="1">
      <c r="A148" s="1991"/>
      <c r="B148" s="3039"/>
      <c r="C148" s="1991"/>
      <c r="D148" s="1991"/>
      <c r="E148" s="1991"/>
      <c r="F148" s="3040"/>
      <c r="G148" s="85">
        <v>2020</v>
      </c>
      <c r="H148" s="91">
        <f>I148+J148+K148+L148</f>
        <v>0</v>
      </c>
      <c r="I148" s="86">
        <f>'[4]8 План18-20-2'!F274</f>
        <v>0</v>
      </c>
      <c r="J148" s="86">
        <f>'[4]8 План18-20-2'!G274</f>
        <v>0</v>
      </c>
      <c r="K148" s="86">
        <f>'[4]8 План18-20-2'!H274</f>
        <v>0</v>
      </c>
      <c r="L148" s="86">
        <f>'[4]8 План18-20-2'!I274</f>
        <v>0</v>
      </c>
    </row>
    <row r="149" spans="1:12" s="2" customFormat="1" ht="11.25" customHeight="1">
      <c r="A149" s="1991" t="s">
        <v>416</v>
      </c>
      <c r="B149" s="3039" t="s">
        <v>417</v>
      </c>
      <c r="C149" s="1991" t="s">
        <v>85</v>
      </c>
      <c r="D149" s="1991" t="s">
        <v>418</v>
      </c>
      <c r="E149" s="1991" t="s">
        <v>419</v>
      </c>
      <c r="F149" s="3040" t="s">
        <v>420</v>
      </c>
      <c r="G149" s="65" t="s">
        <v>342</v>
      </c>
      <c r="H149" s="91">
        <f>I149+J149+K149+L149</f>
        <v>22035</v>
      </c>
      <c r="I149" s="86">
        <f>I150+I151+I152+I153+I154+I155+I156</f>
        <v>22035</v>
      </c>
      <c r="J149" s="86">
        <f>J150+J151+J152+J153+J154+J316+J156</f>
        <v>0</v>
      </c>
      <c r="K149" s="86">
        <f>K150+K151+K152+K153+K154+K155+K156</f>
        <v>0</v>
      </c>
      <c r="L149" s="86">
        <f>L150+L151+L152+L153+L154+L316+L156</f>
        <v>0</v>
      </c>
    </row>
    <row r="150" spans="1:12" s="2" customFormat="1" ht="11.25" customHeight="1">
      <c r="A150" s="1991"/>
      <c r="B150" s="3039"/>
      <c r="C150" s="1991"/>
      <c r="D150" s="1991"/>
      <c r="E150" s="1991"/>
      <c r="F150" s="3040"/>
      <c r="G150" s="85">
        <v>2014</v>
      </c>
      <c r="H150" s="91">
        <f t="shared" ref="H150:H155" si="17">I150+J150+K150+L150</f>
        <v>0</v>
      </c>
      <c r="I150" s="86">
        <v>0</v>
      </c>
      <c r="J150" s="86">
        <v>0</v>
      </c>
      <c r="K150" s="86">
        <v>0</v>
      </c>
      <c r="L150" s="86">
        <v>0</v>
      </c>
    </row>
    <row r="151" spans="1:12" s="2" customFormat="1" ht="11.25" customHeight="1">
      <c r="A151" s="1991"/>
      <c r="B151" s="3039"/>
      <c r="C151" s="1991"/>
      <c r="D151" s="1991"/>
      <c r="E151" s="1991"/>
      <c r="F151" s="3040"/>
      <c r="G151" s="85">
        <v>2015</v>
      </c>
      <c r="H151" s="91">
        <f t="shared" si="17"/>
        <v>0</v>
      </c>
      <c r="I151" s="86">
        <v>0</v>
      </c>
      <c r="J151" s="86">
        <v>0</v>
      </c>
      <c r="K151" s="86">
        <v>0</v>
      </c>
      <c r="L151" s="86">
        <v>0</v>
      </c>
    </row>
    <row r="152" spans="1:12" s="2" customFormat="1" ht="11.25" customHeight="1">
      <c r="A152" s="1991"/>
      <c r="B152" s="3039"/>
      <c r="C152" s="1991"/>
      <c r="D152" s="1991"/>
      <c r="E152" s="1991"/>
      <c r="F152" s="3040"/>
      <c r="G152" s="85">
        <v>2016</v>
      </c>
      <c r="H152" s="91">
        <f t="shared" si="17"/>
        <v>0</v>
      </c>
      <c r="I152" s="86">
        <f>'[4]8 План18-20-2'!F276</f>
        <v>0</v>
      </c>
      <c r="J152" s="86">
        <f>'[4]8 План18-20-2'!G276</f>
        <v>0</v>
      </c>
      <c r="K152" s="86">
        <f>'[4]8 План18-20-2'!H276</f>
        <v>0</v>
      </c>
      <c r="L152" s="86">
        <f>'[4]8 План18-20-2'!I276</f>
        <v>0</v>
      </c>
    </row>
    <row r="153" spans="1:12" s="2" customFormat="1" ht="11.25" customHeight="1">
      <c r="A153" s="1991"/>
      <c r="B153" s="3039"/>
      <c r="C153" s="1991"/>
      <c r="D153" s="1991"/>
      <c r="E153" s="1991"/>
      <c r="F153" s="3040"/>
      <c r="G153" s="85">
        <v>2017</v>
      </c>
      <c r="H153" s="91">
        <f t="shared" si="17"/>
        <v>16950</v>
      </c>
      <c r="I153" s="86">
        <v>16950</v>
      </c>
      <c r="J153" s="86">
        <f>'[4]8 План18-20-2'!G277</f>
        <v>0</v>
      </c>
      <c r="K153" s="86">
        <f>'[4]8 План18-20-2'!H277</f>
        <v>0</v>
      </c>
      <c r="L153" s="86">
        <f>'[4]8 План18-20-2'!I277</f>
        <v>0</v>
      </c>
    </row>
    <row r="154" spans="1:12" s="2" customFormat="1" ht="11.25" customHeight="1">
      <c r="A154" s="1991"/>
      <c r="B154" s="3039"/>
      <c r="C154" s="1991"/>
      <c r="D154" s="1991"/>
      <c r="E154" s="1991"/>
      <c r="F154" s="3040"/>
      <c r="G154" s="85">
        <v>2018</v>
      </c>
      <c r="H154" s="91">
        <f t="shared" si="17"/>
        <v>5085</v>
      </c>
      <c r="I154" s="86">
        <f>'[4]8 План18-20-2'!F278</f>
        <v>5085</v>
      </c>
      <c r="J154" s="86">
        <f>'[4]8 План18-20-2'!G278</f>
        <v>0</v>
      </c>
      <c r="K154" s="86">
        <f>'[4]8 План18-20-2'!H278</f>
        <v>0</v>
      </c>
      <c r="L154" s="86">
        <f>'[4]8 План18-20-2'!I278</f>
        <v>0</v>
      </c>
    </row>
    <row r="155" spans="1:12" s="2" customFormat="1" ht="11.25" customHeight="1">
      <c r="A155" s="1991"/>
      <c r="B155" s="3039"/>
      <c r="C155" s="1991"/>
      <c r="D155" s="1991"/>
      <c r="E155" s="1991"/>
      <c r="F155" s="3040"/>
      <c r="G155" s="85">
        <v>2019</v>
      </c>
      <c r="H155" s="91">
        <f t="shared" si="17"/>
        <v>0</v>
      </c>
      <c r="I155" s="86">
        <f>'[4]8 План18-20-2'!F279</f>
        <v>0</v>
      </c>
      <c r="J155" s="86">
        <f>'[4]8 План18-20-2'!G279</f>
        <v>0</v>
      </c>
      <c r="K155" s="86">
        <f>'[4]8 План18-20-2'!H279</f>
        <v>0</v>
      </c>
      <c r="L155" s="86">
        <f>'[4]8 План18-20-2'!I279</f>
        <v>0</v>
      </c>
    </row>
    <row r="156" spans="1:12" s="2" customFormat="1" ht="11.25" customHeight="1">
      <c r="A156" s="1991"/>
      <c r="B156" s="3039"/>
      <c r="C156" s="1991"/>
      <c r="D156" s="1991"/>
      <c r="E156" s="1991"/>
      <c r="F156" s="3040"/>
      <c r="G156" s="85">
        <v>2020</v>
      </c>
      <c r="H156" s="91">
        <f>I156+J156+K156+L156</f>
        <v>0</v>
      </c>
      <c r="I156" s="86">
        <f>'[4]8 План18-20-2'!F280</f>
        <v>0</v>
      </c>
      <c r="J156" s="86">
        <f>'[4]8 План18-20-2'!G280</f>
        <v>0</v>
      </c>
      <c r="K156" s="86">
        <f>'[4]8 План18-20-2'!H280</f>
        <v>0</v>
      </c>
      <c r="L156" s="86">
        <f>'[4]8 План18-20-2'!I280</f>
        <v>0</v>
      </c>
    </row>
    <row r="157" spans="1:12" s="2" customFormat="1" ht="11.25" customHeight="1">
      <c r="A157" s="1991" t="s">
        <v>421</v>
      </c>
      <c r="B157" s="3039" t="s">
        <v>422</v>
      </c>
      <c r="C157" s="1991" t="s">
        <v>423</v>
      </c>
      <c r="D157" s="1991" t="s">
        <v>424</v>
      </c>
      <c r="E157" s="1991" t="s">
        <v>425</v>
      </c>
      <c r="F157" s="3040" t="s">
        <v>426</v>
      </c>
      <c r="G157" s="65" t="s">
        <v>342</v>
      </c>
      <c r="H157" s="91">
        <f>I157+J157+K157+L157</f>
        <v>4483.6000000000004</v>
      </c>
      <c r="I157" s="86">
        <f>I158+I159+I160+I161+I162+I163+I164</f>
        <v>4483.6000000000004</v>
      </c>
      <c r="J157" s="86">
        <f>J158+J159+J160+J161+J162+J324+J164</f>
        <v>0</v>
      </c>
      <c r="K157" s="86">
        <f>K158+K159+K160+K161+K162+K163+K164</f>
        <v>0</v>
      </c>
      <c r="L157" s="86">
        <f>L158+L159+L160+L161+L162+L324+L164</f>
        <v>0</v>
      </c>
    </row>
    <row r="158" spans="1:12" s="2" customFormat="1" ht="11.25" customHeight="1">
      <c r="A158" s="1991"/>
      <c r="B158" s="3039"/>
      <c r="C158" s="1991"/>
      <c r="D158" s="1991"/>
      <c r="E158" s="1991"/>
      <c r="F158" s="3040"/>
      <c r="G158" s="85">
        <v>2014</v>
      </c>
      <c r="H158" s="91">
        <f t="shared" ref="H158:H163" si="18">I158+J158+K158+L158</f>
        <v>0</v>
      </c>
      <c r="I158" s="86">
        <v>0</v>
      </c>
      <c r="J158" s="86">
        <v>0</v>
      </c>
      <c r="K158" s="86">
        <v>0</v>
      </c>
      <c r="L158" s="86">
        <v>0</v>
      </c>
    </row>
    <row r="159" spans="1:12" s="2" customFormat="1" ht="11.25" customHeight="1">
      <c r="A159" s="1991"/>
      <c r="B159" s="3039"/>
      <c r="C159" s="1991"/>
      <c r="D159" s="1991"/>
      <c r="E159" s="1991"/>
      <c r="F159" s="3040"/>
      <c r="G159" s="85">
        <v>2015</v>
      </c>
      <c r="H159" s="91">
        <f t="shared" si="18"/>
        <v>0</v>
      </c>
      <c r="I159" s="86">
        <v>0</v>
      </c>
      <c r="J159" s="86">
        <v>0</v>
      </c>
      <c r="K159" s="86">
        <v>0</v>
      </c>
      <c r="L159" s="86">
        <v>0</v>
      </c>
    </row>
    <row r="160" spans="1:12" s="2" customFormat="1" ht="11.25" customHeight="1">
      <c r="A160" s="1991"/>
      <c r="B160" s="3039"/>
      <c r="C160" s="1991"/>
      <c r="D160" s="1991"/>
      <c r="E160" s="1991"/>
      <c r="F160" s="3040"/>
      <c r="G160" s="85">
        <v>2016</v>
      </c>
      <c r="H160" s="91">
        <f t="shared" si="18"/>
        <v>0</v>
      </c>
      <c r="I160" s="86">
        <f>'[4]8 План18-20-2'!F282</f>
        <v>0</v>
      </c>
      <c r="J160" s="86">
        <f>'[4]8 План18-20-2'!G282</f>
        <v>0</v>
      </c>
      <c r="K160" s="86">
        <f>'[4]8 План18-20-2'!H282</f>
        <v>0</v>
      </c>
      <c r="L160" s="86">
        <f>'[4]8 План18-20-2'!I282</f>
        <v>0</v>
      </c>
    </row>
    <row r="161" spans="1:12" s="2" customFormat="1" ht="11.25" customHeight="1">
      <c r="A161" s="1991"/>
      <c r="B161" s="3039"/>
      <c r="C161" s="1991"/>
      <c r="D161" s="1991"/>
      <c r="E161" s="1991"/>
      <c r="F161" s="3040"/>
      <c r="G161" s="85">
        <v>2017</v>
      </c>
      <c r="H161" s="91">
        <f t="shared" si="18"/>
        <v>4483.6000000000004</v>
      </c>
      <c r="I161" s="86">
        <v>4483.6000000000004</v>
      </c>
      <c r="J161" s="86">
        <f>'[4]8 План18-20-2'!G283</f>
        <v>0</v>
      </c>
      <c r="K161" s="86">
        <f>'[4]8 План18-20-2'!H283</f>
        <v>0</v>
      </c>
      <c r="L161" s="86">
        <f>'[4]8 План18-20-2'!I283</f>
        <v>0</v>
      </c>
    </row>
    <row r="162" spans="1:12" s="2" customFormat="1" ht="11.25" customHeight="1">
      <c r="A162" s="1991"/>
      <c r="B162" s="3039"/>
      <c r="C162" s="1991"/>
      <c r="D162" s="1991"/>
      <c r="E162" s="1991"/>
      <c r="F162" s="3040"/>
      <c r="G162" s="85">
        <v>2018</v>
      </c>
      <c r="H162" s="91">
        <f t="shared" si="18"/>
        <v>0</v>
      </c>
      <c r="I162" s="86">
        <f>'[4]8 План18-20-2'!F284</f>
        <v>0</v>
      </c>
      <c r="J162" s="86">
        <f>'[4]8 План18-20-2'!G284</f>
        <v>0</v>
      </c>
      <c r="K162" s="86">
        <f>'[4]8 План18-20-2'!H284</f>
        <v>0</v>
      </c>
      <c r="L162" s="86">
        <f>'[4]8 План18-20-2'!I284</f>
        <v>0</v>
      </c>
    </row>
    <row r="163" spans="1:12" s="2" customFormat="1" ht="11.25" customHeight="1">
      <c r="A163" s="1991"/>
      <c r="B163" s="3039"/>
      <c r="C163" s="1991"/>
      <c r="D163" s="1991"/>
      <c r="E163" s="1991"/>
      <c r="F163" s="3040"/>
      <c r="G163" s="85">
        <v>2019</v>
      </c>
      <c r="H163" s="91">
        <f t="shared" si="18"/>
        <v>0</v>
      </c>
      <c r="I163" s="86">
        <f>'[4]8 План18-20-2'!F285</f>
        <v>0</v>
      </c>
      <c r="J163" s="86">
        <f>'[4]8 План18-20-2'!G285</f>
        <v>0</v>
      </c>
      <c r="K163" s="86">
        <f>'[4]8 План18-20-2'!H285</f>
        <v>0</v>
      </c>
      <c r="L163" s="86">
        <f>'[4]8 План18-20-2'!I285</f>
        <v>0</v>
      </c>
    </row>
    <row r="164" spans="1:12" s="2" customFormat="1" ht="11.25" customHeight="1">
      <c r="A164" s="1991"/>
      <c r="B164" s="3039"/>
      <c r="C164" s="1991"/>
      <c r="D164" s="1991"/>
      <c r="E164" s="1991"/>
      <c r="F164" s="3040"/>
      <c r="G164" s="85">
        <v>2020</v>
      </c>
      <c r="H164" s="91">
        <f>I164+J164+K164+L164</f>
        <v>0</v>
      </c>
      <c r="I164" s="86">
        <v>0</v>
      </c>
      <c r="J164" s="86">
        <v>0</v>
      </c>
      <c r="K164" s="86">
        <v>0</v>
      </c>
      <c r="L164" s="86">
        <v>0</v>
      </c>
    </row>
    <row r="165" spans="1:12" s="2" customFormat="1" ht="11.25" customHeight="1">
      <c r="A165" s="1991" t="s">
        <v>427</v>
      </c>
      <c r="B165" s="3039" t="s">
        <v>428</v>
      </c>
      <c r="C165" s="1991" t="s">
        <v>429</v>
      </c>
      <c r="D165" s="1991" t="s">
        <v>430</v>
      </c>
      <c r="E165" s="1991" t="s">
        <v>431</v>
      </c>
      <c r="F165" s="3040" t="s">
        <v>432</v>
      </c>
      <c r="G165" s="65" t="s">
        <v>342</v>
      </c>
      <c r="H165" s="91">
        <f>I165+J165+K165+L165</f>
        <v>283000</v>
      </c>
      <c r="I165" s="86">
        <f>I166+I167+I168+I169+I170+I171+I172</f>
        <v>122350</v>
      </c>
      <c r="J165" s="86">
        <f>J166+J167+J168+J169+J170+J332+J172</f>
        <v>0</v>
      </c>
      <c r="K165" s="86">
        <f>K166+K167+K168+K169+K170+K171+K172</f>
        <v>132350</v>
      </c>
      <c r="L165" s="86">
        <f>L166+L167+L168+L169+L170+L171+L172</f>
        <v>28300</v>
      </c>
    </row>
    <row r="166" spans="1:12" s="2" customFormat="1" ht="11.25" customHeight="1">
      <c r="A166" s="1991"/>
      <c r="B166" s="3039"/>
      <c r="C166" s="1991"/>
      <c r="D166" s="1991"/>
      <c r="E166" s="1991"/>
      <c r="F166" s="3040"/>
      <c r="G166" s="85">
        <v>2014</v>
      </c>
      <c r="H166" s="86">
        <v>0</v>
      </c>
      <c r="I166" s="86">
        <v>0</v>
      </c>
      <c r="J166" s="86">
        <v>0</v>
      </c>
      <c r="K166" s="86">
        <v>0</v>
      </c>
      <c r="L166" s="86">
        <v>0</v>
      </c>
    </row>
    <row r="167" spans="1:12" s="2" customFormat="1" ht="11.25" customHeight="1">
      <c r="A167" s="1991"/>
      <c r="B167" s="3039"/>
      <c r="C167" s="1991"/>
      <c r="D167" s="1991"/>
      <c r="E167" s="1991"/>
      <c r="F167" s="3040"/>
      <c r="G167" s="85">
        <v>2015</v>
      </c>
      <c r="H167" s="86">
        <v>0</v>
      </c>
      <c r="I167" s="86">
        <v>0</v>
      </c>
      <c r="J167" s="86">
        <v>0</v>
      </c>
      <c r="K167" s="86">
        <v>0</v>
      </c>
      <c r="L167" s="86">
        <v>0</v>
      </c>
    </row>
    <row r="168" spans="1:12" s="2" customFormat="1" ht="11.25" customHeight="1">
      <c r="A168" s="1991"/>
      <c r="B168" s="3039"/>
      <c r="C168" s="1991"/>
      <c r="D168" s="1991"/>
      <c r="E168" s="1991"/>
      <c r="F168" s="3040"/>
      <c r="G168" s="85">
        <v>2016</v>
      </c>
      <c r="H168" s="91">
        <f t="shared" ref="H168:H179" si="19">I168+J168+K168+L168</f>
        <v>0</v>
      </c>
      <c r="I168" s="86">
        <f>'[4]8 План18-20-2'!F420</f>
        <v>0</v>
      </c>
      <c r="J168" s="86">
        <f>'[4]8 План18-20-2'!G420</f>
        <v>0</v>
      </c>
      <c r="K168" s="86">
        <f>'[4]8 План18-20-2'!H420</f>
        <v>0</v>
      </c>
      <c r="L168" s="86">
        <f>'[4]8 План18-20-2'!I420</f>
        <v>0</v>
      </c>
    </row>
    <row r="169" spans="1:12" s="2" customFormat="1" ht="11.25" customHeight="1">
      <c r="A169" s="1991"/>
      <c r="B169" s="3039"/>
      <c r="C169" s="1991"/>
      <c r="D169" s="1991"/>
      <c r="E169" s="1991"/>
      <c r="F169" s="3040"/>
      <c r="G169" s="85">
        <v>2017</v>
      </c>
      <c r="H169" s="91">
        <f t="shared" si="19"/>
        <v>0</v>
      </c>
      <c r="I169" s="86">
        <f>'[4]8 План18-20-2'!F421</f>
        <v>0</v>
      </c>
      <c r="J169" s="86">
        <f>'[4]8 План18-20-2'!G421</f>
        <v>0</v>
      </c>
      <c r="K169" s="86">
        <f>'[4]8 План18-20-2'!H421</f>
        <v>0</v>
      </c>
      <c r="L169" s="86">
        <f>'[4]8 План18-20-2'!I421</f>
        <v>0</v>
      </c>
    </row>
    <row r="170" spans="1:12" s="2" customFormat="1" ht="11.25" customHeight="1">
      <c r="A170" s="1991"/>
      <c r="B170" s="3039"/>
      <c r="C170" s="1991"/>
      <c r="D170" s="1991"/>
      <c r="E170" s="1991"/>
      <c r="F170" s="3040"/>
      <c r="G170" s="85">
        <v>2018</v>
      </c>
      <c r="H170" s="91">
        <f t="shared" si="19"/>
        <v>10000</v>
      </c>
      <c r="I170" s="86">
        <f>'[4]8 План18-20-2'!F422</f>
        <v>0</v>
      </c>
      <c r="J170" s="86">
        <f>'[4]8 План18-20-2'!G422</f>
        <v>0</v>
      </c>
      <c r="K170" s="86">
        <f>'[4]8 План18-20-2'!H422</f>
        <v>10000</v>
      </c>
      <c r="L170" s="86">
        <f>'[4]8 План18-20-2'!I422</f>
        <v>0</v>
      </c>
    </row>
    <row r="171" spans="1:12" s="2" customFormat="1" ht="11.25" customHeight="1">
      <c r="A171" s="1991"/>
      <c r="B171" s="3039"/>
      <c r="C171" s="1991"/>
      <c r="D171" s="1991"/>
      <c r="E171" s="1991"/>
      <c r="F171" s="3040"/>
      <c r="G171" s="85">
        <v>2019</v>
      </c>
      <c r="H171" s="91">
        <f t="shared" si="19"/>
        <v>148300</v>
      </c>
      <c r="I171" s="86">
        <f>'[4]8 План18-20-2'!F423</f>
        <v>60000</v>
      </c>
      <c r="J171" s="86">
        <f>'[4]8 План18-20-2'!G423</f>
        <v>0</v>
      </c>
      <c r="K171" s="86">
        <f>'[4]8 План18-20-2'!H423</f>
        <v>60000</v>
      </c>
      <c r="L171" s="86">
        <f>'[4]8 План18-20-2'!I423</f>
        <v>28300</v>
      </c>
    </row>
    <row r="172" spans="1:12" s="2" customFormat="1" ht="11.25" customHeight="1">
      <c r="A172" s="1991"/>
      <c r="B172" s="3039"/>
      <c r="C172" s="1991"/>
      <c r="D172" s="1991"/>
      <c r="E172" s="1991"/>
      <c r="F172" s="3040"/>
      <c r="G172" s="85">
        <v>2020</v>
      </c>
      <c r="H172" s="91">
        <f t="shared" si="19"/>
        <v>124700</v>
      </c>
      <c r="I172" s="86">
        <f>'[4]8 План18-20-2'!F424</f>
        <v>62350</v>
      </c>
      <c r="J172" s="86">
        <f>'[4]8 План18-20-2'!G424</f>
        <v>0</v>
      </c>
      <c r="K172" s="86">
        <f>'[4]8 План18-20-2'!H424</f>
        <v>62350</v>
      </c>
      <c r="L172" s="86">
        <f>'[4]8 План18-20-2'!I424</f>
        <v>0</v>
      </c>
    </row>
    <row r="173" spans="1:12" s="2" customFormat="1" ht="11.25" customHeight="1">
      <c r="A173" s="1991" t="s">
        <v>433</v>
      </c>
      <c r="B173" s="3039" t="s">
        <v>434</v>
      </c>
      <c r="C173" s="1991" t="s">
        <v>435</v>
      </c>
      <c r="D173" s="1991" t="s">
        <v>436</v>
      </c>
      <c r="E173" s="1991" t="s">
        <v>437</v>
      </c>
      <c r="F173" s="3040" t="s">
        <v>438</v>
      </c>
      <c r="G173" s="96" t="s">
        <v>342</v>
      </c>
      <c r="H173" s="91">
        <f t="shared" si="19"/>
        <v>0</v>
      </c>
      <c r="I173" s="97">
        <f>I174+I175+I176+I177+I178+I179+I180</f>
        <v>0</v>
      </c>
      <c r="J173" s="97">
        <f>J174+J175+J176+J177+J178+J341+J180</f>
        <v>0</v>
      </c>
      <c r="K173" s="97">
        <f>K174+K175+K176+K177+K178+K179+K180</f>
        <v>0</v>
      </c>
      <c r="L173" s="97">
        <f>L174+L175+L176+L177+L178+L341+L180</f>
        <v>0</v>
      </c>
    </row>
    <row r="174" spans="1:12" s="2" customFormat="1" ht="11.25" customHeight="1">
      <c r="A174" s="1991"/>
      <c r="B174" s="3039"/>
      <c r="C174" s="1991"/>
      <c r="D174" s="1991"/>
      <c r="E174" s="1991"/>
      <c r="F174" s="3040"/>
      <c r="G174" s="85">
        <v>2014</v>
      </c>
      <c r="H174" s="91">
        <f t="shared" si="19"/>
        <v>0</v>
      </c>
      <c r="I174" s="86">
        <v>0</v>
      </c>
      <c r="J174" s="86">
        <v>0</v>
      </c>
      <c r="K174" s="86">
        <v>0</v>
      </c>
      <c r="L174" s="86">
        <v>0</v>
      </c>
    </row>
    <row r="175" spans="1:12" s="2" customFormat="1" ht="11.25" customHeight="1">
      <c r="A175" s="1991"/>
      <c r="B175" s="3039"/>
      <c r="C175" s="1991"/>
      <c r="D175" s="1991"/>
      <c r="E175" s="1991"/>
      <c r="F175" s="3040"/>
      <c r="G175" s="85">
        <v>2015</v>
      </c>
      <c r="H175" s="91">
        <f t="shared" si="19"/>
        <v>0</v>
      </c>
      <c r="I175" s="86">
        <v>0</v>
      </c>
      <c r="J175" s="86">
        <v>0</v>
      </c>
      <c r="K175" s="86">
        <v>0</v>
      </c>
      <c r="L175" s="86">
        <v>0</v>
      </c>
    </row>
    <row r="176" spans="1:12" s="2" customFormat="1" ht="11.25" customHeight="1">
      <c r="A176" s="1991"/>
      <c r="B176" s="3039"/>
      <c r="C176" s="1991"/>
      <c r="D176" s="1991"/>
      <c r="E176" s="1991"/>
      <c r="F176" s="3040"/>
      <c r="G176" s="85">
        <v>2016</v>
      </c>
      <c r="H176" s="91">
        <f t="shared" si="19"/>
        <v>0</v>
      </c>
      <c r="I176" s="86">
        <v>0</v>
      </c>
      <c r="J176" s="86">
        <v>0</v>
      </c>
      <c r="K176" s="86">
        <v>0</v>
      </c>
      <c r="L176" s="86">
        <v>0</v>
      </c>
    </row>
    <row r="177" spans="1:12" s="2" customFormat="1" ht="11.25" customHeight="1">
      <c r="A177" s="1991"/>
      <c r="B177" s="3039"/>
      <c r="C177" s="1991"/>
      <c r="D177" s="1991"/>
      <c r="E177" s="1991"/>
      <c r="F177" s="3040"/>
      <c r="G177" s="85">
        <v>2017</v>
      </c>
      <c r="H177" s="91">
        <f t="shared" si="19"/>
        <v>0</v>
      </c>
      <c r="I177" s="86">
        <v>0</v>
      </c>
      <c r="J177" s="86">
        <v>0</v>
      </c>
      <c r="K177" s="86">
        <v>0</v>
      </c>
      <c r="L177" s="86">
        <v>0</v>
      </c>
    </row>
    <row r="178" spans="1:12" s="2" customFormat="1" ht="11.25" customHeight="1">
      <c r="A178" s="1991"/>
      <c r="B178" s="3039"/>
      <c r="C178" s="1991"/>
      <c r="D178" s="1991"/>
      <c r="E178" s="1991"/>
      <c r="F178" s="3040"/>
      <c r="G178" s="85">
        <v>2018</v>
      </c>
      <c r="H178" s="91">
        <f t="shared" si="19"/>
        <v>0</v>
      </c>
      <c r="I178" s="86">
        <v>0</v>
      </c>
      <c r="J178" s="86">
        <v>0</v>
      </c>
      <c r="K178" s="86">
        <v>0</v>
      </c>
      <c r="L178" s="86">
        <v>0</v>
      </c>
    </row>
    <row r="179" spans="1:12" s="2" customFormat="1" ht="11.25" customHeight="1">
      <c r="A179" s="1991"/>
      <c r="B179" s="3039"/>
      <c r="C179" s="1991"/>
      <c r="D179" s="1991"/>
      <c r="E179" s="1991"/>
      <c r="F179" s="3040"/>
      <c r="G179" s="85">
        <v>2019</v>
      </c>
      <c r="H179" s="91">
        <f t="shared" si="19"/>
        <v>0</v>
      </c>
      <c r="I179" s="86">
        <v>0</v>
      </c>
      <c r="J179" s="86">
        <f>'[2]Пр14. План'!$I$789</f>
        <v>0</v>
      </c>
      <c r="K179" s="86">
        <v>0</v>
      </c>
      <c r="L179" s="86">
        <f>'[2]Пр14. План'!$I$789</f>
        <v>0</v>
      </c>
    </row>
    <row r="180" spans="1:12" s="2" customFormat="1" ht="11.25" customHeight="1">
      <c r="A180" s="1991"/>
      <c r="B180" s="3039"/>
      <c r="C180" s="1991"/>
      <c r="D180" s="1991"/>
      <c r="E180" s="1991"/>
      <c r="F180" s="3040"/>
      <c r="G180" s="85">
        <v>2020</v>
      </c>
      <c r="H180" s="91">
        <f>I180+J180+K180+L180</f>
        <v>0</v>
      </c>
      <c r="I180" s="86">
        <v>0</v>
      </c>
      <c r="J180" s="86">
        <f>'[2]Пр14. План'!$I$789</f>
        <v>0</v>
      </c>
      <c r="K180" s="86">
        <v>0</v>
      </c>
      <c r="L180" s="86">
        <f>'[2]Пр14. План'!$I$789</f>
        <v>0</v>
      </c>
    </row>
    <row r="181" spans="1:12">
      <c r="A181"/>
      <c r="B181"/>
      <c r="C181"/>
      <c r="D181"/>
      <c r="E181"/>
      <c r="F181"/>
      <c r="H181" s="81"/>
      <c r="I181" s="81"/>
      <c r="J181" s="81"/>
      <c r="K181" s="81"/>
      <c r="L181" s="81"/>
    </row>
    <row r="182" spans="1:12" ht="16.5" customHeight="1">
      <c r="A182"/>
      <c r="B182"/>
      <c r="C182"/>
      <c r="D182"/>
      <c r="E182"/>
      <c r="F182"/>
      <c r="H182" s="81"/>
      <c r="I182" s="81"/>
      <c r="J182" s="81"/>
      <c r="K182" s="81"/>
      <c r="L182" s="81"/>
    </row>
    <row r="183" spans="1:12">
      <c r="A183"/>
      <c r="B183"/>
      <c r="C183"/>
      <c r="D183"/>
      <c r="E183"/>
      <c r="F183"/>
      <c r="H183" s="81"/>
      <c r="I183" s="81"/>
      <c r="J183" s="81"/>
      <c r="K183" s="81"/>
      <c r="L183" s="81"/>
    </row>
    <row r="184" spans="1:12">
      <c r="A184"/>
      <c r="B184"/>
      <c r="C184"/>
      <c r="D184"/>
      <c r="E184"/>
      <c r="F184"/>
      <c r="H184" s="81"/>
      <c r="I184" s="81"/>
      <c r="J184" s="81"/>
      <c r="K184" s="81"/>
      <c r="L184" s="81"/>
    </row>
    <row r="185" spans="1:12">
      <c r="A185"/>
      <c r="B185"/>
      <c r="C185"/>
      <c r="D185"/>
      <c r="E185"/>
      <c r="F185"/>
      <c r="H185" s="81"/>
      <c r="I185" s="81"/>
      <c r="J185" s="81"/>
      <c r="K185" s="81"/>
      <c r="L185" s="81"/>
    </row>
    <row r="186" spans="1:12">
      <c r="A186"/>
      <c r="B186"/>
      <c r="C186"/>
      <c r="D186"/>
      <c r="E186"/>
      <c r="F186"/>
      <c r="H186" s="81"/>
      <c r="I186" s="81"/>
      <c r="J186" s="81"/>
      <c r="K186" s="81"/>
      <c r="L186" s="81"/>
    </row>
    <row r="187" spans="1:12">
      <c r="A187"/>
      <c r="B187"/>
      <c r="C187"/>
      <c r="D187"/>
      <c r="E187"/>
      <c r="F187"/>
      <c r="H187" s="81"/>
      <c r="I187" s="81"/>
      <c r="J187" s="81"/>
      <c r="K187" s="81"/>
      <c r="L187" s="81"/>
    </row>
    <row r="188" spans="1:12">
      <c r="A188"/>
      <c r="B188"/>
      <c r="C188"/>
      <c r="D188"/>
      <c r="E188"/>
      <c r="F188"/>
      <c r="H188" s="81"/>
      <c r="I188" s="81"/>
      <c r="J188" s="81"/>
      <c r="K188" s="81"/>
      <c r="L188" s="81"/>
    </row>
    <row r="189" spans="1:12">
      <c r="A189"/>
      <c r="B189"/>
      <c r="C189"/>
      <c r="D189"/>
      <c r="E189"/>
      <c r="F189"/>
      <c r="H189" s="81"/>
      <c r="I189" s="81"/>
      <c r="J189" s="81"/>
      <c r="K189" s="81"/>
      <c r="L189" s="81"/>
    </row>
    <row r="190" spans="1:12">
      <c r="A190"/>
      <c r="B190"/>
      <c r="C190"/>
      <c r="D190"/>
      <c r="E190"/>
      <c r="F190"/>
      <c r="H190" s="81"/>
      <c r="I190" s="81"/>
      <c r="J190" s="81"/>
      <c r="K190" s="81"/>
      <c r="L190" s="81"/>
    </row>
    <row r="191" spans="1:12">
      <c r="A191"/>
      <c r="B191"/>
      <c r="C191"/>
      <c r="D191"/>
      <c r="E191"/>
      <c r="F191"/>
      <c r="H191" s="81"/>
      <c r="I191" s="81"/>
      <c r="J191" s="81"/>
      <c r="K191" s="81"/>
      <c r="L191" s="81"/>
    </row>
    <row r="192" spans="1:12">
      <c r="A192"/>
      <c r="B192"/>
      <c r="C192"/>
      <c r="D192"/>
      <c r="E192"/>
      <c r="F192"/>
      <c r="H192" s="81"/>
      <c r="I192" s="81"/>
      <c r="J192" s="81"/>
      <c r="K192" s="81"/>
      <c r="L192" s="81"/>
    </row>
    <row r="193" spans="1:12">
      <c r="A193"/>
      <c r="B193"/>
      <c r="C193"/>
      <c r="D193"/>
      <c r="E193"/>
      <c r="F193"/>
      <c r="H193" s="81"/>
      <c r="I193" s="81"/>
      <c r="J193" s="81"/>
      <c r="K193" s="81"/>
      <c r="L193" s="81"/>
    </row>
    <row r="194" spans="1:12">
      <c r="A194"/>
      <c r="B194"/>
      <c r="C194"/>
      <c r="D194"/>
      <c r="E194"/>
      <c r="F194"/>
      <c r="H194" s="81"/>
      <c r="I194" s="81"/>
      <c r="J194" s="81"/>
      <c r="K194" s="81"/>
      <c r="L194" s="81"/>
    </row>
    <row r="195" spans="1:12">
      <c r="A195"/>
      <c r="B195"/>
      <c r="C195"/>
      <c r="D195"/>
      <c r="E195"/>
      <c r="F195"/>
      <c r="H195" s="81"/>
      <c r="I195" s="81"/>
      <c r="J195" s="81"/>
      <c r="K195" s="81"/>
      <c r="L195" s="81"/>
    </row>
    <row r="196" spans="1:12">
      <c r="A196"/>
      <c r="B196"/>
      <c r="C196"/>
      <c r="D196"/>
      <c r="E196"/>
      <c r="F196"/>
      <c r="H196" s="81"/>
      <c r="I196" s="81"/>
      <c r="J196" s="81"/>
      <c r="K196" s="81"/>
      <c r="L196" s="81"/>
    </row>
    <row r="197" spans="1:12">
      <c r="A197"/>
      <c r="B197"/>
      <c r="C197"/>
      <c r="D197"/>
      <c r="E197"/>
      <c r="F197"/>
      <c r="H197" s="81"/>
      <c r="I197" s="81"/>
      <c r="J197" s="81"/>
      <c r="K197" s="81"/>
      <c r="L197" s="81"/>
    </row>
    <row r="198" spans="1:12">
      <c r="A198"/>
      <c r="B198"/>
      <c r="C198"/>
      <c r="D198"/>
      <c r="E198"/>
      <c r="F198"/>
      <c r="H198" s="81"/>
      <c r="I198" s="81"/>
      <c r="J198" s="81"/>
      <c r="K198" s="81"/>
      <c r="L198" s="81"/>
    </row>
    <row r="199" spans="1:12">
      <c r="A199"/>
      <c r="B199"/>
      <c r="C199"/>
      <c r="D199"/>
      <c r="E199"/>
      <c r="F199"/>
      <c r="H199" s="81"/>
      <c r="I199" s="81"/>
      <c r="J199" s="81"/>
      <c r="K199" s="81"/>
      <c r="L199" s="81"/>
    </row>
    <row r="200" spans="1:12">
      <c r="A200"/>
      <c r="B200"/>
      <c r="C200"/>
      <c r="D200"/>
      <c r="E200"/>
      <c r="F200"/>
      <c r="H200" s="81"/>
      <c r="I200" s="81"/>
      <c r="J200" s="81"/>
      <c r="K200" s="81"/>
      <c r="L200" s="81"/>
    </row>
    <row r="201" spans="1:12">
      <c r="A201"/>
      <c r="B201"/>
      <c r="C201"/>
      <c r="D201"/>
      <c r="E201"/>
      <c r="F201"/>
      <c r="H201" s="81"/>
      <c r="I201" s="81"/>
      <c r="J201" s="81"/>
      <c r="K201" s="81"/>
      <c r="L201" s="81"/>
    </row>
    <row r="202" spans="1:12">
      <c r="A202"/>
      <c r="B202"/>
      <c r="C202"/>
      <c r="D202"/>
      <c r="E202"/>
      <c r="F202"/>
      <c r="H202" s="81"/>
      <c r="I202" s="81"/>
      <c r="J202" s="81"/>
      <c r="K202" s="81"/>
      <c r="L202" s="81"/>
    </row>
    <row r="203" spans="1:12">
      <c r="A203"/>
      <c r="B203"/>
      <c r="C203"/>
      <c r="D203"/>
      <c r="E203"/>
      <c r="F203"/>
      <c r="H203" s="81"/>
      <c r="I203" s="81"/>
      <c r="J203" s="81"/>
      <c r="K203" s="81"/>
      <c r="L203" s="81"/>
    </row>
    <row r="204" spans="1:12">
      <c r="A204"/>
      <c r="B204"/>
      <c r="C204"/>
      <c r="D204"/>
      <c r="E204"/>
      <c r="F204"/>
      <c r="H204" s="81"/>
      <c r="I204" s="81"/>
      <c r="J204" s="81"/>
      <c r="K204" s="81"/>
      <c r="L204" s="81"/>
    </row>
    <row r="205" spans="1:12">
      <c r="A205"/>
      <c r="B205"/>
      <c r="C205"/>
      <c r="D205"/>
      <c r="E205"/>
      <c r="F205"/>
      <c r="H205" s="81"/>
      <c r="I205" s="81"/>
      <c r="J205" s="81"/>
      <c r="K205" s="81"/>
      <c r="L205" s="81"/>
    </row>
    <row r="206" spans="1:12">
      <c r="A206"/>
      <c r="B206"/>
      <c r="C206"/>
      <c r="D206"/>
      <c r="E206"/>
      <c r="F206"/>
      <c r="H206" s="81"/>
      <c r="I206" s="81"/>
      <c r="J206" s="81"/>
      <c r="K206" s="81"/>
      <c r="L206" s="81"/>
    </row>
    <row r="207" spans="1:12">
      <c r="A207"/>
      <c r="B207"/>
      <c r="C207"/>
      <c r="D207"/>
      <c r="E207"/>
      <c r="F207"/>
      <c r="H207" s="81"/>
      <c r="I207" s="81"/>
      <c r="J207" s="81"/>
      <c r="K207" s="81"/>
      <c r="L207" s="81"/>
    </row>
    <row r="208" spans="1:12">
      <c r="A208"/>
      <c r="B208"/>
      <c r="C208"/>
      <c r="D208"/>
      <c r="E208"/>
      <c r="F208"/>
      <c r="H208" s="81"/>
      <c r="I208" s="81"/>
      <c r="J208" s="81"/>
      <c r="K208" s="81"/>
      <c r="L208" s="81"/>
    </row>
    <row r="209" spans="1:12">
      <c r="A209"/>
      <c r="B209"/>
      <c r="C209"/>
      <c r="D209"/>
      <c r="E209"/>
      <c r="F209"/>
      <c r="H209" s="81"/>
      <c r="I209" s="81"/>
      <c r="J209" s="81"/>
      <c r="K209" s="81"/>
      <c r="L209" s="81"/>
    </row>
    <row r="210" spans="1:12">
      <c r="A210"/>
      <c r="B210"/>
      <c r="C210"/>
      <c r="D210"/>
      <c r="E210"/>
      <c r="F210"/>
      <c r="H210" s="81"/>
      <c r="I210" s="81"/>
      <c r="J210" s="81"/>
      <c r="K210" s="81"/>
      <c r="L210" s="81"/>
    </row>
    <row r="211" spans="1:12">
      <c r="A211"/>
      <c r="B211"/>
      <c r="C211"/>
      <c r="D211"/>
      <c r="E211"/>
      <c r="F211"/>
      <c r="H211" s="81"/>
      <c r="I211" s="81"/>
      <c r="J211" s="81"/>
      <c r="K211" s="81"/>
      <c r="L211" s="81"/>
    </row>
    <row r="212" spans="1:12">
      <c r="A212"/>
      <c r="B212"/>
      <c r="C212"/>
      <c r="D212"/>
      <c r="E212"/>
      <c r="F212"/>
      <c r="H212" s="81"/>
      <c r="I212" s="81"/>
      <c r="J212" s="81"/>
      <c r="K212" s="81"/>
      <c r="L212" s="81"/>
    </row>
    <row r="213" spans="1:12">
      <c r="A213"/>
      <c r="B213"/>
      <c r="C213"/>
      <c r="D213"/>
      <c r="E213"/>
      <c r="F213"/>
      <c r="H213" s="81"/>
      <c r="I213" s="81"/>
      <c r="J213" s="81"/>
      <c r="K213" s="81"/>
      <c r="L213" s="81"/>
    </row>
    <row r="214" spans="1:12">
      <c r="A214"/>
      <c r="B214"/>
      <c r="C214"/>
      <c r="D214"/>
      <c r="E214"/>
      <c r="F214"/>
      <c r="H214" s="81"/>
      <c r="I214" s="81"/>
      <c r="J214" s="81"/>
      <c r="K214" s="81"/>
      <c r="L214" s="81"/>
    </row>
    <row r="215" spans="1:12">
      <c r="A215"/>
      <c r="B215"/>
      <c r="C215"/>
      <c r="D215"/>
      <c r="E215"/>
      <c r="F215"/>
      <c r="H215" s="81"/>
      <c r="I215" s="81"/>
      <c r="J215" s="81"/>
      <c r="K215" s="81"/>
      <c r="L215" s="81"/>
    </row>
    <row r="216" spans="1:12">
      <c r="A216"/>
      <c r="B216"/>
      <c r="C216"/>
      <c r="D216"/>
      <c r="E216"/>
      <c r="F216"/>
      <c r="H216" s="81"/>
      <c r="I216" s="81"/>
      <c r="J216" s="81"/>
      <c r="K216" s="81"/>
      <c r="L216" s="81"/>
    </row>
    <row r="217" spans="1:12">
      <c r="A217"/>
      <c r="B217"/>
      <c r="C217"/>
      <c r="D217"/>
      <c r="E217"/>
      <c r="F217"/>
      <c r="H217" s="81"/>
      <c r="I217" s="81"/>
      <c r="J217" s="81"/>
      <c r="K217" s="81"/>
      <c r="L217" s="81"/>
    </row>
    <row r="218" spans="1:12">
      <c r="A218"/>
      <c r="B218"/>
      <c r="C218"/>
      <c r="D218"/>
      <c r="E218"/>
      <c r="F218"/>
      <c r="H218" s="81"/>
      <c r="I218" s="81"/>
      <c r="J218" s="81"/>
      <c r="K218" s="81"/>
      <c r="L218" s="81"/>
    </row>
    <row r="219" spans="1:12">
      <c r="A219"/>
      <c r="B219"/>
      <c r="C219"/>
      <c r="D219"/>
      <c r="E219"/>
      <c r="F219"/>
      <c r="H219" s="81"/>
      <c r="I219" s="81"/>
      <c r="J219" s="81"/>
      <c r="K219" s="81"/>
      <c r="L219" s="81"/>
    </row>
    <row r="220" spans="1:12">
      <c r="A220"/>
      <c r="B220"/>
      <c r="C220"/>
      <c r="D220"/>
      <c r="E220"/>
      <c r="F220"/>
      <c r="H220" s="81"/>
      <c r="I220" s="81"/>
      <c r="J220" s="81"/>
      <c r="K220" s="81"/>
      <c r="L220" s="81"/>
    </row>
    <row r="221" spans="1:12">
      <c r="A221"/>
      <c r="B221"/>
      <c r="C221"/>
      <c r="D221"/>
      <c r="E221"/>
      <c r="F221"/>
      <c r="H221" s="81"/>
      <c r="I221" s="81"/>
      <c r="J221" s="81"/>
      <c r="K221" s="81"/>
      <c r="L221" s="81"/>
    </row>
    <row r="222" spans="1:12">
      <c r="A222"/>
      <c r="B222"/>
      <c r="C222"/>
      <c r="D222"/>
      <c r="E222"/>
      <c r="F222"/>
      <c r="H222" s="81"/>
      <c r="I222" s="81"/>
      <c r="J222" s="81"/>
      <c r="K222" s="81"/>
      <c r="L222" s="81"/>
    </row>
    <row r="223" spans="1:12">
      <c r="A223"/>
      <c r="B223"/>
      <c r="C223"/>
      <c r="D223"/>
      <c r="E223"/>
      <c r="F223"/>
      <c r="H223" s="81"/>
      <c r="I223" s="81"/>
      <c r="J223" s="81"/>
      <c r="K223" s="81"/>
      <c r="L223" s="81"/>
    </row>
    <row r="224" spans="1:12">
      <c r="A224"/>
      <c r="B224"/>
      <c r="C224"/>
      <c r="D224"/>
      <c r="E224"/>
      <c r="F224"/>
      <c r="H224" s="81"/>
      <c r="I224" s="81"/>
      <c r="J224" s="81"/>
      <c r="K224" s="81"/>
      <c r="L224" s="81"/>
    </row>
    <row r="225" spans="1:12">
      <c r="A225"/>
      <c r="B225"/>
      <c r="C225"/>
      <c r="D225"/>
      <c r="E225"/>
      <c r="F225"/>
      <c r="H225" s="81"/>
      <c r="I225" s="81"/>
      <c r="J225" s="81"/>
      <c r="K225" s="81"/>
      <c r="L225" s="81"/>
    </row>
    <row r="226" spans="1:12">
      <c r="A226"/>
      <c r="B226"/>
      <c r="C226"/>
      <c r="D226"/>
      <c r="E226"/>
      <c r="F226"/>
      <c r="H226" s="81"/>
      <c r="I226" s="81"/>
      <c r="J226" s="81"/>
      <c r="K226" s="81"/>
      <c r="L226" s="81"/>
    </row>
    <row r="227" spans="1:12">
      <c r="A227"/>
      <c r="B227"/>
      <c r="C227"/>
      <c r="D227"/>
      <c r="E227"/>
      <c r="F227"/>
      <c r="H227" s="81"/>
      <c r="I227" s="81"/>
      <c r="J227" s="81"/>
      <c r="K227" s="81"/>
      <c r="L227" s="81"/>
    </row>
    <row r="228" spans="1:12">
      <c r="A228"/>
      <c r="B228"/>
      <c r="C228"/>
      <c r="D228"/>
      <c r="E228"/>
      <c r="F228"/>
      <c r="H228" s="81"/>
      <c r="I228" s="81"/>
      <c r="J228" s="81"/>
      <c r="K228" s="81"/>
      <c r="L228" s="81"/>
    </row>
    <row r="229" spans="1:12">
      <c r="A229"/>
      <c r="B229"/>
      <c r="C229"/>
      <c r="D229"/>
      <c r="E229"/>
      <c r="F229"/>
      <c r="H229" s="81"/>
      <c r="I229" s="81"/>
      <c r="J229" s="81"/>
      <c r="K229" s="81"/>
      <c r="L229" s="81"/>
    </row>
    <row r="230" spans="1:12">
      <c r="A230"/>
      <c r="B230"/>
      <c r="C230"/>
      <c r="D230"/>
      <c r="E230"/>
      <c r="F230"/>
      <c r="H230" s="81"/>
      <c r="I230" s="81"/>
      <c r="J230" s="81"/>
      <c r="K230" s="81"/>
      <c r="L230" s="81"/>
    </row>
    <row r="231" spans="1:12">
      <c r="A231"/>
      <c r="B231"/>
      <c r="C231"/>
      <c r="D231"/>
      <c r="E231"/>
      <c r="F231"/>
      <c r="H231" s="81"/>
      <c r="I231" s="81"/>
      <c r="J231" s="81"/>
      <c r="K231" s="81"/>
      <c r="L231" s="81"/>
    </row>
    <row r="232" spans="1:12">
      <c r="A232"/>
      <c r="B232"/>
      <c r="C232"/>
      <c r="D232"/>
      <c r="E232"/>
      <c r="F232"/>
      <c r="H232" s="81"/>
      <c r="I232" s="81"/>
      <c r="J232" s="81"/>
      <c r="K232" s="81"/>
      <c r="L232" s="81"/>
    </row>
    <row r="233" spans="1:12">
      <c r="A233"/>
      <c r="B233"/>
      <c r="C233"/>
      <c r="D233"/>
      <c r="E233"/>
      <c r="F233"/>
      <c r="H233" s="81"/>
      <c r="I233" s="81"/>
      <c r="J233" s="81"/>
      <c r="K233" s="81"/>
      <c r="L233" s="81"/>
    </row>
    <row r="234" spans="1:12">
      <c r="A234"/>
      <c r="B234"/>
      <c r="C234"/>
      <c r="D234"/>
      <c r="E234"/>
      <c r="F234"/>
      <c r="H234" s="81"/>
      <c r="I234" s="81"/>
      <c r="J234" s="81"/>
      <c r="K234" s="81"/>
      <c r="L234" s="81"/>
    </row>
    <row r="235" spans="1:12">
      <c r="A235"/>
      <c r="B235"/>
      <c r="C235"/>
      <c r="D235"/>
      <c r="E235"/>
      <c r="F235"/>
      <c r="H235" s="81"/>
      <c r="I235" s="81"/>
      <c r="J235" s="81"/>
      <c r="K235" s="81"/>
      <c r="L235" s="81"/>
    </row>
    <row r="236" spans="1:12">
      <c r="A236"/>
      <c r="B236"/>
      <c r="C236"/>
      <c r="D236"/>
      <c r="E236"/>
      <c r="F236"/>
      <c r="H236" s="81"/>
      <c r="I236" s="81"/>
      <c r="J236" s="81"/>
      <c r="K236" s="81"/>
      <c r="L236" s="81"/>
    </row>
    <row r="237" spans="1:12">
      <c r="A237"/>
      <c r="B237"/>
      <c r="C237"/>
      <c r="D237"/>
      <c r="E237"/>
      <c r="F237"/>
      <c r="H237" s="81"/>
      <c r="I237" s="81"/>
      <c r="J237" s="81"/>
      <c r="K237" s="81"/>
      <c r="L237" s="81"/>
    </row>
    <row r="238" spans="1:12">
      <c r="A238"/>
      <c r="B238"/>
      <c r="C238"/>
      <c r="D238"/>
      <c r="E238"/>
      <c r="F238"/>
      <c r="H238" s="81"/>
      <c r="I238" s="81"/>
      <c r="J238" s="81"/>
      <c r="K238" s="81"/>
      <c r="L238" s="81"/>
    </row>
    <row r="239" spans="1:12">
      <c r="A239"/>
      <c r="B239"/>
      <c r="C239"/>
      <c r="D239"/>
      <c r="E239"/>
      <c r="F239"/>
      <c r="H239" s="81"/>
      <c r="I239" s="81"/>
      <c r="J239" s="81"/>
      <c r="K239" s="81"/>
      <c r="L239" s="81"/>
    </row>
    <row r="240" spans="1:12">
      <c r="A240"/>
      <c r="B240"/>
      <c r="C240"/>
      <c r="D240"/>
      <c r="E240"/>
      <c r="F240"/>
      <c r="H240" s="81"/>
      <c r="I240" s="81"/>
      <c r="J240" s="81"/>
      <c r="K240" s="81"/>
      <c r="L240" s="81"/>
    </row>
    <row r="241" spans="1:12">
      <c r="A241"/>
      <c r="B241"/>
      <c r="C241"/>
      <c r="D241"/>
      <c r="E241"/>
      <c r="F241"/>
      <c r="H241" s="81"/>
      <c r="I241" s="81"/>
      <c r="J241" s="81"/>
      <c r="K241" s="81"/>
      <c r="L241" s="81"/>
    </row>
    <row r="242" spans="1:12">
      <c r="A242"/>
      <c r="B242"/>
      <c r="C242"/>
      <c r="D242"/>
      <c r="E242"/>
      <c r="F242"/>
      <c r="H242" s="81"/>
      <c r="I242" s="81"/>
      <c r="J242" s="81"/>
      <c r="K242" s="81"/>
      <c r="L242" s="81"/>
    </row>
    <row r="243" spans="1:12">
      <c r="A243"/>
      <c r="B243"/>
      <c r="C243"/>
      <c r="D243"/>
      <c r="E243"/>
      <c r="F243"/>
      <c r="H243" s="81"/>
      <c r="I243" s="81"/>
      <c r="J243" s="81"/>
      <c r="K243" s="81"/>
      <c r="L243" s="81"/>
    </row>
    <row r="244" spans="1:12">
      <c r="A244"/>
      <c r="B244"/>
      <c r="C244"/>
      <c r="D244"/>
      <c r="E244"/>
      <c r="F244"/>
      <c r="H244" s="81"/>
      <c r="I244" s="81"/>
      <c r="J244" s="81"/>
      <c r="K244" s="81"/>
      <c r="L244" s="81"/>
    </row>
    <row r="245" spans="1:12">
      <c r="A245"/>
      <c r="B245"/>
      <c r="C245"/>
      <c r="D245"/>
      <c r="E245"/>
      <c r="F245"/>
      <c r="H245" s="81"/>
      <c r="I245" s="81"/>
      <c r="J245" s="81"/>
      <c r="K245" s="81"/>
      <c r="L245" s="81"/>
    </row>
    <row r="246" spans="1:12">
      <c r="A246"/>
      <c r="B246"/>
      <c r="C246"/>
      <c r="D246"/>
      <c r="E246"/>
      <c r="F246"/>
      <c r="H246" s="81"/>
      <c r="I246" s="81"/>
      <c r="J246" s="81"/>
      <c r="K246" s="81"/>
      <c r="L246" s="81"/>
    </row>
    <row r="247" spans="1:12">
      <c r="A247"/>
      <c r="B247"/>
      <c r="C247"/>
      <c r="D247"/>
      <c r="E247"/>
      <c r="F247"/>
      <c r="H247" s="81"/>
      <c r="I247" s="81"/>
      <c r="J247" s="81"/>
      <c r="K247" s="81"/>
      <c r="L247" s="81"/>
    </row>
    <row r="248" spans="1:12">
      <c r="A248"/>
      <c r="B248"/>
      <c r="C248"/>
      <c r="D248"/>
      <c r="E248"/>
      <c r="F248"/>
      <c r="H248" s="81"/>
      <c r="I248" s="81"/>
      <c r="J248" s="81"/>
      <c r="K248" s="81"/>
      <c r="L248" s="81"/>
    </row>
    <row r="249" spans="1:12">
      <c r="A249"/>
      <c r="B249"/>
      <c r="C249"/>
      <c r="D249"/>
      <c r="E249"/>
      <c r="F249"/>
      <c r="H249" s="81"/>
      <c r="I249" s="81"/>
      <c r="J249" s="81"/>
      <c r="K249" s="81"/>
      <c r="L249" s="81"/>
    </row>
    <row r="250" spans="1:12">
      <c r="A250"/>
      <c r="B250"/>
      <c r="C250"/>
      <c r="D250"/>
      <c r="E250"/>
      <c r="F250"/>
      <c r="H250" s="81"/>
      <c r="I250" s="81"/>
      <c r="J250" s="81"/>
      <c r="K250" s="81"/>
      <c r="L250" s="81"/>
    </row>
    <row r="251" spans="1:12">
      <c r="A251"/>
      <c r="B251"/>
      <c r="C251"/>
      <c r="D251"/>
      <c r="E251"/>
      <c r="F251"/>
      <c r="H251" s="81"/>
      <c r="I251" s="81"/>
      <c r="J251" s="81"/>
      <c r="K251" s="81"/>
      <c r="L251" s="81"/>
    </row>
    <row r="252" spans="1:12">
      <c r="A252"/>
      <c r="B252"/>
      <c r="C252"/>
      <c r="D252"/>
      <c r="E252"/>
      <c r="F252"/>
      <c r="H252" s="81"/>
      <c r="I252" s="81"/>
      <c r="J252" s="81"/>
      <c r="K252" s="81"/>
      <c r="L252" s="81"/>
    </row>
    <row r="253" spans="1:12">
      <c r="A253"/>
      <c r="B253"/>
      <c r="C253"/>
      <c r="D253"/>
      <c r="E253"/>
      <c r="F253"/>
      <c r="H253" s="81"/>
      <c r="I253" s="81"/>
      <c r="J253" s="81"/>
      <c r="K253" s="81"/>
      <c r="L253" s="81"/>
    </row>
    <row r="254" spans="1:12">
      <c r="A254"/>
      <c r="B254"/>
      <c r="C254"/>
      <c r="D254"/>
      <c r="E254"/>
      <c r="F254"/>
      <c r="H254" s="81"/>
      <c r="I254" s="81"/>
      <c r="J254" s="81"/>
      <c r="K254" s="81"/>
      <c r="L254" s="81"/>
    </row>
    <row r="255" spans="1:12">
      <c r="A255"/>
      <c r="B255"/>
      <c r="C255"/>
      <c r="D255"/>
      <c r="E255"/>
      <c r="F255"/>
      <c r="H255" s="81"/>
      <c r="I255" s="81"/>
      <c r="J255" s="81"/>
      <c r="K255" s="81"/>
      <c r="L255" s="81"/>
    </row>
    <row r="256" spans="1:12">
      <c r="A256"/>
      <c r="B256"/>
      <c r="C256"/>
      <c r="D256"/>
      <c r="E256"/>
      <c r="F256"/>
      <c r="H256" s="81"/>
      <c r="I256" s="81"/>
      <c r="J256" s="81"/>
      <c r="K256" s="81"/>
      <c r="L256" s="81"/>
    </row>
    <row r="257" spans="1:12">
      <c r="A257"/>
      <c r="B257"/>
      <c r="C257"/>
      <c r="D257"/>
      <c r="E257"/>
      <c r="F257"/>
      <c r="H257" s="81"/>
      <c r="I257" s="81"/>
      <c r="J257" s="81"/>
      <c r="K257" s="81"/>
      <c r="L257" s="81"/>
    </row>
    <row r="258" spans="1:12">
      <c r="A258"/>
      <c r="B258"/>
      <c r="C258"/>
      <c r="D258"/>
      <c r="E258"/>
      <c r="F258"/>
      <c r="H258" s="81"/>
      <c r="I258" s="81"/>
      <c r="J258" s="81"/>
      <c r="K258" s="81"/>
      <c r="L258" s="81"/>
    </row>
    <row r="259" spans="1:12">
      <c r="A259"/>
      <c r="B259"/>
      <c r="C259"/>
      <c r="D259"/>
      <c r="E259"/>
      <c r="F259"/>
      <c r="H259" s="81"/>
      <c r="I259" s="81"/>
      <c r="J259" s="81"/>
      <c r="K259" s="81"/>
      <c r="L259" s="81"/>
    </row>
    <row r="260" spans="1:12">
      <c r="A260"/>
      <c r="B260"/>
      <c r="C260"/>
      <c r="D260"/>
      <c r="E260"/>
      <c r="F260"/>
      <c r="H260" s="81"/>
      <c r="I260" s="81"/>
      <c r="J260" s="81"/>
      <c r="K260" s="81"/>
      <c r="L260" s="81"/>
    </row>
    <row r="261" spans="1:12">
      <c r="A261"/>
      <c r="B261"/>
      <c r="C261"/>
      <c r="D261"/>
      <c r="E261"/>
      <c r="F261"/>
      <c r="H261" s="81"/>
      <c r="I261" s="81"/>
      <c r="J261" s="81"/>
      <c r="K261" s="81"/>
      <c r="L261" s="81"/>
    </row>
    <row r="262" spans="1:12">
      <c r="A262"/>
      <c r="B262"/>
      <c r="C262"/>
      <c r="D262"/>
      <c r="E262"/>
      <c r="F262"/>
      <c r="H262" s="81"/>
      <c r="I262" s="81"/>
      <c r="J262" s="81"/>
      <c r="K262" s="81"/>
      <c r="L262" s="81"/>
    </row>
    <row r="263" spans="1:12">
      <c r="A263"/>
      <c r="B263"/>
      <c r="C263"/>
      <c r="D263"/>
      <c r="E263"/>
      <c r="F263"/>
      <c r="H263" s="81"/>
      <c r="I263" s="81"/>
      <c r="J263" s="81"/>
      <c r="K263" s="81"/>
      <c r="L263" s="81"/>
    </row>
    <row r="264" spans="1:12">
      <c r="A264"/>
      <c r="B264"/>
      <c r="C264"/>
      <c r="D264"/>
      <c r="E264"/>
      <c r="F264"/>
      <c r="H264" s="81"/>
      <c r="I264" s="81"/>
      <c r="J264" s="81"/>
      <c r="K264" s="81"/>
      <c r="L264" s="81"/>
    </row>
    <row r="265" spans="1:12">
      <c r="A265"/>
      <c r="B265"/>
      <c r="C265"/>
      <c r="D265"/>
      <c r="E265"/>
      <c r="F265"/>
      <c r="H265" s="81"/>
      <c r="I265" s="81"/>
      <c r="J265" s="81"/>
      <c r="K265" s="81"/>
      <c r="L265" s="81"/>
    </row>
    <row r="266" spans="1:12">
      <c r="A266"/>
      <c r="B266"/>
      <c r="C266"/>
      <c r="D266"/>
      <c r="E266"/>
      <c r="F266"/>
      <c r="H266" s="81"/>
      <c r="I266" s="81"/>
      <c r="J266" s="81"/>
      <c r="K266" s="81"/>
      <c r="L266" s="81"/>
    </row>
    <row r="267" spans="1:12">
      <c r="A267"/>
      <c r="B267"/>
      <c r="C267"/>
      <c r="D267"/>
      <c r="E267"/>
      <c r="F267"/>
      <c r="H267" s="81"/>
      <c r="I267" s="81"/>
      <c r="J267" s="81"/>
      <c r="K267" s="81"/>
      <c r="L267" s="81"/>
    </row>
    <row r="268" spans="1:12">
      <c r="A268"/>
      <c r="B268"/>
      <c r="C268"/>
      <c r="D268"/>
      <c r="E268"/>
      <c r="F268"/>
      <c r="H268" s="81"/>
      <c r="I268" s="81"/>
      <c r="J268" s="81"/>
      <c r="K268" s="81"/>
      <c r="L268" s="81"/>
    </row>
    <row r="269" spans="1:12">
      <c r="A269"/>
      <c r="B269"/>
      <c r="C269"/>
      <c r="D269"/>
      <c r="E269"/>
      <c r="F269"/>
      <c r="H269" s="81"/>
      <c r="I269" s="81"/>
      <c r="J269" s="81"/>
      <c r="K269" s="81"/>
      <c r="L269" s="81"/>
    </row>
    <row r="270" spans="1:12">
      <c r="A270"/>
      <c r="B270"/>
      <c r="C270"/>
      <c r="D270"/>
      <c r="E270"/>
      <c r="F270"/>
      <c r="H270" s="81"/>
      <c r="I270" s="81"/>
      <c r="J270" s="81"/>
      <c r="K270" s="81"/>
      <c r="L270" s="81"/>
    </row>
    <row r="271" spans="1:12">
      <c r="A271"/>
      <c r="B271"/>
      <c r="C271"/>
      <c r="D271"/>
      <c r="E271"/>
      <c r="F271"/>
      <c r="H271" s="81"/>
      <c r="I271" s="81"/>
      <c r="J271" s="81"/>
      <c r="K271" s="81"/>
      <c r="L271" s="81"/>
    </row>
    <row r="272" spans="1:12">
      <c r="A272"/>
      <c r="B272"/>
      <c r="C272"/>
      <c r="D272"/>
      <c r="E272"/>
      <c r="F272"/>
      <c r="H272" s="81"/>
      <c r="I272" s="81"/>
      <c r="J272" s="81"/>
      <c r="K272" s="81"/>
      <c r="L272" s="81"/>
    </row>
    <row r="273" spans="1:12">
      <c r="A273"/>
      <c r="B273"/>
      <c r="C273"/>
      <c r="D273"/>
      <c r="E273"/>
      <c r="F273"/>
      <c r="H273" s="81"/>
      <c r="I273" s="81"/>
      <c r="J273" s="81"/>
      <c r="K273" s="81"/>
      <c r="L273" s="81"/>
    </row>
    <row r="274" spans="1:12">
      <c r="A274"/>
      <c r="B274"/>
      <c r="C274"/>
      <c r="D274"/>
      <c r="E274"/>
      <c r="F274"/>
      <c r="H274" s="81"/>
      <c r="I274" s="81"/>
      <c r="J274" s="81"/>
      <c r="K274" s="81"/>
      <c r="L274" s="81"/>
    </row>
    <row r="275" spans="1:12">
      <c r="A275"/>
      <c r="B275"/>
      <c r="C275"/>
      <c r="D275"/>
      <c r="E275"/>
      <c r="F275"/>
      <c r="H275" s="81"/>
      <c r="I275" s="81"/>
      <c r="J275" s="81"/>
      <c r="K275" s="81"/>
      <c r="L275" s="81"/>
    </row>
    <row r="276" spans="1:12">
      <c r="A276"/>
      <c r="B276"/>
      <c r="C276"/>
      <c r="D276"/>
      <c r="E276"/>
      <c r="F276"/>
      <c r="H276" s="81"/>
      <c r="I276" s="81"/>
      <c r="J276" s="81"/>
      <c r="K276" s="81"/>
      <c r="L276" s="81"/>
    </row>
    <row r="277" spans="1:12">
      <c r="A277"/>
      <c r="B277"/>
      <c r="C277"/>
      <c r="D277"/>
      <c r="E277"/>
      <c r="F277"/>
      <c r="H277" s="81"/>
      <c r="I277" s="81"/>
      <c r="J277" s="81"/>
      <c r="K277" s="81"/>
      <c r="L277" s="81"/>
    </row>
    <row r="278" spans="1:12">
      <c r="A278"/>
      <c r="B278"/>
      <c r="C278"/>
      <c r="D278"/>
      <c r="E278"/>
      <c r="F278"/>
      <c r="H278" s="81"/>
      <c r="I278" s="81"/>
      <c r="J278" s="81"/>
      <c r="K278" s="81"/>
      <c r="L278" s="81"/>
    </row>
    <row r="279" spans="1:12">
      <c r="A279"/>
      <c r="B279"/>
      <c r="C279"/>
      <c r="D279"/>
      <c r="E279"/>
      <c r="F279"/>
      <c r="H279" s="81"/>
      <c r="I279" s="81"/>
      <c r="J279" s="81"/>
      <c r="K279" s="81"/>
      <c r="L279" s="81"/>
    </row>
    <row r="280" spans="1:12">
      <c r="A280"/>
      <c r="B280"/>
      <c r="C280"/>
      <c r="D280"/>
      <c r="E280"/>
      <c r="F280"/>
      <c r="H280" s="81"/>
      <c r="I280" s="81"/>
      <c r="J280" s="81"/>
      <c r="K280" s="81"/>
      <c r="L280" s="81"/>
    </row>
    <row r="281" spans="1:12">
      <c r="A281"/>
      <c r="B281"/>
      <c r="C281"/>
      <c r="D281"/>
      <c r="E281"/>
      <c r="F281"/>
      <c r="H281" s="81"/>
      <c r="I281" s="81"/>
      <c r="J281" s="81"/>
      <c r="K281" s="81"/>
      <c r="L281" s="81"/>
    </row>
    <row r="282" spans="1:12">
      <c r="A282"/>
      <c r="B282"/>
      <c r="C282"/>
      <c r="D282"/>
      <c r="E282"/>
      <c r="F282"/>
      <c r="H282" s="81"/>
      <c r="I282" s="81"/>
      <c r="J282" s="81"/>
      <c r="K282" s="81"/>
      <c r="L282" s="81"/>
    </row>
    <row r="283" spans="1:12">
      <c r="A283"/>
      <c r="B283"/>
      <c r="C283"/>
      <c r="D283"/>
      <c r="E283"/>
      <c r="F283"/>
      <c r="H283" s="81"/>
      <c r="I283" s="81"/>
      <c r="J283" s="81"/>
      <c r="K283" s="81"/>
      <c r="L283" s="81"/>
    </row>
    <row r="284" spans="1:12">
      <c r="A284"/>
      <c r="B284"/>
      <c r="C284"/>
      <c r="D284"/>
      <c r="E284"/>
      <c r="F284"/>
      <c r="H284" s="81"/>
      <c r="I284" s="81"/>
      <c r="J284" s="81"/>
      <c r="K284" s="81"/>
      <c r="L284" s="81"/>
    </row>
    <row r="285" spans="1:12">
      <c r="A285"/>
      <c r="B285"/>
      <c r="C285"/>
      <c r="D285"/>
      <c r="E285"/>
      <c r="F285"/>
      <c r="H285" s="81"/>
      <c r="I285" s="81"/>
      <c r="J285" s="81"/>
      <c r="K285" s="81"/>
      <c r="L285" s="81"/>
    </row>
    <row r="286" spans="1:12">
      <c r="A286"/>
      <c r="B286"/>
      <c r="C286"/>
      <c r="D286"/>
      <c r="E286"/>
      <c r="F286"/>
      <c r="H286" s="81"/>
      <c r="I286" s="81"/>
      <c r="J286" s="81"/>
      <c r="K286" s="81"/>
      <c r="L286" s="81"/>
    </row>
    <row r="287" spans="1:12">
      <c r="A287"/>
      <c r="B287"/>
      <c r="C287"/>
      <c r="D287"/>
      <c r="E287"/>
      <c r="F287"/>
      <c r="H287" s="81"/>
      <c r="I287" s="81"/>
      <c r="J287" s="81"/>
      <c r="K287" s="81"/>
      <c r="L287" s="81"/>
    </row>
    <row r="288" spans="1:12">
      <c r="A288"/>
      <c r="B288"/>
      <c r="C288"/>
      <c r="D288"/>
      <c r="E288"/>
      <c r="F288"/>
      <c r="H288" s="81"/>
      <c r="I288" s="81"/>
      <c r="J288" s="81"/>
      <c r="K288" s="81"/>
      <c r="L288" s="81"/>
    </row>
    <row r="289" spans="1:12">
      <c r="A289"/>
      <c r="B289"/>
      <c r="C289"/>
      <c r="D289"/>
      <c r="E289"/>
      <c r="F289"/>
      <c r="H289" s="81"/>
      <c r="I289" s="81"/>
      <c r="J289" s="81"/>
      <c r="K289" s="81"/>
      <c r="L289" s="81"/>
    </row>
    <row r="290" spans="1:12">
      <c r="A290"/>
      <c r="B290"/>
      <c r="C290"/>
      <c r="D290"/>
      <c r="E290"/>
      <c r="F290"/>
      <c r="H290" s="81"/>
      <c r="I290" s="81"/>
      <c r="J290" s="81"/>
      <c r="K290" s="81"/>
      <c r="L290" s="81"/>
    </row>
    <row r="291" spans="1:12">
      <c r="A291"/>
      <c r="B291"/>
      <c r="C291"/>
      <c r="D291"/>
      <c r="E291"/>
      <c r="F291"/>
      <c r="H291" s="81"/>
      <c r="I291" s="81"/>
      <c r="J291" s="81"/>
      <c r="K291" s="81"/>
      <c r="L291" s="81"/>
    </row>
    <row r="292" spans="1:12">
      <c r="A292"/>
      <c r="B292"/>
      <c r="C292"/>
      <c r="D292"/>
      <c r="E292"/>
      <c r="F292"/>
      <c r="H292" s="81"/>
      <c r="I292" s="81"/>
      <c r="J292" s="81"/>
      <c r="K292" s="81"/>
      <c r="L292" s="81"/>
    </row>
    <row r="293" spans="1:12">
      <c r="A293"/>
      <c r="B293"/>
      <c r="C293"/>
      <c r="D293"/>
      <c r="E293"/>
      <c r="F293"/>
      <c r="H293" s="81"/>
      <c r="I293" s="81"/>
      <c r="J293" s="81"/>
      <c r="K293" s="81"/>
      <c r="L293" s="81"/>
    </row>
    <row r="294" spans="1:12">
      <c r="A294"/>
      <c r="B294"/>
      <c r="C294"/>
      <c r="D294"/>
      <c r="E294"/>
      <c r="F294"/>
      <c r="H294" s="81"/>
      <c r="I294" s="81"/>
      <c r="J294" s="81"/>
      <c r="K294" s="81"/>
      <c r="L294" s="81"/>
    </row>
    <row r="295" spans="1:12">
      <c r="A295"/>
      <c r="B295"/>
      <c r="C295"/>
      <c r="D295"/>
      <c r="E295"/>
      <c r="F295"/>
      <c r="H295" s="81"/>
      <c r="I295" s="81"/>
      <c r="J295" s="81"/>
      <c r="K295" s="81"/>
      <c r="L295" s="81"/>
    </row>
    <row r="296" spans="1:12">
      <c r="A296"/>
      <c r="B296"/>
      <c r="C296"/>
      <c r="D296"/>
      <c r="E296"/>
      <c r="F296"/>
      <c r="H296" s="81"/>
      <c r="I296" s="81"/>
      <c r="J296" s="81"/>
      <c r="K296" s="81"/>
      <c r="L296" s="81"/>
    </row>
    <row r="297" spans="1:12">
      <c r="A297"/>
      <c r="B297"/>
      <c r="C297"/>
      <c r="D297"/>
      <c r="E297"/>
      <c r="F297"/>
      <c r="H297" s="81"/>
      <c r="I297" s="81"/>
      <c r="J297" s="81"/>
      <c r="K297" s="81"/>
      <c r="L297" s="81"/>
    </row>
    <row r="298" spans="1:12">
      <c r="A298"/>
      <c r="B298"/>
      <c r="C298"/>
      <c r="D298"/>
      <c r="E298"/>
      <c r="F298"/>
      <c r="H298" s="81"/>
      <c r="I298" s="81"/>
      <c r="J298" s="81"/>
      <c r="K298" s="81"/>
      <c r="L298" s="81"/>
    </row>
    <row r="299" spans="1:12">
      <c r="A299"/>
      <c r="B299"/>
      <c r="C299"/>
      <c r="D299"/>
      <c r="E299"/>
      <c r="F299"/>
      <c r="H299" s="81"/>
      <c r="I299" s="81"/>
      <c r="J299" s="81"/>
      <c r="K299" s="81"/>
      <c r="L299" s="81"/>
    </row>
    <row r="300" spans="1:12">
      <c r="A300"/>
      <c r="B300"/>
      <c r="C300"/>
      <c r="D300"/>
      <c r="E300"/>
      <c r="F300"/>
      <c r="H300" s="81"/>
      <c r="I300" s="81"/>
      <c r="J300" s="81"/>
      <c r="K300" s="81"/>
      <c r="L300" s="81"/>
    </row>
    <row r="301" spans="1:12">
      <c r="A301"/>
      <c r="B301"/>
      <c r="C301"/>
      <c r="D301"/>
      <c r="E301"/>
      <c r="F301"/>
      <c r="H301" s="81"/>
      <c r="I301" s="81"/>
      <c r="J301" s="81"/>
      <c r="K301" s="81"/>
      <c r="L301" s="81"/>
    </row>
    <row r="302" spans="1:12">
      <c r="A302"/>
      <c r="B302"/>
      <c r="C302"/>
      <c r="D302"/>
      <c r="E302"/>
      <c r="F302"/>
      <c r="H302" s="81"/>
      <c r="I302" s="81"/>
      <c r="J302" s="81"/>
      <c r="K302" s="81"/>
      <c r="L302" s="81"/>
    </row>
    <row r="303" spans="1:12">
      <c r="A303"/>
      <c r="B303"/>
      <c r="C303"/>
      <c r="D303"/>
      <c r="E303"/>
      <c r="F303"/>
      <c r="H303" s="81"/>
      <c r="I303" s="81"/>
      <c r="J303" s="81"/>
      <c r="K303" s="81"/>
      <c r="L303" s="81"/>
    </row>
    <row r="304" spans="1:12">
      <c r="A304"/>
      <c r="B304"/>
      <c r="C304"/>
      <c r="D304"/>
      <c r="E304"/>
      <c r="F304"/>
      <c r="H304" s="81"/>
      <c r="I304" s="81"/>
      <c r="J304" s="81"/>
      <c r="K304" s="81"/>
      <c r="L304" s="81"/>
    </row>
    <row r="305" spans="1:12">
      <c r="A305"/>
      <c r="B305"/>
      <c r="C305"/>
      <c r="D305"/>
      <c r="E305"/>
      <c r="F305"/>
      <c r="H305" s="81"/>
      <c r="I305" s="81"/>
      <c r="J305" s="81"/>
      <c r="K305" s="81"/>
      <c r="L305" s="81"/>
    </row>
    <row r="306" spans="1:12">
      <c r="A306"/>
      <c r="B306"/>
      <c r="C306"/>
      <c r="D306"/>
      <c r="E306"/>
      <c r="F306"/>
      <c r="H306" s="81"/>
      <c r="I306" s="81"/>
      <c r="J306" s="81"/>
      <c r="K306" s="81"/>
      <c r="L306" s="81"/>
    </row>
    <row r="307" spans="1:12">
      <c r="A307"/>
      <c r="B307"/>
      <c r="C307"/>
      <c r="D307"/>
      <c r="E307"/>
      <c r="F307"/>
      <c r="H307" s="81"/>
      <c r="I307" s="81"/>
      <c r="J307" s="81"/>
      <c r="K307" s="81"/>
      <c r="L307" s="81"/>
    </row>
    <row r="308" spans="1:12">
      <c r="A308"/>
      <c r="B308"/>
      <c r="C308"/>
      <c r="D308"/>
      <c r="E308"/>
      <c r="F308"/>
      <c r="H308" s="81"/>
      <c r="I308" s="81"/>
      <c r="J308" s="81"/>
      <c r="K308" s="81"/>
      <c r="L308" s="81"/>
    </row>
    <row r="309" spans="1:12">
      <c r="A309"/>
      <c r="B309"/>
      <c r="C309"/>
      <c r="D309"/>
      <c r="E309"/>
      <c r="F309"/>
      <c r="H309" s="81"/>
      <c r="I309" s="81"/>
      <c r="J309" s="81"/>
      <c r="K309" s="81"/>
      <c r="L309" s="81"/>
    </row>
    <row r="310" spans="1:12">
      <c r="A310"/>
      <c r="B310"/>
      <c r="C310"/>
      <c r="D310"/>
      <c r="E310"/>
      <c r="F310"/>
      <c r="H310" s="81"/>
      <c r="I310" s="81"/>
      <c r="J310" s="81"/>
      <c r="K310" s="81"/>
      <c r="L310" s="81"/>
    </row>
    <row r="311" spans="1:12">
      <c r="A311"/>
      <c r="B311"/>
      <c r="C311"/>
      <c r="D311"/>
      <c r="E311"/>
      <c r="F311"/>
      <c r="H311" s="81"/>
      <c r="I311" s="81"/>
      <c r="J311" s="81"/>
      <c r="K311" s="81"/>
      <c r="L311" s="81"/>
    </row>
    <row r="312" spans="1:12">
      <c r="A312"/>
      <c r="B312"/>
      <c r="C312"/>
      <c r="D312"/>
      <c r="E312"/>
      <c r="F312"/>
      <c r="H312" s="81"/>
      <c r="I312" s="81"/>
      <c r="J312" s="81"/>
      <c r="K312" s="81"/>
      <c r="L312" s="81"/>
    </row>
    <row r="313" spans="1:12">
      <c r="A313"/>
      <c r="B313"/>
      <c r="C313"/>
      <c r="D313"/>
      <c r="E313"/>
      <c r="F313"/>
      <c r="H313" s="81"/>
      <c r="I313" s="81"/>
      <c r="J313" s="81"/>
      <c r="K313" s="81"/>
      <c r="L313" s="81"/>
    </row>
    <row r="314" spans="1:12">
      <c r="A314"/>
      <c r="B314"/>
      <c r="C314"/>
      <c r="D314"/>
      <c r="E314"/>
      <c r="F314"/>
      <c r="H314" s="81"/>
      <c r="I314" s="81"/>
      <c r="J314" s="81"/>
      <c r="K314" s="81"/>
      <c r="L314" s="81"/>
    </row>
    <row r="315" spans="1:12">
      <c r="A315"/>
      <c r="B315"/>
      <c r="C315"/>
      <c r="D315"/>
      <c r="E315"/>
      <c r="F315"/>
      <c r="H315" s="81"/>
      <c r="I315" s="81"/>
      <c r="J315" s="81"/>
      <c r="K315" s="81"/>
      <c r="L315" s="81"/>
    </row>
    <row r="316" spans="1:12">
      <c r="A316"/>
      <c r="B316"/>
      <c r="C316"/>
      <c r="D316"/>
      <c r="E316"/>
      <c r="F316"/>
      <c r="H316" s="81"/>
      <c r="I316" s="81"/>
      <c r="J316" s="81"/>
      <c r="K316" s="81"/>
      <c r="L316" s="81"/>
    </row>
    <row r="317" spans="1:12">
      <c r="A317"/>
      <c r="B317"/>
      <c r="C317"/>
      <c r="D317"/>
      <c r="E317"/>
      <c r="F317"/>
      <c r="H317" s="81"/>
      <c r="I317" s="81"/>
      <c r="J317" s="81"/>
      <c r="K317" s="81"/>
      <c r="L317" s="81"/>
    </row>
    <row r="318" spans="1:12">
      <c r="A318"/>
      <c r="B318"/>
      <c r="C318"/>
      <c r="D318"/>
      <c r="E318"/>
      <c r="F318"/>
      <c r="H318" s="81"/>
      <c r="I318" s="81"/>
      <c r="J318" s="81"/>
      <c r="K318" s="81"/>
      <c r="L318" s="81"/>
    </row>
    <row r="319" spans="1:12">
      <c r="A319"/>
      <c r="B319"/>
      <c r="C319"/>
      <c r="D319"/>
      <c r="E319"/>
      <c r="F319"/>
      <c r="H319" s="81"/>
      <c r="I319" s="81"/>
      <c r="J319" s="81"/>
      <c r="K319" s="81"/>
      <c r="L319" s="81"/>
    </row>
    <row r="320" spans="1:12">
      <c r="A320"/>
      <c r="B320"/>
      <c r="C320"/>
      <c r="D320"/>
      <c r="E320"/>
      <c r="F320"/>
      <c r="H320" s="81"/>
      <c r="I320" s="81"/>
      <c r="J320" s="81"/>
      <c r="K320" s="81"/>
      <c r="L320" s="81"/>
    </row>
    <row r="321" spans="1:12">
      <c r="A321"/>
      <c r="B321"/>
      <c r="C321"/>
      <c r="D321"/>
      <c r="E321"/>
      <c r="F321"/>
      <c r="H321" s="81"/>
      <c r="I321" s="81"/>
      <c r="J321" s="81"/>
      <c r="K321" s="81"/>
      <c r="L321" s="81"/>
    </row>
    <row r="322" spans="1:12">
      <c r="A322"/>
      <c r="B322"/>
      <c r="C322"/>
      <c r="D322"/>
      <c r="E322"/>
      <c r="F322"/>
      <c r="H322" s="81"/>
      <c r="I322" s="81"/>
      <c r="J322" s="81"/>
      <c r="K322" s="81"/>
      <c r="L322" s="81"/>
    </row>
    <row r="323" spans="1:12">
      <c r="A323"/>
      <c r="B323"/>
      <c r="C323"/>
      <c r="D323"/>
      <c r="E323"/>
      <c r="F323"/>
      <c r="H323" s="81"/>
      <c r="I323" s="81"/>
      <c r="J323" s="81"/>
      <c r="K323" s="81"/>
      <c r="L323" s="81"/>
    </row>
    <row r="324" spans="1:12">
      <c r="A324"/>
      <c r="B324"/>
      <c r="C324"/>
      <c r="D324"/>
      <c r="E324"/>
      <c r="F324"/>
      <c r="H324" s="81"/>
      <c r="I324" s="81"/>
      <c r="J324" s="81"/>
      <c r="K324" s="81"/>
      <c r="L324" s="81"/>
    </row>
    <row r="325" spans="1:12">
      <c r="A325"/>
      <c r="B325"/>
      <c r="C325"/>
      <c r="D325"/>
      <c r="E325"/>
      <c r="F325"/>
      <c r="H325" s="81"/>
      <c r="I325" s="81"/>
      <c r="J325" s="81"/>
      <c r="K325" s="81"/>
      <c r="L325" s="81"/>
    </row>
    <row r="326" spans="1:12">
      <c r="A326"/>
      <c r="B326"/>
      <c r="C326"/>
      <c r="D326"/>
      <c r="E326"/>
      <c r="F326"/>
      <c r="H326" s="81"/>
      <c r="I326" s="81"/>
      <c r="J326" s="81"/>
      <c r="K326" s="81"/>
      <c r="L326" s="81"/>
    </row>
    <row r="327" spans="1:12">
      <c r="A327"/>
      <c r="B327"/>
      <c r="C327"/>
      <c r="D327"/>
      <c r="E327"/>
      <c r="F327"/>
      <c r="H327" s="81"/>
      <c r="I327" s="81"/>
      <c r="J327" s="81"/>
      <c r="K327" s="81"/>
      <c r="L327" s="81"/>
    </row>
    <row r="328" spans="1:12">
      <c r="A328"/>
      <c r="B328"/>
      <c r="C328"/>
      <c r="D328"/>
      <c r="E328"/>
      <c r="F328"/>
      <c r="H328" s="81"/>
      <c r="I328" s="81"/>
      <c r="J328" s="81"/>
      <c r="K328" s="81"/>
      <c r="L328" s="81"/>
    </row>
    <row r="329" spans="1:12">
      <c r="A329"/>
      <c r="B329"/>
      <c r="C329"/>
      <c r="D329"/>
      <c r="E329"/>
      <c r="F329"/>
      <c r="H329" s="81"/>
      <c r="I329" s="81"/>
      <c r="J329" s="81"/>
      <c r="K329" s="81"/>
      <c r="L329" s="81"/>
    </row>
    <row r="330" spans="1:12">
      <c r="A330"/>
      <c r="B330"/>
      <c r="C330"/>
      <c r="D330"/>
      <c r="E330"/>
      <c r="F330"/>
      <c r="H330" s="81"/>
      <c r="I330" s="81"/>
      <c r="J330" s="81"/>
      <c r="K330" s="81"/>
      <c r="L330" s="81"/>
    </row>
    <row r="331" spans="1:12">
      <c r="A331"/>
      <c r="B331"/>
      <c r="C331"/>
      <c r="D331"/>
      <c r="E331"/>
      <c r="F331"/>
      <c r="H331" s="81"/>
      <c r="I331" s="81"/>
      <c r="J331" s="81"/>
      <c r="K331" s="81"/>
      <c r="L331" s="81"/>
    </row>
    <row r="332" spans="1:12">
      <c r="A332"/>
      <c r="B332"/>
      <c r="C332"/>
      <c r="D332"/>
      <c r="E332"/>
      <c r="F332"/>
      <c r="H332" s="81"/>
      <c r="I332" s="81"/>
      <c r="J332" s="81"/>
      <c r="K332" s="81"/>
      <c r="L332" s="81"/>
    </row>
    <row r="333" spans="1:12">
      <c r="A333"/>
      <c r="B333"/>
      <c r="C333"/>
      <c r="D333"/>
      <c r="E333"/>
      <c r="F333"/>
      <c r="H333" s="81"/>
      <c r="I333" s="81"/>
      <c r="J333" s="81"/>
      <c r="K333" s="81"/>
      <c r="L333" s="81"/>
    </row>
    <row r="334" spans="1:12">
      <c r="A334"/>
      <c r="B334"/>
      <c r="C334"/>
      <c r="D334"/>
      <c r="E334"/>
      <c r="F334"/>
      <c r="H334" s="81"/>
      <c r="I334" s="81"/>
      <c r="J334" s="81"/>
      <c r="K334" s="81"/>
      <c r="L334" s="81"/>
    </row>
    <row r="335" spans="1:12">
      <c r="A335"/>
      <c r="B335"/>
      <c r="C335"/>
      <c r="D335"/>
      <c r="E335"/>
      <c r="F335"/>
      <c r="H335" s="81"/>
      <c r="I335" s="81"/>
      <c r="J335" s="81"/>
      <c r="K335" s="81"/>
      <c r="L335" s="81"/>
    </row>
    <row r="336" spans="1:12">
      <c r="A336"/>
      <c r="B336"/>
      <c r="C336"/>
      <c r="D336"/>
      <c r="E336"/>
      <c r="F336"/>
      <c r="H336" s="81"/>
      <c r="I336" s="81"/>
      <c r="J336" s="81"/>
      <c r="K336" s="81"/>
      <c r="L336" s="81"/>
    </row>
    <row r="337" spans="1:12">
      <c r="A337"/>
      <c r="B337"/>
      <c r="C337"/>
      <c r="D337"/>
      <c r="E337"/>
      <c r="F337"/>
      <c r="H337" s="81"/>
      <c r="I337" s="81"/>
      <c r="J337" s="81"/>
      <c r="K337" s="81"/>
      <c r="L337" s="81"/>
    </row>
    <row r="338" spans="1:12">
      <c r="A338"/>
      <c r="B338"/>
      <c r="C338"/>
      <c r="D338"/>
      <c r="E338"/>
      <c r="F338"/>
      <c r="H338" s="81"/>
      <c r="I338" s="81"/>
      <c r="J338" s="81"/>
      <c r="K338" s="81"/>
      <c r="L338" s="81"/>
    </row>
    <row r="339" spans="1:12">
      <c r="A339"/>
      <c r="B339"/>
      <c r="C339"/>
      <c r="D339"/>
      <c r="E339"/>
      <c r="F339"/>
      <c r="H339" s="81"/>
      <c r="I339" s="81"/>
      <c r="J339" s="81"/>
      <c r="K339" s="81"/>
      <c r="L339" s="81"/>
    </row>
    <row r="340" spans="1:12">
      <c r="A340"/>
      <c r="B340"/>
      <c r="C340"/>
      <c r="D340"/>
      <c r="E340"/>
      <c r="F340"/>
      <c r="H340" s="81"/>
      <c r="I340" s="81"/>
      <c r="J340" s="81"/>
      <c r="K340" s="81"/>
      <c r="L340" s="81"/>
    </row>
    <row r="341" spans="1:12">
      <c r="A341"/>
      <c r="B341"/>
      <c r="C341"/>
      <c r="D341"/>
      <c r="E341"/>
      <c r="F341"/>
      <c r="H341" s="81"/>
      <c r="I341" s="81"/>
      <c r="J341" s="81"/>
      <c r="K341" s="81"/>
      <c r="L341" s="81"/>
    </row>
    <row r="342" spans="1:12">
      <c r="A342"/>
      <c r="B342"/>
      <c r="C342"/>
      <c r="D342"/>
      <c r="E342"/>
      <c r="F342"/>
      <c r="H342" s="81"/>
      <c r="I342" s="81"/>
      <c r="J342" s="81"/>
      <c r="K342" s="81"/>
      <c r="L342" s="81"/>
    </row>
    <row r="343" spans="1:12">
      <c r="A343"/>
      <c r="B343"/>
      <c r="C343"/>
      <c r="D343"/>
      <c r="E343"/>
      <c r="F343"/>
      <c r="H343" s="81"/>
      <c r="I343" s="81"/>
      <c r="J343" s="81"/>
      <c r="K343" s="81"/>
      <c r="L343" s="81"/>
    </row>
    <row r="344" spans="1:12">
      <c r="A344"/>
      <c r="B344"/>
      <c r="C344"/>
      <c r="D344"/>
      <c r="E344"/>
      <c r="F344"/>
      <c r="H344" s="81"/>
      <c r="I344" s="81"/>
      <c r="J344" s="81"/>
      <c r="K344" s="81"/>
      <c r="L344" s="81"/>
    </row>
    <row r="345" spans="1:12">
      <c r="A345"/>
      <c r="B345"/>
      <c r="C345"/>
      <c r="D345"/>
      <c r="E345"/>
      <c r="F345"/>
      <c r="H345" s="81"/>
      <c r="I345" s="81"/>
      <c r="J345" s="81"/>
      <c r="K345" s="81"/>
      <c r="L345" s="81"/>
    </row>
    <row r="346" spans="1:12">
      <c r="A346"/>
      <c r="B346"/>
      <c r="C346"/>
      <c r="D346"/>
      <c r="E346"/>
      <c r="F346"/>
      <c r="H346" s="81"/>
      <c r="I346" s="81"/>
      <c r="J346" s="81"/>
      <c r="K346" s="81"/>
      <c r="L346" s="81"/>
    </row>
    <row r="347" spans="1:12">
      <c r="A347"/>
      <c r="B347"/>
      <c r="C347"/>
      <c r="D347"/>
      <c r="E347"/>
      <c r="F347"/>
      <c r="H347" s="81"/>
      <c r="I347" s="81"/>
      <c r="J347" s="81"/>
      <c r="K347" s="81"/>
      <c r="L347" s="81"/>
    </row>
    <row r="348" spans="1:12">
      <c r="A348"/>
      <c r="B348"/>
      <c r="C348"/>
      <c r="D348"/>
      <c r="E348"/>
      <c r="F348"/>
      <c r="H348" s="81"/>
      <c r="I348" s="81"/>
      <c r="J348" s="81"/>
      <c r="K348" s="81"/>
      <c r="L348" s="81"/>
    </row>
    <row r="349" spans="1:12">
      <c r="A349"/>
      <c r="B349"/>
      <c r="C349"/>
      <c r="D349"/>
      <c r="E349"/>
      <c r="F349"/>
      <c r="H349" s="81"/>
      <c r="I349" s="81"/>
      <c r="J349" s="81"/>
      <c r="K349" s="81"/>
      <c r="L349" s="81"/>
    </row>
    <row r="350" spans="1:12">
      <c r="A350"/>
      <c r="B350"/>
      <c r="C350"/>
      <c r="D350"/>
      <c r="E350"/>
      <c r="F350"/>
      <c r="H350" s="81"/>
      <c r="I350" s="81"/>
      <c r="J350" s="81"/>
      <c r="K350" s="81"/>
      <c r="L350" s="81"/>
    </row>
    <row r="351" spans="1:12">
      <c r="A351"/>
      <c r="B351"/>
      <c r="C351"/>
      <c r="D351"/>
      <c r="E351"/>
      <c r="F351"/>
      <c r="H351" s="81"/>
      <c r="I351" s="81"/>
      <c r="J351" s="81"/>
      <c r="K351" s="81"/>
      <c r="L351" s="81"/>
    </row>
    <row r="352" spans="1:12">
      <c r="A352"/>
      <c r="B352"/>
      <c r="C352"/>
      <c r="D352"/>
      <c r="E352"/>
      <c r="F352"/>
      <c r="H352" s="81"/>
      <c r="I352" s="81"/>
      <c r="J352" s="81"/>
      <c r="K352" s="81"/>
      <c r="L352" s="81"/>
    </row>
    <row r="353" spans="1:12">
      <c r="A353"/>
      <c r="B353"/>
      <c r="C353"/>
      <c r="D353"/>
      <c r="E353"/>
      <c r="F353"/>
      <c r="H353" s="81"/>
      <c r="I353" s="81"/>
      <c r="J353" s="81"/>
      <c r="K353" s="81"/>
      <c r="L353" s="81"/>
    </row>
    <row r="354" spans="1:12">
      <c r="A354"/>
      <c r="B354"/>
      <c r="C354"/>
      <c r="D354"/>
      <c r="E354"/>
      <c r="F354"/>
      <c r="H354" s="81"/>
      <c r="I354" s="81"/>
      <c r="J354" s="81"/>
      <c r="K354" s="81"/>
      <c r="L354" s="81"/>
    </row>
    <row r="355" spans="1:12">
      <c r="A355"/>
      <c r="B355"/>
      <c r="C355"/>
      <c r="D355"/>
      <c r="E355"/>
      <c r="F355"/>
      <c r="H355" s="81"/>
      <c r="I355" s="81"/>
      <c r="J355" s="81"/>
      <c r="K355" s="81"/>
      <c r="L355" s="81"/>
    </row>
    <row r="356" spans="1:12">
      <c r="A356"/>
      <c r="B356"/>
      <c r="C356"/>
      <c r="D356"/>
      <c r="E356"/>
      <c r="F356"/>
      <c r="H356" s="81"/>
      <c r="I356" s="81"/>
      <c r="J356" s="81"/>
      <c r="K356" s="81"/>
      <c r="L356" s="81"/>
    </row>
    <row r="357" spans="1:12">
      <c r="A357"/>
      <c r="B357"/>
      <c r="C357"/>
      <c r="D357"/>
      <c r="E357"/>
      <c r="F357"/>
      <c r="H357" s="81"/>
      <c r="I357" s="81"/>
      <c r="J357" s="81"/>
      <c r="K357" s="81"/>
      <c r="L357" s="81"/>
    </row>
    <row r="358" spans="1:12">
      <c r="A358"/>
      <c r="B358"/>
      <c r="C358"/>
      <c r="D358"/>
      <c r="E358"/>
      <c r="F358"/>
      <c r="H358" s="81"/>
      <c r="I358" s="81"/>
      <c r="J358" s="81"/>
      <c r="K358" s="81"/>
      <c r="L358" s="81"/>
    </row>
    <row r="359" spans="1:12">
      <c r="A359"/>
      <c r="B359"/>
      <c r="C359"/>
      <c r="D359"/>
      <c r="E359"/>
      <c r="F359"/>
      <c r="H359" s="81"/>
      <c r="I359" s="81"/>
      <c r="J359" s="81"/>
      <c r="K359" s="81"/>
      <c r="L359" s="81"/>
    </row>
    <row r="360" spans="1:12">
      <c r="A360"/>
      <c r="B360"/>
      <c r="C360"/>
      <c r="D360"/>
      <c r="E360"/>
      <c r="F360"/>
      <c r="H360" s="81"/>
      <c r="I360" s="81"/>
      <c r="J360" s="81"/>
      <c r="K360" s="81"/>
      <c r="L360" s="81"/>
    </row>
    <row r="361" spans="1:12">
      <c r="A361"/>
      <c r="B361"/>
      <c r="C361"/>
      <c r="D361"/>
      <c r="E361"/>
      <c r="F361"/>
      <c r="H361" s="81"/>
      <c r="I361" s="81"/>
      <c r="J361" s="81"/>
      <c r="K361" s="81"/>
      <c r="L361" s="81"/>
    </row>
    <row r="362" spans="1:12">
      <c r="A362"/>
      <c r="B362"/>
      <c r="C362"/>
      <c r="D362"/>
      <c r="E362"/>
      <c r="F362"/>
      <c r="H362" s="81"/>
      <c r="I362" s="81"/>
      <c r="J362" s="81"/>
      <c r="K362" s="81"/>
      <c r="L362" s="81"/>
    </row>
    <row r="363" spans="1:12">
      <c r="A363"/>
      <c r="B363"/>
      <c r="C363"/>
      <c r="D363"/>
      <c r="E363"/>
      <c r="F363"/>
      <c r="H363" s="81"/>
      <c r="I363" s="81"/>
      <c r="J363" s="81"/>
      <c r="K363" s="81"/>
      <c r="L363" s="81"/>
    </row>
    <row r="364" spans="1:12">
      <c r="A364"/>
      <c r="B364"/>
      <c r="C364"/>
      <c r="D364"/>
      <c r="E364"/>
      <c r="F364"/>
      <c r="H364" s="81"/>
      <c r="I364" s="81"/>
      <c r="J364" s="81"/>
      <c r="K364" s="81"/>
      <c r="L364" s="81"/>
    </row>
    <row r="365" spans="1:12">
      <c r="A365"/>
      <c r="B365"/>
      <c r="C365"/>
      <c r="D365"/>
      <c r="E365"/>
      <c r="F365"/>
      <c r="H365" s="81"/>
      <c r="I365" s="81"/>
      <c r="J365" s="81"/>
      <c r="K365" s="81"/>
      <c r="L365" s="81"/>
    </row>
    <row r="366" spans="1:12">
      <c r="A366"/>
      <c r="B366"/>
      <c r="C366"/>
      <c r="D366"/>
      <c r="E366"/>
      <c r="F366"/>
      <c r="H366" s="81"/>
      <c r="I366" s="81"/>
      <c r="J366" s="81"/>
      <c r="K366" s="81"/>
      <c r="L366" s="81"/>
    </row>
    <row r="367" spans="1:12">
      <c r="A367"/>
      <c r="B367"/>
      <c r="C367"/>
      <c r="D367"/>
      <c r="E367"/>
      <c r="F367"/>
      <c r="H367" s="81"/>
      <c r="I367" s="81"/>
      <c r="J367" s="81"/>
      <c r="K367" s="81"/>
      <c r="L367" s="81"/>
    </row>
    <row r="368" spans="1:12">
      <c r="A368"/>
      <c r="B368"/>
      <c r="C368"/>
      <c r="D368"/>
      <c r="E368"/>
      <c r="F368"/>
      <c r="H368" s="81"/>
      <c r="I368" s="81"/>
      <c r="J368" s="81"/>
      <c r="K368" s="81"/>
      <c r="L368" s="81"/>
    </row>
    <row r="369" spans="1:12">
      <c r="A369"/>
      <c r="B369"/>
      <c r="C369"/>
      <c r="D369"/>
      <c r="E369"/>
      <c r="F369"/>
      <c r="H369" s="81"/>
      <c r="I369" s="81"/>
      <c r="J369" s="81"/>
      <c r="K369" s="81"/>
      <c r="L369" s="81"/>
    </row>
    <row r="370" spans="1:12">
      <c r="A370"/>
      <c r="B370"/>
      <c r="C370"/>
      <c r="D370"/>
      <c r="E370"/>
      <c r="F370"/>
      <c r="H370" s="81"/>
      <c r="I370" s="81"/>
      <c r="J370" s="81"/>
      <c r="K370" s="81"/>
      <c r="L370" s="81"/>
    </row>
    <row r="371" spans="1:12">
      <c r="A371"/>
      <c r="B371"/>
      <c r="C371"/>
      <c r="D371"/>
      <c r="E371"/>
      <c r="F371"/>
      <c r="H371" s="81"/>
      <c r="I371" s="81"/>
      <c r="J371" s="81"/>
      <c r="K371" s="81"/>
      <c r="L371" s="81"/>
    </row>
    <row r="372" spans="1:12">
      <c r="A372"/>
      <c r="B372"/>
      <c r="C372"/>
      <c r="D372"/>
      <c r="E372"/>
      <c r="F372"/>
      <c r="H372" s="81"/>
      <c r="I372" s="81"/>
      <c r="J372" s="81"/>
      <c r="K372" s="81"/>
      <c r="L372" s="81"/>
    </row>
    <row r="373" spans="1:12">
      <c r="A373"/>
      <c r="B373"/>
      <c r="C373"/>
      <c r="D373"/>
      <c r="E373"/>
      <c r="F373"/>
      <c r="H373" s="81"/>
      <c r="I373" s="81"/>
      <c r="J373" s="81"/>
      <c r="K373" s="81"/>
      <c r="L373" s="81"/>
    </row>
    <row r="374" spans="1:12">
      <c r="A374"/>
      <c r="B374"/>
      <c r="C374"/>
      <c r="D374"/>
      <c r="E374"/>
      <c r="F374"/>
      <c r="H374" s="81"/>
      <c r="I374" s="81"/>
      <c r="J374" s="81"/>
      <c r="K374" s="81"/>
      <c r="L374" s="81"/>
    </row>
    <row r="375" spans="1:12">
      <c r="A375"/>
      <c r="B375"/>
      <c r="C375"/>
      <c r="D375"/>
      <c r="E375"/>
      <c r="F375"/>
      <c r="H375" s="81"/>
      <c r="I375" s="81"/>
      <c r="J375" s="81"/>
      <c r="K375" s="81"/>
      <c r="L375" s="81"/>
    </row>
    <row r="376" spans="1:12">
      <c r="A376"/>
      <c r="B376"/>
      <c r="C376"/>
      <c r="D376"/>
      <c r="E376"/>
      <c r="F376"/>
      <c r="H376" s="81"/>
      <c r="I376" s="81"/>
      <c r="J376" s="81"/>
      <c r="K376" s="81"/>
      <c r="L376" s="81"/>
    </row>
    <row r="377" spans="1:12">
      <c r="A377"/>
      <c r="B377"/>
      <c r="C377"/>
      <c r="D377"/>
      <c r="E377"/>
      <c r="F377"/>
      <c r="H377" s="81"/>
      <c r="I377" s="81"/>
      <c r="J377" s="81"/>
      <c r="K377" s="81"/>
      <c r="L377" s="81"/>
    </row>
    <row r="378" spans="1:12">
      <c r="A378"/>
      <c r="B378"/>
      <c r="C378"/>
      <c r="D378"/>
      <c r="E378"/>
      <c r="F378"/>
      <c r="H378" s="81"/>
      <c r="I378" s="81"/>
      <c r="J378" s="81"/>
      <c r="K378" s="81"/>
      <c r="L378" s="81"/>
    </row>
    <row r="379" spans="1:12">
      <c r="A379"/>
      <c r="B379"/>
      <c r="C379"/>
      <c r="D379"/>
      <c r="E379"/>
      <c r="F379"/>
      <c r="H379" s="81"/>
      <c r="I379" s="81"/>
      <c r="J379" s="81"/>
      <c r="K379" s="81"/>
      <c r="L379" s="81"/>
    </row>
    <row r="380" spans="1:12">
      <c r="A380"/>
      <c r="B380"/>
      <c r="C380"/>
      <c r="D380"/>
      <c r="E380"/>
      <c r="F380"/>
      <c r="H380" s="81"/>
      <c r="I380" s="81"/>
      <c r="J380" s="81"/>
      <c r="K380" s="81"/>
      <c r="L380" s="81"/>
    </row>
    <row r="381" spans="1:12">
      <c r="A381"/>
      <c r="B381"/>
      <c r="C381"/>
      <c r="D381"/>
      <c r="E381"/>
      <c r="F381"/>
      <c r="H381" s="81"/>
      <c r="I381" s="81"/>
      <c r="J381" s="81"/>
      <c r="K381" s="81"/>
      <c r="L381" s="81"/>
    </row>
    <row r="382" spans="1:12">
      <c r="A382"/>
      <c r="B382"/>
      <c r="C382"/>
      <c r="D382"/>
      <c r="E382"/>
      <c r="F382"/>
      <c r="H382" s="81"/>
      <c r="I382" s="81"/>
      <c r="J382" s="81"/>
      <c r="K382" s="81"/>
      <c r="L382" s="81"/>
    </row>
    <row r="383" spans="1:12">
      <c r="A383"/>
      <c r="B383"/>
      <c r="C383"/>
      <c r="D383"/>
      <c r="E383"/>
      <c r="F383"/>
      <c r="H383" s="81"/>
      <c r="I383" s="81"/>
      <c r="J383" s="81"/>
      <c r="K383" s="81"/>
      <c r="L383" s="81"/>
    </row>
    <row r="384" spans="1:12">
      <c r="A384"/>
      <c r="B384"/>
      <c r="C384"/>
      <c r="D384"/>
      <c r="E384"/>
      <c r="F384"/>
      <c r="H384" s="81"/>
      <c r="I384" s="81"/>
      <c r="J384" s="81"/>
      <c r="K384" s="81"/>
      <c r="L384" s="81"/>
    </row>
    <row r="385" spans="1:12">
      <c r="A385"/>
      <c r="B385"/>
      <c r="C385"/>
      <c r="D385"/>
      <c r="E385"/>
      <c r="F385"/>
      <c r="H385" s="81"/>
      <c r="I385" s="81"/>
      <c r="J385" s="81"/>
      <c r="K385" s="81"/>
      <c r="L385" s="81"/>
    </row>
    <row r="386" spans="1:12">
      <c r="A386"/>
      <c r="B386"/>
      <c r="C386"/>
      <c r="D386"/>
      <c r="E386"/>
      <c r="F386"/>
      <c r="H386" s="81"/>
      <c r="I386" s="81"/>
      <c r="J386" s="81"/>
      <c r="K386" s="81"/>
      <c r="L386" s="81"/>
    </row>
    <row r="387" spans="1:12">
      <c r="A387"/>
      <c r="B387"/>
      <c r="C387"/>
      <c r="D387"/>
      <c r="E387"/>
      <c r="F387"/>
      <c r="H387" s="81"/>
      <c r="I387" s="81"/>
      <c r="J387" s="81"/>
      <c r="K387" s="81"/>
      <c r="L387" s="81"/>
    </row>
    <row r="388" spans="1:12">
      <c r="A388"/>
      <c r="B388"/>
      <c r="C388"/>
      <c r="D388"/>
      <c r="E388"/>
      <c r="F388"/>
      <c r="H388" s="81"/>
      <c r="I388" s="81"/>
      <c r="J388" s="81"/>
      <c r="K388" s="81"/>
      <c r="L388" s="81"/>
    </row>
    <row r="389" spans="1:12">
      <c r="A389"/>
      <c r="B389"/>
      <c r="C389"/>
      <c r="D389"/>
      <c r="E389"/>
      <c r="F389"/>
      <c r="H389" s="81"/>
      <c r="I389" s="81"/>
      <c r="J389" s="81"/>
      <c r="K389" s="81"/>
      <c r="L389" s="81"/>
    </row>
    <row r="390" spans="1:12">
      <c r="A390"/>
      <c r="B390"/>
      <c r="C390"/>
      <c r="D390"/>
      <c r="E390"/>
      <c r="F390"/>
      <c r="H390" s="81"/>
      <c r="I390" s="81"/>
      <c r="J390" s="81"/>
      <c r="K390" s="81"/>
      <c r="L390" s="81"/>
    </row>
    <row r="391" spans="1:12">
      <c r="A391"/>
      <c r="B391"/>
      <c r="C391"/>
      <c r="D391"/>
      <c r="E391"/>
      <c r="F391"/>
      <c r="H391" s="81"/>
      <c r="I391" s="81"/>
      <c r="J391" s="81"/>
      <c r="K391" s="81"/>
      <c r="L391" s="81"/>
    </row>
    <row r="392" spans="1:12">
      <c r="A392"/>
      <c r="B392"/>
      <c r="C392"/>
      <c r="D392"/>
      <c r="E392"/>
      <c r="F392"/>
      <c r="H392" s="81"/>
      <c r="I392" s="81"/>
      <c r="J392" s="81"/>
      <c r="K392" s="81"/>
      <c r="L392" s="81"/>
    </row>
    <row r="393" spans="1:12">
      <c r="A393"/>
      <c r="B393"/>
      <c r="C393"/>
      <c r="D393"/>
      <c r="E393"/>
      <c r="F393"/>
      <c r="H393" s="81"/>
      <c r="I393" s="81"/>
      <c r="J393" s="81"/>
      <c r="K393" s="81"/>
      <c r="L393" s="81"/>
    </row>
    <row r="394" spans="1:12">
      <c r="A394"/>
      <c r="B394"/>
      <c r="C394"/>
      <c r="D394"/>
      <c r="E394"/>
      <c r="F394"/>
      <c r="H394" s="81"/>
      <c r="I394" s="81"/>
      <c r="J394" s="81"/>
      <c r="K394" s="81"/>
      <c r="L394" s="81"/>
    </row>
    <row r="395" spans="1:12">
      <c r="A395"/>
      <c r="B395"/>
      <c r="C395"/>
      <c r="D395"/>
      <c r="E395"/>
      <c r="F395"/>
      <c r="H395" s="81"/>
      <c r="I395" s="81"/>
      <c r="J395" s="81"/>
      <c r="K395" s="81"/>
      <c r="L395" s="81"/>
    </row>
    <row r="396" spans="1:12">
      <c r="A396"/>
      <c r="B396"/>
      <c r="C396"/>
      <c r="D396"/>
      <c r="E396"/>
      <c r="F396"/>
      <c r="H396" s="81"/>
      <c r="I396" s="81"/>
      <c r="J396" s="81"/>
      <c r="K396" s="81"/>
      <c r="L396" s="81"/>
    </row>
    <row r="397" spans="1:12">
      <c r="A397"/>
      <c r="B397"/>
      <c r="C397"/>
      <c r="D397"/>
      <c r="E397"/>
      <c r="F397"/>
      <c r="H397" s="81"/>
      <c r="I397" s="81"/>
      <c r="J397" s="81"/>
      <c r="K397" s="81"/>
      <c r="L397" s="81"/>
    </row>
    <row r="398" spans="1:12">
      <c r="A398"/>
      <c r="B398"/>
      <c r="C398"/>
      <c r="D398"/>
      <c r="E398"/>
      <c r="F398"/>
      <c r="H398" s="81"/>
      <c r="I398" s="81"/>
      <c r="J398" s="81"/>
      <c r="K398" s="81"/>
      <c r="L398" s="81"/>
    </row>
    <row r="399" spans="1:12">
      <c r="A399"/>
      <c r="B399"/>
      <c r="C399"/>
      <c r="D399"/>
      <c r="E399"/>
      <c r="F399"/>
      <c r="H399" s="81"/>
      <c r="I399" s="81"/>
      <c r="J399" s="81"/>
      <c r="K399" s="81"/>
      <c r="L399" s="81"/>
    </row>
    <row r="400" spans="1:12">
      <c r="A400"/>
      <c r="B400"/>
      <c r="C400"/>
      <c r="D400"/>
      <c r="E400"/>
      <c r="F400"/>
      <c r="H400" s="81"/>
      <c r="I400" s="81"/>
      <c r="J400" s="81"/>
      <c r="K400" s="81"/>
      <c r="L400" s="81"/>
    </row>
    <row r="401" spans="1:12">
      <c r="A401"/>
      <c r="B401"/>
      <c r="C401"/>
      <c r="D401"/>
      <c r="E401"/>
      <c r="F401"/>
      <c r="H401" s="81"/>
      <c r="I401" s="81"/>
      <c r="J401" s="81"/>
      <c r="K401" s="81"/>
      <c r="L401" s="81"/>
    </row>
    <row r="402" spans="1:12">
      <c r="A402"/>
      <c r="B402"/>
      <c r="C402"/>
      <c r="D402"/>
      <c r="E402"/>
      <c r="F402"/>
      <c r="H402" s="81"/>
      <c r="I402" s="81"/>
      <c r="J402" s="81"/>
      <c r="K402" s="81"/>
      <c r="L402" s="81"/>
    </row>
    <row r="403" spans="1:12">
      <c r="A403"/>
      <c r="B403"/>
      <c r="C403"/>
      <c r="D403"/>
      <c r="E403"/>
      <c r="F403"/>
      <c r="H403" s="81"/>
      <c r="I403" s="81"/>
      <c r="J403" s="81"/>
      <c r="K403" s="81"/>
      <c r="L403" s="81"/>
    </row>
    <row r="404" spans="1:12">
      <c r="A404"/>
      <c r="B404"/>
      <c r="C404"/>
      <c r="D404"/>
      <c r="E404"/>
      <c r="F404"/>
      <c r="H404" s="81"/>
      <c r="I404" s="81"/>
      <c r="J404" s="81"/>
      <c r="K404" s="81"/>
      <c r="L404" s="81"/>
    </row>
    <row r="405" spans="1:12">
      <c r="A405"/>
      <c r="B405"/>
      <c r="C405"/>
      <c r="D405"/>
      <c r="E405"/>
      <c r="F405"/>
      <c r="H405" s="81"/>
      <c r="I405" s="81"/>
      <c r="J405" s="81"/>
      <c r="K405" s="81"/>
      <c r="L405" s="81"/>
    </row>
    <row r="406" spans="1:12">
      <c r="A406"/>
      <c r="B406"/>
      <c r="C406"/>
      <c r="D406"/>
      <c r="E406"/>
      <c r="F406"/>
      <c r="H406" s="81"/>
      <c r="I406" s="81"/>
      <c r="J406" s="81"/>
      <c r="K406" s="81"/>
      <c r="L406" s="81"/>
    </row>
    <row r="407" spans="1:12">
      <c r="A407"/>
      <c r="B407"/>
      <c r="C407"/>
      <c r="D407"/>
      <c r="E407"/>
      <c r="F407"/>
      <c r="H407" s="81"/>
      <c r="I407" s="81"/>
      <c r="J407" s="81"/>
      <c r="K407" s="81"/>
      <c r="L407" s="81"/>
    </row>
    <row r="408" spans="1:12">
      <c r="A408"/>
      <c r="B408"/>
      <c r="C408"/>
      <c r="D408"/>
      <c r="E408"/>
      <c r="F408"/>
      <c r="H408" s="81"/>
      <c r="I408" s="81"/>
      <c r="J408" s="81"/>
      <c r="K408" s="81"/>
      <c r="L408" s="81"/>
    </row>
    <row r="409" spans="1:12">
      <c r="A409"/>
      <c r="B409"/>
      <c r="C409"/>
      <c r="D409"/>
      <c r="E409"/>
      <c r="F409"/>
      <c r="H409" s="81"/>
      <c r="I409" s="81"/>
      <c r="J409" s="81"/>
      <c r="K409" s="81"/>
      <c r="L409" s="81"/>
    </row>
    <row r="410" spans="1:12">
      <c r="A410"/>
      <c r="B410"/>
      <c r="C410"/>
      <c r="D410"/>
      <c r="E410"/>
      <c r="F410"/>
      <c r="H410" s="81"/>
      <c r="I410" s="81"/>
      <c r="J410" s="81"/>
      <c r="K410" s="81"/>
      <c r="L410" s="81"/>
    </row>
    <row r="411" spans="1:12">
      <c r="A411"/>
      <c r="B411"/>
      <c r="C411"/>
      <c r="D411"/>
      <c r="E411"/>
      <c r="F411"/>
      <c r="H411" s="81"/>
      <c r="I411" s="81"/>
      <c r="J411" s="81"/>
      <c r="K411" s="81"/>
      <c r="L411" s="81"/>
    </row>
    <row r="412" spans="1:12">
      <c r="A412"/>
      <c r="B412"/>
      <c r="C412"/>
      <c r="D412"/>
      <c r="E412"/>
      <c r="F412"/>
      <c r="H412" s="81"/>
      <c r="I412" s="81"/>
      <c r="J412" s="81"/>
      <c r="K412" s="81"/>
      <c r="L412" s="81"/>
    </row>
    <row r="413" spans="1:12">
      <c r="A413"/>
      <c r="B413"/>
      <c r="C413"/>
      <c r="D413"/>
      <c r="E413"/>
      <c r="F413"/>
      <c r="H413" s="81"/>
      <c r="I413" s="81"/>
      <c r="J413" s="81"/>
      <c r="K413" s="81"/>
      <c r="L413" s="81"/>
    </row>
    <row r="414" spans="1:12">
      <c r="A414"/>
      <c r="B414"/>
      <c r="C414"/>
      <c r="D414"/>
      <c r="E414"/>
      <c r="F414"/>
      <c r="H414" s="81"/>
      <c r="I414" s="81"/>
      <c r="J414" s="81"/>
      <c r="K414" s="81"/>
      <c r="L414" s="81"/>
    </row>
    <row r="415" spans="1:12">
      <c r="A415"/>
      <c r="B415"/>
      <c r="C415"/>
      <c r="D415"/>
      <c r="E415"/>
      <c r="F415"/>
      <c r="H415" s="81"/>
      <c r="I415" s="81"/>
      <c r="J415" s="81"/>
      <c r="K415" s="81"/>
      <c r="L415" s="81"/>
    </row>
    <row r="416" spans="1:12">
      <c r="A416"/>
      <c r="B416"/>
      <c r="C416"/>
      <c r="D416"/>
      <c r="E416"/>
      <c r="F416"/>
      <c r="H416" s="81"/>
      <c r="I416" s="81"/>
      <c r="J416" s="81"/>
      <c r="K416" s="81"/>
      <c r="L416" s="81"/>
    </row>
    <row r="417" spans="1:12">
      <c r="A417"/>
      <c r="B417"/>
      <c r="C417"/>
      <c r="D417"/>
      <c r="E417"/>
      <c r="F417"/>
      <c r="H417" s="81"/>
      <c r="I417" s="81"/>
      <c r="J417" s="81"/>
      <c r="K417" s="81"/>
      <c r="L417" s="81"/>
    </row>
    <row r="418" spans="1:12">
      <c r="A418"/>
      <c r="B418"/>
      <c r="C418"/>
      <c r="D418"/>
      <c r="E418"/>
      <c r="F418"/>
      <c r="H418" s="81"/>
      <c r="I418" s="81"/>
      <c r="J418" s="81"/>
      <c r="K418" s="81"/>
      <c r="L418" s="81"/>
    </row>
    <row r="419" spans="1:12">
      <c r="A419"/>
      <c r="B419"/>
      <c r="C419"/>
      <c r="D419"/>
      <c r="E419"/>
      <c r="F419"/>
      <c r="H419" s="81"/>
      <c r="I419" s="81"/>
      <c r="J419" s="81"/>
      <c r="K419" s="81"/>
      <c r="L419" s="81"/>
    </row>
    <row r="420" spans="1:12">
      <c r="A420"/>
      <c r="B420"/>
      <c r="C420"/>
      <c r="D420"/>
      <c r="E420"/>
      <c r="F420"/>
      <c r="H420" s="81"/>
      <c r="I420" s="81"/>
      <c r="J420" s="81"/>
      <c r="K420" s="81"/>
      <c r="L420" s="81"/>
    </row>
    <row r="421" spans="1:12">
      <c r="A421"/>
      <c r="B421"/>
      <c r="C421"/>
      <c r="D421"/>
      <c r="E421"/>
      <c r="F421"/>
      <c r="H421" s="81"/>
      <c r="I421" s="81"/>
      <c r="J421" s="81"/>
      <c r="K421" s="81"/>
      <c r="L421" s="81"/>
    </row>
    <row r="422" spans="1:12">
      <c r="A422"/>
      <c r="B422"/>
      <c r="C422"/>
      <c r="D422"/>
      <c r="E422"/>
      <c r="F422"/>
      <c r="H422" s="81"/>
      <c r="I422" s="81"/>
      <c r="J422" s="81"/>
      <c r="K422" s="81"/>
      <c r="L422" s="81"/>
    </row>
    <row r="423" spans="1:12">
      <c r="A423"/>
      <c r="B423"/>
      <c r="C423"/>
      <c r="D423"/>
      <c r="E423"/>
      <c r="F423"/>
      <c r="H423" s="81"/>
      <c r="I423" s="81"/>
      <c r="J423" s="81"/>
      <c r="K423" s="81"/>
      <c r="L423" s="81"/>
    </row>
    <row r="424" spans="1:12">
      <c r="A424"/>
      <c r="B424"/>
      <c r="C424"/>
      <c r="D424"/>
      <c r="E424"/>
      <c r="F424"/>
      <c r="H424" s="81"/>
      <c r="I424" s="81"/>
      <c r="J424" s="81"/>
      <c r="K424" s="81"/>
      <c r="L424" s="81"/>
    </row>
    <row r="425" spans="1:12">
      <c r="A425"/>
      <c r="B425"/>
      <c r="C425"/>
      <c r="D425"/>
      <c r="E425"/>
      <c r="F425"/>
      <c r="H425" s="81"/>
      <c r="I425" s="81"/>
      <c r="J425" s="81"/>
      <c r="K425" s="81"/>
      <c r="L425" s="81"/>
    </row>
    <row r="426" spans="1:12">
      <c r="A426"/>
      <c r="B426"/>
      <c r="C426"/>
      <c r="D426"/>
      <c r="E426"/>
      <c r="F426"/>
      <c r="H426" s="81"/>
      <c r="I426" s="81"/>
      <c r="J426" s="81"/>
      <c r="K426" s="81"/>
      <c r="L426" s="81"/>
    </row>
    <row r="427" spans="1:12">
      <c r="A427"/>
      <c r="B427"/>
      <c r="C427"/>
      <c r="D427"/>
      <c r="E427"/>
      <c r="F427"/>
      <c r="H427" s="81"/>
      <c r="I427" s="81"/>
      <c r="J427" s="81"/>
      <c r="K427" s="81"/>
      <c r="L427" s="81"/>
    </row>
    <row r="428" spans="1:12">
      <c r="A428"/>
      <c r="B428"/>
      <c r="C428"/>
      <c r="D428"/>
      <c r="E428"/>
      <c r="F428"/>
      <c r="H428" s="81"/>
      <c r="I428" s="81"/>
      <c r="J428" s="81"/>
      <c r="K428" s="81"/>
      <c r="L428" s="81"/>
    </row>
    <row r="429" spans="1:12">
      <c r="A429"/>
      <c r="B429"/>
      <c r="C429"/>
      <c r="D429"/>
      <c r="E429"/>
      <c r="F429"/>
      <c r="H429" s="81"/>
      <c r="I429" s="81"/>
      <c r="J429" s="81"/>
      <c r="K429" s="81"/>
      <c r="L429" s="81"/>
    </row>
    <row r="430" spans="1:12">
      <c r="A430"/>
      <c r="B430"/>
      <c r="C430"/>
      <c r="D430"/>
      <c r="E430"/>
      <c r="F430"/>
      <c r="H430" s="81"/>
      <c r="I430" s="81"/>
      <c r="J430" s="81"/>
      <c r="K430" s="81"/>
      <c r="L430" s="81"/>
    </row>
    <row r="431" spans="1:12">
      <c r="A431"/>
      <c r="B431"/>
      <c r="C431"/>
      <c r="D431"/>
      <c r="E431"/>
      <c r="F431"/>
      <c r="H431" s="81"/>
      <c r="I431" s="81"/>
      <c r="J431" s="81"/>
      <c r="K431" s="81"/>
      <c r="L431" s="81"/>
    </row>
    <row r="432" spans="1:12">
      <c r="A432"/>
      <c r="B432"/>
      <c r="C432"/>
      <c r="D432"/>
      <c r="E432"/>
      <c r="F432"/>
      <c r="H432" s="81"/>
      <c r="I432" s="81"/>
      <c r="J432" s="81"/>
      <c r="K432" s="81"/>
      <c r="L432" s="81"/>
    </row>
    <row r="433" spans="1:12">
      <c r="A433"/>
      <c r="B433"/>
      <c r="C433"/>
      <c r="D433"/>
      <c r="E433"/>
      <c r="F433"/>
      <c r="H433" s="81"/>
      <c r="I433" s="81"/>
      <c r="J433" s="81"/>
      <c r="K433" s="81"/>
      <c r="L433" s="81"/>
    </row>
    <row r="434" spans="1:12">
      <c r="A434"/>
      <c r="B434"/>
      <c r="C434"/>
      <c r="D434"/>
      <c r="E434"/>
      <c r="F434"/>
      <c r="H434" s="81"/>
      <c r="I434" s="81"/>
      <c r="J434" s="81"/>
      <c r="K434" s="81"/>
      <c r="L434" s="81"/>
    </row>
    <row r="435" spans="1:12">
      <c r="A435"/>
      <c r="B435"/>
      <c r="C435"/>
      <c r="D435"/>
      <c r="E435"/>
      <c r="F435"/>
      <c r="H435" s="81"/>
      <c r="I435" s="81"/>
      <c r="J435" s="81"/>
      <c r="K435" s="81"/>
      <c r="L435" s="81"/>
    </row>
    <row r="436" spans="1:12">
      <c r="A436"/>
      <c r="B436"/>
      <c r="C436"/>
      <c r="D436"/>
      <c r="E436"/>
      <c r="F436"/>
      <c r="H436" s="81"/>
      <c r="I436" s="81"/>
      <c r="J436" s="81"/>
      <c r="K436" s="81"/>
      <c r="L436" s="81"/>
    </row>
    <row r="437" spans="1:12">
      <c r="A437"/>
      <c r="B437"/>
      <c r="C437"/>
      <c r="D437"/>
      <c r="E437"/>
      <c r="F437"/>
      <c r="H437" s="81"/>
      <c r="I437" s="81"/>
      <c r="J437" s="81"/>
      <c r="K437" s="81"/>
      <c r="L437" s="81"/>
    </row>
    <row r="438" spans="1:12">
      <c r="A438"/>
      <c r="B438"/>
      <c r="C438"/>
      <c r="D438"/>
      <c r="E438"/>
      <c r="F438"/>
      <c r="H438" s="81"/>
      <c r="I438" s="81"/>
      <c r="J438" s="81"/>
      <c r="K438" s="81"/>
      <c r="L438" s="81"/>
    </row>
    <row r="439" spans="1:12">
      <c r="A439"/>
      <c r="B439"/>
      <c r="C439"/>
      <c r="D439"/>
      <c r="E439"/>
      <c r="F439"/>
      <c r="H439" s="81"/>
      <c r="I439" s="81"/>
      <c r="J439" s="81"/>
      <c r="K439" s="81"/>
      <c r="L439" s="81"/>
    </row>
    <row r="440" spans="1:12">
      <c r="A440"/>
      <c r="B440"/>
      <c r="C440"/>
      <c r="D440"/>
      <c r="E440"/>
      <c r="F440"/>
      <c r="H440" s="81"/>
      <c r="I440" s="81"/>
      <c r="J440" s="81"/>
      <c r="K440" s="81"/>
      <c r="L440" s="81"/>
    </row>
    <row r="441" spans="1:12">
      <c r="A441"/>
      <c r="B441"/>
      <c r="C441"/>
      <c r="D441"/>
      <c r="E441"/>
      <c r="F441"/>
      <c r="H441" s="81"/>
      <c r="I441" s="81"/>
      <c r="J441" s="81"/>
      <c r="K441" s="81"/>
      <c r="L441" s="81"/>
    </row>
    <row r="442" spans="1:12">
      <c r="A442"/>
      <c r="B442"/>
      <c r="C442"/>
      <c r="D442"/>
      <c r="E442"/>
      <c r="F442"/>
      <c r="H442" s="81"/>
      <c r="I442" s="81"/>
      <c r="J442" s="81"/>
      <c r="K442" s="81"/>
      <c r="L442" s="81"/>
    </row>
    <row r="443" spans="1:12">
      <c r="A443"/>
      <c r="B443"/>
      <c r="C443"/>
      <c r="D443"/>
      <c r="E443"/>
      <c r="F443"/>
      <c r="H443" s="81"/>
      <c r="I443" s="81"/>
      <c r="J443" s="81"/>
      <c r="K443" s="81"/>
      <c r="L443" s="81"/>
    </row>
    <row r="444" spans="1:12">
      <c r="A444"/>
      <c r="B444"/>
      <c r="C444"/>
      <c r="D444"/>
      <c r="E444"/>
      <c r="F444"/>
      <c r="H444" s="81"/>
      <c r="I444" s="81"/>
      <c r="J444" s="81"/>
      <c r="K444" s="81"/>
      <c r="L444" s="81"/>
    </row>
    <row r="445" spans="1:12">
      <c r="A445"/>
      <c r="B445"/>
      <c r="C445"/>
      <c r="D445"/>
      <c r="E445"/>
      <c r="F445"/>
      <c r="H445" s="81"/>
      <c r="I445" s="81"/>
      <c r="J445" s="81"/>
      <c r="K445" s="81"/>
      <c r="L445" s="81"/>
    </row>
    <row r="446" spans="1:12">
      <c r="A446"/>
      <c r="B446"/>
      <c r="C446"/>
      <c r="D446"/>
      <c r="E446"/>
      <c r="F446"/>
      <c r="H446" s="81"/>
      <c r="I446" s="81"/>
      <c r="J446" s="81"/>
      <c r="K446" s="81"/>
      <c r="L446" s="81"/>
    </row>
    <row r="447" spans="1:12">
      <c r="A447"/>
      <c r="B447"/>
      <c r="C447"/>
      <c r="D447"/>
      <c r="E447"/>
      <c r="F447"/>
      <c r="H447" s="81"/>
      <c r="I447" s="81"/>
      <c r="J447" s="81"/>
      <c r="K447" s="81"/>
      <c r="L447" s="81"/>
    </row>
    <row r="448" spans="1:12">
      <c r="A448"/>
      <c r="B448"/>
      <c r="C448"/>
      <c r="D448"/>
      <c r="E448"/>
      <c r="F448"/>
      <c r="H448" s="81"/>
      <c r="I448" s="81"/>
      <c r="J448" s="81"/>
      <c r="K448" s="81"/>
      <c r="L448" s="81"/>
    </row>
    <row r="449" spans="1:12">
      <c r="A449"/>
      <c r="B449"/>
      <c r="C449"/>
      <c r="D449"/>
      <c r="E449"/>
      <c r="F449"/>
      <c r="H449" s="81"/>
      <c r="I449" s="81"/>
      <c r="J449" s="81"/>
      <c r="K449" s="81"/>
      <c r="L449" s="81"/>
    </row>
    <row r="450" spans="1:12">
      <c r="A450"/>
      <c r="B450"/>
      <c r="C450"/>
      <c r="D450"/>
      <c r="E450"/>
      <c r="F450"/>
      <c r="H450" s="81"/>
      <c r="I450" s="81"/>
      <c r="J450" s="81"/>
      <c r="K450" s="81"/>
      <c r="L450" s="81"/>
    </row>
    <row r="451" spans="1:12">
      <c r="A451"/>
      <c r="B451"/>
      <c r="C451"/>
      <c r="D451"/>
      <c r="E451"/>
      <c r="F451"/>
      <c r="H451" s="81"/>
      <c r="I451" s="81"/>
      <c r="J451" s="81"/>
      <c r="K451" s="81"/>
      <c r="L451" s="81"/>
    </row>
    <row r="452" spans="1:12">
      <c r="A452"/>
      <c r="B452"/>
      <c r="C452"/>
      <c r="D452"/>
      <c r="E452"/>
      <c r="F452"/>
      <c r="H452" s="81"/>
      <c r="I452" s="81"/>
      <c r="J452" s="81"/>
      <c r="K452" s="81"/>
      <c r="L452" s="81"/>
    </row>
    <row r="453" spans="1:12">
      <c r="A453"/>
      <c r="B453"/>
      <c r="C453"/>
      <c r="D453"/>
      <c r="E453"/>
      <c r="F453"/>
      <c r="H453" s="81"/>
      <c r="I453" s="81"/>
      <c r="J453" s="81"/>
      <c r="K453" s="81"/>
      <c r="L453" s="81"/>
    </row>
    <row r="454" spans="1:12">
      <c r="A454"/>
      <c r="B454"/>
      <c r="C454"/>
      <c r="D454"/>
      <c r="E454"/>
      <c r="F454"/>
      <c r="H454" s="81"/>
      <c r="I454" s="81"/>
      <c r="J454" s="81"/>
      <c r="K454" s="81"/>
      <c r="L454" s="81"/>
    </row>
    <row r="455" spans="1:12">
      <c r="A455"/>
      <c r="B455"/>
      <c r="C455"/>
      <c r="D455"/>
      <c r="E455"/>
      <c r="F455"/>
      <c r="H455" s="81"/>
      <c r="I455" s="81"/>
      <c r="J455" s="81"/>
      <c r="K455" s="81"/>
      <c r="L455" s="81"/>
    </row>
    <row r="456" spans="1:12">
      <c r="A456"/>
      <c r="B456"/>
      <c r="C456"/>
      <c r="D456"/>
      <c r="E456"/>
      <c r="F456"/>
      <c r="H456" s="81"/>
      <c r="I456" s="81"/>
      <c r="J456" s="81"/>
      <c r="K456" s="81"/>
      <c r="L456" s="81"/>
    </row>
    <row r="457" spans="1:12">
      <c r="A457"/>
      <c r="B457"/>
      <c r="C457"/>
      <c r="D457"/>
      <c r="E457"/>
      <c r="F457"/>
      <c r="H457" s="81"/>
      <c r="I457" s="81"/>
      <c r="J457" s="81"/>
      <c r="K457" s="81"/>
      <c r="L457" s="81"/>
    </row>
    <row r="458" spans="1:12">
      <c r="A458"/>
      <c r="B458"/>
      <c r="C458"/>
      <c r="D458"/>
      <c r="E458"/>
      <c r="F458"/>
      <c r="H458" s="81"/>
      <c r="I458" s="81"/>
      <c r="J458" s="81"/>
      <c r="K458" s="81"/>
      <c r="L458" s="81"/>
    </row>
    <row r="459" spans="1:12">
      <c r="A459"/>
      <c r="B459"/>
      <c r="C459"/>
      <c r="D459"/>
      <c r="E459"/>
      <c r="F459"/>
      <c r="H459" s="81"/>
      <c r="I459" s="81"/>
      <c r="J459" s="81"/>
      <c r="K459" s="81"/>
      <c r="L459" s="81"/>
    </row>
    <row r="460" spans="1:12">
      <c r="A460"/>
      <c r="B460"/>
      <c r="C460"/>
      <c r="D460"/>
      <c r="E460"/>
      <c r="F460"/>
      <c r="H460" s="81"/>
      <c r="I460" s="81"/>
      <c r="J460" s="81"/>
      <c r="K460" s="81"/>
      <c r="L460" s="81"/>
    </row>
    <row r="461" spans="1:12">
      <c r="A461"/>
      <c r="B461"/>
      <c r="C461"/>
      <c r="D461"/>
      <c r="E461"/>
      <c r="F461"/>
      <c r="H461" s="81"/>
      <c r="I461" s="81"/>
      <c r="J461" s="81"/>
      <c r="K461" s="81"/>
      <c r="L461" s="81"/>
    </row>
    <row r="462" spans="1:12">
      <c r="A462"/>
      <c r="B462"/>
      <c r="C462"/>
      <c r="D462"/>
      <c r="E462"/>
      <c r="F462"/>
      <c r="H462" s="81"/>
      <c r="I462" s="81"/>
      <c r="J462" s="81"/>
      <c r="K462" s="81"/>
      <c r="L462" s="81"/>
    </row>
    <row r="463" spans="1:12">
      <c r="A463"/>
      <c r="B463"/>
      <c r="C463"/>
      <c r="D463"/>
      <c r="E463"/>
      <c r="F463"/>
      <c r="H463" s="81"/>
      <c r="I463" s="81"/>
      <c r="J463" s="81"/>
      <c r="K463" s="81"/>
      <c r="L463" s="81"/>
    </row>
    <row r="464" spans="1:12">
      <c r="A464"/>
      <c r="B464"/>
      <c r="C464"/>
      <c r="D464"/>
      <c r="E464"/>
      <c r="F464"/>
      <c r="H464" s="81"/>
      <c r="I464" s="81"/>
      <c r="J464" s="81"/>
      <c r="K464" s="81"/>
      <c r="L464" s="81"/>
    </row>
    <row r="465" spans="1:12">
      <c r="A465"/>
      <c r="B465"/>
      <c r="C465"/>
      <c r="D465"/>
      <c r="E465"/>
      <c r="F465"/>
      <c r="H465" s="81"/>
      <c r="I465" s="81"/>
      <c r="J465" s="81"/>
      <c r="K465" s="81"/>
      <c r="L465" s="81"/>
    </row>
    <row r="466" spans="1:12">
      <c r="A466"/>
      <c r="B466"/>
      <c r="C466"/>
      <c r="D466"/>
      <c r="E466"/>
      <c r="F466"/>
      <c r="H466" s="81"/>
      <c r="I466" s="81"/>
      <c r="J466" s="81"/>
      <c r="K466" s="81"/>
      <c r="L466" s="81"/>
    </row>
    <row r="467" spans="1:12">
      <c r="A467"/>
      <c r="B467"/>
      <c r="C467"/>
      <c r="D467"/>
      <c r="E467"/>
      <c r="F467"/>
      <c r="H467" s="81"/>
      <c r="I467" s="81"/>
      <c r="J467" s="81"/>
      <c r="K467" s="81"/>
      <c r="L467" s="81"/>
    </row>
    <row r="468" spans="1:12">
      <c r="A468"/>
      <c r="B468"/>
      <c r="C468"/>
      <c r="D468"/>
      <c r="E468"/>
      <c r="F468"/>
      <c r="H468" s="81"/>
      <c r="I468" s="81"/>
      <c r="J468" s="81"/>
      <c r="K468" s="81"/>
      <c r="L468" s="81"/>
    </row>
    <row r="469" spans="1:12">
      <c r="A469"/>
      <c r="B469"/>
      <c r="C469"/>
      <c r="D469"/>
      <c r="E469"/>
      <c r="F469"/>
      <c r="H469" s="81"/>
      <c r="I469" s="81"/>
      <c r="J469" s="81"/>
      <c r="K469" s="81"/>
      <c r="L469" s="81"/>
    </row>
    <row r="470" spans="1:12">
      <c r="A470"/>
      <c r="B470"/>
      <c r="C470"/>
      <c r="D470"/>
      <c r="E470"/>
      <c r="F470"/>
      <c r="H470" s="81"/>
      <c r="I470" s="81"/>
      <c r="J470" s="81"/>
      <c r="K470" s="81"/>
      <c r="L470" s="81"/>
    </row>
    <row r="471" spans="1:12">
      <c r="A471"/>
      <c r="B471"/>
      <c r="C471"/>
      <c r="D471"/>
      <c r="E471"/>
      <c r="F471"/>
      <c r="H471" s="81"/>
      <c r="I471" s="81"/>
      <c r="J471" s="81"/>
      <c r="K471" s="81"/>
      <c r="L471" s="81"/>
    </row>
  </sheetData>
  <autoFilter ref="A6:N164"/>
  <mergeCells count="134">
    <mergeCell ref="A173:A180"/>
    <mergeCell ref="B173:B180"/>
    <mergeCell ref="C173:C180"/>
    <mergeCell ref="D173:D180"/>
    <mergeCell ref="E173:E180"/>
    <mergeCell ref="F173:F180"/>
    <mergeCell ref="A165:A172"/>
    <mergeCell ref="B165:B172"/>
    <mergeCell ref="C165:C172"/>
    <mergeCell ref="D165:D172"/>
    <mergeCell ref="E165:E172"/>
    <mergeCell ref="F165:F172"/>
    <mergeCell ref="A157:A164"/>
    <mergeCell ref="B157:B164"/>
    <mergeCell ref="C157:C164"/>
    <mergeCell ref="D157:D164"/>
    <mergeCell ref="E157:E164"/>
    <mergeCell ref="F157:F164"/>
    <mergeCell ref="A149:A156"/>
    <mergeCell ref="B149:B156"/>
    <mergeCell ref="C149:C156"/>
    <mergeCell ref="D149:D156"/>
    <mergeCell ref="E149:E156"/>
    <mergeCell ref="F149:F156"/>
    <mergeCell ref="A141:A148"/>
    <mergeCell ref="B141:B148"/>
    <mergeCell ref="C141:C148"/>
    <mergeCell ref="D141:D148"/>
    <mergeCell ref="E141:E148"/>
    <mergeCell ref="F141:F148"/>
    <mergeCell ref="A132:A140"/>
    <mergeCell ref="B132:B140"/>
    <mergeCell ref="C132:C140"/>
    <mergeCell ref="D132:D140"/>
    <mergeCell ref="E132:E140"/>
    <mergeCell ref="F132:F140"/>
    <mergeCell ref="A124:A131"/>
    <mergeCell ref="B124:B131"/>
    <mergeCell ref="C124:C131"/>
    <mergeCell ref="D124:D131"/>
    <mergeCell ref="E124:E131"/>
    <mergeCell ref="F124:F131"/>
    <mergeCell ref="A116:A123"/>
    <mergeCell ref="B116:B123"/>
    <mergeCell ref="C116:C123"/>
    <mergeCell ref="D116:D123"/>
    <mergeCell ref="E116:E123"/>
    <mergeCell ref="F116:F123"/>
    <mergeCell ref="A108:A115"/>
    <mergeCell ref="B108:B115"/>
    <mergeCell ref="C108:C115"/>
    <mergeCell ref="D108:D115"/>
    <mergeCell ref="E108:E115"/>
    <mergeCell ref="F108:F115"/>
    <mergeCell ref="A100:A107"/>
    <mergeCell ref="B100:B107"/>
    <mergeCell ref="C100:C107"/>
    <mergeCell ref="D100:D107"/>
    <mergeCell ref="E100:E107"/>
    <mergeCell ref="F100:F107"/>
    <mergeCell ref="A92:A99"/>
    <mergeCell ref="B92:B99"/>
    <mergeCell ref="C92:C99"/>
    <mergeCell ref="D92:D99"/>
    <mergeCell ref="E92:E99"/>
    <mergeCell ref="F92:F99"/>
    <mergeCell ref="A84:A91"/>
    <mergeCell ref="B84:B91"/>
    <mergeCell ref="C84:C91"/>
    <mergeCell ref="D84:D91"/>
    <mergeCell ref="E84:E91"/>
    <mergeCell ref="F84:F91"/>
    <mergeCell ref="A75:A83"/>
    <mergeCell ref="B75:B83"/>
    <mergeCell ref="C75:C83"/>
    <mergeCell ref="D75:D83"/>
    <mergeCell ref="E75:E83"/>
    <mergeCell ref="F75:F83"/>
    <mergeCell ref="A66:A74"/>
    <mergeCell ref="B66:B74"/>
    <mergeCell ref="C66:C74"/>
    <mergeCell ref="D66:D74"/>
    <mergeCell ref="E66:E74"/>
    <mergeCell ref="F66:F74"/>
    <mergeCell ref="A57:A65"/>
    <mergeCell ref="B57:B65"/>
    <mergeCell ref="C57:C65"/>
    <mergeCell ref="D57:D65"/>
    <mergeCell ref="E57:E65"/>
    <mergeCell ref="F57:F65"/>
    <mergeCell ref="A48:A56"/>
    <mergeCell ref="B48:B56"/>
    <mergeCell ref="C48:C56"/>
    <mergeCell ref="D48:D56"/>
    <mergeCell ref="E48:E56"/>
    <mergeCell ref="F48:F56"/>
    <mergeCell ref="A40:A47"/>
    <mergeCell ref="B40:B47"/>
    <mergeCell ref="C40:C47"/>
    <mergeCell ref="D40:D47"/>
    <mergeCell ref="E40:E47"/>
    <mergeCell ref="F40:F47"/>
    <mergeCell ref="A31:A39"/>
    <mergeCell ref="B31:B39"/>
    <mergeCell ref="C31:C39"/>
    <mergeCell ref="D31:D39"/>
    <mergeCell ref="E31:E39"/>
    <mergeCell ref="F31:F39"/>
    <mergeCell ref="A23:A30"/>
    <mergeCell ref="B23:B30"/>
    <mergeCell ref="C23:C30"/>
    <mergeCell ref="D23:D30"/>
    <mergeCell ref="E23:E30"/>
    <mergeCell ref="F23:F30"/>
    <mergeCell ref="A15:A22"/>
    <mergeCell ref="B15:B22"/>
    <mergeCell ref="C15:C22"/>
    <mergeCell ref="D15:D22"/>
    <mergeCell ref="E15:E22"/>
    <mergeCell ref="F15:F22"/>
    <mergeCell ref="A7:A14"/>
    <mergeCell ref="B7:B14"/>
    <mergeCell ref="C7:C14"/>
    <mergeCell ref="D7:D14"/>
    <mergeCell ref="E7:E14"/>
    <mergeCell ref="F7:F14"/>
    <mergeCell ref="A3:L3"/>
    <mergeCell ref="A5:A6"/>
    <mergeCell ref="B5:B6"/>
    <mergeCell ref="C5:C6"/>
    <mergeCell ref="D5:D6"/>
    <mergeCell ref="E5:E6"/>
    <mergeCell ref="F5:F6"/>
    <mergeCell ref="G5:L5"/>
  </mergeCells>
  <pageMargins left="0.23622047244094491" right="0.31496062992125984" top="0.26" bottom="0.28000000000000003" header="0.17" footer="0.15748031496062992"/>
  <pageSetup paperSize="9" scale="5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0"/>
  <sheetViews>
    <sheetView view="pageBreakPreview" topLeftCell="A355" zoomScale="120" zoomScaleNormal="120" zoomScaleSheetLayoutView="120" workbookViewId="0">
      <selection activeCell="F372" sqref="F372"/>
    </sheetView>
  </sheetViews>
  <sheetFormatPr defaultColWidth="8.85546875" defaultRowHeight="15"/>
  <cols>
    <col min="1" max="1" width="7.28515625" style="42" customWidth="1"/>
    <col min="2" max="2" width="17.140625" style="1" customWidth="1"/>
    <col min="3" max="3" width="8.7109375" style="2" customWidth="1"/>
    <col min="4" max="4" width="8.85546875" style="41" customWidth="1"/>
    <col min="5" max="5" width="9.140625" style="4" bestFit="1" customWidth="1"/>
    <col min="6" max="6" width="9.140625" style="3" bestFit="1" customWidth="1"/>
    <col min="7" max="8" width="7.85546875" style="4" bestFit="1" customWidth="1"/>
    <col min="9" max="9" width="7" style="4" bestFit="1" customWidth="1"/>
    <col min="10" max="10" width="26.7109375" style="5" customWidth="1"/>
    <col min="11" max="11" width="17" style="6" customWidth="1"/>
    <col min="257" max="257" width="7.28515625" customWidth="1"/>
    <col min="258" max="258" width="17.140625" customWidth="1"/>
    <col min="259" max="259" width="8.7109375" customWidth="1"/>
    <col min="260" max="260" width="8.85546875" customWidth="1"/>
    <col min="261" max="262" width="9.140625" bestFit="1" customWidth="1"/>
    <col min="263" max="264" width="7.85546875" bestFit="1" customWidth="1"/>
    <col min="265" max="265" width="7" bestFit="1" customWidth="1"/>
    <col min="266" max="266" width="26.7109375" customWidth="1"/>
    <col min="267" max="267" width="17" customWidth="1"/>
    <col min="513" max="513" width="7.28515625" customWidth="1"/>
    <col min="514" max="514" width="17.140625" customWidth="1"/>
    <col min="515" max="515" width="8.7109375" customWidth="1"/>
    <col min="516" max="516" width="8.85546875" customWidth="1"/>
    <col min="517" max="518" width="9.140625" bestFit="1" customWidth="1"/>
    <col min="519" max="520" width="7.85546875" bestFit="1" customWidth="1"/>
    <col min="521" max="521" width="7" bestFit="1" customWidth="1"/>
    <col min="522" max="522" width="26.7109375" customWidth="1"/>
    <col min="523" max="523" width="17" customWidth="1"/>
    <col min="769" max="769" width="7.28515625" customWidth="1"/>
    <col min="770" max="770" width="17.140625" customWidth="1"/>
    <col min="771" max="771" width="8.7109375" customWidth="1"/>
    <col min="772" max="772" width="8.85546875" customWidth="1"/>
    <col min="773" max="774" width="9.140625" bestFit="1" customWidth="1"/>
    <col min="775" max="776" width="7.85546875" bestFit="1" customWidth="1"/>
    <col min="777" max="777" width="7" bestFit="1" customWidth="1"/>
    <col min="778" max="778" width="26.7109375" customWidth="1"/>
    <col min="779" max="779" width="17" customWidth="1"/>
    <col min="1025" max="1025" width="7.28515625" customWidth="1"/>
    <col min="1026" max="1026" width="17.140625" customWidth="1"/>
    <col min="1027" max="1027" width="8.7109375" customWidth="1"/>
    <col min="1028" max="1028" width="8.85546875" customWidth="1"/>
    <col min="1029" max="1030" width="9.140625" bestFit="1" customWidth="1"/>
    <col min="1031" max="1032" width="7.85546875" bestFit="1" customWidth="1"/>
    <col min="1033" max="1033" width="7" bestFit="1" customWidth="1"/>
    <col min="1034" max="1034" width="26.7109375" customWidth="1"/>
    <col min="1035" max="1035" width="17" customWidth="1"/>
    <col min="1281" max="1281" width="7.28515625" customWidth="1"/>
    <col min="1282" max="1282" width="17.140625" customWidth="1"/>
    <col min="1283" max="1283" width="8.7109375" customWidth="1"/>
    <col min="1284" max="1284" width="8.85546875" customWidth="1"/>
    <col min="1285" max="1286" width="9.140625" bestFit="1" customWidth="1"/>
    <col min="1287" max="1288" width="7.85546875" bestFit="1" customWidth="1"/>
    <col min="1289" max="1289" width="7" bestFit="1" customWidth="1"/>
    <col min="1290" max="1290" width="26.7109375" customWidth="1"/>
    <col min="1291" max="1291" width="17" customWidth="1"/>
    <col min="1537" max="1537" width="7.28515625" customWidth="1"/>
    <col min="1538" max="1538" width="17.140625" customWidth="1"/>
    <col min="1539" max="1539" width="8.7109375" customWidth="1"/>
    <col min="1540" max="1540" width="8.85546875" customWidth="1"/>
    <col min="1541" max="1542" width="9.140625" bestFit="1" customWidth="1"/>
    <col min="1543" max="1544" width="7.85546875" bestFit="1" customWidth="1"/>
    <col min="1545" max="1545" width="7" bestFit="1" customWidth="1"/>
    <col min="1546" max="1546" width="26.7109375" customWidth="1"/>
    <col min="1547" max="1547" width="17" customWidth="1"/>
    <col min="1793" max="1793" width="7.28515625" customWidth="1"/>
    <col min="1794" max="1794" width="17.140625" customWidth="1"/>
    <col min="1795" max="1795" width="8.7109375" customWidth="1"/>
    <col min="1796" max="1796" width="8.85546875" customWidth="1"/>
    <col min="1797" max="1798" width="9.140625" bestFit="1" customWidth="1"/>
    <col min="1799" max="1800" width="7.85546875" bestFit="1" customWidth="1"/>
    <col min="1801" max="1801" width="7" bestFit="1" customWidth="1"/>
    <col min="1802" max="1802" width="26.7109375" customWidth="1"/>
    <col min="1803" max="1803" width="17" customWidth="1"/>
    <col min="2049" max="2049" width="7.28515625" customWidth="1"/>
    <col min="2050" max="2050" width="17.140625" customWidth="1"/>
    <col min="2051" max="2051" width="8.7109375" customWidth="1"/>
    <col min="2052" max="2052" width="8.85546875" customWidth="1"/>
    <col min="2053" max="2054" width="9.140625" bestFit="1" customWidth="1"/>
    <col min="2055" max="2056" width="7.85546875" bestFit="1" customWidth="1"/>
    <col min="2057" max="2057" width="7" bestFit="1" customWidth="1"/>
    <col min="2058" max="2058" width="26.7109375" customWidth="1"/>
    <col min="2059" max="2059" width="17" customWidth="1"/>
    <col min="2305" max="2305" width="7.28515625" customWidth="1"/>
    <col min="2306" max="2306" width="17.140625" customWidth="1"/>
    <col min="2307" max="2307" width="8.7109375" customWidth="1"/>
    <col min="2308" max="2308" width="8.85546875" customWidth="1"/>
    <col min="2309" max="2310" width="9.140625" bestFit="1" customWidth="1"/>
    <col min="2311" max="2312" width="7.85546875" bestFit="1" customWidth="1"/>
    <col min="2313" max="2313" width="7" bestFit="1" customWidth="1"/>
    <col min="2314" max="2314" width="26.7109375" customWidth="1"/>
    <col min="2315" max="2315" width="17" customWidth="1"/>
    <col min="2561" max="2561" width="7.28515625" customWidth="1"/>
    <col min="2562" max="2562" width="17.140625" customWidth="1"/>
    <col min="2563" max="2563" width="8.7109375" customWidth="1"/>
    <col min="2564" max="2564" width="8.85546875" customWidth="1"/>
    <col min="2565" max="2566" width="9.140625" bestFit="1" customWidth="1"/>
    <col min="2567" max="2568" width="7.85546875" bestFit="1" customWidth="1"/>
    <col min="2569" max="2569" width="7" bestFit="1" customWidth="1"/>
    <col min="2570" max="2570" width="26.7109375" customWidth="1"/>
    <col min="2571" max="2571" width="17" customWidth="1"/>
    <col min="2817" max="2817" width="7.28515625" customWidth="1"/>
    <col min="2818" max="2818" width="17.140625" customWidth="1"/>
    <col min="2819" max="2819" width="8.7109375" customWidth="1"/>
    <col min="2820" max="2820" width="8.85546875" customWidth="1"/>
    <col min="2821" max="2822" width="9.140625" bestFit="1" customWidth="1"/>
    <col min="2823" max="2824" width="7.85546875" bestFit="1" customWidth="1"/>
    <col min="2825" max="2825" width="7" bestFit="1" customWidth="1"/>
    <col min="2826" max="2826" width="26.7109375" customWidth="1"/>
    <col min="2827" max="2827" width="17" customWidth="1"/>
    <col min="3073" max="3073" width="7.28515625" customWidth="1"/>
    <col min="3074" max="3074" width="17.140625" customWidth="1"/>
    <col min="3075" max="3075" width="8.7109375" customWidth="1"/>
    <col min="3076" max="3076" width="8.85546875" customWidth="1"/>
    <col min="3077" max="3078" width="9.140625" bestFit="1" customWidth="1"/>
    <col min="3079" max="3080" width="7.85546875" bestFit="1" customWidth="1"/>
    <col min="3081" max="3081" width="7" bestFit="1" customWidth="1"/>
    <col min="3082" max="3082" width="26.7109375" customWidth="1"/>
    <col min="3083" max="3083" width="17" customWidth="1"/>
    <col min="3329" max="3329" width="7.28515625" customWidth="1"/>
    <col min="3330" max="3330" width="17.140625" customWidth="1"/>
    <col min="3331" max="3331" width="8.7109375" customWidth="1"/>
    <col min="3332" max="3332" width="8.85546875" customWidth="1"/>
    <col min="3333" max="3334" width="9.140625" bestFit="1" customWidth="1"/>
    <col min="3335" max="3336" width="7.85546875" bestFit="1" customWidth="1"/>
    <col min="3337" max="3337" width="7" bestFit="1" customWidth="1"/>
    <col min="3338" max="3338" width="26.7109375" customWidth="1"/>
    <col min="3339" max="3339" width="17" customWidth="1"/>
    <col min="3585" max="3585" width="7.28515625" customWidth="1"/>
    <col min="3586" max="3586" width="17.140625" customWidth="1"/>
    <col min="3587" max="3587" width="8.7109375" customWidth="1"/>
    <col min="3588" max="3588" width="8.85546875" customWidth="1"/>
    <col min="3589" max="3590" width="9.140625" bestFit="1" customWidth="1"/>
    <col min="3591" max="3592" width="7.85546875" bestFit="1" customWidth="1"/>
    <col min="3593" max="3593" width="7" bestFit="1" customWidth="1"/>
    <col min="3594" max="3594" width="26.7109375" customWidth="1"/>
    <col min="3595" max="3595" width="17" customWidth="1"/>
    <col min="3841" max="3841" width="7.28515625" customWidth="1"/>
    <col min="3842" max="3842" width="17.140625" customWidth="1"/>
    <col min="3843" max="3843" width="8.7109375" customWidth="1"/>
    <col min="3844" max="3844" width="8.85546875" customWidth="1"/>
    <col min="3845" max="3846" width="9.140625" bestFit="1" customWidth="1"/>
    <col min="3847" max="3848" width="7.85546875" bestFit="1" customWidth="1"/>
    <col min="3849" max="3849" width="7" bestFit="1" customWidth="1"/>
    <col min="3850" max="3850" width="26.7109375" customWidth="1"/>
    <col min="3851" max="3851" width="17" customWidth="1"/>
    <col min="4097" max="4097" width="7.28515625" customWidth="1"/>
    <col min="4098" max="4098" width="17.140625" customWidth="1"/>
    <col min="4099" max="4099" width="8.7109375" customWidth="1"/>
    <col min="4100" max="4100" width="8.85546875" customWidth="1"/>
    <col min="4101" max="4102" width="9.140625" bestFit="1" customWidth="1"/>
    <col min="4103" max="4104" width="7.85546875" bestFit="1" customWidth="1"/>
    <col min="4105" max="4105" width="7" bestFit="1" customWidth="1"/>
    <col min="4106" max="4106" width="26.7109375" customWidth="1"/>
    <col min="4107" max="4107" width="17" customWidth="1"/>
    <col min="4353" max="4353" width="7.28515625" customWidth="1"/>
    <col min="4354" max="4354" width="17.140625" customWidth="1"/>
    <col min="4355" max="4355" width="8.7109375" customWidth="1"/>
    <col min="4356" max="4356" width="8.85546875" customWidth="1"/>
    <col min="4357" max="4358" width="9.140625" bestFit="1" customWidth="1"/>
    <col min="4359" max="4360" width="7.85546875" bestFit="1" customWidth="1"/>
    <col min="4361" max="4361" width="7" bestFit="1" customWidth="1"/>
    <col min="4362" max="4362" width="26.7109375" customWidth="1"/>
    <col min="4363" max="4363" width="17" customWidth="1"/>
    <col min="4609" max="4609" width="7.28515625" customWidth="1"/>
    <col min="4610" max="4610" width="17.140625" customWidth="1"/>
    <col min="4611" max="4611" width="8.7109375" customWidth="1"/>
    <col min="4612" max="4612" width="8.85546875" customWidth="1"/>
    <col min="4613" max="4614" width="9.140625" bestFit="1" customWidth="1"/>
    <col min="4615" max="4616" width="7.85546875" bestFit="1" customWidth="1"/>
    <col min="4617" max="4617" width="7" bestFit="1" customWidth="1"/>
    <col min="4618" max="4618" width="26.7109375" customWidth="1"/>
    <col min="4619" max="4619" width="17" customWidth="1"/>
    <col min="4865" max="4865" width="7.28515625" customWidth="1"/>
    <col min="4866" max="4866" width="17.140625" customWidth="1"/>
    <col min="4867" max="4867" width="8.7109375" customWidth="1"/>
    <col min="4868" max="4868" width="8.85546875" customWidth="1"/>
    <col min="4869" max="4870" width="9.140625" bestFit="1" customWidth="1"/>
    <col min="4871" max="4872" width="7.85546875" bestFit="1" customWidth="1"/>
    <col min="4873" max="4873" width="7" bestFit="1" customWidth="1"/>
    <col min="4874" max="4874" width="26.7109375" customWidth="1"/>
    <col min="4875" max="4875" width="17" customWidth="1"/>
    <col min="5121" max="5121" width="7.28515625" customWidth="1"/>
    <col min="5122" max="5122" width="17.140625" customWidth="1"/>
    <col min="5123" max="5123" width="8.7109375" customWidth="1"/>
    <col min="5124" max="5124" width="8.85546875" customWidth="1"/>
    <col min="5125" max="5126" width="9.140625" bestFit="1" customWidth="1"/>
    <col min="5127" max="5128" width="7.85546875" bestFit="1" customWidth="1"/>
    <col min="5129" max="5129" width="7" bestFit="1" customWidth="1"/>
    <col min="5130" max="5130" width="26.7109375" customWidth="1"/>
    <col min="5131" max="5131" width="17" customWidth="1"/>
    <col min="5377" max="5377" width="7.28515625" customWidth="1"/>
    <col min="5378" max="5378" width="17.140625" customWidth="1"/>
    <col min="5379" max="5379" width="8.7109375" customWidth="1"/>
    <col min="5380" max="5380" width="8.85546875" customWidth="1"/>
    <col min="5381" max="5382" width="9.140625" bestFit="1" customWidth="1"/>
    <col min="5383" max="5384" width="7.85546875" bestFit="1" customWidth="1"/>
    <col min="5385" max="5385" width="7" bestFit="1" customWidth="1"/>
    <col min="5386" max="5386" width="26.7109375" customWidth="1"/>
    <col min="5387" max="5387" width="17" customWidth="1"/>
    <col min="5633" max="5633" width="7.28515625" customWidth="1"/>
    <col min="5634" max="5634" width="17.140625" customWidth="1"/>
    <col min="5635" max="5635" width="8.7109375" customWidth="1"/>
    <col min="5636" max="5636" width="8.85546875" customWidth="1"/>
    <col min="5637" max="5638" width="9.140625" bestFit="1" customWidth="1"/>
    <col min="5639" max="5640" width="7.85546875" bestFit="1" customWidth="1"/>
    <col min="5641" max="5641" width="7" bestFit="1" customWidth="1"/>
    <col min="5642" max="5642" width="26.7109375" customWidth="1"/>
    <col min="5643" max="5643" width="17" customWidth="1"/>
    <col min="5889" max="5889" width="7.28515625" customWidth="1"/>
    <col min="5890" max="5890" width="17.140625" customWidth="1"/>
    <col min="5891" max="5891" width="8.7109375" customWidth="1"/>
    <col min="5892" max="5892" width="8.85546875" customWidth="1"/>
    <col min="5893" max="5894" width="9.140625" bestFit="1" customWidth="1"/>
    <col min="5895" max="5896" width="7.85546875" bestFit="1" customWidth="1"/>
    <col min="5897" max="5897" width="7" bestFit="1" customWidth="1"/>
    <col min="5898" max="5898" width="26.7109375" customWidth="1"/>
    <col min="5899" max="5899" width="17" customWidth="1"/>
    <col min="6145" max="6145" width="7.28515625" customWidth="1"/>
    <col min="6146" max="6146" width="17.140625" customWidth="1"/>
    <col min="6147" max="6147" width="8.7109375" customWidth="1"/>
    <col min="6148" max="6148" width="8.85546875" customWidth="1"/>
    <col min="6149" max="6150" width="9.140625" bestFit="1" customWidth="1"/>
    <col min="6151" max="6152" width="7.85546875" bestFit="1" customWidth="1"/>
    <col min="6153" max="6153" width="7" bestFit="1" customWidth="1"/>
    <col min="6154" max="6154" width="26.7109375" customWidth="1"/>
    <col min="6155" max="6155" width="17" customWidth="1"/>
    <col min="6401" max="6401" width="7.28515625" customWidth="1"/>
    <col min="6402" max="6402" width="17.140625" customWidth="1"/>
    <col min="6403" max="6403" width="8.7109375" customWidth="1"/>
    <col min="6404" max="6404" width="8.85546875" customWidth="1"/>
    <col min="6405" max="6406" width="9.140625" bestFit="1" customWidth="1"/>
    <col min="6407" max="6408" width="7.85546875" bestFit="1" customWidth="1"/>
    <col min="6409" max="6409" width="7" bestFit="1" customWidth="1"/>
    <col min="6410" max="6410" width="26.7109375" customWidth="1"/>
    <col min="6411" max="6411" width="17" customWidth="1"/>
    <col min="6657" max="6657" width="7.28515625" customWidth="1"/>
    <col min="6658" max="6658" width="17.140625" customWidth="1"/>
    <col min="6659" max="6659" width="8.7109375" customWidth="1"/>
    <col min="6660" max="6660" width="8.85546875" customWidth="1"/>
    <col min="6661" max="6662" width="9.140625" bestFit="1" customWidth="1"/>
    <col min="6663" max="6664" width="7.85546875" bestFit="1" customWidth="1"/>
    <col min="6665" max="6665" width="7" bestFit="1" customWidth="1"/>
    <col min="6666" max="6666" width="26.7109375" customWidth="1"/>
    <col min="6667" max="6667" width="17" customWidth="1"/>
    <col min="6913" max="6913" width="7.28515625" customWidth="1"/>
    <col min="6914" max="6914" width="17.140625" customWidth="1"/>
    <col min="6915" max="6915" width="8.7109375" customWidth="1"/>
    <col min="6916" max="6916" width="8.85546875" customWidth="1"/>
    <col min="6917" max="6918" width="9.140625" bestFit="1" customWidth="1"/>
    <col min="6919" max="6920" width="7.85546875" bestFit="1" customWidth="1"/>
    <col min="6921" max="6921" width="7" bestFit="1" customWidth="1"/>
    <col min="6922" max="6922" width="26.7109375" customWidth="1"/>
    <col min="6923" max="6923" width="17" customWidth="1"/>
    <col min="7169" max="7169" width="7.28515625" customWidth="1"/>
    <col min="7170" max="7170" width="17.140625" customWidth="1"/>
    <col min="7171" max="7171" width="8.7109375" customWidth="1"/>
    <col min="7172" max="7172" width="8.85546875" customWidth="1"/>
    <col min="7173" max="7174" width="9.140625" bestFit="1" customWidth="1"/>
    <col min="7175" max="7176" width="7.85546875" bestFit="1" customWidth="1"/>
    <col min="7177" max="7177" width="7" bestFit="1" customWidth="1"/>
    <col min="7178" max="7178" width="26.7109375" customWidth="1"/>
    <col min="7179" max="7179" width="17" customWidth="1"/>
    <col min="7425" max="7425" width="7.28515625" customWidth="1"/>
    <col min="7426" max="7426" width="17.140625" customWidth="1"/>
    <col min="7427" max="7427" width="8.7109375" customWidth="1"/>
    <col min="7428" max="7428" width="8.85546875" customWidth="1"/>
    <col min="7429" max="7430" width="9.140625" bestFit="1" customWidth="1"/>
    <col min="7431" max="7432" width="7.85546875" bestFit="1" customWidth="1"/>
    <col min="7433" max="7433" width="7" bestFit="1" customWidth="1"/>
    <col min="7434" max="7434" width="26.7109375" customWidth="1"/>
    <col min="7435" max="7435" width="17" customWidth="1"/>
    <col min="7681" max="7681" width="7.28515625" customWidth="1"/>
    <col min="7682" max="7682" width="17.140625" customWidth="1"/>
    <col min="7683" max="7683" width="8.7109375" customWidth="1"/>
    <col min="7684" max="7684" width="8.85546875" customWidth="1"/>
    <col min="7685" max="7686" width="9.140625" bestFit="1" customWidth="1"/>
    <col min="7687" max="7688" width="7.85546875" bestFit="1" customWidth="1"/>
    <col min="7689" max="7689" width="7" bestFit="1" customWidth="1"/>
    <col min="7690" max="7690" width="26.7109375" customWidth="1"/>
    <col min="7691" max="7691" width="17" customWidth="1"/>
    <col min="7937" max="7937" width="7.28515625" customWidth="1"/>
    <col min="7938" max="7938" width="17.140625" customWidth="1"/>
    <col min="7939" max="7939" width="8.7109375" customWidth="1"/>
    <col min="7940" max="7940" width="8.85546875" customWidth="1"/>
    <col min="7941" max="7942" width="9.140625" bestFit="1" customWidth="1"/>
    <col min="7943" max="7944" width="7.85546875" bestFit="1" customWidth="1"/>
    <col min="7945" max="7945" width="7" bestFit="1" customWidth="1"/>
    <col min="7946" max="7946" width="26.7109375" customWidth="1"/>
    <col min="7947" max="7947" width="17" customWidth="1"/>
    <col min="8193" max="8193" width="7.28515625" customWidth="1"/>
    <col min="8194" max="8194" width="17.140625" customWidth="1"/>
    <col min="8195" max="8195" width="8.7109375" customWidth="1"/>
    <col min="8196" max="8196" width="8.85546875" customWidth="1"/>
    <col min="8197" max="8198" width="9.140625" bestFit="1" customWidth="1"/>
    <col min="8199" max="8200" width="7.85546875" bestFit="1" customWidth="1"/>
    <col min="8201" max="8201" width="7" bestFit="1" customWidth="1"/>
    <col min="8202" max="8202" width="26.7109375" customWidth="1"/>
    <col min="8203" max="8203" width="17" customWidth="1"/>
    <col min="8449" max="8449" width="7.28515625" customWidth="1"/>
    <col min="8450" max="8450" width="17.140625" customWidth="1"/>
    <col min="8451" max="8451" width="8.7109375" customWidth="1"/>
    <col min="8452" max="8452" width="8.85546875" customWidth="1"/>
    <col min="8453" max="8454" width="9.140625" bestFit="1" customWidth="1"/>
    <col min="8455" max="8456" width="7.85546875" bestFit="1" customWidth="1"/>
    <col min="8457" max="8457" width="7" bestFit="1" customWidth="1"/>
    <col min="8458" max="8458" width="26.7109375" customWidth="1"/>
    <col min="8459" max="8459" width="17" customWidth="1"/>
    <col min="8705" max="8705" width="7.28515625" customWidth="1"/>
    <col min="8706" max="8706" width="17.140625" customWidth="1"/>
    <col min="8707" max="8707" width="8.7109375" customWidth="1"/>
    <col min="8708" max="8708" width="8.85546875" customWidth="1"/>
    <col min="8709" max="8710" width="9.140625" bestFit="1" customWidth="1"/>
    <col min="8711" max="8712" width="7.85546875" bestFit="1" customWidth="1"/>
    <col min="8713" max="8713" width="7" bestFit="1" customWidth="1"/>
    <col min="8714" max="8714" width="26.7109375" customWidth="1"/>
    <col min="8715" max="8715" width="17" customWidth="1"/>
    <col min="8961" max="8961" width="7.28515625" customWidth="1"/>
    <col min="8962" max="8962" width="17.140625" customWidth="1"/>
    <col min="8963" max="8963" width="8.7109375" customWidth="1"/>
    <col min="8964" max="8964" width="8.85546875" customWidth="1"/>
    <col min="8965" max="8966" width="9.140625" bestFit="1" customWidth="1"/>
    <col min="8967" max="8968" width="7.85546875" bestFit="1" customWidth="1"/>
    <col min="8969" max="8969" width="7" bestFit="1" customWidth="1"/>
    <col min="8970" max="8970" width="26.7109375" customWidth="1"/>
    <col min="8971" max="8971" width="17" customWidth="1"/>
    <col min="9217" max="9217" width="7.28515625" customWidth="1"/>
    <col min="9218" max="9218" width="17.140625" customWidth="1"/>
    <col min="9219" max="9219" width="8.7109375" customWidth="1"/>
    <col min="9220" max="9220" width="8.85546875" customWidth="1"/>
    <col min="9221" max="9222" width="9.140625" bestFit="1" customWidth="1"/>
    <col min="9223" max="9224" width="7.85546875" bestFit="1" customWidth="1"/>
    <col min="9225" max="9225" width="7" bestFit="1" customWidth="1"/>
    <col min="9226" max="9226" width="26.7109375" customWidth="1"/>
    <col min="9227" max="9227" width="17" customWidth="1"/>
    <col min="9473" max="9473" width="7.28515625" customWidth="1"/>
    <col min="9474" max="9474" width="17.140625" customWidth="1"/>
    <col min="9475" max="9475" width="8.7109375" customWidth="1"/>
    <col min="9476" max="9476" width="8.85546875" customWidth="1"/>
    <col min="9477" max="9478" width="9.140625" bestFit="1" customWidth="1"/>
    <col min="9479" max="9480" width="7.85546875" bestFit="1" customWidth="1"/>
    <col min="9481" max="9481" width="7" bestFit="1" customWidth="1"/>
    <col min="9482" max="9482" width="26.7109375" customWidth="1"/>
    <col min="9483" max="9483" width="17" customWidth="1"/>
    <col min="9729" max="9729" width="7.28515625" customWidth="1"/>
    <col min="9730" max="9730" width="17.140625" customWidth="1"/>
    <col min="9731" max="9731" width="8.7109375" customWidth="1"/>
    <col min="9732" max="9732" width="8.85546875" customWidth="1"/>
    <col min="9733" max="9734" width="9.140625" bestFit="1" customWidth="1"/>
    <col min="9735" max="9736" width="7.85546875" bestFit="1" customWidth="1"/>
    <col min="9737" max="9737" width="7" bestFit="1" customWidth="1"/>
    <col min="9738" max="9738" width="26.7109375" customWidth="1"/>
    <col min="9739" max="9739" width="17" customWidth="1"/>
    <col min="9985" max="9985" width="7.28515625" customWidth="1"/>
    <col min="9986" max="9986" width="17.140625" customWidth="1"/>
    <col min="9987" max="9987" width="8.7109375" customWidth="1"/>
    <col min="9988" max="9988" width="8.85546875" customWidth="1"/>
    <col min="9989" max="9990" width="9.140625" bestFit="1" customWidth="1"/>
    <col min="9991" max="9992" width="7.85546875" bestFit="1" customWidth="1"/>
    <col min="9993" max="9993" width="7" bestFit="1" customWidth="1"/>
    <col min="9994" max="9994" width="26.7109375" customWidth="1"/>
    <col min="9995" max="9995" width="17" customWidth="1"/>
    <col min="10241" max="10241" width="7.28515625" customWidth="1"/>
    <col min="10242" max="10242" width="17.140625" customWidth="1"/>
    <col min="10243" max="10243" width="8.7109375" customWidth="1"/>
    <col min="10244" max="10244" width="8.85546875" customWidth="1"/>
    <col min="10245" max="10246" width="9.140625" bestFit="1" customWidth="1"/>
    <col min="10247" max="10248" width="7.85546875" bestFit="1" customWidth="1"/>
    <col min="10249" max="10249" width="7" bestFit="1" customWidth="1"/>
    <col min="10250" max="10250" width="26.7109375" customWidth="1"/>
    <col min="10251" max="10251" width="17" customWidth="1"/>
    <col min="10497" max="10497" width="7.28515625" customWidth="1"/>
    <col min="10498" max="10498" width="17.140625" customWidth="1"/>
    <col min="10499" max="10499" width="8.7109375" customWidth="1"/>
    <col min="10500" max="10500" width="8.85546875" customWidth="1"/>
    <col min="10501" max="10502" width="9.140625" bestFit="1" customWidth="1"/>
    <col min="10503" max="10504" width="7.85546875" bestFit="1" customWidth="1"/>
    <col min="10505" max="10505" width="7" bestFit="1" customWidth="1"/>
    <col min="10506" max="10506" width="26.7109375" customWidth="1"/>
    <col min="10507" max="10507" width="17" customWidth="1"/>
    <col min="10753" max="10753" width="7.28515625" customWidth="1"/>
    <col min="10754" max="10754" width="17.140625" customWidth="1"/>
    <col min="10755" max="10755" width="8.7109375" customWidth="1"/>
    <col min="10756" max="10756" width="8.85546875" customWidth="1"/>
    <col min="10757" max="10758" width="9.140625" bestFit="1" customWidth="1"/>
    <col min="10759" max="10760" width="7.85546875" bestFit="1" customWidth="1"/>
    <col min="10761" max="10761" width="7" bestFit="1" customWidth="1"/>
    <col min="10762" max="10762" width="26.7109375" customWidth="1"/>
    <col min="10763" max="10763" width="17" customWidth="1"/>
    <col min="11009" max="11009" width="7.28515625" customWidth="1"/>
    <col min="11010" max="11010" width="17.140625" customWidth="1"/>
    <col min="11011" max="11011" width="8.7109375" customWidth="1"/>
    <col min="11012" max="11012" width="8.85546875" customWidth="1"/>
    <col min="11013" max="11014" width="9.140625" bestFit="1" customWidth="1"/>
    <col min="11015" max="11016" width="7.85546875" bestFit="1" customWidth="1"/>
    <col min="11017" max="11017" width="7" bestFit="1" customWidth="1"/>
    <col min="11018" max="11018" width="26.7109375" customWidth="1"/>
    <col min="11019" max="11019" width="17" customWidth="1"/>
    <col min="11265" max="11265" width="7.28515625" customWidth="1"/>
    <col min="11266" max="11266" width="17.140625" customWidth="1"/>
    <col min="11267" max="11267" width="8.7109375" customWidth="1"/>
    <col min="11268" max="11268" width="8.85546875" customWidth="1"/>
    <col min="11269" max="11270" width="9.140625" bestFit="1" customWidth="1"/>
    <col min="11271" max="11272" width="7.85546875" bestFit="1" customWidth="1"/>
    <col min="11273" max="11273" width="7" bestFit="1" customWidth="1"/>
    <col min="11274" max="11274" width="26.7109375" customWidth="1"/>
    <col min="11275" max="11275" width="17" customWidth="1"/>
    <col min="11521" max="11521" width="7.28515625" customWidth="1"/>
    <col min="11522" max="11522" width="17.140625" customWidth="1"/>
    <col min="11523" max="11523" width="8.7109375" customWidth="1"/>
    <col min="11524" max="11524" width="8.85546875" customWidth="1"/>
    <col min="11525" max="11526" width="9.140625" bestFit="1" customWidth="1"/>
    <col min="11527" max="11528" width="7.85546875" bestFit="1" customWidth="1"/>
    <col min="11529" max="11529" width="7" bestFit="1" customWidth="1"/>
    <col min="11530" max="11530" width="26.7109375" customWidth="1"/>
    <col min="11531" max="11531" width="17" customWidth="1"/>
    <col min="11777" max="11777" width="7.28515625" customWidth="1"/>
    <col min="11778" max="11778" width="17.140625" customWidth="1"/>
    <col min="11779" max="11779" width="8.7109375" customWidth="1"/>
    <col min="11780" max="11780" width="8.85546875" customWidth="1"/>
    <col min="11781" max="11782" width="9.140625" bestFit="1" customWidth="1"/>
    <col min="11783" max="11784" width="7.85546875" bestFit="1" customWidth="1"/>
    <col min="11785" max="11785" width="7" bestFit="1" customWidth="1"/>
    <col min="11786" max="11786" width="26.7109375" customWidth="1"/>
    <col min="11787" max="11787" width="17" customWidth="1"/>
    <col min="12033" max="12033" width="7.28515625" customWidth="1"/>
    <col min="12034" max="12034" width="17.140625" customWidth="1"/>
    <col min="12035" max="12035" width="8.7109375" customWidth="1"/>
    <col min="12036" max="12036" width="8.85546875" customWidth="1"/>
    <col min="12037" max="12038" width="9.140625" bestFit="1" customWidth="1"/>
    <col min="12039" max="12040" width="7.85546875" bestFit="1" customWidth="1"/>
    <col min="12041" max="12041" width="7" bestFit="1" customWidth="1"/>
    <col min="12042" max="12042" width="26.7109375" customWidth="1"/>
    <col min="12043" max="12043" width="17" customWidth="1"/>
    <col min="12289" max="12289" width="7.28515625" customWidth="1"/>
    <col min="12290" max="12290" width="17.140625" customWidth="1"/>
    <col min="12291" max="12291" width="8.7109375" customWidth="1"/>
    <col min="12292" max="12292" width="8.85546875" customWidth="1"/>
    <col min="12293" max="12294" width="9.140625" bestFit="1" customWidth="1"/>
    <col min="12295" max="12296" width="7.85546875" bestFit="1" customWidth="1"/>
    <col min="12297" max="12297" width="7" bestFit="1" customWidth="1"/>
    <col min="12298" max="12298" width="26.7109375" customWidth="1"/>
    <col min="12299" max="12299" width="17" customWidth="1"/>
    <col min="12545" max="12545" width="7.28515625" customWidth="1"/>
    <col min="12546" max="12546" width="17.140625" customWidth="1"/>
    <col min="12547" max="12547" width="8.7109375" customWidth="1"/>
    <col min="12548" max="12548" width="8.85546875" customWidth="1"/>
    <col min="12549" max="12550" width="9.140625" bestFit="1" customWidth="1"/>
    <col min="12551" max="12552" width="7.85546875" bestFit="1" customWidth="1"/>
    <col min="12553" max="12553" width="7" bestFit="1" customWidth="1"/>
    <col min="12554" max="12554" width="26.7109375" customWidth="1"/>
    <col min="12555" max="12555" width="17" customWidth="1"/>
    <col min="12801" max="12801" width="7.28515625" customWidth="1"/>
    <col min="12802" max="12802" width="17.140625" customWidth="1"/>
    <col min="12803" max="12803" width="8.7109375" customWidth="1"/>
    <col min="12804" max="12804" width="8.85546875" customWidth="1"/>
    <col min="12805" max="12806" width="9.140625" bestFit="1" customWidth="1"/>
    <col min="12807" max="12808" width="7.85546875" bestFit="1" customWidth="1"/>
    <col min="12809" max="12809" width="7" bestFit="1" customWidth="1"/>
    <col min="12810" max="12810" width="26.7109375" customWidth="1"/>
    <col min="12811" max="12811" width="17" customWidth="1"/>
    <col min="13057" max="13057" width="7.28515625" customWidth="1"/>
    <col min="13058" max="13058" width="17.140625" customWidth="1"/>
    <col min="13059" max="13059" width="8.7109375" customWidth="1"/>
    <col min="13060" max="13060" width="8.85546875" customWidth="1"/>
    <col min="13061" max="13062" width="9.140625" bestFit="1" customWidth="1"/>
    <col min="13063" max="13064" width="7.85546875" bestFit="1" customWidth="1"/>
    <col min="13065" max="13065" width="7" bestFit="1" customWidth="1"/>
    <col min="13066" max="13066" width="26.7109375" customWidth="1"/>
    <col min="13067" max="13067" width="17" customWidth="1"/>
    <col min="13313" max="13313" width="7.28515625" customWidth="1"/>
    <col min="13314" max="13314" width="17.140625" customWidth="1"/>
    <col min="13315" max="13315" width="8.7109375" customWidth="1"/>
    <col min="13316" max="13316" width="8.85546875" customWidth="1"/>
    <col min="13317" max="13318" width="9.140625" bestFit="1" customWidth="1"/>
    <col min="13319" max="13320" width="7.85546875" bestFit="1" customWidth="1"/>
    <col min="13321" max="13321" width="7" bestFit="1" customWidth="1"/>
    <col min="13322" max="13322" width="26.7109375" customWidth="1"/>
    <col min="13323" max="13323" width="17" customWidth="1"/>
    <col min="13569" max="13569" width="7.28515625" customWidth="1"/>
    <col min="13570" max="13570" width="17.140625" customWidth="1"/>
    <col min="13571" max="13571" width="8.7109375" customWidth="1"/>
    <col min="13572" max="13572" width="8.85546875" customWidth="1"/>
    <col min="13573" max="13574" width="9.140625" bestFit="1" customWidth="1"/>
    <col min="13575" max="13576" width="7.85546875" bestFit="1" customWidth="1"/>
    <col min="13577" max="13577" width="7" bestFit="1" customWidth="1"/>
    <col min="13578" max="13578" width="26.7109375" customWidth="1"/>
    <col min="13579" max="13579" width="17" customWidth="1"/>
    <col min="13825" max="13825" width="7.28515625" customWidth="1"/>
    <col min="13826" max="13826" width="17.140625" customWidth="1"/>
    <col min="13827" max="13827" width="8.7109375" customWidth="1"/>
    <col min="13828" max="13828" width="8.85546875" customWidth="1"/>
    <col min="13829" max="13830" width="9.140625" bestFit="1" customWidth="1"/>
    <col min="13831" max="13832" width="7.85546875" bestFit="1" customWidth="1"/>
    <col min="13833" max="13833" width="7" bestFit="1" customWidth="1"/>
    <col min="13834" max="13834" width="26.7109375" customWidth="1"/>
    <col min="13835" max="13835" width="17" customWidth="1"/>
    <col min="14081" max="14081" width="7.28515625" customWidth="1"/>
    <col min="14082" max="14082" width="17.140625" customWidth="1"/>
    <col min="14083" max="14083" width="8.7109375" customWidth="1"/>
    <col min="14084" max="14084" width="8.85546875" customWidth="1"/>
    <col min="14085" max="14086" width="9.140625" bestFit="1" customWidth="1"/>
    <col min="14087" max="14088" width="7.85546875" bestFit="1" customWidth="1"/>
    <col min="14089" max="14089" width="7" bestFit="1" customWidth="1"/>
    <col min="14090" max="14090" width="26.7109375" customWidth="1"/>
    <col min="14091" max="14091" width="17" customWidth="1"/>
    <col min="14337" max="14337" width="7.28515625" customWidth="1"/>
    <col min="14338" max="14338" width="17.140625" customWidth="1"/>
    <col min="14339" max="14339" width="8.7109375" customWidth="1"/>
    <col min="14340" max="14340" width="8.85546875" customWidth="1"/>
    <col min="14341" max="14342" width="9.140625" bestFit="1" customWidth="1"/>
    <col min="14343" max="14344" width="7.85546875" bestFit="1" customWidth="1"/>
    <col min="14345" max="14345" width="7" bestFit="1" customWidth="1"/>
    <col min="14346" max="14346" width="26.7109375" customWidth="1"/>
    <col min="14347" max="14347" width="17" customWidth="1"/>
    <col min="14593" max="14593" width="7.28515625" customWidth="1"/>
    <col min="14594" max="14594" width="17.140625" customWidth="1"/>
    <col min="14595" max="14595" width="8.7109375" customWidth="1"/>
    <col min="14596" max="14596" width="8.85546875" customWidth="1"/>
    <col min="14597" max="14598" width="9.140625" bestFit="1" customWidth="1"/>
    <col min="14599" max="14600" width="7.85546875" bestFit="1" customWidth="1"/>
    <col min="14601" max="14601" width="7" bestFit="1" customWidth="1"/>
    <col min="14602" max="14602" width="26.7109375" customWidth="1"/>
    <col min="14603" max="14603" width="17" customWidth="1"/>
    <col min="14849" max="14849" width="7.28515625" customWidth="1"/>
    <col min="14850" max="14850" width="17.140625" customWidth="1"/>
    <col min="14851" max="14851" width="8.7109375" customWidth="1"/>
    <col min="14852" max="14852" width="8.85546875" customWidth="1"/>
    <col min="14853" max="14854" width="9.140625" bestFit="1" customWidth="1"/>
    <col min="14855" max="14856" width="7.85546875" bestFit="1" customWidth="1"/>
    <col min="14857" max="14857" width="7" bestFit="1" customWidth="1"/>
    <col min="14858" max="14858" width="26.7109375" customWidth="1"/>
    <col min="14859" max="14859" width="17" customWidth="1"/>
    <col min="15105" max="15105" width="7.28515625" customWidth="1"/>
    <col min="15106" max="15106" width="17.140625" customWidth="1"/>
    <col min="15107" max="15107" width="8.7109375" customWidth="1"/>
    <col min="15108" max="15108" width="8.85546875" customWidth="1"/>
    <col min="15109" max="15110" width="9.140625" bestFit="1" customWidth="1"/>
    <col min="15111" max="15112" width="7.85546875" bestFit="1" customWidth="1"/>
    <col min="15113" max="15113" width="7" bestFit="1" customWidth="1"/>
    <col min="15114" max="15114" width="26.7109375" customWidth="1"/>
    <col min="15115" max="15115" width="17" customWidth="1"/>
    <col min="15361" max="15361" width="7.28515625" customWidth="1"/>
    <col min="15362" max="15362" width="17.140625" customWidth="1"/>
    <col min="15363" max="15363" width="8.7109375" customWidth="1"/>
    <col min="15364" max="15364" width="8.85546875" customWidth="1"/>
    <col min="15365" max="15366" width="9.140625" bestFit="1" customWidth="1"/>
    <col min="15367" max="15368" width="7.85546875" bestFit="1" customWidth="1"/>
    <col min="15369" max="15369" width="7" bestFit="1" customWidth="1"/>
    <col min="15370" max="15370" width="26.7109375" customWidth="1"/>
    <col min="15371" max="15371" width="17" customWidth="1"/>
    <col min="15617" max="15617" width="7.28515625" customWidth="1"/>
    <col min="15618" max="15618" width="17.140625" customWidth="1"/>
    <col min="15619" max="15619" width="8.7109375" customWidth="1"/>
    <col min="15620" max="15620" width="8.85546875" customWidth="1"/>
    <col min="15621" max="15622" width="9.140625" bestFit="1" customWidth="1"/>
    <col min="15623" max="15624" width="7.85546875" bestFit="1" customWidth="1"/>
    <col min="15625" max="15625" width="7" bestFit="1" customWidth="1"/>
    <col min="15626" max="15626" width="26.7109375" customWidth="1"/>
    <col min="15627" max="15627" width="17" customWidth="1"/>
    <col min="15873" max="15873" width="7.28515625" customWidth="1"/>
    <col min="15874" max="15874" width="17.140625" customWidth="1"/>
    <col min="15875" max="15875" width="8.7109375" customWidth="1"/>
    <col min="15876" max="15876" width="8.85546875" customWidth="1"/>
    <col min="15877" max="15878" width="9.140625" bestFit="1" customWidth="1"/>
    <col min="15879" max="15880" width="7.85546875" bestFit="1" customWidth="1"/>
    <col min="15881" max="15881" width="7" bestFit="1" customWidth="1"/>
    <col min="15882" max="15882" width="26.7109375" customWidth="1"/>
    <col min="15883" max="15883" width="17" customWidth="1"/>
    <col min="16129" max="16129" width="7.28515625" customWidth="1"/>
    <col min="16130" max="16130" width="17.140625" customWidth="1"/>
    <col min="16131" max="16131" width="8.7109375" customWidth="1"/>
    <col min="16132" max="16132" width="8.85546875" customWidth="1"/>
    <col min="16133" max="16134" width="9.140625" bestFit="1" customWidth="1"/>
    <col min="16135" max="16136" width="7.85546875" bestFit="1" customWidth="1"/>
    <col min="16137" max="16137" width="7" bestFit="1" customWidth="1"/>
    <col min="16138" max="16138" width="26.7109375" customWidth="1"/>
    <col min="16139" max="16139" width="17" customWidth="1"/>
  </cols>
  <sheetData>
    <row r="1" spans="1:11" ht="15.75" customHeight="1">
      <c r="A1" s="1928" t="s">
        <v>0</v>
      </c>
      <c r="B1" s="1929"/>
      <c r="C1" s="1929"/>
      <c r="D1" s="1929"/>
      <c r="E1" s="1929"/>
      <c r="F1" s="1929"/>
      <c r="G1" s="1929"/>
      <c r="H1" s="1929"/>
      <c r="I1" s="1929"/>
      <c r="J1" s="1929"/>
      <c r="K1" s="1930"/>
    </row>
    <row r="2" spans="1:11">
      <c r="A2" s="1931"/>
      <c r="B2" s="1932"/>
      <c r="C2" s="1932"/>
      <c r="D2" s="1932"/>
      <c r="E2" s="1932"/>
      <c r="F2" s="1932"/>
      <c r="G2" s="1932"/>
      <c r="H2" s="1932"/>
      <c r="I2" s="1932"/>
      <c r="J2" s="1932"/>
      <c r="K2" s="1933"/>
    </row>
    <row r="3" spans="1:11" ht="15" customHeight="1">
      <c r="A3" s="1934" t="s">
        <v>1</v>
      </c>
      <c r="B3" s="1936" t="s">
        <v>2</v>
      </c>
      <c r="C3" s="1938" t="s">
        <v>3</v>
      </c>
      <c r="D3" s="1938" t="s">
        <v>4</v>
      </c>
      <c r="E3" s="1938"/>
      <c r="F3" s="1938"/>
      <c r="G3" s="1938"/>
      <c r="H3" s="1938"/>
      <c r="I3" s="1938"/>
      <c r="J3" s="1940" t="s">
        <v>5</v>
      </c>
      <c r="K3" s="1936" t="s">
        <v>6</v>
      </c>
    </row>
    <row r="4" spans="1:11" ht="36.75" customHeight="1">
      <c r="A4" s="1935"/>
      <c r="B4" s="1937"/>
      <c r="C4" s="1939"/>
      <c r="D4" s="45" t="s">
        <v>7</v>
      </c>
      <c r="E4" s="47" t="s">
        <v>8</v>
      </c>
      <c r="F4" s="46" t="s">
        <v>9</v>
      </c>
      <c r="G4" s="47" t="s">
        <v>10</v>
      </c>
      <c r="H4" s="47" t="s">
        <v>11</v>
      </c>
      <c r="I4" s="47" t="s">
        <v>12</v>
      </c>
      <c r="J4" s="1941"/>
      <c r="K4" s="1937"/>
    </row>
    <row r="5" spans="1:11" ht="15" customHeight="1">
      <c r="A5" s="1942"/>
      <c r="B5" s="1937" t="s">
        <v>13</v>
      </c>
      <c r="C5" s="1943" t="s">
        <v>14</v>
      </c>
      <c r="D5" s="48" t="s">
        <v>8</v>
      </c>
      <c r="E5" s="49">
        <f t="shared" ref="E5:E20" si="0">SUM(F5:I5)</f>
        <v>4422921.4499999993</v>
      </c>
      <c r="F5" s="49">
        <f>SUM(F6:F10)</f>
        <v>3685261.8499999996</v>
      </c>
      <c r="G5" s="49">
        <f>SUM(G6:G10)</f>
        <v>312651.09999999998</v>
      </c>
      <c r="H5" s="49">
        <f>SUM(H6:H10)</f>
        <v>389208.5</v>
      </c>
      <c r="I5" s="49">
        <f>SUM(I6:I10)</f>
        <v>35800</v>
      </c>
      <c r="J5" s="1941"/>
      <c r="K5" s="1937" t="s">
        <v>15</v>
      </c>
    </row>
    <row r="6" spans="1:11">
      <c r="A6" s="1942"/>
      <c r="B6" s="1937"/>
      <c r="C6" s="1943"/>
      <c r="D6" s="48">
        <v>2016</v>
      </c>
      <c r="E6" s="49">
        <f t="shared" si="0"/>
        <v>596162.69999999995</v>
      </c>
      <c r="F6" s="49">
        <f t="shared" ref="F6:I10" si="1">SUM(F12,F84,F210,F408)</f>
        <v>528911.6</v>
      </c>
      <c r="G6" s="49">
        <f t="shared" si="1"/>
        <v>25501.9</v>
      </c>
      <c r="H6" s="49">
        <f t="shared" si="1"/>
        <v>20949.2</v>
      </c>
      <c r="I6" s="49">
        <f t="shared" si="1"/>
        <v>20800</v>
      </c>
      <c r="J6" s="1941"/>
      <c r="K6" s="1937"/>
    </row>
    <row r="7" spans="1:11">
      <c r="A7" s="1942"/>
      <c r="B7" s="1937"/>
      <c r="C7" s="1943"/>
      <c r="D7" s="48">
        <v>2017</v>
      </c>
      <c r="E7" s="49">
        <f t="shared" si="0"/>
        <v>741436.5</v>
      </c>
      <c r="F7" s="49">
        <f t="shared" si="1"/>
        <v>622094.69999999995</v>
      </c>
      <c r="G7" s="49">
        <f t="shared" si="1"/>
        <v>37021</v>
      </c>
      <c r="H7" s="49">
        <f t="shared" si="1"/>
        <v>67320.800000000003</v>
      </c>
      <c r="I7" s="49">
        <f t="shared" si="1"/>
        <v>15000</v>
      </c>
      <c r="J7" s="1941"/>
      <c r="K7" s="1937"/>
    </row>
    <row r="8" spans="1:11">
      <c r="A8" s="1942"/>
      <c r="B8" s="1937"/>
      <c r="C8" s="1943"/>
      <c r="D8" s="48">
        <v>2018</v>
      </c>
      <c r="E8" s="49">
        <f>SUM(F8:I8)</f>
        <v>1110454.9500000002</v>
      </c>
      <c r="F8" s="49">
        <f t="shared" si="1"/>
        <v>905928.75000000012</v>
      </c>
      <c r="G8" s="49">
        <f t="shared" si="1"/>
        <v>27185.4</v>
      </c>
      <c r="H8" s="49">
        <f t="shared" si="1"/>
        <v>177340.79999999999</v>
      </c>
      <c r="I8" s="49">
        <f t="shared" si="1"/>
        <v>0</v>
      </c>
      <c r="J8" s="1941"/>
      <c r="K8" s="1937"/>
    </row>
    <row r="9" spans="1:11">
      <c r="A9" s="1942"/>
      <c r="B9" s="1937"/>
      <c r="C9" s="1943"/>
      <c r="D9" s="48">
        <v>2019</v>
      </c>
      <c r="E9" s="49">
        <f>SUM(F9:I9)</f>
        <v>1009314.6000000001</v>
      </c>
      <c r="F9" s="49">
        <f t="shared" si="1"/>
        <v>822250.50000000012</v>
      </c>
      <c r="G9" s="49">
        <f t="shared" si="1"/>
        <v>111471.4</v>
      </c>
      <c r="H9" s="49">
        <f t="shared" si="1"/>
        <v>75592.7</v>
      </c>
      <c r="I9" s="49">
        <f t="shared" si="1"/>
        <v>0</v>
      </c>
      <c r="J9" s="1941"/>
      <c r="K9" s="1937"/>
    </row>
    <row r="10" spans="1:11">
      <c r="A10" s="1942"/>
      <c r="B10" s="1937"/>
      <c r="C10" s="1943"/>
      <c r="D10" s="48">
        <v>2020</v>
      </c>
      <c r="E10" s="49">
        <f>SUM(F10:I10)</f>
        <v>965552.70000000007</v>
      </c>
      <c r="F10" s="49">
        <f t="shared" si="1"/>
        <v>806076.3</v>
      </c>
      <c r="G10" s="49">
        <f t="shared" si="1"/>
        <v>111471.4</v>
      </c>
      <c r="H10" s="49">
        <f t="shared" si="1"/>
        <v>48005</v>
      </c>
      <c r="I10" s="49">
        <f t="shared" si="1"/>
        <v>0</v>
      </c>
      <c r="J10" s="1941"/>
      <c r="K10" s="1937"/>
    </row>
    <row r="11" spans="1:11" ht="15" customHeight="1">
      <c r="A11" s="1942" t="s">
        <v>16</v>
      </c>
      <c r="B11" s="1937" t="s">
        <v>17</v>
      </c>
      <c r="C11" s="1943" t="s">
        <v>14</v>
      </c>
      <c r="D11" s="48" t="s">
        <v>8</v>
      </c>
      <c r="E11" s="49">
        <f t="shared" si="0"/>
        <v>234759.7</v>
      </c>
      <c r="F11" s="49">
        <f>SUM(F12:F16)</f>
        <v>192303.9</v>
      </c>
      <c r="G11" s="49">
        <f>SUM(G12:G16)</f>
        <v>42455.8</v>
      </c>
      <c r="H11" s="49">
        <f>SUM(H12:H16)</f>
        <v>0</v>
      </c>
      <c r="I11" s="49">
        <f>SUM(I12:I16)</f>
        <v>0</v>
      </c>
      <c r="J11" s="1941"/>
      <c r="K11" s="1937" t="s">
        <v>18</v>
      </c>
    </row>
    <row r="12" spans="1:11">
      <c r="A12" s="1942"/>
      <c r="B12" s="1937"/>
      <c r="C12" s="1943"/>
      <c r="D12" s="48">
        <v>2016</v>
      </c>
      <c r="E12" s="49">
        <f t="shared" si="0"/>
        <v>20057.099999999999</v>
      </c>
      <c r="F12" s="49">
        <f t="shared" ref="F12:I16" si="2">F18+F60</f>
        <v>12120.599999999999</v>
      </c>
      <c r="G12" s="49">
        <f t="shared" si="2"/>
        <v>7936.5</v>
      </c>
      <c r="H12" s="49">
        <f t="shared" si="2"/>
        <v>0</v>
      </c>
      <c r="I12" s="49">
        <f t="shared" si="2"/>
        <v>0</v>
      </c>
      <c r="J12" s="1941"/>
      <c r="K12" s="1937"/>
    </row>
    <row r="13" spans="1:11">
      <c r="A13" s="1942"/>
      <c r="B13" s="1937"/>
      <c r="C13" s="1943"/>
      <c r="D13" s="48">
        <v>2017</v>
      </c>
      <c r="E13" s="49">
        <f>SUM(F13:I13)</f>
        <v>29900.6</v>
      </c>
      <c r="F13" s="49">
        <f t="shared" si="2"/>
        <v>12200.599999999999</v>
      </c>
      <c r="G13" s="49">
        <f t="shared" si="2"/>
        <v>17700</v>
      </c>
      <c r="H13" s="49">
        <f t="shared" si="2"/>
        <v>0</v>
      </c>
      <c r="I13" s="49">
        <f t="shared" si="2"/>
        <v>0</v>
      </c>
      <c r="J13" s="1941"/>
      <c r="K13" s="1937"/>
    </row>
    <row r="14" spans="1:11">
      <c r="A14" s="1942"/>
      <c r="B14" s="1937"/>
      <c r="C14" s="1943"/>
      <c r="D14" s="48">
        <v>2018</v>
      </c>
      <c r="E14" s="49">
        <f t="shared" si="0"/>
        <v>81862.3</v>
      </c>
      <c r="F14" s="49">
        <f>F20+F62</f>
        <v>65043</v>
      </c>
      <c r="G14" s="49">
        <f t="shared" si="2"/>
        <v>16819.3</v>
      </c>
      <c r="H14" s="49">
        <f t="shared" si="2"/>
        <v>0</v>
      </c>
      <c r="I14" s="49">
        <f t="shared" si="2"/>
        <v>0</v>
      </c>
      <c r="J14" s="1941"/>
      <c r="K14" s="1937"/>
    </row>
    <row r="15" spans="1:11">
      <c r="A15" s="1942"/>
      <c r="B15" s="1937"/>
      <c r="C15" s="1943"/>
      <c r="D15" s="48">
        <v>2019</v>
      </c>
      <c r="E15" s="49">
        <f>SUM(F15:I15)</f>
        <v>51190.8</v>
      </c>
      <c r="F15" s="49">
        <f t="shared" si="2"/>
        <v>51190.8</v>
      </c>
      <c r="G15" s="49">
        <f t="shared" si="2"/>
        <v>0</v>
      </c>
      <c r="H15" s="49">
        <f t="shared" si="2"/>
        <v>0</v>
      </c>
      <c r="I15" s="49">
        <f t="shared" si="2"/>
        <v>0</v>
      </c>
      <c r="J15" s="1941"/>
      <c r="K15" s="1937"/>
    </row>
    <row r="16" spans="1:11">
      <c r="A16" s="1942"/>
      <c r="B16" s="1937"/>
      <c r="C16" s="1943"/>
      <c r="D16" s="48">
        <v>2020</v>
      </c>
      <c r="E16" s="49">
        <f>SUM(F16:I16)</f>
        <v>51748.9</v>
      </c>
      <c r="F16" s="49">
        <f t="shared" si="2"/>
        <v>51748.9</v>
      </c>
      <c r="G16" s="49">
        <f t="shared" si="2"/>
        <v>0</v>
      </c>
      <c r="H16" s="49">
        <f t="shared" si="2"/>
        <v>0</v>
      </c>
      <c r="I16" s="49">
        <f t="shared" si="2"/>
        <v>0</v>
      </c>
      <c r="J16" s="1941"/>
      <c r="K16" s="1937"/>
    </row>
    <row r="17" spans="1:11" ht="15" customHeight="1">
      <c r="A17" s="1942" t="s">
        <v>172</v>
      </c>
      <c r="B17" s="1944" t="s">
        <v>20</v>
      </c>
      <c r="C17" s="1943" t="s">
        <v>14</v>
      </c>
      <c r="D17" s="48" t="s">
        <v>8</v>
      </c>
      <c r="E17" s="49">
        <f t="shared" si="0"/>
        <v>193459.09999999998</v>
      </c>
      <c r="F17" s="49">
        <f>SUM(F18:F22)</f>
        <v>151962.79999999999</v>
      </c>
      <c r="G17" s="49">
        <f>SUM(G18:G22)</f>
        <v>41496.300000000003</v>
      </c>
      <c r="H17" s="49">
        <f>SUM(H18:H22)</f>
        <v>0</v>
      </c>
      <c r="I17" s="49">
        <f>SUM(I18:I22)</f>
        <v>0</v>
      </c>
      <c r="J17" s="1941" t="s">
        <v>21</v>
      </c>
      <c r="K17" s="1937" t="s">
        <v>18</v>
      </c>
    </row>
    <row r="18" spans="1:11">
      <c r="A18" s="1942"/>
      <c r="B18" s="1944"/>
      <c r="C18" s="1943"/>
      <c r="D18" s="48">
        <v>2016</v>
      </c>
      <c r="E18" s="49">
        <f t="shared" si="0"/>
        <v>15841.4</v>
      </c>
      <c r="F18" s="49">
        <f t="shared" ref="F18:I22" si="3">SUM(F24, F30, F36, F42, F48, F54)</f>
        <v>8864.4</v>
      </c>
      <c r="G18" s="49">
        <f t="shared" si="3"/>
        <v>6977</v>
      </c>
      <c r="H18" s="49">
        <f t="shared" si="3"/>
        <v>0</v>
      </c>
      <c r="I18" s="49">
        <f t="shared" si="3"/>
        <v>0</v>
      </c>
      <c r="J18" s="1941"/>
      <c r="K18" s="1937"/>
    </row>
    <row r="19" spans="1:11">
      <c r="A19" s="1942"/>
      <c r="B19" s="1944"/>
      <c r="C19" s="1943"/>
      <c r="D19" s="48">
        <v>2017</v>
      </c>
      <c r="E19" s="49">
        <f>SUM(F19:I19)</f>
        <v>27734.400000000001</v>
      </c>
      <c r="F19" s="49">
        <f t="shared" si="3"/>
        <v>10034.4</v>
      </c>
      <c r="G19" s="49">
        <f t="shared" si="3"/>
        <v>17700</v>
      </c>
      <c r="H19" s="49">
        <f t="shared" si="3"/>
        <v>0</v>
      </c>
      <c r="I19" s="49">
        <f t="shared" si="3"/>
        <v>0</v>
      </c>
      <c r="J19" s="1941"/>
      <c r="K19" s="1937"/>
    </row>
    <row r="20" spans="1:11" ht="16.5" customHeight="1">
      <c r="A20" s="1942"/>
      <c r="B20" s="1944"/>
      <c r="C20" s="1943"/>
      <c r="D20" s="48">
        <v>2018</v>
      </c>
      <c r="E20" s="49">
        <f t="shared" si="0"/>
        <v>70543.899999999994</v>
      </c>
      <c r="F20" s="49">
        <f t="shared" si="3"/>
        <v>53724.6</v>
      </c>
      <c r="G20" s="49">
        <f t="shared" si="3"/>
        <v>16819.3</v>
      </c>
      <c r="H20" s="49">
        <f t="shared" si="3"/>
        <v>0</v>
      </c>
      <c r="I20" s="49">
        <f t="shared" si="3"/>
        <v>0</v>
      </c>
      <c r="J20" s="1941"/>
      <c r="K20" s="1937"/>
    </row>
    <row r="21" spans="1:11" ht="16.5" customHeight="1">
      <c r="A21" s="1942"/>
      <c r="B21" s="1944"/>
      <c r="C21" s="1943"/>
      <c r="D21" s="48">
        <v>2019</v>
      </c>
      <c r="E21" s="49">
        <f>SUM(F21:I21)</f>
        <v>39555.1</v>
      </c>
      <c r="F21" s="49">
        <f t="shared" si="3"/>
        <v>39555.1</v>
      </c>
      <c r="G21" s="49">
        <f t="shared" si="3"/>
        <v>0</v>
      </c>
      <c r="H21" s="49">
        <f t="shared" si="3"/>
        <v>0</v>
      </c>
      <c r="I21" s="49">
        <f t="shared" si="3"/>
        <v>0</v>
      </c>
      <c r="J21" s="1941"/>
      <c r="K21" s="1937"/>
    </row>
    <row r="22" spans="1:11" ht="16.5" customHeight="1">
      <c r="A22" s="1942"/>
      <c r="B22" s="1944"/>
      <c r="C22" s="1943"/>
      <c r="D22" s="48">
        <v>2020</v>
      </c>
      <c r="E22" s="49">
        <f>SUM(F22:I22)</f>
        <v>39784.300000000003</v>
      </c>
      <c r="F22" s="49">
        <f>SUM(F28, F34, F40, F46, F52, F58)</f>
        <v>39784.300000000003</v>
      </c>
      <c r="G22" s="49">
        <f t="shared" si="3"/>
        <v>0</v>
      </c>
      <c r="H22" s="49">
        <f t="shared" si="3"/>
        <v>0</v>
      </c>
      <c r="I22" s="49">
        <f t="shared" si="3"/>
        <v>0</v>
      </c>
      <c r="J22" s="1941"/>
      <c r="K22" s="1937"/>
    </row>
    <row r="23" spans="1:11" s="2" customFormat="1" ht="16.5" customHeight="1">
      <c r="A23" s="1945" t="s">
        <v>19</v>
      </c>
      <c r="B23" s="1946" t="s">
        <v>22</v>
      </c>
      <c r="C23" s="1947" t="s">
        <v>14</v>
      </c>
      <c r="D23" s="44" t="s">
        <v>8</v>
      </c>
      <c r="E23" s="8">
        <f t="shared" ref="E23:E38" si="4">SUM(F23:I23)</f>
        <v>45144.800000000003</v>
      </c>
      <c r="F23" s="8">
        <f>SUM(F24:F28)</f>
        <v>45144.800000000003</v>
      </c>
      <c r="G23" s="8">
        <f>SUM(G24:G28)</f>
        <v>0</v>
      </c>
      <c r="H23" s="8">
        <f>SUM(H24:H28)</f>
        <v>0</v>
      </c>
      <c r="I23" s="8">
        <f>SUM(I24:I28)</f>
        <v>0</v>
      </c>
      <c r="J23" s="1948" t="s">
        <v>179</v>
      </c>
      <c r="K23" s="1949" t="s">
        <v>23</v>
      </c>
    </row>
    <row r="24" spans="1:11" s="2" customFormat="1">
      <c r="A24" s="1945"/>
      <c r="B24" s="1946"/>
      <c r="C24" s="1947"/>
      <c r="D24" s="44">
        <v>2016</v>
      </c>
      <c r="E24" s="8">
        <f t="shared" si="4"/>
        <v>4096.3999999999996</v>
      </c>
      <c r="F24" s="8">
        <v>4096.3999999999996</v>
      </c>
      <c r="G24" s="9">
        <v>0</v>
      </c>
      <c r="H24" s="9">
        <v>0</v>
      </c>
      <c r="I24" s="9">
        <v>0</v>
      </c>
      <c r="J24" s="1948"/>
      <c r="K24" s="1949"/>
    </row>
    <row r="25" spans="1:11" s="2" customFormat="1">
      <c r="A25" s="1945"/>
      <c r="B25" s="1946"/>
      <c r="C25" s="1947"/>
      <c r="D25" s="44">
        <v>2017</v>
      </c>
      <c r="E25" s="8">
        <f>SUM(F25:I25)</f>
        <v>5186.3999999999996</v>
      </c>
      <c r="F25" s="8">
        <v>5186.3999999999996</v>
      </c>
      <c r="G25" s="9">
        <v>0</v>
      </c>
      <c r="H25" s="9">
        <v>0</v>
      </c>
      <c r="I25" s="9">
        <v>0</v>
      </c>
      <c r="J25" s="1948"/>
      <c r="K25" s="1949"/>
    </row>
    <row r="26" spans="1:11" s="2" customFormat="1">
      <c r="A26" s="1945"/>
      <c r="B26" s="1946"/>
      <c r="C26" s="1947"/>
      <c r="D26" s="44">
        <v>2018</v>
      </c>
      <c r="E26" s="8">
        <f t="shared" si="4"/>
        <v>13236.8</v>
      </c>
      <c r="F26" s="8">
        <v>13236.8</v>
      </c>
      <c r="G26" s="9">
        <v>0</v>
      </c>
      <c r="H26" s="9">
        <v>0</v>
      </c>
      <c r="I26" s="9">
        <v>0</v>
      </c>
      <c r="J26" s="1948"/>
      <c r="K26" s="1949"/>
    </row>
    <row r="27" spans="1:11" s="2" customFormat="1">
      <c r="A27" s="1945"/>
      <c r="B27" s="1946"/>
      <c r="C27" s="1947"/>
      <c r="D27" s="44">
        <v>2019</v>
      </c>
      <c r="E27" s="8">
        <f>SUM(F27:I27)</f>
        <v>11198</v>
      </c>
      <c r="F27" s="8">
        <v>11198</v>
      </c>
      <c r="G27" s="9">
        <v>0</v>
      </c>
      <c r="H27" s="9">
        <v>0</v>
      </c>
      <c r="I27" s="9">
        <v>0</v>
      </c>
      <c r="J27" s="1948"/>
      <c r="K27" s="1949"/>
    </row>
    <row r="28" spans="1:11" s="2" customFormat="1">
      <c r="A28" s="1945"/>
      <c r="B28" s="1946"/>
      <c r="C28" s="1947"/>
      <c r="D28" s="44">
        <v>2020</v>
      </c>
      <c r="E28" s="8">
        <f>SUM(F28:I28)</f>
        <v>11427.2</v>
      </c>
      <c r="F28" s="8">
        <v>11427.2</v>
      </c>
      <c r="G28" s="9">
        <v>0</v>
      </c>
      <c r="H28" s="9">
        <v>0</v>
      </c>
      <c r="I28" s="9">
        <v>0</v>
      </c>
      <c r="J28" s="1948"/>
      <c r="K28" s="1949"/>
    </row>
    <row r="29" spans="1:11" s="2" customFormat="1" ht="15" customHeight="1">
      <c r="A29" s="1942" t="s">
        <v>180</v>
      </c>
      <c r="B29" s="1944" t="s">
        <v>181</v>
      </c>
      <c r="C29" s="1943" t="s">
        <v>14</v>
      </c>
      <c r="D29" s="48" t="s">
        <v>8</v>
      </c>
      <c r="E29" s="49">
        <f t="shared" si="4"/>
        <v>9090</v>
      </c>
      <c r="F29" s="49">
        <f>SUM(F30:F34)</f>
        <v>9090</v>
      </c>
      <c r="G29" s="49">
        <f>SUM(G30:G34)</f>
        <v>0</v>
      </c>
      <c r="H29" s="49">
        <f>SUM(H30:H34)</f>
        <v>0</v>
      </c>
      <c r="I29" s="49">
        <f>SUM(I30:I34)</f>
        <v>0</v>
      </c>
      <c r="J29" s="1941" t="s">
        <v>25</v>
      </c>
      <c r="K29" s="1937" t="s">
        <v>26</v>
      </c>
    </row>
    <row r="30" spans="1:11" s="2" customFormat="1">
      <c r="A30" s="1942"/>
      <c r="B30" s="1944"/>
      <c r="C30" s="1943"/>
      <c r="D30" s="48">
        <v>2016</v>
      </c>
      <c r="E30" s="49">
        <f t="shared" si="4"/>
        <v>1818</v>
      </c>
      <c r="F30" s="49">
        <v>1818</v>
      </c>
      <c r="G30" s="50">
        <v>0</v>
      </c>
      <c r="H30" s="50">
        <v>0</v>
      </c>
      <c r="I30" s="50">
        <v>0</v>
      </c>
      <c r="J30" s="1941"/>
      <c r="K30" s="1937"/>
    </row>
    <row r="31" spans="1:11" s="2" customFormat="1">
      <c r="A31" s="1942"/>
      <c r="B31" s="1944"/>
      <c r="C31" s="1943"/>
      <c r="D31" s="48">
        <v>2017</v>
      </c>
      <c r="E31" s="49">
        <f>SUM(F31:I31)</f>
        <v>1818</v>
      </c>
      <c r="F31" s="49">
        <v>1818</v>
      </c>
      <c r="G31" s="50">
        <v>0</v>
      </c>
      <c r="H31" s="50">
        <v>0</v>
      </c>
      <c r="I31" s="50">
        <v>0</v>
      </c>
      <c r="J31" s="1941"/>
      <c r="K31" s="1937"/>
    </row>
    <row r="32" spans="1:11" s="2" customFormat="1">
      <c r="A32" s="1942"/>
      <c r="B32" s="1944"/>
      <c r="C32" s="1943"/>
      <c r="D32" s="48">
        <v>2018</v>
      </c>
      <c r="E32" s="49">
        <f t="shared" si="4"/>
        <v>1818</v>
      </c>
      <c r="F32" s="49">
        <v>1818</v>
      </c>
      <c r="G32" s="50">
        <v>0</v>
      </c>
      <c r="H32" s="50">
        <v>0</v>
      </c>
      <c r="I32" s="50">
        <v>0</v>
      </c>
      <c r="J32" s="1941"/>
      <c r="K32" s="1937"/>
    </row>
    <row r="33" spans="1:11" s="2" customFormat="1">
      <c r="A33" s="1942"/>
      <c r="B33" s="1944"/>
      <c r="C33" s="1943"/>
      <c r="D33" s="48">
        <v>2019</v>
      </c>
      <c r="E33" s="49">
        <f>SUM(F33:I33)</f>
        <v>1818</v>
      </c>
      <c r="F33" s="49">
        <v>1818</v>
      </c>
      <c r="G33" s="50">
        <v>0</v>
      </c>
      <c r="H33" s="50">
        <v>0</v>
      </c>
      <c r="I33" s="50">
        <v>0</v>
      </c>
      <c r="J33" s="1941"/>
      <c r="K33" s="1937"/>
    </row>
    <row r="34" spans="1:11" s="2" customFormat="1">
      <c r="A34" s="1942"/>
      <c r="B34" s="1944"/>
      <c r="C34" s="1943"/>
      <c r="D34" s="48">
        <v>2020</v>
      </c>
      <c r="E34" s="49">
        <f>SUM(F34:I34)</f>
        <v>1818</v>
      </c>
      <c r="F34" s="49">
        <v>1818</v>
      </c>
      <c r="G34" s="50">
        <v>0</v>
      </c>
      <c r="H34" s="50">
        <v>0</v>
      </c>
      <c r="I34" s="50">
        <v>0</v>
      </c>
      <c r="J34" s="1941"/>
      <c r="K34" s="1937"/>
    </row>
    <row r="35" spans="1:11" s="2" customFormat="1" ht="13.5" customHeight="1">
      <c r="A35" s="1945" t="s">
        <v>182</v>
      </c>
      <c r="B35" s="1946" t="s">
        <v>27</v>
      </c>
      <c r="C35" s="1947" t="s">
        <v>14</v>
      </c>
      <c r="D35" s="48" t="s">
        <v>8</v>
      </c>
      <c r="E35" s="8">
        <f t="shared" si="4"/>
        <v>14250</v>
      </c>
      <c r="F35" s="8">
        <f>SUM(F36:F40)</f>
        <v>14250</v>
      </c>
      <c r="G35" s="8">
        <f>SUM(G36:G40)</f>
        <v>0</v>
      </c>
      <c r="H35" s="8">
        <f>SUM(H36:H40)</f>
        <v>0</v>
      </c>
      <c r="I35" s="8">
        <f>SUM(I36:I40)</f>
        <v>0</v>
      </c>
      <c r="J35" s="1948" t="s">
        <v>28</v>
      </c>
      <c r="K35" s="1949" t="s">
        <v>23</v>
      </c>
    </row>
    <row r="36" spans="1:11" s="2" customFormat="1" ht="13.5" customHeight="1">
      <c r="A36" s="1945"/>
      <c r="B36" s="1946"/>
      <c r="C36" s="1947"/>
      <c r="D36" s="48">
        <v>2016</v>
      </c>
      <c r="E36" s="8">
        <f t="shared" si="4"/>
        <v>2850</v>
      </c>
      <c r="F36" s="8">
        <v>2850</v>
      </c>
      <c r="G36" s="9">
        <v>0</v>
      </c>
      <c r="H36" s="9">
        <v>0</v>
      </c>
      <c r="I36" s="9">
        <v>0</v>
      </c>
      <c r="J36" s="1948"/>
      <c r="K36" s="1949"/>
    </row>
    <row r="37" spans="1:11" s="2" customFormat="1" ht="13.5" customHeight="1">
      <c r="A37" s="1945"/>
      <c r="B37" s="1946"/>
      <c r="C37" s="1947"/>
      <c r="D37" s="48">
        <v>2017</v>
      </c>
      <c r="E37" s="8">
        <f>SUM(F37:I37)</f>
        <v>2850</v>
      </c>
      <c r="F37" s="8">
        <v>2850</v>
      </c>
      <c r="G37" s="9">
        <v>0</v>
      </c>
      <c r="H37" s="9">
        <v>0</v>
      </c>
      <c r="I37" s="9">
        <v>0</v>
      </c>
      <c r="J37" s="1948"/>
      <c r="K37" s="1949"/>
    </row>
    <row r="38" spans="1:11" s="2" customFormat="1" ht="13.5" customHeight="1">
      <c r="A38" s="1945"/>
      <c r="B38" s="1946"/>
      <c r="C38" s="1947"/>
      <c r="D38" s="48">
        <v>2018</v>
      </c>
      <c r="E38" s="8">
        <f t="shared" si="4"/>
        <v>2850</v>
      </c>
      <c r="F38" s="8">
        <v>2850</v>
      </c>
      <c r="G38" s="9">
        <v>0</v>
      </c>
      <c r="H38" s="9">
        <v>0</v>
      </c>
      <c r="I38" s="9">
        <v>0</v>
      </c>
      <c r="J38" s="1948"/>
      <c r="K38" s="1949"/>
    </row>
    <row r="39" spans="1:11" s="2" customFormat="1" ht="13.5" customHeight="1">
      <c r="A39" s="1945"/>
      <c r="B39" s="1946"/>
      <c r="C39" s="1947"/>
      <c r="D39" s="48">
        <v>2019</v>
      </c>
      <c r="E39" s="8">
        <f t="shared" ref="E39:E45" si="5">SUM(F39:I39)</f>
        <v>2850</v>
      </c>
      <c r="F39" s="8">
        <v>2850</v>
      </c>
      <c r="G39" s="9">
        <v>0</v>
      </c>
      <c r="H39" s="9">
        <v>0</v>
      </c>
      <c r="I39" s="9">
        <v>0</v>
      </c>
      <c r="J39" s="1948"/>
      <c r="K39" s="1949"/>
    </row>
    <row r="40" spans="1:11" s="2" customFormat="1" ht="13.5" customHeight="1">
      <c r="A40" s="1945"/>
      <c r="B40" s="1946"/>
      <c r="C40" s="1947"/>
      <c r="D40" s="48">
        <v>2020</v>
      </c>
      <c r="E40" s="8">
        <f>SUM(F40:I40)</f>
        <v>2850</v>
      </c>
      <c r="F40" s="8">
        <v>2850</v>
      </c>
      <c r="G40" s="9">
        <v>0</v>
      </c>
      <c r="H40" s="9">
        <v>0</v>
      </c>
      <c r="I40" s="9">
        <v>0</v>
      </c>
      <c r="J40" s="1948"/>
      <c r="K40" s="1949"/>
    </row>
    <row r="41" spans="1:11" s="2" customFormat="1" ht="15.75" customHeight="1">
      <c r="A41" s="1945" t="s">
        <v>183</v>
      </c>
      <c r="B41" s="1946" t="s">
        <v>29</v>
      </c>
      <c r="C41" s="1947" t="s">
        <v>151</v>
      </c>
      <c r="D41" s="48" t="s">
        <v>8</v>
      </c>
      <c r="E41" s="8">
        <f t="shared" si="5"/>
        <v>63591.899999999994</v>
      </c>
      <c r="F41" s="8">
        <f>SUM(F42:F46)</f>
        <v>29771.3</v>
      </c>
      <c r="G41" s="8">
        <f>SUM(G42:G46)</f>
        <v>33820.6</v>
      </c>
      <c r="H41" s="8">
        <f>SUM(H42:H46)</f>
        <v>0</v>
      </c>
      <c r="I41" s="8">
        <f>SUM(I42:I46)</f>
        <v>0</v>
      </c>
      <c r="J41" s="1948" t="s">
        <v>31</v>
      </c>
      <c r="K41" s="1948" t="s">
        <v>32</v>
      </c>
    </row>
    <row r="42" spans="1:11" s="2" customFormat="1">
      <c r="A42" s="1945"/>
      <c r="B42" s="1946"/>
      <c r="C42" s="1947"/>
      <c r="D42" s="48">
        <v>2016</v>
      </c>
      <c r="E42" s="8">
        <f t="shared" si="5"/>
        <v>7077</v>
      </c>
      <c r="F42" s="9">
        <v>100</v>
      </c>
      <c r="G42" s="9">
        <v>6977</v>
      </c>
      <c r="H42" s="9">
        <v>0</v>
      </c>
      <c r="I42" s="9">
        <v>0</v>
      </c>
      <c r="J42" s="1948"/>
      <c r="K42" s="1948"/>
    </row>
    <row r="43" spans="1:11" s="2" customFormat="1">
      <c r="A43" s="1945"/>
      <c r="B43" s="1946"/>
      <c r="C43" s="1947"/>
      <c r="D43" s="48">
        <v>2017</v>
      </c>
      <c r="E43" s="8">
        <f t="shared" si="5"/>
        <v>17880</v>
      </c>
      <c r="F43" s="9">
        <v>180</v>
      </c>
      <c r="G43" s="9">
        <v>17700</v>
      </c>
      <c r="H43" s="9">
        <v>0</v>
      </c>
      <c r="I43" s="9">
        <v>0</v>
      </c>
      <c r="J43" s="1948"/>
      <c r="K43" s="1948"/>
    </row>
    <row r="44" spans="1:11" s="2" customFormat="1">
      <c r="A44" s="1945"/>
      <c r="B44" s="1946"/>
      <c r="C44" s="1947"/>
      <c r="D44" s="48">
        <v>2018</v>
      </c>
      <c r="E44" s="8">
        <f t="shared" si="5"/>
        <v>12878.3</v>
      </c>
      <c r="F44" s="9">
        <v>3734.7</v>
      </c>
      <c r="G44" s="9">
        <v>9143.6</v>
      </c>
      <c r="H44" s="9">
        <v>0</v>
      </c>
      <c r="I44" s="9">
        <v>0</v>
      </c>
      <c r="J44" s="1948"/>
      <c r="K44" s="1948"/>
    </row>
    <row r="45" spans="1:11" s="2" customFormat="1">
      <c r="A45" s="1945"/>
      <c r="B45" s="1946"/>
      <c r="C45" s="1947"/>
      <c r="D45" s="48">
        <v>2019</v>
      </c>
      <c r="E45" s="8">
        <f t="shared" si="5"/>
        <v>12878.3</v>
      </c>
      <c r="F45" s="9">
        <v>12878.3</v>
      </c>
      <c r="G45" s="9">
        <v>0</v>
      </c>
      <c r="H45" s="9">
        <v>0</v>
      </c>
      <c r="I45" s="9">
        <v>0</v>
      </c>
      <c r="J45" s="1948"/>
      <c r="K45" s="1948"/>
    </row>
    <row r="46" spans="1:11" s="2" customFormat="1">
      <c r="A46" s="1945"/>
      <c r="B46" s="1946"/>
      <c r="C46" s="1947"/>
      <c r="D46" s="48">
        <v>2020</v>
      </c>
      <c r="E46" s="8">
        <f>SUM(F46:I46)</f>
        <v>12878.3</v>
      </c>
      <c r="F46" s="9">
        <v>12878.3</v>
      </c>
      <c r="G46" s="9">
        <v>0</v>
      </c>
      <c r="H46" s="9">
        <v>0</v>
      </c>
      <c r="I46" s="9">
        <v>0</v>
      </c>
      <c r="J46" s="1948"/>
      <c r="K46" s="1948"/>
    </row>
    <row r="47" spans="1:11" s="2" customFormat="1" ht="15" customHeight="1">
      <c r="A47" s="1950" t="s">
        <v>184</v>
      </c>
      <c r="B47" s="1952" t="s">
        <v>185</v>
      </c>
      <c r="C47" s="1951" t="s">
        <v>186</v>
      </c>
      <c r="D47" s="51" t="s">
        <v>8</v>
      </c>
      <c r="E47" s="8">
        <f t="shared" ref="E47:E68" si="6">SUM(F47:I47)</f>
        <v>32432.399999999998</v>
      </c>
      <c r="F47" s="8">
        <f>SUM(F48:F52)</f>
        <v>24756.699999999997</v>
      </c>
      <c r="G47" s="8">
        <f>SUM(G48:G52)</f>
        <v>7675.7</v>
      </c>
      <c r="H47" s="8">
        <f>SUM(H48:H52)</f>
        <v>0</v>
      </c>
      <c r="I47" s="8">
        <f>SUM(I48:I52)</f>
        <v>0</v>
      </c>
      <c r="J47" s="1948" t="s">
        <v>187</v>
      </c>
      <c r="K47" s="1949" t="s">
        <v>26</v>
      </c>
    </row>
    <row r="48" spans="1:11" s="2" customFormat="1">
      <c r="A48" s="1951"/>
      <c r="B48" s="1952"/>
      <c r="C48" s="1951"/>
      <c r="D48" s="51">
        <v>2016</v>
      </c>
      <c r="E48" s="8">
        <f t="shared" si="6"/>
        <v>0</v>
      </c>
      <c r="F48" s="9">
        <v>0</v>
      </c>
      <c r="G48" s="9">
        <v>0</v>
      </c>
      <c r="H48" s="9">
        <v>0</v>
      </c>
      <c r="I48" s="9">
        <v>0</v>
      </c>
      <c r="J48" s="1948"/>
      <c r="K48" s="1949"/>
    </row>
    <row r="49" spans="1:11" s="2" customFormat="1">
      <c r="A49" s="1951"/>
      <c r="B49" s="1952"/>
      <c r="C49" s="1951"/>
      <c r="D49" s="51">
        <v>2017</v>
      </c>
      <c r="E49" s="8">
        <f t="shared" si="6"/>
        <v>0</v>
      </c>
      <c r="F49" s="9">
        <v>0</v>
      </c>
      <c r="G49" s="9">
        <v>0</v>
      </c>
      <c r="H49" s="9">
        <v>0</v>
      </c>
      <c r="I49" s="9">
        <v>0</v>
      </c>
      <c r="J49" s="1948"/>
      <c r="K49" s="1949"/>
    </row>
    <row r="50" spans="1:11" s="2" customFormat="1">
      <c r="A50" s="1951"/>
      <c r="B50" s="1952"/>
      <c r="C50" s="1951"/>
      <c r="D50" s="44">
        <v>2018</v>
      </c>
      <c r="E50" s="8">
        <f t="shared" si="6"/>
        <v>10810.8</v>
      </c>
      <c r="F50" s="9">
        <v>3135.1</v>
      </c>
      <c r="G50" s="9">
        <v>7675.7</v>
      </c>
      <c r="H50" s="9">
        <v>0</v>
      </c>
      <c r="I50" s="9">
        <v>0</v>
      </c>
      <c r="J50" s="1948"/>
      <c r="K50" s="1949"/>
    </row>
    <row r="51" spans="1:11" s="2" customFormat="1">
      <c r="A51" s="1951"/>
      <c r="B51" s="1952"/>
      <c r="C51" s="1951"/>
      <c r="D51" s="44">
        <v>2019</v>
      </c>
      <c r="E51" s="8">
        <f t="shared" si="6"/>
        <v>10810.8</v>
      </c>
      <c r="F51" s="9">
        <v>10810.8</v>
      </c>
      <c r="G51" s="9">
        <v>0</v>
      </c>
      <c r="H51" s="9">
        <v>0</v>
      </c>
      <c r="I51" s="9">
        <v>0</v>
      </c>
      <c r="J51" s="1948"/>
      <c r="K51" s="1949"/>
    </row>
    <row r="52" spans="1:11" s="2" customFormat="1">
      <c r="A52" s="1951"/>
      <c r="B52" s="1952"/>
      <c r="C52" s="1951"/>
      <c r="D52" s="44">
        <v>2020</v>
      </c>
      <c r="E52" s="8">
        <f t="shared" si="6"/>
        <v>10810.8</v>
      </c>
      <c r="F52" s="9">
        <v>10810.8</v>
      </c>
      <c r="G52" s="9">
        <v>0</v>
      </c>
      <c r="H52" s="9">
        <v>0</v>
      </c>
      <c r="I52" s="9">
        <v>0</v>
      </c>
      <c r="J52" s="1948"/>
      <c r="K52" s="1949"/>
    </row>
    <row r="53" spans="1:11" s="2" customFormat="1" ht="15" customHeight="1">
      <c r="A53" s="1950" t="s">
        <v>188</v>
      </c>
      <c r="B53" s="1952" t="s">
        <v>189</v>
      </c>
      <c r="C53" s="1951">
        <v>2018</v>
      </c>
      <c r="D53" s="51" t="s">
        <v>8</v>
      </c>
      <c r="E53" s="8">
        <f t="shared" si="6"/>
        <v>28950</v>
      </c>
      <c r="F53" s="8">
        <f>SUM(F54:F58)</f>
        <v>28950</v>
      </c>
      <c r="G53" s="8">
        <f>SUM(G54:G58)</f>
        <v>0</v>
      </c>
      <c r="H53" s="8">
        <f>SUM(H54:H58)</f>
        <v>0</v>
      </c>
      <c r="I53" s="8">
        <f>SUM(I54:I58)</f>
        <v>0</v>
      </c>
      <c r="J53" s="1948" t="s">
        <v>190</v>
      </c>
      <c r="K53" s="1949" t="s">
        <v>26</v>
      </c>
    </row>
    <row r="54" spans="1:11" s="2" customFormat="1">
      <c r="A54" s="1951"/>
      <c r="B54" s="1952"/>
      <c r="C54" s="1951"/>
      <c r="D54" s="51">
        <v>2016</v>
      </c>
      <c r="E54" s="8">
        <f t="shared" si="6"/>
        <v>0</v>
      </c>
      <c r="F54" s="9">
        <v>0</v>
      </c>
      <c r="G54" s="9">
        <v>0</v>
      </c>
      <c r="H54" s="9">
        <v>0</v>
      </c>
      <c r="I54" s="9">
        <v>0</v>
      </c>
      <c r="J54" s="1948"/>
      <c r="K54" s="1949"/>
    </row>
    <row r="55" spans="1:11" s="2" customFormat="1">
      <c r="A55" s="1951"/>
      <c r="B55" s="1952"/>
      <c r="C55" s="1951"/>
      <c r="D55" s="51">
        <v>2017</v>
      </c>
      <c r="E55" s="8">
        <f t="shared" si="6"/>
        <v>0</v>
      </c>
      <c r="F55" s="9">
        <v>0</v>
      </c>
      <c r="G55" s="9">
        <v>0</v>
      </c>
      <c r="H55" s="9">
        <v>0</v>
      </c>
      <c r="I55" s="9">
        <v>0</v>
      </c>
      <c r="J55" s="1948"/>
      <c r="K55" s="1949"/>
    </row>
    <row r="56" spans="1:11" s="2" customFormat="1">
      <c r="A56" s="1951"/>
      <c r="B56" s="1952"/>
      <c r="C56" s="1951"/>
      <c r="D56" s="44">
        <v>2018</v>
      </c>
      <c r="E56" s="8">
        <f t="shared" si="6"/>
        <v>28950</v>
      </c>
      <c r="F56" s="9">
        <v>28950</v>
      </c>
      <c r="G56" s="9">
        <v>0</v>
      </c>
      <c r="H56" s="9">
        <v>0</v>
      </c>
      <c r="I56" s="9">
        <v>0</v>
      </c>
      <c r="J56" s="1948"/>
      <c r="K56" s="1949"/>
    </row>
    <row r="57" spans="1:11" s="2" customFormat="1">
      <c r="A57" s="1951"/>
      <c r="B57" s="1952"/>
      <c r="C57" s="1951"/>
      <c r="D57" s="44">
        <v>2019</v>
      </c>
      <c r="E57" s="8">
        <f t="shared" si="6"/>
        <v>0</v>
      </c>
      <c r="F57" s="9">
        <v>0</v>
      </c>
      <c r="G57" s="9">
        <v>0</v>
      </c>
      <c r="H57" s="9">
        <v>0</v>
      </c>
      <c r="I57" s="9">
        <v>0</v>
      </c>
      <c r="J57" s="1948"/>
      <c r="K57" s="1949"/>
    </row>
    <row r="58" spans="1:11" s="2" customFormat="1">
      <c r="A58" s="1951"/>
      <c r="B58" s="1952"/>
      <c r="C58" s="1951"/>
      <c r="D58" s="44">
        <v>2020</v>
      </c>
      <c r="E58" s="8">
        <f t="shared" si="6"/>
        <v>0</v>
      </c>
      <c r="F58" s="9">
        <v>0</v>
      </c>
      <c r="G58" s="9">
        <v>0</v>
      </c>
      <c r="H58" s="9">
        <v>0</v>
      </c>
      <c r="I58" s="9">
        <v>0</v>
      </c>
      <c r="J58" s="1948"/>
      <c r="K58" s="1949"/>
    </row>
    <row r="59" spans="1:11" ht="20.100000000000001" customHeight="1">
      <c r="A59" s="1945" t="s">
        <v>173</v>
      </c>
      <c r="B59" s="1946" t="s">
        <v>34</v>
      </c>
      <c r="C59" s="1947" t="s">
        <v>14</v>
      </c>
      <c r="D59" s="48" t="s">
        <v>8</v>
      </c>
      <c r="E59" s="8">
        <f t="shared" si="6"/>
        <v>41300.6</v>
      </c>
      <c r="F59" s="8">
        <f>SUM(F60:F64)</f>
        <v>40341.1</v>
      </c>
      <c r="G59" s="8">
        <f>SUM(G60:G63)</f>
        <v>959.5</v>
      </c>
      <c r="H59" s="8">
        <f>SUM(H60:H63)</f>
        <v>0</v>
      </c>
      <c r="I59" s="8">
        <f>SUM(I60:I63)</f>
        <v>0</v>
      </c>
      <c r="J59" s="1948" t="s">
        <v>35</v>
      </c>
      <c r="K59" s="1949" t="s">
        <v>26</v>
      </c>
    </row>
    <row r="60" spans="1:11" ht="20.100000000000001" customHeight="1">
      <c r="A60" s="1945"/>
      <c r="B60" s="1946"/>
      <c r="C60" s="1947"/>
      <c r="D60" s="48">
        <v>2016</v>
      </c>
      <c r="E60" s="8">
        <f t="shared" si="6"/>
        <v>4215.7</v>
      </c>
      <c r="F60" s="8">
        <f t="shared" ref="F60:I64" si="7">F66+F72+F78</f>
        <v>3256.2</v>
      </c>
      <c r="G60" s="8">
        <f t="shared" si="7"/>
        <v>959.5</v>
      </c>
      <c r="H60" s="8">
        <f t="shared" si="7"/>
        <v>0</v>
      </c>
      <c r="I60" s="8">
        <f t="shared" si="7"/>
        <v>0</v>
      </c>
      <c r="J60" s="1948"/>
      <c r="K60" s="1949"/>
    </row>
    <row r="61" spans="1:11" ht="20.100000000000001" customHeight="1">
      <c r="A61" s="1945"/>
      <c r="B61" s="1946"/>
      <c r="C61" s="1947"/>
      <c r="D61" s="48">
        <v>2017</v>
      </c>
      <c r="E61" s="8">
        <f>SUM(F61:I61)</f>
        <v>2166.1999999999998</v>
      </c>
      <c r="F61" s="8">
        <f t="shared" si="7"/>
        <v>2166.1999999999998</v>
      </c>
      <c r="G61" s="8">
        <f t="shared" si="7"/>
        <v>0</v>
      </c>
      <c r="H61" s="8">
        <f t="shared" si="7"/>
        <v>0</v>
      </c>
      <c r="I61" s="8">
        <f t="shared" si="7"/>
        <v>0</v>
      </c>
      <c r="J61" s="1948"/>
      <c r="K61" s="1949"/>
    </row>
    <row r="62" spans="1:11" ht="20.100000000000001" customHeight="1">
      <c r="A62" s="1945"/>
      <c r="B62" s="1946"/>
      <c r="C62" s="1947"/>
      <c r="D62" s="48">
        <v>2018</v>
      </c>
      <c r="E62" s="8">
        <f t="shared" si="6"/>
        <v>11318.4</v>
      </c>
      <c r="F62" s="8">
        <f t="shared" si="7"/>
        <v>11318.4</v>
      </c>
      <c r="G62" s="8">
        <f t="shared" si="7"/>
        <v>0</v>
      </c>
      <c r="H62" s="8">
        <f t="shared" si="7"/>
        <v>0</v>
      </c>
      <c r="I62" s="8">
        <f t="shared" si="7"/>
        <v>0</v>
      </c>
      <c r="J62" s="1948"/>
      <c r="K62" s="1949"/>
    </row>
    <row r="63" spans="1:11" ht="20.100000000000001" customHeight="1">
      <c r="A63" s="1945"/>
      <c r="B63" s="1946"/>
      <c r="C63" s="1947"/>
      <c r="D63" s="48">
        <v>2019</v>
      </c>
      <c r="E63" s="8">
        <f>SUM(F63:I63)</f>
        <v>11635.7</v>
      </c>
      <c r="F63" s="8">
        <f t="shared" si="7"/>
        <v>11635.7</v>
      </c>
      <c r="G63" s="8">
        <f t="shared" si="7"/>
        <v>0</v>
      </c>
      <c r="H63" s="8">
        <f t="shared" si="7"/>
        <v>0</v>
      </c>
      <c r="I63" s="8">
        <f t="shared" si="7"/>
        <v>0</v>
      </c>
      <c r="J63" s="1948"/>
      <c r="K63" s="1949"/>
    </row>
    <row r="64" spans="1:11" ht="20.100000000000001" customHeight="1">
      <c r="A64" s="1945"/>
      <c r="B64" s="1946"/>
      <c r="C64" s="1947"/>
      <c r="D64" s="48">
        <v>2020</v>
      </c>
      <c r="E64" s="8">
        <f>SUM(F64:I64)</f>
        <v>11964.6</v>
      </c>
      <c r="F64" s="8">
        <f t="shared" si="7"/>
        <v>11964.6</v>
      </c>
      <c r="G64" s="8">
        <f t="shared" si="7"/>
        <v>0</v>
      </c>
      <c r="H64" s="8">
        <f t="shared" si="7"/>
        <v>0</v>
      </c>
      <c r="I64" s="8">
        <f t="shared" si="7"/>
        <v>0</v>
      </c>
      <c r="J64" s="1948"/>
      <c r="K64" s="1949"/>
    </row>
    <row r="65" spans="1:11" s="2" customFormat="1" ht="18.75" customHeight="1">
      <c r="A65" s="1945" t="s">
        <v>33</v>
      </c>
      <c r="B65" s="1946" t="s">
        <v>36</v>
      </c>
      <c r="C65" s="1947" t="s">
        <v>159</v>
      </c>
      <c r="D65" s="48" t="s">
        <v>8</v>
      </c>
      <c r="E65" s="8">
        <f t="shared" si="6"/>
        <v>950</v>
      </c>
      <c r="F65" s="8">
        <f>SUM(F66:F70)</f>
        <v>950</v>
      </c>
      <c r="G65" s="8">
        <f>SUM(G66:G70)</f>
        <v>0</v>
      </c>
      <c r="H65" s="8">
        <f>SUM(H66:H70)</f>
        <v>0</v>
      </c>
      <c r="I65" s="8">
        <f>SUM(I66:I70)</f>
        <v>0</v>
      </c>
      <c r="J65" s="1948" t="s">
        <v>37</v>
      </c>
      <c r="K65" s="1948" t="s">
        <v>23</v>
      </c>
    </row>
    <row r="66" spans="1:11" s="2" customFormat="1" ht="18.75" customHeight="1">
      <c r="A66" s="1945"/>
      <c r="B66" s="1946"/>
      <c r="C66" s="1947"/>
      <c r="D66" s="48">
        <v>2016</v>
      </c>
      <c r="E66" s="8">
        <f t="shared" si="6"/>
        <v>475</v>
      </c>
      <c r="F66" s="8">
        <v>475</v>
      </c>
      <c r="G66" s="9">
        <v>0</v>
      </c>
      <c r="H66" s="9">
        <v>0</v>
      </c>
      <c r="I66" s="9">
        <v>0</v>
      </c>
      <c r="J66" s="1948"/>
      <c r="K66" s="1948"/>
    </row>
    <row r="67" spans="1:11" s="2" customFormat="1" ht="18.75" customHeight="1">
      <c r="A67" s="1945"/>
      <c r="B67" s="1946"/>
      <c r="C67" s="1947"/>
      <c r="D67" s="48">
        <v>2017</v>
      </c>
      <c r="E67" s="8">
        <f>SUM(F67:I67)</f>
        <v>475</v>
      </c>
      <c r="F67" s="8">
        <v>475</v>
      </c>
      <c r="G67" s="9">
        <v>0</v>
      </c>
      <c r="H67" s="9">
        <v>0</v>
      </c>
      <c r="I67" s="9">
        <v>0</v>
      </c>
      <c r="J67" s="1948"/>
      <c r="K67" s="1948"/>
    </row>
    <row r="68" spans="1:11" s="2" customFormat="1" ht="18.75" customHeight="1">
      <c r="A68" s="1945"/>
      <c r="B68" s="1946"/>
      <c r="C68" s="1947"/>
      <c r="D68" s="48">
        <v>2018</v>
      </c>
      <c r="E68" s="8">
        <f t="shared" si="6"/>
        <v>0</v>
      </c>
      <c r="F68" s="8">
        <v>0</v>
      </c>
      <c r="G68" s="9">
        <v>0</v>
      </c>
      <c r="H68" s="9">
        <v>0</v>
      </c>
      <c r="I68" s="9">
        <v>0</v>
      </c>
      <c r="J68" s="1948"/>
      <c r="K68" s="1948"/>
    </row>
    <row r="69" spans="1:11" s="2" customFormat="1" ht="18.75" customHeight="1">
      <c r="A69" s="1945"/>
      <c r="B69" s="1946"/>
      <c r="C69" s="1947"/>
      <c r="D69" s="48">
        <v>2019</v>
      </c>
      <c r="E69" s="8">
        <f t="shared" ref="E69:E87" si="8">SUM(F69:I69)</f>
        <v>0</v>
      </c>
      <c r="F69" s="8">
        <v>0</v>
      </c>
      <c r="G69" s="9">
        <v>0</v>
      </c>
      <c r="H69" s="9">
        <v>0</v>
      </c>
      <c r="I69" s="9">
        <v>0</v>
      </c>
      <c r="J69" s="1948"/>
      <c r="K69" s="1948"/>
    </row>
    <row r="70" spans="1:11" s="2" customFormat="1" ht="18.75" customHeight="1">
      <c r="A70" s="1945"/>
      <c r="B70" s="1946"/>
      <c r="C70" s="1947"/>
      <c r="D70" s="48">
        <v>2020</v>
      </c>
      <c r="E70" s="8">
        <f>SUM(F70:I70)</f>
        <v>0</v>
      </c>
      <c r="F70" s="8">
        <v>0</v>
      </c>
      <c r="G70" s="9">
        <v>0</v>
      </c>
      <c r="H70" s="9">
        <v>0</v>
      </c>
      <c r="I70" s="9">
        <v>0</v>
      </c>
      <c r="J70" s="1948"/>
      <c r="K70" s="1948"/>
    </row>
    <row r="71" spans="1:11" s="2" customFormat="1" ht="15" customHeight="1">
      <c r="A71" s="1945" t="s">
        <v>191</v>
      </c>
      <c r="B71" s="1946" t="s">
        <v>38</v>
      </c>
      <c r="C71" s="1947">
        <v>2016</v>
      </c>
      <c r="D71" s="48" t="s">
        <v>8</v>
      </c>
      <c r="E71" s="8">
        <f t="shared" si="8"/>
        <v>3740.7</v>
      </c>
      <c r="F71" s="8">
        <f>SUM(F72:F76)</f>
        <v>2781.2</v>
      </c>
      <c r="G71" s="8">
        <f>SUM(G72:G76)</f>
        <v>959.5</v>
      </c>
      <c r="H71" s="8">
        <f>SUM(H72:H76)</f>
        <v>0</v>
      </c>
      <c r="I71" s="8">
        <f>SUM(I72:I76)</f>
        <v>0</v>
      </c>
      <c r="J71" s="1948" t="s">
        <v>192</v>
      </c>
      <c r="K71" s="1949" t="s">
        <v>39</v>
      </c>
    </row>
    <row r="72" spans="1:11" s="2" customFormat="1" ht="15" customHeight="1">
      <c r="A72" s="1945"/>
      <c r="B72" s="1946"/>
      <c r="C72" s="1947"/>
      <c r="D72" s="48">
        <v>2016</v>
      </c>
      <c r="E72" s="8">
        <f t="shared" si="8"/>
        <v>3740.7</v>
      </c>
      <c r="F72" s="8">
        <v>2781.2</v>
      </c>
      <c r="G72" s="9">
        <v>959.5</v>
      </c>
      <c r="H72" s="9">
        <v>0</v>
      </c>
      <c r="I72" s="9">
        <v>0</v>
      </c>
      <c r="J72" s="1948"/>
      <c r="K72" s="1949"/>
    </row>
    <row r="73" spans="1:11" s="2" customFormat="1" ht="15" customHeight="1">
      <c r="A73" s="1945"/>
      <c r="B73" s="1946"/>
      <c r="C73" s="1947"/>
      <c r="D73" s="48">
        <v>2017</v>
      </c>
      <c r="E73" s="8">
        <f t="shared" si="8"/>
        <v>0</v>
      </c>
      <c r="F73" s="8">
        <v>0</v>
      </c>
      <c r="G73" s="9">
        <v>0</v>
      </c>
      <c r="H73" s="9">
        <v>0</v>
      </c>
      <c r="I73" s="9">
        <v>0</v>
      </c>
      <c r="J73" s="1948"/>
      <c r="K73" s="1949"/>
    </row>
    <row r="74" spans="1:11" s="2" customFormat="1" ht="15" customHeight="1">
      <c r="A74" s="1945"/>
      <c r="B74" s="1946"/>
      <c r="C74" s="1947"/>
      <c r="D74" s="48">
        <v>2018</v>
      </c>
      <c r="E74" s="8">
        <f t="shared" si="8"/>
        <v>0</v>
      </c>
      <c r="F74" s="8">
        <v>0</v>
      </c>
      <c r="G74" s="9">
        <v>0</v>
      </c>
      <c r="H74" s="9">
        <v>0</v>
      </c>
      <c r="I74" s="9">
        <v>0</v>
      </c>
      <c r="J74" s="1948"/>
      <c r="K74" s="1949"/>
    </row>
    <row r="75" spans="1:11" s="2" customFormat="1" ht="15" customHeight="1">
      <c r="A75" s="1945"/>
      <c r="B75" s="1946"/>
      <c r="C75" s="1947"/>
      <c r="D75" s="48">
        <v>2019</v>
      </c>
      <c r="E75" s="8">
        <f t="shared" si="8"/>
        <v>0</v>
      </c>
      <c r="F75" s="8">
        <v>0</v>
      </c>
      <c r="G75" s="9">
        <v>0</v>
      </c>
      <c r="H75" s="9">
        <v>0</v>
      </c>
      <c r="I75" s="9">
        <v>0</v>
      </c>
      <c r="J75" s="1948"/>
      <c r="K75" s="1949"/>
    </row>
    <row r="76" spans="1:11" s="2" customFormat="1" ht="15" customHeight="1">
      <c r="A76" s="1945"/>
      <c r="B76" s="1946"/>
      <c r="C76" s="1947"/>
      <c r="D76" s="48">
        <v>2020</v>
      </c>
      <c r="E76" s="8">
        <f t="shared" si="8"/>
        <v>0</v>
      </c>
      <c r="F76" s="8">
        <v>0</v>
      </c>
      <c r="G76" s="9">
        <v>0</v>
      </c>
      <c r="H76" s="9">
        <v>0</v>
      </c>
      <c r="I76" s="9">
        <v>0</v>
      </c>
      <c r="J76" s="1948"/>
      <c r="K76" s="1949"/>
    </row>
    <row r="77" spans="1:11" s="2" customFormat="1" ht="18.75" customHeight="1">
      <c r="A77" s="1945" t="s">
        <v>193</v>
      </c>
      <c r="B77" s="1946" t="s">
        <v>22</v>
      </c>
      <c r="C77" s="1947" t="s">
        <v>194</v>
      </c>
      <c r="D77" s="44" t="s">
        <v>8</v>
      </c>
      <c r="E77" s="8">
        <f t="shared" si="8"/>
        <v>36609.9</v>
      </c>
      <c r="F77" s="8">
        <f>SUM(F78:F82)</f>
        <v>36609.9</v>
      </c>
      <c r="G77" s="8">
        <f>SUM(G78:G82)</f>
        <v>0</v>
      </c>
      <c r="H77" s="8">
        <f>SUM(H78:H82)</f>
        <v>0</v>
      </c>
      <c r="I77" s="8">
        <f>SUM(I78:I82)</f>
        <v>0</v>
      </c>
      <c r="J77" s="1948" t="s">
        <v>195</v>
      </c>
      <c r="K77" s="1949" t="s">
        <v>23</v>
      </c>
    </row>
    <row r="78" spans="1:11" s="2" customFormat="1" ht="18.75" customHeight="1">
      <c r="A78" s="1945"/>
      <c r="B78" s="1946"/>
      <c r="C78" s="1947"/>
      <c r="D78" s="44">
        <v>2016</v>
      </c>
      <c r="E78" s="8">
        <f t="shared" si="8"/>
        <v>0</v>
      </c>
      <c r="F78" s="8">
        <v>0</v>
      </c>
      <c r="G78" s="9">
        <v>0</v>
      </c>
      <c r="H78" s="9">
        <v>0</v>
      </c>
      <c r="I78" s="9">
        <v>0</v>
      </c>
      <c r="J78" s="1948"/>
      <c r="K78" s="1949"/>
    </row>
    <row r="79" spans="1:11" s="2" customFormat="1" ht="18.75" customHeight="1">
      <c r="A79" s="1945"/>
      <c r="B79" s="1946"/>
      <c r="C79" s="1947"/>
      <c r="D79" s="44">
        <v>2017</v>
      </c>
      <c r="E79" s="8">
        <f t="shared" si="8"/>
        <v>1691.2</v>
      </c>
      <c r="F79" s="8">
        <v>1691.2</v>
      </c>
      <c r="G79" s="9">
        <v>0</v>
      </c>
      <c r="H79" s="9">
        <v>0</v>
      </c>
      <c r="I79" s="9">
        <v>0</v>
      </c>
      <c r="J79" s="1948"/>
      <c r="K79" s="1949"/>
    </row>
    <row r="80" spans="1:11" s="2" customFormat="1" ht="18.75" customHeight="1">
      <c r="A80" s="1945"/>
      <c r="B80" s="1946"/>
      <c r="C80" s="1947"/>
      <c r="D80" s="44">
        <v>2018</v>
      </c>
      <c r="E80" s="8">
        <f t="shared" si="8"/>
        <v>11318.4</v>
      </c>
      <c r="F80" s="8">
        <v>11318.4</v>
      </c>
      <c r="G80" s="9">
        <v>0</v>
      </c>
      <c r="H80" s="9">
        <v>0</v>
      </c>
      <c r="I80" s="9">
        <v>0</v>
      </c>
      <c r="J80" s="1948"/>
      <c r="K80" s="1949"/>
    </row>
    <row r="81" spans="1:11" s="2" customFormat="1" ht="18.75" customHeight="1">
      <c r="A81" s="1945"/>
      <c r="B81" s="1946"/>
      <c r="C81" s="1947"/>
      <c r="D81" s="44">
        <v>2019</v>
      </c>
      <c r="E81" s="8">
        <f t="shared" si="8"/>
        <v>11635.7</v>
      </c>
      <c r="F81" s="8">
        <v>11635.7</v>
      </c>
      <c r="G81" s="9">
        <v>0</v>
      </c>
      <c r="H81" s="9">
        <v>0</v>
      </c>
      <c r="I81" s="9">
        <v>0</v>
      </c>
      <c r="J81" s="1948"/>
      <c r="K81" s="1949"/>
    </row>
    <row r="82" spans="1:11" s="2" customFormat="1" ht="18.75" customHeight="1">
      <c r="A82" s="1945"/>
      <c r="B82" s="1946"/>
      <c r="C82" s="1947"/>
      <c r="D82" s="44">
        <v>2020</v>
      </c>
      <c r="E82" s="8">
        <f t="shared" si="8"/>
        <v>11964.6</v>
      </c>
      <c r="F82" s="8">
        <v>11964.6</v>
      </c>
      <c r="G82" s="9">
        <v>0</v>
      </c>
      <c r="H82" s="9">
        <v>0</v>
      </c>
      <c r="I82" s="9">
        <v>0</v>
      </c>
      <c r="J82" s="1948"/>
      <c r="K82" s="1949"/>
    </row>
    <row r="83" spans="1:11" s="2" customFormat="1" ht="15" customHeight="1">
      <c r="A83" s="1945" t="s">
        <v>40</v>
      </c>
      <c r="B83" s="1948" t="s">
        <v>41</v>
      </c>
      <c r="C83" s="1947" t="s">
        <v>14</v>
      </c>
      <c r="D83" s="48" t="s">
        <v>8</v>
      </c>
      <c r="E83" s="8">
        <f t="shared" si="8"/>
        <v>2406717.8000000003</v>
      </c>
      <c r="F83" s="8">
        <f>SUM(F84:F88)</f>
        <v>2382088.3000000003</v>
      </c>
      <c r="G83" s="8">
        <f>SUM(G84:G88)</f>
        <v>24629.5</v>
      </c>
      <c r="H83" s="8">
        <f>SUM(H84:H88)</f>
        <v>0</v>
      </c>
      <c r="I83" s="8">
        <f>SUM(I84:I88)</f>
        <v>0</v>
      </c>
      <c r="J83" s="1948"/>
      <c r="K83" s="1949" t="s">
        <v>42</v>
      </c>
    </row>
    <row r="84" spans="1:11" s="2" customFormat="1">
      <c r="A84" s="1945"/>
      <c r="B84" s="1948"/>
      <c r="C84" s="1947"/>
      <c r="D84" s="48">
        <v>2016</v>
      </c>
      <c r="E84" s="8">
        <f t="shared" si="8"/>
        <v>385423.4</v>
      </c>
      <c r="F84" s="8">
        <f t="shared" ref="F84:I88" si="9">F90+F150+F180</f>
        <v>379215.5</v>
      </c>
      <c r="G84" s="8">
        <f t="shared" si="9"/>
        <v>6207.9</v>
      </c>
      <c r="H84" s="8">
        <f t="shared" si="9"/>
        <v>0</v>
      </c>
      <c r="I84" s="8">
        <f t="shared" si="9"/>
        <v>0</v>
      </c>
      <c r="J84" s="1948"/>
      <c r="K84" s="1949"/>
    </row>
    <row r="85" spans="1:11">
      <c r="A85" s="1945"/>
      <c r="B85" s="1948"/>
      <c r="C85" s="1947"/>
      <c r="D85" s="48">
        <v>2017</v>
      </c>
      <c r="E85" s="8">
        <f t="shared" si="8"/>
        <v>456261.4</v>
      </c>
      <c r="F85" s="8">
        <f t="shared" si="9"/>
        <v>448205.9</v>
      </c>
      <c r="G85" s="8">
        <f t="shared" si="9"/>
        <v>8055.5</v>
      </c>
      <c r="H85" s="8">
        <f t="shared" si="9"/>
        <v>0</v>
      </c>
      <c r="I85" s="8">
        <f t="shared" si="9"/>
        <v>0</v>
      </c>
      <c r="J85" s="1948"/>
      <c r="K85" s="1949"/>
    </row>
    <row r="86" spans="1:11">
      <c r="A86" s="1945"/>
      <c r="B86" s="1948"/>
      <c r="C86" s="1947"/>
      <c r="D86" s="48">
        <v>2018</v>
      </c>
      <c r="E86" s="8">
        <f t="shared" si="8"/>
        <v>518540.4</v>
      </c>
      <c r="F86" s="8">
        <f t="shared" si="9"/>
        <v>508174.30000000005</v>
      </c>
      <c r="G86" s="8">
        <f t="shared" si="9"/>
        <v>10366.1</v>
      </c>
      <c r="H86" s="8">
        <f t="shared" si="9"/>
        <v>0</v>
      </c>
      <c r="I86" s="8">
        <f t="shared" si="9"/>
        <v>0</v>
      </c>
      <c r="J86" s="1948"/>
      <c r="K86" s="1949"/>
    </row>
    <row r="87" spans="1:11">
      <c r="A87" s="1945"/>
      <c r="B87" s="1948"/>
      <c r="C87" s="1947"/>
      <c r="D87" s="48">
        <v>2019</v>
      </c>
      <c r="E87" s="8">
        <f t="shared" si="8"/>
        <v>517623.30000000005</v>
      </c>
      <c r="F87" s="8">
        <f t="shared" si="9"/>
        <v>517623.30000000005</v>
      </c>
      <c r="G87" s="8">
        <f t="shared" si="9"/>
        <v>0</v>
      </c>
      <c r="H87" s="8">
        <f t="shared" si="9"/>
        <v>0</v>
      </c>
      <c r="I87" s="8">
        <f t="shared" si="9"/>
        <v>0</v>
      </c>
      <c r="J87" s="1948"/>
      <c r="K87" s="1949"/>
    </row>
    <row r="88" spans="1:11">
      <c r="A88" s="1945"/>
      <c r="B88" s="1948"/>
      <c r="C88" s="1947"/>
      <c r="D88" s="48">
        <v>2020</v>
      </c>
      <c r="E88" s="8">
        <f>SUM(F88:I88)</f>
        <v>528869.30000000005</v>
      </c>
      <c r="F88" s="8">
        <f t="shared" si="9"/>
        <v>528869.30000000005</v>
      </c>
      <c r="G88" s="8">
        <f t="shared" si="9"/>
        <v>0</v>
      </c>
      <c r="H88" s="8">
        <f t="shared" si="9"/>
        <v>0</v>
      </c>
      <c r="I88" s="8">
        <f t="shared" si="9"/>
        <v>0</v>
      </c>
      <c r="J88" s="1948"/>
      <c r="K88" s="1949"/>
    </row>
    <row r="89" spans="1:11" ht="13.5" customHeight="1">
      <c r="A89" s="1945" t="s">
        <v>174</v>
      </c>
      <c r="B89" s="1946" t="s">
        <v>44</v>
      </c>
      <c r="C89" s="1947" t="s">
        <v>14</v>
      </c>
      <c r="D89" s="48" t="s">
        <v>8</v>
      </c>
      <c r="E89" s="8">
        <f>F89+G89+H89+I89</f>
        <v>516411.60000000003</v>
      </c>
      <c r="F89" s="8">
        <f>SUM(F90:F94)</f>
        <v>516411.60000000003</v>
      </c>
      <c r="G89" s="8">
        <f>SUM(G90:G94)</f>
        <v>0</v>
      </c>
      <c r="H89" s="8">
        <f>SUM(H90:H94)</f>
        <v>0</v>
      </c>
      <c r="I89" s="8">
        <f>SUM(I90:I94)</f>
        <v>0</v>
      </c>
      <c r="J89" s="1948" t="s">
        <v>45</v>
      </c>
      <c r="K89" s="1949" t="s">
        <v>18</v>
      </c>
    </row>
    <row r="90" spans="1:11" ht="13.5" customHeight="1">
      <c r="A90" s="1945"/>
      <c r="B90" s="1946"/>
      <c r="C90" s="1947"/>
      <c r="D90" s="48">
        <v>2016</v>
      </c>
      <c r="E90" s="8">
        <f t="shared" ref="E90:I94" si="10">SUM(E96+E102,E108,E114,E120,E126,E132,E138,E144)</f>
        <v>86400.5</v>
      </c>
      <c r="F90" s="8">
        <f t="shared" si="10"/>
        <v>86400.5</v>
      </c>
      <c r="G90" s="8">
        <f t="shared" si="10"/>
        <v>0</v>
      </c>
      <c r="H90" s="8">
        <f t="shared" si="10"/>
        <v>0</v>
      </c>
      <c r="I90" s="8">
        <f t="shared" si="10"/>
        <v>0</v>
      </c>
      <c r="J90" s="1948"/>
      <c r="K90" s="1949"/>
    </row>
    <row r="91" spans="1:11" ht="13.5" customHeight="1">
      <c r="A91" s="1945"/>
      <c r="B91" s="1946"/>
      <c r="C91" s="1947"/>
      <c r="D91" s="48">
        <v>2017</v>
      </c>
      <c r="E91" s="8">
        <f t="shared" si="10"/>
        <v>84336.700000000012</v>
      </c>
      <c r="F91" s="8">
        <f t="shared" si="10"/>
        <v>84336.700000000012</v>
      </c>
      <c r="G91" s="8">
        <f t="shared" si="10"/>
        <v>0</v>
      </c>
      <c r="H91" s="8">
        <f t="shared" si="10"/>
        <v>0</v>
      </c>
      <c r="I91" s="8">
        <f t="shared" si="10"/>
        <v>0</v>
      </c>
      <c r="J91" s="1948"/>
      <c r="K91" s="1949"/>
    </row>
    <row r="92" spans="1:11" ht="13.5" customHeight="1">
      <c r="A92" s="1945"/>
      <c r="B92" s="1946"/>
      <c r="C92" s="1947"/>
      <c r="D92" s="48">
        <v>2018</v>
      </c>
      <c r="E92" s="8">
        <f t="shared" si="10"/>
        <v>120731.80000000002</v>
      </c>
      <c r="F92" s="8">
        <f t="shared" si="10"/>
        <v>120731.80000000002</v>
      </c>
      <c r="G92" s="8">
        <f t="shared" si="10"/>
        <v>0</v>
      </c>
      <c r="H92" s="8">
        <f t="shared" si="10"/>
        <v>0</v>
      </c>
      <c r="I92" s="8">
        <f t="shared" si="10"/>
        <v>0</v>
      </c>
      <c r="J92" s="1948"/>
      <c r="K92" s="1949"/>
    </row>
    <row r="93" spans="1:11" ht="13.5" customHeight="1">
      <c r="A93" s="1945"/>
      <c r="B93" s="1946"/>
      <c r="C93" s="1947"/>
      <c r="D93" s="48">
        <v>2019</v>
      </c>
      <c r="E93" s="8">
        <f t="shared" si="10"/>
        <v>111993.60000000002</v>
      </c>
      <c r="F93" s="8">
        <f t="shared" si="10"/>
        <v>111993.60000000002</v>
      </c>
      <c r="G93" s="8">
        <f t="shared" si="10"/>
        <v>0</v>
      </c>
      <c r="H93" s="8">
        <f t="shared" si="10"/>
        <v>0</v>
      </c>
      <c r="I93" s="8">
        <f t="shared" si="10"/>
        <v>0</v>
      </c>
      <c r="J93" s="1948"/>
      <c r="K93" s="1949"/>
    </row>
    <row r="94" spans="1:11" ht="13.5" customHeight="1">
      <c r="A94" s="1945"/>
      <c r="B94" s="1946"/>
      <c r="C94" s="1947"/>
      <c r="D94" s="48">
        <v>2020</v>
      </c>
      <c r="E94" s="8">
        <f t="shared" si="10"/>
        <v>112949.00000000001</v>
      </c>
      <c r="F94" s="8">
        <f>SUM(F100+F106,F112,F118,F124,F130,F136,F142,F148)</f>
        <v>112949.00000000001</v>
      </c>
      <c r="G94" s="8">
        <f t="shared" si="10"/>
        <v>0</v>
      </c>
      <c r="H94" s="8">
        <f t="shared" si="10"/>
        <v>0</v>
      </c>
      <c r="I94" s="8">
        <f t="shared" si="10"/>
        <v>0</v>
      </c>
      <c r="J94" s="1948"/>
      <c r="K94" s="1949"/>
    </row>
    <row r="95" spans="1:11" s="2" customFormat="1" ht="24.95" customHeight="1">
      <c r="A95" s="1951" t="s">
        <v>43</v>
      </c>
      <c r="B95" s="1952" t="s">
        <v>22</v>
      </c>
      <c r="C95" s="1947" t="s">
        <v>14</v>
      </c>
      <c r="D95" s="44" t="s">
        <v>8</v>
      </c>
      <c r="E95" s="8">
        <f t="shared" ref="E95:E105" si="11">SUM(F95:I95)</f>
        <v>322355.7</v>
      </c>
      <c r="F95" s="8">
        <f>SUM(F96:F100)</f>
        <v>322355.7</v>
      </c>
      <c r="G95" s="8">
        <f>SUM(G96:G100)</f>
        <v>0</v>
      </c>
      <c r="H95" s="8">
        <f>SUM(H96:H100)</f>
        <v>0</v>
      </c>
      <c r="I95" s="8">
        <f>SUM(I96:I100)</f>
        <v>0</v>
      </c>
      <c r="J95" s="1948" t="s">
        <v>46</v>
      </c>
      <c r="K95" s="1953" t="s">
        <v>47</v>
      </c>
    </row>
    <row r="96" spans="1:11" s="2" customFormat="1" ht="24.95" customHeight="1">
      <c r="A96" s="1951"/>
      <c r="B96" s="1952"/>
      <c r="C96" s="1947"/>
      <c r="D96" s="44">
        <v>2016</v>
      </c>
      <c r="E96" s="8">
        <f t="shared" si="11"/>
        <v>50941.599999999999</v>
      </c>
      <c r="F96" s="9">
        <v>50941.599999999999</v>
      </c>
      <c r="G96" s="9">
        <f>[10]План!G128+[10]План!G136+[10]План!G176</f>
        <v>0</v>
      </c>
      <c r="H96" s="9">
        <f>[10]План!H128+[10]План!H136+[10]План!H176</f>
        <v>0</v>
      </c>
      <c r="I96" s="9">
        <f>[10]План!I128+[10]План!I136+[10]План!I176</f>
        <v>0</v>
      </c>
      <c r="J96" s="1948"/>
      <c r="K96" s="1953"/>
    </row>
    <row r="97" spans="1:11" s="2" customFormat="1" ht="24.95" customHeight="1">
      <c r="A97" s="1951"/>
      <c r="B97" s="1952"/>
      <c r="C97" s="1947"/>
      <c r="D97" s="44">
        <v>2017</v>
      </c>
      <c r="E97" s="8">
        <f t="shared" si="11"/>
        <v>48074.7</v>
      </c>
      <c r="F97" s="9">
        <v>48074.7</v>
      </c>
      <c r="G97" s="9">
        <f>[10]План!G129+[10]План!G137+[10]План!G177</f>
        <v>0</v>
      </c>
      <c r="H97" s="9">
        <f>[10]План!H129+[10]План!H137+[10]План!H177</f>
        <v>0</v>
      </c>
      <c r="I97" s="9">
        <f>[10]План!I129+[10]План!I137+[10]План!I177</f>
        <v>0</v>
      </c>
      <c r="J97" s="1948"/>
      <c r="K97" s="1953"/>
    </row>
    <row r="98" spans="1:11" s="2" customFormat="1" ht="24.95" customHeight="1">
      <c r="A98" s="1951"/>
      <c r="B98" s="1952"/>
      <c r="C98" s="1947"/>
      <c r="D98" s="44">
        <v>2018</v>
      </c>
      <c r="E98" s="8">
        <f t="shared" si="11"/>
        <v>73513.399999999994</v>
      </c>
      <c r="F98" s="9">
        <v>73513.399999999994</v>
      </c>
      <c r="G98" s="9">
        <f>[10]План!G130+[10]План!G138+[10]План!G178</f>
        <v>0</v>
      </c>
      <c r="H98" s="9">
        <f>[10]План!H130+[10]План!H138+[10]План!H178</f>
        <v>0</v>
      </c>
      <c r="I98" s="9">
        <f>[10]План!I130+[10]План!I138+[10]План!I178</f>
        <v>0</v>
      </c>
      <c r="J98" s="1948"/>
      <c r="K98" s="1953"/>
    </row>
    <row r="99" spans="1:11" s="2" customFormat="1" ht="24.95" customHeight="1">
      <c r="A99" s="1951"/>
      <c r="B99" s="1952"/>
      <c r="C99" s="1947"/>
      <c r="D99" s="44">
        <v>2019</v>
      </c>
      <c r="E99" s="8">
        <f t="shared" si="11"/>
        <v>74435.3</v>
      </c>
      <c r="F99" s="9">
        <v>74435.3</v>
      </c>
      <c r="G99" s="9">
        <f>[10]План!G131+[10]План!G139+[10]План!G179</f>
        <v>0</v>
      </c>
      <c r="H99" s="9">
        <f>[10]План!H131+[10]План!H139+[10]План!H179</f>
        <v>0</v>
      </c>
      <c r="I99" s="9">
        <f>[10]План!I131+[10]План!I139+[10]План!I179</f>
        <v>0</v>
      </c>
      <c r="J99" s="1948"/>
      <c r="K99" s="1953"/>
    </row>
    <row r="100" spans="1:11" s="2" customFormat="1" ht="24.95" customHeight="1">
      <c r="A100" s="1951"/>
      <c r="B100" s="1952"/>
      <c r="C100" s="1947"/>
      <c r="D100" s="44">
        <v>2020</v>
      </c>
      <c r="E100" s="8">
        <f>SUM(F100:I100)</f>
        <v>75390.7</v>
      </c>
      <c r="F100" s="9">
        <v>75390.7</v>
      </c>
      <c r="G100" s="9">
        <f>[10]План!G132+[10]План!G140+[10]План!G180</f>
        <v>0</v>
      </c>
      <c r="H100" s="9">
        <f>[10]План!H132+[10]План!H140+[10]План!H180</f>
        <v>0</v>
      </c>
      <c r="I100" s="9">
        <f>[10]План!I132+[10]План!I140+[10]План!I180</f>
        <v>0</v>
      </c>
      <c r="J100" s="1948"/>
      <c r="K100" s="1953"/>
    </row>
    <row r="101" spans="1:11" s="2" customFormat="1" ht="15" customHeight="1">
      <c r="A101" s="1945" t="s">
        <v>196</v>
      </c>
      <c r="B101" s="1946" t="s">
        <v>48</v>
      </c>
      <c r="C101" s="1947" t="s">
        <v>14</v>
      </c>
      <c r="D101" s="44" t="s">
        <v>8</v>
      </c>
      <c r="E101" s="8">
        <f t="shared" si="11"/>
        <v>67298.399999999994</v>
      </c>
      <c r="F101" s="8">
        <f>SUM(F102:F106)</f>
        <v>67298.399999999994</v>
      </c>
      <c r="G101" s="8">
        <f>SUM(G102:G106)</f>
        <v>0</v>
      </c>
      <c r="H101" s="8">
        <f>SUM(H102:H106)</f>
        <v>0</v>
      </c>
      <c r="I101" s="8">
        <f>SUM(I102:I106)</f>
        <v>0</v>
      </c>
      <c r="J101" s="1948" t="s">
        <v>49</v>
      </c>
      <c r="K101" s="1949" t="s">
        <v>23</v>
      </c>
    </row>
    <row r="102" spans="1:11" s="2" customFormat="1">
      <c r="A102" s="1945"/>
      <c r="B102" s="1946"/>
      <c r="C102" s="1947"/>
      <c r="D102" s="44">
        <v>2016</v>
      </c>
      <c r="E102" s="8">
        <f t="shared" si="11"/>
        <v>12699.3</v>
      </c>
      <c r="F102" s="8">
        <v>12699.3</v>
      </c>
      <c r="G102" s="9">
        <v>0</v>
      </c>
      <c r="H102" s="9">
        <v>0</v>
      </c>
      <c r="I102" s="9">
        <v>0</v>
      </c>
      <c r="J102" s="1948"/>
      <c r="K102" s="1949"/>
    </row>
    <row r="103" spans="1:11" s="2" customFormat="1">
      <c r="A103" s="1945"/>
      <c r="B103" s="1946"/>
      <c r="C103" s="1947"/>
      <c r="D103" s="44">
        <v>2017</v>
      </c>
      <c r="E103" s="8">
        <f t="shared" si="11"/>
        <v>12699.3</v>
      </c>
      <c r="F103" s="8">
        <v>12699.3</v>
      </c>
      <c r="G103" s="9">
        <v>0</v>
      </c>
      <c r="H103" s="9">
        <v>0</v>
      </c>
      <c r="I103" s="9">
        <v>0</v>
      </c>
      <c r="J103" s="1948"/>
      <c r="K103" s="1949"/>
    </row>
    <row r="104" spans="1:11" s="2" customFormat="1">
      <c r="A104" s="1945"/>
      <c r="B104" s="1946"/>
      <c r="C104" s="1947"/>
      <c r="D104" s="44">
        <v>2018</v>
      </c>
      <c r="E104" s="8">
        <f t="shared" si="11"/>
        <v>13966.6</v>
      </c>
      <c r="F104" s="8">
        <v>13966.6</v>
      </c>
      <c r="G104" s="9">
        <v>0</v>
      </c>
      <c r="H104" s="9">
        <v>0</v>
      </c>
      <c r="I104" s="9">
        <v>0</v>
      </c>
      <c r="J104" s="1948"/>
      <c r="K104" s="1949"/>
    </row>
    <row r="105" spans="1:11" s="2" customFormat="1">
      <c r="A105" s="1945"/>
      <c r="B105" s="1946"/>
      <c r="C105" s="1947"/>
      <c r="D105" s="44">
        <v>2019</v>
      </c>
      <c r="E105" s="8">
        <f t="shared" si="11"/>
        <v>13966.6</v>
      </c>
      <c r="F105" s="8">
        <v>13966.6</v>
      </c>
      <c r="G105" s="9">
        <v>0</v>
      </c>
      <c r="H105" s="9">
        <v>0</v>
      </c>
      <c r="I105" s="9">
        <v>0</v>
      </c>
      <c r="J105" s="1948"/>
      <c r="K105" s="1949"/>
    </row>
    <row r="106" spans="1:11" s="2" customFormat="1">
      <c r="A106" s="1945"/>
      <c r="B106" s="1946"/>
      <c r="C106" s="1947"/>
      <c r="D106" s="44">
        <v>2020</v>
      </c>
      <c r="E106" s="8">
        <f>SUM(F106:I106)</f>
        <v>13966.6</v>
      </c>
      <c r="F106" s="8">
        <v>13966.6</v>
      </c>
      <c r="G106" s="9">
        <v>0</v>
      </c>
      <c r="H106" s="9">
        <v>0</v>
      </c>
      <c r="I106" s="9">
        <v>0</v>
      </c>
      <c r="J106" s="1948"/>
      <c r="K106" s="1949"/>
    </row>
    <row r="107" spans="1:11" s="2" customFormat="1" ht="13.5" customHeight="1">
      <c r="A107" s="1945" t="s">
        <v>197</v>
      </c>
      <c r="B107" s="1952" t="s">
        <v>50</v>
      </c>
      <c r="C107" s="1947" t="s">
        <v>14</v>
      </c>
      <c r="D107" s="48" t="s">
        <v>8</v>
      </c>
      <c r="E107" s="8">
        <f t="shared" ref="E107:E141" si="12">SUM(F107:I107)</f>
        <v>2665.5</v>
      </c>
      <c r="F107" s="8">
        <f>SUM(F108:F112)</f>
        <v>2665.5</v>
      </c>
      <c r="G107" s="8">
        <f>SUM(G108:G112)</f>
        <v>0</v>
      </c>
      <c r="H107" s="8">
        <f>SUM(H108:H112)</f>
        <v>0</v>
      </c>
      <c r="I107" s="8">
        <f>SUM(I108:I112)</f>
        <v>0</v>
      </c>
      <c r="J107" s="1948" t="s">
        <v>51</v>
      </c>
      <c r="K107" s="1949" t="s">
        <v>26</v>
      </c>
    </row>
    <row r="108" spans="1:11" s="2" customFormat="1" ht="13.5" customHeight="1">
      <c r="A108" s="1945"/>
      <c r="B108" s="1952"/>
      <c r="C108" s="1947"/>
      <c r="D108" s="48">
        <v>2016</v>
      </c>
      <c r="E108" s="8">
        <f t="shared" si="12"/>
        <v>533.1</v>
      </c>
      <c r="F108" s="9">
        <v>533.1</v>
      </c>
      <c r="G108" s="9">
        <v>0</v>
      </c>
      <c r="H108" s="9">
        <v>0</v>
      </c>
      <c r="I108" s="9">
        <v>0</v>
      </c>
      <c r="J108" s="1948"/>
      <c r="K108" s="1949"/>
    </row>
    <row r="109" spans="1:11" s="2" customFormat="1" ht="13.5" customHeight="1">
      <c r="A109" s="1945"/>
      <c r="B109" s="1952"/>
      <c r="C109" s="1947"/>
      <c r="D109" s="48">
        <v>2017</v>
      </c>
      <c r="E109" s="8">
        <f>SUM(F109:I109)</f>
        <v>533.1</v>
      </c>
      <c r="F109" s="9">
        <v>533.1</v>
      </c>
      <c r="G109" s="9">
        <v>0</v>
      </c>
      <c r="H109" s="9">
        <v>0</v>
      </c>
      <c r="I109" s="9">
        <v>0</v>
      </c>
      <c r="J109" s="1948"/>
      <c r="K109" s="1949"/>
    </row>
    <row r="110" spans="1:11" s="2" customFormat="1" ht="13.5" customHeight="1">
      <c r="A110" s="1945"/>
      <c r="B110" s="1952"/>
      <c r="C110" s="1947"/>
      <c r="D110" s="48">
        <v>2018</v>
      </c>
      <c r="E110" s="8">
        <f t="shared" si="12"/>
        <v>533.1</v>
      </c>
      <c r="F110" s="9">
        <v>533.1</v>
      </c>
      <c r="G110" s="9">
        <v>0</v>
      </c>
      <c r="H110" s="9">
        <v>0</v>
      </c>
      <c r="I110" s="9">
        <v>0</v>
      </c>
      <c r="J110" s="1948"/>
      <c r="K110" s="1949"/>
    </row>
    <row r="111" spans="1:11" s="2" customFormat="1" ht="13.5" customHeight="1">
      <c r="A111" s="1945"/>
      <c r="B111" s="1952"/>
      <c r="C111" s="1947"/>
      <c r="D111" s="48">
        <v>2019</v>
      </c>
      <c r="E111" s="8">
        <f>SUM(F111:I111)</f>
        <v>533.1</v>
      </c>
      <c r="F111" s="9">
        <v>533.1</v>
      </c>
      <c r="G111" s="9">
        <v>0</v>
      </c>
      <c r="H111" s="9">
        <v>0</v>
      </c>
      <c r="I111" s="9">
        <v>0</v>
      </c>
      <c r="J111" s="1948"/>
      <c r="K111" s="1949"/>
    </row>
    <row r="112" spans="1:11" s="2" customFormat="1" ht="13.5" customHeight="1">
      <c r="A112" s="1945"/>
      <c r="B112" s="1952"/>
      <c r="C112" s="1947"/>
      <c r="D112" s="48">
        <v>2020</v>
      </c>
      <c r="E112" s="8">
        <f>SUM(F112:I112)</f>
        <v>533.1</v>
      </c>
      <c r="F112" s="9">
        <v>533.1</v>
      </c>
      <c r="G112" s="9">
        <v>0</v>
      </c>
      <c r="H112" s="9">
        <v>0</v>
      </c>
      <c r="I112" s="9">
        <v>0</v>
      </c>
      <c r="J112" s="1948"/>
      <c r="K112" s="1949"/>
    </row>
    <row r="113" spans="1:11" s="2" customFormat="1" ht="15" customHeight="1">
      <c r="A113" s="1945" t="s">
        <v>198</v>
      </c>
      <c r="B113" s="1952" t="s">
        <v>52</v>
      </c>
      <c r="C113" s="1947" t="s">
        <v>14</v>
      </c>
      <c r="D113" s="48" t="s">
        <v>8</v>
      </c>
      <c r="E113" s="8">
        <f t="shared" si="12"/>
        <v>150</v>
      </c>
      <c r="F113" s="8">
        <f>SUM(F114:F118)</f>
        <v>150</v>
      </c>
      <c r="G113" s="8">
        <f>SUM(G114:G118)</f>
        <v>0</v>
      </c>
      <c r="H113" s="8">
        <f>SUM(H114:H118)</f>
        <v>0</v>
      </c>
      <c r="I113" s="8">
        <f>SUM(I114:I118)</f>
        <v>0</v>
      </c>
      <c r="J113" s="1948" t="s">
        <v>53</v>
      </c>
      <c r="K113" s="1949" t="s">
        <v>26</v>
      </c>
    </row>
    <row r="114" spans="1:11" s="2" customFormat="1">
      <c r="A114" s="1945"/>
      <c r="B114" s="1952"/>
      <c r="C114" s="1947"/>
      <c r="D114" s="48">
        <v>2016</v>
      </c>
      <c r="E114" s="8">
        <f t="shared" si="12"/>
        <v>30</v>
      </c>
      <c r="F114" s="8">
        <v>30</v>
      </c>
      <c r="G114" s="9">
        <v>0</v>
      </c>
      <c r="H114" s="9">
        <v>0</v>
      </c>
      <c r="I114" s="9">
        <v>0</v>
      </c>
      <c r="J114" s="1948"/>
      <c r="K114" s="1949"/>
    </row>
    <row r="115" spans="1:11" s="2" customFormat="1">
      <c r="A115" s="1945"/>
      <c r="B115" s="1952"/>
      <c r="C115" s="1947"/>
      <c r="D115" s="48">
        <v>2017</v>
      </c>
      <c r="E115" s="8">
        <f>SUM(F115:I115)</f>
        <v>30</v>
      </c>
      <c r="F115" s="8">
        <v>30</v>
      </c>
      <c r="G115" s="9">
        <v>0</v>
      </c>
      <c r="H115" s="9">
        <v>0</v>
      </c>
      <c r="I115" s="9">
        <v>0</v>
      </c>
      <c r="J115" s="1948"/>
      <c r="K115" s="1949"/>
    </row>
    <row r="116" spans="1:11" s="2" customFormat="1">
      <c r="A116" s="1945"/>
      <c r="B116" s="1952"/>
      <c r="C116" s="1947"/>
      <c r="D116" s="48">
        <v>2018</v>
      </c>
      <c r="E116" s="8">
        <f t="shared" si="12"/>
        <v>30</v>
      </c>
      <c r="F116" s="8">
        <v>30</v>
      </c>
      <c r="G116" s="9">
        <v>0</v>
      </c>
      <c r="H116" s="9">
        <v>0</v>
      </c>
      <c r="I116" s="9">
        <v>0</v>
      </c>
      <c r="J116" s="1948"/>
      <c r="K116" s="1949"/>
    </row>
    <row r="117" spans="1:11" s="2" customFormat="1">
      <c r="A117" s="1945"/>
      <c r="B117" s="1952"/>
      <c r="C117" s="1947"/>
      <c r="D117" s="48">
        <v>2019</v>
      </c>
      <c r="E117" s="8">
        <f>SUM(F117:I117)</f>
        <v>30</v>
      </c>
      <c r="F117" s="8">
        <v>30</v>
      </c>
      <c r="G117" s="9">
        <v>0</v>
      </c>
      <c r="H117" s="9">
        <v>0</v>
      </c>
      <c r="I117" s="9">
        <v>0</v>
      </c>
      <c r="J117" s="1948"/>
      <c r="K117" s="1949"/>
    </row>
    <row r="118" spans="1:11" s="2" customFormat="1">
      <c r="A118" s="1945"/>
      <c r="B118" s="1952"/>
      <c r="C118" s="1947"/>
      <c r="D118" s="48">
        <v>2020</v>
      </c>
      <c r="E118" s="8">
        <f>SUM(F118:I118)</f>
        <v>30</v>
      </c>
      <c r="F118" s="8">
        <v>30</v>
      </c>
      <c r="G118" s="9">
        <v>0</v>
      </c>
      <c r="H118" s="9">
        <v>0</v>
      </c>
      <c r="I118" s="9">
        <v>0</v>
      </c>
      <c r="J118" s="1948"/>
      <c r="K118" s="1949"/>
    </row>
    <row r="119" spans="1:11" s="2" customFormat="1" ht="15" customHeight="1">
      <c r="A119" s="1945" t="s">
        <v>199</v>
      </c>
      <c r="B119" s="1946" t="s">
        <v>54</v>
      </c>
      <c r="C119" s="1947">
        <v>2016</v>
      </c>
      <c r="D119" s="48" t="s">
        <v>8</v>
      </c>
      <c r="E119" s="8">
        <f t="shared" si="12"/>
        <v>200</v>
      </c>
      <c r="F119" s="8">
        <f>SUM(F120:F124)</f>
        <v>200</v>
      </c>
      <c r="G119" s="8">
        <f>SUM(G120:G124)</f>
        <v>0</v>
      </c>
      <c r="H119" s="8">
        <f>SUM(H120:H124)</f>
        <v>0</v>
      </c>
      <c r="I119" s="8">
        <f>SUM(I120:I124)</f>
        <v>0</v>
      </c>
      <c r="J119" s="1948" t="s">
        <v>200</v>
      </c>
      <c r="K119" s="1949" t="s">
        <v>26</v>
      </c>
    </row>
    <row r="120" spans="1:11" s="2" customFormat="1">
      <c r="A120" s="1945"/>
      <c r="B120" s="1946"/>
      <c r="C120" s="1947"/>
      <c r="D120" s="48">
        <v>2016</v>
      </c>
      <c r="E120" s="8">
        <f t="shared" si="12"/>
        <v>200</v>
      </c>
      <c r="F120" s="8">
        <v>200</v>
      </c>
      <c r="G120" s="9">
        <v>0</v>
      </c>
      <c r="H120" s="9">
        <v>0</v>
      </c>
      <c r="I120" s="9">
        <v>0</v>
      </c>
      <c r="J120" s="1948"/>
      <c r="K120" s="1949"/>
    </row>
    <row r="121" spans="1:11" s="2" customFormat="1">
      <c r="A121" s="1945"/>
      <c r="B121" s="1946"/>
      <c r="C121" s="1947"/>
      <c r="D121" s="48">
        <v>2017</v>
      </c>
      <c r="E121" s="8">
        <f>SUM(F121:I121)</f>
        <v>0</v>
      </c>
      <c r="F121" s="8">
        <v>0</v>
      </c>
      <c r="G121" s="9">
        <v>0</v>
      </c>
      <c r="H121" s="9">
        <v>0</v>
      </c>
      <c r="I121" s="9">
        <v>0</v>
      </c>
      <c r="J121" s="1948"/>
      <c r="K121" s="1949"/>
    </row>
    <row r="122" spans="1:11" s="2" customFormat="1">
      <c r="A122" s="1945"/>
      <c r="B122" s="1946"/>
      <c r="C122" s="1947"/>
      <c r="D122" s="48">
        <v>2018</v>
      </c>
      <c r="E122" s="8">
        <f t="shared" si="12"/>
        <v>0</v>
      </c>
      <c r="F122" s="8">
        <v>0</v>
      </c>
      <c r="G122" s="9">
        <v>0</v>
      </c>
      <c r="H122" s="9">
        <v>0</v>
      </c>
      <c r="I122" s="9">
        <v>0</v>
      </c>
      <c r="J122" s="1948"/>
      <c r="K122" s="1949"/>
    </row>
    <row r="123" spans="1:11" s="2" customFormat="1">
      <c r="A123" s="1945"/>
      <c r="B123" s="1946"/>
      <c r="C123" s="1947"/>
      <c r="D123" s="48">
        <v>2019</v>
      </c>
      <c r="E123" s="8">
        <f>SUM(F123:I123)</f>
        <v>0</v>
      </c>
      <c r="F123" s="8">
        <v>0</v>
      </c>
      <c r="G123" s="9">
        <v>0</v>
      </c>
      <c r="H123" s="9">
        <v>0</v>
      </c>
      <c r="I123" s="9">
        <v>0</v>
      </c>
      <c r="J123" s="1948"/>
      <c r="K123" s="1949"/>
    </row>
    <row r="124" spans="1:11" s="2" customFormat="1">
      <c r="A124" s="1945"/>
      <c r="B124" s="1946"/>
      <c r="C124" s="1947"/>
      <c r="D124" s="48">
        <v>2020</v>
      </c>
      <c r="E124" s="8">
        <f>SUM(F124:I124)</f>
        <v>0</v>
      </c>
      <c r="F124" s="8">
        <v>0</v>
      </c>
      <c r="G124" s="9">
        <v>0</v>
      </c>
      <c r="H124" s="9">
        <v>0</v>
      </c>
      <c r="I124" s="9">
        <v>0</v>
      </c>
      <c r="J124" s="1948"/>
      <c r="K124" s="1949"/>
    </row>
    <row r="125" spans="1:11" s="2" customFormat="1" ht="13.5" customHeight="1">
      <c r="A125" s="1954" t="s">
        <v>201</v>
      </c>
      <c r="B125" s="1946" t="s">
        <v>55</v>
      </c>
      <c r="C125" s="1947" t="s">
        <v>14</v>
      </c>
      <c r="D125" s="44" t="s">
        <v>8</v>
      </c>
      <c r="E125" s="8">
        <f t="shared" si="12"/>
        <v>108562.5</v>
      </c>
      <c r="F125" s="8">
        <f>SUM(F126:F130)</f>
        <v>108562.5</v>
      </c>
      <c r="G125" s="8">
        <f>SUM(G126:G130)</f>
        <v>0</v>
      </c>
      <c r="H125" s="8">
        <f>SUM(H126:H130)</f>
        <v>0</v>
      </c>
      <c r="I125" s="8">
        <f>SUM(I126:I130)</f>
        <v>0</v>
      </c>
      <c r="J125" s="1948" t="s">
        <v>202</v>
      </c>
      <c r="K125" s="1949" t="s">
        <v>26</v>
      </c>
    </row>
    <row r="126" spans="1:11" s="2" customFormat="1" ht="13.5" customHeight="1">
      <c r="A126" s="1954"/>
      <c r="B126" s="1946"/>
      <c r="C126" s="1947"/>
      <c r="D126" s="44">
        <v>2016</v>
      </c>
      <c r="E126" s="8">
        <f t="shared" si="12"/>
        <v>20912.5</v>
      </c>
      <c r="F126" s="8">
        <v>20912.5</v>
      </c>
      <c r="G126" s="9">
        <v>0</v>
      </c>
      <c r="H126" s="9">
        <v>0</v>
      </c>
      <c r="I126" s="9">
        <v>0</v>
      </c>
      <c r="J126" s="1948"/>
      <c r="K126" s="1949"/>
    </row>
    <row r="127" spans="1:11" s="2" customFormat="1" ht="13.5" customHeight="1">
      <c r="A127" s="1954"/>
      <c r="B127" s="1946"/>
      <c r="C127" s="1947"/>
      <c r="D127" s="44">
        <v>2017</v>
      </c>
      <c r="E127" s="8">
        <f>SUM(F127:I127)</f>
        <v>21912.5</v>
      </c>
      <c r="F127" s="8">
        <v>21912.5</v>
      </c>
      <c r="G127" s="9">
        <v>0</v>
      </c>
      <c r="H127" s="9">
        <v>0</v>
      </c>
      <c r="I127" s="9">
        <v>0</v>
      </c>
      <c r="J127" s="1948"/>
      <c r="K127" s="1949"/>
    </row>
    <row r="128" spans="1:11" s="2" customFormat="1" ht="13.5" customHeight="1">
      <c r="A128" s="1954"/>
      <c r="B128" s="1946"/>
      <c r="C128" s="1947"/>
      <c r="D128" s="44">
        <v>2018</v>
      </c>
      <c r="E128" s="8">
        <f t="shared" si="12"/>
        <v>21912.5</v>
      </c>
      <c r="F128" s="8">
        <v>21912.5</v>
      </c>
      <c r="G128" s="9">
        <v>0</v>
      </c>
      <c r="H128" s="9">
        <v>0</v>
      </c>
      <c r="I128" s="9">
        <v>0</v>
      </c>
      <c r="J128" s="1948"/>
      <c r="K128" s="1949"/>
    </row>
    <row r="129" spans="1:11" s="2" customFormat="1" ht="13.5" customHeight="1">
      <c r="A129" s="1954"/>
      <c r="B129" s="1946"/>
      <c r="C129" s="1947"/>
      <c r="D129" s="44">
        <v>2019</v>
      </c>
      <c r="E129" s="8">
        <f>SUM(F129:I129)</f>
        <v>21912.5</v>
      </c>
      <c r="F129" s="8">
        <v>21912.5</v>
      </c>
      <c r="G129" s="9">
        <v>0</v>
      </c>
      <c r="H129" s="9">
        <v>0</v>
      </c>
      <c r="I129" s="9">
        <v>0</v>
      </c>
      <c r="J129" s="1948"/>
      <c r="K129" s="1949"/>
    </row>
    <row r="130" spans="1:11" s="2" customFormat="1" ht="13.5" customHeight="1">
      <c r="A130" s="1954"/>
      <c r="B130" s="1946"/>
      <c r="C130" s="1947"/>
      <c r="D130" s="44">
        <v>2020</v>
      </c>
      <c r="E130" s="8">
        <f>SUM(F130:I130)</f>
        <v>21912.5</v>
      </c>
      <c r="F130" s="8">
        <v>21912.5</v>
      </c>
      <c r="G130" s="9">
        <v>0</v>
      </c>
      <c r="H130" s="9">
        <v>0</v>
      </c>
      <c r="I130" s="9">
        <v>0</v>
      </c>
      <c r="J130" s="1948"/>
      <c r="K130" s="1949"/>
    </row>
    <row r="131" spans="1:11" s="2" customFormat="1" ht="15" customHeight="1">
      <c r="A131" s="1945" t="s">
        <v>203</v>
      </c>
      <c r="B131" s="1946" t="s">
        <v>56</v>
      </c>
      <c r="C131" s="1947" t="s">
        <v>14</v>
      </c>
      <c r="D131" s="48" t="s">
        <v>8</v>
      </c>
      <c r="E131" s="8">
        <f t="shared" si="12"/>
        <v>5391</v>
      </c>
      <c r="F131" s="8">
        <f>SUM(F132:F136)</f>
        <v>5391</v>
      </c>
      <c r="G131" s="8">
        <f>SUM(G132:G136)</f>
        <v>0</v>
      </c>
      <c r="H131" s="8">
        <f>SUM(H132:H136)</f>
        <v>0</v>
      </c>
      <c r="I131" s="8">
        <f>SUM(I132:I136)</f>
        <v>0</v>
      </c>
      <c r="J131" s="1948" t="s">
        <v>57</v>
      </c>
      <c r="K131" s="1949" t="s">
        <v>26</v>
      </c>
    </row>
    <row r="132" spans="1:11" s="2" customFormat="1">
      <c r="A132" s="1945"/>
      <c r="B132" s="1946"/>
      <c r="C132" s="1947"/>
      <c r="D132" s="48">
        <v>2016</v>
      </c>
      <c r="E132" s="8">
        <f t="shared" si="12"/>
        <v>1084</v>
      </c>
      <c r="F132" s="8">
        <v>1084</v>
      </c>
      <c r="G132" s="9">
        <v>0</v>
      </c>
      <c r="H132" s="9">
        <v>0</v>
      </c>
      <c r="I132" s="9">
        <v>0</v>
      </c>
      <c r="J132" s="1948"/>
      <c r="K132" s="1949"/>
    </row>
    <row r="133" spans="1:11" s="2" customFormat="1">
      <c r="A133" s="1945"/>
      <c r="B133" s="1946"/>
      <c r="C133" s="1947"/>
      <c r="D133" s="48">
        <v>2017</v>
      </c>
      <c r="E133" s="8">
        <f>SUM(F133:I133)</f>
        <v>1055</v>
      </c>
      <c r="F133" s="8">
        <v>1055</v>
      </c>
      <c r="G133" s="9">
        <v>0</v>
      </c>
      <c r="H133" s="9">
        <v>0</v>
      </c>
      <c r="I133" s="9">
        <v>0</v>
      </c>
      <c r="J133" s="1948"/>
      <c r="K133" s="1949"/>
    </row>
    <row r="134" spans="1:11" s="2" customFormat="1">
      <c r="A134" s="1945"/>
      <c r="B134" s="1946"/>
      <c r="C134" s="1947"/>
      <c r="D134" s="48">
        <v>2018</v>
      </c>
      <c r="E134" s="8">
        <f t="shared" si="12"/>
        <v>1084</v>
      </c>
      <c r="F134" s="8">
        <v>1084</v>
      </c>
      <c r="G134" s="9">
        <v>0</v>
      </c>
      <c r="H134" s="9">
        <v>0</v>
      </c>
      <c r="I134" s="9">
        <v>0</v>
      </c>
      <c r="J134" s="1948"/>
      <c r="K134" s="1949"/>
    </row>
    <row r="135" spans="1:11" s="2" customFormat="1">
      <c r="A135" s="1945"/>
      <c r="B135" s="1946"/>
      <c r="C135" s="1947"/>
      <c r="D135" s="48">
        <v>2019</v>
      </c>
      <c r="E135" s="8">
        <f t="shared" si="12"/>
        <v>1084</v>
      </c>
      <c r="F135" s="8">
        <v>1084</v>
      </c>
      <c r="G135" s="9">
        <v>0</v>
      </c>
      <c r="H135" s="9">
        <v>0</v>
      </c>
      <c r="I135" s="9">
        <v>0</v>
      </c>
      <c r="J135" s="1948"/>
      <c r="K135" s="1949"/>
    </row>
    <row r="136" spans="1:11" s="2" customFormat="1">
      <c r="A136" s="1945"/>
      <c r="B136" s="1946"/>
      <c r="C136" s="1947"/>
      <c r="D136" s="48">
        <v>2020</v>
      </c>
      <c r="E136" s="8">
        <f>SUM(F136:I136)</f>
        <v>1084</v>
      </c>
      <c r="F136" s="8">
        <v>1084</v>
      </c>
      <c r="G136" s="9">
        <v>0</v>
      </c>
      <c r="H136" s="9">
        <v>0</v>
      </c>
      <c r="I136" s="9">
        <v>0</v>
      </c>
      <c r="J136" s="1948"/>
      <c r="K136" s="1949"/>
    </row>
    <row r="137" spans="1:11" s="2" customFormat="1" ht="15" customHeight="1">
      <c r="A137" s="1945" t="s">
        <v>204</v>
      </c>
      <c r="B137" s="1946" t="s">
        <v>152</v>
      </c>
      <c r="C137" s="1947" t="s">
        <v>194</v>
      </c>
      <c r="D137" s="44" t="s">
        <v>8</v>
      </c>
      <c r="E137" s="8">
        <f t="shared" si="12"/>
        <v>128.4</v>
      </c>
      <c r="F137" s="8">
        <f>SUM(F138:F142)</f>
        <v>128.4</v>
      </c>
      <c r="G137" s="8">
        <f>SUM(G138:G142)</f>
        <v>0</v>
      </c>
      <c r="H137" s="8">
        <f>SUM(H138:H142)</f>
        <v>0</v>
      </c>
      <c r="I137" s="8">
        <f>SUM(I138:I142)</f>
        <v>0</v>
      </c>
      <c r="J137" s="1948" t="s">
        <v>153</v>
      </c>
      <c r="K137" s="1949" t="s">
        <v>154</v>
      </c>
    </row>
    <row r="138" spans="1:11" s="2" customFormat="1">
      <c r="A138" s="1945"/>
      <c r="B138" s="1946"/>
      <c r="C138" s="1947"/>
      <c r="D138" s="44">
        <v>2016</v>
      </c>
      <c r="E138" s="8">
        <f t="shared" si="12"/>
        <v>0</v>
      </c>
      <c r="F138" s="8">
        <v>0</v>
      </c>
      <c r="G138" s="9">
        <v>0</v>
      </c>
      <c r="H138" s="9">
        <v>0</v>
      </c>
      <c r="I138" s="9">
        <v>0</v>
      </c>
      <c r="J138" s="1948"/>
      <c r="K138" s="1949"/>
    </row>
    <row r="139" spans="1:11" s="2" customFormat="1">
      <c r="A139" s="1945"/>
      <c r="B139" s="1946"/>
      <c r="C139" s="1947"/>
      <c r="D139" s="44">
        <v>2017</v>
      </c>
      <c r="E139" s="8">
        <f t="shared" si="12"/>
        <v>32.1</v>
      </c>
      <c r="F139" s="8">
        <v>32.1</v>
      </c>
      <c r="G139" s="9">
        <v>0</v>
      </c>
      <c r="H139" s="9">
        <v>0</v>
      </c>
      <c r="I139" s="9">
        <v>0</v>
      </c>
      <c r="J139" s="1948"/>
      <c r="K139" s="1949"/>
    </row>
    <row r="140" spans="1:11" s="2" customFormat="1">
      <c r="A140" s="1945"/>
      <c r="B140" s="1946"/>
      <c r="C140" s="1947"/>
      <c r="D140" s="44">
        <v>2018</v>
      </c>
      <c r="E140" s="8">
        <f t="shared" si="12"/>
        <v>32.1</v>
      </c>
      <c r="F140" s="8">
        <v>32.1</v>
      </c>
      <c r="G140" s="9">
        <v>0</v>
      </c>
      <c r="H140" s="9">
        <v>0</v>
      </c>
      <c r="I140" s="9">
        <v>0</v>
      </c>
      <c r="J140" s="1948"/>
      <c r="K140" s="1949"/>
    </row>
    <row r="141" spans="1:11" s="2" customFormat="1">
      <c r="A141" s="1945"/>
      <c r="B141" s="1946"/>
      <c r="C141" s="1947"/>
      <c r="D141" s="44">
        <v>2019</v>
      </c>
      <c r="E141" s="8">
        <f t="shared" si="12"/>
        <v>32.1</v>
      </c>
      <c r="F141" s="8">
        <v>32.1</v>
      </c>
      <c r="G141" s="9">
        <v>0</v>
      </c>
      <c r="H141" s="9">
        <v>0</v>
      </c>
      <c r="I141" s="9">
        <v>0</v>
      </c>
      <c r="J141" s="1948"/>
      <c r="K141" s="1949"/>
    </row>
    <row r="142" spans="1:11" s="2" customFormat="1">
      <c r="A142" s="1945"/>
      <c r="B142" s="1946"/>
      <c r="C142" s="1947"/>
      <c r="D142" s="44">
        <v>2019</v>
      </c>
      <c r="E142" s="8">
        <f>SUM(F142:I142)</f>
        <v>32.1</v>
      </c>
      <c r="F142" s="8">
        <v>32.1</v>
      </c>
      <c r="G142" s="9">
        <v>0</v>
      </c>
      <c r="H142" s="9">
        <v>0</v>
      </c>
      <c r="I142" s="9">
        <v>0</v>
      </c>
      <c r="J142" s="1948"/>
      <c r="K142" s="1949"/>
    </row>
    <row r="143" spans="1:11" s="2" customFormat="1" ht="15" customHeight="1">
      <c r="A143" s="1945" t="s">
        <v>205</v>
      </c>
      <c r="B143" s="1946" t="s">
        <v>206</v>
      </c>
      <c r="C143" s="1947">
        <v>2018</v>
      </c>
      <c r="D143" s="44" t="s">
        <v>8</v>
      </c>
      <c r="E143" s="8">
        <f>SUM(F143:I143)</f>
        <v>9660.1</v>
      </c>
      <c r="F143" s="8">
        <f>SUM(F144:F148)</f>
        <v>9660.1</v>
      </c>
      <c r="G143" s="8">
        <f>SUM(G144:G148)</f>
        <v>0</v>
      </c>
      <c r="H143" s="8">
        <f>SUM(H144:H148)</f>
        <v>0</v>
      </c>
      <c r="I143" s="8">
        <f>SUM(I144:I148)</f>
        <v>0</v>
      </c>
      <c r="J143" s="1948" t="s">
        <v>207</v>
      </c>
      <c r="K143" s="1949" t="s">
        <v>66</v>
      </c>
    </row>
    <row r="144" spans="1:11" s="2" customFormat="1">
      <c r="A144" s="1945"/>
      <c r="B144" s="1946"/>
      <c r="C144" s="1947"/>
      <c r="D144" s="44">
        <v>2016</v>
      </c>
      <c r="E144" s="8">
        <f>SUM(F144:I144)</f>
        <v>0</v>
      </c>
      <c r="F144" s="8">
        <v>0</v>
      </c>
      <c r="G144" s="9">
        <v>0</v>
      </c>
      <c r="H144" s="9">
        <v>0</v>
      </c>
      <c r="I144" s="9">
        <v>0</v>
      </c>
      <c r="J144" s="1948"/>
      <c r="K144" s="1949"/>
    </row>
    <row r="145" spans="1:11" s="2" customFormat="1">
      <c r="A145" s="1945"/>
      <c r="B145" s="1946"/>
      <c r="C145" s="1947"/>
      <c r="D145" s="44">
        <v>2017</v>
      </c>
      <c r="E145" s="8">
        <v>0</v>
      </c>
      <c r="F145" s="8">
        <v>0</v>
      </c>
      <c r="G145" s="9">
        <v>0</v>
      </c>
      <c r="H145" s="9">
        <v>0</v>
      </c>
      <c r="I145" s="9">
        <v>0</v>
      </c>
      <c r="J145" s="1948"/>
      <c r="K145" s="1949"/>
    </row>
    <row r="146" spans="1:11" s="2" customFormat="1">
      <c r="A146" s="1945"/>
      <c r="B146" s="1946"/>
      <c r="C146" s="1947"/>
      <c r="D146" s="44">
        <v>2018</v>
      </c>
      <c r="E146" s="8">
        <f>SUM(F146:I146)</f>
        <v>9660.1</v>
      </c>
      <c r="F146" s="8">
        <v>9660.1</v>
      </c>
      <c r="G146" s="9">
        <v>0</v>
      </c>
      <c r="H146" s="9">
        <v>0</v>
      </c>
      <c r="I146" s="9">
        <v>0</v>
      </c>
      <c r="J146" s="1948"/>
      <c r="K146" s="1949"/>
    </row>
    <row r="147" spans="1:11" s="2" customFormat="1">
      <c r="A147" s="1945"/>
      <c r="B147" s="1946"/>
      <c r="C147" s="1947"/>
      <c r="D147" s="44">
        <v>2019</v>
      </c>
      <c r="E147" s="8">
        <f>SUM(F147:I147)</f>
        <v>0</v>
      </c>
      <c r="F147" s="8">
        <v>0</v>
      </c>
      <c r="G147" s="9">
        <v>0</v>
      </c>
      <c r="H147" s="9">
        <v>0</v>
      </c>
      <c r="I147" s="9">
        <v>0</v>
      </c>
      <c r="J147" s="1948"/>
      <c r="K147" s="1949"/>
    </row>
    <row r="148" spans="1:11" s="2" customFormat="1">
      <c r="A148" s="1945"/>
      <c r="B148" s="1946"/>
      <c r="C148" s="1947"/>
      <c r="D148" s="44">
        <v>2020</v>
      </c>
      <c r="E148" s="8">
        <f>SUM(F148:I148)</f>
        <v>0</v>
      </c>
      <c r="F148" s="8">
        <v>0</v>
      </c>
      <c r="G148" s="9">
        <v>0</v>
      </c>
      <c r="H148" s="9">
        <v>0</v>
      </c>
      <c r="I148" s="9">
        <v>0</v>
      </c>
      <c r="J148" s="1948"/>
      <c r="K148" s="1949"/>
    </row>
    <row r="149" spans="1:11" s="2" customFormat="1" ht="30" customHeight="1">
      <c r="A149" s="1945" t="s">
        <v>175</v>
      </c>
      <c r="B149" s="1946" t="s">
        <v>59</v>
      </c>
      <c r="C149" s="1947" t="s">
        <v>14</v>
      </c>
      <c r="D149" s="48" t="s">
        <v>8</v>
      </c>
      <c r="E149" s="8">
        <f>SUM(E150:E154)</f>
        <v>1859025.1</v>
      </c>
      <c r="F149" s="8">
        <f>F150+F151+F152+F153+F154</f>
        <v>1834395.6</v>
      </c>
      <c r="G149" s="8">
        <f>G150+G151+G152+G153+G154</f>
        <v>24629.5</v>
      </c>
      <c r="H149" s="8">
        <f>H150+H151+H152+H153+H154</f>
        <v>0</v>
      </c>
      <c r="I149" s="8">
        <f>I150+I151+I152+I153+I154</f>
        <v>0</v>
      </c>
      <c r="J149" s="1948" t="s">
        <v>60</v>
      </c>
      <c r="K149" s="1949" t="s">
        <v>18</v>
      </c>
    </row>
    <row r="150" spans="1:11" s="2" customFormat="1" ht="30" customHeight="1">
      <c r="A150" s="1945"/>
      <c r="B150" s="1946"/>
      <c r="C150" s="1947"/>
      <c r="D150" s="48">
        <v>2016</v>
      </c>
      <c r="E150" s="8">
        <f t="shared" ref="E150:E159" si="13">SUM(F150:I150)</f>
        <v>297039.60000000003</v>
      </c>
      <c r="F150" s="8">
        <f t="shared" ref="F150:I154" si="14">F156+F162+F168+F174</f>
        <v>290831.7</v>
      </c>
      <c r="G150" s="8">
        <f t="shared" si="14"/>
        <v>6207.9</v>
      </c>
      <c r="H150" s="8">
        <f t="shared" si="14"/>
        <v>0</v>
      </c>
      <c r="I150" s="8">
        <f t="shared" si="14"/>
        <v>0</v>
      </c>
      <c r="J150" s="1948"/>
      <c r="K150" s="1949"/>
    </row>
    <row r="151" spans="1:11" s="2" customFormat="1" ht="30" customHeight="1">
      <c r="A151" s="1945"/>
      <c r="B151" s="1946"/>
      <c r="C151" s="1947"/>
      <c r="D151" s="48">
        <v>2017</v>
      </c>
      <c r="E151" s="8">
        <f>SUM(F151:I151)</f>
        <v>344371.4</v>
      </c>
      <c r="F151" s="8">
        <f t="shared" si="14"/>
        <v>336315.9</v>
      </c>
      <c r="G151" s="8">
        <f t="shared" si="14"/>
        <v>8055.5</v>
      </c>
      <c r="H151" s="8">
        <f t="shared" si="14"/>
        <v>0</v>
      </c>
      <c r="I151" s="8">
        <f t="shared" si="14"/>
        <v>0</v>
      </c>
      <c r="J151" s="1948"/>
      <c r="K151" s="1949"/>
    </row>
    <row r="152" spans="1:11" s="2" customFormat="1" ht="30" customHeight="1">
      <c r="A152" s="1945"/>
      <c r="B152" s="1946"/>
      <c r="C152" s="1947"/>
      <c r="D152" s="48">
        <v>2018</v>
      </c>
      <c r="E152" s="8">
        <f t="shared" si="13"/>
        <v>397227.1</v>
      </c>
      <c r="F152" s="8">
        <f t="shared" si="14"/>
        <v>386861</v>
      </c>
      <c r="G152" s="8">
        <f t="shared" si="14"/>
        <v>10366.1</v>
      </c>
      <c r="H152" s="8">
        <f t="shared" si="14"/>
        <v>0</v>
      </c>
      <c r="I152" s="8">
        <f t="shared" si="14"/>
        <v>0</v>
      </c>
      <c r="J152" s="1948"/>
      <c r="K152" s="1949"/>
    </row>
    <row r="153" spans="1:11" s="2" customFormat="1" ht="30" customHeight="1">
      <c r="A153" s="1945"/>
      <c r="B153" s="1946"/>
      <c r="C153" s="1947"/>
      <c r="D153" s="48">
        <v>2019</v>
      </c>
      <c r="E153" s="8">
        <f>SUM(F153:I153)</f>
        <v>405048.2</v>
      </c>
      <c r="F153" s="8">
        <f t="shared" si="14"/>
        <v>405048.2</v>
      </c>
      <c r="G153" s="8">
        <f t="shared" si="14"/>
        <v>0</v>
      </c>
      <c r="H153" s="8">
        <f t="shared" si="14"/>
        <v>0</v>
      </c>
      <c r="I153" s="8">
        <f t="shared" si="14"/>
        <v>0</v>
      </c>
      <c r="J153" s="1948"/>
      <c r="K153" s="1949"/>
    </row>
    <row r="154" spans="1:11" s="2" customFormat="1" ht="30" customHeight="1">
      <c r="A154" s="1945"/>
      <c r="B154" s="1946"/>
      <c r="C154" s="1947"/>
      <c r="D154" s="48">
        <v>2020</v>
      </c>
      <c r="E154" s="8">
        <f>SUM(F154:I154)</f>
        <v>415338.8</v>
      </c>
      <c r="F154" s="8">
        <f t="shared" si="14"/>
        <v>415338.8</v>
      </c>
      <c r="G154" s="8">
        <f t="shared" si="14"/>
        <v>0</v>
      </c>
      <c r="H154" s="8">
        <f t="shared" si="14"/>
        <v>0</v>
      </c>
      <c r="I154" s="8">
        <f t="shared" si="14"/>
        <v>0</v>
      </c>
      <c r="J154" s="1948"/>
      <c r="K154" s="1949"/>
    </row>
    <row r="155" spans="1:11" s="2" customFormat="1" ht="17.100000000000001" customHeight="1">
      <c r="A155" s="1945" t="s">
        <v>58</v>
      </c>
      <c r="B155" s="1946" t="s">
        <v>22</v>
      </c>
      <c r="C155" s="1947" t="s">
        <v>14</v>
      </c>
      <c r="D155" s="44" t="s">
        <v>8</v>
      </c>
      <c r="E155" s="8">
        <f>SUM(E156:E160)</f>
        <v>1792553.1</v>
      </c>
      <c r="F155" s="8">
        <f>SUM(F156:F160)</f>
        <v>1792553.1</v>
      </c>
      <c r="G155" s="8">
        <f>SUM(G156:G159)</f>
        <v>0</v>
      </c>
      <c r="H155" s="8">
        <f>SUM(H156:H159)</f>
        <v>0</v>
      </c>
      <c r="I155" s="8">
        <f>SUM(I156:I159)</f>
        <v>0</v>
      </c>
      <c r="J155" s="1948" t="s">
        <v>155</v>
      </c>
      <c r="K155" s="1949" t="s">
        <v>61</v>
      </c>
    </row>
    <row r="156" spans="1:11" s="2" customFormat="1" ht="17.100000000000001" customHeight="1">
      <c r="A156" s="1945"/>
      <c r="B156" s="1946"/>
      <c r="C156" s="1947"/>
      <c r="D156" s="44">
        <v>2016</v>
      </c>
      <c r="E156" s="8">
        <f t="shared" si="13"/>
        <v>288974</v>
      </c>
      <c r="F156" s="9">
        <v>288974</v>
      </c>
      <c r="G156" s="9">
        <f>[10]План!G232+[10]План!G240+[10]План!G248+[10]План!G256+[10]План!G264+[10]План!G272+[10]План!G280+[10]План!G288+[10]План!G296+[10]План!G304+[10]План!G312+[10]План!G320+[10]План!G328+[10]План!G336+[10]План!G344+[10]План!G352+[10]План!G360+[10]План!G368+[10]План!G376+[10]План!G384+[10]План!G392+[10]План!G400+[10]План!G408+[10]План!G416+[10]План!G424+[10]План!G432+[10]План!G440+[10]План!G448+[10]План!G456+[10]План!G464+[10]План!G472+[10]План!G480+[10]План!G488+[10]План!G496+[10]План!G504+[10]План!G512+[10]План!G520+[10]План!G528+[10]План!G536+[10]План!G544+[10]План!G552+[10]План!G560+[10]План!G568+[10]План!G584+[10]План!G592</f>
        <v>0</v>
      </c>
      <c r="H156" s="9">
        <f>[10]План!H232+[10]План!H240+[10]План!H248+[10]План!H256+[10]План!H264+[10]План!H272+[10]План!H280+[10]План!H288+[10]План!H296+[10]План!H304+[10]План!H312+[10]План!H320+[10]План!H328+[10]План!H336+[10]План!H344+[10]План!H352+[10]План!H360+[10]План!H368+[10]План!H376+[10]План!H384+[10]План!H392+[10]План!H400+[10]План!H408+[10]План!H416+[10]План!H424+[10]План!H432+[10]План!H440+[10]План!H448+[10]План!H456+[10]План!H464+[10]План!H472+[10]План!H480+[10]План!H488+[10]План!H496+[10]План!H504+[10]План!H512+[10]План!H520+[10]План!H528+[10]План!H536+[10]План!H544+[10]План!H552+[10]План!H560+[10]План!H568+[10]План!H584+[10]План!H592</f>
        <v>0</v>
      </c>
      <c r="I156" s="9">
        <f>[10]План!I232+[10]План!I240+[10]План!I248+[10]План!I256+[10]План!I264+[10]План!I272+[10]План!I280+[10]План!I288+[10]План!I296+[10]План!I304+[10]План!I312+[10]План!I320+[10]План!I328+[10]План!I336+[10]План!I344+[10]План!I352+[10]План!I360+[10]План!I368+[10]План!I376+[10]План!I384+[10]План!I392+[10]План!I400+[10]План!I408+[10]План!I416+[10]План!I424+[10]План!I432+[10]План!I440+[10]План!I448+[10]План!I456+[10]План!I464+[10]План!I472+[10]План!I480+[10]План!I488+[10]План!I496+[10]План!I504+[10]План!I512+[10]План!I520+[10]План!I528+[10]План!I536+[10]План!I544+[10]План!I552+[10]План!I560+[10]План!I568+[10]План!I584+[10]План!I592</f>
        <v>0</v>
      </c>
      <c r="J156" s="1948"/>
      <c r="K156" s="1949"/>
    </row>
    <row r="157" spans="1:11" s="2" customFormat="1" ht="17.100000000000001" customHeight="1">
      <c r="A157" s="1945"/>
      <c r="B157" s="1946"/>
      <c r="C157" s="1947"/>
      <c r="D157" s="44">
        <v>2017</v>
      </c>
      <c r="E157" s="8">
        <f>SUM(F157:I157)</f>
        <v>334047.40000000002</v>
      </c>
      <c r="F157" s="9">
        <v>334047.40000000002</v>
      </c>
      <c r="G157" s="9">
        <f>[10]План!G233+[10]План!G241+[10]План!G249+[10]План!G257+[10]План!G265+[10]План!G273+[10]План!G281+[10]План!G289+[10]План!G297+[10]План!G305+[10]План!G313+[10]План!G321+[10]План!G329+[10]План!G337+[10]План!G345+[10]План!G353+[10]План!G361+[10]План!G369+[10]План!G377+[10]План!G385+[10]План!G393+[10]План!G401+[10]План!G409+[10]План!G417+[10]План!G425+[10]План!G433+[10]План!G441+[10]План!G449+[10]План!G457+[10]План!G465+[10]План!G473+[10]План!G481+[10]План!G489+[10]План!G497+[10]План!G505+[10]План!G513+[10]План!G521+[10]План!G529+[10]План!G537+[10]План!G545+[10]План!G553+[10]План!G561+[10]План!G569+[10]План!G585+[10]План!G593</f>
        <v>0</v>
      </c>
      <c r="H157" s="9">
        <f>[10]План!H233+[10]План!H241+[10]План!H249+[10]План!H257+[10]План!H265+[10]План!H273+[10]План!H281+[10]План!H289+[10]План!H297+[10]План!H305+[10]План!H313+[10]План!H321+[10]План!H329+[10]План!H337+[10]План!H345+[10]План!H353+[10]План!H361+[10]План!H369+[10]План!H377+[10]План!H385+[10]План!H393+[10]План!H401+[10]План!H409+[10]План!H417+[10]План!H425+[10]План!H433+[10]План!H441+[10]План!H449+[10]План!H457+[10]План!H465+[10]План!H473+[10]План!H481+[10]План!H489+[10]План!H497+[10]План!H505+[10]План!H513+[10]План!H521+[10]План!H529+[10]План!H537+[10]План!H545+[10]План!H553+[10]План!H561+[10]План!H569+[10]План!H585+[10]План!H593</f>
        <v>0</v>
      </c>
      <c r="I157" s="9">
        <f>[10]План!I233+[10]План!I241+[10]План!I249+[10]План!I257+[10]План!I265+[10]План!I273+[10]План!I281+[10]План!I289+[10]План!I297+[10]План!I305+[10]План!I313+[10]План!I321+[10]План!I329+[10]План!I337+[10]План!I345+[10]План!I353+[10]План!I361+[10]План!I369+[10]План!I377+[10]План!I385+[10]План!I393+[10]План!I401+[10]План!I409+[10]План!I417+[10]План!I425+[10]План!I433+[10]План!I441+[10]План!I449+[10]План!I457+[10]План!I465+[10]План!I473+[10]План!I481+[10]План!I489+[10]План!I497+[10]План!I505+[10]План!I513+[10]План!I521+[10]План!I529+[10]План!I537+[10]План!I545+[10]План!I553+[10]План!I561+[10]План!I569+[10]План!I585+[10]План!I593</f>
        <v>0</v>
      </c>
      <c r="J157" s="1948"/>
      <c r="K157" s="1949"/>
    </row>
    <row r="158" spans="1:11" s="2" customFormat="1" ht="17.100000000000001" customHeight="1">
      <c r="A158" s="1945"/>
      <c r="B158" s="1946"/>
      <c r="C158" s="1947"/>
      <c r="D158" s="44">
        <v>2018</v>
      </c>
      <c r="E158" s="8">
        <f t="shared" si="13"/>
        <v>380854.7</v>
      </c>
      <c r="F158" s="9">
        <v>380854.7</v>
      </c>
      <c r="G158" s="9">
        <f>[10]План!G234+[10]План!G242+[10]План!G250+[10]План!G258+[10]План!G266+[10]План!G274+[10]План!G282+[10]План!G290+[10]План!G298+[10]План!G306+[10]План!G314+[10]План!G322+[10]План!G330+[10]План!G338+[10]План!G346+[10]План!G354+[10]План!G362+[10]План!G370+[10]План!G378+[10]План!G386+[10]План!G394+[10]План!G402+[10]План!G410+[10]План!G418+[10]План!G426+[10]План!G434+[10]План!G442+[10]План!G450+[10]План!G458+[10]План!G466+[10]План!G474+[10]План!G482+[10]План!G490+[10]План!G498+[10]План!G506+[10]План!G514+[10]План!G522+[10]План!G530+[10]План!G538+[10]План!G546+[10]План!G554+[10]План!G562+[10]План!G570+[10]План!G586+[10]План!G594</f>
        <v>0</v>
      </c>
      <c r="H158" s="9">
        <f>[10]План!H234+[10]План!H242+[10]План!H250+[10]План!H258+[10]План!H266+[10]План!H274+[10]План!H282+[10]План!H290+[10]План!H298+[10]План!H306+[10]План!H314+[10]План!H322+[10]План!H330+[10]План!H338+[10]План!H346+[10]План!H354+[10]План!H362+[10]План!H370+[10]План!H378+[10]План!H386+[10]План!H394+[10]План!H402+[10]План!H410+[10]План!H418+[10]План!H426+[10]План!H434+[10]План!H442+[10]План!H450+[10]План!H458+[10]План!H466+[10]План!H474+[10]План!H482+[10]План!H490+[10]План!H498+[10]План!H506+[10]План!H514+[10]План!H522+[10]План!H530+[10]План!H538+[10]План!H546+[10]План!H554+[10]План!H562+[10]План!H570+[10]План!H586+[10]План!H594</f>
        <v>0</v>
      </c>
      <c r="I158" s="9">
        <f>[10]План!I234+[10]План!I242+[10]План!I250+[10]План!I258+[10]План!I266+[10]План!I274+[10]План!I282+[10]План!I290+[10]План!I298+[10]План!I306+[10]План!I314+[10]План!I322+[10]План!I330+[10]План!I338+[10]План!I346+[10]План!I354+[10]План!I362+[10]План!I370+[10]План!I378+[10]План!I386+[10]План!I394+[10]План!I402+[10]План!I410+[10]План!I418+[10]План!I426+[10]План!I434+[10]План!I442+[10]План!I450+[10]План!I458+[10]План!I466+[10]План!I474+[10]План!I482+[10]План!I490+[10]План!I498+[10]План!I506+[10]План!I514+[10]План!I522+[10]План!I530+[10]План!I538+[10]План!I546+[10]План!I554+[10]План!I562+[10]План!I570+[10]План!I586+[10]План!I594</f>
        <v>0</v>
      </c>
      <c r="J158" s="1948"/>
      <c r="K158" s="1949"/>
    </row>
    <row r="159" spans="1:11" s="2" customFormat="1" ht="17.100000000000001" customHeight="1">
      <c r="A159" s="1945"/>
      <c r="B159" s="1946"/>
      <c r="C159" s="1947"/>
      <c r="D159" s="44">
        <v>2019</v>
      </c>
      <c r="E159" s="8">
        <f t="shared" si="13"/>
        <v>389193.2</v>
      </c>
      <c r="F159" s="9">
        <v>389193.2</v>
      </c>
      <c r="G159" s="9">
        <v>0</v>
      </c>
      <c r="H159" s="9">
        <v>0</v>
      </c>
      <c r="I159" s="9">
        <v>0</v>
      </c>
      <c r="J159" s="1948"/>
      <c r="K159" s="1949"/>
    </row>
    <row r="160" spans="1:11" s="2" customFormat="1" ht="17.100000000000001" customHeight="1">
      <c r="A160" s="1945"/>
      <c r="B160" s="1946"/>
      <c r="C160" s="1947"/>
      <c r="D160" s="44">
        <v>2020</v>
      </c>
      <c r="E160" s="8">
        <f>SUM(F160:I160)</f>
        <v>399483.8</v>
      </c>
      <c r="F160" s="9">
        <v>399483.8</v>
      </c>
      <c r="G160" s="9">
        <v>0</v>
      </c>
      <c r="H160" s="9">
        <v>0</v>
      </c>
      <c r="I160" s="9">
        <v>0</v>
      </c>
      <c r="J160" s="1948"/>
      <c r="K160" s="1949"/>
    </row>
    <row r="161" spans="1:11" s="2" customFormat="1" ht="13.5" customHeight="1">
      <c r="A161" s="1945" t="s">
        <v>67</v>
      </c>
      <c r="B161" s="1946" t="s">
        <v>62</v>
      </c>
      <c r="C161" s="1947" t="s">
        <v>14</v>
      </c>
      <c r="D161" s="44" t="s">
        <v>8</v>
      </c>
      <c r="E161" s="8">
        <f>SUM(E162:E166)</f>
        <v>8664.2000000000007</v>
      </c>
      <c r="F161" s="8">
        <f>SUM(F162:F166)</f>
        <v>8664.2000000000007</v>
      </c>
      <c r="G161" s="8">
        <f>SUM(G162:G166)</f>
        <v>0</v>
      </c>
      <c r="H161" s="8">
        <f>SUM(H162:H166)</f>
        <v>0</v>
      </c>
      <c r="I161" s="8">
        <f>SUM(I162:I166)</f>
        <v>0</v>
      </c>
      <c r="J161" s="1948" t="s">
        <v>63</v>
      </c>
      <c r="K161" s="1949" t="s">
        <v>61</v>
      </c>
    </row>
    <row r="162" spans="1:11" s="2" customFormat="1" ht="13.5" customHeight="1">
      <c r="A162" s="1945"/>
      <c r="B162" s="1946"/>
      <c r="C162" s="1947"/>
      <c r="D162" s="44">
        <v>2016</v>
      </c>
      <c r="E162" s="8">
        <f>SUM(F162:I162)</f>
        <v>1527.7</v>
      </c>
      <c r="F162" s="8">
        <v>1527.7</v>
      </c>
      <c r="G162" s="9">
        <v>0</v>
      </c>
      <c r="H162" s="9">
        <v>0</v>
      </c>
      <c r="I162" s="9">
        <v>0</v>
      </c>
      <c r="J162" s="1948"/>
      <c r="K162" s="1949"/>
    </row>
    <row r="163" spans="1:11" s="2" customFormat="1" ht="13.5" customHeight="1">
      <c r="A163" s="1945"/>
      <c r="B163" s="1946"/>
      <c r="C163" s="1947"/>
      <c r="D163" s="44">
        <v>2017</v>
      </c>
      <c r="E163" s="8">
        <f>SUM(F163:I163)</f>
        <v>1819.6</v>
      </c>
      <c r="F163" s="8">
        <v>1819.6</v>
      </c>
      <c r="G163" s="9">
        <v>0</v>
      </c>
      <c r="H163" s="9">
        <v>0</v>
      </c>
      <c r="I163" s="9">
        <v>0</v>
      </c>
      <c r="J163" s="1948"/>
      <c r="K163" s="1949"/>
    </row>
    <row r="164" spans="1:11" s="2" customFormat="1" ht="13.5" customHeight="1">
      <c r="A164" s="1945"/>
      <c r="B164" s="1946"/>
      <c r="C164" s="1947"/>
      <c r="D164" s="44">
        <v>2018</v>
      </c>
      <c r="E164" s="8">
        <f>SUM(F164:I164)</f>
        <v>1772.3</v>
      </c>
      <c r="F164" s="9">
        <v>1772.3</v>
      </c>
      <c r="G164" s="9">
        <v>0</v>
      </c>
      <c r="H164" s="9">
        <v>0</v>
      </c>
      <c r="I164" s="9">
        <v>0</v>
      </c>
      <c r="J164" s="1948"/>
      <c r="K164" s="1949"/>
    </row>
    <row r="165" spans="1:11" s="2" customFormat="1" ht="13.5" customHeight="1">
      <c r="A165" s="1945"/>
      <c r="B165" s="1946"/>
      <c r="C165" s="1947"/>
      <c r="D165" s="44">
        <v>2019</v>
      </c>
      <c r="E165" s="8">
        <f>SUM(F165:I165)</f>
        <v>1772.3</v>
      </c>
      <c r="F165" s="9">
        <v>1772.3</v>
      </c>
      <c r="G165" s="9">
        <v>0</v>
      </c>
      <c r="H165" s="9">
        <v>0</v>
      </c>
      <c r="I165" s="9">
        <v>0</v>
      </c>
      <c r="J165" s="1948"/>
      <c r="K165" s="1949"/>
    </row>
    <row r="166" spans="1:11" s="2" customFormat="1" ht="13.5" customHeight="1">
      <c r="A166" s="1945"/>
      <c r="B166" s="1946"/>
      <c r="C166" s="1947"/>
      <c r="D166" s="44">
        <v>2020</v>
      </c>
      <c r="E166" s="8">
        <f>SUM(F166:I166)</f>
        <v>1772.3</v>
      </c>
      <c r="F166" s="9">
        <v>1772.3</v>
      </c>
      <c r="G166" s="9">
        <v>0</v>
      </c>
      <c r="H166" s="9">
        <v>0</v>
      </c>
      <c r="I166" s="9">
        <v>0</v>
      </c>
      <c r="J166" s="1948"/>
      <c r="K166" s="1949"/>
    </row>
    <row r="167" spans="1:11" s="2" customFormat="1" ht="13.5" customHeight="1">
      <c r="A167" s="1945" t="s">
        <v>208</v>
      </c>
      <c r="B167" s="1946" t="s">
        <v>64</v>
      </c>
      <c r="C167" s="1947" t="s">
        <v>14</v>
      </c>
      <c r="D167" s="48" t="s">
        <v>8</v>
      </c>
      <c r="E167" s="8">
        <f>SUM(E168:E172)</f>
        <v>57788.899999999994</v>
      </c>
      <c r="F167" s="8">
        <f>SUM(F168:F172)</f>
        <v>33159.4</v>
      </c>
      <c r="G167" s="8">
        <f>SUM(G168:G172)</f>
        <v>24629.5</v>
      </c>
      <c r="H167" s="8">
        <f>SUM(H168:H172)</f>
        <v>0</v>
      </c>
      <c r="I167" s="8">
        <f>SUM(I168:I172)</f>
        <v>0</v>
      </c>
      <c r="J167" s="1948" t="s">
        <v>65</v>
      </c>
      <c r="K167" s="1949" t="s">
        <v>66</v>
      </c>
    </row>
    <row r="168" spans="1:11" s="2" customFormat="1" ht="13.5" customHeight="1">
      <c r="A168" s="1945"/>
      <c r="B168" s="1946"/>
      <c r="C168" s="1947"/>
      <c r="D168" s="48">
        <v>2016</v>
      </c>
      <c r="E168" s="8">
        <f>SUM(F168:I168)</f>
        <v>6537.9</v>
      </c>
      <c r="F168" s="8">
        <v>330</v>
      </c>
      <c r="G168" s="9">
        <v>6207.9</v>
      </c>
      <c r="H168" s="9">
        <v>0</v>
      </c>
      <c r="I168" s="9">
        <v>0</v>
      </c>
      <c r="J168" s="1948"/>
      <c r="K168" s="1949"/>
    </row>
    <row r="169" spans="1:11" s="2" customFormat="1" ht="13.5" customHeight="1">
      <c r="A169" s="1945"/>
      <c r="B169" s="1946"/>
      <c r="C169" s="1947"/>
      <c r="D169" s="48">
        <v>2017</v>
      </c>
      <c r="E169" s="8">
        <f>SUM(F169:I169)</f>
        <v>8485.5</v>
      </c>
      <c r="F169" s="8">
        <v>430</v>
      </c>
      <c r="G169" s="9">
        <v>8055.5</v>
      </c>
      <c r="H169" s="9">
        <v>0</v>
      </c>
      <c r="I169" s="9">
        <v>0</v>
      </c>
      <c r="J169" s="1948"/>
      <c r="K169" s="1949"/>
    </row>
    <row r="170" spans="1:11" s="2" customFormat="1" ht="13.5" customHeight="1">
      <c r="A170" s="1945"/>
      <c r="B170" s="1946"/>
      <c r="C170" s="1947"/>
      <c r="D170" s="48">
        <v>2018</v>
      </c>
      <c r="E170" s="8">
        <f>SUM(F170:I170)</f>
        <v>14600.1</v>
      </c>
      <c r="F170" s="9">
        <v>4234</v>
      </c>
      <c r="G170" s="9">
        <v>10366.1</v>
      </c>
      <c r="H170" s="9">
        <v>0</v>
      </c>
      <c r="I170" s="9">
        <v>0</v>
      </c>
      <c r="J170" s="1948"/>
      <c r="K170" s="1949"/>
    </row>
    <row r="171" spans="1:11" s="2" customFormat="1" ht="13.5" customHeight="1">
      <c r="A171" s="1945"/>
      <c r="B171" s="1946"/>
      <c r="C171" s="1947"/>
      <c r="D171" s="48">
        <v>2019</v>
      </c>
      <c r="E171" s="8">
        <f>SUM(F171:I171)</f>
        <v>14082.7</v>
      </c>
      <c r="F171" s="9">
        <v>14082.7</v>
      </c>
      <c r="G171" s="9">
        <v>0</v>
      </c>
      <c r="H171" s="9">
        <v>0</v>
      </c>
      <c r="I171" s="9">
        <v>0</v>
      </c>
      <c r="J171" s="1948"/>
      <c r="K171" s="1949"/>
    </row>
    <row r="172" spans="1:11" s="2" customFormat="1" ht="13.5" customHeight="1">
      <c r="A172" s="1945"/>
      <c r="B172" s="1946"/>
      <c r="C172" s="1947"/>
      <c r="D172" s="48">
        <v>2020</v>
      </c>
      <c r="E172" s="8">
        <f>SUM(F172:I172)</f>
        <v>14082.7</v>
      </c>
      <c r="F172" s="9">
        <v>14082.7</v>
      </c>
      <c r="G172" s="9">
        <v>0</v>
      </c>
      <c r="H172" s="9">
        <v>0</v>
      </c>
      <c r="I172" s="9">
        <v>0</v>
      </c>
      <c r="J172" s="1948"/>
      <c r="K172" s="1949"/>
    </row>
    <row r="173" spans="1:11" s="2" customFormat="1" ht="17.100000000000001" customHeight="1">
      <c r="A173" s="1945" t="s">
        <v>209</v>
      </c>
      <c r="B173" s="1946" t="s">
        <v>156</v>
      </c>
      <c r="C173" s="1947">
        <v>2017</v>
      </c>
      <c r="D173" s="48" t="s">
        <v>8</v>
      </c>
      <c r="E173" s="8">
        <f>SUM(E174:E176)</f>
        <v>18.899999999999999</v>
      </c>
      <c r="F173" s="8">
        <f>SUM(F174:F178)</f>
        <v>18.899999999999999</v>
      </c>
      <c r="G173" s="8">
        <f>SUM(G174:G178)</f>
        <v>0</v>
      </c>
      <c r="H173" s="8">
        <f>SUM(H174:H178)</f>
        <v>0</v>
      </c>
      <c r="I173" s="8">
        <f>SUM(I174:I178)</f>
        <v>0</v>
      </c>
      <c r="J173" s="1948" t="s">
        <v>156</v>
      </c>
      <c r="K173" s="1949" t="s">
        <v>61</v>
      </c>
    </row>
    <row r="174" spans="1:11" s="2" customFormat="1" ht="17.100000000000001" customHeight="1">
      <c r="A174" s="1945"/>
      <c r="B174" s="1946"/>
      <c r="C174" s="1947"/>
      <c r="D174" s="48">
        <v>2016</v>
      </c>
      <c r="E174" s="8">
        <f>SUM(F174:I174)</f>
        <v>0</v>
      </c>
      <c r="F174" s="8">
        <v>0</v>
      </c>
      <c r="G174" s="9">
        <v>0</v>
      </c>
      <c r="H174" s="9">
        <v>0</v>
      </c>
      <c r="I174" s="9">
        <v>0</v>
      </c>
      <c r="J174" s="1948"/>
      <c r="K174" s="1949"/>
    </row>
    <row r="175" spans="1:11" s="2" customFormat="1" ht="17.100000000000001" customHeight="1">
      <c r="A175" s="1945"/>
      <c r="B175" s="1946"/>
      <c r="C175" s="1947"/>
      <c r="D175" s="48">
        <v>2017</v>
      </c>
      <c r="E175" s="8">
        <f>SUM(F175:I175)</f>
        <v>18.899999999999999</v>
      </c>
      <c r="F175" s="8">
        <v>18.899999999999999</v>
      </c>
      <c r="G175" s="9">
        <v>0</v>
      </c>
      <c r="H175" s="9">
        <v>0</v>
      </c>
      <c r="I175" s="9">
        <v>0</v>
      </c>
      <c r="J175" s="1948"/>
      <c r="K175" s="1949"/>
    </row>
    <row r="176" spans="1:11" s="2" customFormat="1" ht="17.100000000000001" customHeight="1">
      <c r="A176" s="1945"/>
      <c r="B176" s="1946"/>
      <c r="C176" s="1947"/>
      <c r="D176" s="48">
        <v>2018</v>
      </c>
      <c r="E176" s="8">
        <f>SUM(F176:I176)</f>
        <v>0</v>
      </c>
      <c r="F176" s="8">
        <v>0</v>
      </c>
      <c r="G176" s="9">
        <v>0</v>
      </c>
      <c r="H176" s="9">
        <v>0</v>
      </c>
      <c r="I176" s="9">
        <v>0</v>
      </c>
      <c r="J176" s="1948"/>
      <c r="K176" s="1949"/>
    </row>
    <row r="177" spans="1:11" s="2" customFormat="1" ht="17.100000000000001" customHeight="1">
      <c r="A177" s="1945"/>
      <c r="B177" s="1946"/>
      <c r="C177" s="1947"/>
      <c r="D177" s="48">
        <v>2019</v>
      </c>
      <c r="E177" s="8">
        <f>SUM(F177:I177)</f>
        <v>0</v>
      </c>
      <c r="F177" s="8">
        <v>0</v>
      </c>
      <c r="G177" s="9">
        <v>0</v>
      </c>
      <c r="H177" s="9">
        <v>0</v>
      </c>
      <c r="I177" s="9">
        <v>0</v>
      </c>
      <c r="J177" s="1948"/>
      <c r="K177" s="1949"/>
    </row>
    <row r="178" spans="1:11" s="2" customFormat="1" ht="17.100000000000001" customHeight="1">
      <c r="A178" s="1945"/>
      <c r="B178" s="1946"/>
      <c r="C178" s="1947"/>
      <c r="D178" s="48">
        <v>2020</v>
      </c>
      <c r="E178" s="8">
        <f>SUM(F178:I178)</f>
        <v>0</v>
      </c>
      <c r="F178" s="8">
        <v>0</v>
      </c>
      <c r="G178" s="9">
        <v>0</v>
      </c>
      <c r="H178" s="9">
        <v>0</v>
      </c>
      <c r="I178" s="9">
        <v>0</v>
      </c>
      <c r="J178" s="1948"/>
      <c r="K178" s="1949"/>
    </row>
    <row r="179" spans="1:11" s="2" customFormat="1" ht="24.95" customHeight="1">
      <c r="A179" s="1945" t="s">
        <v>176</v>
      </c>
      <c r="B179" s="1946" t="s">
        <v>68</v>
      </c>
      <c r="C179" s="1947" t="s">
        <v>14</v>
      </c>
      <c r="D179" s="48" t="s">
        <v>8</v>
      </c>
      <c r="E179" s="8">
        <f t="shared" ref="E179:E184" si="15">F179+G179+H179+I179</f>
        <v>31281.1</v>
      </c>
      <c r="F179" s="8">
        <f>SUM(F180:F184)</f>
        <v>31281.1</v>
      </c>
      <c r="G179" s="8">
        <f>SUM(G180:G184)</f>
        <v>0</v>
      </c>
      <c r="H179" s="8">
        <f>SUM(H180:H184)</f>
        <v>0</v>
      </c>
      <c r="I179" s="8">
        <f>SUM(I180:I184)</f>
        <v>0</v>
      </c>
      <c r="J179" s="1948" t="s">
        <v>69</v>
      </c>
      <c r="K179" s="1949" t="s">
        <v>42</v>
      </c>
    </row>
    <row r="180" spans="1:11" s="2" customFormat="1" ht="24.95" customHeight="1">
      <c r="A180" s="1945"/>
      <c r="B180" s="1946"/>
      <c r="C180" s="1947"/>
      <c r="D180" s="48">
        <v>2016</v>
      </c>
      <c r="E180" s="8">
        <f t="shared" si="15"/>
        <v>1983.3</v>
      </c>
      <c r="F180" s="8">
        <f t="shared" ref="F180:I184" si="16">F186+F192+F198+F204</f>
        <v>1983.3</v>
      </c>
      <c r="G180" s="8">
        <f t="shared" si="16"/>
        <v>0</v>
      </c>
      <c r="H180" s="8">
        <f t="shared" si="16"/>
        <v>0</v>
      </c>
      <c r="I180" s="8">
        <f t="shared" si="16"/>
        <v>0</v>
      </c>
      <c r="J180" s="1948"/>
      <c r="K180" s="1949"/>
    </row>
    <row r="181" spans="1:11" s="2" customFormat="1" ht="24.95" customHeight="1">
      <c r="A181" s="1945"/>
      <c r="B181" s="1946"/>
      <c r="C181" s="1947"/>
      <c r="D181" s="48">
        <v>2017</v>
      </c>
      <c r="E181" s="8">
        <f t="shared" si="15"/>
        <v>27553.3</v>
      </c>
      <c r="F181" s="8">
        <f t="shared" si="16"/>
        <v>27553.3</v>
      </c>
      <c r="G181" s="8">
        <f t="shared" si="16"/>
        <v>0</v>
      </c>
      <c r="H181" s="8">
        <f t="shared" si="16"/>
        <v>0</v>
      </c>
      <c r="I181" s="8">
        <f t="shared" si="16"/>
        <v>0</v>
      </c>
      <c r="J181" s="1948"/>
      <c r="K181" s="1949"/>
    </row>
    <row r="182" spans="1:11" s="2" customFormat="1" ht="24.95" customHeight="1">
      <c r="A182" s="1945"/>
      <c r="B182" s="1946"/>
      <c r="C182" s="1947"/>
      <c r="D182" s="48">
        <v>2018</v>
      </c>
      <c r="E182" s="8">
        <f t="shared" si="15"/>
        <v>581.5</v>
      </c>
      <c r="F182" s="8">
        <f t="shared" si="16"/>
        <v>581.5</v>
      </c>
      <c r="G182" s="8">
        <f t="shared" si="16"/>
        <v>0</v>
      </c>
      <c r="H182" s="8">
        <f t="shared" si="16"/>
        <v>0</v>
      </c>
      <c r="I182" s="8">
        <f t="shared" si="16"/>
        <v>0</v>
      </c>
      <c r="J182" s="1948"/>
      <c r="K182" s="1949"/>
    </row>
    <row r="183" spans="1:11" s="2" customFormat="1" ht="24.95" customHeight="1">
      <c r="A183" s="1945"/>
      <c r="B183" s="1946"/>
      <c r="C183" s="1947"/>
      <c r="D183" s="48">
        <v>2019</v>
      </c>
      <c r="E183" s="8">
        <f t="shared" si="15"/>
        <v>581.5</v>
      </c>
      <c r="F183" s="8">
        <f t="shared" si="16"/>
        <v>581.5</v>
      </c>
      <c r="G183" s="8">
        <f t="shared" si="16"/>
        <v>0</v>
      </c>
      <c r="H183" s="8">
        <f t="shared" si="16"/>
        <v>0</v>
      </c>
      <c r="I183" s="8">
        <f t="shared" si="16"/>
        <v>0</v>
      </c>
      <c r="J183" s="1948"/>
      <c r="K183" s="1949"/>
    </row>
    <row r="184" spans="1:11" s="2" customFormat="1" ht="24.95" customHeight="1">
      <c r="A184" s="1945"/>
      <c r="B184" s="1946"/>
      <c r="C184" s="1947"/>
      <c r="D184" s="48">
        <v>2020</v>
      </c>
      <c r="E184" s="8">
        <f t="shared" si="15"/>
        <v>581.5</v>
      </c>
      <c r="F184" s="8">
        <f t="shared" si="16"/>
        <v>581.5</v>
      </c>
      <c r="G184" s="8">
        <f t="shared" si="16"/>
        <v>0</v>
      </c>
      <c r="H184" s="8">
        <f t="shared" si="16"/>
        <v>0</v>
      </c>
      <c r="I184" s="8">
        <f t="shared" si="16"/>
        <v>0</v>
      </c>
      <c r="J184" s="1948"/>
      <c r="K184" s="1949"/>
    </row>
    <row r="185" spans="1:11" s="2" customFormat="1" ht="15.75" customHeight="1">
      <c r="A185" s="1945" t="s">
        <v>210</v>
      </c>
      <c r="B185" s="1946" t="s">
        <v>70</v>
      </c>
      <c r="C185" s="1947" t="s">
        <v>14</v>
      </c>
      <c r="D185" s="44" t="s">
        <v>8</v>
      </c>
      <c r="E185" s="8">
        <f t="shared" ref="E185:E209" si="17">SUM(F185:I185)</f>
        <v>3331.1</v>
      </c>
      <c r="F185" s="8">
        <f>SUM(F186:F190)</f>
        <v>3331.1</v>
      </c>
      <c r="G185" s="8">
        <f>SUM(G186:G190)</f>
        <v>0</v>
      </c>
      <c r="H185" s="8">
        <f>SUM(H186:H190)</f>
        <v>0</v>
      </c>
      <c r="I185" s="8">
        <f>SUM(I186:I190)</f>
        <v>0</v>
      </c>
      <c r="J185" s="1948" t="s">
        <v>71</v>
      </c>
      <c r="K185" s="1949" t="s">
        <v>61</v>
      </c>
    </row>
    <row r="186" spans="1:11" s="2" customFormat="1">
      <c r="A186" s="1945"/>
      <c r="B186" s="1946"/>
      <c r="C186" s="1947"/>
      <c r="D186" s="44">
        <v>2016</v>
      </c>
      <c r="E186" s="8">
        <f t="shared" si="17"/>
        <v>883.3</v>
      </c>
      <c r="F186" s="8">
        <v>883.3</v>
      </c>
      <c r="G186" s="9">
        <v>0</v>
      </c>
      <c r="H186" s="9">
        <v>0</v>
      </c>
      <c r="I186" s="9">
        <v>0</v>
      </c>
      <c r="J186" s="1948"/>
      <c r="K186" s="1949"/>
    </row>
    <row r="187" spans="1:11" s="2" customFormat="1">
      <c r="A187" s="1945"/>
      <c r="B187" s="1946"/>
      <c r="C187" s="1947"/>
      <c r="D187" s="44">
        <v>2017</v>
      </c>
      <c r="E187" s="8">
        <f t="shared" si="17"/>
        <v>703.3</v>
      </c>
      <c r="F187" s="8">
        <v>703.3</v>
      </c>
      <c r="G187" s="9">
        <v>0</v>
      </c>
      <c r="H187" s="9">
        <v>0</v>
      </c>
      <c r="I187" s="9">
        <v>0</v>
      </c>
      <c r="J187" s="1948"/>
      <c r="K187" s="1949"/>
    </row>
    <row r="188" spans="1:11" s="2" customFormat="1">
      <c r="A188" s="1945"/>
      <c r="B188" s="1946"/>
      <c r="C188" s="1947"/>
      <c r="D188" s="44">
        <v>2018</v>
      </c>
      <c r="E188" s="8">
        <f t="shared" si="17"/>
        <v>581.5</v>
      </c>
      <c r="F188" s="8">
        <v>581.5</v>
      </c>
      <c r="G188" s="9">
        <v>0</v>
      </c>
      <c r="H188" s="9">
        <v>0</v>
      </c>
      <c r="I188" s="9">
        <v>0</v>
      </c>
      <c r="J188" s="1948"/>
      <c r="K188" s="1949"/>
    </row>
    <row r="189" spans="1:11" s="2" customFormat="1">
      <c r="A189" s="1945"/>
      <c r="B189" s="1946"/>
      <c r="C189" s="1947"/>
      <c r="D189" s="44">
        <v>2019</v>
      </c>
      <c r="E189" s="8">
        <f>SUM(F189:I189)</f>
        <v>581.5</v>
      </c>
      <c r="F189" s="8">
        <v>581.5</v>
      </c>
      <c r="G189" s="9">
        <v>0</v>
      </c>
      <c r="H189" s="9">
        <v>0</v>
      </c>
      <c r="I189" s="9">
        <v>0</v>
      </c>
      <c r="J189" s="1948"/>
      <c r="K189" s="1949"/>
    </row>
    <row r="190" spans="1:11" s="2" customFormat="1">
      <c r="A190" s="1945"/>
      <c r="B190" s="1946"/>
      <c r="C190" s="1947"/>
      <c r="D190" s="44">
        <v>2020</v>
      </c>
      <c r="E190" s="8">
        <f>SUM(F190:I190)</f>
        <v>581.5</v>
      </c>
      <c r="F190" s="8">
        <v>581.5</v>
      </c>
      <c r="G190" s="9">
        <v>0</v>
      </c>
      <c r="H190" s="9">
        <v>0</v>
      </c>
      <c r="I190" s="9">
        <v>0</v>
      </c>
      <c r="J190" s="1948"/>
      <c r="K190" s="1949"/>
    </row>
    <row r="191" spans="1:11" s="2" customFormat="1" ht="15.75" customHeight="1">
      <c r="A191" s="1945" t="s">
        <v>211</v>
      </c>
      <c r="B191" s="1946" t="s">
        <v>72</v>
      </c>
      <c r="C191" s="1947">
        <v>2016</v>
      </c>
      <c r="D191" s="48" t="s">
        <v>8</v>
      </c>
      <c r="E191" s="8">
        <f t="shared" si="17"/>
        <v>1100</v>
      </c>
      <c r="F191" s="8">
        <f>SUM(F192:F196)</f>
        <v>1100</v>
      </c>
      <c r="G191" s="8">
        <f>SUM(G192:G196)</f>
        <v>0</v>
      </c>
      <c r="H191" s="8">
        <f>SUM(H192:H196)</f>
        <v>0</v>
      </c>
      <c r="I191" s="8">
        <f>SUM(I192:I196)</f>
        <v>0</v>
      </c>
      <c r="J191" s="1948" t="s">
        <v>73</v>
      </c>
      <c r="K191" s="1949" t="s">
        <v>66</v>
      </c>
    </row>
    <row r="192" spans="1:11" s="2" customFormat="1">
      <c r="A192" s="1945"/>
      <c r="B192" s="1946"/>
      <c r="C192" s="1947"/>
      <c r="D192" s="48">
        <v>2016</v>
      </c>
      <c r="E192" s="8">
        <f t="shared" si="17"/>
        <v>1100</v>
      </c>
      <c r="F192" s="8">
        <v>1100</v>
      </c>
      <c r="G192" s="9">
        <v>0</v>
      </c>
      <c r="H192" s="9">
        <v>0</v>
      </c>
      <c r="I192" s="9">
        <v>0</v>
      </c>
      <c r="J192" s="1948"/>
      <c r="K192" s="1949"/>
    </row>
    <row r="193" spans="1:11" s="2" customFormat="1">
      <c r="A193" s="1945"/>
      <c r="B193" s="1946"/>
      <c r="C193" s="1947"/>
      <c r="D193" s="48">
        <v>2017</v>
      </c>
      <c r="E193" s="8">
        <f t="shared" si="17"/>
        <v>0</v>
      </c>
      <c r="F193" s="9">
        <v>0</v>
      </c>
      <c r="G193" s="9">
        <v>0</v>
      </c>
      <c r="H193" s="9">
        <v>0</v>
      </c>
      <c r="I193" s="9">
        <v>0</v>
      </c>
      <c r="J193" s="1948"/>
      <c r="K193" s="1949"/>
    </row>
    <row r="194" spans="1:11" s="2" customFormat="1">
      <c r="A194" s="1945"/>
      <c r="B194" s="1946"/>
      <c r="C194" s="1947"/>
      <c r="D194" s="48">
        <v>2018</v>
      </c>
      <c r="E194" s="8">
        <f t="shared" si="17"/>
        <v>0</v>
      </c>
      <c r="F194" s="9">
        <v>0</v>
      </c>
      <c r="G194" s="9">
        <v>0</v>
      </c>
      <c r="H194" s="9">
        <v>0</v>
      </c>
      <c r="I194" s="9">
        <v>0</v>
      </c>
      <c r="J194" s="1948"/>
      <c r="K194" s="1949"/>
    </row>
    <row r="195" spans="1:11" s="2" customFormat="1">
      <c r="A195" s="1945"/>
      <c r="B195" s="1946"/>
      <c r="C195" s="1947"/>
      <c r="D195" s="48">
        <v>2019</v>
      </c>
      <c r="E195" s="8">
        <f>SUM(F195:I195)</f>
        <v>0</v>
      </c>
      <c r="F195" s="9">
        <v>0</v>
      </c>
      <c r="G195" s="9">
        <v>0</v>
      </c>
      <c r="H195" s="9">
        <v>0</v>
      </c>
      <c r="I195" s="9">
        <v>0</v>
      </c>
      <c r="J195" s="1948"/>
      <c r="K195" s="1949"/>
    </row>
    <row r="196" spans="1:11" s="2" customFormat="1">
      <c r="A196" s="1945"/>
      <c r="B196" s="1946"/>
      <c r="C196" s="1947"/>
      <c r="D196" s="48">
        <v>2020</v>
      </c>
      <c r="E196" s="8">
        <f>SUM(F196:I196)</f>
        <v>0</v>
      </c>
      <c r="F196" s="9">
        <v>0</v>
      </c>
      <c r="G196" s="9">
        <v>0</v>
      </c>
      <c r="H196" s="9">
        <v>0</v>
      </c>
      <c r="I196" s="9">
        <v>0</v>
      </c>
      <c r="J196" s="1948"/>
      <c r="K196" s="1949"/>
    </row>
    <row r="197" spans="1:11" s="2" customFormat="1" ht="15.75" customHeight="1">
      <c r="A197" s="1945" t="s">
        <v>212</v>
      </c>
      <c r="B197" s="1946" t="s">
        <v>74</v>
      </c>
      <c r="C197" s="1947">
        <v>2017</v>
      </c>
      <c r="D197" s="48" t="s">
        <v>8</v>
      </c>
      <c r="E197" s="8">
        <f t="shared" si="17"/>
        <v>1850</v>
      </c>
      <c r="F197" s="8">
        <f>SUM(F198:F202)</f>
        <v>1850</v>
      </c>
      <c r="G197" s="8">
        <f>SUM(G198:G202)</f>
        <v>0</v>
      </c>
      <c r="H197" s="8">
        <f>SUM(H198:H202)</f>
        <v>0</v>
      </c>
      <c r="I197" s="8">
        <f>SUM(I198:I202)</f>
        <v>0</v>
      </c>
      <c r="J197" s="1946" t="s">
        <v>75</v>
      </c>
      <c r="K197" s="1949" t="s">
        <v>66</v>
      </c>
    </row>
    <row r="198" spans="1:11" s="2" customFormat="1">
      <c r="A198" s="1945"/>
      <c r="B198" s="1946"/>
      <c r="C198" s="1947"/>
      <c r="D198" s="48">
        <v>2016</v>
      </c>
      <c r="E198" s="8">
        <f t="shared" si="17"/>
        <v>0</v>
      </c>
      <c r="F198" s="8">
        <v>0</v>
      </c>
      <c r="G198" s="9">
        <v>0</v>
      </c>
      <c r="H198" s="9">
        <v>0</v>
      </c>
      <c r="I198" s="9">
        <v>0</v>
      </c>
      <c r="J198" s="1946"/>
      <c r="K198" s="1949"/>
    </row>
    <row r="199" spans="1:11" s="2" customFormat="1">
      <c r="A199" s="1945"/>
      <c r="B199" s="1946"/>
      <c r="C199" s="1947"/>
      <c r="D199" s="48">
        <v>2017</v>
      </c>
      <c r="E199" s="8">
        <f t="shared" si="17"/>
        <v>1850</v>
      </c>
      <c r="F199" s="9">
        <v>1850</v>
      </c>
      <c r="G199" s="9">
        <v>0</v>
      </c>
      <c r="H199" s="9">
        <v>0</v>
      </c>
      <c r="I199" s="9">
        <v>0</v>
      </c>
      <c r="J199" s="1946"/>
      <c r="K199" s="1949"/>
    </row>
    <row r="200" spans="1:11" s="2" customFormat="1">
      <c r="A200" s="1945"/>
      <c r="B200" s="1946"/>
      <c r="C200" s="1947"/>
      <c r="D200" s="48">
        <v>2018</v>
      </c>
      <c r="E200" s="8">
        <f t="shared" si="17"/>
        <v>0</v>
      </c>
      <c r="F200" s="9">
        <v>0</v>
      </c>
      <c r="G200" s="9">
        <v>0</v>
      </c>
      <c r="H200" s="9">
        <v>0</v>
      </c>
      <c r="I200" s="9">
        <v>0</v>
      </c>
      <c r="J200" s="1946"/>
      <c r="K200" s="1949"/>
    </row>
    <row r="201" spans="1:11" s="2" customFormat="1">
      <c r="A201" s="1945"/>
      <c r="B201" s="1946"/>
      <c r="C201" s="1947"/>
      <c r="D201" s="48">
        <v>2019</v>
      </c>
      <c r="E201" s="8">
        <f t="shared" si="17"/>
        <v>0</v>
      </c>
      <c r="F201" s="9">
        <v>0</v>
      </c>
      <c r="G201" s="9">
        <v>0</v>
      </c>
      <c r="H201" s="9">
        <v>0</v>
      </c>
      <c r="I201" s="9">
        <v>0</v>
      </c>
      <c r="J201" s="1946"/>
      <c r="K201" s="1949"/>
    </row>
    <row r="202" spans="1:11" s="2" customFormat="1">
      <c r="A202" s="1945"/>
      <c r="B202" s="1946"/>
      <c r="C202" s="1947"/>
      <c r="D202" s="48">
        <v>2020</v>
      </c>
      <c r="E202" s="8">
        <f t="shared" ref="E202:E208" si="18">SUM(F202:I202)</f>
        <v>0</v>
      </c>
      <c r="F202" s="9">
        <v>0</v>
      </c>
      <c r="G202" s="9">
        <v>0</v>
      </c>
      <c r="H202" s="9">
        <v>0</v>
      </c>
      <c r="I202" s="9">
        <v>0</v>
      </c>
      <c r="J202" s="1946"/>
      <c r="K202" s="1949"/>
    </row>
    <row r="203" spans="1:11" s="2" customFormat="1" ht="15.75" customHeight="1">
      <c r="A203" s="1945" t="s">
        <v>213</v>
      </c>
      <c r="B203" s="1946" t="s">
        <v>157</v>
      </c>
      <c r="C203" s="1947">
        <v>2017</v>
      </c>
      <c r="D203" s="48" t="s">
        <v>8</v>
      </c>
      <c r="E203" s="8">
        <f t="shared" si="18"/>
        <v>25000</v>
      </c>
      <c r="F203" s="8">
        <f>SUM(F204:F208)</f>
        <v>25000</v>
      </c>
      <c r="G203" s="8">
        <f>SUM(G204:G208)</f>
        <v>0</v>
      </c>
      <c r="H203" s="8">
        <f>SUM(H204:H208)</f>
        <v>0</v>
      </c>
      <c r="I203" s="8">
        <f>SUM(I204:I208)</f>
        <v>0</v>
      </c>
      <c r="J203" s="1946" t="s">
        <v>158</v>
      </c>
      <c r="K203" s="1949" t="s">
        <v>66</v>
      </c>
    </row>
    <row r="204" spans="1:11" s="2" customFormat="1">
      <c r="A204" s="1945"/>
      <c r="B204" s="1946"/>
      <c r="C204" s="1947"/>
      <c r="D204" s="48">
        <v>2016</v>
      </c>
      <c r="E204" s="8">
        <f t="shared" si="18"/>
        <v>0</v>
      </c>
      <c r="F204" s="8">
        <v>0</v>
      </c>
      <c r="G204" s="9">
        <v>0</v>
      </c>
      <c r="H204" s="9">
        <v>0</v>
      </c>
      <c r="I204" s="9">
        <v>0</v>
      </c>
      <c r="J204" s="1946"/>
      <c r="K204" s="1949"/>
    </row>
    <row r="205" spans="1:11" s="2" customFormat="1">
      <c r="A205" s="1945"/>
      <c r="B205" s="1946"/>
      <c r="C205" s="1947"/>
      <c r="D205" s="48">
        <v>2017</v>
      </c>
      <c r="E205" s="8">
        <f t="shared" si="18"/>
        <v>25000</v>
      </c>
      <c r="F205" s="9">
        <v>25000</v>
      </c>
      <c r="G205" s="9">
        <v>0</v>
      </c>
      <c r="H205" s="9">
        <v>0</v>
      </c>
      <c r="I205" s="9">
        <v>0</v>
      </c>
      <c r="J205" s="1946"/>
      <c r="K205" s="1949"/>
    </row>
    <row r="206" spans="1:11" s="2" customFormat="1">
      <c r="A206" s="1945"/>
      <c r="B206" s="1946"/>
      <c r="C206" s="1947"/>
      <c r="D206" s="48">
        <v>2018</v>
      </c>
      <c r="E206" s="8">
        <f t="shared" si="18"/>
        <v>0</v>
      </c>
      <c r="F206" s="9">
        <v>0</v>
      </c>
      <c r="G206" s="9">
        <v>0</v>
      </c>
      <c r="H206" s="9">
        <v>0</v>
      </c>
      <c r="I206" s="9">
        <v>0</v>
      </c>
      <c r="J206" s="1946"/>
      <c r="K206" s="1949"/>
    </row>
    <row r="207" spans="1:11" s="2" customFormat="1">
      <c r="A207" s="1945"/>
      <c r="B207" s="1946"/>
      <c r="C207" s="1947"/>
      <c r="D207" s="48">
        <v>2019</v>
      </c>
      <c r="E207" s="8">
        <f t="shared" si="18"/>
        <v>0</v>
      </c>
      <c r="F207" s="9">
        <v>0</v>
      </c>
      <c r="G207" s="9">
        <v>0</v>
      </c>
      <c r="H207" s="9">
        <v>0</v>
      </c>
      <c r="I207" s="9">
        <v>0</v>
      </c>
      <c r="J207" s="1946"/>
      <c r="K207" s="1949"/>
    </row>
    <row r="208" spans="1:11" s="2" customFormat="1">
      <c r="A208" s="1945"/>
      <c r="B208" s="1946"/>
      <c r="C208" s="1947"/>
      <c r="D208" s="48">
        <v>2020</v>
      </c>
      <c r="E208" s="8">
        <f t="shared" si="18"/>
        <v>0</v>
      </c>
      <c r="F208" s="9">
        <v>0</v>
      </c>
      <c r="G208" s="9">
        <v>0</v>
      </c>
      <c r="H208" s="9">
        <v>0</v>
      </c>
      <c r="I208" s="9">
        <v>0</v>
      </c>
      <c r="J208" s="1946"/>
      <c r="K208" s="1949"/>
    </row>
    <row r="209" spans="1:11" s="2" customFormat="1" ht="15" customHeight="1">
      <c r="A209" s="1989" t="s">
        <v>76</v>
      </c>
      <c r="B209" s="1949" t="s">
        <v>77</v>
      </c>
      <c r="C209" s="1947" t="s">
        <v>14</v>
      </c>
      <c r="D209" s="48" t="s">
        <v>8</v>
      </c>
      <c r="E209" s="8">
        <f t="shared" si="17"/>
        <v>1646947.95</v>
      </c>
      <c r="F209" s="8">
        <f>SUM(F210:F214)</f>
        <v>976373.65</v>
      </c>
      <c r="G209" s="8">
        <f>SUM(G210:G214)</f>
        <v>245565.8</v>
      </c>
      <c r="H209" s="8">
        <f>SUM(H210:H214)</f>
        <v>389208.5</v>
      </c>
      <c r="I209" s="8">
        <f>SUM(I210:I214)</f>
        <v>35800</v>
      </c>
      <c r="J209" s="1948"/>
      <c r="K209" s="1949" t="s">
        <v>78</v>
      </c>
    </row>
    <row r="210" spans="1:11" s="2" customFormat="1">
      <c r="A210" s="1989"/>
      <c r="B210" s="1949"/>
      <c r="C210" s="1947"/>
      <c r="D210" s="48">
        <v>2016</v>
      </c>
      <c r="E210" s="8">
        <f>F210+G210+H210+I210</f>
        <v>165142.70000000001</v>
      </c>
      <c r="F210" s="8">
        <f t="shared" ref="F210:I214" si="19">F216+F294</f>
        <v>112036</v>
      </c>
      <c r="G210" s="8">
        <f t="shared" si="19"/>
        <v>11357.5</v>
      </c>
      <c r="H210" s="8">
        <f t="shared" si="19"/>
        <v>20949.2</v>
      </c>
      <c r="I210" s="8">
        <f t="shared" si="19"/>
        <v>20800</v>
      </c>
      <c r="J210" s="1948"/>
      <c r="K210" s="1949"/>
    </row>
    <row r="211" spans="1:11" s="2" customFormat="1">
      <c r="A211" s="1989"/>
      <c r="B211" s="1949"/>
      <c r="C211" s="1947"/>
      <c r="D211" s="48">
        <v>2017</v>
      </c>
      <c r="E211" s="8">
        <f>F211+G211+H211+I211</f>
        <v>229531.3</v>
      </c>
      <c r="F211" s="8">
        <f t="shared" si="19"/>
        <v>135945</v>
      </c>
      <c r="G211" s="8">
        <f t="shared" si="19"/>
        <v>11265.5</v>
      </c>
      <c r="H211" s="8">
        <f t="shared" si="19"/>
        <v>67320.800000000003</v>
      </c>
      <c r="I211" s="8">
        <f t="shared" si="19"/>
        <v>15000</v>
      </c>
      <c r="J211" s="1948"/>
      <c r="K211" s="1949"/>
    </row>
    <row r="212" spans="1:11" s="2" customFormat="1">
      <c r="A212" s="1989"/>
      <c r="B212" s="1949"/>
      <c r="C212" s="1947"/>
      <c r="D212" s="48">
        <v>2018</v>
      </c>
      <c r="E212" s="8">
        <f>F212+G212+H212+I212</f>
        <v>483334.45</v>
      </c>
      <c r="F212" s="8">
        <f t="shared" si="19"/>
        <v>305993.65000000002</v>
      </c>
      <c r="G212" s="8">
        <f t="shared" si="19"/>
        <v>0</v>
      </c>
      <c r="H212" s="8">
        <f t="shared" si="19"/>
        <v>177340.79999999999</v>
      </c>
      <c r="I212" s="8">
        <f t="shared" si="19"/>
        <v>0</v>
      </c>
      <c r="J212" s="1948"/>
      <c r="K212" s="1949"/>
    </row>
    <row r="213" spans="1:11" s="2" customFormat="1">
      <c r="A213" s="1989"/>
      <c r="B213" s="1949"/>
      <c r="C213" s="1947"/>
      <c r="D213" s="48">
        <v>2019</v>
      </c>
      <c r="E213" s="8">
        <f>F213+G213+H213+I213</f>
        <v>412774.50000000006</v>
      </c>
      <c r="F213" s="8">
        <f t="shared" si="19"/>
        <v>225710.40000000002</v>
      </c>
      <c r="G213" s="8">
        <f t="shared" si="19"/>
        <v>111471.4</v>
      </c>
      <c r="H213" s="8">
        <f t="shared" si="19"/>
        <v>75592.7</v>
      </c>
      <c r="I213" s="8">
        <f t="shared" si="19"/>
        <v>0</v>
      </c>
      <c r="J213" s="1948"/>
      <c r="K213" s="1949"/>
    </row>
    <row r="214" spans="1:11" s="2" customFormat="1">
      <c r="A214" s="1989"/>
      <c r="B214" s="1949"/>
      <c r="C214" s="1947"/>
      <c r="D214" s="48">
        <v>2020</v>
      </c>
      <c r="E214" s="8">
        <f>F214+G214+H214+I214</f>
        <v>356165</v>
      </c>
      <c r="F214" s="8">
        <f t="shared" si="19"/>
        <v>196688.6</v>
      </c>
      <c r="G214" s="8">
        <f t="shared" si="19"/>
        <v>111471.4</v>
      </c>
      <c r="H214" s="8">
        <f t="shared" si="19"/>
        <v>48005</v>
      </c>
      <c r="I214" s="8">
        <f t="shared" si="19"/>
        <v>0</v>
      </c>
      <c r="J214" s="1948"/>
      <c r="K214" s="1949"/>
    </row>
    <row r="215" spans="1:11" s="2" customFormat="1" ht="15.95" customHeight="1">
      <c r="A215" s="1945" t="s">
        <v>177</v>
      </c>
      <c r="B215" s="1946" t="s">
        <v>80</v>
      </c>
      <c r="C215" s="1947" t="s">
        <v>14</v>
      </c>
      <c r="D215" s="48" t="s">
        <v>8</v>
      </c>
      <c r="E215" s="8">
        <f t="shared" ref="E215:E220" si="20">SUM(F215:I215)</f>
        <v>1251563.1500000001</v>
      </c>
      <c r="F215" s="8">
        <f>SUM(F216:F220)</f>
        <v>729171.45000000007</v>
      </c>
      <c r="G215" s="8">
        <f>SUM(G216:G219)</f>
        <v>111471.4</v>
      </c>
      <c r="H215" s="8">
        <f>SUM(H216:H220)</f>
        <v>375120.3</v>
      </c>
      <c r="I215" s="8">
        <f>SUM(I216:I219)</f>
        <v>35800</v>
      </c>
      <c r="J215" s="1948" t="s">
        <v>81</v>
      </c>
      <c r="K215" s="1949" t="s">
        <v>82</v>
      </c>
    </row>
    <row r="216" spans="1:11" s="2" customFormat="1" ht="15.95" customHeight="1">
      <c r="A216" s="1945"/>
      <c r="B216" s="1946"/>
      <c r="C216" s="1947"/>
      <c r="D216" s="48">
        <v>2016</v>
      </c>
      <c r="E216" s="8">
        <f t="shared" si="20"/>
        <v>76401.7</v>
      </c>
      <c r="F216" s="8">
        <f t="shared" ref="F216:I220" si="21">SUM(F222,F228,F234,F240,F246,F252,F258,F264,F270,F276,F282,F288)</f>
        <v>38301.699999999997</v>
      </c>
      <c r="G216" s="8">
        <f t="shared" si="21"/>
        <v>0</v>
      </c>
      <c r="H216" s="8">
        <f t="shared" si="21"/>
        <v>17300</v>
      </c>
      <c r="I216" s="8">
        <f t="shared" si="21"/>
        <v>20800</v>
      </c>
      <c r="J216" s="1948"/>
      <c r="K216" s="1949"/>
    </row>
    <row r="217" spans="1:11" s="2" customFormat="1" ht="15.95" customHeight="1">
      <c r="A217" s="1945"/>
      <c r="B217" s="1946"/>
      <c r="C217" s="1947"/>
      <c r="D217" s="48">
        <v>2017</v>
      </c>
      <c r="E217" s="8">
        <f t="shared" si="20"/>
        <v>165279.4</v>
      </c>
      <c r="F217" s="8">
        <f t="shared" si="21"/>
        <v>85679.4</v>
      </c>
      <c r="G217" s="8">
        <f t="shared" si="21"/>
        <v>0</v>
      </c>
      <c r="H217" s="8">
        <f t="shared" si="21"/>
        <v>64600</v>
      </c>
      <c r="I217" s="8">
        <f t="shared" si="21"/>
        <v>15000</v>
      </c>
      <c r="J217" s="1948"/>
      <c r="K217" s="1949"/>
    </row>
    <row r="218" spans="1:11" s="2" customFormat="1" ht="15.95" customHeight="1">
      <c r="A218" s="1945"/>
      <c r="B218" s="1946"/>
      <c r="C218" s="1947"/>
      <c r="D218" s="48">
        <v>2018</v>
      </c>
      <c r="E218" s="8">
        <f t="shared" si="20"/>
        <v>431331.15</v>
      </c>
      <c r="F218" s="8">
        <f t="shared" si="21"/>
        <v>256515.85</v>
      </c>
      <c r="G218" s="8">
        <f t="shared" si="21"/>
        <v>0</v>
      </c>
      <c r="H218" s="8">
        <f t="shared" si="21"/>
        <v>174815.3</v>
      </c>
      <c r="I218" s="8">
        <f t="shared" si="21"/>
        <v>0</v>
      </c>
      <c r="J218" s="1948"/>
      <c r="K218" s="1949"/>
    </row>
    <row r="219" spans="1:11" s="2" customFormat="1" ht="15.95" customHeight="1">
      <c r="A219" s="1945"/>
      <c r="B219" s="1946"/>
      <c r="C219" s="1947"/>
      <c r="D219" s="48">
        <v>2019</v>
      </c>
      <c r="E219" s="8">
        <f t="shared" si="20"/>
        <v>339857.30000000005</v>
      </c>
      <c r="F219" s="8">
        <f t="shared" si="21"/>
        <v>157985.90000000002</v>
      </c>
      <c r="G219" s="8">
        <f t="shared" si="21"/>
        <v>111471.4</v>
      </c>
      <c r="H219" s="8">
        <f t="shared" si="21"/>
        <v>70400</v>
      </c>
      <c r="I219" s="8">
        <f t="shared" si="21"/>
        <v>0</v>
      </c>
      <c r="J219" s="1948"/>
      <c r="K219" s="1949"/>
    </row>
    <row r="220" spans="1:11" s="2" customFormat="1" ht="15.95" customHeight="1">
      <c r="A220" s="1945"/>
      <c r="B220" s="1946"/>
      <c r="C220" s="1947"/>
      <c r="D220" s="48">
        <v>2020</v>
      </c>
      <c r="E220" s="8">
        <f t="shared" si="20"/>
        <v>350165</v>
      </c>
      <c r="F220" s="8">
        <f t="shared" si="21"/>
        <v>190688.6</v>
      </c>
      <c r="G220" s="8">
        <f t="shared" si="21"/>
        <v>111471.4</v>
      </c>
      <c r="H220" s="8">
        <f t="shared" si="21"/>
        <v>48005</v>
      </c>
      <c r="I220" s="8">
        <f t="shared" si="21"/>
        <v>0</v>
      </c>
      <c r="J220" s="1948"/>
      <c r="K220" s="1949"/>
    </row>
    <row r="221" spans="1:11" s="2" customFormat="1" ht="15" customHeight="1">
      <c r="A221" s="1954" t="s">
        <v>79</v>
      </c>
      <c r="B221" s="1946" t="s">
        <v>83</v>
      </c>
      <c r="C221" s="1947" t="s">
        <v>159</v>
      </c>
      <c r="D221" s="48" t="s">
        <v>8</v>
      </c>
      <c r="E221" s="8">
        <f t="shared" ref="E221:E255" si="22">SUM(F221:I221)</f>
        <v>25587.5</v>
      </c>
      <c r="F221" s="8">
        <f>SUM(F222:F226)</f>
        <v>25587.5</v>
      </c>
      <c r="G221" s="8">
        <f>SUM(G222:G226)</f>
        <v>0</v>
      </c>
      <c r="H221" s="8">
        <f>SUM(H222:H226)</f>
        <v>0</v>
      </c>
      <c r="I221" s="8">
        <f>SUM(I222:I226)</f>
        <v>0</v>
      </c>
      <c r="J221" s="1948" t="s">
        <v>160</v>
      </c>
      <c r="K221" s="1949" t="s">
        <v>85</v>
      </c>
    </row>
    <row r="222" spans="1:11" s="2" customFormat="1">
      <c r="A222" s="1945"/>
      <c r="B222" s="1946"/>
      <c r="C222" s="1947"/>
      <c r="D222" s="48">
        <v>2016</v>
      </c>
      <c r="E222" s="8">
        <f t="shared" si="22"/>
        <v>25587.5</v>
      </c>
      <c r="F222" s="9">
        <v>25587.5</v>
      </c>
      <c r="G222" s="9">
        <v>0</v>
      </c>
      <c r="H222" s="9">
        <v>0</v>
      </c>
      <c r="I222" s="9">
        <v>0</v>
      </c>
      <c r="J222" s="1948"/>
      <c r="K222" s="1949"/>
    </row>
    <row r="223" spans="1:11" s="2" customFormat="1">
      <c r="A223" s="1945"/>
      <c r="B223" s="1946"/>
      <c r="C223" s="1947"/>
      <c r="D223" s="48">
        <v>2017</v>
      </c>
      <c r="E223" s="8">
        <f t="shared" si="22"/>
        <v>0</v>
      </c>
      <c r="F223" s="9">
        <v>0</v>
      </c>
      <c r="G223" s="9">
        <v>0</v>
      </c>
      <c r="H223" s="9">
        <v>0</v>
      </c>
      <c r="I223" s="9">
        <v>0</v>
      </c>
      <c r="J223" s="1948"/>
      <c r="K223" s="1949"/>
    </row>
    <row r="224" spans="1:11" s="2" customFormat="1">
      <c r="A224" s="1945"/>
      <c r="B224" s="1946"/>
      <c r="C224" s="1947"/>
      <c r="D224" s="48">
        <v>2018</v>
      </c>
      <c r="E224" s="8">
        <f t="shared" si="22"/>
        <v>0</v>
      </c>
      <c r="F224" s="9">
        <v>0</v>
      </c>
      <c r="G224" s="9">
        <v>0</v>
      </c>
      <c r="H224" s="9">
        <v>0</v>
      </c>
      <c r="I224" s="9">
        <v>0</v>
      </c>
      <c r="J224" s="1948"/>
      <c r="K224" s="1949"/>
    </row>
    <row r="225" spans="1:11" s="2" customFormat="1">
      <c r="A225" s="1945"/>
      <c r="B225" s="1946"/>
      <c r="C225" s="1947"/>
      <c r="D225" s="48">
        <v>2019</v>
      </c>
      <c r="E225" s="8">
        <f>SUM(F225:I225)</f>
        <v>0</v>
      </c>
      <c r="F225" s="9">
        <v>0</v>
      </c>
      <c r="G225" s="9">
        <v>0</v>
      </c>
      <c r="H225" s="9">
        <v>0</v>
      </c>
      <c r="I225" s="9">
        <v>0</v>
      </c>
      <c r="J225" s="1948"/>
      <c r="K225" s="1949"/>
    </row>
    <row r="226" spans="1:11" s="2" customFormat="1">
      <c r="A226" s="1945"/>
      <c r="B226" s="1946"/>
      <c r="C226" s="1947"/>
      <c r="D226" s="48">
        <v>2020</v>
      </c>
      <c r="E226" s="8">
        <f>SUM(F226:I226)</f>
        <v>0</v>
      </c>
      <c r="F226" s="9">
        <v>0</v>
      </c>
      <c r="G226" s="9">
        <v>0</v>
      </c>
      <c r="H226" s="9">
        <v>0</v>
      </c>
      <c r="I226" s="9">
        <v>0</v>
      </c>
      <c r="J226" s="1948"/>
      <c r="K226" s="1949"/>
    </row>
    <row r="227" spans="1:11" s="10" customFormat="1" ht="13.5" customHeight="1">
      <c r="A227" s="1954" t="s">
        <v>214</v>
      </c>
      <c r="B227" s="1946" t="s">
        <v>215</v>
      </c>
      <c r="C227" s="1947" t="s">
        <v>86</v>
      </c>
      <c r="D227" s="44" t="s">
        <v>8</v>
      </c>
      <c r="E227" s="8">
        <f t="shared" si="22"/>
        <v>21750</v>
      </c>
      <c r="F227" s="8">
        <f>SUM(F228:F232)</f>
        <v>21750</v>
      </c>
      <c r="G227" s="8">
        <f>SUM(G228:G232)</f>
        <v>0</v>
      </c>
      <c r="H227" s="8">
        <f>SUM(H228:H232)</f>
        <v>0</v>
      </c>
      <c r="I227" s="8">
        <f>SUM(I228:I232)</f>
        <v>0</v>
      </c>
      <c r="J227" s="1948" t="s">
        <v>87</v>
      </c>
      <c r="K227" s="1949" t="s">
        <v>26</v>
      </c>
    </row>
    <row r="228" spans="1:11" s="10" customFormat="1" ht="13.5" customHeight="1">
      <c r="A228" s="1945"/>
      <c r="B228" s="1946"/>
      <c r="C228" s="1947"/>
      <c r="D228" s="44">
        <v>2016</v>
      </c>
      <c r="E228" s="8">
        <f t="shared" si="22"/>
        <v>3750</v>
      </c>
      <c r="F228" s="11">
        <v>3750</v>
      </c>
      <c r="G228" s="9">
        <v>0</v>
      </c>
      <c r="H228" s="9">
        <v>0</v>
      </c>
      <c r="I228" s="9">
        <v>0</v>
      </c>
      <c r="J228" s="1948"/>
      <c r="K228" s="1949"/>
    </row>
    <row r="229" spans="1:11" s="10" customFormat="1" ht="13.5" customHeight="1">
      <c r="A229" s="1945"/>
      <c r="B229" s="1946"/>
      <c r="C229" s="1947"/>
      <c r="D229" s="44">
        <v>2017</v>
      </c>
      <c r="E229" s="8">
        <f t="shared" si="22"/>
        <v>4500</v>
      </c>
      <c r="F229" s="11">
        <v>4500</v>
      </c>
      <c r="G229" s="9">
        <v>0</v>
      </c>
      <c r="H229" s="9">
        <v>0</v>
      </c>
      <c r="I229" s="9">
        <v>0</v>
      </c>
      <c r="J229" s="1948"/>
      <c r="K229" s="1949"/>
    </row>
    <row r="230" spans="1:11" s="12" customFormat="1" ht="14.25" customHeight="1">
      <c r="A230" s="1945"/>
      <c r="B230" s="1946"/>
      <c r="C230" s="1947"/>
      <c r="D230" s="44">
        <v>2018</v>
      </c>
      <c r="E230" s="8">
        <f t="shared" si="22"/>
        <v>4500</v>
      </c>
      <c r="F230" s="11">
        <v>4500</v>
      </c>
      <c r="G230" s="9">
        <v>0</v>
      </c>
      <c r="H230" s="9">
        <v>0</v>
      </c>
      <c r="I230" s="9">
        <v>0</v>
      </c>
      <c r="J230" s="1948"/>
      <c r="K230" s="1949"/>
    </row>
    <row r="231" spans="1:11" s="12" customFormat="1" ht="14.25" customHeight="1">
      <c r="A231" s="1945"/>
      <c r="B231" s="1946"/>
      <c r="C231" s="1947"/>
      <c r="D231" s="44">
        <v>2019</v>
      </c>
      <c r="E231" s="8">
        <f>SUM(F231:I231)</f>
        <v>4500</v>
      </c>
      <c r="F231" s="11">
        <v>4500</v>
      </c>
      <c r="G231" s="9">
        <v>0</v>
      </c>
      <c r="H231" s="9">
        <v>0</v>
      </c>
      <c r="I231" s="9">
        <v>0</v>
      </c>
      <c r="J231" s="1948"/>
      <c r="K231" s="1949"/>
    </row>
    <row r="232" spans="1:11" s="12" customFormat="1" ht="14.25" customHeight="1">
      <c r="A232" s="1945"/>
      <c r="B232" s="1946"/>
      <c r="C232" s="1947"/>
      <c r="D232" s="44">
        <v>2020</v>
      </c>
      <c r="E232" s="8">
        <f>SUM(F232:I232)</f>
        <v>4500</v>
      </c>
      <c r="F232" s="11">
        <v>4500</v>
      </c>
      <c r="G232" s="9">
        <v>0</v>
      </c>
      <c r="H232" s="9">
        <v>0</v>
      </c>
      <c r="I232" s="9">
        <v>0</v>
      </c>
      <c r="J232" s="1948"/>
      <c r="K232" s="1949"/>
    </row>
    <row r="233" spans="1:11" s="10" customFormat="1" ht="14.25" customHeight="1">
      <c r="A233" s="1945" t="s">
        <v>216</v>
      </c>
      <c r="B233" s="1946" t="s">
        <v>88</v>
      </c>
      <c r="C233" s="1947" t="s">
        <v>161</v>
      </c>
      <c r="D233" s="44" t="s">
        <v>8</v>
      </c>
      <c r="E233" s="8">
        <f t="shared" si="22"/>
        <v>48012.05</v>
      </c>
      <c r="F233" s="8">
        <f>SUM(F234:F238)</f>
        <v>48012.05</v>
      </c>
      <c r="G233" s="8">
        <f>SUM(G234:G238)</f>
        <v>0</v>
      </c>
      <c r="H233" s="8">
        <f>SUM(H234:H238)</f>
        <v>0</v>
      </c>
      <c r="I233" s="8">
        <f>SUM(I234:I238)</f>
        <v>0</v>
      </c>
      <c r="J233" s="1948" t="s">
        <v>169</v>
      </c>
      <c r="K233" s="1949" t="s">
        <v>89</v>
      </c>
    </row>
    <row r="234" spans="1:11" s="10" customFormat="1" ht="13.5" customHeight="1">
      <c r="A234" s="1945"/>
      <c r="B234" s="1946"/>
      <c r="C234" s="1947"/>
      <c r="D234" s="44">
        <v>2016</v>
      </c>
      <c r="E234" s="8">
        <f t="shared" si="22"/>
        <v>1866</v>
      </c>
      <c r="F234" s="9">
        <v>1866</v>
      </c>
      <c r="G234" s="9">
        <v>0</v>
      </c>
      <c r="H234" s="9">
        <v>0</v>
      </c>
      <c r="I234" s="9">
        <v>0</v>
      </c>
      <c r="J234" s="1948"/>
      <c r="K234" s="1949"/>
    </row>
    <row r="235" spans="1:11" s="10" customFormat="1" ht="13.5" customHeight="1">
      <c r="A235" s="1945"/>
      <c r="B235" s="1946"/>
      <c r="C235" s="1947"/>
      <c r="D235" s="44">
        <v>2017</v>
      </c>
      <c r="E235" s="8">
        <f t="shared" si="22"/>
        <v>99</v>
      </c>
      <c r="F235" s="9">
        <v>99</v>
      </c>
      <c r="G235" s="9">
        <v>0</v>
      </c>
      <c r="H235" s="9">
        <v>0</v>
      </c>
      <c r="I235" s="9">
        <v>0</v>
      </c>
      <c r="J235" s="1948"/>
      <c r="K235" s="1949"/>
    </row>
    <row r="236" spans="1:11" s="12" customFormat="1" ht="14.25" customHeight="1">
      <c r="A236" s="1945"/>
      <c r="B236" s="1946"/>
      <c r="C236" s="1947"/>
      <c r="D236" s="44">
        <v>2018</v>
      </c>
      <c r="E236" s="8">
        <f t="shared" si="22"/>
        <v>31489.75</v>
      </c>
      <c r="F236" s="9">
        <v>31489.75</v>
      </c>
      <c r="G236" s="9">
        <v>0</v>
      </c>
      <c r="H236" s="9">
        <v>0</v>
      </c>
      <c r="I236" s="9">
        <v>0</v>
      </c>
      <c r="J236" s="1948"/>
      <c r="K236" s="1949"/>
    </row>
    <row r="237" spans="1:11" s="12" customFormat="1" ht="14.25" customHeight="1">
      <c r="A237" s="1945"/>
      <c r="B237" s="1946"/>
      <c r="C237" s="1947"/>
      <c r="D237" s="44">
        <v>2019</v>
      </c>
      <c r="E237" s="8">
        <f>SUM(F237:I237)</f>
        <v>14557.3</v>
      </c>
      <c r="F237" s="9">
        <v>14557.3</v>
      </c>
      <c r="G237" s="9">
        <v>0</v>
      </c>
      <c r="H237" s="9">
        <v>0</v>
      </c>
      <c r="I237" s="9">
        <v>0</v>
      </c>
      <c r="J237" s="1948"/>
      <c r="K237" s="1949"/>
    </row>
    <row r="238" spans="1:11" s="12" customFormat="1" ht="14.25" customHeight="1">
      <c r="A238" s="1945"/>
      <c r="B238" s="1946"/>
      <c r="C238" s="1947"/>
      <c r="D238" s="44">
        <v>2020</v>
      </c>
      <c r="E238" s="8">
        <f>SUM(F238:I238)</f>
        <v>0</v>
      </c>
      <c r="F238" s="9">
        <v>0</v>
      </c>
      <c r="G238" s="9">
        <v>0</v>
      </c>
      <c r="H238" s="9">
        <v>0</v>
      </c>
      <c r="I238" s="9">
        <v>0</v>
      </c>
      <c r="J238" s="1948"/>
      <c r="K238" s="1949"/>
    </row>
    <row r="239" spans="1:11" s="10" customFormat="1" ht="13.5" customHeight="1">
      <c r="A239" s="1945" t="s">
        <v>217</v>
      </c>
      <c r="B239" s="1946" t="s">
        <v>218</v>
      </c>
      <c r="C239" s="1947" t="s">
        <v>151</v>
      </c>
      <c r="D239" s="48" t="s">
        <v>8</v>
      </c>
      <c r="E239" s="8">
        <f t="shared" si="22"/>
        <v>192414</v>
      </c>
      <c r="F239" s="8">
        <f>SUM(F240:F244)</f>
        <v>101232.7</v>
      </c>
      <c r="G239" s="8">
        <f>SUM(G240:G244)</f>
        <v>0</v>
      </c>
      <c r="H239" s="8">
        <f>SUM(H240:H244)</f>
        <v>91181.3</v>
      </c>
      <c r="I239" s="8">
        <f>SUM(I240:I244)</f>
        <v>0</v>
      </c>
      <c r="J239" s="1948" t="s">
        <v>170</v>
      </c>
      <c r="K239" s="1949" t="s">
        <v>90</v>
      </c>
    </row>
    <row r="240" spans="1:11" s="10" customFormat="1" ht="13.5" customHeight="1">
      <c r="A240" s="1945"/>
      <c r="B240" s="1946"/>
      <c r="C240" s="1947"/>
      <c r="D240" s="48">
        <v>2016</v>
      </c>
      <c r="E240" s="8">
        <f t="shared" si="22"/>
        <v>4600</v>
      </c>
      <c r="F240" s="9">
        <v>2300</v>
      </c>
      <c r="G240" s="9">
        <v>0</v>
      </c>
      <c r="H240" s="9">
        <v>2300</v>
      </c>
      <c r="I240" s="9">
        <v>0</v>
      </c>
      <c r="J240" s="1948"/>
      <c r="K240" s="1949"/>
    </row>
    <row r="241" spans="1:11" s="10" customFormat="1" ht="13.5" customHeight="1">
      <c r="A241" s="1945"/>
      <c r="B241" s="1946"/>
      <c r="C241" s="1947"/>
      <c r="D241" s="48">
        <v>2017</v>
      </c>
      <c r="E241" s="8">
        <f t="shared" si="22"/>
        <v>40000</v>
      </c>
      <c r="F241" s="9">
        <v>20000</v>
      </c>
      <c r="G241" s="9">
        <v>0</v>
      </c>
      <c r="H241" s="9">
        <v>20000</v>
      </c>
      <c r="I241" s="9">
        <v>0</v>
      </c>
      <c r="J241" s="1948"/>
      <c r="K241" s="1949"/>
    </row>
    <row r="242" spans="1:11" s="12" customFormat="1" ht="14.25" customHeight="1">
      <c r="A242" s="1945"/>
      <c r="B242" s="1946"/>
      <c r="C242" s="1947"/>
      <c r="D242" s="48">
        <v>2018</v>
      </c>
      <c r="E242" s="8">
        <f t="shared" si="22"/>
        <v>46814</v>
      </c>
      <c r="F242" s="9">
        <v>24998.7</v>
      </c>
      <c r="G242" s="9">
        <v>0</v>
      </c>
      <c r="H242" s="9">
        <v>21815.3</v>
      </c>
      <c r="I242" s="9">
        <v>0</v>
      </c>
      <c r="J242" s="1948"/>
      <c r="K242" s="1949"/>
    </row>
    <row r="243" spans="1:11" s="12" customFormat="1" ht="14.25" customHeight="1">
      <c r="A243" s="1945"/>
      <c r="B243" s="1946"/>
      <c r="C243" s="1947"/>
      <c r="D243" s="48">
        <v>2019</v>
      </c>
      <c r="E243" s="8">
        <f t="shared" si="22"/>
        <v>0</v>
      </c>
      <c r="F243" s="9">
        <v>0</v>
      </c>
      <c r="G243" s="9">
        <v>0</v>
      </c>
      <c r="H243" s="9">
        <v>0</v>
      </c>
      <c r="I243" s="9">
        <v>0</v>
      </c>
      <c r="J243" s="1948"/>
      <c r="K243" s="1949"/>
    </row>
    <row r="244" spans="1:11" s="12" customFormat="1" ht="14.25" customHeight="1">
      <c r="A244" s="1945"/>
      <c r="B244" s="1946"/>
      <c r="C244" s="1947"/>
      <c r="D244" s="48">
        <v>2020</v>
      </c>
      <c r="E244" s="8">
        <f t="shared" si="22"/>
        <v>101000</v>
      </c>
      <c r="F244" s="9">
        <v>53934</v>
      </c>
      <c r="G244" s="9">
        <v>0</v>
      </c>
      <c r="H244" s="9">
        <v>47066</v>
      </c>
      <c r="I244" s="9">
        <v>0</v>
      </c>
      <c r="J244" s="1948"/>
      <c r="K244" s="1949"/>
    </row>
    <row r="245" spans="1:11" s="10" customFormat="1" ht="13.5" customHeight="1">
      <c r="A245" s="1945" t="s">
        <v>219</v>
      </c>
      <c r="B245" s="1946" t="s">
        <v>91</v>
      </c>
      <c r="C245" s="1947" t="s">
        <v>30</v>
      </c>
      <c r="D245" s="48" t="s">
        <v>8</v>
      </c>
      <c r="E245" s="8">
        <f t="shared" si="22"/>
        <v>47000</v>
      </c>
      <c r="F245" s="8">
        <f>SUM(F246:F250)</f>
        <v>0</v>
      </c>
      <c r="G245" s="8">
        <f>SUM(G246:G250)</f>
        <v>0</v>
      </c>
      <c r="H245" s="8">
        <f>SUM(H246:H250)</f>
        <v>22000</v>
      </c>
      <c r="I245" s="8">
        <f>SUM(I246:I250)</f>
        <v>25000</v>
      </c>
      <c r="J245" s="1948" t="s">
        <v>92</v>
      </c>
      <c r="K245" s="1949" t="s">
        <v>93</v>
      </c>
    </row>
    <row r="246" spans="1:11" s="10" customFormat="1" ht="13.5" customHeight="1">
      <c r="A246" s="1945"/>
      <c r="B246" s="1946"/>
      <c r="C246" s="1947"/>
      <c r="D246" s="48">
        <v>2016</v>
      </c>
      <c r="E246" s="8">
        <f t="shared" si="22"/>
        <v>25000</v>
      </c>
      <c r="F246" s="9">
        <v>0</v>
      </c>
      <c r="G246" s="9">
        <v>0</v>
      </c>
      <c r="H246" s="9">
        <v>15000</v>
      </c>
      <c r="I246" s="9">
        <v>10000</v>
      </c>
      <c r="J246" s="1948"/>
      <c r="K246" s="1949"/>
    </row>
    <row r="247" spans="1:11" s="10" customFormat="1" ht="13.5" customHeight="1">
      <c r="A247" s="1945"/>
      <c r="B247" s="1946"/>
      <c r="C247" s="1947"/>
      <c r="D247" s="48">
        <v>2017</v>
      </c>
      <c r="E247" s="8">
        <f t="shared" si="22"/>
        <v>22000</v>
      </c>
      <c r="F247" s="9">
        <v>0</v>
      </c>
      <c r="G247" s="9">
        <v>0</v>
      </c>
      <c r="H247" s="9">
        <v>7000</v>
      </c>
      <c r="I247" s="9">
        <v>15000</v>
      </c>
      <c r="J247" s="1948"/>
      <c r="K247" s="1949"/>
    </row>
    <row r="248" spans="1:11" s="12" customFormat="1" ht="14.25" customHeight="1">
      <c r="A248" s="1945"/>
      <c r="B248" s="1946"/>
      <c r="C248" s="1947"/>
      <c r="D248" s="48">
        <v>2018</v>
      </c>
      <c r="E248" s="8">
        <f t="shared" si="22"/>
        <v>0</v>
      </c>
      <c r="F248" s="9">
        <v>0</v>
      </c>
      <c r="G248" s="9">
        <v>0</v>
      </c>
      <c r="H248" s="9">
        <v>0</v>
      </c>
      <c r="I248" s="9">
        <v>0</v>
      </c>
      <c r="J248" s="1948"/>
      <c r="K248" s="1949"/>
    </row>
    <row r="249" spans="1:11" s="12" customFormat="1" ht="14.25" customHeight="1">
      <c r="A249" s="1945"/>
      <c r="B249" s="1946"/>
      <c r="C249" s="1947"/>
      <c r="D249" s="48">
        <v>2019</v>
      </c>
      <c r="E249" s="8">
        <f t="shared" si="22"/>
        <v>0</v>
      </c>
      <c r="F249" s="9">
        <v>0</v>
      </c>
      <c r="G249" s="9">
        <v>0</v>
      </c>
      <c r="H249" s="9">
        <v>0</v>
      </c>
      <c r="I249" s="9">
        <v>0</v>
      </c>
      <c r="J249" s="1948"/>
      <c r="K249" s="1949"/>
    </row>
    <row r="250" spans="1:11" s="12" customFormat="1" ht="14.25" customHeight="1">
      <c r="A250" s="1945"/>
      <c r="B250" s="1946"/>
      <c r="C250" s="1947"/>
      <c r="D250" s="48">
        <v>2020</v>
      </c>
      <c r="E250" s="8">
        <f>SUM(F250:I250)</f>
        <v>0</v>
      </c>
      <c r="F250" s="9">
        <v>0</v>
      </c>
      <c r="G250" s="9">
        <v>0</v>
      </c>
      <c r="H250" s="9">
        <v>0</v>
      </c>
      <c r="I250" s="9">
        <v>0</v>
      </c>
      <c r="J250" s="1948"/>
      <c r="K250" s="1949"/>
    </row>
    <row r="251" spans="1:11" s="10" customFormat="1" ht="13.5" customHeight="1">
      <c r="A251" s="1945" t="s">
        <v>220</v>
      </c>
      <c r="B251" s="1946" t="s">
        <v>94</v>
      </c>
      <c r="C251" s="1947" t="s">
        <v>95</v>
      </c>
      <c r="D251" s="48" t="s">
        <v>8</v>
      </c>
      <c r="E251" s="8">
        <f t="shared" si="22"/>
        <v>4798.2</v>
      </c>
      <c r="F251" s="8">
        <f>SUM(F252:F256)</f>
        <v>4798.2</v>
      </c>
      <c r="G251" s="8">
        <f>SUM(G252:G256)</f>
        <v>0</v>
      </c>
      <c r="H251" s="8">
        <f>SUM(H252:H256)</f>
        <v>0</v>
      </c>
      <c r="I251" s="8">
        <f>SUM(I252:I256)</f>
        <v>0</v>
      </c>
      <c r="J251" s="1948" t="s">
        <v>96</v>
      </c>
      <c r="K251" s="1949" t="s">
        <v>89</v>
      </c>
    </row>
    <row r="252" spans="1:11" s="10" customFormat="1" ht="13.5" customHeight="1">
      <c r="A252" s="1945"/>
      <c r="B252" s="1946"/>
      <c r="C252" s="1947"/>
      <c r="D252" s="48">
        <v>2016</v>
      </c>
      <c r="E252" s="8">
        <f t="shared" si="22"/>
        <v>4798.2</v>
      </c>
      <c r="F252" s="9">
        <v>4798.2</v>
      </c>
      <c r="G252" s="9">
        <v>0</v>
      </c>
      <c r="H252" s="9">
        <v>0</v>
      </c>
      <c r="I252" s="9">
        <v>0</v>
      </c>
      <c r="J252" s="1948"/>
      <c r="K252" s="1949"/>
    </row>
    <row r="253" spans="1:11" s="10" customFormat="1" ht="13.5" customHeight="1">
      <c r="A253" s="1945"/>
      <c r="B253" s="1946"/>
      <c r="C253" s="1947"/>
      <c r="D253" s="48">
        <v>2017</v>
      </c>
      <c r="E253" s="8">
        <f t="shared" si="22"/>
        <v>0</v>
      </c>
      <c r="F253" s="9">
        <v>0</v>
      </c>
      <c r="G253" s="9">
        <v>0</v>
      </c>
      <c r="H253" s="9">
        <v>0</v>
      </c>
      <c r="I253" s="9">
        <v>0</v>
      </c>
      <c r="J253" s="1948"/>
      <c r="K253" s="1949"/>
    </row>
    <row r="254" spans="1:11" s="12" customFormat="1" ht="14.25" customHeight="1">
      <c r="A254" s="1945"/>
      <c r="B254" s="1946"/>
      <c r="C254" s="1947"/>
      <c r="D254" s="48">
        <v>2018</v>
      </c>
      <c r="E254" s="8">
        <f t="shared" si="22"/>
        <v>0</v>
      </c>
      <c r="F254" s="9">
        <v>0</v>
      </c>
      <c r="G254" s="9">
        <v>0</v>
      </c>
      <c r="H254" s="9">
        <v>0</v>
      </c>
      <c r="I254" s="9">
        <v>0</v>
      </c>
      <c r="J254" s="1948"/>
      <c r="K254" s="1949"/>
    </row>
    <row r="255" spans="1:11" s="12" customFormat="1" ht="14.25" customHeight="1">
      <c r="A255" s="1945"/>
      <c r="B255" s="1946"/>
      <c r="C255" s="1947"/>
      <c r="D255" s="48">
        <v>2019</v>
      </c>
      <c r="E255" s="8">
        <f t="shared" si="22"/>
        <v>0</v>
      </c>
      <c r="F255" s="9">
        <v>0</v>
      </c>
      <c r="G255" s="9">
        <v>0</v>
      </c>
      <c r="H255" s="9">
        <v>0</v>
      </c>
      <c r="I255" s="9">
        <v>0</v>
      </c>
      <c r="J255" s="1948"/>
      <c r="K255" s="1949"/>
    </row>
    <row r="256" spans="1:11" s="12" customFormat="1" ht="14.25" customHeight="1">
      <c r="A256" s="1945"/>
      <c r="B256" s="1946"/>
      <c r="C256" s="1947"/>
      <c r="D256" s="48">
        <v>2020</v>
      </c>
      <c r="E256" s="8">
        <f>SUM(F256:I256)</f>
        <v>0</v>
      </c>
      <c r="F256" s="9">
        <v>0</v>
      </c>
      <c r="G256" s="9">
        <v>0</v>
      </c>
      <c r="H256" s="9">
        <v>0</v>
      </c>
      <c r="I256" s="9">
        <v>0</v>
      </c>
      <c r="J256" s="1948"/>
      <c r="K256" s="1949"/>
    </row>
    <row r="257" spans="1:11" s="10" customFormat="1" ht="19.5" customHeight="1">
      <c r="A257" s="1945" t="s">
        <v>221</v>
      </c>
      <c r="B257" s="1946" t="s">
        <v>145</v>
      </c>
      <c r="C257" s="1947" t="s">
        <v>222</v>
      </c>
      <c r="D257" s="44" t="s">
        <v>8</v>
      </c>
      <c r="E257" s="8">
        <f t="shared" ref="E257:E293" si="23">SUM(F257:I257)</f>
        <v>445885.6</v>
      </c>
      <c r="F257" s="8">
        <f>SUM(F258:F262)</f>
        <v>222942.8</v>
      </c>
      <c r="G257" s="8">
        <f>SUM(G258:G262)</f>
        <v>222942.8</v>
      </c>
      <c r="H257" s="8">
        <f>SUM(H258:H262)</f>
        <v>0</v>
      </c>
      <c r="I257" s="8">
        <f>SUM(I258:I262)</f>
        <v>0</v>
      </c>
      <c r="J257" s="1948" t="s">
        <v>223</v>
      </c>
      <c r="K257" s="1949" t="s">
        <v>89</v>
      </c>
    </row>
    <row r="258" spans="1:11" s="10" customFormat="1" ht="19.5" customHeight="1">
      <c r="A258" s="1945"/>
      <c r="B258" s="1946"/>
      <c r="C258" s="1947"/>
      <c r="D258" s="44">
        <v>2016</v>
      </c>
      <c r="E258" s="8">
        <f t="shared" si="23"/>
        <v>0</v>
      </c>
      <c r="F258" s="9">
        <v>0</v>
      </c>
      <c r="G258" s="9">
        <v>0</v>
      </c>
      <c r="H258" s="9">
        <v>0</v>
      </c>
      <c r="I258" s="9">
        <v>0</v>
      </c>
      <c r="J258" s="1948"/>
      <c r="K258" s="1949"/>
    </row>
    <row r="259" spans="1:11" s="10" customFormat="1" ht="19.5" customHeight="1">
      <c r="A259" s="1945"/>
      <c r="B259" s="1946"/>
      <c r="C259" s="1947"/>
      <c r="D259" s="44">
        <v>2017</v>
      </c>
      <c r="E259" s="8">
        <f t="shared" si="23"/>
        <v>0</v>
      </c>
      <c r="F259" s="9">
        <v>0</v>
      </c>
      <c r="G259" s="9">
        <v>0</v>
      </c>
      <c r="H259" s="9">
        <v>0</v>
      </c>
      <c r="I259" s="9">
        <v>0</v>
      </c>
      <c r="J259" s="1948"/>
      <c r="K259" s="1949"/>
    </row>
    <row r="260" spans="1:11" s="12" customFormat="1" ht="19.5" customHeight="1">
      <c r="A260" s="1945"/>
      <c r="B260" s="1946"/>
      <c r="C260" s="1947"/>
      <c r="D260" s="44">
        <v>2018</v>
      </c>
      <c r="E260" s="8">
        <f t="shared" si="23"/>
        <v>40000</v>
      </c>
      <c r="F260" s="9">
        <v>40000</v>
      </c>
      <c r="G260" s="9">
        <v>0</v>
      </c>
      <c r="H260" s="9">
        <v>0</v>
      </c>
      <c r="I260" s="9">
        <v>0</v>
      </c>
      <c r="J260" s="1948"/>
      <c r="K260" s="1949"/>
    </row>
    <row r="261" spans="1:11" s="12" customFormat="1" ht="19.5" customHeight="1">
      <c r="A261" s="1945"/>
      <c r="B261" s="1946"/>
      <c r="C261" s="1947"/>
      <c r="D261" s="44" t="s">
        <v>224</v>
      </c>
      <c r="E261" s="8">
        <f t="shared" si="23"/>
        <v>180000</v>
      </c>
      <c r="F261" s="9">
        <v>68528.600000000006</v>
      </c>
      <c r="G261" s="9">
        <v>111471.4</v>
      </c>
      <c r="H261" s="9">
        <v>0</v>
      </c>
      <c r="I261" s="9">
        <v>0</v>
      </c>
      <c r="J261" s="1948"/>
      <c r="K261" s="1949"/>
    </row>
    <row r="262" spans="1:11" s="12" customFormat="1" ht="19.5" customHeight="1">
      <c r="A262" s="1945"/>
      <c r="B262" s="1946"/>
      <c r="C262" s="1947"/>
      <c r="D262" s="44" t="s">
        <v>225</v>
      </c>
      <c r="E262" s="8">
        <f>SUM(F262:I262)</f>
        <v>225885.59999999998</v>
      </c>
      <c r="F262" s="9">
        <v>114414.2</v>
      </c>
      <c r="G262" s="9">
        <v>111471.4</v>
      </c>
      <c r="H262" s="9">
        <v>0</v>
      </c>
      <c r="I262" s="9">
        <v>0</v>
      </c>
      <c r="J262" s="1948"/>
      <c r="K262" s="1949"/>
    </row>
    <row r="263" spans="1:11" s="10" customFormat="1" ht="13.5" customHeight="1">
      <c r="A263" s="1945" t="s">
        <v>226</v>
      </c>
      <c r="B263" s="1946" t="s">
        <v>97</v>
      </c>
      <c r="C263" s="1947" t="s">
        <v>161</v>
      </c>
      <c r="D263" s="44" t="s">
        <v>8</v>
      </c>
      <c r="E263" s="8">
        <f t="shared" si="23"/>
        <v>532800</v>
      </c>
      <c r="F263" s="8">
        <f>SUM(F264:F268)</f>
        <v>261000</v>
      </c>
      <c r="G263" s="8">
        <f>SUM(G264:G268)</f>
        <v>0</v>
      </c>
      <c r="H263" s="8">
        <f>SUM(H264:H268)</f>
        <v>261000</v>
      </c>
      <c r="I263" s="8">
        <f>SUM(I264:I268)</f>
        <v>10800</v>
      </c>
      <c r="J263" s="1948" t="s">
        <v>171</v>
      </c>
      <c r="K263" s="1949" t="s">
        <v>98</v>
      </c>
    </row>
    <row r="264" spans="1:11" s="10" customFormat="1" ht="13.5" customHeight="1">
      <c r="A264" s="1945"/>
      <c r="B264" s="1946"/>
      <c r="C264" s="1947"/>
      <c r="D264" s="44">
        <v>2016</v>
      </c>
      <c r="E264" s="8">
        <f t="shared" si="23"/>
        <v>10800</v>
      </c>
      <c r="F264" s="9">
        <v>0</v>
      </c>
      <c r="G264" s="9">
        <v>0</v>
      </c>
      <c r="H264" s="9">
        <v>0</v>
      </c>
      <c r="I264" s="9">
        <v>10800</v>
      </c>
      <c r="J264" s="1948"/>
      <c r="K264" s="1949"/>
    </row>
    <row r="265" spans="1:11" s="10" customFormat="1" ht="13.5" customHeight="1">
      <c r="A265" s="1945"/>
      <c r="B265" s="1946"/>
      <c r="C265" s="1947"/>
      <c r="D265" s="44">
        <v>2017</v>
      </c>
      <c r="E265" s="8">
        <f t="shared" si="23"/>
        <v>75200</v>
      </c>
      <c r="F265" s="9">
        <v>37600</v>
      </c>
      <c r="G265" s="9">
        <v>0</v>
      </c>
      <c r="H265" s="9">
        <v>37600</v>
      </c>
      <c r="I265" s="9">
        <v>0</v>
      </c>
      <c r="J265" s="1948"/>
      <c r="K265" s="1949"/>
    </row>
    <row r="266" spans="1:11" s="12" customFormat="1" ht="14.25" customHeight="1">
      <c r="A266" s="1945"/>
      <c r="B266" s="1946"/>
      <c r="C266" s="1947"/>
      <c r="D266" s="44">
        <v>2018</v>
      </c>
      <c r="E266" s="8">
        <f t="shared" si="23"/>
        <v>306000</v>
      </c>
      <c r="F266" s="9">
        <v>153000</v>
      </c>
      <c r="G266" s="9">
        <v>0</v>
      </c>
      <c r="H266" s="9">
        <v>153000</v>
      </c>
      <c r="I266" s="9">
        <v>0</v>
      </c>
      <c r="J266" s="1948"/>
      <c r="K266" s="1949"/>
    </row>
    <row r="267" spans="1:11" s="12" customFormat="1" ht="14.25" customHeight="1">
      <c r="A267" s="1945"/>
      <c r="B267" s="1946"/>
      <c r="C267" s="1947"/>
      <c r="D267" s="44">
        <v>2019</v>
      </c>
      <c r="E267" s="8">
        <f t="shared" si="23"/>
        <v>140800</v>
      </c>
      <c r="F267" s="9">
        <v>70400</v>
      </c>
      <c r="G267" s="9">
        <v>0</v>
      </c>
      <c r="H267" s="9">
        <v>70400</v>
      </c>
      <c r="I267" s="9">
        <v>0</v>
      </c>
      <c r="J267" s="1948"/>
      <c r="K267" s="1949"/>
    </row>
    <row r="268" spans="1:11" s="12" customFormat="1" ht="14.25" customHeight="1">
      <c r="A268" s="1945"/>
      <c r="B268" s="1946"/>
      <c r="C268" s="1947"/>
      <c r="D268" s="44">
        <v>2020</v>
      </c>
      <c r="E268" s="8">
        <f t="shared" si="23"/>
        <v>0</v>
      </c>
      <c r="F268" s="9">
        <v>0</v>
      </c>
      <c r="G268" s="9">
        <v>0</v>
      </c>
      <c r="H268" s="9">
        <v>0</v>
      </c>
      <c r="I268" s="9">
        <v>0</v>
      </c>
      <c r="J268" s="1948"/>
      <c r="K268" s="1949"/>
    </row>
    <row r="269" spans="1:11" s="10" customFormat="1" ht="13.5" customHeight="1">
      <c r="A269" s="1945" t="s">
        <v>227</v>
      </c>
      <c r="B269" s="1946" t="s">
        <v>99</v>
      </c>
      <c r="C269" s="1947">
        <v>2017</v>
      </c>
      <c r="D269" s="44" t="s">
        <v>8</v>
      </c>
      <c r="E269" s="8">
        <f t="shared" si="23"/>
        <v>18567.400000000001</v>
      </c>
      <c r="F269" s="8">
        <f>SUM(F270:F274)</f>
        <v>18567.400000000001</v>
      </c>
      <c r="G269" s="8">
        <f>SUM(G270:G274)</f>
        <v>0</v>
      </c>
      <c r="H269" s="8">
        <f>SUM(H270:H274)</f>
        <v>0</v>
      </c>
      <c r="I269" s="8">
        <f>SUM(I270:I274)</f>
        <v>0</v>
      </c>
      <c r="J269" s="1948" t="s">
        <v>162</v>
      </c>
      <c r="K269" s="1949" t="s">
        <v>100</v>
      </c>
    </row>
    <row r="270" spans="1:11" s="10" customFormat="1" ht="13.5" customHeight="1">
      <c r="A270" s="1945"/>
      <c r="B270" s="1946"/>
      <c r="C270" s="1947"/>
      <c r="D270" s="48">
        <v>2016</v>
      </c>
      <c r="E270" s="8">
        <f t="shared" si="23"/>
        <v>0</v>
      </c>
      <c r="F270" s="9">
        <v>0</v>
      </c>
      <c r="G270" s="9">
        <v>0</v>
      </c>
      <c r="H270" s="9">
        <v>0</v>
      </c>
      <c r="I270" s="9">
        <v>0</v>
      </c>
      <c r="J270" s="1948"/>
      <c r="K270" s="1949"/>
    </row>
    <row r="271" spans="1:11" s="10" customFormat="1" ht="13.5" customHeight="1">
      <c r="A271" s="1945"/>
      <c r="B271" s="1946"/>
      <c r="C271" s="1947"/>
      <c r="D271" s="48">
        <v>2017</v>
      </c>
      <c r="E271" s="8">
        <f t="shared" si="23"/>
        <v>18567.400000000001</v>
      </c>
      <c r="F271" s="9">
        <v>18567.400000000001</v>
      </c>
      <c r="G271" s="9">
        <v>0</v>
      </c>
      <c r="H271" s="9">
        <v>0</v>
      </c>
      <c r="I271" s="9">
        <v>0</v>
      </c>
      <c r="J271" s="1948"/>
      <c r="K271" s="1949"/>
    </row>
    <row r="272" spans="1:11" s="12" customFormat="1" ht="14.25" customHeight="1">
      <c r="A272" s="1945"/>
      <c r="B272" s="1946"/>
      <c r="C272" s="1947"/>
      <c r="D272" s="48">
        <v>2018</v>
      </c>
      <c r="E272" s="8">
        <f t="shared" si="23"/>
        <v>0</v>
      </c>
      <c r="F272" s="9">
        <v>0</v>
      </c>
      <c r="G272" s="9">
        <v>0</v>
      </c>
      <c r="H272" s="9">
        <v>0</v>
      </c>
      <c r="I272" s="9">
        <v>0</v>
      </c>
      <c r="J272" s="1948"/>
      <c r="K272" s="1949"/>
    </row>
    <row r="273" spans="1:11" s="12" customFormat="1" ht="14.25" customHeight="1">
      <c r="A273" s="1945"/>
      <c r="B273" s="1946"/>
      <c r="C273" s="1947"/>
      <c r="D273" s="48">
        <v>2019</v>
      </c>
      <c r="E273" s="8">
        <f t="shared" si="23"/>
        <v>0</v>
      </c>
      <c r="F273" s="9">
        <v>0</v>
      </c>
      <c r="G273" s="9">
        <v>0</v>
      </c>
      <c r="H273" s="9">
        <v>0</v>
      </c>
      <c r="I273" s="9">
        <v>0</v>
      </c>
      <c r="J273" s="1948"/>
      <c r="K273" s="1949"/>
    </row>
    <row r="274" spans="1:11" s="12" customFormat="1" ht="14.25" customHeight="1">
      <c r="A274" s="1945"/>
      <c r="B274" s="1946"/>
      <c r="C274" s="1947"/>
      <c r="D274" s="48">
        <v>2020</v>
      </c>
      <c r="E274" s="8">
        <f t="shared" si="23"/>
        <v>0</v>
      </c>
      <c r="F274" s="9">
        <v>0</v>
      </c>
      <c r="G274" s="9">
        <v>0</v>
      </c>
      <c r="H274" s="9">
        <v>0</v>
      </c>
      <c r="I274" s="9">
        <v>0</v>
      </c>
      <c r="J274" s="1948"/>
      <c r="K274" s="1949"/>
    </row>
    <row r="275" spans="1:11" s="10" customFormat="1" ht="13.5" customHeight="1">
      <c r="A275" s="1945" t="s">
        <v>228</v>
      </c>
      <c r="B275" s="1946" t="s">
        <v>101</v>
      </c>
      <c r="C275" s="1947">
        <v>2017</v>
      </c>
      <c r="D275" s="44" t="s">
        <v>8</v>
      </c>
      <c r="E275" s="8">
        <f t="shared" si="23"/>
        <v>4913</v>
      </c>
      <c r="F275" s="8">
        <f>SUM(F276:F280)</f>
        <v>4913</v>
      </c>
      <c r="G275" s="8">
        <f>SUM(G276:G280)</f>
        <v>0</v>
      </c>
      <c r="H275" s="8">
        <f>SUM(H276:H280)</f>
        <v>0</v>
      </c>
      <c r="I275" s="8">
        <f>SUM(I276:I280)</f>
        <v>0</v>
      </c>
      <c r="J275" s="1948" t="s">
        <v>162</v>
      </c>
      <c r="K275" s="1949" t="s">
        <v>89</v>
      </c>
    </row>
    <row r="276" spans="1:11" s="10" customFormat="1" ht="13.5" customHeight="1">
      <c r="A276" s="1945"/>
      <c r="B276" s="1946"/>
      <c r="C276" s="1947"/>
      <c r="D276" s="44">
        <v>2016</v>
      </c>
      <c r="E276" s="8">
        <f t="shared" si="23"/>
        <v>0</v>
      </c>
      <c r="F276" s="9">
        <v>0</v>
      </c>
      <c r="G276" s="9">
        <v>0</v>
      </c>
      <c r="H276" s="9">
        <v>0</v>
      </c>
      <c r="I276" s="9">
        <v>0</v>
      </c>
      <c r="J276" s="1948"/>
      <c r="K276" s="1949"/>
    </row>
    <row r="277" spans="1:11" s="10" customFormat="1" ht="13.5" customHeight="1">
      <c r="A277" s="1945"/>
      <c r="B277" s="1946"/>
      <c r="C277" s="1947"/>
      <c r="D277" s="44">
        <v>2017</v>
      </c>
      <c r="E277" s="8">
        <f t="shared" si="23"/>
        <v>4913</v>
      </c>
      <c r="F277" s="9">
        <v>4913</v>
      </c>
      <c r="G277" s="9">
        <v>0</v>
      </c>
      <c r="H277" s="9">
        <v>0</v>
      </c>
      <c r="I277" s="9">
        <v>0</v>
      </c>
      <c r="J277" s="1948"/>
      <c r="K277" s="1949"/>
    </row>
    <row r="278" spans="1:11" s="12" customFormat="1" ht="14.25" customHeight="1">
      <c r="A278" s="1945"/>
      <c r="B278" s="1946"/>
      <c r="C278" s="1947"/>
      <c r="D278" s="44">
        <v>2018</v>
      </c>
      <c r="E278" s="8">
        <f t="shared" si="23"/>
        <v>0</v>
      </c>
      <c r="F278" s="9">
        <v>0</v>
      </c>
      <c r="G278" s="9">
        <v>0</v>
      </c>
      <c r="H278" s="9">
        <v>0</v>
      </c>
      <c r="I278" s="9">
        <v>0</v>
      </c>
      <c r="J278" s="1948"/>
      <c r="K278" s="1949"/>
    </row>
    <row r="279" spans="1:11" s="12" customFormat="1" ht="14.25" customHeight="1">
      <c r="A279" s="1945"/>
      <c r="B279" s="1946"/>
      <c r="C279" s="1947"/>
      <c r="D279" s="44">
        <v>2019</v>
      </c>
      <c r="E279" s="8">
        <f t="shared" si="23"/>
        <v>0</v>
      </c>
      <c r="F279" s="9">
        <v>0</v>
      </c>
      <c r="G279" s="9">
        <v>0</v>
      </c>
      <c r="H279" s="9">
        <v>0</v>
      </c>
      <c r="I279" s="9">
        <v>0</v>
      </c>
      <c r="J279" s="1948"/>
      <c r="K279" s="1949"/>
    </row>
    <row r="280" spans="1:11" s="12" customFormat="1" ht="14.25" customHeight="1">
      <c r="A280" s="1945"/>
      <c r="B280" s="1946"/>
      <c r="C280" s="1947"/>
      <c r="D280" s="44">
        <v>2020</v>
      </c>
      <c r="E280" s="8">
        <f t="shared" si="23"/>
        <v>0</v>
      </c>
      <c r="F280" s="9">
        <v>0</v>
      </c>
      <c r="G280" s="9">
        <v>0</v>
      </c>
      <c r="H280" s="9">
        <v>0</v>
      </c>
      <c r="I280" s="9">
        <v>0</v>
      </c>
      <c r="J280" s="1948"/>
      <c r="K280" s="1949"/>
    </row>
    <row r="281" spans="1:11" s="10" customFormat="1" ht="13.5" customHeight="1">
      <c r="A281" s="1945" t="s">
        <v>229</v>
      </c>
      <c r="B281" s="1946" t="s">
        <v>230</v>
      </c>
      <c r="C281" s="1947">
        <v>2018</v>
      </c>
      <c r="D281" s="44" t="s">
        <v>8</v>
      </c>
      <c r="E281" s="8">
        <f t="shared" si="23"/>
        <v>2527.4</v>
      </c>
      <c r="F281" s="8">
        <f>SUM(F282:F286)</f>
        <v>2527.4</v>
      </c>
      <c r="G281" s="8">
        <f>SUM(G282:G286)</f>
        <v>0</v>
      </c>
      <c r="H281" s="8">
        <f>SUM(H282:H286)</f>
        <v>0</v>
      </c>
      <c r="I281" s="8">
        <f>SUM(I282:I286)</f>
        <v>0</v>
      </c>
      <c r="J281" s="1948" t="s">
        <v>231</v>
      </c>
      <c r="K281" s="1949" t="s">
        <v>232</v>
      </c>
    </row>
    <row r="282" spans="1:11" s="10" customFormat="1" ht="13.5" customHeight="1">
      <c r="A282" s="1945"/>
      <c r="B282" s="1946"/>
      <c r="C282" s="1947"/>
      <c r="D282" s="44">
        <v>2016</v>
      </c>
      <c r="E282" s="8">
        <f t="shared" si="23"/>
        <v>0</v>
      </c>
      <c r="F282" s="9">
        <v>0</v>
      </c>
      <c r="G282" s="9">
        <v>0</v>
      </c>
      <c r="H282" s="9">
        <v>0</v>
      </c>
      <c r="I282" s="9">
        <v>0</v>
      </c>
      <c r="J282" s="1948"/>
      <c r="K282" s="1949"/>
    </row>
    <row r="283" spans="1:11" s="10" customFormat="1" ht="13.5" customHeight="1">
      <c r="A283" s="1945"/>
      <c r="B283" s="1946"/>
      <c r="C283" s="1947"/>
      <c r="D283" s="44">
        <v>2017</v>
      </c>
      <c r="E283" s="8">
        <f t="shared" si="23"/>
        <v>0</v>
      </c>
      <c r="F283" s="9">
        <v>0</v>
      </c>
      <c r="G283" s="9">
        <v>0</v>
      </c>
      <c r="H283" s="9">
        <v>0</v>
      </c>
      <c r="I283" s="9">
        <v>0</v>
      </c>
      <c r="J283" s="1948"/>
      <c r="K283" s="1949"/>
    </row>
    <row r="284" spans="1:11" s="12" customFormat="1" ht="14.25" customHeight="1">
      <c r="A284" s="1945"/>
      <c r="B284" s="1946"/>
      <c r="C284" s="1947"/>
      <c r="D284" s="44">
        <v>2018</v>
      </c>
      <c r="E284" s="8">
        <f t="shared" si="23"/>
        <v>2527.4</v>
      </c>
      <c r="F284" s="9">
        <v>2527.4</v>
      </c>
      <c r="G284" s="9">
        <v>0</v>
      </c>
      <c r="H284" s="9">
        <v>0</v>
      </c>
      <c r="I284" s="9">
        <v>0</v>
      </c>
      <c r="J284" s="1948"/>
      <c r="K284" s="1949"/>
    </row>
    <row r="285" spans="1:11" s="12" customFormat="1" ht="14.25" customHeight="1">
      <c r="A285" s="1945"/>
      <c r="B285" s="1946"/>
      <c r="C285" s="1947"/>
      <c r="D285" s="44">
        <v>2019</v>
      </c>
      <c r="E285" s="8">
        <f t="shared" si="23"/>
        <v>0</v>
      </c>
      <c r="F285" s="9">
        <v>0</v>
      </c>
      <c r="G285" s="9">
        <v>0</v>
      </c>
      <c r="H285" s="9">
        <v>0</v>
      </c>
      <c r="I285" s="9">
        <v>0</v>
      </c>
      <c r="J285" s="1948"/>
      <c r="K285" s="1949"/>
    </row>
    <row r="286" spans="1:11" s="12" customFormat="1" ht="14.25" customHeight="1">
      <c r="A286" s="1945"/>
      <c r="B286" s="1946"/>
      <c r="C286" s="1947"/>
      <c r="D286" s="44">
        <v>2020</v>
      </c>
      <c r="E286" s="8">
        <f t="shared" si="23"/>
        <v>0</v>
      </c>
      <c r="F286" s="9">
        <v>0</v>
      </c>
      <c r="G286" s="9">
        <v>0</v>
      </c>
      <c r="H286" s="9">
        <v>0</v>
      </c>
      <c r="I286" s="9">
        <v>0</v>
      </c>
      <c r="J286" s="1948"/>
      <c r="K286" s="1949"/>
    </row>
    <row r="287" spans="1:11" s="10" customFormat="1" ht="13.5" customHeight="1">
      <c r="A287" s="1945" t="s">
        <v>233</v>
      </c>
      <c r="B287" s="1946" t="s">
        <v>234</v>
      </c>
      <c r="C287" s="1947">
        <v>2020</v>
      </c>
      <c r="D287" s="44" t="s">
        <v>8</v>
      </c>
      <c r="E287" s="8">
        <f t="shared" si="23"/>
        <v>18779.400000000001</v>
      </c>
      <c r="F287" s="8">
        <f>SUM(F288:F292)</f>
        <v>17840.400000000001</v>
      </c>
      <c r="G287" s="8">
        <f>SUM(G288:G292)</f>
        <v>0</v>
      </c>
      <c r="H287" s="8">
        <f>SUM(H288:H292)</f>
        <v>939</v>
      </c>
      <c r="I287" s="8">
        <f>SUM(I288:I292)</f>
        <v>0</v>
      </c>
      <c r="J287" s="1948" t="s">
        <v>235</v>
      </c>
      <c r="K287" s="1949" t="s">
        <v>168</v>
      </c>
    </row>
    <row r="288" spans="1:11" s="10" customFormat="1" ht="13.5" customHeight="1">
      <c r="A288" s="1945"/>
      <c r="B288" s="1946"/>
      <c r="C288" s="1947"/>
      <c r="D288" s="44">
        <v>2016</v>
      </c>
      <c r="E288" s="8">
        <f t="shared" si="23"/>
        <v>0</v>
      </c>
      <c r="F288" s="9">
        <v>0</v>
      </c>
      <c r="G288" s="9">
        <v>0</v>
      </c>
      <c r="H288" s="9">
        <v>0</v>
      </c>
      <c r="I288" s="9">
        <v>0</v>
      </c>
      <c r="J288" s="1948"/>
      <c r="K288" s="1949"/>
    </row>
    <row r="289" spans="1:12" s="10" customFormat="1" ht="13.5" customHeight="1">
      <c r="A289" s="1945"/>
      <c r="B289" s="1946"/>
      <c r="C289" s="1947"/>
      <c r="D289" s="44">
        <v>2017</v>
      </c>
      <c r="E289" s="8">
        <f t="shared" si="23"/>
        <v>0</v>
      </c>
      <c r="F289" s="9">
        <v>0</v>
      </c>
      <c r="G289" s="9">
        <v>0</v>
      </c>
      <c r="H289" s="9">
        <v>0</v>
      </c>
      <c r="I289" s="9">
        <v>0</v>
      </c>
      <c r="J289" s="1948"/>
      <c r="K289" s="1949"/>
    </row>
    <row r="290" spans="1:12" s="12" customFormat="1" ht="14.25" customHeight="1">
      <c r="A290" s="1945"/>
      <c r="B290" s="1946"/>
      <c r="C290" s="1947"/>
      <c r="D290" s="44">
        <v>2018</v>
      </c>
      <c r="E290" s="8">
        <f t="shared" si="23"/>
        <v>0</v>
      </c>
      <c r="F290" s="9">
        <v>0</v>
      </c>
      <c r="G290" s="9">
        <v>0</v>
      </c>
      <c r="H290" s="9">
        <v>0</v>
      </c>
      <c r="I290" s="9">
        <v>0</v>
      </c>
      <c r="J290" s="1948"/>
      <c r="K290" s="1949"/>
    </row>
    <row r="291" spans="1:12" s="12" customFormat="1" ht="14.25" customHeight="1">
      <c r="A291" s="1945"/>
      <c r="B291" s="1946"/>
      <c r="C291" s="1947"/>
      <c r="D291" s="44">
        <v>2019</v>
      </c>
      <c r="E291" s="8">
        <f t="shared" si="23"/>
        <v>0</v>
      </c>
      <c r="F291" s="9">
        <v>0</v>
      </c>
      <c r="G291" s="9">
        <v>0</v>
      </c>
      <c r="H291" s="9">
        <v>0</v>
      </c>
      <c r="I291" s="9">
        <v>0</v>
      </c>
      <c r="J291" s="1948"/>
      <c r="K291" s="1949"/>
    </row>
    <row r="292" spans="1:12" s="12" customFormat="1" ht="14.25" customHeight="1">
      <c r="A292" s="1945"/>
      <c r="B292" s="1946"/>
      <c r="C292" s="1947"/>
      <c r="D292" s="44">
        <v>2020</v>
      </c>
      <c r="E292" s="8">
        <f t="shared" si="23"/>
        <v>18779.400000000001</v>
      </c>
      <c r="F292" s="9">
        <v>17840.400000000001</v>
      </c>
      <c r="G292" s="9">
        <v>0</v>
      </c>
      <c r="H292" s="9">
        <v>939</v>
      </c>
      <c r="I292" s="9">
        <v>0</v>
      </c>
      <c r="J292" s="1948"/>
      <c r="K292" s="1949"/>
    </row>
    <row r="293" spans="1:12" ht="15" customHeight="1">
      <c r="A293" s="1945" t="s">
        <v>178</v>
      </c>
      <c r="B293" s="1946" t="s">
        <v>103</v>
      </c>
      <c r="C293" s="1947" t="s">
        <v>14</v>
      </c>
      <c r="D293" s="48" t="s">
        <v>8</v>
      </c>
      <c r="E293" s="8">
        <f t="shared" si="23"/>
        <v>283913.40000000002</v>
      </c>
      <c r="F293" s="8">
        <f>SUM(F294:F298)</f>
        <v>247202.2</v>
      </c>
      <c r="G293" s="8">
        <f>SUM(G294:G298)</f>
        <v>22623</v>
      </c>
      <c r="H293" s="8">
        <f>SUM(H294:H298)</f>
        <v>14088.2</v>
      </c>
      <c r="I293" s="8">
        <f>SUM(I294:I298)</f>
        <v>0</v>
      </c>
      <c r="J293" s="1948" t="s">
        <v>104</v>
      </c>
      <c r="K293" s="1948" t="s">
        <v>105</v>
      </c>
      <c r="L293" s="1955"/>
    </row>
    <row r="294" spans="1:12">
      <c r="A294" s="1945"/>
      <c r="B294" s="1946"/>
      <c r="C294" s="1947"/>
      <c r="D294" s="48">
        <v>2016</v>
      </c>
      <c r="E294" s="8">
        <f t="shared" ref="E294:I298" si="24">E300+E306+E312+E318+E324+E330+E336+E342+E348+E354+E360+E366+E372+E378+E384+E390+E396+E402</f>
        <v>88741</v>
      </c>
      <c r="F294" s="8">
        <f t="shared" si="24"/>
        <v>73734.3</v>
      </c>
      <c r="G294" s="8">
        <f t="shared" si="24"/>
        <v>11357.5</v>
      </c>
      <c r="H294" s="8">
        <f t="shared" si="24"/>
        <v>3649.2</v>
      </c>
      <c r="I294" s="8">
        <f t="shared" si="24"/>
        <v>0</v>
      </c>
      <c r="J294" s="1948"/>
      <c r="K294" s="1948"/>
      <c r="L294" s="1955"/>
    </row>
    <row r="295" spans="1:12">
      <c r="A295" s="1945"/>
      <c r="B295" s="1946"/>
      <c r="C295" s="1947"/>
      <c r="D295" s="48">
        <v>2017</v>
      </c>
      <c r="E295" s="8">
        <f t="shared" si="24"/>
        <v>64251.9</v>
      </c>
      <c r="F295" s="8">
        <f t="shared" si="24"/>
        <v>50265.600000000006</v>
      </c>
      <c r="G295" s="8">
        <f t="shared" si="24"/>
        <v>11265.5</v>
      </c>
      <c r="H295" s="8">
        <f t="shared" si="24"/>
        <v>2720.8</v>
      </c>
      <c r="I295" s="8">
        <f t="shared" si="24"/>
        <v>0</v>
      </c>
      <c r="J295" s="1948"/>
      <c r="K295" s="1948"/>
      <c r="L295" s="1955"/>
    </row>
    <row r="296" spans="1:12">
      <c r="A296" s="1945"/>
      <c r="B296" s="1946"/>
      <c r="C296" s="1947"/>
      <c r="D296" s="48">
        <v>2018</v>
      </c>
      <c r="E296" s="8">
        <f t="shared" si="24"/>
        <v>52003.3</v>
      </c>
      <c r="F296" s="8">
        <f t="shared" si="24"/>
        <v>49477.8</v>
      </c>
      <c r="G296" s="8">
        <f t="shared" si="24"/>
        <v>0</v>
      </c>
      <c r="H296" s="8">
        <f t="shared" si="24"/>
        <v>2525.5</v>
      </c>
      <c r="I296" s="8">
        <f t="shared" si="24"/>
        <v>0</v>
      </c>
      <c r="J296" s="1948"/>
      <c r="K296" s="1948"/>
      <c r="L296" s="1955"/>
    </row>
    <row r="297" spans="1:12">
      <c r="A297" s="1945"/>
      <c r="B297" s="1946"/>
      <c r="C297" s="1947"/>
      <c r="D297" s="48">
        <v>2019</v>
      </c>
      <c r="E297" s="8">
        <f t="shared" si="24"/>
        <v>72917.2</v>
      </c>
      <c r="F297" s="8">
        <f t="shared" si="24"/>
        <v>67724.5</v>
      </c>
      <c r="G297" s="8">
        <f t="shared" si="24"/>
        <v>0</v>
      </c>
      <c r="H297" s="8">
        <f t="shared" si="24"/>
        <v>5192.7</v>
      </c>
      <c r="I297" s="8">
        <f t="shared" si="24"/>
        <v>0</v>
      </c>
      <c r="J297" s="1948"/>
      <c r="K297" s="1948"/>
      <c r="L297" s="1955"/>
    </row>
    <row r="298" spans="1:12">
      <c r="A298" s="1945"/>
      <c r="B298" s="1946"/>
      <c r="C298" s="1947"/>
      <c r="D298" s="48">
        <v>2020</v>
      </c>
      <c r="E298" s="8">
        <f t="shared" si="24"/>
        <v>6000</v>
      </c>
      <c r="F298" s="8">
        <f t="shared" si="24"/>
        <v>6000</v>
      </c>
      <c r="G298" s="8">
        <f t="shared" si="24"/>
        <v>0</v>
      </c>
      <c r="H298" s="8">
        <f t="shared" si="24"/>
        <v>0</v>
      </c>
      <c r="I298" s="8">
        <f t="shared" si="24"/>
        <v>0</v>
      </c>
      <c r="J298" s="1948"/>
      <c r="K298" s="1948"/>
      <c r="L298" s="43"/>
    </row>
    <row r="299" spans="1:12" s="2" customFormat="1" ht="15" customHeight="1">
      <c r="A299" s="1951" t="s">
        <v>102</v>
      </c>
      <c r="B299" s="1952" t="s">
        <v>106</v>
      </c>
      <c r="C299" s="1947" t="s">
        <v>14</v>
      </c>
      <c r="D299" s="37" t="s">
        <v>8</v>
      </c>
      <c r="E299" s="8">
        <f t="shared" ref="E299:E327" si="25">SUM(F299:I299)</f>
        <v>33000</v>
      </c>
      <c r="F299" s="8">
        <f>SUM(F300:F304)</f>
        <v>33000</v>
      </c>
      <c r="G299" s="8">
        <f>SUM(G300:G303)</f>
        <v>0</v>
      </c>
      <c r="H299" s="8">
        <f>SUM(H300:H303)</f>
        <v>0</v>
      </c>
      <c r="I299" s="8">
        <f>SUM(I300:I303)</f>
        <v>0</v>
      </c>
      <c r="J299" s="1952" t="s">
        <v>107</v>
      </c>
      <c r="K299" s="1948" t="s">
        <v>108</v>
      </c>
    </row>
    <row r="300" spans="1:12" s="2" customFormat="1">
      <c r="A300" s="1951"/>
      <c r="B300" s="1952"/>
      <c r="C300" s="1947"/>
      <c r="D300" s="37">
        <v>2016</v>
      </c>
      <c r="E300" s="8">
        <f t="shared" si="25"/>
        <v>9000</v>
      </c>
      <c r="F300" s="13">
        <v>9000</v>
      </c>
      <c r="G300" s="14">
        <v>0</v>
      </c>
      <c r="H300" s="14">
        <v>0</v>
      </c>
      <c r="I300" s="14">
        <v>0</v>
      </c>
      <c r="J300" s="1952"/>
      <c r="K300" s="1948"/>
    </row>
    <row r="301" spans="1:12" s="2" customFormat="1">
      <c r="A301" s="1951"/>
      <c r="B301" s="1952"/>
      <c r="C301" s="1947"/>
      <c r="D301" s="37">
        <v>2017</v>
      </c>
      <c r="E301" s="8">
        <f t="shared" si="25"/>
        <v>6000</v>
      </c>
      <c r="F301" s="13">
        <v>6000</v>
      </c>
      <c r="G301" s="14">
        <v>0</v>
      </c>
      <c r="H301" s="14">
        <v>0</v>
      </c>
      <c r="I301" s="14">
        <v>0</v>
      </c>
      <c r="J301" s="1952"/>
      <c r="K301" s="1948"/>
    </row>
    <row r="302" spans="1:12" s="2" customFormat="1">
      <c r="A302" s="1951"/>
      <c r="B302" s="1952"/>
      <c r="C302" s="1947"/>
      <c r="D302" s="48">
        <v>2018</v>
      </c>
      <c r="E302" s="8">
        <f t="shared" si="25"/>
        <v>6000</v>
      </c>
      <c r="F302" s="13">
        <v>6000</v>
      </c>
      <c r="G302" s="14">
        <v>0</v>
      </c>
      <c r="H302" s="14">
        <v>0</v>
      </c>
      <c r="I302" s="14">
        <v>0</v>
      </c>
      <c r="J302" s="1952"/>
      <c r="K302" s="1948"/>
    </row>
    <row r="303" spans="1:12" s="2" customFormat="1">
      <c r="A303" s="1951"/>
      <c r="B303" s="1952"/>
      <c r="C303" s="1947"/>
      <c r="D303" s="48">
        <v>2019</v>
      </c>
      <c r="E303" s="8">
        <f t="shared" si="25"/>
        <v>6000</v>
      </c>
      <c r="F303" s="13">
        <v>6000</v>
      </c>
      <c r="G303" s="14">
        <v>0</v>
      </c>
      <c r="H303" s="14">
        <v>0</v>
      </c>
      <c r="I303" s="14">
        <v>0</v>
      </c>
      <c r="J303" s="1952"/>
      <c r="K303" s="1948"/>
    </row>
    <row r="304" spans="1:12" s="2" customFormat="1">
      <c r="A304" s="1951"/>
      <c r="B304" s="1952"/>
      <c r="C304" s="1947"/>
      <c r="D304" s="48">
        <v>2020</v>
      </c>
      <c r="E304" s="8">
        <f>SUM(F304:I304)</f>
        <v>6000</v>
      </c>
      <c r="F304" s="13">
        <v>6000</v>
      </c>
      <c r="G304" s="14">
        <v>0</v>
      </c>
      <c r="H304" s="14">
        <v>0</v>
      </c>
      <c r="I304" s="14">
        <v>0</v>
      </c>
      <c r="J304" s="1952"/>
      <c r="K304" s="1948"/>
    </row>
    <row r="305" spans="1:11" ht="15" customHeight="1">
      <c r="A305" s="1951" t="s">
        <v>236</v>
      </c>
      <c r="B305" s="1952" t="s">
        <v>109</v>
      </c>
      <c r="C305" s="1951" t="s">
        <v>84</v>
      </c>
      <c r="D305" s="37" t="s">
        <v>8</v>
      </c>
      <c r="E305" s="8">
        <f t="shared" si="25"/>
        <v>37215.600000000006</v>
      </c>
      <c r="F305" s="8">
        <f>SUM(F306:F310)</f>
        <v>35354.800000000003</v>
      </c>
      <c r="G305" s="8">
        <f>SUM(G306:G310)</f>
        <v>0</v>
      </c>
      <c r="H305" s="8">
        <f>SUM(H306:H310)</f>
        <v>1860.8</v>
      </c>
      <c r="I305" s="8">
        <f>SUM(I306:I310)</f>
        <v>0</v>
      </c>
      <c r="J305" s="1948" t="s">
        <v>163</v>
      </c>
      <c r="K305" s="1949" t="s">
        <v>110</v>
      </c>
    </row>
    <row r="306" spans="1:11">
      <c r="A306" s="1951"/>
      <c r="B306" s="1952"/>
      <c r="C306" s="1951"/>
      <c r="D306" s="37">
        <v>2016</v>
      </c>
      <c r="E306" s="8">
        <f t="shared" si="25"/>
        <v>37215.600000000006</v>
      </c>
      <c r="F306" s="9">
        <v>35354.800000000003</v>
      </c>
      <c r="G306" s="15">
        <v>0</v>
      </c>
      <c r="H306" s="9">
        <v>1860.8</v>
      </c>
      <c r="I306" s="15">
        <v>0</v>
      </c>
      <c r="J306" s="1948"/>
      <c r="K306" s="1949"/>
    </row>
    <row r="307" spans="1:11">
      <c r="A307" s="1951"/>
      <c r="B307" s="1952"/>
      <c r="C307" s="1951"/>
      <c r="D307" s="37">
        <v>2017</v>
      </c>
      <c r="E307" s="8">
        <f t="shared" si="25"/>
        <v>0</v>
      </c>
      <c r="F307" s="15">
        <v>0</v>
      </c>
      <c r="G307" s="15">
        <v>0</v>
      </c>
      <c r="H307" s="15">
        <v>0</v>
      </c>
      <c r="I307" s="15">
        <v>0</v>
      </c>
      <c r="J307" s="1948"/>
      <c r="K307" s="1949"/>
    </row>
    <row r="308" spans="1:11">
      <c r="A308" s="1951"/>
      <c r="B308" s="1952"/>
      <c r="C308" s="1951"/>
      <c r="D308" s="48">
        <v>2018</v>
      </c>
      <c r="E308" s="8">
        <f t="shared" si="25"/>
        <v>0</v>
      </c>
      <c r="F308" s="15">
        <v>0</v>
      </c>
      <c r="G308" s="15">
        <v>0</v>
      </c>
      <c r="H308" s="15">
        <v>0</v>
      </c>
      <c r="I308" s="15">
        <v>0</v>
      </c>
      <c r="J308" s="1948"/>
      <c r="K308" s="1949"/>
    </row>
    <row r="309" spans="1:11">
      <c r="A309" s="1951"/>
      <c r="B309" s="1952"/>
      <c r="C309" s="1951"/>
      <c r="D309" s="48">
        <v>2019</v>
      </c>
      <c r="E309" s="8">
        <f t="shared" si="25"/>
        <v>0</v>
      </c>
      <c r="F309" s="9">
        <v>0</v>
      </c>
      <c r="G309" s="9">
        <v>0</v>
      </c>
      <c r="H309" s="9">
        <v>0</v>
      </c>
      <c r="I309" s="9">
        <v>0</v>
      </c>
      <c r="J309" s="1948"/>
      <c r="K309" s="1949"/>
    </row>
    <row r="310" spans="1:11">
      <c r="A310" s="1951"/>
      <c r="B310" s="1952"/>
      <c r="C310" s="1951"/>
      <c r="D310" s="48">
        <v>2020</v>
      </c>
      <c r="E310" s="8">
        <f>SUM(F310:I310)</f>
        <v>0</v>
      </c>
      <c r="F310" s="9">
        <v>0</v>
      </c>
      <c r="G310" s="9">
        <v>0</v>
      </c>
      <c r="H310" s="9">
        <v>0</v>
      </c>
      <c r="I310" s="9">
        <v>0</v>
      </c>
      <c r="J310" s="1948"/>
      <c r="K310" s="1949"/>
    </row>
    <row r="311" spans="1:11" ht="15" customHeight="1">
      <c r="A311" s="1951" t="s">
        <v>237</v>
      </c>
      <c r="B311" s="1952" t="s">
        <v>111</v>
      </c>
      <c r="C311" s="1951">
        <v>2016</v>
      </c>
      <c r="D311" s="37" t="s">
        <v>8</v>
      </c>
      <c r="E311" s="8">
        <f t="shared" si="25"/>
        <v>2392.1</v>
      </c>
      <c r="F311" s="8">
        <f>SUM(F312:F316)</f>
        <v>2272.5</v>
      </c>
      <c r="G311" s="8">
        <f>SUM(G312:G316)</f>
        <v>0</v>
      </c>
      <c r="H311" s="8">
        <f>SUM(H312:H316)</f>
        <v>119.6</v>
      </c>
      <c r="I311" s="8">
        <f>SUM(I312:I316)</f>
        <v>0</v>
      </c>
      <c r="J311" s="1948" t="s">
        <v>112</v>
      </c>
      <c r="K311" s="1949" t="s">
        <v>113</v>
      </c>
    </row>
    <row r="312" spans="1:11">
      <c r="A312" s="1951"/>
      <c r="B312" s="1952"/>
      <c r="C312" s="1951"/>
      <c r="D312" s="37">
        <v>2016</v>
      </c>
      <c r="E312" s="8">
        <f t="shared" si="25"/>
        <v>2392.1</v>
      </c>
      <c r="F312" s="9">
        <v>2272.5</v>
      </c>
      <c r="G312" s="9">
        <v>0</v>
      </c>
      <c r="H312" s="9">
        <v>119.6</v>
      </c>
      <c r="I312" s="9">
        <v>0</v>
      </c>
      <c r="J312" s="1948"/>
      <c r="K312" s="1949"/>
    </row>
    <row r="313" spans="1:11">
      <c r="A313" s="1951"/>
      <c r="B313" s="1952"/>
      <c r="C313" s="1951"/>
      <c r="D313" s="37">
        <v>2017</v>
      </c>
      <c r="E313" s="8">
        <f t="shared" si="25"/>
        <v>0</v>
      </c>
      <c r="F313" s="9">
        <v>0</v>
      </c>
      <c r="G313" s="9">
        <v>0</v>
      </c>
      <c r="H313" s="9">
        <v>0</v>
      </c>
      <c r="I313" s="9">
        <v>0</v>
      </c>
      <c r="J313" s="1948"/>
      <c r="K313" s="1949"/>
    </row>
    <row r="314" spans="1:11">
      <c r="A314" s="1951"/>
      <c r="B314" s="1952"/>
      <c r="C314" s="1951"/>
      <c r="D314" s="48">
        <v>2018</v>
      </c>
      <c r="E314" s="8">
        <f t="shared" si="25"/>
        <v>0</v>
      </c>
      <c r="F314" s="9">
        <v>0</v>
      </c>
      <c r="G314" s="9">
        <v>0</v>
      </c>
      <c r="H314" s="9">
        <v>0</v>
      </c>
      <c r="I314" s="9">
        <v>0</v>
      </c>
      <c r="J314" s="1948"/>
      <c r="K314" s="1949"/>
    </row>
    <row r="315" spans="1:11">
      <c r="A315" s="1951"/>
      <c r="B315" s="1952"/>
      <c r="C315" s="1951"/>
      <c r="D315" s="48">
        <v>2019</v>
      </c>
      <c r="E315" s="8">
        <f t="shared" si="25"/>
        <v>0</v>
      </c>
      <c r="F315" s="9">
        <v>0</v>
      </c>
      <c r="G315" s="9">
        <v>0</v>
      </c>
      <c r="H315" s="9">
        <v>0</v>
      </c>
      <c r="I315" s="9">
        <v>0</v>
      </c>
      <c r="J315" s="1948"/>
      <c r="K315" s="1949"/>
    </row>
    <row r="316" spans="1:11">
      <c r="A316" s="1951"/>
      <c r="B316" s="1952"/>
      <c r="C316" s="1951"/>
      <c r="D316" s="48">
        <v>2020</v>
      </c>
      <c r="E316" s="8">
        <f>SUM(F316:I316)</f>
        <v>0</v>
      </c>
      <c r="F316" s="9">
        <v>0</v>
      </c>
      <c r="G316" s="9">
        <v>0</v>
      </c>
      <c r="H316" s="9">
        <v>0</v>
      </c>
      <c r="I316" s="9">
        <v>0</v>
      </c>
      <c r="J316" s="1948"/>
      <c r="K316" s="1949"/>
    </row>
    <row r="317" spans="1:11" ht="15" customHeight="1">
      <c r="A317" s="1951" t="s">
        <v>238</v>
      </c>
      <c r="B317" s="1952" t="s">
        <v>114</v>
      </c>
      <c r="C317" s="1951">
        <v>2016</v>
      </c>
      <c r="D317" s="37" t="s">
        <v>8</v>
      </c>
      <c r="E317" s="8">
        <f t="shared" si="25"/>
        <v>2156.7000000000003</v>
      </c>
      <c r="F317" s="8">
        <f>SUM(F318:F322)</f>
        <v>2048.9</v>
      </c>
      <c r="G317" s="8">
        <f>SUM(G318:G322)</f>
        <v>0</v>
      </c>
      <c r="H317" s="8">
        <f>SUM(H318:H322)</f>
        <v>107.8</v>
      </c>
      <c r="I317" s="8">
        <f>SUM(I318:I322)</f>
        <v>0</v>
      </c>
      <c r="J317" s="1948" t="s">
        <v>115</v>
      </c>
      <c r="K317" s="1949" t="s">
        <v>113</v>
      </c>
    </row>
    <row r="318" spans="1:11">
      <c r="A318" s="1951"/>
      <c r="B318" s="1952"/>
      <c r="C318" s="1951"/>
      <c r="D318" s="37">
        <v>2016</v>
      </c>
      <c r="E318" s="8">
        <f t="shared" si="25"/>
        <v>2156.7000000000003</v>
      </c>
      <c r="F318" s="9">
        <v>2048.9</v>
      </c>
      <c r="G318" s="9">
        <v>0</v>
      </c>
      <c r="H318" s="9">
        <v>107.8</v>
      </c>
      <c r="I318" s="9">
        <v>0</v>
      </c>
      <c r="J318" s="1948"/>
      <c r="K318" s="1949"/>
    </row>
    <row r="319" spans="1:11">
      <c r="A319" s="1951"/>
      <c r="B319" s="1952"/>
      <c r="C319" s="1951"/>
      <c r="D319" s="37">
        <v>2017</v>
      </c>
      <c r="E319" s="8">
        <f t="shared" si="25"/>
        <v>0</v>
      </c>
      <c r="F319" s="9">
        <v>0</v>
      </c>
      <c r="G319" s="9">
        <v>0</v>
      </c>
      <c r="H319" s="9">
        <v>0</v>
      </c>
      <c r="I319" s="9">
        <v>0</v>
      </c>
      <c r="J319" s="1948"/>
      <c r="K319" s="1949"/>
    </row>
    <row r="320" spans="1:11">
      <c r="A320" s="1951"/>
      <c r="B320" s="1952"/>
      <c r="C320" s="1951"/>
      <c r="D320" s="48">
        <v>2018</v>
      </c>
      <c r="E320" s="8">
        <f t="shared" si="25"/>
        <v>0</v>
      </c>
      <c r="F320" s="9">
        <v>0</v>
      </c>
      <c r="G320" s="9">
        <v>0</v>
      </c>
      <c r="H320" s="9">
        <v>0</v>
      </c>
      <c r="I320" s="9">
        <v>0</v>
      </c>
      <c r="J320" s="1948"/>
      <c r="K320" s="1949"/>
    </row>
    <row r="321" spans="1:11">
      <c r="A321" s="1951"/>
      <c r="B321" s="1952"/>
      <c r="C321" s="1951"/>
      <c r="D321" s="48">
        <v>2019</v>
      </c>
      <c r="E321" s="8">
        <f t="shared" si="25"/>
        <v>0</v>
      </c>
      <c r="F321" s="9">
        <v>0</v>
      </c>
      <c r="G321" s="9">
        <v>0</v>
      </c>
      <c r="H321" s="9">
        <v>0</v>
      </c>
      <c r="I321" s="9">
        <v>0</v>
      </c>
      <c r="J321" s="1948"/>
      <c r="K321" s="1949"/>
    </row>
    <row r="322" spans="1:11">
      <c r="A322" s="1951"/>
      <c r="B322" s="1952"/>
      <c r="C322" s="1951"/>
      <c r="D322" s="48">
        <v>2020</v>
      </c>
      <c r="E322" s="8">
        <f>SUM(F322:I322)</f>
        <v>0</v>
      </c>
      <c r="F322" s="9">
        <v>0</v>
      </c>
      <c r="G322" s="9">
        <v>0</v>
      </c>
      <c r="H322" s="9">
        <v>0</v>
      </c>
      <c r="I322" s="9">
        <v>0</v>
      </c>
      <c r="J322" s="1948"/>
      <c r="K322" s="1949"/>
    </row>
    <row r="323" spans="1:11" ht="16.5" customHeight="1">
      <c r="A323" s="1951" t="s">
        <v>239</v>
      </c>
      <c r="B323" s="1952" t="s">
        <v>116</v>
      </c>
      <c r="C323" s="1951">
        <v>2016</v>
      </c>
      <c r="D323" s="37" t="s">
        <v>8</v>
      </c>
      <c r="E323" s="8">
        <f t="shared" si="25"/>
        <v>5977.5</v>
      </c>
      <c r="F323" s="8">
        <f>SUM(F324:F328)</f>
        <v>5678.6</v>
      </c>
      <c r="G323" s="8">
        <f>SUM(G324:G328)</f>
        <v>0</v>
      </c>
      <c r="H323" s="8">
        <f>SUM(H324:H328)</f>
        <v>298.89999999999998</v>
      </c>
      <c r="I323" s="8">
        <f>SUM(I324:I328)</f>
        <v>0</v>
      </c>
      <c r="J323" s="1948" t="s">
        <v>117</v>
      </c>
      <c r="K323" s="1949" t="s">
        <v>113</v>
      </c>
    </row>
    <row r="324" spans="1:11" ht="16.5" customHeight="1">
      <c r="A324" s="1951"/>
      <c r="B324" s="1952"/>
      <c r="C324" s="1951"/>
      <c r="D324" s="37">
        <v>2016</v>
      </c>
      <c r="E324" s="8">
        <f t="shared" si="25"/>
        <v>5977.5</v>
      </c>
      <c r="F324" s="9">
        <v>5678.6</v>
      </c>
      <c r="G324" s="9">
        <v>0</v>
      </c>
      <c r="H324" s="9">
        <v>298.89999999999998</v>
      </c>
      <c r="I324" s="9">
        <v>0</v>
      </c>
      <c r="J324" s="1948"/>
      <c r="K324" s="1949"/>
    </row>
    <row r="325" spans="1:11" ht="16.5" customHeight="1">
      <c r="A325" s="1951"/>
      <c r="B325" s="1952"/>
      <c r="C325" s="1951"/>
      <c r="D325" s="37">
        <v>2017</v>
      </c>
      <c r="E325" s="8">
        <f t="shared" si="25"/>
        <v>0</v>
      </c>
      <c r="F325" s="9">
        <v>0</v>
      </c>
      <c r="G325" s="9">
        <v>0</v>
      </c>
      <c r="H325" s="9">
        <v>0</v>
      </c>
      <c r="I325" s="9">
        <v>0</v>
      </c>
      <c r="J325" s="1948"/>
      <c r="K325" s="1949"/>
    </row>
    <row r="326" spans="1:11" ht="16.5" customHeight="1">
      <c r="A326" s="1951"/>
      <c r="B326" s="1952"/>
      <c r="C326" s="1951"/>
      <c r="D326" s="48">
        <v>2018</v>
      </c>
      <c r="E326" s="8">
        <f t="shared" si="25"/>
        <v>0</v>
      </c>
      <c r="F326" s="9">
        <v>0</v>
      </c>
      <c r="G326" s="9">
        <v>0</v>
      </c>
      <c r="H326" s="9">
        <v>0</v>
      </c>
      <c r="I326" s="9">
        <v>0</v>
      </c>
      <c r="J326" s="1948"/>
      <c r="K326" s="1949"/>
    </row>
    <row r="327" spans="1:11" ht="16.5" customHeight="1">
      <c r="A327" s="1951"/>
      <c r="B327" s="1952"/>
      <c r="C327" s="1951"/>
      <c r="D327" s="48">
        <v>2019</v>
      </c>
      <c r="E327" s="8">
        <f t="shared" si="25"/>
        <v>0</v>
      </c>
      <c r="F327" s="9">
        <v>0</v>
      </c>
      <c r="G327" s="9">
        <v>0</v>
      </c>
      <c r="H327" s="9">
        <v>0</v>
      </c>
      <c r="I327" s="9">
        <v>0</v>
      </c>
      <c r="J327" s="1948"/>
      <c r="K327" s="1949"/>
    </row>
    <row r="328" spans="1:11" ht="16.5" customHeight="1">
      <c r="A328" s="1951"/>
      <c r="B328" s="1952"/>
      <c r="C328" s="1951"/>
      <c r="D328" s="48">
        <v>2020</v>
      </c>
      <c r="E328" s="8">
        <f>SUM(F328:I328)</f>
        <v>0</v>
      </c>
      <c r="F328" s="9">
        <v>0</v>
      </c>
      <c r="G328" s="9">
        <v>0</v>
      </c>
      <c r="H328" s="9">
        <v>0</v>
      </c>
      <c r="I328" s="9">
        <v>0</v>
      </c>
      <c r="J328" s="1948"/>
      <c r="K328" s="1949"/>
    </row>
    <row r="329" spans="1:11" ht="12.75" customHeight="1">
      <c r="A329" s="1951" t="s">
        <v>240</v>
      </c>
      <c r="B329" s="1952" t="s">
        <v>118</v>
      </c>
      <c r="C329" s="1951">
        <v>2016</v>
      </c>
      <c r="D329" s="37" t="s">
        <v>8</v>
      </c>
      <c r="E329" s="8">
        <f t="shared" ref="E329:E339" si="26">SUM(F329:I329)</f>
        <v>13114.6</v>
      </c>
      <c r="F329" s="8">
        <f>SUM(F330:F334)</f>
        <v>12452.5</v>
      </c>
      <c r="G329" s="8">
        <f>SUM(G330:G334)</f>
        <v>0</v>
      </c>
      <c r="H329" s="8">
        <f>SUM(H330:H334)</f>
        <v>662.1</v>
      </c>
      <c r="I329" s="8">
        <f>SUM(I330:I334)</f>
        <v>0</v>
      </c>
      <c r="J329" s="1948" t="s">
        <v>119</v>
      </c>
      <c r="K329" s="1949" t="s">
        <v>90</v>
      </c>
    </row>
    <row r="330" spans="1:11">
      <c r="A330" s="1951"/>
      <c r="B330" s="1952"/>
      <c r="C330" s="1951"/>
      <c r="D330" s="37">
        <v>2016</v>
      </c>
      <c r="E330" s="8">
        <f t="shared" si="26"/>
        <v>13114.6</v>
      </c>
      <c r="F330" s="9">
        <v>12452.5</v>
      </c>
      <c r="G330" s="9">
        <v>0</v>
      </c>
      <c r="H330" s="9">
        <v>662.1</v>
      </c>
      <c r="I330" s="9">
        <v>0</v>
      </c>
      <c r="J330" s="1948"/>
      <c r="K330" s="1949"/>
    </row>
    <row r="331" spans="1:11">
      <c r="A331" s="1951"/>
      <c r="B331" s="1952"/>
      <c r="C331" s="1951"/>
      <c r="D331" s="37">
        <v>2017</v>
      </c>
      <c r="E331" s="8">
        <f t="shared" si="26"/>
        <v>0</v>
      </c>
      <c r="F331" s="9">
        <v>0</v>
      </c>
      <c r="G331" s="9">
        <v>0</v>
      </c>
      <c r="H331" s="9">
        <v>0</v>
      </c>
      <c r="I331" s="9">
        <v>0</v>
      </c>
      <c r="J331" s="1948"/>
      <c r="K331" s="1949"/>
    </row>
    <row r="332" spans="1:11">
      <c r="A332" s="1951"/>
      <c r="B332" s="1952"/>
      <c r="C332" s="1951"/>
      <c r="D332" s="48">
        <v>2018</v>
      </c>
      <c r="E332" s="8">
        <f t="shared" si="26"/>
        <v>0</v>
      </c>
      <c r="F332" s="9">
        <v>0</v>
      </c>
      <c r="G332" s="9">
        <v>0</v>
      </c>
      <c r="H332" s="9">
        <v>0</v>
      </c>
      <c r="I332" s="9">
        <v>0</v>
      </c>
      <c r="J332" s="1948"/>
      <c r="K332" s="1949"/>
    </row>
    <row r="333" spans="1:11">
      <c r="A333" s="1951"/>
      <c r="B333" s="1952"/>
      <c r="C333" s="1951"/>
      <c r="D333" s="48">
        <v>2019</v>
      </c>
      <c r="E333" s="8">
        <f t="shared" si="26"/>
        <v>0</v>
      </c>
      <c r="F333" s="9">
        <v>0</v>
      </c>
      <c r="G333" s="9">
        <v>0</v>
      </c>
      <c r="H333" s="9">
        <v>0</v>
      </c>
      <c r="I333" s="9">
        <v>0</v>
      </c>
      <c r="J333" s="1948"/>
      <c r="K333" s="1949"/>
    </row>
    <row r="334" spans="1:11">
      <c r="A334" s="1951"/>
      <c r="B334" s="1952"/>
      <c r="C334" s="1951"/>
      <c r="D334" s="48">
        <v>2020</v>
      </c>
      <c r="E334" s="8">
        <f>SUM(F334:I334)</f>
        <v>0</v>
      </c>
      <c r="F334" s="9">
        <v>0</v>
      </c>
      <c r="G334" s="9">
        <v>0</v>
      </c>
      <c r="H334" s="9">
        <v>0</v>
      </c>
      <c r="I334" s="9">
        <v>0</v>
      </c>
      <c r="J334" s="1948"/>
      <c r="K334" s="1949"/>
    </row>
    <row r="335" spans="1:11" ht="15" customHeight="1">
      <c r="A335" s="1951" t="s">
        <v>241</v>
      </c>
      <c r="B335" s="1952" t="s">
        <v>120</v>
      </c>
      <c r="C335" s="1951" t="s">
        <v>30</v>
      </c>
      <c r="D335" s="37" t="s">
        <v>8</v>
      </c>
      <c r="E335" s="8">
        <f t="shared" si="26"/>
        <v>23223</v>
      </c>
      <c r="F335" s="8">
        <f>SUM(F336:F340)</f>
        <v>0</v>
      </c>
      <c r="G335" s="8">
        <f>SUM(G336:G340)</f>
        <v>22623</v>
      </c>
      <c r="H335" s="8">
        <f>SUM(H336:H340)</f>
        <v>600</v>
      </c>
      <c r="I335" s="8">
        <f>SUM(I336:I340)</f>
        <v>0</v>
      </c>
      <c r="J335" s="1948" t="s">
        <v>121</v>
      </c>
      <c r="K335" s="1949" t="s">
        <v>113</v>
      </c>
    </row>
    <row r="336" spans="1:11">
      <c r="A336" s="1951"/>
      <c r="B336" s="1952"/>
      <c r="C336" s="1951"/>
      <c r="D336" s="37">
        <v>2016</v>
      </c>
      <c r="E336" s="8">
        <f t="shared" si="26"/>
        <v>11957.5</v>
      </c>
      <c r="F336" s="9">
        <v>0</v>
      </c>
      <c r="G336" s="9">
        <v>11357.5</v>
      </c>
      <c r="H336" s="9">
        <v>600</v>
      </c>
      <c r="I336" s="9">
        <v>0</v>
      </c>
      <c r="J336" s="1948"/>
      <c r="K336" s="1949"/>
    </row>
    <row r="337" spans="1:11">
      <c r="A337" s="1951"/>
      <c r="B337" s="1952"/>
      <c r="C337" s="1951"/>
      <c r="D337" s="37">
        <v>2017</v>
      </c>
      <c r="E337" s="8">
        <f t="shared" si="26"/>
        <v>11265.5</v>
      </c>
      <c r="F337" s="9">
        <v>0</v>
      </c>
      <c r="G337" s="9">
        <v>11265.5</v>
      </c>
      <c r="H337" s="9">
        <v>0</v>
      </c>
      <c r="I337" s="9">
        <v>0</v>
      </c>
      <c r="J337" s="1948"/>
      <c r="K337" s="1949"/>
    </row>
    <row r="338" spans="1:11">
      <c r="A338" s="1951"/>
      <c r="B338" s="1952"/>
      <c r="C338" s="1951"/>
      <c r="D338" s="48">
        <v>2018</v>
      </c>
      <c r="E338" s="8">
        <f t="shared" si="26"/>
        <v>0</v>
      </c>
      <c r="F338" s="9">
        <v>0</v>
      </c>
      <c r="G338" s="9">
        <v>0</v>
      </c>
      <c r="H338" s="9">
        <v>0</v>
      </c>
      <c r="I338" s="9">
        <v>0</v>
      </c>
      <c r="J338" s="1948"/>
      <c r="K338" s="1949"/>
    </row>
    <row r="339" spans="1:11">
      <c r="A339" s="1951"/>
      <c r="B339" s="1952"/>
      <c r="C339" s="1951"/>
      <c r="D339" s="48">
        <v>2019</v>
      </c>
      <c r="E339" s="8">
        <f t="shared" si="26"/>
        <v>0</v>
      </c>
      <c r="F339" s="9">
        <v>0</v>
      </c>
      <c r="G339" s="9">
        <v>0</v>
      </c>
      <c r="H339" s="9">
        <v>0</v>
      </c>
      <c r="I339" s="9">
        <v>0</v>
      </c>
      <c r="J339" s="1948"/>
      <c r="K339" s="1949"/>
    </row>
    <row r="340" spans="1:11">
      <c r="A340" s="1951"/>
      <c r="B340" s="1952"/>
      <c r="C340" s="1951"/>
      <c r="D340" s="48">
        <v>2020</v>
      </c>
      <c r="E340" s="8">
        <f>SUM(F340:I340)</f>
        <v>0</v>
      </c>
      <c r="F340" s="9">
        <v>0</v>
      </c>
      <c r="G340" s="9">
        <v>0</v>
      </c>
      <c r="H340" s="9">
        <v>0</v>
      </c>
      <c r="I340" s="9">
        <v>0</v>
      </c>
      <c r="J340" s="1948"/>
      <c r="K340" s="1949"/>
    </row>
    <row r="341" spans="1:11" ht="15" customHeight="1">
      <c r="A341" s="1951" t="s">
        <v>242</v>
      </c>
      <c r="B341" s="1952" t="s">
        <v>122</v>
      </c>
      <c r="C341" s="1951">
        <v>2016</v>
      </c>
      <c r="D341" s="37" t="s">
        <v>8</v>
      </c>
      <c r="E341" s="8">
        <f t="shared" ref="E341:E404" si="27">SUM(F341:I341)</f>
        <v>6327</v>
      </c>
      <c r="F341" s="8">
        <f>SUM(F342:F346)</f>
        <v>6327</v>
      </c>
      <c r="G341" s="8">
        <f>SUM(G342:G346)</f>
        <v>0</v>
      </c>
      <c r="H341" s="8">
        <f>SUM(H342:H346)</f>
        <v>0</v>
      </c>
      <c r="I341" s="8">
        <f>SUM(I342:I346)</f>
        <v>0</v>
      </c>
      <c r="J341" s="1948" t="s">
        <v>123</v>
      </c>
      <c r="K341" s="1949" t="s">
        <v>23</v>
      </c>
    </row>
    <row r="342" spans="1:11">
      <c r="A342" s="1951"/>
      <c r="B342" s="1952"/>
      <c r="C342" s="1951"/>
      <c r="D342" s="37">
        <v>2016</v>
      </c>
      <c r="E342" s="8">
        <f t="shared" si="27"/>
        <v>6327</v>
      </c>
      <c r="F342" s="9">
        <v>6327</v>
      </c>
      <c r="G342" s="9">
        <v>0</v>
      </c>
      <c r="H342" s="9">
        <v>0</v>
      </c>
      <c r="I342" s="9">
        <v>0</v>
      </c>
      <c r="J342" s="1948"/>
      <c r="K342" s="1949"/>
    </row>
    <row r="343" spans="1:11">
      <c r="A343" s="1951"/>
      <c r="B343" s="1952"/>
      <c r="C343" s="1951"/>
      <c r="D343" s="37">
        <v>2017</v>
      </c>
      <c r="E343" s="8">
        <f t="shared" si="27"/>
        <v>0</v>
      </c>
      <c r="F343" s="9">
        <v>0</v>
      </c>
      <c r="G343" s="9">
        <v>0</v>
      </c>
      <c r="H343" s="9">
        <v>0</v>
      </c>
      <c r="I343" s="9">
        <v>0</v>
      </c>
      <c r="J343" s="1948"/>
      <c r="K343" s="1949"/>
    </row>
    <row r="344" spans="1:11">
      <c r="A344" s="1951"/>
      <c r="B344" s="1952"/>
      <c r="C344" s="1951"/>
      <c r="D344" s="48">
        <v>2018</v>
      </c>
      <c r="E344" s="8">
        <f t="shared" si="27"/>
        <v>0</v>
      </c>
      <c r="F344" s="9">
        <v>0</v>
      </c>
      <c r="G344" s="9">
        <v>0</v>
      </c>
      <c r="H344" s="9">
        <v>0</v>
      </c>
      <c r="I344" s="9">
        <v>0</v>
      </c>
      <c r="J344" s="1948"/>
      <c r="K344" s="1949"/>
    </row>
    <row r="345" spans="1:11">
      <c r="A345" s="1951"/>
      <c r="B345" s="1952"/>
      <c r="C345" s="1951"/>
      <c r="D345" s="48">
        <v>2019</v>
      </c>
      <c r="E345" s="8">
        <f>SUM(F345:I345)</f>
        <v>0</v>
      </c>
      <c r="F345" s="9">
        <v>0</v>
      </c>
      <c r="G345" s="9">
        <v>0</v>
      </c>
      <c r="H345" s="9">
        <v>0</v>
      </c>
      <c r="I345" s="9">
        <v>0</v>
      </c>
      <c r="J345" s="1948"/>
      <c r="K345" s="1949"/>
    </row>
    <row r="346" spans="1:11">
      <c r="A346" s="1951"/>
      <c r="B346" s="1952"/>
      <c r="C346" s="1951"/>
      <c r="D346" s="48">
        <v>2020</v>
      </c>
      <c r="E346" s="8">
        <f>SUM(F346:I346)</f>
        <v>0</v>
      </c>
      <c r="F346" s="9">
        <v>0</v>
      </c>
      <c r="G346" s="9">
        <v>0</v>
      </c>
      <c r="H346" s="9">
        <v>0</v>
      </c>
      <c r="I346" s="9">
        <v>0</v>
      </c>
      <c r="J346" s="1948"/>
      <c r="K346" s="1949"/>
    </row>
    <row r="347" spans="1:11" ht="15" customHeight="1">
      <c r="A347" s="1951" t="s">
        <v>243</v>
      </c>
      <c r="B347" s="1952" t="s">
        <v>124</v>
      </c>
      <c r="C347" s="1951">
        <v>2016</v>
      </c>
      <c r="D347" s="37" t="s">
        <v>8</v>
      </c>
      <c r="E347" s="8">
        <f t="shared" si="27"/>
        <v>600</v>
      </c>
      <c r="F347" s="8">
        <f>SUM(F348:F352)</f>
        <v>600</v>
      </c>
      <c r="G347" s="8">
        <f>SUM(G348:G352)</f>
        <v>0</v>
      </c>
      <c r="H347" s="8">
        <f>SUM(H348:H352)</f>
        <v>0</v>
      </c>
      <c r="I347" s="8">
        <f>SUM(I348:I352)</f>
        <v>0</v>
      </c>
      <c r="J347" s="1948" t="s">
        <v>125</v>
      </c>
      <c r="K347" s="1949" t="s">
        <v>23</v>
      </c>
    </row>
    <row r="348" spans="1:11">
      <c r="A348" s="1951"/>
      <c r="B348" s="1952"/>
      <c r="C348" s="1951"/>
      <c r="D348" s="37">
        <v>2016</v>
      </c>
      <c r="E348" s="8">
        <f t="shared" si="27"/>
        <v>600</v>
      </c>
      <c r="F348" s="9">
        <v>600</v>
      </c>
      <c r="G348" s="9">
        <v>0</v>
      </c>
      <c r="H348" s="9">
        <v>0</v>
      </c>
      <c r="I348" s="9">
        <v>0</v>
      </c>
      <c r="J348" s="1948"/>
      <c r="K348" s="1949"/>
    </row>
    <row r="349" spans="1:11">
      <c r="A349" s="1951"/>
      <c r="B349" s="1952"/>
      <c r="C349" s="1951"/>
      <c r="D349" s="37">
        <v>2017</v>
      </c>
      <c r="E349" s="8">
        <f t="shared" si="27"/>
        <v>0</v>
      </c>
      <c r="F349" s="9">
        <v>0</v>
      </c>
      <c r="G349" s="9">
        <v>0</v>
      </c>
      <c r="H349" s="9">
        <v>0</v>
      </c>
      <c r="I349" s="9">
        <v>0</v>
      </c>
      <c r="J349" s="1948"/>
      <c r="K349" s="1949"/>
    </row>
    <row r="350" spans="1:11">
      <c r="A350" s="1951"/>
      <c r="B350" s="1952"/>
      <c r="C350" s="1951"/>
      <c r="D350" s="48">
        <v>2018</v>
      </c>
      <c r="E350" s="8">
        <f t="shared" si="27"/>
        <v>0</v>
      </c>
      <c r="F350" s="9">
        <v>0</v>
      </c>
      <c r="G350" s="9">
        <v>0</v>
      </c>
      <c r="H350" s="9">
        <v>0</v>
      </c>
      <c r="I350" s="9">
        <v>0</v>
      </c>
      <c r="J350" s="1948"/>
      <c r="K350" s="1949"/>
    </row>
    <row r="351" spans="1:11">
      <c r="A351" s="1951"/>
      <c r="B351" s="1952"/>
      <c r="C351" s="1951"/>
      <c r="D351" s="48">
        <v>2019</v>
      </c>
      <c r="E351" s="8">
        <f t="shared" si="27"/>
        <v>0</v>
      </c>
      <c r="F351" s="9">
        <v>0</v>
      </c>
      <c r="G351" s="9">
        <v>0</v>
      </c>
      <c r="H351" s="9">
        <v>0</v>
      </c>
      <c r="I351" s="9">
        <v>0</v>
      </c>
      <c r="J351" s="1948"/>
      <c r="K351" s="1949"/>
    </row>
    <row r="352" spans="1:11">
      <c r="A352" s="1951"/>
      <c r="B352" s="1952"/>
      <c r="C352" s="1951"/>
      <c r="D352" s="48">
        <v>2020</v>
      </c>
      <c r="E352" s="8">
        <f t="shared" si="27"/>
        <v>0</v>
      </c>
      <c r="F352" s="9">
        <v>0</v>
      </c>
      <c r="G352" s="9">
        <v>0</v>
      </c>
      <c r="H352" s="9">
        <v>0</v>
      </c>
      <c r="I352" s="9">
        <v>0</v>
      </c>
      <c r="J352" s="1948"/>
      <c r="K352" s="1949"/>
    </row>
    <row r="353" spans="1:11" ht="15" customHeight="1">
      <c r="A353" s="1951" t="s">
        <v>244</v>
      </c>
      <c r="B353" s="1952" t="s">
        <v>126</v>
      </c>
      <c r="C353" s="1951">
        <v>2017</v>
      </c>
      <c r="D353" s="37" t="s">
        <v>8</v>
      </c>
      <c r="E353" s="8">
        <f t="shared" si="27"/>
        <v>9490.9</v>
      </c>
      <c r="F353" s="8">
        <f>SUM(F354:F358)</f>
        <v>8990.9</v>
      </c>
      <c r="G353" s="8">
        <f>SUM(G354:G358)</f>
        <v>0</v>
      </c>
      <c r="H353" s="8">
        <f>SUM(H354:H358)</f>
        <v>500</v>
      </c>
      <c r="I353" s="8">
        <f>SUM(I354:I358)</f>
        <v>0</v>
      </c>
      <c r="J353" s="1948" t="s">
        <v>127</v>
      </c>
      <c r="K353" s="1949" t="s">
        <v>128</v>
      </c>
    </row>
    <row r="354" spans="1:11">
      <c r="A354" s="1951"/>
      <c r="B354" s="1952"/>
      <c r="C354" s="1951"/>
      <c r="D354" s="37">
        <v>2016</v>
      </c>
      <c r="E354" s="8">
        <f t="shared" si="27"/>
        <v>0</v>
      </c>
      <c r="F354" s="9">
        <v>0</v>
      </c>
      <c r="G354" s="9">
        <v>0</v>
      </c>
      <c r="H354" s="9">
        <v>0</v>
      </c>
      <c r="I354" s="9">
        <v>0</v>
      </c>
      <c r="J354" s="1948"/>
      <c r="K354" s="1949"/>
    </row>
    <row r="355" spans="1:11">
      <c r="A355" s="1951"/>
      <c r="B355" s="1952"/>
      <c r="C355" s="1951"/>
      <c r="D355" s="37">
        <v>2017</v>
      </c>
      <c r="E355" s="8">
        <f t="shared" si="27"/>
        <v>9490.9</v>
      </c>
      <c r="F355" s="9">
        <v>8990.9</v>
      </c>
      <c r="G355" s="9">
        <v>0</v>
      </c>
      <c r="H355" s="9">
        <v>500</v>
      </c>
      <c r="I355" s="9">
        <v>0</v>
      </c>
      <c r="J355" s="1948"/>
      <c r="K355" s="1949"/>
    </row>
    <row r="356" spans="1:11">
      <c r="A356" s="1951"/>
      <c r="B356" s="1952"/>
      <c r="C356" s="1951"/>
      <c r="D356" s="48">
        <v>2018</v>
      </c>
      <c r="E356" s="8">
        <f t="shared" si="27"/>
        <v>0</v>
      </c>
      <c r="F356" s="9">
        <v>0</v>
      </c>
      <c r="G356" s="9">
        <v>0</v>
      </c>
      <c r="H356" s="9">
        <v>0</v>
      </c>
      <c r="I356" s="9">
        <v>0</v>
      </c>
      <c r="J356" s="1948"/>
      <c r="K356" s="1949"/>
    </row>
    <row r="357" spans="1:11">
      <c r="A357" s="1951"/>
      <c r="B357" s="1952"/>
      <c r="C357" s="1951"/>
      <c r="D357" s="48">
        <v>2019</v>
      </c>
      <c r="E357" s="8">
        <f t="shared" si="27"/>
        <v>0</v>
      </c>
      <c r="F357" s="9">
        <v>0</v>
      </c>
      <c r="G357" s="9">
        <v>0</v>
      </c>
      <c r="H357" s="9">
        <v>0</v>
      </c>
      <c r="I357" s="9">
        <v>0</v>
      </c>
      <c r="J357" s="1948"/>
      <c r="K357" s="1949"/>
    </row>
    <row r="358" spans="1:11">
      <c r="A358" s="1951"/>
      <c r="B358" s="1952"/>
      <c r="C358" s="1951"/>
      <c r="D358" s="48">
        <v>2020</v>
      </c>
      <c r="E358" s="8">
        <f>SUM(F358:I358)</f>
        <v>0</v>
      </c>
      <c r="F358" s="9">
        <v>0</v>
      </c>
      <c r="G358" s="9">
        <v>0</v>
      </c>
      <c r="H358" s="9">
        <v>0</v>
      </c>
      <c r="I358" s="9">
        <v>0</v>
      </c>
      <c r="J358" s="1948"/>
      <c r="K358" s="1949"/>
    </row>
    <row r="359" spans="1:11" ht="15" customHeight="1">
      <c r="A359" s="1951" t="s">
        <v>245</v>
      </c>
      <c r="B359" s="1952" t="s">
        <v>246</v>
      </c>
      <c r="C359" s="1951">
        <v>2017</v>
      </c>
      <c r="D359" s="37" t="s">
        <v>8</v>
      </c>
      <c r="E359" s="8">
        <f t="shared" si="27"/>
        <v>2086.5</v>
      </c>
      <c r="F359" s="8">
        <f>SUM(F360:F364)</f>
        <v>1936.5</v>
      </c>
      <c r="G359" s="8">
        <f>SUM(G360:G364)</f>
        <v>0</v>
      </c>
      <c r="H359" s="8">
        <f>SUM(H360:H364)</f>
        <v>150</v>
      </c>
      <c r="I359" s="8">
        <f>SUM(I360:I364)</f>
        <v>0</v>
      </c>
      <c r="J359" s="1948" t="s">
        <v>247</v>
      </c>
      <c r="K359" s="1949" t="s">
        <v>113</v>
      </c>
    </row>
    <row r="360" spans="1:11">
      <c r="A360" s="1951"/>
      <c r="B360" s="1952"/>
      <c r="C360" s="1951"/>
      <c r="D360" s="37">
        <v>2016</v>
      </c>
      <c r="E360" s="8">
        <f t="shared" si="27"/>
        <v>0</v>
      </c>
      <c r="F360" s="9">
        <v>0</v>
      </c>
      <c r="G360" s="9">
        <v>0</v>
      </c>
      <c r="H360" s="9">
        <v>0</v>
      </c>
      <c r="I360" s="9">
        <v>0</v>
      </c>
      <c r="J360" s="1948"/>
      <c r="K360" s="1949"/>
    </row>
    <row r="361" spans="1:11">
      <c r="A361" s="1951"/>
      <c r="B361" s="1952"/>
      <c r="C361" s="1951"/>
      <c r="D361" s="37">
        <v>2017</v>
      </c>
      <c r="E361" s="8">
        <f t="shared" si="27"/>
        <v>2086.5</v>
      </c>
      <c r="F361" s="9">
        <v>1936.5</v>
      </c>
      <c r="G361" s="9">
        <v>0</v>
      </c>
      <c r="H361" s="9">
        <v>150</v>
      </c>
      <c r="I361" s="9">
        <v>0</v>
      </c>
      <c r="J361" s="1948"/>
      <c r="K361" s="1949"/>
    </row>
    <row r="362" spans="1:11">
      <c r="A362" s="1951"/>
      <c r="B362" s="1952"/>
      <c r="C362" s="1951"/>
      <c r="D362" s="48">
        <v>2018</v>
      </c>
      <c r="E362" s="8">
        <f t="shared" si="27"/>
        <v>0</v>
      </c>
      <c r="F362" s="9">
        <v>0</v>
      </c>
      <c r="G362" s="9">
        <v>0</v>
      </c>
      <c r="H362" s="9">
        <v>0</v>
      </c>
      <c r="I362" s="9">
        <v>0</v>
      </c>
      <c r="J362" s="1948"/>
      <c r="K362" s="1949"/>
    </row>
    <row r="363" spans="1:11">
      <c r="A363" s="1951"/>
      <c r="B363" s="1952"/>
      <c r="C363" s="1951"/>
      <c r="D363" s="48">
        <v>2019</v>
      </c>
      <c r="E363" s="8">
        <f t="shared" si="27"/>
        <v>0</v>
      </c>
      <c r="F363" s="9">
        <v>0</v>
      </c>
      <c r="G363" s="9">
        <v>0</v>
      </c>
      <c r="H363" s="9">
        <v>0</v>
      </c>
      <c r="I363" s="9">
        <v>0</v>
      </c>
      <c r="J363" s="1948"/>
      <c r="K363" s="1949"/>
    </row>
    <row r="364" spans="1:11">
      <c r="A364" s="1951"/>
      <c r="B364" s="1952"/>
      <c r="C364" s="1951"/>
      <c r="D364" s="48">
        <v>2020</v>
      </c>
      <c r="E364" s="8">
        <f>SUM(F364:I364)</f>
        <v>0</v>
      </c>
      <c r="F364" s="9">
        <v>0</v>
      </c>
      <c r="G364" s="9">
        <v>0</v>
      </c>
      <c r="H364" s="9">
        <v>0</v>
      </c>
      <c r="I364" s="9">
        <v>0</v>
      </c>
      <c r="J364" s="1948"/>
      <c r="K364" s="1949"/>
    </row>
    <row r="365" spans="1:11" ht="15" customHeight="1">
      <c r="A365" s="1951" t="s">
        <v>248</v>
      </c>
      <c r="B365" s="1952" t="s">
        <v>164</v>
      </c>
      <c r="C365" s="1951">
        <v>2017</v>
      </c>
      <c r="D365" s="37" t="s">
        <v>8</v>
      </c>
      <c r="E365" s="8">
        <f t="shared" si="27"/>
        <v>25409</v>
      </c>
      <c r="F365" s="8">
        <f>SUM(F366:F370)</f>
        <v>23838.2</v>
      </c>
      <c r="G365" s="8">
        <f>SUM(G366:G370)</f>
        <v>0</v>
      </c>
      <c r="H365" s="8">
        <f>SUM(H366:H370)</f>
        <v>1570.8</v>
      </c>
      <c r="I365" s="8">
        <f>SUM(I366:I370)</f>
        <v>0</v>
      </c>
      <c r="J365" s="1948" t="s">
        <v>165</v>
      </c>
      <c r="K365" s="1949" t="s">
        <v>113</v>
      </c>
    </row>
    <row r="366" spans="1:11">
      <c r="A366" s="1951"/>
      <c r="B366" s="1952"/>
      <c r="C366" s="1951"/>
      <c r="D366" s="37">
        <v>2016</v>
      </c>
      <c r="E366" s="8">
        <f t="shared" si="27"/>
        <v>0</v>
      </c>
      <c r="F366" s="9">
        <v>0</v>
      </c>
      <c r="G366" s="9">
        <v>0</v>
      </c>
      <c r="H366" s="9">
        <v>0</v>
      </c>
      <c r="I366" s="9">
        <v>0</v>
      </c>
      <c r="J366" s="1948"/>
      <c r="K366" s="1949"/>
    </row>
    <row r="367" spans="1:11">
      <c r="A367" s="1951"/>
      <c r="B367" s="1952"/>
      <c r="C367" s="1951"/>
      <c r="D367" s="37">
        <v>2017</v>
      </c>
      <c r="E367" s="8">
        <f t="shared" si="27"/>
        <v>25409</v>
      </c>
      <c r="F367" s="9">
        <v>23838.2</v>
      </c>
      <c r="G367" s="9">
        <v>0</v>
      </c>
      <c r="H367" s="9">
        <v>1570.8</v>
      </c>
      <c r="I367" s="9">
        <v>0</v>
      </c>
      <c r="J367" s="1948"/>
      <c r="K367" s="1949"/>
    </row>
    <row r="368" spans="1:11">
      <c r="A368" s="1951"/>
      <c r="B368" s="1952"/>
      <c r="C368" s="1951"/>
      <c r="D368" s="48">
        <v>2018</v>
      </c>
      <c r="E368" s="8">
        <f t="shared" si="27"/>
        <v>0</v>
      </c>
      <c r="F368" s="9">
        <v>0</v>
      </c>
      <c r="G368" s="9">
        <v>0</v>
      </c>
      <c r="H368" s="9">
        <v>0</v>
      </c>
      <c r="I368" s="9">
        <v>0</v>
      </c>
      <c r="J368" s="1948"/>
      <c r="K368" s="1949"/>
    </row>
    <row r="369" spans="1:11">
      <c r="A369" s="1951"/>
      <c r="B369" s="1952"/>
      <c r="C369" s="1951"/>
      <c r="D369" s="48">
        <v>2019</v>
      </c>
      <c r="E369" s="8">
        <f t="shared" si="27"/>
        <v>0</v>
      </c>
      <c r="F369" s="9">
        <v>0</v>
      </c>
      <c r="G369" s="9">
        <v>0</v>
      </c>
      <c r="H369" s="9">
        <v>0</v>
      </c>
      <c r="I369" s="9">
        <v>0</v>
      </c>
      <c r="J369" s="1948"/>
      <c r="K369" s="1949"/>
    </row>
    <row r="370" spans="1:11">
      <c r="A370" s="1951"/>
      <c r="B370" s="1952"/>
      <c r="C370" s="1951"/>
      <c r="D370" s="48">
        <v>2020</v>
      </c>
      <c r="E370" s="8">
        <f t="shared" si="27"/>
        <v>0</v>
      </c>
      <c r="F370" s="9">
        <v>0</v>
      </c>
      <c r="G370" s="9">
        <v>0</v>
      </c>
      <c r="H370" s="9">
        <v>0</v>
      </c>
      <c r="I370" s="9">
        <v>0</v>
      </c>
      <c r="J370" s="1948"/>
      <c r="K370" s="1949"/>
    </row>
    <row r="371" spans="1:11" ht="15" customHeight="1">
      <c r="A371" s="1951" t="s">
        <v>249</v>
      </c>
      <c r="B371" s="1952" t="s">
        <v>166</v>
      </c>
      <c r="C371" s="1951">
        <v>2017</v>
      </c>
      <c r="D371" s="37" t="s">
        <v>8</v>
      </c>
      <c r="E371" s="8">
        <f t="shared" si="27"/>
        <v>10000</v>
      </c>
      <c r="F371" s="8">
        <f>SUM(F372:F376)</f>
        <v>9500</v>
      </c>
      <c r="G371" s="8">
        <f>SUM(G372:G376)</f>
        <v>0</v>
      </c>
      <c r="H371" s="8">
        <f>SUM(H372:H376)</f>
        <v>500</v>
      </c>
      <c r="I371" s="8">
        <f>SUM(I372:I376)</f>
        <v>0</v>
      </c>
      <c r="J371" s="1948" t="s">
        <v>167</v>
      </c>
      <c r="K371" s="1949" t="s">
        <v>168</v>
      </c>
    </row>
    <row r="372" spans="1:11">
      <c r="A372" s="1951"/>
      <c r="B372" s="1952"/>
      <c r="C372" s="1951"/>
      <c r="D372" s="37">
        <v>2016</v>
      </c>
      <c r="E372" s="8">
        <f t="shared" si="27"/>
        <v>0</v>
      </c>
      <c r="F372" s="9">
        <v>0</v>
      </c>
      <c r="G372" s="9">
        <v>0</v>
      </c>
      <c r="H372" s="9">
        <v>0</v>
      </c>
      <c r="I372" s="9">
        <v>0</v>
      </c>
      <c r="J372" s="1948"/>
      <c r="K372" s="1949"/>
    </row>
    <row r="373" spans="1:11">
      <c r="A373" s="1951"/>
      <c r="B373" s="1952"/>
      <c r="C373" s="1951"/>
      <c r="D373" s="37">
        <v>2017</v>
      </c>
      <c r="E373" s="8">
        <f t="shared" si="27"/>
        <v>10000</v>
      </c>
      <c r="F373" s="9">
        <v>9500</v>
      </c>
      <c r="G373" s="9">
        <v>0</v>
      </c>
      <c r="H373" s="9">
        <v>500</v>
      </c>
      <c r="I373" s="9">
        <v>0</v>
      </c>
      <c r="J373" s="1948"/>
      <c r="K373" s="1949"/>
    </row>
    <row r="374" spans="1:11">
      <c r="A374" s="1951"/>
      <c r="B374" s="1952"/>
      <c r="C374" s="1951"/>
      <c r="D374" s="48">
        <v>2018</v>
      </c>
      <c r="E374" s="8">
        <f t="shared" si="27"/>
        <v>0</v>
      </c>
      <c r="F374" s="9">
        <v>0</v>
      </c>
      <c r="G374" s="9">
        <v>0</v>
      </c>
      <c r="H374" s="9">
        <v>0</v>
      </c>
      <c r="I374" s="9">
        <v>0</v>
      </c>
      <c r="J374" s="1948"/>
      <c r="K374" s="1949"/>
    </row>
    <row r="375" spans="1:11">
      <c r="A375" s="1951"/>
      <c r="B375" s="1952"/>
      <c r="C375" s="1951"/>
      <c r="D375" s="48">
        <v>2019</v>
      </c>
      <c r="E375" s="8">
        <f t="shared" si="27"/>
        <v>0</v>
      </c>
      <c r="F375" s="9">
        <v>0</v>
      </c>
      <c r="G375" s="9">
        <v>0</v>
      </c>
      <c r="H375" s="9">
        <v>0</v>
      </c>
      <c r="I375" s="9">
        <v>0</v>
      </c>
      <c r="J375" s="1948"/>
      <c r="K375" s="1949"/>
    </row>
    <row r="376" spans="1:11">
      <c r="A376" s="1951"/>
      <c r="B376" s="1952"/>
      <c r="C376" s="1951"/>
      <c r="D376" s="48">
        <v>2020</v>
      </c>
      <c r="E376" s="8">
        <f t="shared" si="27"/>
        <v>0</v>
      </c>
      <c r="F376" s="9">
        <v>0</v>
      </c>
      <c r="G376" s="9">
        <v>0</v>
      </c>
      <c r="H376" s="9">
        <v>0</v>
      </c>
      <c r="I376" s="9">
        <v>0</v>
      </c>
      <c r="J376" s="1948"/>
      <c r="K376" s="1949"/>
    </row>
    <row r="377" spans="1:11" s="2" customFormat="1" ht="15" customHeight="1">
      <c r="A377" s="1951" t="s">
        <v>250</v>
      </c>
      <c r="B377" s="1952" t="s">
        <v>251</v>
      </c>
      <c r="C377" s="1951">
        <v>2018</v>
      </c>
      <c r="D377" s="51" t="s">
        <v>8</v>
      </c>
      <c r="E377" s="8">
        <f t="shared" si="27"/>
        <v>6633.9</v>
      </c>
      <c r="F377" s="8">
        <f>SUM(F378:F382)</f>
        <v>6302.2</v>
      </c>
      <c r="G377" s="8">
        <f>SUM(G378:G382)</f>
        <v>0</v>
      </c>
      <c r="H377" s="8">
        <f>SUM(H378:H382)</f>
        <v>331.7</v>
      </c>
      <c r="I377" s="8">
        <f>SUM(I378:I382)</f>
        <v>0</v>
      </c>
      <c r="J377" s="1948" t="s">
        <v>252</v>
      </c>
      <c r="K377" s="1949" t="s">
        <v>113</v>
      </c>
    </row>
    <row r="378" spans="1:11" s="2" customFormat="1">
      <c r="A378" s="1951"/>
      <c r="B378" s="1952"/>
      <c r="C378" s="1951"/>
      <c r="D378" s="51">
        <v>2016</v>
      </c>
      <c r="E378" s="8">
        <f t="shared" si="27"/>
        <v>0</v>
      </c>
      <c r="F378" s="9">
        <v>0</v>
      </c>
      <c r="G378" s="9">
        <v>0</v>
      </c>
      <c r="H378" s="9">
        <v>0</v>
      </c>
      <c r="I378" s="9">
        <v>0</v>
      </c>
      <c r="J378" s="1948"/>
      <c r="K378" s="1949"/>
    </row>
    <row r="379" spans="1:11" s="2" customFormat="1">
      <c r="A379" s="1951"/>
      <c r="B379" s="1952"/>
      <c r="C379" s="1951"/>
      <c r="D379" s="51">
        <v>2017</v>
      </c>
      <c r="E379" s="8">
        <f t="shared" si="27"/>
        <v>0</v>
      </c>
      <c r="F379" s="9">
        <v>0</v>
      </c>
      <c r="G379" s="9">
        <v>0</v>
      </c>
      <c r="H379" s="9">
        <v>0</v>
      </c>
      <c r="I379" s="9">
        <v>0</v>
      </c>
      <c r="J379" s="1948"/>
      <c r="K379" s="1949"/>
    </row>
    <row r="380" spans="1:11" s="2" customFormat="1">
      <c r="A380" s="1951"/>
      <c r="B380" s="1952"/>
      <c r="C380" s="1951"/>
      <c r="D380" s="44">
        <v>2018</v>
      </c>
      <c r="E380" s="8">
        <f t="shared" si="27"/>
        <v>6633.9</v>
      </c>
      <c r="F380" s="9">
        <v>6302.2</v>
      </c>
      <c r="G380" s="9">
        <v>0</v>
      </c>
      <c r="H380" s="9">
        <v>331.7</v>
      </c>
      <c r="I380" s="9">
        <v>0</v>
      </c>
      <c r="J380" s="1948"/>
      <c r="K380" s="1949"/>
    </row>
    <row r="381" spans="1:11" s="2" customFormat="1">
      <c r="A381" s="1951"/>
      <c r="B381" s="1952"/>
      <c r="C381" s="1951"/>
      <c r="D381" s="44">
        <v>2019</v>
      </c>
      <c r="E381" s="8">
        <f t="shared" si="27"/>
        <v>0</v>
      </c>
      <c r="F381" s="9">
        <v>0</v>
      </c>
      <c r="G381" s="9">
        <v>0</v>
      </c>
      <c r="H381" s="9">
        <v>0</v>
      </c>
      <c r="I381" s="9">
        <v>0</v>
      </c>
      <c r="J381" s="1948"/>
      <c r="K381" s="1949"/>
    </row>
    <row r="382" spans="1:11" s="2" customFormat="1">
      <c r="A382" s="1951"/>
      <c r="B382" s="1952"/>
      <c r="C382" s="1951"/>
      <c r="D382" s="44">
        <v>2020</v>
      </c>
      <c r="E382" s="8">
        <f t="shared" si="27"/>
        <v>0</v>
      </c>
      <c r="F382" s="9">
        <v>0</v>
      </c>
      <c r="G382" s="9">
        <v>0</v>
      </c>
      <c r="H382" s="9">
        <v>0</v>
      </c>
      <c r="I382" s="9">
        <v>0</v>
      </c>
      <c r="J382" s="1948"/>
      <c r="K382" s="1949"/>
    </row>
    <row r="383" spans="1:11" s="2" customFormat="1" ht="15" customHeight="1">
      <c r="A383" s="1951" t="s">
        <v>253</v>
      </c>
      <c r="B383" s="1952" t="s">
        <v>254</v>
      </c>
      <c r="C383" s="1951" t="s">
        <v>255</v>
      </c>
      <c r="D383" s="51" t="s">
        <v>8</v>
      </c>
      <c r="E383" s="8">
        <f t="shared" si="27"/>
        <v>75252.3</v>
      </c>
      <c r="F383" s="8">
        <f>SUM(F384:F388)</f>
        <v>70586.600000000006</v>
      </c>
      <c r="G383" s="8">
        <f>SUM(G384:G388)</f>
        <v>0</v>
      </c>
      <c r="H383" s="8">
        <f>SUM(H384:H388)</f>
        <v>4665.7</v>
      </c>
      <c r="I383" s="8">
        <f>SUM(I384:I388)</f>
        <v>0</v>
      </c>
      <c r="J383" s="1948" t="s">
        <v>256</v>
      </c>
      <c r="K383" s="1949" t="s">
        <v>168</v>
      </c>
    </row>
    <row r="384" spans="1:11" s="2" customFormat="1">
      <c r="A384" s="1951"/>
      <c r="B384" s="1952"/>
      <c r="C384" s="1951"/>
      <c r="D384" s="51">
        <v>2016</v>
      </c>
      <c r="E384" s="8">
        <f t="shared" si="27"/>
        <v>0</v>
      </c>
      <c r="F384" s="9">
        <v>0</v>
      </c>
      <c r="G384" s="9">
        <v>0</v>
      </c>
      <c r="H384" s="9">
        <v>0</v>
      </c>
      <c r="I384" s="9">
        <v>0</v>
      </c>
      <c r="J384" s="1948"/>
      <c r="K384" s="1949"/>
    </row>
    <row r="385" spans="1:11" s="2" customFormat="1">
      <c r="A385" s="1951"/>
      <c r="B385" s="1952"/>
      <c r="C385" s="1951"/>
      <c r="D385" s="51">
        <v>2017</v>
      </c>
      <c r="E385" s="8">
        <f t="shared" si="27"/>
        <v>0</v>
      </c>
      <c r="F385" s="9">
        <v>0</v>
      </c>
      <c r="G385" s="9">
        <v>0</v>
      </c>
      <c r="H385" s="9">
        <v>0</v>
      </c>
      <c r="I385" s="9">
        <v>0</v>
      </c>
      <c r="J385" s="1948"/>
      <c r="K385" s="1949"/>
    </row>
    <row r="386" spans="1:11" s="2" customFormat="1">
      <c r="A386" s="1951"/>
      <c r="B386" s="1952"/>
      <c r="C386" s="1951"/>
      <c r="D386" s="44">
        <v>2018</v>
      </c>
      <c r="E386" s="8">
        <f t="shared" si="27"/>
        <v>18773.5</v>
      </c>
      <c r="F386" s="9">
        <v>17609.5</v>
      </c>
      <c r="G386" s="9">
        <v>0</v>
      </c>
      <c r="H386" s="9">
        <v>1164</v>
      </c>
      <c r="I386" s="9">
        <v>0</v>
      </c>
      <c r="J386" s="1948"/>
      <c r="K386" s="1949"/>
    </row>
    <row r="387" spans="1:11" s="2" customFormat="1">
      <c r="A387" s="1951"/>
      <c r="B387" s="1952"/>
      <c r="C387" s="1951"/>
      <c r="D387" s="44">
        <v>2019</v>
      </c>
      <c r="E387" s="8">
        <f t="shared" si="27"/>
        <v>56478.799999999996</v>
      </c>
      <c r="F387" s="9">
        <v>52977.1</v>
      </c>
      <c r="G387" s="9">
        <v>0</v>
      </c>
      <c r="H387" s="9">
        <v>3501.7</v>
      </c>
      <c r="I387" s="9">
        <v>0</v>
      </c>
      <c r="J387" s="1948"/>
      <c r="K387" s="1949"/>
    </row>
    <row r="388" spans="1:11" s="2" customFormat="1">
      <c r="A388" s="1951"/>
      <c r="B388" s="1952"/>
      <c r="C388" s="1951"/>
      <c r="D388" s="44">
        <v>2020</v>
      </c>
      <c r="E388" s="8">
        <f t="shared" si="27"/>
        <v>0</v>
      </c>
      <c r="F388" s="9">
        <v>0</v>
      </c>
      <c r="G388" s="9">
        <v>0</v>
      </c>
      <c r="H388" s="9">
        <v>0</v>
      </c>
      <c r="I388" s="9">
        <v>0</v>
      </c>
      <c r="J388" s="1948"/>
      <c r="K388" s="1949"/>
    </row>
    <row r="389" spans="1:11" s="2" customFormat="1" ht="15" customHeight="1">
      <c r="A389" s="1951" t="s">
        <v>257</v>
      </c>
      <c r="B389" s="1952" t="s">
        <v>258</v>
      </c>
      <c r="C389" s="1951">
        <v>2018</v>
      </c>
      <c r="D389" s="51" t="s">
        <v>8</v>
      </c>
      <c r="E389" s="8">
        <f t="shared" si="27"/>
        <v>11650.4</v>
      </c>
      <c r="F389" s="8">
        <f>SUM(F390:F394)</f>
        <v>11067.9</v>
      </c>
      <c r="G389" s="8">
        <f>SUM(G390:G394)</f>
        <v>0</v>
      </c>
      <c r="H389" s="8">
        <f>SUM(H390:H394)</f>
        <v>582.5</v>
      </c>
      <c r="I389" s="8">
        <f>SUM(I390:I394)</f>
        <v>0</v>
      </c>
      <c r="J389" s="1948" t="s">
        <v>259</v>
      </c>
      <c r="K389" s="1949" t="s">
        <v>168</v>
      </c>
    </row>
    <row r="390" spans="1:11" s="2" customFormat="1">
      <c r="A390" s="1951"/>
      <c r="B390" s="1952"/>
      <c r="C390" s="1951"/>
      <c r="D390" s="51">
        <v>2016</v>
      </c>
      <c r="E390" s="8">
        <f t="shared" si="27"/>
        <v>0</v>
      </c>
      <c r="F390" s="9">
        <v>0</v>
      </c>
      <c r="G390" s="9">
        <v>0</v>
      </c>
      <c r="H390" s="9">
        <v>0</v>
      </c>
      <c r="I390" s="9">
        <v>0</v>
      </c>
      <c r="J390" s="1948"/>
      <c r="K390" s="1949"/>
    </row>
    <row r="391" spans="1:11" s="2" customFormat="1">
      <c r="A391" s="1951"/>
      <c r="B391" s="1952"/>
      <c r="C391" s="1951"/>
      <c r="D391" s="51">
        <v>2017</v>
      </c>
      <c r="E391" s="8">
        <f t="shared" si="27"/>
        <v>0</v>
      </c>
      <c r="F391" s="9">
        <v>0</v>
      </c>
      <c r="G391" s="9">
        <v>0</v>
      </c>
      <c r="H391" s="9">
        <v>0</v>
      </c>
      <c r="I391" s="9">
        <v>0</v>
      </c>
      <c r="J391" s="1948"/>
      <c r="K391" s="1949"/>
    </row>
    <row r="392" spans="1:11" s="2" customFormat="1">
      <c r="A392" s="1951"/>
      <c r="B392" s="1952"/>
      <c r="C392" s="1951"/>
      <c r="D392" s="44">
        <v>2018</v>
      </c>
      <c r="E392" s="8">
        <f t="shared" si="27"/>
        <v>11650.4</v>
      </c>
      <c r="F392" s="9">
        <v>11067.9</v>
      </c>
      <c r="G392" s="9">
        <v>0</v>
      </c>
      <c r="H392" s="9">
        <v>582.5</v>
      </c>
      <c r="I392" s="9">
        <v>0</v>
      </c>
      <c r="J392" s="1948"/>
      <c r="K392" s="1949"/>
    </row>
    <row r="393" spans="1:11" s="2" customFormat="1">
      <c r="A393" s="1951"/>
      <c r="B393" s="1952"/>
      <c r="C393" s="1951"/>
      <c r="D393" s="44">
        <v>2019</v>
      </c>
      <c r="E393" s="8">
        <f t="shared" si="27"/>
        <v>0</v>
      </c>
      <c r="F393" s="9">
        <v>0</v>
      </c>
      <c r="G393" s="9">
        <v>0</v>
      </c>
      <c r="H393" s="9">
        <v>0</v>
      </c>
      <c r="I393" s="9">
        <v>0</v>
      </c>
      <c r="J393" s="1948"/>
      <c r="K393" s="1949"/>
    </row>
    <row r="394" spans="1:11" s="2" customFormat="1">
      <c r="A394" s="1951"/>
      <c r="B394" s="1952"/>
      <c r="C394" s="1951"/>
      <c r="D394" s="44">
        <v>2020</v>
      </c>
      <c r="E394" s="8">
        <f t="shared" si="27"/>
        <v>0</v>
      </c>
      <c r="F394" s="9">
        <v>0</v>
      </c>
      <c r="G394" s="9">
        <v>0</v>
      </c>
      <c r="H394" s="9">
        <v>0</v>
      </c>
      <c r="I394" s="9">
        <v>0</v>
      </c>
      <c r="J394" s="1948"/>
      <c r="K394" s="1949"/>
    </row>
    <row r="395" spans="1:11" s="2" customFormat="1" ht="15" customHeight="1">
      <c r="A395" s="1951" t="s">
        <v>260</v>
      </c>
      <c r="B395" s="1952" t="s">
        <v>261</v>
      </c>
      <c r="C395" s="1951">
        <v>2018</v>
      </c>
      <c r="D395" s="51" t="s">
        <v>8</v>
      </c>
      <c r="E395" s="8">
        <f t="shared" si="27"/>
        <v>8945.5</v>
      </c>
      <c r="F395" s="8">
        <f>SUM(F396:F400)</f>
        <v>8498.2000000000007</v>
      </c>
      <c r="G395" s="8">
        <f>SUM(G396:G400)</f>
        <v>0</v>
      </c>
      <c r="H395" s="8">
        <f>SUM(H396:H400)</f>
        <v>447.3</v>
      </c>
      <c r="I395" s="8">
        <f>SUM(I396:I400)</f>
        <v>0</v>
      </c>
      <c r="J395" s="1948" t="s">
        <v>262</v>
      </c>
      <c r="K395" s="1949" t="s">
        <v>168</v>
      </c>
    </row>
    <row r="396" spans="1:11" s="2" customFormat="1">
      <c r="A396" s="1951"/>
      <c r="B396" s="1952"/>
      <c r="C396" s="1951"/>
      <c r="D396" s="51">
        <v>2016</v>
      </c>
      <c r="E396" s="8">
        <f t="shared" si="27"/>
        <v>0</v>
      </c>
      <c r="F396" s="9">
        <v>0</v>
      </c>
      <c r="G396" s="9">
        <v>0</v>
      </c>
      <c r="H396" s="9">
        <v>0</v>
      </c>
      <c r="I396" s="9">
        <v>0</v>
      </c>
      <c r="J396" s="1948"/>
      <c r="K396" s="1949"/>
    </row>
    <row r="397" spans="1:11" s="2" customFormat="1">
      <c r="A397" s="1951"/>
      <c r="B397" s="1952"/>
      <c r="C397" s="1951"/>
      <c r="D397" s="51">
        <v>2017</v>
      </c>
      <c r="E397" s="8">
        <f t="shared" si="27"/>
        <v>0</v>
      </c>
      <c r="F397" s="9">
        <v>0</v>
      </c>
      <c r="G397" s="9">
        <v>0</v>
      </c>
      <c r="H397" s="9">
        <v>0</v>
      </c>
      <c r="I397" s="9">
        <v>0</v>
      </c>
      <c r="J397" s="1948"/>
      <c r="K397" s="1949"/>
    </row>
    <row r="398" spans="1:11" s="2" customFormat="1">
      <c r="A398" s="1951"/>
      <c r="B398" s="1952"/>
      <c r="C398" s="1951"/>
      <c r="D398" s="44">
        <v>2018</v>
      </c>
      <c r="E398" s="8">
        <f t="shared" si="27"/>
        <v>8945.5</v>
      </c>
      <c r="F398" s="9">
        <v>8498.2000000000007</v>
      </c>
      <c r="G398" s="9">
        <v>0</v>
      </c>
      <c r="H398" s="9">
        <v>447.3</v>
      </c>
      <c r="I398" s="9">
        <v>0</v>
      </c>
      <c r="J398" s="1948"/>
      <c r="K398" s="1949"/>
    </row>
    <row r="399" spans="1:11" s="2" customFormat="1">
      <c r="A399" s="1951"/>
      <c r="B399" s="1952"/>
      <c r="C399" s="1951"/>
      <c r="D399" s="44">
        <v>2019</v>
      </c>
      <c r="E399" s="8">
        <f t="shared" si="27"/>
        <v>0</v>
      </c>
      <c r="F399" s="9">
        <v>0</v>
      </c>
      <c r="G399" s="9">
        <v>0</v>
      </c>
      <c r="H399" s="9">
        <v>0</v>
      </c>
      <c r="I399" s="9">
        <v>0</v>
      </c>
      <c r="J399" s="1948"/>
      <c r="K399" s="1949"/>
    </row>
    <row r="400" spans="1:11" s="2" customFormat="1">
      <c r="A400" s="1951"/>
      <c r="B400" s="1952"/>
      <c r="C400" s="1951"/>
      <c r="D400" s="44">
        <v>2020</v>
      </c>
      <c r="E400" s="8">
        <f t="shared" si="27"/>
        <v>0</v>
      </c>
      <c r="F400" s="9">
        <v>0</v>
      </c>
      <c r="G400" s="9">
        <v>0</v>
      </c>
      <c r="H400" s="9">
        <v>0</v>
      </c>
      <c r="I400" s="9">
        <v>0</v>
      </c>
      <c r="J400" s="1948"/>
      <c r="K400" s="1949"/>
    </row>
    <row r="401" spans="1:11" s="2" customFormat="1" ht="15" customHeight="1">
      <c r="A401" s="1951" t="s">
        <v>263</v>
      </c>
      <c r="B401" s="1952" t="s">
        <v>264</v>
      </c>
      <c r="C401" s="1951">
        <v>2019</v>
      </c>
      <c r="D401" s="51" t="s">
        <v>8</v>
      </c>
      <c r="E401" s="8">
        <f t="shared" si="27"/>
        <v>10438.4</v>
      </c>
      <c r="F401" s="8">
        <f>SUM(F402:F406)</f>
        <v>8747.4</v>
      </c>
      <c r="G401" s="8">
        <f>SUM(G402:G406)</f>
        <v>0</v>
      </c>
      <c r="H401" s="8">
        <f>SUM(H402:H406)</f>
        <v>1691</v>
      </c>
      <c r="I401" s="8">
        <f>SUM(I402:I406)</f>
        <v>0</v>
      </c>
      <c r="J401" s="1948" t="s">
        <v>265</v>
      </c>
      <c r="K401" s="1949" t="s">
        <v>168</v>
      </c>
    </row>
    <row r="402" spans="1:11" s="2" customFormat="1">
      <c r="A402" s="1951"/>
      <c r="B402" s="1952"/>
      <c r="C402" s="1951"/>
      <c r="D402" s="51">
        <v>2016</v>
      </c>
      <c r="E402" s="8">
        <f t="shared" si="27"/>
        <v>0</v>
      </c>
      <c r="F402" s="9">
        <v>0</v>
      </c>
      <c r="G402" s="9">
        <v>0</v>
      </c>
      <c r="H402" s="9">
        <v>0</v>
      </c>
      <c r="I402" s="9">
        <v>0</v>
      </c>
      <c r="J402" s="1948"/>
      <c r="K402" s="1949"/>
    </row>
    <row r="403" spans="1:11" s="2" customFormat="1">
      <c r="A403" s="1951"/>
      <c r="B403" s="1952"/>
      <c r="C403" s="1951"/>
      <c r="D403" s="51">
        <v>2017</v>
      </c>
      <c r="E403" s="8">
        <f t="shared" si="27"/>
        <v>0</v>
      </c>
      <c r="F403" s="9">
        <v>0</v>
      </c>
      <c r="G403" s="9">
        <v>0</v>
      </c>
      <c r="H403" s="9">
        <v>0</v>
      </c>
      <c r="I403" s="9">
        <v>0</v>
      </c>
      <c r="J403" s="1948"/>
      <c r="K403" s="1949"/>
    </row>
    <row r="404" spans="1:11" s="2" customFormat="1">
      <c r="A404" s="1951"/>
      <c r="B404" s="1952"/>
      <c r="C404" s="1951"/>
      <c r="D404" s="44">
        <v>2018</v>
      </c>
      <c r="E404" s="8">
        <f t="shared" si="27"/>
        <v>0</v>
      </c>
      <c r="F404" s="9">
        <v>0</v>
      </c>
      <c r="G404" s="9">
        <v>0</v>
      </c>
      <c r="H404" s="9">
        <v>0</v>
      </c>
      <c r="I404" s="9">
        <v>0</v>
      </c>
      <c r="J404" s="1948"/>
      <c r="K404" s="1949"/>
    </row>
    <row r="405" spans="1:11" s="2" customFormat="1">
      <c r="A405" s="1951"/>
      <c r="B405" s="1952"/>
      <c r="C405" s="1951"/>
      <c r="D405" s="44">
        <v>2019</v>
      </c>
      <c r="E405" s="8">
        <f t="shared" ref="E405:E423" si="28">SUM(F405:I405)</f>
        <v>10438.4</v>
      </c>
      <c r="F405" s="9">
        <v>8747.4</v>
      </c>
      <c r="G405" s="9">
        <v>0</v>
      </c>
      <c r="H405" s="9">
        <v>1691</v>
      </c>
      <c r="I405" s="9">
        <v>0</v>
      </c>
      <c r="J405" s="1948"/>
      <c r="K405" s="1949"/>
    </row>
    <row r="406" spans="1:11" s="2" customFormat="1">
      <c r="A406" s="1951"/>
      <c r="B406" s="1952"/>
      <c r="C406" s="1951"/>
      <c r="D406" s="44">
        <v>2020</v>
      </c>
      <c r="E406" s="8">
        <f t="shared" si="28"/>
        <v>0</v>
      </c>
      <c r="F406" s="9">
        <v>0</v>
      </c>
      <c r="G406" s="9">
        <v>0</v>
      </c>
      <c r="H406" s="9">
        <v>0</v>
      </c>
      <c r="I406" s="9">
        <v>0</v>
      </c>
      <c r="J406" s="1948"/>
      <c r="K406" s="1949"/>
    </row>
    <row r="407" spans="1:11" ht="15" customHeight="1">
      <c r="A407" s="1945" t="s">
        <v>129</v>
      </c>
      <c r="B407" s="1949" t="s">
        <v>130</v>
      </c>
      <c r="C407" s="1947" t="s">
        <v>14</v>
      </c>
      <c r="D407" s="48" t="s">
        <v>8</v>
      </c>
      <c r="E407" s="8">
        <f t="shared" si="28"/>
        <v>134496</v>
      </c>
      <c r="F407" s="8">
        <f>SUM(F408:F412)</f>
        <v>134496</v>
      </c>
      <c r="G407" s="9">
        <v>0</v>
      </c>
      <c r="H407" s="9">
        <v>0</v>
      </c>
      <c r="I407" s="9">
        <v>0</v>
      </c>
      <c r="J407" s="1958"/>
      <c r="K407" s="1949" t="s">
        <v>26</v>
      </c>
    </row>
    <row r="408" spans="1:11">
      <c r="A408" s="1945"/>
      <c r="B408" s="1949"/>
      <c r="C408" s="1947"/>
      <c r="D408" s="48">
        <v>2016</v>
      </c>
      <c r="E408" s="8">
        <f t="shared" si="28"/>
        <v>25539.5</v>
      </c>
      <c r="F408" s="9">
        <f>SUM(F414)</f>
        <v>25539.5</v>
      </c>
      <c r="G408" s="9">
        <v>0</v>
      </c>
      <c r="H408" s="9">
        <v>0</v>
      </c>
      <c r="I408" s="9">
        <v>0</v>
      </c>
      <c r="J408" s="1958"/>
      <c r="K408" s="1949"/>
    </row>
    <row r="409" spans="1:11">
      <c r="A409" s="1945"/>
      <c r="B409" s="1949"/>
      <c r="C409" s="1947"/>
      <c r="D409" s="48">
        <v>2017</v>
      </c>
      <c r="E409" s="8">
        <f t="shared" si="28"/>
        <v>25743.200000000001</v>
      </c>
      <c r="F409" s="9">
        <f>SUM(F415)</f>
        <v>25743.200000000001</v>
      </c>
      <c r="G409" s="9">
        <v>0</v>
      </c>
      <c r="H409" s="9">
        <v>0</v>
      </c>
      <c r="I409" s="9">
        <v>0</v>
      </c>
      <c r="J409" s="1958"/>
      <c r="K409" s="1949"/>
    </row>
    <row r="410" spans="1:11">
      <c r="A410" s="1945"/>
      <c r="B410" s="1949"/>
      <c r="C410" s="1947"/>
      <c r="D410" s="48">
        <v>2018</v>
      </c>
      <c r="E410" s="8">
        <f t="shared" si="28"/>
        <v>26717.8</v>
      </c>
      <c r="F410" s="9">
        <f>SUM(F416)</f>
        <v>26717.8</v>
      </c>
      <c r="G410" s="9">
        <v>0</v>
      </c>
      <c r="H410" s="9">
        <v>0</v>
      </c>
      <c r="I410" s="9">
        <v>0</v>
      </c>
      <c r="J410" s="1958"/>
      <c r="K410" s="1949"/>
    </row>
    <row r="411" spans="1:11">
      <c r="A411" s="1945"/>
      <c r="B411" s="1949"/>
      <c r="C411" s="1947"/>
      <c r="D411" s="48">
        <v>2019</v>
      </c>
      <c r="E411" s="8">
        <f t="shared" si="28"/>
        <v>27726</v>
      </c>
      <c r="F411" s="9">
        <f>SUM(F417)</f>
        <v>27726</v>
      </c>
      <c r="G411" s="9">
        <v>0</v>
      </c>
      <c r="H411" s="9">
        <v>0</v>
      </c>
      <c r="I411" s="9">
        <v>0</v>
      </c>
      <c r="J411" s="1958"/>
      <c r="K411" s="1949"/>
    </row>
    <row r="412" spans="1:11">
      <c r="A412" s="1945"/>
      <c r="B412" s="1949"/>
      <c r="C412" s="1947"/>
      <c r="D412" s="48">
        <v>2020</v>
      </c>
      <c r="E412" s="8">
        <f>SUM(F412:I412)</f>
        <v>28769.5</v>
      </c>
      <c r="F412" s="9">
        <f>SUM(F418)</f>
        <v>28769.5</v>
      </c>
      <c r="G412" s="9">
        <v>0</v>
      </c>
      <c r="H412" s="9">
        <v>0</v>
      </c>
      <c r="I412" s="9">
        <v>0</v>
      </c>
      <c r="J412" s="1958"/>
      <c r="K412" s="1949"/>
    </row>
    <row r="413" spans="1:11" ht="17.100000000000001" customHeight="1">
      <c r="A413" s="1945" t="s">
        <v>131</v>
      </c>
      <c r="B413" s="1952" t="s">
        <v>132</v>
      </c>
      <c r="C413" s="1947" t="s">
        <v>14</v>
      </c>
      <c r="D413" s="48" t="s">
        <v>8</v>
      </c>
      <c r="E413" s="8">
        <f t="shared" si="28"/>
        <v>134496</v>
      </c>
      <c r="F413" s="8">
        <f>SUM(F414:F418)</f>
        <v>134496</v>
      </c>
      <c r="G413" s="8">
        <f>SUM(G414:G418)</f>
        <v>0</v>
      </c>
      <c r="H413" s="8">
        <f>SUM(H414:H418)</f>
        <v>0</v>
      </c>
      <c r="I413" s="8">
        <f>SUM(I414:I418)</f>
        <v>0</v>
      </c>
      <c r="J413" s="1948" t="s">
        <v>133</v>
      </c>
      <c r="K413" s="1949" t="s">
        <v>26</v>
      </c>
    </row>
    <row r="414" spans="1:11" ht="17.100000000000001" customHeight="1">
      <c r="A414" s="1945"/>
      <c r="B414" s="1952"/>
      <c r="C414" s="1947"/>
      <c r="D414" s="48">
        <v>2016</v>
      </c>
      <c r="E414" s="8">
        <f t="shared" si="28"/>
        <v>25539.5</v>
      </c>
      <c r="F414" s="9">
        <f t="shared" ref="F414:I418" si="29">SUM(F420)</f>
        <v>25539.5</v>
      </c>
      <c r="G414" s="9">
        <f t="shared" si="29"/>
        <v>0</v>
      </c>
      <c r="H414" s="9">
        <f t="shared" si="29"/>
        <v>0</v>
      </c>
      <c r="I414" s="9">
        <f t="shared" si="29"/>
        <v>0</v>
      </c>
      <c r="J414" s="1948"/>
      <c r="K414" s="1949"/>
    </row>
    <row r="415" spans="1:11" ht="17.100000000000001" customHeight="1">
      <c r="A415" s="1945"/>
      <c r="B415" s="1952"/>
      <c r="C415" s="1947"/>
      <c r="D415" s="48">
        <v>2017</v>
      </c>
      <c r="E415" s="8">
        <f t="shared" si="28"/>
        <v>25743.200000000001</v>
      </c>
      <c r="F415" s="9">
        <f t="shared" si="29"/>
        <v>25743.200000000001</v>
      </c>
      <c r="G415" s="9">
        <f t="shared" si="29"/>
        <v>0</v>
      </c>
      <c r="H415" s="9">
        <f t="shared" si="29"/>
        <v>0</v>
      </c>
      <c r="I415" s="9">
        <f t="shared" si="29"/>
        <v>0</v>
      </c>
      <c r="J415" s="1948"/>
      <c r="K415" s="1949"/>
    </row>
    <row r="416" spans="1:11" ht="17.100000000000001" customHeight="1">
      <c r="A416" s="1945"/>
      <c r="B416" s="1952"/>
      <c r="C416" s="1947"/>
      <c r="D416" s="48">
        <v>2018</v>
      </c>
      <c r="E416" s="8">
        <f t="shared" si="28"/>
        <v>26717.8</v>
      </c>
      <c r="F416" s="9">
        <f t="shared" si="29"/>
        <v>26717.8</v>
      </c>
      <c r="G416" s="9">
        <f t="shared" si="29"/>
        <v>0</v>
      </c>
      <c r="H416" s="9">
        <f t="shared" si="29"/>
        <v>0</v>
      </c>
      <c r="I416" s="9">
        <f t="shared" si="29"/>
        <v>0</v>
      </c>
      <c r="J416" s="1948"/>
      <c r="K416" s="1949"/>
    </row>
    <row r="417" spans="1:11" ht="17.100000000000001" customHeight="1">
      <c r="A417" s="1945"/>
      <c r="B417" s="1952"/>
      <c r="C417" s="1947"/>
      <c r="D417" s="48">
        <v>2019</v>
      </c>
      <c r="E417" s="8">
        <f t="shared" si="28"/>
        <v>27726</v>
      </c>
      <c r="F417" s="9">
        <f t="shared" si="29"/>
        <v>27726</v>
      </c>
      <c r="G417" s="9">
        <f t="shared" si="29"/>
        <v>0</v>
      </c>
      <c r="H417" s="9">
        <f t="shared" si="29"/>
        <v>0</v>
      </c>
      <c r="I417" s="9">
        <f t="shared" si="29"/>
        <v>0</v>
      </c>
      <c r="J417" s="1948"/>
      <c r="K417" s="1949"/>
    </row>
    <row r="418" spans="1:11" ht="17.100000000000001" customHeight="1">
      <c r="A418" s="1945"/>
      <c r="B418" s="1952"/>
      <c r="C418" s="1947"/>
      <c r="D418" s="48">
        <v>2020</v>
      </c>
      <c r="E418" s="8">
        <f>SUM(F418:I418)</f>
        <v>28769.5</v>
      </c>
      <c r="F418" s="9">
        <f t="shared" si="29"/>
        <v>28769.5</v>
      </c>
      <c r="G418" s="9">
        <f t="shared" si="29"/>
        <v>0</v>
      </c>
      <c r="H418" s="9">
        <f t="shared" si="29"/>
        <v>0</v>
      </c>
      <c r="I418" s="9">
        <f t="shared" si="29"/>
        <v>0</v>
      </c>
      <c r="J418" s="1948"/>
      <c r="K418" s="1949"/>
    </row>
    <row r="419" spans="1:11" s="2" customFormat="1" ht="17.100000000000001" customHeight="1">
      <c r="A419" s="1945" t="s">
        <v>134</v>
      </c>
      <c r="B419" s="1946" t="s">
        <v>135</v>
      </c>
      <c r="C419" s="1947" t="s">
        <v>14</v>
      </c>
      <c r="D419" s="48" t="s">
        <v>8</v>
      </c>
      <c r="E419" s="8">
        <f t="shared" si="28"/>
        <v>134496</v>
      </c>
      <c r="F419" s="8">
        <f>SUM(F420:F424)</f>
        <v>134496</v>
      </c>
      <c r="G419" s="9">
        <v>0</v>
      </c>
      <c r="H419" s="9">
        <v>0</v>
      </c>
      <c r="I419" s="9">
        <v>0</v>
      </c>
      <c r="J419" s="1948" t="s">
        <v>136</v>
      </c>
      <c r="K419" s="1949" t="s">
        <v>26</v>
      </c>
    </row>
    <row r="420" spans="1:11" s="2" customFormat="1" ht="17.100000000000001" customHeight="1">
      <c r="A420" s="1945"/>
      <c r="B420" s="1946"/>
      <c r="C420" s="1947"/>
      <c r="D420" s="48">
        <v>2016</v>
      </c>
      <c r="E420" s="8">
        <f t="shared" si="28"/>
        <v>25539.5</v>
      </c>
      <c r="F420" s="9">
        <v>25539.5</v>
      </c>
      <c r="G420" s="9">
        <v>0</v>
      </c>
      <c r="H420" s="9">
        <v>0</v>
      </c>
      <c r="I420" s="9">
        <v>0</v>
      </c>
      <c r="J420" s="1948"/>
      <c r="K420" s="1949"/>
    </row>
    <row r="421" spans="1:11" s="2" customFormat="1" ht="17.100000000000001" customHeight="1">
      <c r="A421" s="1945"/>
      <c r="B421" s="1946"/>
      <c r="C421" s="1947"/>
      <c r="D421" s="48">
        <v>2017</v>
      </c>
      <c r="E421" s="8">
        <f t="shared" si="28"/>
        <v>25743.200000000001</v>
      </c>
      <c r="F421" s="9">
        <v>25743.200000000001</v>
      </c>
      <c r="G421" s="9">
        <v>0</v>
      </c>
      <c r="H421" s="9">
        <v>0</v>
      </c>
      <c r="I421" s="9">
        <v>0</v>
      </c>
      <c r="J421" s="1948"/>
      <c r="K421" s="1949"/>
    </row>
    <row r="422" spans="1:11" s="2" customFormat="1" ht="17.100000000000001" customHeight="1">
      <c r="A422" s="1945"/>
      <c r="B422" s="1946"/>
      <c r="C422" s="1947"/>
      <c r="D422" s="48">
        <v>2018</v>
      </c>
      <c r="E422" s="8">
        <f t="shared" si="28"/>
        <v>26717.8</v>
      </c>
      <c r="F422" s="9">
        <v>26717.8</v>
      </c>
      <c r="G422" s="9">
        <v>0</v>
      </c>
      <c r="H422" s="9">
        <v>0</v>
      </c>
      <c r="I422" s="9">
        <v>0</v>
      </c>
      <c r="J422" s="1948"/>
      <c r="K422" s="1949"/>
    </row>
    <row r="423" spans="1:11" s="2" customFormat="1" ht="17.100000000000001" customHeight="1">
      <c r="A423" s="1945"/>
      <c r="B423" s="1946"/>
      <c r="C423" s="1947"/>
      <c r="D423" s="48">
        <v>2019</v>
      </c>
      <c r="E423" s="8">
        <f t="shared" si="28"/>
        <v>27726</v>
      </c>
      <c r="F423" s="9">
        <v>27726</v>
      </c>
      <c r="G423" s="9">
        <v>0</v>
      </c>
      <c r="H423" s="9">
        <v>0</v>
      </c>
      <c r="I423" s="9">
        <v>0</v>
      </c>
      <c r="J423" s="1948"/>
      <c r="K423" s="1949"/>
    </row>
    <row r="424" spans="1:11" s="52" customFormat="1" ht="17.100000000000001" customHeight="1">
      <c r="A424" s="1945"/>
      <c r="B424" s="1946"/>
      <c r="C424" s="1947"/>
      <c r="D424" s="48">
        <v>2020</v>
      </c>
      <c r="E424" s="8">
        <f>SUM(F424:I424)</f>
        <v>28769.5</v>
      </c>
      <c r="F424" s="9">
        <v>28769.5</v>
      </c>
      <c r="G424" s="9">
        <v>0</v>
      </c>
      <c r="H424" s="9">
        <v>0</v>
      </c>
      <c r="I424" s="9">
        <v>0</v>
      </c>
      <c r="J424" s="1948"/>
      <c r="K424" s="1949"/>
    </row>
    <row r="425" spans="1:11" ht="17.100000000000001" customHeight="1">
      <c r="A425" s="1957" t="s">
        <v>266</v>
      </c>
      <c r="B425" s="1957"/>
      <c r="C425" s="1957"/>
      <c r="D425" s="1957"/>
      <c r="E425" s="1957"/>
      <c r="F425" s="1957"/>
      <c r="G425" s="1957"/>
      <c r="H425" s="1957"/>
      <c r="I425" s="1957"/>
      <c r="J425" s="21"/>
      <c r="K425" s="22"/>
    </row>
    <row r="426" spans="1:11" ht="17.100000000000001" customHeight="1">
      <c r="A426" s="16"/>
      <c r="B426" s="17"/>
      <c r="C426" s="18"/>
      <c r="D426" s="38"/>
      <c r="E426" s="19"/>
      <c r="F426" s="20"/>
      <c r="G426" s="20"/>
      <c r="H426" s="20"/>
      <c r="I426" s="20"/>
      <c r="J426" s="21"/>
      <c r="K426" s="22"/>
    </row>
    <row r="427" spans="1:11" ht="17.100000000000001" customHeight="1">
      <c r="A427" s="16"/>
      <c r="B427" s="17"/>
      <c r="C427" s="18"/>
      <c r="D427" s="38"/>
      <c r="E427" s="23"/>
      <c r="F427" s="24"/>
      <c r="G427" s="24"/>
      <c r="H427" s="24"/>
      <c r="I427" s="20"/>
      <c r="J427" s="21"/>
      <c r="K427" s="22"/>
    </row>
    <row r="428" spans="1:11" ht="17.100000000000001" customHeight="1">
      <c r="A428" s="16"/>
      <c r="B428" s="17"/>
      <c r="C428" s="18"/>
      <c r="D428" s="38"/>
      <c r="E428" s="19"/>
      <c r="F428" s="20"/>
      <c r="G428" s="20"/>
      <c r="H428" s="20"/>
      <c r="I428" s="20"/>
      <c r="J428" s="21"/>
      <c r="K428" s="22"/>
    </row>
    <row r="429" spans="1:11">
      <c r="A429" s="25"/>
      <c r="B429" s="26"/>
      <c r="C429" s="10"/>
      <c r="D429" s="39"/>
      <c r="E429" s="27"/>
      <c r="F429" s="28"/>
      <c r="G429" s="27"/>
      <c r="H429" s="27"/>
      <c r="I429" s="27"/>
      <c r="J429" s="29"/>
      <c r="K429" s="30"/>
    </row>
    <row r="430" spans="1:11">
      <c r="A430" s="31"/>
      <c r="B430" s="32"/>
      <c r="C430" s="31"/>
      <c r="D430" s="40"/>
      <c r="E430" s="33"/>
      <c r="F430" s="34"/>
      <c r="G430" s="33"/>
      <c r="H430" s="33"/>
      <c r="I430" s="33"/>
      <c r="J430" s="35"/>
      <c r="K430" s="32"/>
    </row>
  </sheetData>
  <mergeCells count="359">
    <mergeCell ref="A1:K2"/>
    <mergeCell ref="A3:A4"/>
    <mergeCell ref="B3:B4"/>
    <mergeCell ref="C3:C4"/>
    <mergeCell ref="D3:I3"/>
    <mergeCell ref="J3:J4"/>
    <mergeCell ref="K3:K4"/>
    <mergeCell ref="A5:A10"/>
    <mergeCell ref="B5:B10"/>
    <mergeCell ref="C5:C10"/>
    <mergeCell ref="J5:J10"/>
    <mergeCell ref="K5:K10"/>
    <mergeCell ref="A11:A16"/>
    <mergeCell ref="B11:B16"/>
    <mergeCell ref="C11:C16"/>
    <mergeCell ref="J11:J16"/>
    <mergeCell ref="K11:K16"/>
    <mergeCell ref="A17:A22"/>
    <mergeCell ref="B17:B22"/>
    <mergeCell ref="C17:C22"/>
    <mergeCell ref="J17:J22"/>
    <mergeCell ref="K17:K22"/>
    <mergeCell ref="A23:A28"/>
    <mergeCell ref="B23:B28"/>
    <mergeCell ref="C23:C28"/>
    <mergeCell ref="J23:J28"/>
    <mergeCell ref="K23:K28"/>
    <mergeCell ref="A29:A34"/>
    <mergeCell ref="B29:B34"/>
    <mergeCell ref="C29:C34"/>
    <mergeCell ref="J29:J34"/>
    <mergeCell ref="K29:K34"/>
    <mergeCell ref="A35:A40"/>
    <mergeCell ref="B35:B40"/>
    <mergeCell ref="C35:C40"/>
    <mergeCell ref="J35:J40"/>
    <mergeCell ref="K35:K40"/>
    <mergeCell ref="A41:A46"/>
    <mergeCell ref="B41:B46"/>
    <mergeCell ref="C41:C46"/>
    <mergeCell ref="J41:J46"/>
    <mergeCell ref="K41:K46"/>
    <mergeCell ref="A47:A52"/>
    <mergeCell ref="B47:B52"/>
    <mergeCell ref="C47:C52"/>
    <mergeCell ref="J47:J52"/>
    <mergeCell ref="K47:K52"/>
    <mergeCell ref="A53:A58"/>
    <mergeCell ref="B53:B58"/>
    <mergeCell ref="C53:C58"/>
    <mergeCell ref="J53:J58"/>
    <mergeCell ref="K53:K58"/>
    <mergeCell ref="A59:A64"/>
    <mergeCell ref="B59:B64"/>
    <mergeCell ref="C59:C64"/>
    <mergeCell ref="J59:J64"/>
    <mergeCell ref="K59:K64"/>
    <mergeCell ref="A65:A70"/>
    <mergeCell ref="B65:B70"/>
    <mergeCell ref="C65:C70"/>
    <mergeCell ref="J65:J70"/>
    <mergeCell ref="K65:K70"/>
    <mergeCell ref="A71:A76"/>
    <mergeCell ref="B71:B76"/>
    <mergeCell ref="C71:C76"/>
    <mergeCell ref="J71:J76"/>
    <mergeCell ref="K71:K76"/>
    <mergeCell ref="A77:A82"/>
    <mergeCell ref="B77:B82"/>
    <mergeCell ref="C77:C82"/>
    <mergeCell ref="J77:J82"/>
    <mergeCell ref="K77:K82"/>
    <mergeCell ref="A83:A88"/>
    <mergeCell ref="B83:B88"/>
    <mergeCell ref="C83:C88"/>
    <mergeCell ref="J83:J88"/>
    <mergeCell ref="K83:K88"/>
    <mergeCell ref="A89:A94"/>
    <mergeCell ref="B89:B94"/>
    <mergeCell ref="C89:C94"/>
    <mergeCell ref="J89:J94"/>
    <mergeCell ref="K89:K94"/>
    <mergeCell ref="A95:A100"/>
    <mergeCell ref="B95:B100"/>
    <mergeCell ref="C95:C100"/>
    <mergeCell ref="J95:J100"/>
    <mergeCell ref="K95:K100"/>
    <mergeCell ref="A101:A106"/>
    <mergeCell ref="B101:B106"/>
    <mergeCell ref="C101:C106"/>
    <mergeCell ref="J101:J106"/>
    <mergeCell ref="K101:K106"/>
    <mergeCell ref="A107:A112"/>
    <mergeCell ref="B107:B112"/>
    <mergeCell ref="C107:C112"/>
    <mergeCell ref="J107:J112"/>
    <mergeCell ref="K107:K112"/>
    <mergeCell ref="A113:A118"/>
    <mergeCell ref="B113:B118"/>
    <mergeCell ref="C113:C118"/>
    <mergeCell ref="J113:J118"/>
    <mergeCell ref="K113:K118"/>
    <mergeCell ref="A119:A124"/>
    <mergeCell ref="B119:B124"/>
    <mergeCell ref="C119:C124"/>
    <mergeCell ref="J119:J124"/>
    <mergeCell ref="K119:K124"/>
    <mergeCell ref="A125:A130"/>
    <mergeCell ref="B125:B130"/>
    <mergeCell ref="C125:C130"/>
    <mergeCell ref="J125:J130"/>
    <mergeCell ref="K125:K130"/>
    <mergeCell ref="A131:A136"/>
    <mergeCell ref="B131:B136"/>
    <mergeCell ref="C131:C136"/>
    <mergeCell ref="J131:J136"/>
    <mergeCell ref="K131:K136"/>
    <mergeCell ref="A137:A142"/>
    <mergeCell ref="B137:B142"/>
    <mergeCell ref="C137:C142"/>
    <mergeCell ref="J137:J142"/>
    <mergeCell ref="K137:K142"/>
    <mergeCell ref="A143:A148"/>
    <mergeCell ref="B143:B148"/>
    <mergeCell ref="C143:C148"/>
    <mergeCell ref="J143:J148"/>
    <mergeCell ref="K143:K148"/>
    <mergeCell ref="A149:A154"/>
    <mergeCell ref="B149:B154"/>
    <mergeCell ref="C149:C154"/>
    <mergeCell ref="J149:J154"/>
    <mergeCell ref="K149:K154"/>
    <mergeCell ref="A155:A160"/>
    <mergeCell ref="B155:B160"/>
    <mergeCell ref="C155:C160"/>
    <mergeCell ref="J155:J160"/>
    <mergeCell ref="K155:K160"/>
    <mergeCell ref="A161:A166"/>
    <mergeCell ref="B161:B166"/>
    <mergeCell ref="C161:C166"/>
    <mergeCell ref="J161:J166"/>
    <mergeCell ref="K161:K166"/>
    <mergeCell ref="A167:A172"/>
    <mergeCell ref="B167:B172"/>
    <mergeCell ref="C167:C172"/>
    <mergeCell ref="J167:J172"/>
    <mergeCell ref="K167:K172"/>
    <mergeCell ref="A173:A178"/>
    <mergeCell ref="B173:B178"/>
    <mergeCell ref="C173:C178"/>
    <mergeCell ref="J173:J178"/>
    <mergeCell ref="K173:K178"/>
    <mergeCell ref="A179:A184"/>
    <mergeCell ref="B179:B184"/>
    <mergeCell ref="C179:C184"/>
    <mergeCell ref="J179:J184"/>
    <mergeCell ref="K179:K184"/>
    <mergeCell ref="A185:A190"/>
    <mergeCell ref="B185:B190"/>
    <mergeCell ref="C185:C190"/>
    <mergeCell ref="J185:J190"/>
    <mergeCell ref="K185:K190"/>
    <mergeCell ref="A191:A196"/>
    <mergeCell ref="B191:B196"/>
    <mergeCell ref="C191:C196"/>
    <mergeCell ref="J191:J196"/>
    <mergeCell ref="K191:K196"/>
    <mergeCell ref="A197:A202"/>
    <mergeCell ref="B197:B202"/>
    <mergeCell ref="C197:C202"/>
    <mergeCell ref="J197:J202"/>
    <mergeCell ref="K197:K202"/>
    <mergeCell ref="A203:A208"/>
    <mergeCell ref="B203:B208"/>
    <mergeCell ref="C203:C208"/>
    <mergeCell ref="J203:J208"/>
    <mergeCell ref="K203:K208"/>
    <mergeCell ref="A209:A214"/>
    <mergeCell ref="B209:B214"/>
    <mergeCell ref="C209:C214"/>
    <mergeCell ref="J209:J214"/>
    <mergeCell ref="K209:K214"/>
    <mergeCell ref="A215:A220"/>
    <mergeCell ref="B215:B220"/>
    <mergeCell ref="C215:C220"/>
    <mergeCell ref="J215:J220"/>
    <mergeCell ref="K215:K220"/>
    <mergeCell ref="A221:A226"/>
    <mergeCell ref="B221:B226"/>
    <mergeCell ref="C221:C226"/>
    <mergeCell ref="J221:J226"/>
    <mergeCell ref="K221:K226"/>
    <mergeCell ref="A227:A232"/>
    <mergeCell ref="B227:B232"/>
    <mergeCell ref="C227:C232"/>
    <mergeCell ref="J227:J232"/>
    <mergeCell ref="K227:K232"/>
    <mergeCell ref="A233:A238"/>
    <mergeCell ref="B233:B238"/>
    <mergeCell ref="C233:C238"/>
    <mergeCell ref="J233:J238"/>
    <mergeCell ref="K233:K238"/>
    <mergeCell ref="A239:A244"/>
    <mergeCell ref="B239:B244"/>
    <mergeCell ref="C239:C244"/>
    <mergeCell ref="J239:J244"/>
    <mergeCell ref="K239:K244"/>
    <mergeCell ref="A245:A250"/>
    <mergeCell ref="B245:B250"/>
    <mergeCell ref="C245:C250"/>
    <mergeCell ref="J245:J250"/>
    <mergeCell ref="K245:K250"/>
    <mergeCell ref="A251:A256"/>
    <mergeCell ref="B251:B256"/>
    <mergeCell ref="C251:C256"/>
    <mergeCell ref="J251:J256"/>
    <mergeCell ref="K251:K256"/>
    <mergeCell ref="A257:A262"/>
    <mergeCell ref="B257:B262"/>
    <mergeCell ref="C257:C262"/>
    <mergeCell ref="J257:J262"/>
    <mergeCell ref="K257:K262"/>
    <mergeCell ref="A263:A268"/>
    <mergeCell ref="B263:B268"/>
    <mergeCell ref="C263:C268"/>
    <mergeCell ref="J263:J268"/>
    <mergeCell ref="K263:K268"/>
    <mergeCell ref="A269:A274"/>
    <mergeCell ref="B269:B274"/>
    <mergeCell ref="C269:C274"/>
    <mergeCell ref="J269:J274"/>
    <mergeCell ref="K269:K274"/>
    <mergeCell ref="A275:A280"/>
    <mergeCell ref="B275:B280"/>
    <mergeCell ref="C275:C280"/>
    <mergeCell ref="J275:J280"/>
    <mergeCell ref="K275:K280"/>
    <mergeCell ref="A293:A298"/>
    <mergeCell ref="B293:B298"/>
    <mergeCell ref="C293:C298"/>
    <mergeCell ref="J293:J298"/>
    <mergeCell ref="K293:K298"/>
    <mergeCell ref="L293:L297"/>
    <mergeCell ref="A281:A286"/>
    <mergeCell ref="B281:B286"/>
    <mergeCell ref="C281:C286"/>
    <mergeCell ref="J281:J286"/>
    <mergeCell ref="K281:K286"/>
    <mergeCell ref="A287:A292"/>
    <mergeCell ref="B287:B292"/>
    <mergeCell ref="C287:C292"/>
    <mergeCell ref="J287:J292"/>
    <mergeCell ref="K287:K292"/>
    <mergeCell ref="A299:A304"/>
    <mergeCell ref="B299:B304"/>
    <mergeCell ref="C299:C304"/>
    <mergeCell ref="J299:J304"/>
    <mergeCell ref="K299:K304"/>
    <mergeCell ref="A305:A310"/>
    <mergeCell ref="B305:B310"/>
    <mergeCell ref="C305:C310"/>
    <mergeCell ref="J305:J310"/>
    <mergeCell ref="K305:K310"/>
    <mergeCell ref="A311:A316"/>
    <mergeCell ref="B311:B316"/>
    <mergeCell ref="C311:C316"/>
    <mergeCell ref="J311:J316"/>
    <mergeCell ref="K311:K316"/>
    <mergeCell ref="A317:A322"/>
    <mergeCell ref="B317:B322"/>
    <mergeCell ref="C317:C322"/>
    <mergeCell ref="J317:J322"/>
    <mergeCell ref="K317:K322"/>
    <mergeCell ref="A323:A328"/>
    <mergeCell ref="B323:B328"/>
    <mergeCell ref="C323:C328"/>
    <mergeCell ref="J323:J328"/>
    <mergeCell ref="K323:K328"/>
    <mergeCell ref="A329:A334"/>
    <mergeCell ref="B329:B334"/>
    <mergeCell ref="C329:C334"/>
    <mergeCell ref="J329:J334"/>
    <mergeCell ref="K329:K334"/>
    <mergeCell ref="A335:A340"/>
    <mergeCell ref="B335:B340"/>
    <mergeCell ref="C335:C340"/>
    <mergeCell ref="J335:J340"/>
    <mergeCell ref="K335:K340"/>
    <mergeCell ref="A341:A346"/>
    <mergeCell ref="B341:B346"/>
    <mergeCell ref="C341:C346"/>
    <mergeCell ref="J341:J346"/>
    <mergeCell ref="K341:K346"/>
    <mergeCell ref="A347:A352"/>
    <mergeCell ref="B347:B352"/>
    <mergeCell ref="C347:C352"/>
    <mergeCell ref="J347:J352"/>
    <mergeCell ref="K347:K352"/>
    <mergeCell ref="A353:A358"/>
    <mergeCell ref="B353:B358"/>
    <mergeCell ref="C353:C358"/>
    <mergeCell ref="J353:J358"/>
    <mergeCell ref="K353:K358"/>
    <mergeCell ref="A359:A364"/>
    <mergeCell ref="B359:B364"/>
    <mergeCell ref="C359:C364"/>
    <mergeCell ref="J359:J364"/>
    <mergeCell ref="K359:K364"/>
    <mergeCell ref="A365:A370"/>
    <mergeCell ref="B365:B370"/>
    <mergeCell ref="C365:C370"/>
    <mergeCell ref="J365:J370"/>
    <mergeCell ref="K365:K370"/>
    <mergeCell ref="A371:A376"/>
    <mergeCell ref="B371:B376"/>
    <mergeCell ref="C371:C376"/>
    <mergeCell ref="J371:J376"/>
    <mergeCell ref="K371:K376"/>
    <mergeCell ref="A377:A382"/>
    <mergeCell ref="B377:B382"/>
    <mergeCell ref="C377:C382"/>
    <mergeCell ref="J377:J382"/>
    <mergeCell ref="K377:K382"/>
    <mergeCell ref="A383:A388"/>
    <mergeCell ref="B383:B388"/>
    <mergeCell ref="C383:C388"/>
    <mergeCell ref="J383:J388"/>
    <mergeCell ref="K383:K388"/>
    <mergeCell ref="A389:A394"/>
    <mergeCell ref="B389:B394"/>
    <mergeCell ref="C389:C394"/>
    <mergeCell ref="J389:J394"/>
    <mergeCell ref="K389:K394"/>
    <mergeCell ref="A395:A400"/>
    <mergeCell ref="B395:B400"/>
    <mergeCell ref="C395:C400"/>
    <mergeCell ref="J395:J400"/>
    <mergeCell ref="K395:K400"/>
    <mergeCell ref="A401:A406"/>
    <mergeCell ref="B401:B406"/>
    <mergeCell ref="C401:C406"/>
    <mergeCell ref="J401:J406"/>
    <mergeCell ref="K401:K406"/>
    <mergeCell ref="A419:A424"/>
    <mergeCell ref="B419:B424"/>
    <mergeCell ref="C419:C424"/>
    <mergeCell ref="J419:J424"/>
    <mergeCell ref="K419:K424"/>
    <mergeCell ref="A425:I425"/>
    <mergeCell ref="A407:A412"/>
    <mergeCell ref="B407:B412"/>
    <mergeCell ref="C407:C412"/>
    <mergeCell ref="J407:J412"/>
    <mergeCell ref="K407:K412"/>
    <mergeCell ref="A413:A418"/>
    <mergeCell ref="B413:B418"/>
    <mergeCell ref="C413:C418"/>
    <mergeCell ref="J413:J418"/>
    <mergeCell ref="K413:K418"/>
  </mergeCells>
  <printOptions horizontalCentered="1" verticalCentered="1"/>
  <pageMargins left="0.11811023622047245" right="0.11811023622047245" top="0.15748031496062992" bottom="0.15748031496062992" header="0.11811023622047245" footer="0.11811023622047245"/>
  <pageSetup paperSize="9" fitToHeight="14" orientation="landscape" r:id="rId1"/>
  <rowBreaks count="12" manualBreakCount="12">
    <brk id="34" max="10" man="1"/>
    <brk id="64" max="10" man="1"/>
    <brk id="94" max="10" man="1"/>
    <brk id="124" max="10" man="1"/>
    <brk id="154" max="10" man="1"/>
    <brk id="184" max="10" man="1"/>
    <brk id="220" max="10" man="1"/>
    <brk id="256" max="10" man="1"/>
    <brk id="292" max="10" man="1"/>
    <brk id="328" max="10" man="1"/>
    <brk id="364" max="10" man="1"/>
    <brk id="400"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780"/>
  <sheetViews>
    <sheetView view="pageBreakPreview" zoomScaleNormal="115" zoomScaleSheetLayoutView="100" workbookViewId="0">
      <pane xSplit="3" ySplit="4" topLeftCell="D5" activePane="bottomRight" state="frozen"/>
      <selection activeCell="J305" sqref="J305:J310"/>
      <selection pane="topRight"/>
      <selection pane="bottomLeft"/>
      <selection pane="bottomRight" activeCell="H20" sqref="H20"/>
    </sheetView>
  </sheetViews>
  <sheetFormatPr defaultRowHeight="15" outlineLevelRow="1"/>
  <cols>
    <col min="1" max="1" width="6.28515625" style="1304" customWidth="1"/>
    <col min="2" max="2" width="32.85546875" style="1297" customWidth="1"/>
    <col min="3" max="3" width="8.85546875" style="1298" customWidth="1"/>
    <col min="4" max="4" width="8.85546875" style="1299" customWidth="1"/>
    <col min="5" max="5" width="17.140625" style="1300" customWidth="1"/>
    <col min="6" max="6" width="18" style="1301" customWidth="1"/>
    <col min="7" max="7" width="15" style="1300" customWidth="1"/>
    <col min="8" max="8" width="11.7109375" style="1301" customWidth="1"/>
    <col min="9" max="9" width="15.5703125" style="1300" customWidth="1"/>
    <col min="10" max="10" width="43.42578125" style="1302" customWidth="1"/>
    <col min="11" max="11" width="32.7109375" style="1303" customWidth="1"/>
    <col min="12" max="12" width="0.140625" style="1258" hidden="1" customWidth="1"/>
    <col min="13" max="13" width="12.85546875" style="1259" customWidth="1"/>
    <col min="14" max="14" width="39.85546875" style="1260" customWidth="1"/>
    <col min="15" max="15" width="12.5703125" style="1260" customWidth="1"/>
    <col min="16" max="16" width="13.5703125" style="1260" customWidth="1"/>
    <col min="17" max="16384" width="9.140625" style="1260"/>
  </cols>
  <sheetData>
    <row r="1" spans="1:16" ht="15.75" customHeight="1">
      <c r="A1" s="3101" t="s">
        <v>3231</v>
      </c>
      <c r="B1" s="3102"/>
      <c r="C1" s="3103"/>
      <c r="D1" s="3103"/>
      <c r="E1" s="3103"/>
      <c r="F1" s="3103"/>
      <c r="G1" s="3103"/>
      <c r="H1" s="3103"/>
      <c r="I1" s="3103"/>
      <c r="J1" s="3104"/>
      <c r="K1" s="3105"/>
    </row>
    <row r="2" spans="1:16">
      <c r="A2" s="3106"/>
      <c r="B2" s="3107"/>
      <c r="C2" s="3108"/>
      <c r="D2" s="3108"/>
      <c r="E2" s="3108"/>
      <c r="F2" s="3108"/>
      <c r="G2" s="3108"/>
      <c r="H2" s="3108"/>
      <c r="I2" s="3108"/>
      <c r="J2" s="3109"/>
      <c r="K2" s="3110"/>
    </row>
    <row r="3" spans="1:16" ht="39.75" customHeight="1">
      <c r="A3" s="3111" t="s">
        <v>1</v>
      </c>
      <c r="B3" s="3086" t="s">
        <v>2</v>
      </c>
      <c r="C3" s="3084" t="s">
        <v>3</v>
      </c>
      <c r="D3" s="3066" t="s">
        <v>4</v>
      </c>
      <c r="E3" s="3066"/>
      <c r="F3" s="3066"/>
      <c r="G3" s="3066"/>
      <c r="H3" s="3066"/>
      <c r="I3" s="3066"/>
      <c r="J3" s="3066" t="s">
        <v>5</v>
      </c>
      <c r="K3" s="3066" t="s">
        <v>6</v>
      </c>
    </row>
    <row r="4" spans="1:16" ht="36.75" customHeight="1">
      <c r="A4" s="3112"/>
      <c r="B4" s="3051"/>
      <c r="C4" s="3052"/>
      <c r="D4" s="1261" t="s">
        <v>7</v>
      </c>
      <c r="E4" s="1262" t="s">
        <v>8</v>
      </c>
      <c r="F4" s="1263" t="s">
        <v>9</v>
      </c>
      <c r="G4" s="1262" t="s">
        <v>10</v>
      </c>
      <c r="H4" s="1263" t="s">
        <v>11</v>
      </c>
      <c r="I4" s="1262" t="s">
        <v>12</v>
      </c>
      <c r="J4" s="3053"/>
      <c r="K4" s="3053"/>
    </row>
    <row r="5" spans="1:16" ht="15" customHeight="1">
      <c r="A5" s="3054"/>
      <c r="B5" s="3055" t="s">
        <v>3230</v>
      </c>
      <c r="C5" s="3056" t="s">
        <v>2989</v>
      </c>
      <c r="D5" s="1264" t="s">
        <v>8</v>
      </c>
      <c r="E5" s="1265">
        <f t="shared" ref="E5:E28" si="0">SUM(F5:I5)</f>
        <v>9990410.6407747511</v>
      </c>
      <c r="F5" s="1265">
        <f>SUM(F6:F10)</f>
        <v>8598425.1067500003</v>
      </c>
      <c r="G5" s="1265">
        <f>SUM(G6:G10)</f>
        <v>1184784.5228500001</v>
      </c>
      <c r="H5" s="1265">
        <f>SUM(H6:H10)</f>
        <v>207201.01117475086</v>
      </c>
      <c r="I5" s="1265">
        <f>SUM(I6:I10)</f>
        <v>0</v>
      </c>
      <c r="J5" s="3058"/>
      <c r="K5" s="3058" t="s">
        <v>3229</v>
      </c>
      <c r="M5" s="1266">
        <f>E11+E17</f>
        <v>9990410.6407747511</v>
      </c>
      <c r="N5" s="1267"/>
      <c r="O5" s="1267"/>
    </row>
    <row r="6" spans="1:16">
      <c r="A6" s="3054"/>
      <c r="B6" s="3055"/>
      <c r="C6" s="3056"/>
      <c r="D6" s="1264">
        <v>2021</v>
      </c>
      <c r="E6" s="1265">
        <f t="shared" si="0"/>
        <v>1613228.6017916503</v>
      </c>
      <c r="F6" s="1265">
        <f>F24+F174+F348+F762</f>
        <v>1267910.29015</v>
      </c>
      <c r="G6" s="1265">
        <f t="shared" ref="F6:I10" si="1">G24+G174+G348+G762</f>
        <v>301879.99800000002</v>
      </c>
      <c r="H6" s="1265">
        <f t="shared" si="1"/>
        <v>43438.313641650384</v>
      </c>
      <c r="I6" s="1265">
        <f t="shared" si="1"/>
        <v>0</v>
      </c>
      <c r="J6" s="3058"/>
      <c r="K6" s="3058"/>
      <c r="N6" s="1267"/>
      <c r="O6" s="1267"/>
    </row>
    <row r="7" spans="1:16">
      <c r="A7" s="3054"/>
      <c r="B7" s="3055"/>
      <c r="C7" s="3056"/>
      <c r="D7" s="1264">
        <v>2022</v>
      </c>
      <c r="E7" s="1265">
        <f t="shared" si="0"/>
        <v>2883391.4108731011</v>
      </c>
      <c r="F7" s="1265">
        <f>F25+F175+F349+F763</f>
        <v>2558971.7024200005</v>
      </c>
      <c r="G7" s="1265">
        <f t="shared" si="1"/>
        <v>244045.77</v>
      </c>
      <c r="H7" s="1265">
        <f t="shared" si="1"/>
        <v>80373.93845310052</v>
      </c>
      <c r="I7" s="1265">
        <f t="shared" si="1"/>
        <v>0</v>
      </c>
      <c r="J7" s="3058"/>
      <c r="K7" s="3058"/>
      <c r="N7" s="1267"/>
      <c r="O7" s="1267"/>
    </row>
    <row r="8" spans="1:16" s="1454" customFormat="1">
      <c r="A8" s="3054"/>
      <c r="B8" s="3055"/>
      <c r="C8" s="3056"/>
      <c r="D8" s="1449">
        <v>2023</v>
      </c>
      <c r="E8" s="1450">
        <f t="shared" si="0"/>
        <v>2010059.9831100001</v>
      </c>
      <c r="F8" s="1450">
        <f t="shared" si="1"/>
        <v>1534713.72918</v>
      </c>
      <c r="G8" s="1450">
        <f t="shared" si="1"/>
        <v>436920.95484999998</v>
      </c>
      <c r="H8" s="1450">
        <f t="shared" si="1"/>
        <v>38425.299079999975</v>
      </c>
      <c r="I8" s="1450">
        <f t="shared" si="1"/>
        <v>0</v>
      </c>
      <c r="J8" s="3058"/>
      <c r="K8" s="3058"/>
      <c r="L8" s="1451"/>
      <c r="M8" s="1452"/>
      <c r="N8" s="1453"/>
      <c r="O8" s="1453"/>
    </row>
    <row r="9" spans="1:16">
      <c r="A9" s="3054"/>
      <c r="B9" s="3055"/>
      <c r="C9" s="3056"/>
      <c r="D9" s="1264">
        <v>2024</v>
      </c>
      <c r="E9" s="1265">
        <f t="shared" si="0"/>
        <v>1975195.747</v>
      </c>
      <c r="F9" s="1265">
        <f t="shared" si="1"/>
        <v>1849414.517</v>
      </c>
      <c r="G9" s="1265">
        <f t="shared" si="1"/>
        <v>97937.8</v>
      </c>
      <c r="H9" s="1265">
        <f t="shared" si="1"/>
        <v>27843.43</v>
      </c>
      <c r="I9" s="1265">
        <f t="shared" si="1"/>
        <v>0</v>
      </c>
      <c r="J9" s="3058"/>
      <c r="K9" s="3058"/>
      <c r="N9" s="1267"/>
      <c r="O9" s="1267"/>
    </row>
    <row r="10" spans="1:16">
      <c r="A10" s="3054"/>
      <c r="B10" s="3055"/>
      <c r="C10" s="3056"/>
      <c r="D10" s="1264">
        <v>2025</v>
      </c>
      <c r="E10" s="1265">
        <f t="shared" si="0"/>
        <v>1508534.8979999998</v>
      </c>
      <c r="F10" s="1265">
        <f t="shared" si="1"/>
        <v>1387414.8679999998</v>
      </c>
      <c r="G10" s="1265">
        <f t="shared" si="1"/>
        <v>104000</v>
      </c>
      <c r="H10" s="1265">
        <f t="shared" si="1"/>
        <v>17120.03</v>
      </c>
      <c r="I10" s="1265">
        <f t="shared" si="1"/>
        <v>0</v>
      </c>
      <c r="J10" s="3058"/>
      <c r="K10" s="3058"/>
      <c r="N10" s="1267"/>
      <c r="O10" s="1267"/>
    </row>
    <row r="11" spans="1:16">
      <c r="A11" s="3054"/>
      <c r="B11" s="3055" t="s">
        <v>3228</v>
      </c>
      <c r="C11" s="3056" t="s">
        <v>2989</v>
      </c>
      <c r="D11" s="1264" t="s">
        <v>8</v>
      </c>
      <c r="E11" s="1265">
        <f t="shared" ref="E11:E22" si="2">SUM(F11:I11)</f>
        <v>7160269.7847478427</v>
      </c>
      <c r="F11" s="1265">
        <f>SUM(F12:F16)</f>
        <v>6728782.5355200004</v>
      </c>
      <c r="G11" s="1265">
        <f t="shared" ref="G11:H11" si="3">SUM(G12:G16)</f>
        <v>324977.18385000003</v>
      </c>
      <c r="H11" s="1265">
        <f t="shared" si="3"/>
        <v>106510.06537784266</v>
      </c>
      <c r="I11" s="1265">
        <v>0</v>
      </c>
      <c r="J11" s="3099">
        <f>E14+E20</f>
        <v>2010059.9831099999</v>
      </c>
      <c r="K11" s="3058" t="s">
        <v>2799</v>
      </c>
      <c r="N11" s="1267"/>
      <c r="O11" s="1267"/>
    </row>
    <row r="12" spans="1:16">
      <c r="A12" s="3054"/>
      <c r="B12" s="3055"/>
      <c r="C12" s="3056"/>
      <c r="D12" s="1264">
        <v>2021</v>
      </c>
      <c r="E12" s="1265">
        <f t="shared" si="2"/>
        <v>1143437.1402100001</v>
      </c>
      <c r="F12" s="1265">
        <f t="shared" ref="F12:H16" si="4">F6-F18</f>
        <v>1079783.2501300001</v>
      </c>
      <c r="G12" s="1265">
        <f t="shared" si="4"/>
        <v>44391.299000000028</v>
      </c>
      <c r="H12" s="1265">
        <f t="shared" si="4"/>
        <v>19262.591080000006</v>
      </c>
      <c r="I12" s="1265">
        <v>0</v>
      </c>
      <c r="J12" s="3058"/>
      <c r="K12" s="3058"/>
      <c r="M12" s="1259" t="s">
        <v>9</v>
      </c>
      <c r="N12" s="1267" t="s">
        <v>10</v>
      </c>
      <c r="O12" s="1267" t="s">
        <v>11</v>
      </c>
    </row>
    <row r="13" spans="1:16">
      <c r="A13" s="3054"/>
      <c r="B13" s="3055"/>
      <c r="C13" s="3056"/>
      <c r="D13" s="1264">
        <v>2022</v>
      </c>
      <c r="E13" s="1265">
        <f t="shared" si="2"/>
        <v>1725609.8373178432</v>
      </c>
      <c r="F13" s="1265">
        <f t="shared" si="4"/>
        <v>1637815.2563600005</v>
      </c>
      <c r="G13" s="1265">
        <f t="shared" si="4"/>
        <v>66437.87</v>
      </c>
      <c r="H13" s="1265">
        <f t="shared" si="4"/>
        <v>21356.710957842668</v>
      </c>
      <c r="I13" s="1265">
        <v>0</v>
      </c>
      <c r="J13" s="3058"/>
      <c r="K13" s="3058"/>
      <c r="L13" s="1268"/>
      <c r="M13" s="1266">
        <f>SUM(F25,F175,F379,F391,F469,F481,F487,F493,F499,F553,F583,F643,F649,F655,F661,F679,F739,F763)</f>
        <v>1637815.2563600005</v>
      </c>
      <c r="N13" s="1269">
        <f>SUM(G25,G175,G379,G391,G469,G481,G487,G493,G499,G553,G583,G643,G649,G655,G661,G679,G739,G763)</f>
        <v>66437.87</v>
      </c>
      <c r="O13" s="1269">
        <f>SUM(H25,H175,H379,H391,H469,H481,H487,H493,H499,H553,H583,H643,H649,H655,H661,H679,H739,H763)</f>
        <v>21356.710957842668</v>
      </c>
    </row>
    <row r="14" spans="1:16" s="1480" customFormat="1">
      <c r="A14" s="3054"/>
      <c r="B14" s="3055"/>
      <c r="C14" s="3056"/>
      <c r="D14" s="1489">
        <v>2023</v>
      </c>
      <c r="E14" s="1490">
        <f t="shared" si="2"/>
        <v>1452053.2622199999</v>
      </c>
      <c r="F14" s="1490">
        <f>F8-F20</f>
        <v>1406614.34403</v>
      </c>
      <c r="G14" s="1490">
        <f>G8-G20</f>
        <v>12210.214849999989</v>
      </c>
      <c r="H14" s="1490">
        <f t="shared" si="4"/>
        <v>33228.70334</v>
      </c>
      <c r="I14" s="1490">
        <v>0</v>
      </c>
      <c r="J14" s="3058"/>
      <c r="K14" s="3058"/>
      <c r="L14" s="1569"/>
      <c r="M14" s="1570"/>
      <c r="N14" s="1571"/>
      <c r="O14" s="1571"/>
      <c r="P14" s="1572"/>
    </row>
    <row r="15" spans="1:16">
      <c r="A15" s="3054"/>
      <c r="B15" s="3055"/>
      <c r="C15" s="3056"/>
      <c r="D15" s="1264">
        <v>2024</v>
      </c>
      <c r="E15" s="1265">
        <f t="shared" si="2"/>
        <v>1409882.4470000002</v>
      </c>
      <c r="F15" s="1265">
        <f t="shared" si="4"/>
        <v>1295613.6170000001</v>
      </c>
      <c r="G15" s="1265">
        <f t="shared" si="4"/>
        <v>97937.8</v>
      </c>
      <c r="H15" s="1265">
        <f t="shared" si="4"/>
        <v>16331.03</v>
      </c>
      <c r="I15" s="1265">
        <v>0</v>
      </c>
      <c r="J15" s="3058"/>
      <c r="K15" s="3058"/>
      <c r="L15" s="1268"/>
      <c r="M15" s="1266">
        <f t="shared" ref="M15:O16" si="5">SUM(F27,F177,F381,F393,F471,F483,F489,F495,F501,F555,F585,F645,F651,F657,F663,F681,F741,F765)</f>
        <v>1295613.6170000001</v>
      </c>
      <c r="N15" s="1269">
        <f t="shared" si="5"/>
        <v>97937.8</v>
      </c>
      <c r="O15" s="1269">
        <f t="shared" si="5"/>
        <v>16331.03</v>
      </c>
    </row>
    <row r="16" spans="1:16">
      <c r="A16" s="3054"/>
      <c r="B16" s="3055"/>
      <c r="C16" s="3056"/>
      <c r="D16" s="1264">
        <v>2025</v>
      </c>
      <c r="E16" s="1265">
        <f t="shared" si="2"/>
        <v>1429287.0979999998</v>
      </c>
      <c r="F16" s="1265">
        <f t="shared" si="4"/>
        <v>1308956.0679999997</v>
      </c>
      <c r="G16" s="1265">
        <f t="shared" si="4"/>
        <v>104000</v>
      </c>
      <c r="H16" s="1265">
        <f t="shared" si="4"/>
        <v>16331.029999999999</v>
      </c>
      <c r="I16" s="1265">
        <v>0</v>
      </c>
      <c r="J16" s="3058"/>
      <c r="K16" s="3058"/>
      <c r="L16" s="1268"/>
      <c r="M16" s="1266">
        <f t="shared" si="5"/>
        <v>1308956.068</v>
      </c>
      <c r="N16" s="1269">
        <f t="shared" si="5"/>
        <v>104000</v>
      </c>
      <c r="O16" s="1269">
        <f t="shared" si="5"/>
        <v>16331.03</v>
      </c>
    </row>
    <row r="17" spans="1:15">
      <c r="A17" s="3050"/>
      <c r="B17" s="3055" t="s">
        <v>3227</v>
      </c>
      <c r="C17" s="3052" t="s">
        <v>3115</v>
      </c>
      <c r="D17" s="1261" t="s">
        <v>8</v>
      </c>
      <c r="E17" s="1265">
        <f t="shared" si="2"/>
        <v>2830140.8560269084</v>
      </c>
      <c r="F17" s="1265">
        <f>F18+F19+F20+F21+F22</f>
        <v>1869642.5712300001</v>
      </c>
      <c r="G17" s="1265">
        <f t="shared" ref="G17:H17" si="6">G18+G19+G20+G21+G22</f>
        <v>859807.33899999992</v>
      </c>
      <c r="H17" s="1265">
        <f t="shared" si="6"/>
        <v>100690.9457969082</v>
      </c>
      <c r="I17" s="1265">
        <f t="shared" ref="I17" si="7">I18+I19+I20+I21</f>
        <v>0</v>
      </c>
      <c r="J17" s="3053"/>
      <c r="K17" s="3058" t="s">
        <v>2657</v>
      </c>
      <c r="L17" s="1268"/>
      <c r="N17" s="1267"/>
      <c r="O17" s="1267"/>
    </row>
    <row r="18" spans="1:15">
      <c r="A18" s="3050"/>
      <c r="B18" s="3055"/>
      <c r="C18" s="3052"/>
      <c r="D18" s="1261">
        <v>2021</v>
      </c>
      <c r="E18" s="1265">
        <f t="shared" si="2"/>
        <v>469791.46158165036</v>
      </c>
      <c r="F18" s="1265">
        <f t="shared" ref="F18:H22" si="8">F360+F366+F372+F384+F414+F426+F432+F462+F504+F510+F516+F522+F534+F540+F558+F564+F570+F576+F588+F594+F600+F606+F612+F618+F624+F630+F636+F666+F672+F696+F744+F750+F756+F450+F714+F702</f>
        <v>188127.04001999999</v>
      </c>
      <c r="G18" s="1265">
        <f t="shared" si="8"/>
        <v>257488.69899999999</v>
      </c>
      <c r="H18" s="1265">
        <f t="shared" si="8"/>
        <v>24175.722561650378</v>
      </c>
      <c r="I18" s="1265">
        <f t="shared" ref="I18:I22" si="9">I6-I12</f>
        <v>0</v>
      </c>
      <c r="J18" s="3053"/>
      <c r="K18" s="3058"/>
      <c r="L18" s="1268"/>
      <c r="N18" s="1267"/>
      <c r="O18" s="1267"/>
    </row>
    <row r="19" spans="1:15">
      <c r="A19" s="3050"/>
      <c r="B19" s="3055"/>
      <c r="C19" s="3052"/>
      <c r="D19" s="1261">
        <v>2022</v>
      </c>
      <c r="E19" s="1265">
        <f t="shared" si="2"/>
        <v>1157781.5735552579</v>
      </c>
      <c r="F19" s="1265">
        <f t="shared" si="8"/>
        <v>921156.4460600001</v>
      </c>
      <c r="G19" s="1265">
        <f t="shared" si="8"/>
        <v>177607.9</v>
      </c>
      <c r="H19" s="1265">
        <f t="shared" si="8"/>
        <v>59017.227495257852</v>
      </c>
      <c r="I19" s="1265">
        <f t="shared" si="9"/>
        <v>0</v>
      </c>
      <c r="J19" s="3053"/>
      <c r="K19" s="3058"/>
      <c r="L19" s="1268"/>
      <c r="N19" s="1267"/>
      <c r="O19" s="1267"/>
    </row>
    <row r="20" spans="1:15">
      <c r="A20" s="3050"/>
      <c r="B20" s="3055"/>
      <c r="C20" s="3052"/>
      <c r="D20" s="1261">
        <v>2023</v>
      </c>
      <c r="E20" s="1490">
        <f t="shared" si="2"/>
        <v>558006.72089</v>
      </c>
      <c r="F20" s="1265">
        <f t="shared" si="8"/>
        <v>128099.38515000002</v>
      </c>
      <c r="G20" s="1265">
        <f>G362+G368+G374+G386+G416+G428+G434+G464+G506+G512+G518+G524+G536+G542+G560+G566+G572+G578+G590+G596+G602+G608+G614+G620+G626+G632+G638+G668+G674+G698+G746+G752+G758+G452+G716+G704+G710</f>
        <v>424710.74</v>
      </c>
      <c r="H20" s="1265">
        <f t="shared" si="8"/>
        <v>5196.5957399999752</v>
      </c>
      <c r="I20" s="1265">
        <f t="shared" ref="I20" si="10">I362+I368+I374+I386+I416+I428+I434+I464+I506+I512+I518+I524+I536+I542+I554+I560+I566+I572+I578+I590+I596+I602+I608+I614+I620+I626+I632+I638+I668+I674+I698+I746+I752+I758+I452+I716</f>
        <v>0</v>
      </c>
      <c r="J20" s="3053"/>
      <c r="K20" s="3058"/>
      <c r="L20" s="1268"/>
    </row>
    <row r="21" spans="1:15">
      <c r="A21" s="3050"/>
      <c r="B21" s="3055"/>
      <c r="C21" s="3052"/>
      <c r="D21" s="1261">
        <v>2024</v>
      </c>
      <c r="E21" s="1265">
        <f t="shared" si="2"/>
        <v>565313.30000000005</v>
      </c>
      <c r="F21" s="1265">
        <f t="shared" si="8"/>
        <v>553800.9</v>
      </c>
      <c r="G21" s="1265">
        <f t="shared" si="8"/>
        <v>0</v>
      </c>
      <c r="H21" s="1265">
        <f t="shared" si="8"/>
        <v>11512.4</v>
      </c>
      <c r="I21" s="1265">
        <f t="shared" ref="I21" si="11">I363+I369+I375+I387+I417+I429+I435+I465+I507+I513+I519+I525+I537+I543+I555+I561+I567+I573+I579+I591+I597+I603+I609+I615+I621+I627+I633+I639+I669+I675+I699+I747+I753+I759+I453+I717+I718</f>
        <v>0</v>
      </c>
      <c r="J21" s="3053"/>
      <c r="K21" s="3058"/>
      <c r="L21" s="1268"/>
    </row>
    <row r="22" spans="1:15">
      <c r="A22" s="3050"/>
      <c r="B22" s="3055"/>
      <c r="C22" s="3052"/>
      <c r="D22" s="1261">
        <v>2025</v>
      </c>
      <c r="E22" s="1265">
        <f t="shared" si="2"/>
        <v>79247.8</v>
      </c>
      <c r="F22" s="1265">
        <f>F364+F370+F376+F388+F418+F430+F436+F466+F508+F514+F520+F526+F538+F544+F562+F568+F574+F580+F592+F598+F604+F610+F616+F622+F628+F634+F640+F670+F676+F700+F748+F754+F760+F454+F718+F706</f>
        <v>78458.8</v>
      </c>
      <c r="G22" s="1265">
        <f t="shared" si="8"/>
        <v>0</v>
      </c>
      <c r="H22" s="1265">
        <f t="shared" si="8"/>
        <v>789</v>
      </c>
      <c r="I22" s="1265">
        <f t="shared" si="9"/>
        <v>0</v>
      </c>
      <c r="J22" s="3053"/>
      <c r="K22" s="3058"/>
      <c r="L22" s="1268"/>
    </row>
    <row r="23" spans="1:15" ht="15" customHeight="1">
      <c r="A23" s="3054" t="s">
        <v>687</v>
      </c>
      <c r="B23" s="3055" t="s">
        <v>2910</v>
      </c>
      <c r="C23" s="3056" t="s">
        <v>2989</v>
      </c>
      <c r="D23" s="1264" t="s">
        <v>8</v>
      </c>
      <c r="E23" s="1265">
        <f t="shared" si="0"/>
        <v>1109996.4124400001</v>
      </c>
      <c r="F23" s="1265">
        <f>SUM(F24:F28)</f>
        <v>1073827.3136200001</v>
      </c>
      <c r="G23" s="1265">
        <f>SUM(G24:G28)</f>
        <v>23683.307479999996</v>
      </c>
      <c r="H23" s="1265">
        <f>SUM(H24:H28)</f>
        <v>12485.79134</v>
      </c>
      <c r="I23" s="1265">
        <f>SUM(I24:I28)</f>
        <v>0</v>
      </c>
      <c r="J23" s="3058"/>
      <c r="K23" s="3058" t="s">
        <v>3066</v>
      </c>
      <c r="L23" s="3100" t="s">
        <v>3226</v>
      </c>
    </row>
    <row r="24" spans="1:15">
      <c r="A24" s="3054"/>
      <c r="B24" s="3055"/>
      <c r="C24" s="3056"/>
      <c r="D24" s="1264">
        <v>2021</v>
      </c>
      <c r="E24" s="1265">
        <f t="shared" si="0"/>
        <v>138607.88275000002</v>
      </c>
      <c r="F24" s="1265">
        <f t="shared" ref="F24:I28" si="12">F30+F48+F144</f>
        <v>118407.68375000001</v>
      </c>
      <c r="G24" s="1265">
        <f t="shared" si="12"/>
        <v>20200.198999999997</v>
      </c>
      <c r="H24" s="1265">
        <f t="shared" si="12"/>
        <v>0</v>
      </c>
      <c r="I24" s="1265">
        <f t="shared" si="12"/>
        <v>0</v>
      </c>
      <c r="J24" s="3058"/>
      <c r="K24" s="3058"/>
      <c r="L24" s="3100"/>
    </row>
    <row r="25" spans="1:15">
      <c r="A25" s="3054"/>
      <c r="B25" s="3055"/>
      <c r="C25" s="3056"/>
      <c r="D25" s="1264">
        <v>2022</v>
      </c>
      <c r="E25" s="1265">
        <f t="shared" si="0"/>
        <v>284204.41166000004</v>
      </c>
      <c r="F25" s="1265">
        <f t="shared" si="12"/>
        <v>281836.93466000003</v>
      </c>
      <c r="G25" s="1265">
        <f t="shared" si="12"/>
        <v>2367.4769999999999</v>
      </c>
      <c r="H25" s="1265">
        <f t="shared" si="12"/>
        <v>0</v>
      </c>
      <c r="I25" s="1265">
        <f t="shared" si="12"/>
        <v>0</v>
      </c>
      <c r="J25" s="3058"/>
      <c r="K25" s="3058"/>
      <c r="L25" s="3100"/>
    </row>
    <row r="26" spans="1:15" s="1464" customFormat="1">
      <c r="A26" s="3054"/>
      <c r="B26" s="3055"/>
      <c r="C26" s="3056"/>
      <c r="D26" s="1460">
        <v>2023</v>
      </c>
      <c r="E26" s="1461">
        <f t="shared" si="0"/>
        <v>265991.44603000005</v>
      </c>
      <c r="F26" s="1567">
        <f>F32+F50+F146</f>
        <v>252390.02321000001</v>
      </c>
      <c r="G26" s="1567">
        <f t="shared" si="12"/>
        <v>1115.63148</v>
      </c>
      <c r="H26" s="1461">
        <f t="shared" si="12"/>
        <v>12485.79134</v>
      </c>
      <c r="I26" s="1461">
        <f t="shared" si="12"/>
        <v>0</v>
      </c>
      <c r="J26" s="3058"/>
      <c r="K26" s="3058"/>
      <c r="L26" s="3100"/>
      <c r="M26" s="1463"/>
    </row>
    <row r="27" spans="1:15">
      <c r="A27" s="3054"/>
      <c r="B27" s="3055"/>
      <c r="C27" s="3056"/>
      <c r="D27" s="1264">
        <v>2024</v>
      </c>
      <c r="E27" s="1265">
        <f t="shared" si="0"/>
        <v>210596.33600000001</v>
      </c>
      <c r="F27" s="1265">
        <f t="shared" si="12"/>
        <v>210596.33600000001</v>
      </c>
      <c r="G27" s="1265">
        <f t="shared" si="12"/>
        <v>0</v>
      </c>
      <c r="H27" s="1265">
        <f t="shared" si="12"/>
        <v>0</v>
      </c>
      <c r="I27" s="1265">
        <f t="shared" si="12"/>
        <v>0</v>
      </c>
      <c r="J27" s="3058"/>
      <c r="K27" s="3058"/>
      <c r="L27" s="3100"/>
    </row>
    <row r="28" spans="1:15">
      <c r="A28" s="3054"/>
      <c r="B28" s="3055"/>
      <c r="C28" s="3056"/>
      <c r="D28" s="1264">
        <v>2025</v>
      </c>
      <c r="E28" s="1265">
        <f t="shared" si="0"/>
        <v>210596.33600000001</v>
      </c>
      <c r="F28" s="1265">
        <f t="shared" si="12"/>
        <v>210596.33600000001</v>
      </c>
      <c r="G28" s="1265">
        <f t="shared" si="12"/>
        <v>0</v>
      </c>
      <c r="H28" s="1265">
        <f t="shared" si="12"/>
        <v>0</v>
      </c>
      <c r="I28" s="1265">
        <f t="shared" si="12"/>
        <v>0</v>
      </c>
      <c r="J28" s="3058"/>
      <c r="K28" s="3058"/>
      <c r="L28" s="3100"/>
    </row>
    <row r="29" spans="1:15">
      <c r="A29" s="3067" t="s">
        <v>3225</v>
      </c>
      <c r="B29" s="3070" t="s">
        <v>2893</v>
      </c>
      <c r="C29" s="3073" t="s">
        <v>2989</v>
      </c>
      <c r="D29" s="1264" t="s">
        <v>8</v>
      </c>
      <c r="E29" s="1265">
        <f t="shared" ref="E29:E40" si="13">SUM(F29:I29)</f>
        <v>3054.4259999999999</v>
      </c>
      <c r="F29" s="1270">
        <f>SUM(F30:F34)</f>
        <v>3054.4259999999999</v>
      </c>
      <c r="G29" s="1270">
        <f>SUM(G30:G34)</f>
        <v>0</v>
      </c>
      <c r="H29" s="1270">
        <f>SUM(H30:H34)</f>
        <v>0</v>
      </c>
      <c r="I29" s="1270">
        <f>SUM(I30:I34)</f>
        <v>0</v>
      </c>
      <c r="J29" s="3076" t="s">
        <v>3224</v>
      </c>
      <c r="K29" s="3076" t="s">
        <v>3223</v>
      </c>
      <c r="L29" s="3097"/>
    </row>
    <row r="30" spans="1:15">
      <c r="A30" s="3068"/>
      <c r="B30" s="3071"/>
      <c r="C30" s="3074"/>
      <c r="D30" s="1264">
        <v>2021</v>
      </c>
      <c r="E30" s="1265">
        <f t="shared" si="13"/>
        <v>3054.4259999999999</v>
      </c>
      <c r="F30" s="1270">
        <f t="shared" ref="F30:I34" si="14">F36+F42</f>
        <v>3054.4259999999999</v>
      </c>
      <c r="G30" s="1270">
        <f t="shared" si="14"/>
        <v>0</v>
      </c>
      <c r="H30" s="1270">
        <f t="shared" si="14"/>
        <v>0</v>
      </c>
      <c r="I30" s="1270">
        <f t="shared" si="14"/>
        <v>0</v>
      </c>
      <c r="J30" s="3077"/>
      <c r="K30" s="3077"/>
      <c r="L30" s="3097"/>
    </row>
    <row r="31" spans="1:15">
      <c r="A31" s="3068"/>
      <c r="B31" s="3071"/>
      <c r="C31" s="3074"/>
      <c r="D31" s="1264">
        <v>2022</v>
      </c>
      <c r="E31" s="1265">
        <f t="shared" si="13"/>
        <v>0</v>
      </c>
      <c r="F31" s="1270">
        <f t="shared" si="14"/>
        <v>0</v>
      </c>
      <c r="G31" s="1270">
        <f t="shared" si="14"/>
        <v>0</v>
      </c>
      <c r="H31" s="1270">
        <f t="shared" si="14"/>
        <v>0</v>
      </c>
      <c r="I31" s="1270">
        <f t="shared" si="14"/>
        <v>0</v>
      </c>
      <c r="J31" s="3077"/>
      <c r="K31" s="3077"/>
      <c r="L31" s="3097"/>
    </row>
    <row r="32" spans="1:15">
      <c r="A32" s="3068"/>
      <c r="B32" s="3071"/>
      <c r="C32" s="3074"/>
      <c r="D32" s="1264">
        <v>2023</v>
      </c>
      <c r="E32" s="1265">
        <f t="shared" si="13"/>
        <v>0</v>
      </c>
      <c r="F32" s="1270">
        <f t="shared" si="14"/>
        <v>0</v>
      </c>
      <c r="G32" s="1270">
        <f t="shared" si="14"/>
        <v>0</v>
      </c>
      <c r="H32" s="1270">
        <f t="shared" si="14"/>
        <v>0</v>
      </c>
      <c r="I32" s="1270">
        <f t="shared" si="14"/>
        <v>0</v>
      </c>
      <c r="J32" s="3077"/>
      <c r="K32" s="3077"/>
      <c r="L32" s="3097"/>
    </row>
    <row r="33" spans="1:12">
      <c r="A33" s="3068"/>
      <c r="B33" s="3071"/>
      <c r="C33" s="3074"/>
      <c r="D33" s="1264">
        <v>2024</v>
      </c>
      <c r="E33" s="1265">
        <f t="shared" si="13"/>
        <v>0</v>
      </c>
      <c r="F33" s="1270">
        <f t="shared" si="14"/>
        <v>0</v>
      </c>
      <c r="G33" s="1270">
        <f t="shared" si="14"/>
        <v>0</v>
      </c>
      <c r="H33" s="1270">
        <f t="shared" si="14"/>
        <v>0</v>
      </c>
      <c r="I33" s="1270">
        <f t="shared" si="14"/>
        <v>0</v>
      </c>
      <c r="J33" s="3077"/>
      <c r="K33" s="3077"/>
      <c r="L33" s="3097"/>
    </row>
    <row r="34" spans="1:12">
      <c r="A34" s="3069"/>
      <c r="B34" s="3072"/>
      <c r="C34" s="3075"/>
      <c r="D34" s="1264">
        <v>2025</v>
      </c>
      <c r="E34" s="1265">
        <f t="shared" si="13"/>
        <v>0</v>
      </c>
      <c r="F34" s="1270">
        <f t="shared" si="14"/>
        <v>0</v>
      </c>
      <c r="G34" s="1270">
        <f t="shared" si="14"/>
        <v>0</v>
      </c>
      <c r="H34" s="1270">
        <f t="shared" si="14"/>
        <v>0</v>
      </c>
      <c r="I34" s="1270">
        <f t="shared" si="14"/>
        <v>0</v>
      </c>
      <c r="J34" s="3078"/>
      <c r="K34" s="3078"/>
      <c r="L34" s="3097"/>
    </row>
    <row r="35" spans="1:12">
      <c r="A35" s="3061" t="s">
        <v>3222</v>
      </c>
      <c r="B35" s="3079" t="s">
        <v>654</v>
      </c>
      <c r="C35" s="3082" t="s">
        <v>3220</v>
      </c>
      <c r="D35" s="1261" t="s">
        <v>8</v>
      </c>
      <c r="E35" s="1271">
        <f t="shared" si="13"/>
        <v>0</v>
      </c>
      <c r="F35" s="1272">
        <f>SUM(F36:F40)</f>
        <v>0</v>
      </c>
      <c r="G35" s="1272">
        <f>SUM(G36:G40)</f>
        <v>0</v>
      </c>
      <c r="H35" s="1272">
        <f>SUM(H36:H40)</f>
        <v>0</v>
      </c>
      <c r="I35" s="1272">
        <f>SUM(I36:I40)</f>
        <v>0</v>
      </c>
      <c r="J35" s="3064" t="s">
        <v>3221</v>
      </c>
      <c r="K35" s="3064" t="s">
        <v>3066</v>
      </c>
      <c r="L35" s="1273"/>
    </row>
    <row r="36" spans="1:12">
      <c r="A36" s="3062"/>
      <c r="B36" s="3085"/>
      <c r="C36" s="3083"/>
      <c r="D36" s="1261">
        <v>2021</v>
      </c>
      <c r="E36" s="1271">
        <f t="shared" si="13"/>
        <v>0</v>
      </c>
      <c r="F36" s="1272">
        <v>0</v>
      </c>
      <c r="G36" s="1272">
        <v>0</v>
      </c>
      <c r="H36" s="1272">
        <v>0</v>
      </c>
      <c r="I36" s="1272">
        <v>0</v>
      </c>
      <c r="J36" s="3065"/>
      <c r="K36" s="3065"/>
      <c r="L36" s="1273"/>
    </row>
    <row r="37" spans="1:12">
      <c r="A37" s="3062"/>
      <c r="B37" s="3085"/>
      <c r="C37" s="3083"/>
      <c r="D37" s="1261">
        <v>2022</v>
      </c>
      <c r="E37" s="1271">
        <f t="shared" si="13"/>
        <v>0</v>
      </c>
      <c r="F37" s="1272">
        <v>0</v>
      </c>
      <c r="G37" s="1272">
        <v>0</v>
      </c>
      <c r="H37" s="1272">
        <v>0</v>
      </c>
      <c r="I37" s="1272">
        <v>0</v>
      </c>
      <c r="J37" s="3065"/>
      <c r="K37" s="3065"/>
      <c r="L37" s="1273"/>
    </row>
    <row r="38" spans="1:12">
      <c r="A38" s="3062"/>
      <c r="B38" s="3085"/>
      <c r="C38" s="3083"/>
      <c r="D38" s="1261">
        <v>2023</v>
      </c>
      <c r="E38" s="1271">
        <f t="shared" si="13"/>
        <v>0</v>
      </c>
      <c r="F38" s="1272">
        <v>0</v>
      </c>
      <c r="G38" s="1272">
        <v>0</v>
      </c>
      <c r="H38" s="1272">
        <v>0</v>
      </c>
      <c r="I38" s="1272">
        <v>0</v>
      </c>
      <c r="J38" s="3065"/>
      <c r="K38" s="3065"/>
      <c r="L38" s="1273"/>
    </row>
    <row r="39" spans="1:12">
      <c r="A39" s="3062"/>
      <c r="B39" s="3085"/>
      <c r="C39" s="3083"/>
      <c r="D39" s="1261">
        <v>2024</v>
      </c>
      <c r="E39" s="1271">
        <f t="shared" si="13"/>
        <v>0</v>
      </c>
      <c r="F39" s="1272">
        <v>0</v>
      </c>
      <c r="G39" s="1272">
        <v>0</v>
      </c>
      <c r="H39" s="1272">
        <v>0</v>
      </c>
      <c r="I39" s="1272">
        <v>0</v>
      </c>
      <c r="J39" s="3065"/>
      <c r="K39" s="3065"/>
      <c r="L39" s="1273"/>
    </row>
    <row r="40" spans="1:12">
      <c r="A40" s="3063"/>
      <c r="B40" s="3086"/>
      <c r="C40" s="3084"/>
      <c r="D40" s="1261">
        <v>2025</v>
      </c>
      <c r="E40" s="1271">
        <f t="shared" si="13"/>
        <v>0</v>
      </c>
      <c r="F40" s="1272">
        <v>0</v>
      </c>
      <c r="G40" s="1272">
        <v>0</v>
      </c>
      <c r="H40" s="1272">
        <v>0</v>
      </c>
      <c r="I40" s="1272">
        <v>0</v>
      </c>
      <c r="J40" s="3066"/>
      <c r="K40" s="3066"/>
      <c r="L40" s="1273"/>
    </row>
    <row r="41" spans="1:12">
      <c r="A41" s="3061" t="s">
        <v>468</v>
      </c>
      <c r="B41" s="3079" t="s">
        <v>2901</v>
      </c>
      <c r="C41" s="3082" t="s">
        <v>3220</v>
      </c>
      <c r="D41" s="1261" t="s">
        <v>8</v>
      </c>
      <c r="E41" s="1271">
        <f>SUM(E42:E46)</f>
        <v>3054.4259999999999</v>
      </c>
      <c r="F41" s="1272">
        <f>SUM(F42:F46)</f>
        <v>3054.4259999999999</v>
      </c>
      <c r="G41" s="1272">
        <f>SUM(G42:G46)</f>
        <v>0</v>
      </c>
      <c r="H41" s="1272">
        <f>SUM(H42:H46)</f>
        <v>0</v>
      </c>
      <c r="I41" s="1272">
        <f>SUM(I42:I46)</f>
        <v>0</v>
      </c>
      <c r="J41" s="3064" t="s">
        <v>3219</v>
      </c>
      <c r="K41" s="3064" t="s">
        <v>3218</v>
      </c>
      <c r="L41" s="3059"/>
    </row>
    <row r="42" spans="1:12">
      <c r="A42" s="3062"/>
      <c r="B42" s="3085"/>
      <c r="C42" s="3083"/>
      <c r="D42" s="1261">
        <v>2021</v>
      </c>
      <c r="E42" s="1271">
        <f t="shared" ref="E42:E105" si="15">SUM(F42:I42)</f>
        <v>3054.4259999999999</v>
      </c>
      <c r="F42" s="1272">
        <v>3054.4259999999999</v>
      </c>
      <c r="G42" s="1272">
        <v>0</v>
      </c>
      <c r="H42" s="1272">
        <v>0</v>
      </c>
      <c r="I42" s="1272">
        <v>0</v>
      </c>
      <c r="J42" s="3065"/>
      <c r="K42" s="3065"/>
      <c r="L42" s="3059"/>
    </row>
    <row r="43" spans="1:12">
      <c r="A43" s="3062"/>
      <c r="B43" s="3085"/>
      <c r="C43" s="3083"/>
      <c r="D43" s="1261">
        <v>2022</v>
      </c>
      <c r="E43" s="1271">
        <f t="shared" si="15"/>
        <v>0</v>
      </c>
      <c r="F43" s="1272">
        <v>0</v>
      </c>
      <c r="G43" s="1272">
        <v>0</v>
      </c>
      <c r="H43" s="1272">
        <v>0</v>
      </c>
      <c r="I43" s="1272">
        <v>0</v>
      </c>
      <c r="J43" s="3065"/>
      <c r="K43" s="3065"/>
      <c r="L43" s="3059"/>
    </row>
    <row r="44" spans="1:12">
      <c r="A44" s="3062"/>
      <c r="B44" s="3085"/>
      <c r="C44" s="3083"/>
      <c r="D44" s="1261">
        <v>2023</v>
      </c>
      <c r="E44" s="1271">
        <f t="shared" si="15"/>
        <v>0</v>
      </c>
      <c r="F44" s="1272">
        <v>0</v>
      </c>
      <c r="G44" s="1272">
        <v>0</v>
      </c>
      <c r="H44" s="1272">
        <v>0</v>
      </c>
      <c r="I44" s="1272">
        <v>0</v>
      </c>
      <c r="J44" s="3065"/>
      <c r="K44" s="3065"/>
      <c r="L44" s="3059"/>
    </row>
    <row r="45" spans="1:12">
      <c r="A45" s="3062"/>
      <c r="B45" s="3085"/>
      <c r="C45" s="3083"/>
      <c r="D45" s="1261">
        <v>2024</v>
      </c>
      <c r="E45" s="1271">
        <f t="shared" si="15"/>
        <v>0</v>
      </c>
      <c r="F45" s="1272">
        <v>0</v>
      </c>
      <c r="G45" s="1272">
        <v>0</v>
      </c>
      <c r="H45" s="1272">
        <v>0</v>
      </c>
      <c r="I45" s="1272">
        <v>0</v>
      </c>
      <c r="J45" s="3065"/>
      <c r="K45" s="3065"/>
      <c r="L45" s="3059"/>
    </row>
    <row r="46" spans="1:12">
      <c r="A46" s="3063"/>
      <c r="B46" s="3086"/>
      <c r="C46" s="3084"/>
      <c r="D46" s="1261">
        <v>2025</v>
      </c>
      <c r="E46" s="1271">
        <f t="shared" si="15"/>
        <v>0</v>
      </c>
      <c r="F46" s="1272">
        <v>0</v>
      </c>
      <c r="G46" s="1272">
        <v>0</v>
      </c>
      <c r="H46" s="1272">
        <v>0</v>
      </c>
      <c r="I46" s="1272">
        <v>0</v>
      </c>
      <c r="J46" s="3066"/>
      <c r="K46" s="3066"/>
      <c r="L46" s="3059"/>
    </row>
    <row r="47" spans="1:12" ht="27.75" customHeight="1">
      <c r="A47" s="3067" t="s">
        <v>3217</v>
      </c>
      <c r="B47" s="3070" t="s">
        <v>3216</v>
      </c>
      <c r="C47" s="3082" t="s">
        <v>2989</v>
      </c>
      <c r="D47" s="1264" t="s">
        <v>8</v>
      </c>
      <c r="E47" s="1265">
        <f t="shared" si="15"/>
        <v>1047183.55969</v>
      </c>
      <c r="F47" s="1270">
        <f>SUM(F48:F52)</f>
        <v>1034697.76835</v>
      </c>
      <c r="G47" s="1270">
        <f>SUM(G48:G52)</f>
        <v>0</v>
      </c>
      <c r="H47" s="1270">
        <f>SUM(H48:H52)</f>
        <v>12485.79134</v>
      </c>
      <c r="I47" s="1270">
        <f>SUM(I48:I52)</f>
        <v>0</v>
      </c>
      <c r="J47" s="3076" t="s">
        <v>3215</v>
      </c>
      <c r="K47" s="3076" t="s">
        <v>3066</v>
      </c>
    </row>
    <row r="48" spans="1:12" ht="27.75" customHeight="1">
      <c r="A48" s="3068"/>
      <c r="B48" s="3071"/>
      <c r="C48" s="3083"/>
      <c r="D48" s="1264">
        <v>2021</v>
      </c>
      <c r="E48" s="1265">
        <f t="shared" si="15"/>
        <v>108436.894</v>
      </c>
      <c r="F48" s="1270">
        <f t="shared" ref="F48:F49" si="16">SUM(F54+F60+F66+F72+F78+F84+F90+F102+F108+F114+F132)</f>
        <v>108436.894</v>
      </c>
      <c r="G48" s="1270">
        <f t="shared" ref="G48:I52" si="17">SUM(G54+G60+G66+G72+G78+G84+G90+G102+G108+G114)</f>
        <v>0</v>
      </c>
      <c r="H48" s="1270">
        <f t="shared" si="17"/>
        <v>0</v>
      </c>
      <c r="I48" s="1270">
        <f t="shared" si="17"/>
        <v>0</v>
      </c>
      <c r="J48" s="3065"/>
      <c r="K48" s="3077"/>
    </row>
    <row r="49" spans="1:13" ht="27.75" customHeight="1">
      <c r="A49" s="3068"/>
      <c r="B49" s="3071"/>
      <c r="C49" s="3083"/>
      <c r="D49" s="1264">
        <v>2022</v>
      </c>
      <c r="E49" s="1265">
        <f t="shared" si="15"/>
        <v>274226.68966000003</v>
      </c>
      <c r="F49" s="1270">
        <f t="shared" si="16"/>
        <v>274226.68966000003</v>
      </c>
      <c r="G49" s="1270">
        <f t="shared" si="17"/>
        <v>0</v>
      </c>
      <c r="H49" s="1270">
        <f t="shared" si="17"/>
        <v>0</v>
      </c>
      <c r="I49" s="1270">
        <f t="shared" si="17"/>
        <v>0</v>
      </c>
      <c r="J49" s="3065"/>
      <c r="K49" s="3077"/>
    </row>
    <row r="50" spans="1:13" s="1464" customFormat="1" ht="27.75" customHeight="1">
      <c r="A50" s="3068"/>
      <c r="B50" s="3071"/>
      <c r="C50" s="3083"/>
      <c r="D50" s="1460">
        <v>2023</v>
      </c>
      <c r="E50" s="1461">
        <f t="shared" si="15"/>
        <v>257645.50403000001</v>
      </c>
      <c r="F50" s="1568">
        <f>SUM(F56+F62+F68+F74+F80+F86+F92+F104+F110+F116+F134+F122+F128+F140)</f>
        <v>245159.71269000001</v>
      </c>
      <c r="G50" s="1568">
        <f>SUM(G56+G62+G68+G74+G80+G86+G92+G104+G110+G116+G134+G122+G128)</f>
        <v>0</v>
      </c>
      <c r="H50" s="1568">
        <f>SUM(H56+H62+H68+H74+H80+H86+H92+H104+H110+H116+H134+H122+H128)</f>
        <v>12485.79134</v>
      </c>
      <c r="I50" s="1568">
        <f t="shared" si="17"/>
        <v>0</v>
      </c>
      <c r="J50" s="3065"/>
      <c r="K50" s="3077"/>
      <c r="L50" s="1462"/>
      <c r="M50" s="1463"/>
    </row>
    <row r="51" spans="1:13" ht="27.75" customHeight="1">
      <c r="A51" s="3068"/>
      <c r="B51" s="3071"/>
      <c r="C51" s="3083"/>
      <c r="D51" s="1264">
        <v>2024</v>
      </c>
      <c r="E51" s="1265">
        <f t="shared" si="15"/>
        <v>203437.236</v>
      </c>
      <c r="F51" s="1270">
        <f t="shared" ref="F51:F52" si="18">SUM(F57+F63+F69+F75+F81+F87+F93+F105+F111+F117+F135+F123+F129)</f>
        <v>203437.236</v>
      </c>
      <c r="G51" s="1270">
        <f t="shared" si="17"/>
        <v>0</v>
      </c>
      <c r="H51" s="1270">
        <f t="shared" si="17"/>
        <v>0</v>
      </c>
      <c r="I51" s="1270">
        <f t="shared" si="17"/>
        <v>0</v>
      </c>
      <c r="J51" s="3065"/>
      <c r="K51" s="3077"/>
    </row>
    <row r="52" spans="1:13" ht="27.75" customHeight="1">
      <c r="A52" s="3069"/>
      <c r="B52" s="3072"/>
      <c r="C52" s="3084"/>
      <c r="D52" s="1264">
        <v>2025</v>
      </c>
      <c r="E52" s="1265">
        <f t="shared" si="15"/>
        <v>203437.236</v>
      </c>
      <c r="F52" s="1270">
        <f t="shared" si="18"/>
        <v>203437.236</v>
      </c>
      <c r="G52" s="1270">
        <f t="shared" si="17"/>
        <v>0</v>
      </c>
      <c r="H52" s="1270">
        <f t="shared" si="17"/>
        <v>0</v>
      </c>
      <c r="I52" s="1270">
        <f t="shared" si="17"/>
        <v>0</v>
      </c>
      <c r="J52" s="3066"/>
      <c r="K52" s="3078"/>
    </row>
    <row r="53" spans="1:13" ht="15" customHeight="1">
      <c r="A53" s="3050" t="s">
        <v>3214</v>
      </c>
      <c r="B53" s="3051" t="s">
        <v>3213</v>
      </c>
      <c r="C53" s="3052" t="s">
        <v>2989</v>
      </c>
      <c r="D53" s="1261" t="s">
        <v>8</v>
      </c>
      <c r="E53" s="1271">
        <f t="shared" si="15"/>
        <v>197000</v>
      </c>
      <c r="F53" s="1271">
        <f>SUM(F54:F58)</f>
        <v>197000</v>
      </c>
      <c r="G53" s="1271">
        <f>SUM(G54:G58)</f>
        <v>0</v>
      </c>
      <c r="H53" s="1271">
        <f>SUM(H54:H58)</f>
        <v>0</v>
      </c>
      <c r="I53" s="1271">
        <f>SUM(I54:I58)</f>
        <v>0</v>
      </c>
      <c r="J53" s="3053" t="s">
        <v>3212</v>
      </c>
      <c r="K53" s="3064" t="s">
        <v>2799</v>
      </c>
    </row>
    <row r="54" spans="1:13">
      <c r="A54" s="3050"/>
      <c r="B54" s="3051"/>
      <c r="C54" s="3052"/>
      <c r="D54" s="1261">
        <v>2021</v>
      </c>
      <c r="E54" s="1271">
        <f t="shared" si="15"/>
        <v>43000</v>
      </c>
      <c r="F54" s="1271">
        <v>43000</v>
      </c>
      <c r="G54" s="1272">
        <v>0</v>
      </c>
      <c r="H54" s="1272">
        <v>0</v>
      </c>
      <c r="I54" s="1272">
        <v>0</v>
      </c>
      <c r="J54" s="3053"/>
      <c r="K54" s="3065"/>
    </row>
    <row r="55" spans="1:13">
      <c r="A55" s="3050"/>
      <c r="B55" s="3051"/>
      <c r="C55" s="3052"/>
      <c r="D55" s="1261">
        <v>2022</v>
      </c>
      <c r="E55" s="1271">
        <f t="shared" si="15"/>
        <v>45000</v>
      </c>
      <c r="F55" s="1271">
        <v>45000</v>
      </c>
      <c r="G55" s="1272">
        <v>0</v>
      </c>
      <c r="H55" s="1272">
        <v>0</v>
      </c>
      <c r="I55" s="1272">
        <v>0</v>
      </c>
      <c r="J55" s="3053"/>
      <c r="K55" s="3065"/>
    </row>
    <row r="56" spans="1:13" s="1454" customFormat="1">
      <c r="A56" s="3050"/>
      <c r="B56" s="3051"/>
      <c r="C56" s="3052"/>
      <c r="D56" s="1455">
        <v>2023</v>
      </c>
      <c r="E56" s="1456">
        <f t="shared" si="15"/>
        <v>49000</v>
      </c>
      <c r="F56" s="1456">
        <f>30000+10000+9000</f>
        <v>49000</v>
      </c>
      <c r="G56" s="1457">
        <v>0</v>
      </c>
      <c r="H56" s="1457">
        <v>0</v>
      </c>
      <c r="I56" s="1457">
        <v>0</v>
      </c>
      <c r="J56" s="3053"/>
      <c r="K56" s="3065"/>
      <c r="L56" s="1451"/>
      <c r="M56" s="1452"/>
    </row>
    <row r="57" spans="1:13">
      <c r="A57" s="3050"/>
      <c r="B57" s="3051"/>
      <c r="C57" s="3052"/>
      <c r="D57" s="1261">
        <v>2024</v>
      </c>
      <c r="E57" s="1271">
        <f t="shared" si="15"/>
        <v>30000</v>
      </c>
      <c r="F57" s="1271">
        <v>30000</v>
      </c>
      <c r="G57" s="1272">
        <v>0</v>
      </c>
      <c r="H57" s="1272">
        <v>0</v>
      </c>
      <c r="I57" s="1272">
        <v>0</v>
      </c>
      <c r="J57" s="3053"/>
      <c r="K57" s="3065"/>
    </row>
    <row r="58" spans="1:13">
      <c r="A58" s="3050"/>
      <c r="B58" s="3051"/>
      <c r="C58" s="3052"/>
      <c r="D58" s="1261">
        <v>2025</v>
      </c>
      <c r="E58" s="1271">
        <f t="shared" si="15"/>
        <v>30000</v>
      </c>
      <c r="F58" s="1271">
        <v>30000</v>
      </c>
      <c r="G58" s="1272">
        <v>0</v>
      </c>
      <c r="H58" s="1272">
        <v>0</v>
      </c>
      <c r="I58" s="1272">
        <v>0</v>
      </c>
      <c r="J58" s="3053"/>
      <c r="K58" s="3066"/>
    </row>
    <row r="59" spans="1:13" ht="13.5" customHeight="1" outlineLevel="1">
      <c r="A59" s="3061" t="s">
        <v>3211</v>
      </c>
      <c r="B59" s="3079" t="s">
        <v>3210</v>
      </c>
      <c r="C59" s="3082">
        <v>2021</v>
      </c>
      <c r="D59" s="1261" t="s">
        <v>8</v>
      </c>
      <c r="E59" s="1271">
        <f t="shared" si="15"/>
        <v>0</v>
      </c>
      <c r="F59" s="1272">
        <f>SUM(F60:F64)</f>
        <v>0</v>
      </c>
      <c r="G59" s="1272">
        <f>SUM(G60:G64)</f>
        <v>0</v>
      </c>
      <c r="H59" s="1272">
        <f>SUM(H60:H64)</f>
        <v>0</v>
      </c>
      <c r="I59" s="1272">
        <f>SUM(I60:I64)</f>
        <v>0</v>
      </c>
      <c r="J59" s="3064" t="s">
        <v>3209</v>
      </c>
      <c r="K59" s="3064" t="s">
        <v>2799</v>
      </c>
    </row>
    <row r="60" spans="1:13" ht="13.5" customHeight="1" outlineLevel="1">
      <c r="A60" s="3062"/>
      <c r="B60" s="3085"/>
      <c r="C60" s="3083"/>
      <c r="D60" s="1261">
        <v>2021</v>
      </c>
      <c r="E60" s="1271">
        <f t="shared" si="15"/>
        <v>0</v>
      </c>
      <c r="F60" s="1272">
        <v>0</v>
      </c>
      <c r="G60" s="1272">
        <v>0</v>
      </c>
      <c r="H60" s="1272">
        <v>0</v>
      </c>
      <c r="I60" s="1272">
        <v>0</v>
      </c>
      <c r="J60" s="3065"/>
      <c r="K60" s="3065"/>
    </row>
    <row r="61" spans="1:13" ht="13.5" customHeight="1" outlineLevel="1">
      <c r="A61" s="3062"/>
      <c r="B61" s="3085"/>
      <c r="C61" s="3083"/>
      <c r="D61" s="1261">
        <v>2022</v>
      </c>
      <c r="E61" s="1271">
        <f t="shared" si="15"/>
        <v>0</v>
      </c>
      <c r="F61" s="1272">
        <v>0</v>
      </c>
      <c r="G61" s="1272">
        <v>0</v>
      </c>
      <c r="H61" s="1272">
        <v>0</v>
      </c>
      <c r="I61" s="1272">
        <v>0</v>
      </c>
      <c r="J61" s="3065"/>
      <c r="K61" s="3065"/>
    </row>
    <row r="62" spans="1:13" ht="13.5" customHeight="1" outlineLevel="1">
      <c r="A62" s="3062"/>
      <c r="B62" s="3085"/>
      <c r="C62" s="3083"/>
      <c r="D62" s="1261">
        <v>2023</v>
      </c>
      <c r="E62" s="1271">
        <f t="shared" si="15"/>
        <v>0</v>
      </c>
      <c r="F62" s="1272">
        <v>0</v>
      </c>
      <c r="G62" s="1272">
        <v>0</v>
      </c>
      <c r="H62" s="1272">
        <v>0</v>
      </c>
      <c r="I62" s="1272">
        <v>0</v>
      </c>
      <c r="J62" s="3065"/>
      <c r="K62" s="3065"/>
    </row>
    <row r="63" spans="1:13" ht="13.5" customHeight="1" outlineLevel="1">
      <c r="A63" s="3062"/>
      <c r="B63" s="3085"/>
      <c r="C63" s="3083"/>
      <c r="D63" s="1261">
        <v>2024</v>
      </c>
      <c r="E63" s="1271">
        <f t="shared" si="15"/>
        <v>0</v>
      </c>
      <c r="F63" s="1272">
        <v>0</v>
      </c>
      <c r="G63" s="1272">
        <v>0</v>
      </c>
      <c r="H63" s="1272">
        <v>0</v>
      </c>
      <c r="I63" s="1272">
        <v>0</v>
      </c>
      <c r="J63" s="3065"/>
      <c r="K63" s="3065"/>
    </row>
    <row r="64" spans="1:13" ht="13.5" customHeight="1" outlineLevel="1">
      <c r="A64" s="3063"/>
      <c r="B64" s="3086"/>
      <c r="C64" s="3084"/>
      <c r="D64" s="1261">
        <v>2025</v>
      </c>
      <c r="E64" s="1271">
        <f t="shared" si="15"/>
        <v>0</v>
      </c>
      <c r="F64" s="1272">
        <v>0</v>
      </c>
      <c r="G64" s="1272">
        <v>0</v>
      </c>
      <c r="H64" s="1272">
        <v>0</v>
      </c>
      <c r="I64" s="1272">
        <v>0</v>
      </c>
      <c r="J64" s="3066"/>
      <c r="K64" s="3066"/>
    </row>
    <row r="65" spans="1:13" ht="13.5" customHeight="1" outlineLevel="1">
      <c r="A65" s="3061" t="s">
        <v>3208</v>
      </c>
      <c r="B65" s="3079" t="s">
        <v>3207</v>
      </c>
      <c r="C65" s="3082" t="s">
        <v>2989</v>
      </c>
      <c r="D65" s="1261" t="s">
        <v>8</v>
      </c>
      <c r="E65" s="1271">
        <f t="shared" si="15"/>
        <v>193993.769</v>
      </c>
      <c r="F65" s="1272">
        <f>SUM(F66:F70)</f>
        <v>193993.769</v>
      </c>
      <c r="G65" s="1272">
        <f>SUM(G66:G70)</f>
        <v>0</v>
      </c>
      <c r="H65" s="1272">
        <f>SUM(H66:H70)</f>
        <v>0</v>
      </c>
      <c r="I65" s="1272">
        <f>SUM(I66:I70)</f>
        <v>0</v>
      </c>
      <c r="J65" s="3064" t="s">
        <v>3206</v>
      </c>
      <c r="K65" s="3064" t="s">
        <v>2799</v>
      </c>
    </row>
    <row r="66" spans="1:13" ht="13.5" customHeight="1" outlineLevel="1">
      <c r="A66" s="3062"/>
      <c r="B66" s="3085"/>
      <c r="C66" s="3083"/>
      <c r="D66" s="1261">
        <v>2021</v>
      </c>
      <c r="E66" s="1271">
        <f t="shared" si="15"/>
        <v>33993.769</v>
      </c>
      <c r="F66" s="1272">
        <v>33993.769</v>
      </c>
      <c r="G66" s="1272">
        <v>0</v>
      </c>
      <c r="H66" s="1272">
        <v>0</v>
      </c>
      <c r="I66" s="1272">
        <v>0</v>
      </c>
      <c r="J66" s="3065"/>
      <c r="K66" s="3065"/>
    </row>
    <row r="67" spans="1:13" ht="13.5" customHeight="1" outlineLevel="1">
      <c r="A67" s="3062"/>
      <c r="B67" s="3085"/>
      <c r="C67" s="3083"/>
      <c r="D67" s="1261">
        <v>2022</v>
      </c>
      <c r="E67" s="1271">
        <f t="shared" si="15"/>
        <v>40000</v>
      </c>
      <c r="F67" s="1272">
        <v>40000</v>
      </c>
      <c r="G67" s="1272">
        <v>0</v>
      </c>
      <c r="H67" s="1272">
        <v>0</v>
      </c>
      <c r="I67" s="1272">
        <v>0</v>
      </c>
      <c r="J67" s="3065"/>
      <c r="K67" s="3065"/>
    </row>
    <row r="68" spans="1:13" s="1454" customFormat="1" ht="13.5" customHeight="1" outlineLevel="1">
      <c r="A68" s="3062"/>
      <c r="B68" s="3085"/>
      <c r="C68" s="3083"/>
      <c r="D68" s="1455">
        <v>2023</v>
      </c>
      <c r="E68" s="1456">
        <f t="shared" si="15"/>
        <v>40000</v>
      </c>
      <c r="F68" s="1457">
        <v>40000</v>
      </c>
      <c r="G68" s="1457">
        <v>0</v>
      </c>
      <c r="H68" s="1457">
        <v>0</v>
      </c>
      <c r="I68" s="1457">
        <v>0</v>
      </c>
      <c r="J68" s="3065"/>
      <c r="K68" s="3065"/>
      <c r="L68" s="1451"/>
      <c r="M68" s="1452"/>
    </row>
    <row r="69" spans="1:13" ht="13.5" customHeight="1" outlineLevel="1">
      <c r="A69" s="3062"/>
      <c r="B69" s="3085"/>
      <c r="C69" s="3083"/>
      <c r="D69" s="1261">
        <v>2024</v>
      </c>
      <c r="E69" s="1271">
        <f t="shared" si="15"/>
        <v>40000</v>
      </c>
      <c r="F69" s="1272">
        <v>40000</v>
      </c>
      <c r="G69" s="1272">
        <v>0</v>
      </c>
      <c r="H69" s="1272">
        <v>0</v>
      </c>
      <c r="I69" s="1272">
        <v>0</v>
      </c>
      <c r="J69" s="3065"/>
      <c r="K69" s="3065"/>
    </row>
    <row r="70" spans="1:13" ht="13.5" customHeight="1" outlineLevel="1">
      <c r="A70" s="3063"/>
      <c r="B70" s="3086"/>
      <c r="C70" s="3084"/>
      <c r="D70" s="1261">
        <v>2025</v>
      </c>
      <c r="E70" s="1271">
        <f t="shared" si="15"/>
        <v>40000</v>
      </c>
      <c r="F70" s="1272">
        <v>40000</v>
      </c>
      <c r="G70" s="1272">
        <v>0</v>
      </c>
      <c r="H70" s="1272">
        <v>0</v>
      </c>
      <c r="I70" s="1272">
        <v>0</v>
      </c>
      <c r="J70" s="3066"/>
      <c r="K70" s="3066"/>
    </row>
    <row r="71" spans="1:13" ht="13.5" customHeight="1" outlineLevel="1">
      <c r="A71" s="3061" t="s">
        <v>3205</v>
      </c>
      <c r="B71" s="3079" t="s">
        <v>3613</v>
      </c>
      <c r="C71" s="3082" t="s">
        <v>2989</v>
      </c>
      <c r="D71" s="1261" t="s">
        <v>8</v>
      </c>
      <c r="E71" s="1271">
        <f t="shared" si="15"/>
        <v>18416.99869</v>
      </c>
      <c r="F71" s="1272">
        <f>SUM(F72:F76)</f>
        <v>18416.99869</v>
      </c>
      <c r="G71" s="1272">
        <f>SUM(G72:G76)</f>
        <v>0</v>
      </c>
      <c r="H71" s="1272">
        <f>SUM(H72:H76)</f>
        <v>0</v>
      </c>
      <c r="I71" s="1272">
        <f>SUM(I72:I76)</f>
        <v>0</v>
      </c>
      <c r="J71" s="3064" t="s">
        <v>2810</v>
      </c>
      <c r="K71" s="3064" t="s">
        <v>2799</v>
      </c>
    </row>
    <row r="72" spans="1:13" ht="13.5" customHeight="1" outlineLevel="1">
      <c r="A72" s="3062"/>
      <c r="B72" s="3085"/>
      <c r="C72" s="3083"/>
      <c r="D72" s="1261">
        <v>2021</v>
      </c>
      <c r="E72" s="1271">
        <f t="shared" si="15"/>
        <v>2000</v>
      </c>
      <c r="F72" s="1272">
        <v>2000</v>
      </c>
      <c r="G72" s="1272">
        <v>0</v>
      </c>
      <c r="H72" s="1272">
        <v>0</v>
      </c>
      <c r="I72" s="1272">
        <v>0</v>
      </c>
      <c r="J72" s="3065"/>
      <c r="K72" s="3065"/>
    </row>
    <row r="73" spans="1:13" ht="13.5" customHeight="1" outlineLevel="1">
      <c r="A73" s="3062"/>
      <c r="B73" s="3085"/>
      <c r="C73" s="3083"/>
      <c r="D73" s="1261">
        <v>2022</v>
      </c>
      <c r="E73" s="1271">
        <f t="shared" si="15"/>
        <v>2900</v>
      </c>
      <c r="F73" s="1272">
        <v>2900</v>
      </c>
      <c r="G73" s="1272">
        <v>0</v>
      </c>
      <c r="H73" s="1272">
        <v>0</v>
      </c>
      <c r="I73" s="1272">
        <v>0</v>
      </c>
      <c r="J73" s="3065"/>
      <c r="K73" s="3065"/>
    </row>
    <row r="74" spans="1:13" s="1454" customFormat="1" ht="13.5" customHeight="1" outlineLevel="1">
      <c r="A74" s="3062"/>
      <c r="B74" s="3085"/>
      <c r="C74" s="3083"/>
      <c r="D74" s="1455">
        <v>2023</v>
      </c>
      <c r="E74" s="1456">
        <f t="shared" si="15"/>
        <v>2316.9986900000004</v>
      </c>
      <c r="F74" s="1457">
        <f>5600-3148.56931-134.432</f>
        <v>2316.9986900000004</v>
      </c>
      <c r="G74" s="1457">
        <v>0</v>
      </c>
      <c r="H74" s="1457">
        <v>0</v>
      </c>
      <c r="I74" s="1457">
        <v>0</v>
      </c>
      <c r="J74" s="3065"/>
      <c r="K74" s="3065"/>
      <c r="L74" s="1451"/>
      <c r="M74" s="1452" t="s">
        <v>3614</v>
      </c>
    </row>
    <row r="75" spans="1:13" ht="13.5" customHeight="1" outlineLevel="1">
      <c r="A75" s="3062"/>
      <c r="B75" s="3085"/>
      <c r="C75" s="3083"/>
      <c r="D75" s="1261">
        <v>2024</v>
      </c>
      <c r="E75" s="1271">
        <f t="shared" si="15"/>
        <v>5600</v>
      </c>
      <c r="F75" s="1272">
        <v>5600</v>
      </c>
      <c r="G75" s="1272">
        <v>0</v>
      </c>
      <c r="H75" s="1272">
        <v>0</v>
      </c>
      <c r="I75" s="1272">
        <v>0</v>
      </c>
      <c r="J75" s="3065"/>
      <c r="K75" s="3065"/>
    </row>
    <row r="76" spans="1:13" ht="13.5" customHeight="1" outlineLevel="1">
      <c r="A76" s="3063"/>
      <c r="B76" s="3086"/>
      <c r="C76" s="3084"/>
      <c r="D76" s="1261">
        <v>2025</v>
      </c>
      <c r="E76" s="1271">
        <f t="shared" si="15"/>
        <v>5600</v>
      </c>
      <c r="F76" s="1272">
        <v>5600</v>
      </c>
      <c r="G76" s="1272">
        <v>0</v>
      </c>
      <c r="H76" s="1272">
        <v>0</v>
      </c>
      <c r="I76" s="1272">
        <v>0</v>
      </c>
      <c r="J76" s="3066"/>
      <c r="K76" s="3066"/>
    </row>
    <row r="77" spans="1:13" ht="13.5" customHeight="1" outlineLevel="1">
      <c r="A77" s="3061" t="s">
        <v>3204</v>
      </c>
      <c r="B77" s="3079" t="s">
        <v>3203</v>
      </c>
      <c r="C77" s="3082" t="s">
        <v>2989</v>
      </c>
      <c r="D77" s="1261" t="s">
        <v>8</v>
      </c>
      <c r="E77" s="1271">
        <f t="shared" si="15"/>
        <v>234813.071</v>
      </c>
      <c r="F77" s="1272">
        <f>SUM(F78:F82)</f>
        <v>234813.071</v>
      </c>
      <c r="G77" s="1272">
        <f>SUM(G78:G82)</f>
        <v>0</v>
      </c>
      <c r="H77" s="1272">
        <f>SUM(H78:H82)</f>
        <v>0</v>
      </c>
      <c r="I77" s="1272">
        <f>SUM(I78:I82)</f>
        <v>0</v>
      </c>
      <c r="J77" s="3064" t="s">
        <v>2811</v>
      </c>
      <c r="K77" s="3064" t="s">
        <v>3066</v>
      </c>
    </row>
    <row r="78" spans="1:13" ht="13.5" customHeight="1" outlineLevel="1">
      <c r="A78" s="3062"/>
      <c r="B78" s="3085"/>
      <c r="C78" s="3083"/>
      <c r="D78" s="1261">
        <v>2021</v>
      </c>
      <c r="E78" s="1271">
        <f t="shared" si="15"/>
        <v>29443.125</v>
      </c>
      <c r="F78" s="1272">
        <f>29443125/1000</f>
        <v>29443.125</v>
      </c>
      <c r="G78" s="1272">
        <v>0</v>
      </c>
      <c r="H78" s="1272">
        <v>0</v>
      </c>
      <c r="I78" s="1272">
        <v>0</v>
      </c>
      <c r="J78" s="3065"/>
      <c r="K78" s="3065"/>
    </row>
    <row r="79" spans="1:13" ht="13.5" customHeight="1" outlineLevel="1">
      <c r="A79" s="3062"/>
      <c r="B79" s="3085"/>
      <c r="C79" s="3083"/>
      <c r="D79" s="1261">
        <v>2022</v>
      </c>
      <c r="E79" s="1271">
        <f t="shared" si="15"/>
        <v>99747.438999999998</v>
      </c>
      <c r="F79" s="1272">
        <v>99747.438999999998</v>
      </c>
      <c r="G79" s="1272">
        <v>0</v>
      </c>
      <c r="H79" s="1272">
        <v>0</v>
      </c>
      <c r="I79" s="1272">
        <v>0</v>
      </c>
      <c r="J79" s="3065"/>
      <c r="K79" s="3065"/>
    </row>
    <row r="80" spans="1:13" s="1454" customFormat="1" ht="13.5" customHeight="1" outlineLevel="1">
      <c r="A80" s="3062"/>
      <c r="B80" s="3085"/>
      <c r="C80" s="3083"/>
      <c r="D80" s="1455">
        <v>2023</v>
      </c>
      <c r="E80" s="1456">
        <f t="shared" si="15"/>
        <v>57948.035000000003</v>
      </c>
      <c r="F80" s="1457">
        <f>56948.035+1000</f>
        <v>57948.035000000003</v>
      </c>
      <c r="G80" s="1457">
        <v>0</v>
      </c>
      <c r="H80" s="1457">
        <v>0</v>
      </c>
      <c r="I80" s="1457">
        <v>0</v>
      </c>
      <c r="J80" s="3065"/>
      <c r="K80" s="3065"/>
      <c r="L80" s="1451"/>
      <c r="M80" s="1452"/>
    </row>
    <row r="81" spans="1:13" ht="13.5" customHeight="1" outlineLevel="1">
      <c r="A81" s="3062"/>
      <c r="B81" s="3085"/>
      <c r="C81" s="3083"/>
      <c r="D81" s="1261">
        <v>2024</v>
      </c>
      <c r="E81" s="1271">
        <f t="shared" si="15"/>
        <v>23837.236000000001</v>
      </c>
      <c r="F81" s="1272">
        <v>23837.236000000001</v>
      </c>
      <c r="G81" s="1272">
        <v>0</v>
      </c>
      <c r="H81" s="1272">
        <v>0</v>
      </c>
      <c r="I81" s="1272">
        <v>0</v>
      </c>
      <c r="J81" s="3065"/>
      <c r="K81" s="3065"/>
    </row>
    <row r="82" spans="1:13" ht="13.5" customHeight="1" outlineLevel="1">
      <c r="A82" s="3063"/>
      <c r="B82" s="3086"/>
      <c r="C82" s="3084"/>
      <c r="D82" s="1261">
        <v>2025</v>
      </c>
      <c r="E82" s="1271">
        <f t="shared" si="15"/>
        <v>23837.236000000001</v>
      </c>
      <c r="F82" s="1272">
        <v>23837.236000000001</v>
      </c>
      <c r="G82" s="1272">
        <v>0</v>
      </c>
      <c r="H82" s="1272">
        <v>0</v>
      </c>
      <c r="I82" s="1272">
        <v>0</v>
      </c>
      <c r="J82" s="3066"/>
      <c r="K82" s="3066"/>
    </row>
    <row r="83" spans="1:13" ht="13.5" customHeight="1" outlineLevel="1">
      <c r="A83" s="3061" t="s">
        <v>2908</v>
      </c>
      <c r="B83" s="3079" t="s">
        <v>2903</v>
      </c>
      <c r="C83" s="3082" t="s">
        <v>3017</v>
      </c>
      <c r="D83" s="1261" t="s">
        <v>8</v>
      </c>
      <c r="E83" s="1271">
        <f t="shared" si="15"/>
        <v>80000</v>
      </c>
      <c r="F83" s="1272">
        <f>SUM(F84:F88)</f>
        <v>80000</v>
      </c>
      <c r="G83" s="1272">
        <f>SUM(G84:G88)</f>
        <v>0</v>
      </c>
      <c r="H83" s="1272">
        <f>SUM(H84:H88)</f>
        <v>0</v>
      </c>
      <c r="I83" s="1272">
        <f>SUM(I84:I88)</f>
        <v>0</v>
      </c>
      <c r="J83" s="3064" t="s">
        <v>3202</v>
      </c>
      <c r="K83" s="3064" t="s">
        <v>2799</v>
      </c>
    </row>
    <row r="84" spans="1:13" ht="13.5" customHeight="1" outlineLevel="1">
      <c r="A84" s="3062"/>
      <c r="B84" s="3085"/>
      <c r="C84" s="3083"/>
      <c r="D84" s="1261">
        <v>2021</v>
      </c>
      <c r="E84" s="1271">
        <f t="shared" si="15"/>
        <v>0</v>
      </c>
      <c r="F84" s="1272">
        <v>0</v>
      </c>
      <c r="G84" s="1272">
        <v>0</v>
      </c>
      <c r="H84" s="1272">
        <v>0</v>
      </c>
      <c r="I84" s="1272">
        <v>0</v>
      </c>
      <c r="J84" s="3065"/>
      <c r="K84" s="3065"/>
    </row>
    <row r="85" spans="1:13" ht="13.5" customHeight="1" outlineLevel="1">
      <c r="A85" s="3062"/>
      <c r="B85" s="3085"/>
      <c r="C85" s="3083"/>
      <c r="D85" s="1261">
        <v>2022</v>
      </c>
      <c r="E85" s="1271">
        <f t="shared" si="15"/>
        <v>20000</v>
      </c>
      <c r="F85" s="1272">
        <v>20000</v>
      </c>
      <c r="G85" s="1272">
        <v>0</v>
      </c>
      <c r="H85" s="1272">
        <v>0</v>
      </c>
      <c r="I85" s="1272">
        <v>0</v>
      </c>
      <c r="J85" s="3065"/>
      <c r="K85" s="3065"/>
    </row>
    <row r="86" spans="1:13" s="1454" customFormat="1" ht="13.5" customHeight="1" outlineLevel="1">
      <c r="A86" s="3062"/>
      <c r="B86" s="3085"/>
      <c r="C86" s="3083"/>
      <c r="D86" s="1455">
        <v>2023</v>
      </c>
      <c r="E86" s="1456">
        <f t="shared" si="15"/>
        <v>20000</v>
      </c>
      <c r="F86" s="1457">
        <v>20000</v>
      </c>
      <c r="G86" s="1457">
        <v>0</v>
      </c>
      <c r="H86" s="1457">
        <v>0</v>
      </c>
      <c r="I86" s="1457">
        <v>0</v>
      </c>
      <c r="J86" s="3065"/>
      <c r="K86" s="3065"/>
      <c r="L86" s="1451"/>
      <c r="M86" s="1452"/>
    </row>
    <row r="87" spans="1:13" ht="13.5" customHeight="1" outlineLevel="1">
      <c r="A87" s="3062"/>
      <c r="B87" s="3085"/>
      <c r="C87" s="3083"/>
      <c r="D87" s="1261">
        <v>2024</v>
      </c>
      <c r="E87" s="1271">
        <f t="shared" si="15"/>
        <v>20000</v>
      </c>
      <c r="F87" s="1272">
        <v>20000</v>
      </c>
      <c r="G87" s="1272">
        <v>0</v>
      </c>
      <c r="H87" s="1272">
        <v>0</v>
      </c>
      <c r="I87" s="1272">
        <v>0</v>
      </c>
      <c r="J87" s="3065"/>
      <c r="K87" s="3065"/>
    </row>
    <row r="88" spans="1:13" ht="13.5" customHeight="1" outlineLevel="1">
      <c r="A88" s="3063"/>
      <c r="B88" s="3086"/>
      <c r="C88" s="3084"/>
      <c r="D88" s="1261">
        <v>2025</v>
      </c>
      <c r="E88" s="1271">
        <f t="shared" si="15"/>
        <v>20000</v>
      </c>
      <c r="F88" s="1272">
        <v>20000</v>
      </c>
      <c r="G88" s="1272">
        <v>0</v>
      </c>
      <c r="H88" s="1272">
        <v>0</v>
      </c>
      <c r="I88" s="1272">
        <v>0</v>
      </c>
      <c r="J88" s="3066"/>
      <c r="K88" s="3066"/>
    </row>
    <row r="89" spans="1:13" ht="13.5" customHeight="1" outlineLevel="1">
      <c r="A89" s="3061" t="s">
        <v>2912</v>
      </c>
      <c r="B89" s="3079" t="s">
        <v>2904</v>
      </c>
      <c r="C89" s="3082" t="s">
        <v>2989</v>
      </c>
      <c r="D89" s="1261" t="s">
        <v>8</v>
      </c>
      <c r="E89" s="1271">
        <f t="shared" si="15"/>
        <v>3220</v>
      </c>
      <c r="F89" s="1271">
        <f>SUM(F90:F94)</f>
        <v>3220</v>
      </c>
      <c r="G89" s="1271">
        <f>SUM(G90:G94)</f>
        <v>0</v>
      </c>
      <c r="H89" s="1271">
        <f>SUM(H90:H94)</f>
        <v>0</v>
      </c>
      <c r="I89" s="1271">
        <f>SUM(I90:I94)</f>
        <v>0</v>
      </c>
      <c r="J89" s="3064" t="s">
        <v>3201</v>
      </c>
      <c r="K89" s="3064" t="s">
        <v>2799</v>
      </c>
    </row>
    <row r="90" spans="1:13" ht="13.5" customHeight="1" outlineLevel="1">
      <c r="A90" s="3062"/>
      <c r="B90" s="3085"/>
      <c r="C90" s="3083"/>
      <c r="D90" s="1261">
        <v>2021</v>
      </c>
      <c r="E90" s="1271">
        <f t="shared" si="15"/>
        <v>0</v>
      </c>
      <c r="F90" s="1272">
        <v>0</v>
      </c>
      <c r="G90" s="1272">
        <v>0</v>
      </c>
      <c r="H90" s="1272">
        <v>0</v>
      </c>
      <c r="I90" s="1272">
        <v>0</v>
      </c>
      <c r="J90" s="3065"/>
      <c r="K90" s="3065"/>
    </row>
    <row r="91" spans="1:13" ht="13.5" customHeight="1" outlineLevel="1">
      <c r="A91" s="3062"/>
      <c r="B91" s="3085"/>
      <c r="C91" s="3083"/>
      <c r="D91" s="1261">
        <v>2022</v>
      </c>
      <c r="E91" s="1271">
        <f t="shared" si="15"/>
        <v>3220</v>
      </c>
      <c r="F91" s="1272">
        <f>3360-140</f>
        <v>3220</v>
      </c>
      <c r="G91" s="1272">
        <v>0</v>
      </c>
      <c r="H91" s="1272">
        <v>0</v>
      </c>
      <c r="I91" s="1272">
        <v>0</v>
      </c>
      <c r="J91" s="3065"/>
      <c r="K91" s="3065"/>
    </row>
    <row r="92" spans="1:13" ht="13.5" customHeight="1" outlineLevel="1">
      <c r="A92" s="3062"/>
      <c r="B92" s="3085"/>
      <c r="C92" s="3083"/>
      <c r="D92" s="1261">
        <v>2023</v>
      </c>
      <c r="E92" s="1271">
        <f t="shared" si="15"/>
        <v>0</v>
      </c>
      <c r="F92" s="1272">
        <v>0</v>
      </c>
      <c r="G92" s="1272">
        <v>0</v>
      </c>
      <c r="H92" s="1272">
        <v>0</v>
      </c>
      <c r="I92" s="1272">
        <v>0</v>
      </c>
      <c r="J92" s="3065"/>
      <c r="K92" s="3065"/>
    </row>
    <row r="93" spans="1:13" ht="13.5" customHeight="1" outlineLevel="1">
      <c r="A93" s="3062"/>
      <c r="B93" s="3085"/>
      <c r="C93" s="3083"/>
      <c r="D93" s="1261">
        <v>2024</v>
      </c>
      <c r="E93" s="1271">
        <f t="shared" si="15"/>
        <v>0</v>
      </c>
      <c r="F93" s="1272">
        <v>0</v>
      </c>
      <c r="G93" s="1272">
        <v>0</v>
      </c>
      <c r="H93" s="1272">
        <v>0</v>
      </c>
      <c r="I93" s="1272">
        <v>0</v>
      </c>
      <c r="J93" s="3065"/>
      <c r="K93" s="3065"/>
    </row>
    <row r="94" spans="1:13" ht="13.5" customHeight="1" outlineLevel="1">
      <c r="A94" s="3063"/>
      <c r="B94" s="3086"/>
      <c r="C94" s="3084"/>
      <c r="D94" s="1261">
        <v>2025</v>
      </c>
      <c r="E94" s="1271">
        <f t="shared" si="15"/>
        <v>0</v>
      </c>
      <c r="F94" s="1272">
        <v>0</v>
      </c>
      <c r="G94" s="1272">
        <v>0</v>
      </c>
      <c r="H94" s="1272">
        <v>0</v>
      </c>
      <c r="I94" s="1272">
        <v>0</v>
      </c>
      <c r="J94" s="3066"/>
      <c r="K94" s="3066"/>
    </row>
    <row r="95" spans="1:13" ht="23.25" customHeight="1" outlineLevel="1">
      <c r="A95" s="3061" t="s">
        <v>3200</v>
      </c>
      <c r="B95" s="3079" t="s">
        <v>3199</v>
      </c>
      <c r="C95" s="3082" t="s">
        <v>3198</v>
      </c>
      <c r="D95" s="1261" t="s">
        <v>8</v>
      </c>
      <c r="E95" s="1271">
        <f t="shared" si="15"/>
        <v>0</v>
      </c>
      <c r="F95" s="1271">
        <f>SUM(F96:F100)</f>
        <v>0</v>
      </c>
      <c r="G95" s="1271">
        <f>SUM(G96:G100)</f>
        <v>0</v>
      </c>
      <c r="H95" s="1271">
        <f>SUM(H96:H100)</f>
        <v>0</v>
      </c>
      <c r="I95" s="1271">
        <f>SUM(I96:I100)</f>
        <v>0</v>
      </c>
      <c r="J95" s="3064" t="s">
        <v>3197</v>
      </c>
      <c r="K95" s="3064" t="s">
        <v>2799</v>
      </c>
    </row>
    <row r="96" spans="1:13" ht="13.5" customHeight="1" outlineLevel="1">
      <c r="A96" s="3062"/>
      <c r="B96" s="3085"/>
      <c r="C96" s="3083"/>
      <c r="D96" s="1261">
        <v>2021</v>
      </c>
      <c r="E96" s="1271">
        <f t="shared" si="15"/>
        <v>0</v>
      </c>
      <c r="F96" s="1272">
        <v>0</v>
      </c>
      <c r="G96" s="1272">
        <v>0</v>
      </c>
      <c r="H96" s="1272">
        <v>0</v>
      </c>
      <c r="I96" s="1272">
        <v>0</v>
      </c>
      <c r="J96" s="3065"/>
      <c r="K96" s="3065"/>
    </row>
    <row r="97" spans="1:13" ht="13.5" customHeight="1" outlineLevel="1">
      <c r="A97" s="3062"/>
      <c r="B97" s="3085"/>
      <c r="C97" s="3083"/>
      <c r="D97" s="1261">
        <v>2022</v>
      </c>
      <c r="E97" s="1271">
        <f t="shared" si="15"/>
        <v>0</v>
      </c>
      <c r="F97" s="1272">
        <v>0</v>
      </c>
      <c r="G97" s="1272">
        <v>0</v>
      </c>
      <c r="H97" s="1272">
        <v>0</v>
      </c>
      <c r="I97" s="1272">
        <v>0</v>
      </c>
      <c r="J97" s="3065"/>
      <c r="K97" s="3065"/>
    </row>
    <row r="98" spans="1:13" ht="13.5" customHeight="1" outlineLevel="1">
      <c r="A98" s="3062"/>
      <c r="B98" s="3085"/>
      <c r="C98" s="3083"/>
      <c r="D98" s="1261">
        <v>2023</v>
      </c>
      <c r="E98" s="1271">
        <f t="shared" si="15"/>
        <v>0</v>
      </c>
      <c r="F98" s="1272">
        <v>0</v>
      </c>
      <c r="G98" s="1272">
        <v>0</v>
      </c>
      <c r="H98" s="1272">
        <v>0</v>
      </c>
      <c r="I98" s="1272">
        <v>0</v>
      </c>
      <c r="J98" s="3065"/>
      <c r="K98" s="3065"/>
    </row>
    <row r="99" spans="1:13" ht="13.5" customHeight="1" outlineLevel="1">
      <c r="A99" s="3062"/>
      <c r="B99" s="3085"/>
      <c r="C99" s="3083"/>
      <c r="D99" s="1261">
        <v>2024</v>
      </c>
      <c r="E99" s="1271">
        <f t="shared" si="15"/>
        <v>0</v>
      </c>
      <c r="F99" s="1272">
        <v>0</v>
      </c>
      <c r="G99" s="1272">
        <v>0</v>
      </c>
      <c r="H99" s="1272">
        <v>0</v>
      </c>
      <c r="I99" s="1272">
        <v>0</v>
      </c>
      <c r="J99" s="3065"/>
      <c r="K99" s="3065"/>
    </row>
    <row r="100" spans="1:13" ht="13.5" customHeight="1" outlineLevel="1">
      <c r="A100" s="3063"/>
      <c r="B100" s="3086"/>
      <c r="C100" s="3084"/>
      <c r="D100" s="1261">
        <v>2025</v>
      </c>
      <c r="E100" s="1271">
        <v>0</v>
      </c>
      <c r="F100" s="1272">
        <v>0</v>
      </c>
      <c r="G100" s="1272">
        <v>0</v>
      </c>
      <c r="H100" s="1272">
        <v>0</v>
      </c>
      <c r="I100" s="1272">
        <v>0</v>
      </c>
      <c r="J100" s="3066"/>
      <c r="K100" s="3066"/>
    </row>
    <row r="101" spans="1:13" ht="13.5" customHeight="1" outlineLevel="1">
      <c r="A101" s="3061" t="s">
        <v>2913</v>
      </c>
      <c r="B101" s="3079" t="s">
        <v>2905</v>
      </c>
      <c r="C101" s="3082" t="s">
        <v>2989</v>
      </c>
      <c r="D101" s="1261" t="s">
        <v>8</v>
      </c>
      <c r="E101" s="1271">
        <f t="shared" si="15"/>
        <v>99000</v>
      </c>
      <c r="F101" s="1271">
        <f>SUM(F102:F106)</f>
        <v>99000</v>
      </c>
      <c r="G101" s="1271">
        <f>SUM(G102:G106)</f>
        <v>0</v>
      </c>
      <c r="H101" s="1271">
        <f>SUM(H102:H106)</f>
        <v>0</v>
      </c>
      <c r="I101" s="1271">
        <f>SUM(I102:I106)</f>
        <v>0</v>
      </c>
      <c r="J101" s="3064" t="s">
        <v>3196</v>
      </c>
      <c r="K101" s="3064" t="s">
        <v>2852</v>
      </c>
    </row>
    <row r="102" spans="1:13" ht="13.5" customHeight="1" outlineLevel="1">
      <c r="A102" s="3062"/>
      <c r="B102" s="3085"/>
      <c r="C102" s="3083"/>
      <c r="D102" s="1261">
        <v>2021</v>
      </c>
      <c r="E102" s="1271">
        <f t="shared" si="15"/>
        <v>0</v>
      </c>
      <c r="F102" s="1272">
        <v>0</v>
      </c>
      <c r="G102" s="1272">
        <v>0</v>
      </c>
      <c r="H102" s="1272">
        <v>0</v>
      </c>
      <c r="I102" s="1272">
        <v>0</v>
      </c>
      <c r="J102" s="3065"/>
      <c r="K102" s="3065"/>
    </row>
    <row r="103" spans="1:13" ht="13.5" customHeight="1" outlineLevel="1">
      <c r="A103" s="3062"/>
      <c r="B103" s="3085"/>
      <c r="C103" s="3083"/>
      <c r="D103" s="1261">
        <v>2022</v>
      </c>
      <c r="E103" s="1271">
        <f t="shared" si="15"/>
        <v>21000</v>
      </c>
      <c r="F103" s="1272">
        <v>21000</v>
      </c>
      <c r="G103" s="1272">
        <v>0</v>
      </c>
      <c r="H103" s="1272">
        <v>0</v>
      </c>
      <c r="I103" s="1272">
        <v>0</v>
      </c>
      <c r="J103" s="3065"/>
      <c r="K103" s="3065"/>
    </row>
    <row r="104" spans="1:13" s="1454" customFormat="1" ht="13.5" customHeight="1" outlineLevel="1">
      <c r="A104" s="3062"/>
      <c r="B104" s="3085"/>
      <c r="C104" s="3083"/>
      <c r="D104" s="1455">
        <v>2023</v>
      </c>
      <c r="E104" s="1456">
        <f t="shared" si="15"/>
        <v>26000</v>
      </c>
      <c r="F104" s="1457">
        <f>26000</f>
        <v>26000</v>
      </c>
      <c r="G104" s="1457">
        <v>0</v>
      </c>
      <c r="H104" s="1457">
        <v>0</v>
      </c>
      <c r="I104" s="1457">
        <v>0</v>
      </c>
      <c r="J104" s="3065"/>
      <c r="K104" s="3065"/>
      <c r="L104" s="1451"/>
      <c r="M104" s="1452"/>
    </row>
    <row r="105" spans="1:13" ht="13.5" customHeight="1" outlineLevel="1">
      <c r="A105" s="3062"/>
      <c r="B105" s="3085"/>
      <c r="C105" s="3083"/>
      <c r="D105" s="1261">
        <v>2024</v>
      </c>
      <c r="E105" s="1271">
        <f t="shared" si="15"/>
        <v>26000</v>
      </c>
      <c r="F105" s="1272">
        <v>26000</v>
      </c>
      <c r="G105" s="1272">
        <v>0</v>
      </c>
      <c r="H105" s="1272">
        <v>0</v>
      </c>
      <c r="I105" s="1272">
        <v>0</v>
      </c>
      <c r="J105" s="3065"/>
      <c r="K105" s="3065"/>
    </row>
    <row r="106" spans="1:13" ht="13.5" customHeight="1" outlineLevel="1">
      <c r="A106" s="3063"/>
      <c r="B106" s="3086"/>
      <c r="C106" s="3084"/>
      <c r="D106" s="1261">
        <v>2025</v>
      </c>
      <c r="E106" s="1271">
        <f t="shared" ref="E106:H120" si="19">SUM(F106:I106)</f>
        <v>26000</v>
      </c>
      <c r="F106" s="1272">
        <v>26000</v>
      </c>
      <c r="G106" s="1272">
        <v>0</v>
      </c>
      <c r="H106" s="1272">
        <v>0</v>
      </c>
      <c r="I106" s="1272">
        <v>0</v>
      </c>
      <c r="J106" s="3066"/>
      <c r="K106" s="3066"/>
    </row>
    <row r="107" spans="1:13" ht="18" customHeight="1" outlineLevel="1">
      <c r="A107" s="3061" t="s">
        <v>2914</v>
      </c>
      <c r="B107" s="3079" t="s">
        <v>2906</v>
      </c>
      <c r="C107" s="3082" t="s">
        <v>2999</v>
      </c>
      <c r="D107" s="1261" t="s">
        <v>8</v>
      </c>
      <c r="E107" s="1271">
        <f t="shared" si="19"/>
        <v>9000</v>
      </c>
      <c r="F107" s="1271">
        <f>SUM(F108:F112)</f>
        <v>9000</v>
      </c>
      <c r="G107" s="1271">
        <f>SUM(G108:G112)</f>
        <v>0</v>
      </c>
      <c r="H107" s="1271">
        <f>SUM(H108:H112)</f>
        <v>0</v>
      </c>
      <c r="I107" s="1271">
        <f>SUM(I108:I112)</f>
        <v>0</v>
      </c>
      <c r="J107" s="3064" t="s">
        <v>3191</v>
      </c>
      <c r="K107" s="3064" t="s">
        <v>2852</v>
      </c>
    </row>
    <row r="108" spans="1:13" ht="22.5" customHeight="1" outlineLevel="1">
      <c r="A108" s="3062"/>
      <c r="B108" s="3085"/>
      <c r="C108" s="3083"/>
      <c r="D108" s="1261">
        <v>2021</v>
      </c>
      <c r="E108" s="1271">
        <f t="shared" si="19"/>
        <v>0</v>
      </c>
      <c r="F108" s="1272">
        <v>0</v>
      </c>
      <c r="G108" s="1272">
        <v>0</v>
      </c>
      <c r="H108" s="1272">
        <v>0</v>
      </c>
      <c r="I108" s="1272">
        <v>0</v>
      </c>
      <c r="J108" s="3065"/>
      <c r="K108" s="3065"/>
    </row>
    <row r="109" spans="1:13" ht="26.25" customHeight="1" outlineLevel="1">
      <c r="A109" s="3062"/>
      <c r="B109" s="3085"/>
      <c r="C109" s="3083"/>
      <c r="D109" s="1261">
        <v>2022</v>
      </c>
      <c r="E109" s="1271">
        <f t="shared" si="19"/>
        <v>9000</v>
      </c>
      <c r="F109" s="1272">
        <v>9000</v>
      </c>
      <c r="G109" s="1272">
        <v>0</v>
      </c>
      <c r="H109" s="1272">
        <v>0</v>
      </c>
      <c r="I109" s="1272">
        <v>0</v>
      </c>
      <c r="J109" s="3065"/>
      <c r="K109" s="3065"/>
    </row>
    <row r="110" spans="1:13" ht="32.25" customHeight="1" outlineLevel="1">
      <c r="A110" s="3062"/>
      <c r="B110" s="3085"/>
      <c r="C110" s="3083"/>
      <c r="D110" s="1261">
        <v>2023</v>
      </c>
      <c r="E110" s="1271">
        <f t="shared" si="19"/>
        <v>0</v>
      </c>
      <c r="F110" s="1272">
        <v>0</v>
      </c>
      <c r="G110" s="1272">
        <v>0</v>
      </c>
      <c r="H110" s="1272">
        <v>0</v>
      </c>
      <c r="I110" s="1272">
        <v>0</v>
      </c>
      <c r="J110" s="3065"/>
      <c r="K110" s="3065"/>
    </row>
    <row r="111" spans="1:13" ht="22.5" customHeight="1" outlineLevel="1">
      <c r="A111" s="3062"/>
      <c r="B111" s="3085"/>
      <c r="C111" s="3083"/>
      <c r="D111" s="1261">
        <v>2024</v>
      </c>
      <c r="E111" s="1271">
        <f t="shared" si="19"/>
        <v>0</v>
      </c>
      <c r="F111" s="1272">
        <v>0</v>
      </c>
      <c r="G111" s="1272">
        <v>0</v>
      </c>
      <c r="H111" s="1272">
        <v>0</v>
      </c>
      <c r="I111" s="1272">
        <v>0</v>
      </c>
      <c r="J111" s="3065"/>
      <c r="K111" s="3065"/>
    </row>
    <row r="112" spans="1:13" ht="21" customHeight="1" outlineLevel="1">
      <c r="A112" s="3063"/>
      <c r="B112" s="3086"/>
      <c r="C112" s="3084"/>
      <c r="D112" s="1261">
        <v>2025</v>
      </c>
      <c r="E112" s="1271">
        <f t="shared" si="19"/>
        <v>0</v>
      </c>
      <c r="F112" s="1272">
        <v>0</v>
      </c>
      <c r="G112" s="1272">
        <v>0</v>
      </c>
      <c r="H112" s="1272">
        <v>0</v>
      </c>
      <c r="I112" s="1272">
        <v>0</v>
      </c>
      <c r="J112" s="3066"/>
      <c r="K112" s="3066"/>
    </row>
    <row r="113" spans="1:13" ht="15.75" customHeight="1" outlineLevel="1">
      <c r="A113" s="3061" t="s">
        <v>2915</v>
      </c>
      <c r="B113" s="3079" t="s">
        <v>2907</v>
      </c>
      <c r="C113" s="3082">
        <v>2022</v>
      </c>
      <c r="D113" s="1261" t="s">
        <v>8</v>
      </c>
      <c r="E113" s="1271">
        <f>SUM(F113:I113)</f>
        <v>33359.250659999998</v>
      </c>
      <c r="F113" s="1271">
        <f>SUM(F114:F118)</f>
        <v>33359.250659999998</v>
      </c>
      <c r="G113" s="1271">
        <f>SUM(G114:G118)</f>
        <v>0</v>
      </c>
      <c r="H113" s="1271">
        <f>SUM(H114:H118)</f>
        <v>0</v>
      </c>
      <c r="I113" s="1271">
        <f>SUM(I114:I118)</f>
        <v>0</v>
      </c>
      <c r="J113" s="3064" t="s">
        <v>3191</v>
      </c>
      <c r="K113" s="3064" t="s">
        <v>2852</v>
      </c>
    </row>
    <row r="114" spans="1:13" ht="15.75" customHeight="1" outlineLevel="1">
      <c r="A114" s="3062"/>
      <c r="B114" s="3085"/>
      <c r="C114" s="3083"/>
      <c r="D114" s="1261">
        <v>2021</v>
      </c>
      <c r="E114" s="1271">
        <f t="shared" si="19"/>
        <v>0</v>
      </c>
      <c r="F114" s="1272">
        <v>0</v>
      </c>
      <c r="G114" s="1272">
        <v>0</v>
      </c>
      <c r="H114" s="1272">
        <v>0</v>
      </c>
      <c r="I114" s="1271">
        <v>0</v>
      </c>
      <c r="J114" s="3065"/>
      <c r="K114" s="3065"/>
    </row>
    <row r="115" spans="1:13" ht="15.75" customHeight="1" outlineLevel="1">
      <c r="A115" s="3062"/>
      <c r="B115" s="3085"/>
      <c r="C115" s="3083"/>
      <c r="D115" s="1261">
        <v>2022</v>
      </c>
      <c r="E115" s="1271">
        <f t="shared" si="19"/>
        <v>33359.250659999998</v>
      </c>
      <c r="F115" s="1272">
        <f>33194.388+164.86266</f>
        <v>33359.250659999998</v>
      </c>
      <c r="G115" s="1272">
        <v>0</v>
      </c>
      <c r="H115" s="1272">
        <v>0</v>
      </c>
      <c r="I115" s="1271">
        <v>0</v>
      </c>
      <c r="J115" s="3065"/>
      <c r="K115" s="3065"/>
    </row>
    <row r="116" spans="1:13" ht="15.75" customHeight="1" outlineLevel="1">
      <c r="A116" s="3062"/>
      <c r="B116" s="3085"/>
      <c r="C116" s="3083"/>
      <c r="D116" s="1261">
        <v>2023</v>
      </c>
      <c r="E116" s="1271">
        <f t="shared" si="19"/>
        <v>0</v>
      </c>
      <c r="F116" s="1271">
        <f t="shared" si="19"/>
        <v>0</v>
      </c>
      <c r="G116" s="1271">
        <f t="shared" si="19"/>
        <v>0</v>
      </c>
      <c r="H116" s="1271">
        <f t="shared" si="19"/>
        <v>0</v>
      </c>
      <c r="I116" s="1271">
        <v>0</v>
      </c>
      <c r="J116" s="3065"/>
      <c r="K116" s="3065"/>
    </row>
    <row r="117" spans="1:13" ht="15.75" customHeight="1" outlineLevel="1">
      <c r="A117" s="3062"/>
      <c r="B117" s="3085"/>
      <c r="C117" s="3083"/>
      <c r="D117" s="1261">
        <v>2024</v>
      </c>
      <c r="E117" s="1271">
        <f t="shared" si="19"/>
        <v>0</v>
      </c>
      <c r="F117" s="1271">
        <f t="shared" si="19"/>
        <v>0</v>
      </c>
      <c r="G117" s="1271">
        <f t="shared" si="19"/>
        <v>0</v>
      </c>
      <c r="H117" s="1271">
        <f t="shared" si="19"/>
        <v>0</v>
      </c>
      <c r="I117" s="1271">
        <v>0</v>
      </c>
      <c r="J117" s="3065"/>
      <c r="K117" s="3065"/>
    </row>
    <row r="118" spans="1:13" ht="15.75" customHeight="1" outlineLevel="1">
      <c r="A118" s="3063"/>
      <c r="B118" s="3086"/>
      <c r="C118" s="3084"/>
      <c r="D118" s="1261">
        <v>2025</v>
      </c>
      <c r="E118" s="1271">
        <f t="shared" si="19"/>
        <v>0</v>
      </c>
      <c r="F118" s="1271">
        <f t="shared" si="19"/>
        <v>0</v>
      </c>
      <c r="G118" s="1271">
        <f t="shared" si="19"/>
        <v>0</v>
      </c>
      <c r="H118" s="1271">
        <f t="shared" si="19"/>
        <v>0</v>
      </c>
      <c r="I118" s="1271">
        <v>0</v>
      </c>
      <c r="J118" s="3066"/>
      <c r="K118" s="3066"/>
    </row>
    <row r="119" spans="1:13" ht="15.75" customHeight="1" outlineLevel="1">
      <c r="A119" s="3050" t="s">
        <v>3195</v>
      </c>
      <c r="B119" s="3079" t="s">
        <v>3194</v>
      </c>
      <c r="C119" s="3052" t="s">
        <v>3188</v>
      </c>
      <c r="D119" s="1261" t="s">
        <v>8</v>
      </c>
      <c r="E119" s="1271">
        <f t="shared" si="19"/>
        <v>32210.526320000001</v>
      </c>
      <c r="F119" s="1271">
        <f>SUM(F120:F124)</f>
        <v>27000</v>
      </c>
      <c r="G119" s="1271">
        <f>SUM(G120:G124)</f>
        <v>0</v>
      </c>
      <c r="H119" s="1271">
        <f>SUM(H120:H124)</f>
        <v>5210.5263199999999</v>
      </c>
      <c r="I119" s="1271">
        <f>SUM(I120:I124)</f>
        <v>0</v>
      </c>
      <c r="J119" s="3064" t="s">
        <v>3191</v>
      </c>
      <c r="K119" s="3064" t="s">
        <v>2852</v>
      </c>
    </row>
    <row r="120" spans="1:13" ht="15.75" customHeight="1" outlineLevel="1">
      <c r="A120" s="3050"/>
      <c r="B120" s="3085"/>
      <c r="C120" s="3052"/>
      <c r="D120" s="1261">
        <v>2021</v>
      </c>
      <c r="E120" s="1271">
        <f t="shared" si="19"/>
        <v>0</v>
      </c>
      <c r="F120" s="1272">
        <v>0</v>
      </c>
      <c r="G120" s="1272">
        <v>0</v>
      </c>
      <c r="H120" s="1272">
        <v>0</v>
      </c>
      <c r="I120" s="1271">
        <v>0</v>
      </c>
      <c r="J120" s="3065"/>
      <c r="K120" s="3065"/>
    </row>
    <row r="121" spans="1:13" ht="15.75" customHeight="1" outlineLevel="1">
      <c r="A121" s="3050"/>
      <c r="B121" s="3085"/>
      <c r="C121" s="3052"/>
      <c r="D121" s="1261">
        <v>2022</v>
      </c>
      <c r="E121" s="1271">
        <f t="shared" ref="E121:E190" si="20">SUM(F121:I121)</f>
        <v>0</v>
      </c>
      <c r="F121" s="1272">
        <v>0</v>
      </c>
      <c r="G121" s="1272">
        <v>0</v>
      </c>
      <c r="H121" s="1272">
        <v>0</v>
      </c>
      <c r="I121" s="1271">
        <v>0</v>
      </c>
      <c r="J121" s="3065"/>
      <c r="K121" s="3065"/>
    </row>
    <row r="122" spans="1:13" s="1454" customFormat="1" ht="15.75" customHeight="1" outlineLevel="1">
      <c r="A122" s="3050"/>
      <c r="B122" s="3085"/>
      <c r="C122" s="3052"/>
      <c r="D122" s="1455">
        <v>2023</v>
      </c>
      <c r="E122" s="1456">
        <f t="shared" si="20"/>
        <v>14210.526320000001</v>
      </c>
      <c r="F122" s="1457">
        <v>9000</v>
      </c>
      <c r="G122" s="1457">
        <v>0</v>
      </c>
      <c r="H122" s="1457">
        <v>5210.5263199999999</v>
      </c>
      <c r="I122" s="1457">
        <v>0</v>
      </c>
      <c r="J122" s="3065"/>
      <c r="K122" s="3065"/>
      <c r="L122" s="1451"/>
      <c r="M122" s="1452"/>
    </row>
    <row r="123" spans="1:13" ht="15.75" customHeight="1" outlineLevel="1">
      <c r="A123" s="3050"/>
      <c r="B123" s="3085"/>
      <c r="C123" s="3052"/>
      <c r="D123" s="1261">
        <v>2024</v>
      </c>
      <c r="E123" s="1271">
        <f t="shared" si="20"/>
        <v>9000</v>
      </c>
      <c r="F123" s="1272">
        <v>9000</v>
      </c>
      <c r="G123" s="1272">
        <v>0</v>
      </c>
      <c r="H123" s="1272">
        <v>0</v>
      </c>
      <c r="I123" s="1272">
        <v>0</v>
      </c>
      <c r="J123" s="3065"/>
      <c r="K123" s="3065"/>
    </row>
    <row r="124" spans="1:13" ht="15.75" customHeight="1" outlineLevel="1">
      <c r="A124" s="3050"/>
      <c r="B124" s="3086"/>
      <c r="C124" s="3052"/>
      <c r="D124" s="1261">
        <v>2025</v>
      </c>
      <c r="E124" s="1271">
        <f t="shared" si="20"/>
        <v>9000</v>
      </c>
      <c r="F124" s="1272">
        <v>9000</v>
      </c>
      <c r="G124" s="1272">
        <v>0</v>
      </c>
      <c r="H124" s="1272">
        <v>0</v>
      </c>
      <c r="I124" s="1272">
        <v>0</v>
      </c>
      <c r="J124" s="3066"/>
      <c r="K124" s="3066"/>
    </row>
    <row r="125" spans="1:13" ht="15.75" customHeight="1" outlineLevel="1">
      <c r="A125" s="3062" t="s">
        <v>3193</v>
      </c>
      <c r="B125" s="3079" t="s">
        <v>3192</v>
      </c>
      <c r="C125" s="3052" t="s">
        <v>3188</v>
      </c>
      <c r="D125" s="1261" t="s">
        <v>8</v>
      </c>
      <c r="E125" s="1271">
        <f t="shared" si="20"/>
        <v>112275.26502000001</v>
      </c>
      <c r="F125" s="1271">
        <f>SUM(F126:F130)</f>
        <v>105000</v>
      </c>
      <c r="G125" s="1271">
        <f>SUM(G126:G130)</f>
        <v>0</v>
      </c>
      <c r="H125" s="1271">
        <f>SUM(H126:H130)</f>
        <v>7275.2650199999998</v>
      </c>
      <c r="I125" s="1271">
        <f>SUM(I126:I130)</f>
        <v>0</v>
      </c>
      <c r="J125" s="3064" t="s">
        <v>3191</v>
      </c>
      <c r="K125" s="3064" t="s">
        <v>2852</v>
      </c>
    </row>
    <row r="126" spans="1:13" ht="15.75" customHeight="1" outlineLevel="1">
      <c r="A126" s="3062"/>
      <c r="B126" s="3085"/>
      <c r="C126" s="3052"/>
      <c r="D126" s="1261">
        <v>2021</v>
      </c>
      <c r="E126" s="1271">
        <f t="shared" si="20"/>
        <v>0</v>
      </c>
      <c r="F126" s="1271">
        <v>0</v>
      </c>
      <c r="G126" s="1271">
        <f t="shared" ref="G126:H130" si="21">SUM(H126:K126)</f>
        <v>0</v>
      </c>
      <c r="H126" s="1271">
        <f t="shared" si="21"/>
        <v>0</v>
      </c>
      <c r="I126" s="1271">
        <v>0</v>
      </c>
      <c r="J126" s="3065"/>
      <c r="K126" s="3065"/>
    </row>
    <row r="127" spans="1:13" ht="15.75" customHeight="1" outlineLevel="1">
      <c r="A127" s="3062"/>
      <c r="B127" s="3085"/>
      <c r="C127" s="3052"/>
      <c r="D127" s="1261">
        <v>2022</v>
      </c>
      <c r="E127" s="1271">
        <f t="shared" si="20"/>
        <v>0</v>
      </c>
      <c r="F127" s="1271">
        <v>0</v>
      </c>
      <c r="G127" s="1271">
        <f t="shared" si="21"/>
        <v>0</v>
      </c>
      <c r="H127" s="1271">
        <f t="shared" si="21"/>
        <v>0</v>
      </c>
      <c r="I127" s="1271">
        <v>0</v>
      </c>
      <c r="J127" s="3065"/>
      <c r="K127" s="3065"/>
    </row>
    <row r="128" spans="1:13" s="1454" customFormat="1" ht="15.75" customHeight="1" outlineLevel="1">
      <c r="A128" s="3062"/>
      <c r="B128" s="3085"/>
      <c r="C128" s="3052"/>
      <c r="D128" s="1455">
        <v>2023</v>
      </c>
      <c r="E128" s="1456">
        <f t="shared" si="20"/>
        <v>42275.265019999999</v>
      </c>
      <c r="F128" s="1456">
        <v>35000</v>
      </c>
      <c r="G128" s="1456"/>
      <c r="H128" s="1456">
        <v>7275.2650199999998</v>
      </c>
      <c r="I128" s="1456">
        <v>0</v>
      </c>
      <c r="J128" s="3065"/>
      <c r="K128" s="3065"/>
      <c r="L128" s="1451"/>
      <c r="M128" s="1452"/>
    </row>
    <row r="129" spans="1:16" ht="15.75" customHeight="1" outlineLevel="1">
      <c r="A129" s="3062"/>
      <c r="B129" s="3085"/>
      <c r="C129" s="3052"/>
      <c r="D129" s="1261">
        <v>2024</v>
      </c>
      <c r="E129" s="1271">
        <f t="shared" si="20"/>
        <v>35000</v>
      </c>
      <c r="F129" s="1271">
        <v>35000</v>
      </c>
      <c r="G129" s="1271">
        <f t="shared" si="21"/>
        <v>0</v>
      </c>
      <c r="H129" s="1271">
        <f t="shared" si="21"/>
        <v>0</v>
      </c>
      <c r="I129" s="1271">
        <v>0</v>
      </c>
      <c r="J129" s="3065"/>
      <c r="K129" s="3065"/>
    </row>
    <row r="130" spans="1:16" ht="15.75" customHeight="1" outlineLevel="1">
      <c r="A130" s="3063"/>
      <c r="B130" s="3086"/>
      <c r="C130" s="3052"/>
      <c r="D130" s="1261">
        <v>2025</v>
      </c>
      <c r="E130" s="1271">
        <f t="shared" si="20"/>
        <v>35000</v>
      </c>
      <c r="F130" s="1271">
        <v>35000</v>
      </c>
      <c r="G130" s="1271">
        <f t="shared" si="21"/>
        <v>0</v>
      </c>
      <c r="H130" s="1271">
        <f t="shared" si="21"/>
        <v>0</v>
      </c>
      <c r="I130" s="1271">
        <v>0</v>
      </c>
      <c r="J130" s="3066"/>
      <c r="K130" s="3066"/>
    </row>
    <row r="131" spans="1:16" ht="15.75" customHeight="1" outlineLevel="1">
      <c r="A131" s="3061" t="s">
        <v>3190</v>
      </c>
      <c r="B131" s="3079" t="s">
        <v>3189</v>
      </c>
      <c r="C131" s="3082" t="s">
        <v>3188</v>
      </c>
      <c r="D131" s="1261" t="s">
        <v>8</v>
      </c>
      <c r="E131" s="1271">
        <f t="shared" si="20"/>
        <v>28894.679</v>
      </c>
      <c r="F131" s="1271">
        <f>SUM(F132:F136)</f>
        <v>28894.679</v>
      </c>
      <c r="G131" s="1271">
        <f t="shared" ref="G131:H143" si="22">SUM(G132:G136)</f>
        <v>0</v>
      </c>
      <c r="H131" s="1271">
        <f t="shared" si="22"/>
        <v>0</v>
      </c>
      <c r="I131" s="1271">
        <f>SUM(I132:I136)</f>
        <v>0</v>
      </c>
      <c r="J131" s="3064" t="s">
        <v>3187</v>
      </c>
      <c r="K131" s="3064" t="s">
        <v>2799</v>
      </c>
    </row>
    <row r="132" spans="1:16" ht="15.75" customHeight="1" outlineLevel="1">
      <c r="A132" s="3062"/>
      <c r="B132" s="3085"/>
      <c r="C132" s="3083"/>
      <c r="D132" s="1261">
        <v>2021</v>
      </c>
      <c r="E132" s="1271">
        <f t="shared" si="20"/>
        <v>0</v>
      </c>
      <c r="F132" s="1272">
        <v>0</v>
      </c>
      <c r="G132" s="1272">
        <v>0</v>
      </c>
      <c r="H132" s="1272">
        <v>0</v>
      </c>
      <c r="I132" s="1272">
        <v>0</v>
      </c>
      <c r="J132" s="3065"/>
      <c r="K132" s="3065"/>
    </row>
    <row r="133" spans="1:16" ht="15.75" customHeight="1" outlineLevel="1">
      <c r="A133" s="3062"/>
      <c r="B133" s="3085"/>
      <c r="C133" s="3083"/>
      <c r="D133" s="1261">
        <v>2022</v>
      </c>
      <c r="E133" s="1271">
        <f t="shared" si="20"/>
        <v>0</v>
      </c>
      <c r="F133" s="1272">
        <v>0</v>
      </c>
      <c r="G133" s="1272">
        <v>0</v>
      </c>
      <c r="H133" s="1272">
        <v>0</v>
      </c>
      <c r="I133" s="1272">
        <v>0</v>
      </c>
      <c r="J133" s="3065"/>
      <c r="K133" s="3065"/>
    </row>
    <row r="134" spans="1:16" s="1454" customFormat="1" ht="15.75" customHeight="1" outlineLevel="1">
      <c r="A134" s="3062"/>
      <c r="B134" s="3085"/>
      <c r="C134" s="3083"/>
      <c r="D134" s="1455">
        <v>2023</v>
      </c>
      <c r="E134" s="1456">
        <f t="shared" si="20"/>
        <v>894.67900000000009</v>
      </c>
      <c r="F134" s="1456">
        <f>14000-5000-8105.321</f>
        <v>894.67900000000009</v>
      </c>
      <c r="G134" s="1457">
        <v>0</v>
      </c>
      <c r="H134" s="1457">
        <v>0</v>
      </c>
      <c r="I134" s="1457">
        <v>0</v>
      </c>
      <c r="J134" s="3065"/>
      <c r="K134" s="3065"/>
      <c r="L134" s="1451"/>
      <c r="M134" s="1452"/>
    </row>
    <row r="135" spans="1:16" ht="15.75" customHeight="1" outlineLevel="1">
      <c r="A135" s="3062"/>
      <c r="B135" s="3085"/>
      <c r="C135" s="3083"/>
      <c r="D135" s="1261">
        <v>2024</v>
      </c>
      <c r="E135" s="1271">
        <f t="shared" si="20"/>
        <v>14000</v>
      </c>
      <c r="F135" s="1271">
        <v>14000</v>
      </c>
      <c r="G135" s="1272">
        <v>0</v>
      </c>
      <c r="H135" s="1272">
        <v>0</v>
      </c>
      <c r="I135" s="1272">
        <v>0</v>
      </c>
      <c r="J135" s="3065"/>
      <c r="K135" s="3065"/>
    </row>
    <row r="136" spans="1:16" s="1258" customFormat="1" ht="15.75" customHeight="1" outlineLevel="1">
      <c r="A136" s="3063"/>
      <c r="B136" s="3086"/>
      <c r="C136" s="3084"/>
      <c r="D136" s="1261">
        <v>2025</v>
      </c>
      <c r="E136" s="1271">
        <f t="shared" si="20"/>
        <v>14000</v>
      </c>
      <c r="F136" s="1271">
        <v>14000</v>
      </c>
      <c r="G136" s="1272">
        <v>0</v>
      </c>
      <c r="H136" s="1272">
        <v>0</v>
      </c>
      <c r="I136" s="1272">
        <v>0</v>
      </c>
      <c r="J136" s="3066"/>
      <c r="K136" s="3066"/>
      <c r="M136" s="1259"/>
      <c r="N136" s="1260"/>
      <c r="O136" s="1260"/>
      <c r="P136" s="1260"/>
    </row>
    <row r="137" spans="1:16" s="1258" customFormat="1" ht="15.75" customHeight="1" outlineLevel="1">
      <c r="A137" s="3061" t="s">
        <v>3615</v>
      </c>
      <c r="B137" s="3064" t="s">
        <v>3616</v>
      </c>
      <c r="C137" s="3082" t="s">
        <v>3188</v>
      </c>
      <c r="D137" s="1261" t="s">
        <v>8</v>
      </c>
      <c r="E137" s="1271">
        <f>SUM(E138:E142)</f>
        <v>5000</v>
      </c>
      <c r="F137" s="1271">
        <v>0</v>
      </c>
      <c r="G137" s="1272">
        <v>0</v>
      </c>
      <c r="H137" s="1272">
        <v>0</v>
      </c>
      <c r="I137" s="1272">
        <v>0</v>
      </c>
      <c r="J137" s="3064" t="s">
        <v>3617</v>
      </c>
      <c r="K137" s="3064" t="s">
        <v>2799</v>
      </c>
      <c r="M137" s="1259"/>
      <c r="N137" s="1260"/>
      <c r="O137" s="1260"/>
      <c r="P137" s="1260"/>
    </row>
    <row r="138" spans="1:16" s="1258" customFormat="1" ht="15.75" customHeight="1" outlineLevel="1">
      <c r="A138" s="3062"/>
      <c r="B138" s="3065"/>
      <c r="C138" s="3083"/>
      <c r="D138" s="1261">
        <v>2021</v>
      </c>
      <c r="E138" s="1271">
        <f>SUM(F138:I138)</f>
        <v>0</v>
      </c>
      <c r="F138" s="1271">
        <v>0</v>
      </c>
      <c r="G138" s="1272">
        <v>0</v>
      </c>
      <c r="H138" s="1272">
        <v>0</v>
      </c>
      <c r="I138" s="1272">
        <v>0</v>
      </c>
      <c r="J138" s="3065"/>
      <c r="K138" s="3065"/>
      <c r="M138" s="1259"/>
      <c r="N138" s="1260"/>
      <c r="O138" s="1260"/>
      <c r="P138" s="1260"/>
    </row>
    <row r="139" spans="1:16" s="1258" customFormat="1" ht="15.75" customHeight="1" outlineLevel="1">
      <c r="A139" s="3062"/>
      <c r="B139" s="3065"/>
      <c r="C139" s="3083"/>
      <c r="D139" s="1261">
        <v>2022</v>
      </c>
      <c r="E139" s="1271">
        <f>SUM(F139:I139)</f>
        <v>0</v>
      </c>
      <c r="F139" s="1271">
        <v>0</v>
      </c>
      <c r="G139" s="1272">
        <v>0</v>
      </c>
      <c r="H139" s="1272">
        <v>0</v>
      </c>
      <c r="I139" s="1272">
        <v>0</v>
      </c>
      <c r="J139" s="3065"/>
      <c r="K139" s="3065"/>
      <c r="M139" s="1259"/>
      <c r="N139" s="1260"/>
      <c r="O139" s="1260"/>
      <c r="P139" s="1260"/>
    </row>
    <row r="140" spans="1:16" s="1258" customFormat="1" ht="15.75" customHeight="1" outlineLevel="1">
      <c r="A140" s="3062"/>
      <c r="B140" s="3065"/>
      <c r="C140" s="3083"/>
      <c r="D140" s="1261">
        <v>2023</v>
      </c>
      <c r="E140" s="1271">
        <f>SUM(F140:I140)</f>
        <v>5000</v>
      </c>
      <c r="F140" s="1271">
        <v>5000</v>
      </c>
      <c r="G140" s="1272">
        <v>0</v>
      </c>
      <c r="H140" s="1272"/>
      <c r="I140" s="1272">
        <v>0</v>
      </c>
      <c r="J140" s="3065"/>
      <c r="K140" s="3065"/>
      <c r="M140" s="1259"/>
      <c r="N140" s="1260"/>
      <c r="O140" s="1260"/>
      <c r="P140" s="1260"/>
    </row>
    <row r="141" spans="1:16" s="1258" customFormat="1" ht="15.75" customHeight="1" outlineLevel="1">
      <c r="A141" s="3062"/>
      <c r="B141" s="3065"/>
      <c r="C141" s="3083"/>
      <c r="D141" s="1261">
        <v>2024</v>
      </c>
      <c r="E141" s="1271">
        <f>SUM(F141:I141)</f>
        <v>0</v>
      </c>
      <c r="F141" s="1271">
        <v>0</v>
      </c>
      <c r="G141" s="1272">
        <v>0</v>
      </c>
      <c r="H141" s="1272">
        <v>0</v>
      </c>
      <c r="I141" s="1272">
        <v>0</v>
      </c>
      <c r="J141" s="3065"/>
      <c r="K141" s="3065"/>
      <c r="M141" s="1259"/>
      <c r="N141" s="1260"/>
      <c r="O141" s="1260"/>
      <c r="P141" s="1260"/>
    </row>
    <row r="142" spans="1:16" s="1258" customFormat="1" ht="15.75" customHeight="1" outlineLevel="1">
      <c r="A142" s="3063"/>
      <c r="B142" s="3066"/>
      <c r="C142" s="3084"/>
      <c r="D142" s="1261">
        <v>2025</v>
      </c>
      <c r="E142" s="1271">
        <f>SUM(F142:I142)</f>
        <v>0</v>
      </c>
      <c r="F142" s="1271">
        <v>0</v>
      </c>
      <c r="G142" s="1272">
        <v>0</v>
      </c>
      <c r="H142" s="1272">
        <v>0</v>
      </c>
      <c r="I142" s="1272">
        <v>0</v>
      </c>
      <c r="J142" s="3066"/>
      <c r="K142" s="3066"/>
      <c r="M142" s="1259"/>
      <c r="N142" s="1260"/>
      <c r="O142" s="1260"/>
      <c r="P142" s="1260"/>
    </row>
    <row r="143" spans="1:16" s="1258" customFormat="1" ht="15" customHeight="1" outlineLevel="1">
      <c r="A143" s="3067" t="s">
        <v>3186</v>
      </c>
      <c r="B143" s="3070" t="s">
        <v>631</v>
      </c>
      <c r="C143" s="3073" t="s">
        <v>2989</v>
      </c>
      <c r="D143" s="1264" t="s">
        <v>8</v>
      </c>
      <c r="E143" s="1265">
        <f t="shared" si="20"/>
        <v>59758.426749999991</v>
      </c>
      <c r="F143" s="1265">
        <f>SUM(F144:F148)</f>
        <v>36075.119269999996</v>
      </c>
      <c r="G143" s="1265">
        <f t="shared" si="22"/>
        <v>23683.307479999996</v>
      </c>
      <c r="H143" s="1265">
        <f>SUM(H144:H148)</f>
        <v>0</v>
      </c>
      <c r="I143" s="1265">
        <f>SUM(I144:I148)</f>
        <v>0</v>
      </c>
      <c r="J143" s="3076" t="s">
        <v>3185</v>
      </c>
      <c r="K143" s="3076" t="s">
        <v>3175</v>
      </c>
      <c r="M143" s="1259"/>
      <c r="N143" s="1260"/>
      <c r="O143" s="1260"/>
      <c r="P143" s="1260"/>
    </row>
    <row r="144" spans="1:16" s="1258" customFormat="1" outlineLevel="1">
      <c r="A144" s="3068"/>
      <c r="B144" s="3071"/>
      <c r="C144" s="3074"/>
      <c r="D144" s="1264">
        <v>2021</v>
      </c>
      <c r="E144" s="1265">
        <f t="shared" si="20"/>
        <v>27116.562749999997</v>
      </c>
      <c r="F144" s="1265">
        <f t="shared" ref="F144:I148" si="23">F156+F168+F150+F162</f>
        <v>6916.3637500000004</v>
      </c>
      <c r="G144" s="1265">
        <f t="shared" si="23"/>
        <v>20200.198999999997</v>
      </c>
      <c r="H144" s="1265">
        <f t="shared" si="23"/>
        <v>0</v>
      </c>
      <c r="I144" s="1265">
        <f t="shared" si="23"/>
        <v>0</v>
      </c>
      <c r="J144" s="3077"/>
      <c r="K144" s="3077"/>
      <c r="M144" s="1259"/>
      <c r="N144" s="1260"/>
      <c r="O144" s="1260"/>
      <c r="P144" s="1260"/>
    </row>
    <row r="145" spans="1:16" s="1258" customFormat="1" outlineLevel="1">
      <c r="A145" s="3068"/>
      <c r="B145" s="3071"/>
      <c r="C145" s="3074"/>
      <c r="D145" s="1264">
        <v>2022</v>
      </c>
      <c r="E145" s="1265">
        <f t="shared" si="20"/>
        <v>9977.7219999999998</v>
      </c>
      <c r="F145" s="1265">
        <f t="shared" si="23"/>
        <v>7610.2449999999999</v>
      </c>
      <c r="G145" s="1265">
        <f t="shared" si="23"/>
        <v>2367.4769999999999</v>
      </c>
      <c r="H145" s="1265">
        <f t="shared" si="23"/>
        <v>0</v>
      </c>
      <c r="I145" s="1265">
        <f t="shared" si="23"/>
        <v>0</v>
      </c>
      <c r="J145" s="3077"/>
      <c r="K145" s="3077"/>
      <c r="M145" s="1259"/>
      <c r="N145" s="1260"/>
      <c r="O145" s="1260"/>
      <c r="P145" s="1260"/>
    </row>
    <row r="146" spans="1:16" s="1462" customFormat="1" outlineLevel="1">
      <c r="A146" s="3068"/>
      <c r="B146" s="3071"/>
      <c r="C146" s="3074"/>
      <c r="D146" s="1460">
        <v>2023</v>
      </c>
      <c r="E146" s="1461">
        <f t="shared" si="20"/>
        <v>8345.9419999999991</v>
      </c>
      <c r="F146" s="1461">
        <f t="shared" si="23"/>
        <v>7230.31052</v>
      </c>
      <c r="G146" s="1461">
        <f t="shared" si="23"/>
        <v>1115.63148</v>
      </c>
      <c r="H146" s="1461">
        <f t="shared" si="23"/>
        <v>0</v>
      </c>
      <c r="I146" s="1461">
        <f t="shared" si="23"/>
        <v>0</v>
      </c>
      <c r="J146" s="3077"/>
      <c r="K146" s="3077"/>
      <c r="M146" s="1463"/>
      <c r="N146" s="1464"/>
      <c r="O146" s="1464"/>
      <c r="P146" s="1464"/>
    </row>
    <row r="147" spans="1:16" s="1258" customFormat="1" outlineLevel="1">
      <c r="A147" s="3068"/>
      <c r="B147" s="3071"/>
      <c r="C147" s="3074"/>
      <c r="D147" s="1264">
        <v>2024</v>
      </c>
      <c r="E147" s="1265">
        <f t="shared" si="20"/>
        <v>7159.1</v>
      </c>
      <c r="F147" s="1265">
        <f t="shared" si="23"/>
        <v>7159.1</v>
      </c>
      <c r="G147" s="1265">
        <f t="shared" si="23"/>
        <v>0</v>
      </c>
      <c r="H147" s="1265">
        <f t="shared" si="23"/>
        <v>0</v>
      </c>
      <c r="I147" s="1265">
        <f t="shared" si="23"/>
        <v>0</v>
      </c>
      <c r="J147" s="3077"/>
      <c r="K147" s="3077"/>
      <c r="M147" s="1259"/>
      <c r="N147" s="1260"/>
      <c r="O147" s="1260"/>
      <c r="P147" s="1260"/>
    </row>
    <row r="148" spans="1:16" s="1258" customFormat="1" outlineLevel="1">
      <c r="A148" s="3069"/>
      <c r="B148" s="3072"/>
      <c r="C148" s="3075"/>
      <c r="D148" s="1264">
        <v>2025</v>
      </c>
      <c r="E148" s="1265">
        <f t="shared" si="20"/>
        <v>7159.1</v>
      </c>
      <c r="F148" s="1265">
        <f t="shared" si="23"/>
        <v>7159.1</v>
      </c>
      <c r="G148" s="1265">
        <f t="shared" si="23"/>
        <v>0</v>
      </c>
      <c r="H148" s="1265">
        <f t="shared" si="23"/>
        <v>0</v>
      </c>
      <c r="I148" s="1265">
        <f t="shared" si="23"/>
        <v>0</v>
      </c>
      <c r="J148" s="3078"/>
      <c r="K148" s="3078"/>
      <c r="M148" s="1259"/>
      <c r="N148" s="1260"/>
      <c r="O148" s="1260"/>
      <c r="P148" s="1260"/>
    </row>
    <row r="149" spans="1:16" s="1258" customFormat="1" outlineLevel="1">
      <c r="A149" s="3050" t="s">
        <v>3184</v>
      </c>
      <c r="B149" s="3051" t="s">
        <v>655</v>
      </c>
      <c r="C149" s="3052" t="s">
        <v>3115</v>
      </c>
      <c r="D149" s="1261" t="s">
        <v>8</v>
      </c>
      <c r="E149" s="1271">
        <f t="shared" si="20"/>
        <v>5045.5297499999997</v>
      </c>
      <c r="F149" s="1271">
        <f>SUM(F150:F154)</f>
        <v>302.73126999999999</v>
      </c>
      <c r="G149" s="1271">
        <f>SUM(G150:G154)</f>
        <v>4742.7984799999995</v>
      </c>
      <c r="H149" s="1271">
        <f>SUM(H150:H154)</f>
        <v>0</v>
      </c>
      <c r="I149" s="1271">
        <f>SUM(I150:I154)</f>
        <v>0</v>
      </c>
      <c r="J149" s="3053" t="s">
        <v>3611</v>
      </c>
      <c r="K149" s="3053" t="s">
        <v>3182</v>
      </c>
      <c r="M149" s="1259"/>
      <c r="N149" s="1260"/>
      <c r="O149" s="1260"/>
      <c r="P149" s="1260"/>
    </row>
    <row r="150" spans="1:16" s="1258" customFormat="1" outlineLevel="1">
      <c r="A150" s="3050"/>
      <c r="B150" s="3051"/>
      <c r="C150" s="3052"/>
      <c r="D150" s="1261">
        <v>2021</v>
      </c>
      <c r="E150" s="1271">
        <f t="shared" si="20"/>
        <v>1340.09575</v>
      </c>
      <c r="F150" s="1272">
        <v>80.405749999999998</v>
      </c>
      <c r="G150" s="1272">
        <v>1259.69</v>
      </c>
      <c r="H150" s="1272">
        <v>0</v>
      </c>
      <c r="I150" s="1272">
        <v>0</v>
      </c>
      <c r="J150" s="3053"/>
      <c r="K150" s="3053"/>
      <c r="M150" s="1259"/>
      <c r="N150" s="1260"/>
      <c r="O150" s="1260"/>
      <c r="P150" s="1260"/>
    </row>
    <row r="151" spans="1:16" outlineLevel="1">
      <c r="A151" s="3050"/>
      <c r="B151" s="3051"/>
      <c r="C151" s="3052"/>
      <c r="D151" s="1261">
        <v>2022</v>
      </c>
      <c r="E151" s="1271">
        <f t="shared" si="20"/>
        <v>2518.5919999999996</v>
      </c>
      <c r="F151" s="1272">
        <v>151.11500000000001</v>
      </c>
      <c r="G151" s="1272">
        <v>2367.4769999999999</v>
      </c>
      <c r="H151" s="1272">
        <v>0</v>
      </c>
      <c r="I151" s="1272">
        <v>0</v>
      </c>
      <c r="J151" s="3053"/>
      <c r="K151" s="3053"/>
    </row>
    <row r="152" spans="1:16" s="1464" customFormat="1" outlineLevel="1">
      <c r="A152" s="3050"/>
      <c r="B152" s="3051"/>
      <c r="C152" s="3052"/>
      <c r="D152" s="1465">
        <v>2023</v>
      </c>
      <c r="E152" s="1466">
        <f t="shared" si="20"/>
        <v>1186.8420000000001</v>
      </c>
      <c r="F152" s="1467">
        <v>71.210520000000002</v>
      </c>
      <c r="G152" s="1467">
        <v>1115.63148</v>
      </c>
      <c r="H152" s="1467">
        <v>0</v>
      </c>
      <c r="I152" s="1467">
        <v>0</v>
      </c>
      <c r="J152" s="3053"/>
      <c r="K152" s="3053"/>
      <c r="L152" s="1462"/>
      <c r="M152" s="1463"/>
    </row>
    <row r="153" spans="1:16" outlineLevel="1">
      <c r="A153" s="3050"/>
      <c r="B153" s="3051"/>
      <c r="C153" s="3052"/>
      <c r="D153" s="1261">
        <v>2024</v>
      </c>
      <c r="E153" s="1271">
        <f t="shared" si="20"/>
        <v>0</v>
      </c>
      <c r="F153" s="1272">
        <v>0</v>
      </c>
      <c r="G153" s="1272">
        <v>0</v>
      </c>
      <c r="H153" s="1272">
        <v>0</v>
      </c>
      <c r="I153" s="1272">
        <v>0</v>
      </c>
      <c r="J153" s="3053"/>
      <c r="K153" s="3053"/>
    </row>
    <row r="154" spans="1:16" outlineLevel="1">
      <c r="A154" s="3050"/>
      <c r="B154" s="3051"/>
      <c r="C154" s="3052"/>
      <c r="D154" s="1261">
        <v>2025</v>
      </c>
      <c r="E154" s="1271">
        <f t="shared" si="20"/>
        <v>0</v>
      </c>
      <c r="F154" s="1272">
        <v>0</v>
      </c>
      <c r="G154" s="1272">
        <v>0</v>
      </c>
      <c r="H154" s="1272">
        <v>0</v>
      </c>
      <c r="I154" s="1272">
        <v>0</v>
      </c>
      <c r="J154" s="3053"/>
      <c r="K154" s="3053"/>
    </row>
    <row r="155" spans="1:16" ht="15" customHeight="1" outlineLevel="1">
      <c r="A155" s="3050" t="s">
        <v>3181</v>
      </c>
      <c r="B155" s="3051" t="s">
        <v>3180</v>
      </c>
      <c r="C155" s="3052" t="s">
        <v>2989</v>
      </c>
      <c r="D155" s="1261" t="s">
        <v>8</v>
      </c>
      <c r="E155" s="1271">
        <f t="shared" si="20"/>
        <v>14567.95</v>
      </c>
      <c r="F155" s="1271">
        <f>SUM(F156:F160)</f>
        <v>14567.95</v>
      </c>
      <c r="G155" s="1271">
        <f>SUM(G156:G160)</f>
        <v>0</v>
      </c>
      <c r="H155" s="1271">
        <f>SUM(H156:H160)</f>
        <v>0</v>
      </c>
      <c r="I155" s="1271">
        <f>SUM(I156:I160)</f>
        <v>0</v>
      </c>
      <c r="J155" s="3053" t="s">
        <v>25</v>
      </c>
      <c r="K155" s="3053" t="s">
        <v>2799</v>
      </c>
      <c r="L155" s="3097"/>
    </row>
    <row r="156" spans="1:16" outlineLevel="1">
      <c r="A156" s="3050"/>
      <c r="B156" s="3051"/>
      <c r="C156" s="3052"/>
      <c r="D156" s="1261">
        <v>2021</v>
      </c>
      <c r="E156" s="1271">
        <f t="shared" si="20"/>
        <v>1631.52</v>
      </c>
      <c r="F156" s="1272">
        <v>1631.52</v>
      </c>
      <c r="G156" s="1272">
        <v>0</v>
      </c>
      <c r="H156" s="1272">
        <v>0</v>
      </c>
      <c r="I156" s="1272">
        <v>0</v>
      </c>
      <c r="J156" s="3053"/>
      <c r="K156" s="3053"/>
      <c r="L156" s="3097"/>
    </row>
    <row r="157" spans="1:16" outlineLevel="1">
      <c r="A157" s="3050"/>
      <c r="B157" s="3051"/>
      <c r="C157" s="3052"/>
      <c r="D157" s="1261">
        <v>2022</v>
      </c>
      <c r="E157" s="1271">
        <f t="shared" si="20"/>
        <v>3459.13</v>
      </c>
      <c r="F157" s="1272">
        <v>3459.13</v>
      </c>
      <c r="G157" s="1272">
        <v>0</v>
      </c>
      <c r="H157" s="1272">
        <v>0</v>
      </c>
      <c r="I157" s="1272">
        <v>0</v>
      </c>
      <c r="J157" s="3053"/>
      <c r="K157" s="3053"/>
      <c r="L157" s="3097"/>
    </row>
    <row r="158" spans="1:16" s="1454" customFormat="1" outlineLevel="1">
      <c r="A158" s="3050"/>
      <c r="B158" s="3051"/>
      <c r="C158" s="3052"/>
      <c r="D158" s="1455">
        <v>2023</v>
      </c>
      <c r="E158" s="1456">
        <f t="shared" si="20"/>
        <v>3159.1</v>
      </c>
      <c r="F158" s="1457">
        <v>3159.1</v>
      </c>
      <c r="G158" s="1457">
        <v>0</v>
      </c>
      <c r="H158" s="1457">
        <v>0</v>
      </c>
      <c r="I158" s="1457">
        <v>0</v>
      </c>
      <c r="J158" s="3053"/>
      <c r="K158" s="3053"/>
      <c r="L158" s="3097"/>
      <c r="M158" s="1452"/>
    </row>
    <row r="159" spans="1:16" outlineLevel="1">
      <c r="A159" s="3050"/>
      <c r="B159" s="3051"/>
      <c r="C159" s="3052"/>
      <c r="D159" s="1261">
        <v>2024</v>
      </c>
      <c r="E159" s="1271">
        <f t="shared" si="20"/>
        <v>3159.1</v>
      </c>
      <c r="F159" s="1272">
        <v>3159.1</v>
      </c>
      <c r="G159" s="1272">
        <v>0</v>
      </c>
      <c r="H159" s="1272">
        <v>0</v>
      </c>
      <c r="I159" s="1272">
        <v>0</v>
      </c>
      <c r="J159" s="3053"/>
      <c r="K159" s="3053"/>
      <c r="L159" s="3097"/>
    </row>
    <row r="160" spans="1:16" outlineLevel="1">
      <c r="A160" s="3050"/>
      <c r="B160" s="3051"/>
      <c r="C160" s="3052"/>
      <c r="D160" s="1261">
        <v>2025</v>
      </c>
      <c r="E160" s="1271">
        <f t="shared" si="20"/>
        <v>3159.1</v>
      </c>
      <c r="F160" s="1272">
        <v>3159.1</v>
      </c>
      <c r="G160" s="1272">
        <v>0</v>
      </c>
      <c r="H160" s="1272">
        <v>0</v>
      </c>
      <c r="I160" s="1272">
        <v>0</v>
      </c>
      <c r="J160" s="3053"/>
      <c r="K160" s="3053"/>
      <c r="L160" s="3097"/>
    </row>
    <row r="161" spans="1:13" ht="18" customHeight="1" outlineLevel="1">
      <c r="A161" s="3050" t="s">
        <v>3179</v>
      </c>
      <c r="B161" s="3051" t="s">
        <v>3178</v>
      </c>
      <c r="C161" s="3052" t="s">
        <v>2989</v>
      </c>
      <c r="D161" s="1261" t="s">
        <v>8</v>
      </c>
      <c r="E161" s="1271">
        <f t="shared" si="20"/>
        <v>19995.47</v>
      </c>
      <c r="F161" s="1271">
        <f>SUM(F162:F166)</f>
        <v>19995.47</v>
      </c>
      <c r="G161" s="1271">
        <f>SUM(G162:G166)</f>
        <v>0</v>
      </c>
      <c r="H161" s="1271">
        <f>SUM(H162:H166)</f>
        <v>0</v>
      </c>
      <c r="I161" s="1271">
        <f>SUM(I162:I166)</f>
        <v>0</v>
      </c>
      <c r="J161" s="3053" t="s">
        <v>2851</v>
      </c>
      <c r="K161" s="3053" t="s">
        <v>2852</v>
      </c>
    </row>
    <row r="162" spans="1:13" ht="18" customHeight="1" outlineLevel="1">
      <c r="A162" s="3050"/>
      <c r="B162" s="3051"/>
      <c r="C162" s="3052"/>
      <c r="D162" s="1261">
        <v>2021</v>
      </c>
      <c r="E162" s="1271">
        <f t="shared" si="20"/>
        <v>3995.47</v>
      </c>
      <c r="F162" s="1272">
        <v>3995.47</v>
      </c>
      <c r="G162" s="1272">
        <v>0</v>
      </c>
      <c r="H162" s="1272">
        <v>0</v>
      </c>
      <c r="I162" s="1272">
        <v>0</v>
      </c>
      <c r="J162" s="3053"/>
      <c r="K162" s="3053"/>
    </row>
    <row r="163" spans="1:13" ht="18" customHeight="1" outlineLevel="1">
      <c r="A163" s="3050"/>
      <c r="B163" s="3051"/>
      <c r="C163" s="3052"/>
      <c r="D163" s="1261">
        <v>2022</v>
      </c>
      <c r="E163" s="1271">
        <f t="shared" si="20"/>
        <v>4000</v>
      </c>
      <c r="F163" s="1272">
        <v>4000</v>
      </c>
      <c r="G163" s="1272">
        <v>0</v>
      </c>
      <c r="H163" s="1272">
        <v>0</v>
      </c>
      <c r="I163" s="1272">
        <v>0</v>
      </c>
      <c r="J163" s="3053"/>
      <c r="K163" s="3053"/>
    </row>
    <row r="164" spans="1:13" s="1454" customFormat="1" ht="18" customHeight="1" outlineLevel="1">
      <c r="A164" s="3050"/>
      <c r="B164" s="3051"/>
      <c r="C164" s="3052"/>
      <c r="D164" s="1455">
        <v>2023</v>
      </c>
      <c r="E164" s="1468">
        <f t="shared" si="20"/>
        <v>4000</v>
      </c>
      <c r="F164" s="1469">
        <v>4000</v>
      </c>
      <c r="G164" s="1457">
        <v>0</v>
      </c>
      <c r="H164" s="1457">
        <v>0</v>
      </c>
      <c r="I164" s="1457">
        <v>0</v>
      </c>
      <c r="J164" s="3053"/>
      <c r="K164" s="3053"/>
      <c r="L164" s="1451"/>
      <c r="M164" s="1452"/>
    </row>
    <row r="165" spans="1:13" ht="18" customHeight="1" outlineLevel="1">
      <c r="A165" s="3050"/>
      <c r="B165" s="3051"/>
      <c r="C165" s="3052"/>
      <c r="D165" s="1261">
        <v>2024</v>
      </c>
      <c r="E165" s="1271">
        <f t="shared" si="20"/>
        <v>4000</v>
      </c>
      <c r="F165" s="1272">
        <v>4000</v>
      </c>
      <c r="G165" s="1272">
        <v>0</v>
      </c>
      <c r="H165" s="1272">
        <v>0</v>
      </c>
      <c r="I165" s="1272">
        <v>0</v>
      </c>
      <c r="J165" s="3053"/>
      <c r="K165" s="3053"/>
    </row>
    <row r="166" spans="1:13" ht="18" customHeight="1" outlineLevel="1">
      <c r="A166" s="3050"/>
      <c r="B166" s="3051"/>
      <c r="C166" s="3052"/>
      <c r="D166" s="1261">
        <v>2025</v>
      </c>
      <c r="E166" s="1271">
        <f t="shared" si="20"/>
        <v>4000</v>
      </c>
      <c r="F166" s="1272">
        <v>4000</v>
      </c>
      <c r="G166" s="1272">
        <v>0</v>
      </c>
      <c r="H166" s="1272">
        <v>0</v>
      </c>
      <c r="I166" s="1272">
        <v>0</v>
      </c>
      <c r="J166" s="3053"/>
      <c r="K166" s="3053"/>
    </row>
    <row r="167" spans="1:13" ht="13.5" customHeight="1" outlineLevel="1">
      <c r="A167" s="3050" t="s">
        <v>3177</v>
      </c>
      <c r="B167" s="3051" t="s">
        <v>655</v>
      </c>
      <c r="C167" s="3052" t="s">
        <v>3115</v>
      </c>
      <c r="D167" s="1261" t="s">
        <v>8</v>
      </c>
      <c r="E167" s="1271">
        <f t="shared" si="20"/>
        <v>20149.476999999999</v>
      </c>
      <c r="F167" s="1271">
        <f>SUM(F168:F172)</f>
        <v>1208.9680000000001</v>
      </c>
      <c r="G167" s="1271">
        <f>SUM(G168:G172)</f>
        <v>18940.508999999998</v>
      </c>
      <c r="H167" s="1271">
        <f>SUM(H168:H172)</f>
        <v>0</v>
      </c>
      <c r="I167" s="1271">
        <f>SUM(I168:I172)</f>
        <v>0</v>
      </c>
      <c r="J167" s="3053" t="s">
        <v>3176</v>
      </c>
      <c r="K167" s="3053" t="s">
        <v>2852</v>
      </c>
    </row>
    <row r="168" spans="1:13" ht="13.5" customHeight="1" outlineLevel="1">
      <c r="A168" s="3050"/>
      <c r="B168" s="3051"/>
      <c r="C168" s="3052"/>
      <c r="D168" s="1261">
        <v>2021</v>
      </c>
      <c r="E168" s="1271">
        <f t="shared" si="20"/>
        <v>20149.476999999999</v>
      </c>
      <c r="F168" s="1272">
        <v>1208.9680000000001</v>
      </c>
      <c r="G168" s="1272">
        <v>18940.508999999998</v>
      </c>
      <c r="H168" s="1272">
        <v>0</v>
      </c>
      <c r="I168" s="1272">
        <v>0</v>
      </c>
      <c r="J168" s="3053"/>
      <c r="K168" s="3053"/>
    </row>
    <row r="169" spans="1:13" ht="13.5" customHeight="1" outlineLevel="1">
      <c r="A169" s="3050"/>
      <c r="B169" s="3051"/>
      <c r="C169" s="3052"/>
      <c r="D169" s="1261">
        <v>2022</v>
      </c>
      <c r="E169" s="1271">
        <f t="shared" si="20"/>
        <v>0</v>
      </c>
      <c r="F169" s="1274">
        <v>0</v>
      </c>
      <c r="G169" s="1272">
        <v>0</v>
      </c>
      <c r="H169" s="1272">
        <v>0</v>
      </c>
      <c r="I169" s="1272">
        <v>0</v>
      </c>
      <c r="J169" s="3053"/>
      <c r="K169" s="3053"/>
    </row>
    <row r="170" spans="1:13" ht="13.5" customHeight="1" outlineLevel="1">
      <c r="A170" s="3050"/>
      <c r="B170" s="3051"/>
      <c r="C170" s="3052"/>
      <c r="D170" s="1261">
        <v>2023</v>
      </c>
      <c r="E170" s="1271">
        <f t="shared" si="20"/>
        <v>0</v>
      </c>
      <c r="F170" s="1272">
        <v>0</v>
      </c>
      <c r="G170" s="1272">
        <v>0</v>
      </c>
      <c r="H170" s="1272">
        <v>0</v>
      </c>
      <c r="I170" s="1272">
        <v>0</v>
      </c>
      <c r="J170" s="3053"/>
      <c r="K170" s="3053"/>
    </row>
    <row r="171" spans="1:13" ht="13.5" customHeight="1" outlineLevel="1">
      <c r="A171" s="3050"/>
      <c r="B171" s="3051"/>
      <c r="C171" s="3052"/>
      <c r="D171" s="1261">
        <v>2024</v>
      </c>
      <c r="E171" s="1271">
        <f t="shared" si="20"/>
        <v>0</v>
      </c>
      <c r="F171" s="1272">
        <v>0</v>
      </c>
      <c r="G171" s="1272">
        <v>0</v>
      </c>
      <c r="H171" s="1272">
        <v>0</v>
      </c>
      <c r="I171" s="1272">
        <v>0</v>
      </c>
      <c r="J171" s="3053"/>
      <c r="K171" s="3053"/>
    </row>
    <row r="172" spans="1:13" ht="13.5" customHeight="1" outlineLevel="1">
      <c r="A172" s="3050"/>
      <c r="B172" s="3051"/>
      <c r="C172" s="3052"/>
      <c r="D172" s="1261">
        <v>2025</v>
      </c>
      <c r="E172" s="1271">
        <f t="shared" si="20"/>
        <v>0</v>
      </c>
      <c r="F172" s="1272">
        <v>0</v>
      </c>
      <c r="G172" s="1272">
        <v>0</v>
      </c>
      <c r="H172" s="1272">
        <v>0</v>
      </c>
      <c r="I172" s="1272">
        <v>0</v>
      </c>
      <c r="J172" s="3053"/>
      <c r="K172" s="3053"/>
    </row>
    <row r="173" spans="1:13" ht="15" customHeight="1">
      <c r="A173" s="3054" t="s">
        <v>485</v>
      </c>
      <c r="B173" s="3055" t="s">
        <v>2916</v>
      </c>
      <c r="C173" s="3056" t="s">
        <v>2989</v>
      </c>
      <c r="D173" s="1264" t="s">
        <v>8</v>
      </c>
      <c r="E173" s="1265">
        <f t="shared" si="20"/>
        <v>5232993.7397800004</v>
      </c>
      <c r="F173" s="1265">
        <f>SUM(F174:F178)</f>
        <v>5076046.7862</v>
      </c>
      <c r="G173" s="1265">
        <f>SUM(G174:G178)</f>
        <v>71412.78336999999</v>
      </c>
      <c r="H173" s="1265">
        <f>SUM(H174:H178)</f>
        <v>85534.170209999997</v>
      </c>
      <c r="I173" s="1265">
        <f>SUM(I174:I178)</f>
        <v>0</v>
      </c>
      <c r="J173" s="3058"/>
      <c r="K173" s="3058" t="s">
        <v>3175</v>
      </c>
      <c r="L173" s="1275" t="s">
        <v>3174</v>
      </c>
    </row>
    <row r="174" spans="1:13">
      <c r="A174" s="3054"/>
      <c r="B174" s="3055"/>
      <c r="C174" s="3056"/>
      <c r="D174" s="1264">
        <v>2021</v>
      </c>
      <c r="E174" s="1265">
        <f t="shared" si="20"/>
        <v>891879.98959000001</v>
      </c>
      <c r="F174" s="1265">
        <f t="shared" ref="F174:I178" si="24">F180+F312+F330</f>
        <v>854371.18938</v>
      </c>
      <c r="G174" s="1265">
        <f t="shared" si="24"/>
        <v>24191.1</v>
      </c>
      <c r="H174" s="1265">
        <f t="shared" si="24"/>
        <v>13317.700210000001</v>
      </c>
      <c r="I174" s="1265">
        <f t="shared" si="24"/>
        <v>0</v>
      </c>
      <c r="J174" s="3058"/>
      <c r="K174" s="3058"/>
      <c r="L174" s="1275"/>
    </row>
    <row r="175" spans="1:13">
      <c r="A175" s="3054"/>
      <c r="B175" s="3055"/>
      <c r="C175" s="3056"/>
      <c r="D175" s="1264">
        <v>2022</v>
      </c>
      <c r="E175" s="1265">
        <f t="shared" si="20"/>
        <v>1227311.4540000001</v>
      </c>
      <c r="F175" s="1265">
        <f t="shared" si="24"/>
        <v>1191344.9740000002</v>
      </c>
      <c r="G175" s="1265">
        <f t="shared" si="24"/>
        <v>16189.3</v>
      </c>
      <c r="H175" s="1265">
        <f t="shared" si="24"/>
        <v>19777.18</v>
      </c>
      <c r="I175" s="1265">
        <f t="shared" si="24"/>
        <v>0</v>
      </c>
      <c r="J175" s="3058"/>
      <c r="K175" s="3058"/>
      <c r="L175" s="1275"/>
    </row>
    <row r="176" spans="1:13" s="1454" customFormat="1">
      <c r="A176" s="3054"/>
      <c r="B176" s="3055"/>
      <c r="C176" s="3056"/>
      <c r="D176" s="1449">
        <v>2023</v>
      </c>
      <c r="E176" s="1450">
        <f t="shared" si="20"/>
        <v>1098272.7311899997</v>
      </c>
      <c r="F176" s="1470">
        <f t="shared" si="24"/>
        <v>1067400.9178199999</v>
      </c>
      <c r="G176" s="1470">
        <f t="shared" si="24"/>
        <v>11094.58337</v>
      </c>
      <c r="H176" s="1450">
        <f t="shared" si="24"/>
        <v>19777.23</v>
      </c>
      <c r="I176" s="1450">
        <f t="shared" si="24"/>
        <v>0</v>
      </c>
      <c r="J176" s="3058"/>
      <c r="K176" s="3058"/>
      <c r="L176" s="1471"/>
      <c r="M176" s="1452"/>
    </row>
    <row r="177" spans="1:13">
      <c r="A177" s="3054"/>
      <c r="B177" s="3055"/>
      <c r="C177" s="3056"/>
      <c r="D177" s="1264">
        <v>2024</v>
      </c>
      <c r="E177" s="1265">
        <f t="shared" si="20"/>
        <v>1018527.559</v>
      </c>
      <c r="F177" s="1265">
        <f t="shared" si="24"/>
        <v>982258.72899999993</v>
      </c>
      <c r="G177" s="1265">
        <f t="shared" si="24"/>
        <v>19937.8</v>
      </c>
      <c r="H177" s="1265">
        <f t="shared" si="24"/>
        <v>16331.03</v>
      </c>
      <c r="I177" s="1265">
        <f t="shared" si="24"/>
        <v>0</v>
      </c>
      <c r="J177" s="3058"/>
      <c r="K177" s="3058"/>
      <c r="L177" s="1275"/>
    </row>
    <row r="178" spans="1:13">
      <c r="A178" s="3054"/>
      <c r="B178" s="3055"/>
      <c r="C178" s="3056"/>
      <c r="D178" s="1264">
        <v>2025</v>
      </c>
      <c r="E178" s="1265">
        <f t="shared" si="20"/>
        <v>997002.00600000005</v>
      </c>
      <c r="F178" s="1265">
        <f t="shared" si="24"/>
        <v>980670.97600000002</v>
      </c>
      <c r="G178" s="1265">
        <f t="shared" si="24"/>
        <v>0</v>
      </c>
      <c r="H178" s="1265">
        <f t="shared" si="24"/>
        <v>16331.03</v>
      </c>
      <c r="I178" s="1265">
        <f t="shared" si="24"/>
        <v>0</v>
      </c>
      <c r="J178" s="3058"/>
      <c r="K178" s="3058"/>
      <c r="L178" s="1275"/>
    </row>
    <row r="179" spans="1:13" ht="13.5" customHeight="1" outlineLevel="1">
      <c r="A179" s="3054" t="s">
        <v>3173</v>
      </c>
      <c r="B179" s="3055" t="s">
        <v>3172</v>
      </c>
      <c r="C179" s="3056" t="s">
        <v>2989</v>
      </c>
      <c r="D179" s="1264" t="s">
        <v>8</v>
      </c>
      <c r="E179" s="1265">
        <f t="shared" si="20"/>
        <v>4846849.8176299995</v>
      </c>
      <c r="F179" s="1265">
        <f>SUM(F180:F184)</f>
        <v>4846849.8176299995</v>
      </c>
      <c r="G179" s="1265">
        <f>SUM(G180:G184)</f>
        <v>0</v>
      </c>
      <c r="H179" s="1265">
        <f>SUM(H180:H184)</f>
        <v>0</v>
      </c>
      <c r="I179" s="1265">
        <f>SUM(I180:I184)</f>
        <v>0</v>
      </c>
      <c r="J179" s="3058" t="s">
        <v>3171</v>
      </c>
      <c r="K179" s="3058" t="s">
        <v>3066</v>
      </c>
      <c r="L179" s="3059"/>
    </row>
    <row r="180" spans="1:13" ht="13.5" customHeight="1" outlineLevel="1">
      <c r="A180" s="3054"/>
      <c r="B180" s="3055"/>
      <c r="C180" s="3056"/>
      <c r="D180" s="1264">
        <v>2021</v>
      </c>
      <c r="E180" s="1265">
        <f t="shared" si="20"/>
        <v>809865.57669999998</v>
      </c>
      <c r="F180" s="1265">
        <f>F186+F192+F198+F204+F210+F216++F222+F228+F234+F240+F246+F252+F258+F264+F270+F276+F282+F288+F300+F294</f>
        <v>809865.57669999998</v>
      </c>
      <c r="G180" s="1265">
        <f t="shared" ref="G180:I184" si="25">G186+G192+G198+G204+G210+G216++G222+G228+G234+G240+G246+G252+G258+G264+G270+G276+G282+G288+G300</f>
        <v>0</v>
      </c>
      <c r="H180" s="1265">
        <f t="shared" si="25"/>
        <v>0</v>
      </c>
      <c r="I180" s="1265">
        <f t="shared" si="25"/>
        <v>0</v>
      </c>
      <c r="J180" s="3058"/>
      <c r="K180" s="3058"/>
      <c r="L180" s="3059"/>
    </row>
    <row r="181" spans="1:13" ht="13.5" customHeight="1" outlineLevel="1">
      <c r="A181" s="3054"/>
      <c r="B181" s="3055"/>
      <c r="C181" s="3056"/>
      <c r="D181" s="1264">
        <v>2022</v>
      </c>
      <c r="E181" s="1265">
        <f t="shared" si="20"/>
        <v>1140833.8970000001</v>
      </c>
      <c r="F181" s="1265">
        <f>F187+F193+F199+F205+F211+F217++F223+F229+F235+F241+F247+F253+F259+F265+F271+F277+F283+F289+F301</f>
        <v>1140833.8970000001</v>
      </c>
      <c r="G181" s="1265">
        <f t="shared" si="25"/>
        <v>0</v>
      </c>
      <c r="H181" s="1265">
        <f t="shared" si="25"/>
        <v>0</v>
      </c>
      <c r="I181" s="1265">
        <f t="shared" si="25"/>
        <v>0</v>
      </c>
      <c r="J181" s="3058"/>
      <c r="K181" s="3058"/>
      <c r="L181" s="3059"/>
    </row>
    <row r="182" spans="1:13" s="1475" customFormat="1" ht="13.5" customHeight="1" outlineLevel="1">
      <c r="A182" s="3054"/>
      <c r="B182" s="3055"/>
      <c r="C182" s="3056"/>
      <c r="D182" s="1472">
        <v>2023</v>
      </c>
      <c r="E182" s="1473">
        <f t="shared" si="20"/>
        <v>1018892.7529300001</v>
      </c>
      <c r="F182" s="1473">
        <f>F188+F194+F200+F206+F212+F218++F224+F230+F236+F242+F248+F254+F260+F266+F272+F278+F284+F290+F302+F308</f>
        <v>1018892.7529300001</v>
      </c>
      <c r="G182" s="1473">
        <f t="shared" si="25"/>
        <v>0</v>
      </c>
      <c r="H182" s="1473">
        <f t="shared" si="25"/>
        <v>0</v>
      </c>
      <c r="I182" s="1473">
        <f t="shared" si="25"/>
        <v>0</v>
      </c>
      <c r="J182" s="3058"/>
      <c r="K182" s="3058"/>
      <c r="L182" s="3059"/>
      <c r="M182" s="1474"/>
    </row>
    <row r="183" spans="1:13" ht="13.5" customHeight="1" outlineLevel="1">
      <c r="A183" s="3054"/>
      <c r="B183" s="3055"/>
      <c r="C183" s="3056"/>
      <c r="D183" s="1264">
        <v>2024</v>
      </c>
      <c r="E183" s="1265">
        <f t="shared" si="20"/>
        <v>937986.61499999999</v>
      </c>
      <c r="F183" s="1265">
        <f t="shared" ref="F183:F184" si="26">F189+F195+F201+F207+F213+F219++F225+F231+F237+F243+F249+F255+F261+F267+F273+F279+F285+F291+F303</f>
        <v>937986.61499999999</v>
      </c>
      <c r="G183" s="1265">
        <f t="shared" si="25"/>
        <v>0</v>
      </c>
      <c r="H183" s="1265">
        <f t="shared" si="25"/>
        <v>0</v>
      </c>
      <c r="I183" s="1265">
        <f t="shared" si="25"/>
        <v>0</v>
      </c>
      <c r="J183" s="3058"/>
      <c r="K183" s="3058"/>
      <c r="L183" s="3059"/>
    </row>
    <row r="184" spans="1:13" ht="13.5" customHeight="1" outlineLevel="1">
      <c r="A184" s="3054"/>
      <c r="B184" s="3055"/>
      <c r="C184" s="3056"/>
      <c r="D184" s="1264">
        <v>2025</v>
      </c>
      <c r="E184" s="1265">
        <f t="shared" si="20"/>
        <v>939270.97600000002</v>
      </c>
      <c r="F184" s="1265">
        <f t="shared" si="26"/>
        <v>939270.97600000002</v>
      </c>
      <c r="G184" s="1265">
        <f t="shared" si="25"/>
        <v>0</v>
      </c>
      <c r="H184" s="1265">
        <f t="shared" si="25"/>
        <v>0</v>
      </c>
      <c r="I184" s="1265">
        <f t="shared" si="25"/>
        <v>0</v>
      </c>
      <c r="J184" s="3058"/>
      <c r="K184" s="3058"/>
      <c r="L184" s="3059"/>
    </row>
    <row r="185" spans="1:13" ht="13.5" customHeight="1" outlineLevel="1">
      <c r="A185" s="3050" t="s">
        <v>3170</v>
      </c>
      <c r="B185" s="3051" t="s">
        <v>50</v>
      </c>
      <c r="C185" s="3052" t="s">
        <v>2989</v>
      </c>
      <c r="D185" s="1261" t="s">
        <v>8</v>
      </c>
      <c r="E185" s="1271">
        <f t="shared" si="20"/>
        <v>13800.54667</v>
      </c>
      <c r="F185" s="1271">
        <f>SUM(F186:F190)</f>
        <v>13800.54667</v>
      </c>
      <c r="G185" s="1271">
        <f>SUM(G186:G190)</f>
        <v>0</v>
      </c>
      <c r="H185" s="1271">
        <f>SUM(H186:H190)</f>
        <v>0</v>
      </c>
      <c r="I185" s="1271">
        <f>SUM(I186:I190)</f>
        <v>0</v>
      </c>
      <c r="J185" s="3053" t="s">
        <v>3169</v>
      </c>
      <c r="K185" s="3053" t="s">
        <v>2799</v>
      </c>
      <c r="L185" s="3059"/>
    </row>
    <row r="186" spans="1:13" ht="13.5" customHeight="1" outlineLevel="1">
      <c r="A186" s="3050"/>
      <c r="B186" s="3051"/>
      <c r="C186" s="3052"/>
      <c r="D186" s="1261">
        <v>2021</v>
      </c>
      <c r="E186" s="1271">
        <f t="shared" si="20"/>
        <v>2106.6577000000002</v>
      </c>
      <c r="F186" s="1272">
        <f>2106.6577</f>
        <v>2106.6577000000002</v>
      </c>
      <c r="G186" s="1272">
        <v>0</v>
      </c>
      <c r="H186" s="1272">
        <v>0</v>
      </c>
      <c r="I186" s="1272">
        <v>0</v>
      </c>
      <c r="J186" s="3053"/>
      <c r="K186" s="3053"/>
      <c r="L186" s="3059"/>
    </row>
    <row r="187" spans="1:13" ht="13.5" customHeight="1" outlineLevel="1">
      <c r="A187" s="3050"/>
      <c r="B187" s="3051"/>
      <c r="C187" s="3052"/>
      <c r="D187" s="1261">
        <v>2022</v>
      </c>
      <c r="E187" s="1271">
        <f t="shared" si="20"/>
        <v>5343.0770000000002</v>
      </c>
      <c r="F187" s="1272">
        <f>5912.957-569.88</f>
        <v>5343.0770000000002</v>
      </c>
      <c r="G187" s="1272">
        <v>0</v>
      </c>
      <c r="H187" s="1272">
        <v>0</v>
      </c>
      <c r="I187" s="1272">
        <v>0</v>
      </c>
      <c r="J187" s="3053"/>
      <c r="K187" s="3053"/>
      <c r="L187" s="3059"/>
    </row>
    <row r="188" spans="1:13" s="1480" customFormat="1" ht="13.5" customHeight="1" outlineLevel="1">
      <c r="A188" s="3050"/>
      <c r="B188" s="3051"/>
      <c r="C188" s="3052"/>
      <c r="D188" s="1476">
        <v>2023</v>
      </c>
      <c r="E188" s="1477">
        <f t="shared" si="20"/>
        <v>2137.58797</v>
      </c>
      <c r="F188" s="1478">
        <f>2106.657+(30930.97/1000)</f>
        <v>2137.58797</v>
      </c>
      <c r="G188" s="1478">
        <v>0</v>
      </c>
      <c r="H188" s="1478">
        <v>0</v>
      </c>
      <c r="I188" s="1478">
        <v>0</v>
      </c>
      <c r="J188" s="3053"/>
      <c r="K188" s="3053"/>
      <c r="L188" s="3059"/>
      <c r="M188" s="1479" t="s">
        <v>3618</v>
      </c>
    </row>
    <row r="189" spans="1:13" ht="13.5" customHeight="1" outlineLevel="1">
      <c r="A189" s="3050"/>
      <c r="B189" s="3051"/>
      <c r="C189" s="3052"/>
      <c r="D189" s="1261">
        <v>2024</v>
      </c>
      <c r="E189" s="1271">
        <f t="shared" si="20"/>
        <v>2106.6570000000002</v>
      </c>
      <c r="F189" s="1272">
        <v>2106.6570000000002</v>
      </c>
      <c r="G189" s="1272">
        <v>0</v>
      </c>
      <c r="H189" s="1272">
        <v>0</v>
      </c>
      <c r="I189" s="1272">
        <v>0</v>
      </c>
      <c r="J189" s="3053"/>
      <c r="K189" s="3053"/>
      <c r="L189" s="3059"/>
    </row>
    <row r="190" spans="1:13" ht="13.5" customHeight="1" outlineLevel="1">
      <c r="A190" s="3050"/>
      <c r="B190" s="3051"/>
      <c r="C190" s="3052"/>
      <c r="D190" s="1261">
        <v>2025</v>
      </c>
      <c r="E190" s="1271">
        <f t="shared" si="20"/>
        <v>2106.567</v>
      </c>
      <c r="F190" s="1272">
        <v>2106.567</v>
      </c>
      <c r="G190" s="1272">
        <f>+G196+G202+G208+G232</f>
        <v>0</v>
      </c>
      <c r="H190" s="1272">
        <v>0</v>
      </c>
      <c r="I190" s="1272">
        <v>0</v>
      </c>
      <c r="J190" s="3053"/>
      <c r="K190" s="3053"/>
      <c r="L190" s="3059"/>
    </row>
    <row r="191" spans="1:13" ht="26.25" customHeight="1" outlineLevel="1">
      <c r="A191" s="3050" t="s">
        <v>3168</v>
      </c>
      <c r="B191" s="3051" t="s">
        <v>2918</v>
      </c>
      <c r="C191" s="3052" t="s">
        <v>2989</v>
      </c>
      <c r="D191" s="1261" t="s">
        <v>8</v>
      </c>
      <c r="E191" s="1271">
        <f t="shared" ref="E191:E254" si="27">SUM(F191:I191)</f>
        <v>224763.99966</v>
      </c>
      <c r="F191" s="1271">
        <f>SUM(F192:F196)</f>
        <v>224763.99966</v>
      </c>
      <c r="G191" s="1271">
        <f>SUM(G192:G196)</f>
        <v>0</v>
      </c>
      <c r="H191" s="1271">
        <f>SUM(H192:H196)</f>
        <v>0</v>
      </c>
      <c r="I191" s="1271">
        <f>SUM(I192:I196)</f>
        <v>0</v>
      </c>
      <c r="J191" s="3053" t="s">
        <v>2849</v>
      </c>
      <c r="K191" s="3053" t="s">
        <v>2799</v>
      </c>
    </row>
    <row r="192" spans="1:13" ht="22.5" customHeight="1" outlineLevel="1">
      <c r="A192" s="3050"/>
      <c r="B192" s="3051"/>
      <c r="C192" s="3052"/>
      <c r="D192" s="1261">
        <v>2021</v>
      </c>
      <c r="E192" s="1271">
        <f t="shared" si="27"/>
        <v>456</v>
      </c>
      <c r="F192" s="1271">
        <v>456</v>
      </c>
      <c r="G192" s="1272">
        <v>0</v>
      </c>
      <c r="H192" s="1272">
        <v>0</v>
      </c>
      <c r="I192" s="1272">
        <v>0</v>
      </c>
      <c r="J192" s="3053"/>
      <c r="K192" s="3053"/>
    </row>
    <row r="193" spans="1:16" ht="21.75" customHeight="1" outlineLevel="1">
      <c r="A193" s="3050"/>
      <c r="B193" s="3051"/>
      <c r="C193" s="3052"/>
      <c r="D193" s="1261">
        <v>2022</v>
      </c>
      <c r="E193" s="1271">
        <f t="shared" si="27"/>
        <v>52700</v>
      </c>
      <c r="F193" s="1271">
        <v>52700</v>
      </c>
      <c r="G193" s="1272">
        <v>0</v>
      </c>
      <c r="H193" s="1272">
        <v>0</v>
      </c>
      <c r="I193" s="1272">
        <v>0</v>
      </c>
      <c r="J193" s="3053"/>
      <c r="K193" s="3053"/>
    </row>
    <row r="194" spans="1:16" s="1454" customFormat="1" ht="24" customHeight="1" outlineLevel="1">
      <c r="A194" s="3050"/>
      <c r="B194" s="3051"/>
      <c r="C194" s="3052"/>
      <c r="D194" s="1455">
        <v>2023</v>
      </c>
      <c r="E194" s="1456">
        <f t="shared" si="27"/>
        <v>67599.999660000001</v>
      </c>
      <c r="F194" s="1456">
        <f>52004+7490.67866+8105.321</f>
        <v>67599.999660000001</v>
      </c>
      <c r="G194" s="1457">
        <v>0</v>
      </c>
      <c r="H194" s="1457">
        <v>0</v>
      </c>
      <c r="I194" s="1457">
        <v>0</v>
      </c>
      <c r="J194" s="3053"/>
      <c r="K194" s="3053"/>
      <c r="L194" s="1451"/>
      <c r="M194" s="1452"/>
    </row>
    <row r="195" spans="1:16" ht="24.75" customHeight="1" outlineLevel="1">
      <c r="A195" s="3050"/>
      <c r="B195" s="3051"/>
      <c r="C195" s="3052"/>
      <c r="D195" s="1261">
        <v>2024</v>
      </c>
      <c r="E195" s="1271">
        <f t="shared" si="27"/>
        <v>52004</v>
      </c>
      <c r="F195" s="1271">
        <v>52004</v>
      </c>
      <c r="G195" s="1272">
        <v>0</v>
      </c>
      <c r="H195" s="1272">
        <v>0</v>
      </c>
      <c r="I195" s="1272">
        <v>0</v>
      </c>
      <c r="J195" s="3053"/>
      <c r="K195" s="3053"/>
    </row>
    <row r="196" spans="1:16" ht="24" customHeight="1" outlineLevel="1">
      <c r="A196" s="3050"/>
      <c r="B196" s="3051"/>
      <c r="C196" s="3052"/>
      <c r="D196" s="1261">
        <v>2025</v>
      </c>
      <c r="E196" s="1271">
        <f t="shared" si="27"/>
        <v>52004</v>
      </c>
      <c r="F196" s="1271">
        <v>52004</v>
      </c>
      <c r="G196" s="1272">
        <v>0</v>
      </c>
      <c r="H196" s="1272">
        <v>0</v>
      </c>
      <c r="I196" s="1272">
        <v>0</v>
      </c>
      <c r="J196" s="3053"/>
      <c r="K196" s="3053"/>
    </row>
    <row r="197" spans="1:16" ht="15.75" customHeight="1" outlineLevel="1">
      <c r="A197" s="3061" t="s">
        <v>3167</v>
      </c>
      <c r="B197" s="3079" t="s">
        <v>3166</v>
      </c>
      <c r="C197" s="3052" t="s">
        <v>2989</v>
      </c>
      <c r="D197" s="1261" t="s">
        <v>8</v>
      </c>
      <c r="E197" s="1271">
        <f t="shared" si="27"/>
        <v>123.97999999999999</v>
      </c>
      <c r="F197" s="1271">
        <f>SUM(F198:F202)</f>
        <v>123.97999999999999</v>
      </c>
      <c r="G197" s="1271">
        <f>SUM(G198:G202)</f>
        <v>0</v>
      </c>
      <c r="H197" s="1271">
        <f>SUM(H198:H202)</f>
        <v>0</v>
      </c>
      <c r="I197" s="1271">
        <f>SUM(I198:I202)</f>
        <v>0</v>
      </c>
      <c r="J197" s="3064" t="s">
        <v>3165</v>
      </c>
      <c r="K197" s="3064" t="s">
        <v>3164</v>
      </c>
    </row>
    <row r="198" spans="1:16" ht="15.75" customHeight="1" outlineLevel="1">
      <c r="A198" s="3062"/>
      <c r="B198" s="3085"/>
      <c r="C198" s="3052"/>
      <c r="D198" s="1261">
        <v>2021</v>
      </c>
      <c r="E198" s="1271">
        <f t="shared" si="27"/>
        <v>27.77</v>
      </c>
      <c r="F198" s="1271">
        <f>27770/1000</f>
        <v>27.77</v>
      </c>
      <c r="G198" s="1272">
        <v>0</v>
      </c>
      <c r="H198" s="1272">
        <v>0</v>
      </c>
      <c r="I198" s="1272">
        <v>0</v>
      </c>
      <c r="J198" s="3065"/>
      <c r="K198" s="3065"/>
    </row>
    <row r="199" spans="1:16" s="1258" customFormat="1" ht="15.75" customHeight="1" outlineLevel="1">
      <c r="A199" s="3062"/>
      <c r="B199" s="3085"/>
      <c r="C199" s="3052"/>
      <c r="D199" s="1261">
        <v>2022</v>
      </c>
      <c r="E199" s="1271">
        <f t="shared" si="27"/>
        <v>0</v>
      </c>
      <c r="F199" s="1271">
        <v>0</v>
      </c>
      <c r="G199" s="1272">
        <v>0</v>
      </c>
      <c r="H199" s="1272">
        <v>0</v>
      </c>
      <c r="I199" s="1272">
        <v>0</v>
      </c>
      <c r="J199" s="3065"/>
      <c r="K199" s="3065"/>
      <c r="M199" s="1259"/>
      <c r="N199" s="1260"/>
      <c r="O199" s="1260"/>
      <c r="P199" s="1260"/>
    </row>
    <row r="200" spans="1:16" s="1451" customFormat="1" ht="15.75" customHeight="1" outlineLevel="1">
      <c r="A200" s="3062"/>
      <c r="B200" s="3085"/>
      <c r="C200" s="3052"/>
      <c r="D200" s="1455">
        <v>2023</v>
      </c>
      <c r="E200" s="1456">
        <f t="shared" si="27"/>
        <v>32.07</v>
      </c>
      <c r="F200" s="1456">
        <v>32.07</v>
      </c>
      <c r="G200" s="1457">
        <v>0</v>
      </c>
      <c r="H200" s="1457">
        <v>0</v>
      </c>
      <c r="I200" s="1457">
        <v>0</v>
      </c>
      <c r="J200" s="3065"/>
      <c r="K200" s="3065"/>
      <c r="M200" s="1452"/>
      <c r="N200" s="1454"/>
      <c r="O200" s="1454"/>
      <c r="P200" s="1454"/>
    </row>
    <row r="201" spans="1:16" s="1258" customFormat="1" ht="15.75" customHeight="1" outlineLevel="1">
      <c r="A201" s="3062"/>
      <c r="B201" s="3085"/>
      <c r="C201" s="3052"/>
      <c r="D201" s="1261">
        <v>2024</v>
      </c>
      <c r="E201" s="1271">
        <f t="shared" si="27"/>
        <v>32.07</v>
      </c>
      <c r="F201" s="1271">
        <v>32.07</v>
      </c>
      <c r="G201" s="1272">
        <v>0</v>
      </c>
      <c r="H201" s="1272">
        <v>0</v>
      </c>
      <c r="I201" s="1272">
        <v>0</v>
      </c>
      <c r="J201" s="3065"/>
      <c r="K201" s="3065"/>
      <c r="M201" s="1259"/>
      <c r="N201" s="1260"/>
      <c r="O201" s="1260"/>
      <c r="P201" s="1260"/>
    </row>
    <row r="202" spans="1:16" s="1258" customFormat="1" ht="15.75" customHeight="1" outlineLevel="1">
      <c r="A202" s="3062"/>
      <c r="B202" s="3085"/>
      <c r="C202" s="3052"/>
      <c r="D202" s="1261">
        <v>2025</v>
      </c>
      <c r="E202" s="1271">
        <f t="shared" si="27"/>
        <v>32.07</v>
      </c>
      <c r="F202" s="1271">
        <v>32.07</v>
      </c>
      <c r="G202" s="1272">
        <v>0</v>
      </c>
      <c r="H202" s="1272">
        <v>0</v>
      </c>
      <c r="I202" s="1272">
        <v>0</v>
      </c>
      <c r="J202" s="3066"/>
      <c r="K202" s="3065"/>
      <c r="M202" s="1259"/>
      <c r="N202" s="1260"/>
      <c r="O202" s="1260"/>
      <c r="P202" s="1260"/>
    </row>
    <row r="203" spans="1:16" s="1258" customFormat="1" ht="13.5" customHeight="1" outlineLevel="1">
      <c r="A203" s="3050" t="s">
        <v>3163</v>
      </c>
      <c r="B203" s="3051" t="s">
        <v>22</v>
      </c>
      <c r="C203" s="3052" t="s">
        <v>2989</v>
      </c>
      <c r="D203" s="1261" t="s">
        <v>8</v>
      </c>
      <c r="E203" s="1271">
        <f t="shared" si="27"/>
        <v>4275207.6672999999</v>
      </c>
      <c r="F203" s="1271">
        <f>SUM(F204:F208)</f>
        <v>4275207.6672999999</v>
      </c>
      <c r="G203" s="1271">
        <f>SUM(G204:G208)</f>
        <v>0</v>
      </c>
      <c r="H203" s="1271">
        <f>SUM(H204:H208)</f>
        <v>0</v>
      </c>
      <c r="I203" s="1271">
        <f>SUM(I204:I208)</f>
        <v>0</v>
      </c>
      <c r="J203" s="3053" t="s">
        <v>2680</v>
      </c>
      <c r="K203" s="3064" t="s">
        <v>3160</v>
      </c>
      <c r="M203" s="1259"/>
      <c r="N203" s="1260"/>
      <c r="O203" s="1260"/>
      <c r="P203" s="1260"/>
    </row>
    <row r="204" spans="1:16" s="1258" customFormat="1" ht="13.5" customHeight="1" outlineLevel="1">
      <c r="A204" s="3050"/>
      <c r="B204" s="3051"/>
      <c r="C204" s="3052"/>
      <c r="D204" s="1261">
        <v>2021</v>
      </c>
      <c r="E204" s="1271">
        <f t="shared" si="27"/>
        <v>766375.9</v>
      </c>
      <c r="F204" s="1272">
        <v>766375.9</v>
      </c>
      <c r="G204" s="1272">
        <v>0</v>
      </c>
      <c r="H204" s="1272">
        <v>0</v>
      </c>
      <c r="I204" s="1272">
        <v>0</v>
      </c>
      <c r="J204" s="3053"/>
      <c r="K204" s="3065"/>
      <c r="M204" s="1259"/>
      <c r="N204" s="1260"/>
      <c r="O204" s="1260"/>
      <c r="P204" s="1260"/>
    </row>
    <row r="205" spans="1:16" s="1258" customFormat="1" ht="13.5" customHeight="1" outlineLevel="1">
      <c r="A205" s="3050"/>
      <c r="B205" s="3051"/>
      <c r="C205" s="3052"/>
      <c r="D205" s="1261">
        <v>2022</v>
      </c>
      <c r="E205" s="1271">
        <f t="shared" si="27"/>
        <v>914197.98699999996</v>
      </c>
      <c r="F205" s="1272">
        <f>879682.2+21426+13089.787</f>
        <v>914197.98699999996</v>
      </c>
      <c r="G205" s="1272">
        <v>0</v>
      </c>
      <c r="H205" s="1272">
        <v>0</v>
      </c>
      <c r="I205" s="1272">
        <v>0</v>
      </c>
      <c r="J205" s="3053"/>
      <c r="K205" s="3065"/>
      <c r="M205" s="1259"/>
      <c r="N205" s="1260"/>
      <c r="O205" s="1260"/>
      <c r="P205" s="1260"/>
    </row>
    <row r="206" spans="1:16" s="1451" customFormat="1" ht="13.5" customHeight="1" outlineLevel="1">
      <c r="A206" s="3050"/>
      <c r="B206" s="3051"/>
      <c r="C206" s="3052"/>
      <c r="D206" s="1455">
        <v>2023</v>
      </c>
      <c r="E206" s="1456">
        <f t="shared" si="27"/>
        <v>890410.49129999999</v>
      </c>
      <c r="F206" s="1457">
        <f>850537.551+27982.345+11890.5953</f>
        <v>890410.49129999999</v>
      </c>
      <c r="G206" s="1457">
        <v>0</v>
      </c>
      <c r="H206" s="1457">
        <v>0</v>
      </c>
      <c r="I206" s="1457">
        <v>0</v>
      </c>
      <c r="J206" s="3053"/>
      <c r="K206" s="3065"/>
      <c r="M206" s="1452"/>
      <c r="N206" s="1454"/>
      <c r="O206" s="1454"/>
      <c r="P206" s="1454"/>
    </row>
    <row r="207" spans="1:16" s="1258" customFormat="1" ht="13.5" customHeight="1" outlineLevel="1">
      <c r="A207" s="3050"/>
      <c r="B207" s="3051"/>
      <c r="C207" s="3052"/>
      <c r="D207" s="1261">
        <v>2024</v>
      </c>
      <c r="E207" s="1271">
        <f t="shared" si="27"/>
        <v>851469.41899999999</v>
      </c>
      <c r="F207" s="1272">
        <v>851469.41899999999</v>
      </c>
      <c r="G207" s="1272">
        <v>0</v>
      </c>
      <c r="H207" s="1272">
        <v>0</v>
      </c>
      <c r="I207" s="1272">
        <v>0</v>
      </c>
      <c r="J207" s="3053"/>
      <c r="K207" s="3065"/>
      <c r="M207" s="1259"/>
      <c r="N207" s="1260"/>
      <c r="O207" s="1260"/>
      <c r="P207" s="1260"/>
    </row>
    <row r="208" spans="1:16" s="1258" customFormat="1" ht="13.5" customHeight="1" outlineLevel="1">
      <c r="A208" s="3050"/>
      <c r="B208" s="3051"/>
      <c r="C208" s="3052"/>
      <c r="D208" s="1261">
        <v>2025</v>
      </c>
      <c r="E208" s="1271">
        <f t="shared" si="27"/>
        <v>852753.87</v>
      </c>
      <c r="F208" s="1272">
        <v>852753.87</v>
      </c>
      <c r="G208" s="1272">
        <v>0</v>
      </c>
      <c r="H208" s="1272">
        <v>0</v>
      </c>
      <c r="I208" s="1272">
        <v>0</v>
      </c>
      <c r="J208" s="3053"/>
      <c r="K208" s="3065"/>
      <c r="M208" s="1259"/>
      <c r="N208" s="1260"/>
      <c r="O208" s="1260"/>
      <c r="P208" s="1260"/>
    </row>
    <row r="209" spans="1:16" s="1258" customFormat="1" ht="18.75" customHeight="1" outlineLevel="1">
      <c r="A209" s="3050" t="s">
        <v>3162</v>
      </c>
      <c r="B209" s="3051" t="s">
        <v>62</v>
      </c>
      <c r="C209" s="3052" t="s">
        <v>2989</v>
      </c>
      <c r="D209" s="1261" t="s">
        <v>8</v>
      </c>
      <c r="E209" s="1271">
        <f t="shared" si="27"/>
        <v>18083.404999999999</v>
      </c>
      <c r="F209" s="1271">
        <f>SUM(F210:F214)</f>
        <v>18083.404999999999</v>
      </c>
      <c r="G209" s="1271">
        <f>SUM(G210:G214)</f>
        <v>0</v>
      </c>
      <c r="H209" s="1271">
        <f>SUM(H210:H214)</f>
        <v>0</v>
      </c>
      <c r="I209" s="1271">
        <f>SUM(I210:I214)</f>
        <v>0</v>
      </c>
      <c r="J209" s="3053" t="s">
        <v>3161</v>
      </c>
      <c r="K209" s="3064" t="s">
        <v>3160</v>
      </c>
      <c r="M209" s="1259"/>
      <c r="N209" s="1260"/>
      <c r="O209" s="1260"/>
      <c r="P209" s="1260"/>
    </row>
    <row r="210" spans="1:16" s="1258" customFormat="1" ht="18.75" customHeight="1" outlineLevel="1">
      <c r="A210" s="3050"/>
      <c r="B210" s="3051"/>
      <c r="C210" s="3052"/>
      <c r="D210" s="1261">
        <v>2021</v>
      </c>
      <c r="E210" s="1271">
        <f t="shared" si="27"/>
        <v>3811.2820000000002</v>
      </c>
      <c r="F210" s="1272">
        <v>3811.2820000000002</v>
      </c>
      <c r="G210" s="1272">
        <v>0</v>
      </c>
      <c r="H210" s="1272">
        <v>0</v>
      </c>
      <c r="I210" s="1272">
        <v>0</v>
      </c>
      <c r="J210" s="3053"/>
      <c r="K210" s="3065"/>
      <c r="M210" s="1259"/>
      <c r="N210" s="1260"/>
      <c r="O210" s="1260"/>
      <c r="P210" s="1260"/>
    </row>
    <row r="211" spans="1:16" s="1258" customFormat="1" ht="18.75" customHeight="1" outlineLevel="1">
      <c r="A211" s="3050"/>
      <c r="B211" s="3051"/>
      <c r="C211" s="3052"/>
      <c r="D211" s="1261">
        <v>2022</v>
      </c>
      <c r="E211" s="1271">
        <f t="shared" si="27"/>
        <v>3588.2230000000004</v>
      </c>
      <c r="F211" s="1272">
        <f>3561.3+109.88-82.957</f>
        <v>3588.2230000000004</v>
      </c>
      <c r="G211" s="1272">
        <v>0</v>
      </c>
      <c r="H211" s="1272">
        <v>0</v>
      </c>
      <c r="I211" s="1272">
        <v>0</v>
      </c>
      <c r="J211" s="3053"/>
      <c r="K211" s="3065"/>
      <c r="M211" s="1259"/>
      <c r="N211" s="1260"/>
      <c r="O211" s="1260"/>
      <c r="P211" s="1260"/>
    </row>
    <row r="212" spans="1:16" s="1481" customFormat="1" ht="18.75" customHeight="1" outlineLevel="1">
      <c r="A212" s="3050"/>
      <c r="B212" s="3051"/>
      <c r="C212" s="3052"/>
      <c r="D212" s="1476">
        <v>2023</v>
      </c>
      <c r="E212" s="1477">
        <f t="shared" si="27"/>
        <v>3561.3</v>
      </c>
      <c r="F212" s="1478">
        <f>3561.3</f>
        <v>3561.3</v>
      </c>
      <c r="G212" s="1478">
        <v>0</v>
      </c>
      <c r="H212" s="1478">
        <v>0</v>
      </c>
      <c r="I212" s="1478">
        <v>0</v>
      </c>
      <c r="J212" s="3053"/>
      <c r="K212" s="3065"/>
      <c r="M212" s="1479"/>
      <c r="N212" s="1480"/>
      <c r="O212" s="1480"/>
      <c r="P212" s="1480"/>
    </row>
    <row r="213" spans="1:16" s="1258" customFormat="1" ht="18.75" customHeight="1" outlineLevel="1">
      <c r="A213" s="3050"/>
      <c r="B213" s="3051"/>
      <c r="C213" s="3052"/>
      <c r="D213" s="1261">
        <v>2024</v>
      </c>
      <c r="E213" s="1271">
        <f t="shared" si="27"/>
        <v>3561.3</v>
      </c>
      <c r="F213" s="1272">
        <v>3561.3</v>
      </c>
      <c r="G213" s="1272">
        <v>0</v>
      </c>
      <c r="H213" s="1272">
        <v>0</v>
      </c>
      <c r="I213" s="1272">
        <v>0</v>
      </c>
      <c r="J213" s="3053"/>
      <c r="K213" s="3065"/>
      <c r="M213" s="1259"/>
      <c r="N213" s="1260"/>
      <c r="O213" s="1260"/>
      <c r="P213" s="1260"/>
    </row>
    <row r="214" spans="1:16" s="1258" customFormat="1" ht="18.75" customHeight="1" outlineLevel="1">
      <c r="A214" s="3050"/>
      <c r="B214" s="3051"/>
      <c r="C214" s="3052"/>
      <c r="D214" s="1261">
        <v>2025</v>
      </c>
      <c r="E214" s="1271">
        <f t="shared" si="27"/>
        <v>3561.3</v>
      </c>
      <c r="F214" s="1272">
        <v>3561.3</v>
      </c>
      <c r="G214" s="1272">
        <v>0</v>
      </c>
      <c r="H214" s="1272">
        <v>0</v>
      </c>
      <c r="I214" s="1272">
        <v>0</v>
      </c>
      <c r="J214" s="3053"/>
      <c r="K214" s="3065"/>
      <c r="M214" s="1259"/>
      <c r="N214" s="1260"/>
      <c r="O214" s="1260"/>
      <c r="P214" s="1260"/>
    </row>
    <row r="215" spans="1:16" s="1258" customFormat="1" ht="14.25" customHeight="1" outlineLevel="1">
      <c r="A215" s="3061" t="s">
        <v>3159</v>
      </c>
      <c r="B215" s="3079" t="s">
        <v>3158</v>
      </c>
      <c r="C215" s="3082" t="s">
        <v>2989</v>
      </c>
      <c r="D215" s="1261" t="s">
        <v>8</v>
      </c>
      <c r="E215" s="1271">
        <f t="shared" si="27"/>
        <v>26988.080000000002</v>
      </c>
      <c r="F215" s="1271">
        <f>SUM(F216:F220)</f>
        <v>26988.080000000002</v>
      </c>
      <c r="G215" s="1271">
        <f>SUM(G216:G220)</f>
        <v>0</v>
      </c>
      <c r="H215" s="1271">
        <f>SUM(H216:H220)</f>
        <v>0</v>
      </c>
      <c r="I215" s="1271">
        <f>SUM(I216:I220)</f>
        <v>0</v>
      </c>
      <c r="J215" s="3064" t="s">
        <v>3157</v>
      </c>
      <c r="K215" s="3064" t="s">
        <v>3156</v>
      </c>
      <c r="M215" s="1259"/>
      <c r="N215" s="1260"/>
      <c r="O215" s="1260"/>
      <c r="P215" s="1260"/>
    </row>
    <row r="216" spans="1:16" s="1258" customFormat="1" ht="13.5" customHeight="1" outlineLevel="1">
      <c r="A216" s="3062"/>
      <c r="B216" s="3085"/>
      <c r="C216" s="3083"/>
      <c r="D216" s="1261">
        <v>2021</v>
      </c>
      <c r="E216" s="1271">
        <f t="shared" si="27"/>
        <v>26988.080000000002</v>
      </c>
      <c r="F216" s="1271">
        <v>26988.080000000002</v>
      </c>
      <c r="G216" s="1272">
        <v>0</v>
      </c>
      <c r="H216" s="1272">
        <v>0</v>
      </c>
      <c r="I216" s="1272">
        <v>0</v>
      </c>
      <c r="J216" s="3065"/>
      <c r="K216" s="3065"/>
      <c r="M216" s="1259"/>
      <c r="N216" s="1260"/>
      <c r="O216" s="1260"/>
      <c r="P216" s="1260"/>
    </row>
    <row r="217" spans="1:16" s="1258" customFormat="1" ht="13.5" customHeight="1" outlineLevel="1">
      <c r="A217" s="3062"/>
      <c r="B217" s="3085"/>
      <c r="C217" s="3083"/>
      <c r="D217" s="1261">
        <v>2022</v>
      </c>
      <c r="E217" s="1271">
        <f t="shared" si="27"/>
        <v>0</v>
      </c>
      <c r="F217" s="1271">
        <v>0</v>
      </c>
      <c r="G217" s="1272">
        <v>0</v>
      </c>
      <c r="H217" s="1272">
        <v>0</v>
      </c>
      <c r="I217" s="1272">
        <v>0</v>
      </c>
      <c r="J217" s="3065"/>
      <c r="K217" s="3065"/>
      <c r="M217" s="1259"/>
      <c r="N217" s="1260"/>
      <c r="O217" s="1260"/>
      <c r="P217" s="1260"/>
    </row>
    <row r="218" spans="1:16" s="1258" customFormat="1" ht="13.5" customHeight="1" outlineLevel="1">
      <c r="A218" s="3062"/>
      <c r="B218" s="3085"/>
      <c r="C218" s="3083"/>
      <c r="D218" s="1261">
        <v>2023</v>
      </c>
      <c r="E218" s="1271">
        <f t="shared" si="27"/>
        <v>0</v>
      </c>
      <c r="F218" s="1272">
        <v>0</v>
      </c>
      <c r="G218" s="1272">
        <v>0</v>
      </c>
      <c r="H218" s="1272">
        <v>0</v>
      </c>
      <c r="I218" s="1272">
        <v>0</v>
      </c>
      <c r="J218" s="3065"/>
      <c r="K218" s="3065"/>
      <c r="M218" s="1259"/>
      <c r="N218" s="1260"/>
      <c r="O218" s="1260"/>
      <c r="P218" s="1260"/>
    </row>
    <row r="219" spans="1:16" s="1258" customFormat="1" ht="13.5" customHeight="1" outlineLevel="1">
      <c r="A219" s="3062"/>
      <c r="B219" s="3085"/>
      <c r="C219" s="3083"/>
      <c r="D219" s="1261">
        <v>2024</v>
      </c>
      <c r="E219" s="1271">
        <f t="shared" si="27"/>
        <v>0</v>
      </c>
      <c r="F219" s="1272">
        <v>0</v>
      </c>
      <c r="G219" s="1272">
        <v>0</v>
      </c>
      <c r="H219" s="1272">
        <v>0</v>
      </c>
      <c r="I219" s="1272">
        <v>0</v>
      </c>
      <c r="J219" s="3065"/>
      <c r="K219" s="3065"/>
      <c r="M219" s="1259"/>
      <c r="N219" s="1260"/>
      <c r="O219" s="1260"/>
      <c r="P219" s="1260"/>
    </row>
    <row r="220" spans="1:16" s="1258" customFormat="1" ht="19.5" customHeight="1" outlineLevel="1">
      <c r="A220" s="3063"/>
      <c r="B220" s="3086"/>
      <c r="C220" s="3084"/>
      <c r="D220" s="1261">
        <v>2025</v>
      </c>
      <c r="E220" s="1271">
        <f t="shared" si="27"/>
        <v>0</v>
      </c>
      <c r="F220" s="1272">
        <v>0</v>
      </c>
      <c r="G220" s="1272">
        <v>0</v>
      </c>
      <c r="H220" s="1272">
        <v>0</v>
      </c>
      <c r="I220" s="1272">
        <v>0</v>
      </c>
      <c r="J220" s="3066"/>
      <c r="K220" s="3066"/>
      <c r="M220" s="1259"/>
      <c r="N220" s="1260"/>
      <c r="O220" s="1260"/>
      <c r="P220" s="1260"/>
    </row>
    <row r="221" spans="1:16" s="1258" customFormat="1" ht="14.25" customHeight="1" outlineLevel="1">
      <c r="A221" s="3061" t="s">
        <v>3155</v>
      </c>
      <c r="B221" s="3079" t="s">
        <v>3154</v>
      </c>
      <c r="C221" s="3082" t="s">
        <v>2989</v>
      </c>
      <c r="D221" s="1261" t="s">
        <v>8</v>
      </c>
      <c r="E221" s="1271">
        <f t="shared" si="27"/>
        <v>0</v>
      </c>
      <c r="F221" s="1271">
        <f>SUM(F222:F226)</f>
        <v>0</v>
      </c>
      <c r="G221" s="1271">
        <f>SUM(G222:G226)</f>
        <v>0</v>
      </c>
      <c r="H221" s="1271">
        <f>SUM(H222:H226)</f>
        <v>0</v>
      </c>
      <c r="I221" s="1271">
        <f>SUM(I222:I226)</f>
        <v>0</v>
      </c>
      <c r="J221" s="3064" t="s">
        <v>3153</v>
      </c>
      <c r="K221" s="3064" t="s">
        <v>2855</v>
      </c>
      <c r="M221" s="1259"/>
      <c r="N221" s="1260"/>
      <c r="O221" s="1260"/>
      <c r="P221" s="1260"/>
    </row>
    <row r="222" spans="1:16" s="1258" customFormat="1" ht="13.5" customHeight="1" outlineLevel="1">
      <c r="A222" s="3062"/>
      <c r="B222" s="3085"/>
      <c r="C222" s="3083"/>
      <c r="D222" s="1261">
        <v>2021</v>
      </c>
      <c r="E222" s="1271">
        <f t="shared" si="27"/>
        <v>0</v>
      </c>
      <c r="F222" s="1271">
        <v>0</v>
      </c>
      <c r="G222" s="1272">
        <v>0</v>
      </c>
      <c r="H222" s="1272">
        <v>0</v>
      </c>
      <c r="I222" s="1272">
        <v>0</v>
      </c>
      <c r="J222" s="3065"/>
      <c r="K222" s="3065"/>
      <c r="M222" s="1259"/>
      <c r="N222" s="1260"/>
      <c r="O222" s="1260"/>
      <c r="P222" s="1260"/>
    </row>
    <row r="223" spans="1:16" s="1258" customFormat="1" ht="13.5" customHeight="1" outlineLevel="1">
      <c r="A223" s="3062"/>
      <c r="B223" s="3085"/>
      <c r="C223" s="3083"/>
      <c r="D223" s="1261">
        <v>2022</v>
      </c>
      <c r="E223" s="1271">
        <f t="shared" si="27"/>
        <v>0</v>
      </c>
      <c r="F223" s="1271">
        <v>0</v>
      </c>
      <c r="G223" s="1272">
        <v>0</v>
      </c>
      <c r="H223" s="1272">
        <v>0</v>
      </c>
      <c r="I223" s="1272">
        <v>0</v>
      </c>
      <c r="J223" s="3065"/>
      <c r="K223" s="3065"/>
      <c r="M223" s="1259"/>
      <c r="N223" s="1260"/>
      <c r="O223" s="1260"/>
      <c r="P223" s="1260"/>
    </row>
    <row r="224" spans="1:16" s="1258" customFormat="1" ht="13.5" customHeight="1" outlineLevel="1">
      <c r="A224" s="3062"/>
      <c r="B224" s="3085"/>
      <c r="C224" s="3083"/>
      <c r="D224" s="1261">
        <v>2023</v>
      </c>
      <c r="E224" s="1271">
        <f t="shared" si="27"/>
        <v>0</v>
      </c>
      <c r="F224" s="1271">
        <v>0</v>
      </c>
      <c r="G224" s="1272">
        <v>0</v>
      </c>
      <c r="H224" s="1272">
        <v>0</v>
      </c>
      <c r="I224" s="1272">
        <v>0</v>
      </c>
      <c r="J224" s="3065"/>
      <c r="K224" s="3065"/>
      <c r="M224" s="1259"/>
      <c r="N224" s="1260"/>
      <c r="O224" s="1260"/>
      <c r="P224" s="1260"/>
    </row>
    <row r="225" spans="1:16" s="1258" customFormat="1" ht="13.5" customHeight="1" outlineLevel="1">
      <c r="A225" s="3062"/>
      <c r="B225" s="3085"/>
      <c r="C225" s="3083"/>
      <c r="D225" s="1261">
        <v>2024</v>
      </c>
      <c r="E225" s="1271">
        <f t="shared" si="27"/>
        <v>0</v>
      </c>
      <c r="F225" s="1271">
        <v>0</v>
      </c>
      <c r="G225" s="1272">
        <v>0</v>
      </c>
      <c r="H225" s="1272">
        <v>0</v>
      </c>
      <c r="I225" s="1272">
        <v>0</v>
      </c>
      <c r="J225" s="3065"/>
      <c r="K225" s="3065"/>
      <c r="M225" s="1259"/>
      <c r="N225" s="1260"/>
      <c r="O225" s="1260"/>
      <c r="P225" s="1260"/>
    </row>
    <row r="226" spans="1:16" s="1258" customFormat="1" ht="19.5" customHeight="1" outlineLevel="1">
      <c r="A226" s="3063"/>
      <c r="B226" s="3086"/>
      <c r="C226" s="3084"/>
      <c r="D226" s="1261">
        <v>2025</v>
      </c>
      <c r="E226" s="1271">
        <f t="shared" si="27"/>
        <v>0</v>
      </c>
      <c r="F226" s="1271">
        <v>0</v>
      </c>
      <c r="G226" s="1272">
        <v>0</v>
      </c>
      <c r="H226" s="1272">
        <v>0</v>
      </c>
      <c r="I226" s="1272">
        <v>0</v>
      </c>
      <c r="J226" s="3066"/>
      <c r="K226" s="3066"/>
      <c r="M226" s="1259"/>
      <c r="N226" s="1260"/>
      <c r="O226" s="1260"/>
      <c r="P226" s="1260"/>
    </row>
    <row r="227" spans="1:16" s="1258" customFormat="1" ht="14.25" customHeight="1" outlineLevel="1">
      <c r="A227" s="3061" t="s">
        <v>3152</v>
      </c>
      <c r="B227" s="3079" t="s">
        <v>156</v>
      </c>
      <c r="C227" s="3082" t="s">
        <v>2989</v>
      </c>
      <c r="D227" s="1261" t="s">
        <v>8</v>
      </c>
      <c r="E227" s="1271">
        <f t="shared" si="27"/>
        <v>368.27599999999995</v>
      </c>
      <c r="F227" s="1271">
        <f>SUM(F228:F232)</f>
        <v>368.27599999999995</v>
      </c>
      <c r="G227" s="1271">
        <f>SUM(G228:G232)</f>
        <v>0</v>
      </c>
      <c r="H227" s="1271">
        <f>SUM(H228:H232)</f>
        <v>0</v>
      </c>
      <c r="I227" s="1271">
        <f>SUM(I228:I232)</f>
        <v>0</v>
      </c>
      <c r="J227" s="3064" t="s">
        <v>2816</v>
      </c>
      <c r="K227" s="3064" t="s">
        <v>66</v>
      </c>
      <c r="M227" s="1259"/>
      <c r="N227" s="1260"/>
      <c r="O227" s="1260"/>
      <c r="P227" s="1260"/>
    </row>
    <row r="228" spans="1:16" s="1258" customFormat="1" ht="13.5" customHeight="1" outlineLevel="1">
      <c r="A228" s="3062"/>
      <c r="B228" s="3085"/>
      <c r="C228" s="3083"/>
      <c r="D228" s="1261">
        <v>2021</v>
      </c>
      <c r="E228" s="1271">
        <f t="shared" si="27"/>
        <v>150.887</v>
      </c>
      <c r="F228" s="1271">
        <v>150.887</v>
      </c>
      <c r="G228" s="1272">
        <v>0</v>
      </c>
      <c r="H228" s="1272">
        <v>0</v>
      </c>
      <c r="I228" s="1272">
        <v>0</v>
      </c>
      <c r="J228" s="3065"/>
      <c r="K228" s="3065"/>
      <c r="M228" s="1259"/>
      <c r="N228" s="1260"/>
      <c r="O228" s="1260"/>
      <c r="P228" s="1260"/>
    </row>
    <row r="229" spans="1:16" s="1258" customFormat="1" ht="13.5" customHeight="1" outlineLevel="1">
      <c r="A229" s="3062"/>
      <c r="B229" s="3085"/>
      <c r="C229" s="3083"/>
      <c r="D229" s="1261">
        <v>2022</v>
      </c>
      <c r="E229" s="1271">
        <f t="shared" si="27"/>
        <v>82.956999999999994</v>
      </c>
      <c r="F229" s="1271">
        <v>82.956999999999994</v>
      </c>
      <c r="G229" s="1272">
        <v>0</v>
      </c>
      <c r="H229" s="1272">
        <v>0</v>
      </c>
      <c r="I229" s="1272">
        <v>0</v>
      </c>
      <c r="J229" s="3065"/>
      <c r="K229" s="3065"/>
      <c r="M229" s="1259"/>
      <c r="N229" s="1260"/>
      <c r="O229" s="1260"/>
      <c r="P229" s="1260"/>
    </row>
    <row r="230" spans="1:16" s="1451" customFormat="1" ht="13.5" customHeight="1" outlineLevel="1">
      <c r="A230" s="3062"/>
      <c r="B230" s="3085"/>
      <c r="C230" s="3083"/>
      <c r="D230" s="1455">
        <v>2023</v>
      </c>
      <c r="E230" s="1456">
        <f t="shared" si="27"/>
        <v>134.43199999999999</v>
      </c>
      <c r="F230" s="1456">
        <v>134.43199999999999</v>
      </c>
      <c r="G230" s="1457">
        <v>0</v>
      </c>
      <c r="H230" s="1457">
        <v>0</v>
      </c>
      <c r="I230" s="1457">
        <v>0</v>
      </c>
      <c r="J230" s="3065"/>
      <c r="K230" s="3065"/>
      <c r="M230" s="1452" t="s">
        <v>3619</v>
      </c>
      <c r="N230" s="1454"/>
      <c r="O230" s="1454"/>
      <c r="P230" s="1454"/>
    </row>
    <row r="231" spans="1:16" s="1258" customFormat="1" ht="13.5" customHeight="1" outlineLevel="1">
      <c r="A231" s="3062"/>
      <c r="B231" s="3085"/>
      <c r="C231" s="3083"/>
      <c r="D231" s="1261">
        <v>2024</v>
      </c>
      <c r="E231" s="1271">
        <f t="shared" si="27"/>
        <v>0</v>
      </c>
      <c r="F231" s="1271">
        <v>0</v>
      </c>
      <c r="G231" s="1272">
        <v>0</v>
      </c>
      <c r="H231" s="1272">
        <v>0</v>
      </c>
      <c r="I231" s="1272">
        <v>0</v>
      </c>
      <c r="J231" s="3065"/>
      <c r="K231" s="3065"/>
      <c r="M231" s="1259"/>
      <c r="N231" s="1260"/>
      <c r="O231" s="1260"/>
      <c r="P231" s="1260"/>
    </row>
    <row r="232" spans="1:16" s="1258" customFormat="1" ht="19.5" customHeight="1" outlineLevel="1">
      <c r="A232" s="3063"/>
      <c r="B232" s="3086"/>
      <c r="C232" s="3084"/>
      <c r="D232" s="1261">
        <v>2025</v>
      </c>
      <c r="E232" s="1271">
        <f t="shared" si="27"/>
        <v>0</v>
      </c>
      <c r="F232" s="1272">
        <v>0</v>
      </c>
      <c r="G232" s="1272">
        <v>0</v>
      </c>
      <c r="H232" s="1272">
        <v>0</v>
      </c>
      <c r="I232" s="1272">
        <v>0</v>
      </c>
      <c r="J232" s="3066"/>
      <c r="K232" s="3066"/>
      <c r="M232" s="1259"/>
      <c r="N232" s="1260"/>
      <c r="O232" s="1260"/>
      <c r="P232" s="1260"/>
    </row>
    <row r="233" spans="1:16" s="1258" customFormat="1" ht="16.5" customHeight="1" outlineLevel="1">
      <c r="A233" s="3061" t="s">
        <v>2853</v>
      </c>
      <c r="B233" s="3079" t="s">
        <v>2854</v>
      </c>
      <c r="C233" s="3082" t="s">
        <v>2989</v>
      </c>
      <c r="D233" s="1261" t="s">
        <v>8</v>
      </c>
      <c r="E233" s="1271">
        <f t="shared" si="27"/>
        <v>595</v>
      </c>
      <c r="F233" s="1271">
        <f>SUM(F234:F238)</f>
        <v>595</v>
      </c>
      <c r="G233" s="1271">
        <f>SUM(G234:G238)</f>
        <v>0</v>
      </c>
      <c r="H233" s="1271">
        <f>SUM(H234:H238)</f>
        <v>0</v>
      </c>
      <c r="I233" s="1271">
        <f>SUM(I234:I238)</f>
        <v>0</v>
      </c>
      <c r="J233" s="3064" t="s">
        <v>3151</v>
      </c>
      <c r="K233" s="3064" t="s">
        <v>2855</v>
      </c>
      <c r="M233" s="1259"/>
      <c r="N233" s="1260"/>
      <c r="O233" s="1260"/>
      <c r="P233" s="1260"/>
    </row>
    <row r="234" spans="1:16" s="1258" customFormat="1" ht="16.5" customHeight="1" outlineLevel="1">
      <c r="A234" s="3062"/>
      <c r="B234" s="3085"/>
      <c r="C234" s="3083"/>
      <c r="D234" s="1261">
        <v>2021</v>
      </c>
      <c r="E234" s="1271">
        <f t="shared" si="27"/>
        <v>595</v>
      </c>
      <c r="F234" s="1272">
        <v>595</v>
      </c>
      <c r="G234" s="1272">
        <v>0</v>
      </c>
      <c r="H234" s="1272">
        <v>0</v>
      </c>
      <c r="I234" s="1272">
        <v>0</v>
      </c>
      <c r="J234" s="3065"/>
      <c r="K234" s="3065"/>
      <c r="M234" s="1259"/>
      <c r="N234" s="1260"/>
      <c r="O234" s="1260"/>
      <c r="P234" s="1260"/>
    </row>
    <row r="235" spans="1:16" s="1258" customFormat="1" ht="16.5" customHeight="1" outlineLevel="1">
      <c r="A235" s="3062"/>
      <c r="B235" s="3085"/>
      <c r="C235" s="3083"/>
      <c r="D235" s="1261">
        <v>2022</v>
      </c>
      <c r="E235" s="1271">
        <f t="shared" si="27"/>
        <v>0</v>
      </c>
      <c r="F235" s="1272">
        <v>0</v>
      </c>
      <c r="G235" s="1272">
        <v>0</v>
      </c>
      <c r="H235" s="1272">
        <v>0</v>
      </c>
      <c r="I235" s="1272">
        <v>0</v>
      </c>
      <c r="J235" s="3065"/>
      <c r="K235" s="3065"/>
      <c r="M235" s="1259"/>
      <c r="N235" s="1260"/>
      <c r="O235" s="1260"/>
      <c r="P235" s="1260"/>
    </row>
    <row r="236" spans="1:16" s="1258" customFormat="1" ht="16.5" customHeight="1" outlineLevel="1">
      <c r="A236" s="3062"/>
      <c r="B236" s="3085"/>
      <c r="C236" s="3083"/>
      <c r="D236" s="1261">
        <v>2023</v>
      </c>
      <c r="E236" s="1271">
        <f t="shared" si="27"/>
        <v>0</v>
      </c>
      <c r="F236" s="1272">
        <v>0</v>
      </c>
      <c r="G236" s="1272">
        <v>0</v>
      </c>
      <c r="H236" s="1272">
        <v>0</v>
      </c>
      <c r="I236" s="1272">
        <v>0</v>
      </c>
      <c r="J236" s="3065"/>
      <c r="K236" s="3065"/>
      <c r="M236" s="1259"/>
      <c r="N236" s="1260"/>
      <c r="O236" s="1260"/>
      <c r="P236" s="1260"/>
    </row>
    <row r="237" spans="1:16" s="1258" customFormat="1" ht="16.5" customHeight="1" outlineLevel="1">
      <c r="A237" s="3062"/>
      <c r="B237" s="3085"/>
      <c r="C237" s="3083"/>
      <c r="D237" s="1261">
        <v>2024</v>
      </c>
      <c r="E237" s="1271">
        <f t="shared" si="27"/>
        <v>0</v>
      </c>
      <c r="F237" s="1272">
        <v>0</v>
      </c>
      <c r="G237" s="1272">
        <v>0</v>
      </c>
      <c r="H237" s="1272">
        <v>0</v>
      </c>
      <c r="I237" s="1272">
        <v>0</v>
      </c>
      <c r="J237" s="3065"/>
      <c r="K237" s="3065"/>
      <c r="M237" s="1259"/>
      <c r="N237" s="1260"/>
      <c r="O237" s="1260"/>
      <c r="P237" s="1260"/>
    </row>
    <row r="238" spans="1:16" s="1258" customFormat="1" ht="16.5" customHeight="1" outlineLevel="1">
      <c r="A238" s="3063"/>
      <c r="B238" s="3086"/>
      <c r="C238" s="3084"/>
      <c r="D238" s="1261">
        <v>2025</v>
      </c>
      <c r="E238" s="1271">
        <f t="shared" si="27"/>
        <v>0</v>
      </c>
      <c r="F238" s="1272">
        <v>0</v>
      </c>
      <c r="G238" s="1272">
        <v>0</v>
      </c>
      <c r="H238" s="1272">
        <v>0</v>
      </c>
      <c r="I238" s="1272">
        <v>0</v>
      </c>
      <c r="J238" s="3066"/>
      <c r="K238" s="3066"/>
      <c r="M238" s="1259"/>
      <c r="N238" s="1260"/>
      <c r="O238" s="1260"/>
      <c r="P238" s="1260"/>
    </row>
    <row r="239" spans="1:16" s="1258" customFormat="1" ht="16.5" customHeight="1" outlineLevel="1">
      <c r="A239" s="3061" t="s">
        <v>2919</v>
      </c>
      <c r="B239" s="3079" t="s">
        <v>2920</v>
      </c>
      <c r="C239" s="3082" t="s">
        <v>2989</v>
      </c>
      <c r="D239" s="1261" t="s">
        <v>8</v>
      </c>
      <c r="E239" s="1271">
        <f t="shared" si="27"/>
        <v>8626</v>
      </c>
      <c r="F239" s="1271">
        <f>SUM(F240:F244)</f>
        <v>8626</v>
      </c>
      <c r="G239" s="1271">
        <f>SUM(G240:G244)</f>
        <v>0</v>
      </c>
      <c r="H239" s="1271">
        <f>SUM(H240:H244)</f>
        <v>0</v>
      </c>
      <c r="I239" s="1271">
        <f>SUM(I240:I244)</f>
        <v>0</v>
      </c>
      <c r="J239" s="3064" t="s">
        <v>3150</v>
      </c>
      <c r="K239" s="3064" t="s">
        <v>3052</v>
      </c>
      <c r="M239" s="1259"/>
      <c r="N239" s="1260"/>
      <c r="O239" s="1260"/>
      <c r="P239" s="1260"/>
    </row>
    <row r="240" spans="1:16" s="1258" customFormat="1" ht="16.5" customHeight="1" outlineLevel="1">
      <c r="A240" s="3062"/>
      <c r="B240" s="3085"/>
      <c r="C240" s="3083"/>
      <c r="D240" s="1261">
        <v>2021</v>
      </c>
      <c r="E240" s="1271">
        <f t="shared" si="27"/>
        <v>8626</v>
      </c>
      <c r="F240" s="1272">
        <v>8626</v>
      </c>
      <c r="G240" s="1272">
        <v>0</v>
      </c>
      <c r="H240" s="1272">
        <v>0</v>
      </c>
      <c r="I240" s="1272">
        <v>0</v>
      </c>
      <c r="J240" s="3065"/>
      <c r="K240" s="3065"/>
      <c r="M240" s="1259"/>
      <c r="N240" s="1260"/>
      <c r="O240" s="1260"/>
      <c r="P240" s="1260"/>
    </row>
    <row r="241" spans="1:16" s="1258" customFormat="1" ht="16.5" customHeight="1" outlineLevel="1">
      <c r="A241" s="3062"/>
      <c r="B241" s="3085"/>
      <c r="C241" s="3083"/>
      <c r="D241" s="1261">
        <v>2022</v>
      </c>
      <c r="E241" s="1271">
        <f t="shared" si="27"/>
        <v>0</v>
      </c>
      <c r="F241" s="1272">
        <v>0</v>
      </c>
      <c r="G241" s="1272">
        <v>0</v>
      </c>
      <c r="H241" s="1272">
        <v>0</v>
      </c>
      <c r="I241" s="1272">
        <v>0</v>
      </c>
      <c r="J241" s="3065"/>
      <c r="K241" s="3065"/>
      <c r="M241" s="1259"/>
      <c r="N241" s="1260"/>
      <c r="O241" s="1260"/>
      <c r="P241" s="1260"/>
    </row>
    <row r="242" spans="1:16" s="1258" customFormat="1" ht="16.5" customHeight="1" outlineLevel="1">
      <c r="A242" s="3062"/>
      <c r="B242" s="3085"/>
      <c r="C242" s="3083"/>
      <c r="D242" s="1261">
        <v>2023</v>
      </c>
      <c r="E242" s="1271">
        <f t="shared" si="27"/>
        <v>0</v>
      </c>
      <c r="F242" s="1272">
        <v>0</v>
      </c>
      <c r="G242" s="1272">
        <v>0</v>
      </c>
      <c r="H242" s="1272">
        <v>0</v>
      </c>
      <c r="I242" s="1272">
        <v>0</v>
      </c>
      <c r="J242" s="3065"/>
      <c r="K242" s="3065"/>
      <c r="M242" s="1259"/>
      <c r="N242" s="1260"/>
      <c r="O242" s="1260"/>
      <c r="P242" s="1260"/>
    </row>
    <row r="243" spans="1:16" s="1258" customFormat="1" ht="16.5" customHeight="1" outlineLevel="1">
      <c r="A243" s="3062"/>
      <c r="B243" s="3085"/>
      <c r="C243" s="3083"/>
      <c r="D243" s="1261">
        <v>2024</v>
      </c>
      <c r="E243" s="1271">
        <f t="shared" si="27"/>
        <v>0</v>
      </c>
      <c r="F243" s="1272">
        <v>0</v>
      </c>
      <c r="G243" s="1272">
        <v>0</v>
      </c>
      <c r="H243" s="1272">
        <v>0</v>
      </c>
      <c r="I243" s="1272">
        <v>0</v>
      </c>
      <c r="J243" s="3065"/>
      <c r="K243" s="3065"/>
      <c r="M243" s="1259"/>
      <c r="N243" s="1260"/>
      <c r="O243" s="1260"/>
      <c r="P243" s="1260"/>
    </row>
    <row r="244" spans="1:16" s="1258" customFormat="1" ht="16.5" customHeight="1" outlineLevel="1">
      <c r="A244" s="3063"/>
      <c r="B244" s="3086"/>
      <c r="C244" s="3084"/>
      <c r="D244" s="1261">
        <v>2025</v>
      </c>
      <c r="E244" s="1271">
        <f t="shared" si="27"/>
        <v>0</v>
      </c>
      <c r="F244" s="1272">
        <v>0</v>
      </c>
      <c r="G244" s="1272">
        <v>0</v>
      </c>
      <c r="H244" s="1272">
        <v>0</v>
      </c>
      <c r="I244" s="1272">
        <v>0</v>
      </c>
      <c r="J244" s="3066"/>
      <c r="K244" s="3066"/>
      <c r="M244" s="1259"/>
      <c r="N244" s="1260"/>
      <c r="O244" s="1260"/>
      <c r="P244" s="1260"/>
    </row>
    <row r="245" spans="1:16" s="1258" customFormat="1" ht="16.5" customHeight="1" outlineLevel="1">
      <c r="A245" s="3061" t="s">
        <v>2921</v>
      </c>
      <c r="B245" s="3079" t="s">
        <v>3149</v>
      </c>
      <c r="C245" s="3082" t="s">
        <v>2989</v>
      </c>
      <c r="D245" s="1261" t="s">
        <v>8</v>
      </c>
      <c r="E245" s="1271">
        <f t="shared" si="27"/>
        <v>35474.273000000001</v>
      </c>
      <c r="F245" s="1271">
        <f>SUM(F246:F250)</f>
        <v>35474.273000000001</v>
      </c>
      <c r="G245" s="1271">
        <f>SUM(G246:G250)</f>
        <v>0</v>
      </c>
      <c r="H245" s="1271">
        <f>SUM(H246:H250)</f>
        <v>0</v>
      </c>
      <c r="I245" s="1271">
        <f>SUM(I246:I250)</f>
        <v>0</v>
      </c>
      <c r="J245" s="3064" t="s">
        <v>3148</v>
      </c>
      <c r="K245" s="3064" t="s">
        <v>3147</v>
      </c>
      <c r="M245" s="1259"/>
      <c r="N245" s="1260"/>
      <c r="O245" s="1260"/>
      <c r="P245" s="1260"/>
    </row>
    <row r="246" spans="1:16" s="1258" customFormat="1" ht="16.5" customHeight="1" outlineLevel="1">
      <c r="A246" s="3062"/>
      <c r="B246" s="3085"/>
      <c r="C246" s="3083"/>
      <c r="D246" s="1261">
        <v>2021</v>
      </c>
      <c r="E246" s="1271">
        <f t="shared" si="27"/>
        <v>0</v>
      </c>
      <c r="F246" s="1272">
        <v>0</v>
      </c>
      <c r="G246" s="1272">
        <v>0</v>
      </c>
      <c r="H246" s="1272">
        <v>0</v>
      </c>
      <c r="I246" s="1272">
        <v>0</v>
      </c>
      <c r="J246" s="3065"/>
      <c r="K246" s="3065"/>
      <c r="M246" s="1259"/>
      <c r="N246" s="1260"/>
      <c r="O246" s="1260"/>
      <c r="P246" s="1260"/>
    </row>
    <row r="247" spans="1:16" s="1258" customFormat="1" ht="16.5" customHeight="1" outlineLevel="1">
      <c r="A247" s="3062"/>
      <c r="B247" s="3085"/>
      <c r="C247" s="3083"/>
      <c r="D247" s="1261">
        <v>2022</v>
      </c>
      <c r="E247" s="1271">
        <f t="shared" si="27"/>
        <v>35337.442999999999</v>
      </c>
      <c r="F247" s="1272">
        <f>22000+1017.443+12000+13089.787+320-13089.787</f>
        <v>35337.442999999999</v>
      </c>
      <c r="G247" s="1272">
        <v>0</v>
      </c>
      <c r="H247" s="1272">
        <v>0</v>
      </c>
      <c r="I247" s="1272">
        <v>0</v>
      </c>
      <c r="J247" s="3065"/>
      <c r="K247" s="3065"/>
      <c r="M247" s="1259"/>
      <c r="N247" s="1260"/>
      <c r="O247" s="1260"/>
      <c r="P247" s="1260"/>
    </row>
    <row r="248" spans="1:16" s="1451" customFormat="1" ht="16.5" customHeight="1" outlineLevel="1">
      <c r="A248" s="3062"/>
      <c r="B248" s="3085"/>
      <c r="C248" s="3083"/>
      <c r="D248" s="1455">
        <v>2023</v>
      </c>
      <c r="E248" s="1456">
        <f t="shared" si="27"/>
        <v>136.82999999999993</v>
      </c>
      <c r="F248" s="1457">
        <f>5000-4863.17</f>
        <v>136.82999999999993</v>
      </c>
      <c r="G248" s="1457">
        <v>0</v>
      </c>
      <c r="H248" s="1457">
        <v>0</v>
      </c>
      <c r="I248" s="1457">
        <v>0</v>
      </c>
      <c r="J248" s="3065"/>
      <c r="K248" s="3065"/>
      <c r="M248" s="1452"/>
      <c r="N248" s="1454"/>
      <c r="O248" s="1454"/>
      <c r="P248" s="1454"/>
    </row>
    <row r="249" spans="1:16" s="1258" customFormat="1" ht="16.5" customHeight="1" outlineLevel="1">
      <c r="A249" s="3062"/>
      <c r="B249" s="3085"/>
      <c r="C249" s="3083"/>
      <c r="D249" s="1261">
        <v>2024</v>
      </c>
      <c r="E249" s="1271">
        <f t="shared" si="27"/>
        <v>0</v>
      </c>
      <c r="F249" s="1272">
        <v>0</v>
      </c>
      <c r="G249" s="1272">
        <v>0</v>
      </c>
      <c r="H249" s="1272">
        <v>0</v>
      </c>
      <c r="I249" s="1272">
        <v>0</v>
      </c>
      <c r="J249" s="3065"/>
      <c r="K249" s="3065"/>
      <c r="M249" s="1259"/>
      <c r="N249" s="1260"/>
      <c r="O249" s="1260"/>
      <c r="P249" s="1260"/>
    </row>
    <row r="250" spans="1:16" s="1258" customFormat="1" ht="16.5" customHeight="1" outlineLevel="1">
      <c r="A250" s="3063"/>
      <c r="B250" s="3086"/>
      <c r="C250" s="3084"/>
      <c r="D250" s="1261">
        <v>2025</v>
      </c>
      <c r="E250" s="1271">
        <f t="shared" si="27"/>
        <v>0</v>
      </c>
      <c r="F250" s="1272">
        <v>0</v>
      </c>
      <c r="G250" s="1272">
        <v>0</v>
      </c>
      <c r="H250" s="1272">
        <v>0</v>
      </c>
      <c r="I250" s="1272">
        <v>0</v>
      </c>
      <c r="J250" s="3066"/>
      <c r="K250" s="3066"/>
      <c r="M250" s="1259"/>
      <c r="N250" s="1260"/>
      <c r="O250" s="1260"/>
      <c r="P250" s="1260"/>
    </row>
    <row r="251" spans="1:16" s="1258" customFormat="1" ht="16.5" customHeight="1" outlineLevel="1">
      <c r="A251" s="3061" t="s">
        <v>2923</v>
      </c>
      <c r="B251" s="3098" t="s">
        <v>2924</v>
      </c>
      <c r="C251" s="3082" t="s">
        <v>2989</v>
      </c>
      <c r="D251" s="1261" t="s">
        <v>8</v>
      </c>
      <c r="E251" s="1271">
        <f t="shared" si="27"/>
        <v>534</v>
      </c>
      <c r="F251" s="1271">
        <f>SUM(F252:F256)</f>
        <v>534</v>
      </c>
      <c r="G251" s="1271">
        <f>SUM(G252:G256)</f>
        <v>0</v>
      </c>
      <c r="H251" s="1271">
        <f>SUM(H252:H256)</f>
        <v>0</v>
      </c>
      <c r="I251" s="1271">
        <f>SUM(I252:I256)</f>
        <v>0</v>
      </c>
      <c r="J251" s="3064" t="s">
        <v>3146</v>
      </c>
      <c r="K251" s="3064" t="s">
        <v>3145</v>
      </c>
      <c r="M251" s="1259"/>
      <c r="N251" s="1260"/>
      <c r="O251" s="1260"/>
      <c r="P251" s="1260"/>
    </row>
    <row r="252" spans="1:16" s="1258" customFormat="1" ht="16.5" customHeight="1" outlineLevel="1">
      <c r="A252" s="3062"/>
      <c r="B252" s="3085"/>
      <c r="C252" s="3083"/>
      <c r="D252" s="1261">
        <v>2021</v>
      </c>
      <c r="E252" s="1271">
        <f t="shared" si="27"/>
        <v>534</v>
      </c>
      <c r="F252" s="1272">
        <v>534</v>
      </c>
      <c r="G252" s="1272">
        <v>0</v>
      </c>
      <c r="H252" s="1272">
        <v>0</v>
      </c>
      <c r="I252" s="1272">
        <v>0</v>
      </c>
      <c r="J252" s="3065"/>
      <c r="K252" s="3065"/>
      <c r="M252" s="1259"/>
      <c r="N252" s="1260"/>
      <c r="O252" s="1260"/>
      <c r="P252" s="1260"/>
    </row>
    <row r="253" spans="1:16" s="1258" customFormat="1" ht="16.5" customHeight="1" outlineLevel="1">
      <c r="A253" s="3062"/>
      <c r="B253" s="3085"/>
      <c r="C253" s="3083"/>
      <c r="D253" s="1261">
        <v>2022</v>
      </c>
      <c r="E253" s="1271">
        <f t="shared" si="27"/>
        <v>0</v>
      </c>
      <c r="F253" s="1272">
        <v>0</v>
      </c>
      <c r="G253" s="1272">
        <v>0</v>
      </c>
      <c r="H253" s="1272">
        <v>0</v>
      </c>
      <c r="I253" s="1272">
        <v>0</v>
      </c>
      <c r="J253" s="3065"/>
      <c r="K253" s="3065"/>
      <c r="M253" s="1259"/>
      <c r="N253" s="1260"/>
      <c r="O253" s="1260"/>
      <c r="P253" s="1260"/>
    </row>
    <row r="254" spans="1:16" s="1258" customFormat="1" ht="16.5" customHeight="1" outlineLevel="1">
      <c r="A254" s="3062"/>
      <c r="B254" s="3085"/>
      <c r="C254" s="3083"/>
      <c r="D254" s="1261">
        <v>2023</v>
      </c>
      <c r="E254" s="1271">
        <f t="shared" si="27"/>
        <v>0</v>
      </c>
      <c r="F254" s="1272">
        <v>0</v>
      </c>
      <c r="G254" s="1272">
        <v>0</v>
      </c>
      <c r="H254" s="1272">
        <v>0</v>
      </c>
      <c r="I254" s="1272">
        <v>0</v>
      </c>
      <c r="J254" s="3065"/>
      <c r="K254" s="3065"/>
      <c r="M254" s="1259"/>
      <c r="N254" s="1260"/>
      <c r="O254" s="1260"/>
      <c r="P254" s="1260"/>
    </row>
    <row r="255" spans="1:16" s="1258" customFormat="1" ht="16.5" customHeight="1" outlineLevel="1">
      <c r="A255" s="3062"/>
      <c r="B255" s="3085"/>
      <c r="C255" s="3083"/>
      <c r="D255" s="1261">
        <v>2024</v>
      </c>
      <c r="E255" s="1271">
        <f t="shared" ref="E255:E316" si="28">SUM(F255:I255)</f>
        <v>0</v>
      </c>
      <c r="F255" s="1272">
        <v>0</v>
      </c>
      <c r="G255" s="1272">
        <v>0</v>
      </c>
      <c r="H255" s="1272">
        <v>0</v>
      </c>
      <c r="I255" s="1272">
        <v>0</v>
      </c>
      <c r="J255" s="3065"/>
      <c r="K255" s="3065"/>
      <c r="M255" s="1259"/>
      <c r="N255" s="1260"/>
      <c r="O255" s="1260"/>
      <c r="P255" s="1260"/>
    </row>
    <row r="256" spans="1:16" s="1258" customFormat="1" ht="16.5" customHeight="1" outlineLevel="1">
      <c r="A256" s="3063"/>
      <c r="B256" s="3086"/>
      <c r="C256" s="3084"/>
      <c r="D256" s="1261">
        <v>2025</v>
      </c>
      <c r="E256" s="1271">
        <f t="shared" si="28"/>
        <v>0</v>
      </c>
      <c r="F256" s="1272">
        <v>0</v>
      </c>
      <c r="G256" s="1272">
        <v>0</v>
      </c>
      <c r="H256" s="1272">
        <v>0</v>
      </c>
      <c r="I256" s="1272">
        <v>0</v>
      </c>
      <c r="J256" s="3066"/>
      <c r="K256" s="3066"/>
      <c r="M256" s="1259"/>
      <c r="N256" s="1260"/>
      <c r="O256" s="1260"/>
      <c r="P256" s="1260"/>
    </row>
    <row r="257" spans="1:16" s="1258" customFormat="1" ht="16.5" customHeight="1" outlineLevel="1">
      <c r="A257" s="3061" t="s">
        <v>2925</v>
      </c>
      <c r="B257" s="3098" t="s">
        <v>2926</v>
      </c>
      <c r="C257" s="3082" t="s">
        <v>2989</v>
      </c>
      <c r="D257" s="1261" t="s">
        <v>8</v>
      </c>
      <c r="E257" s="1271">
        <f t="shared" si="28"/>
        <v>194</v>
      </c>
      <c r="F257" s="1271">
        <f>SUM(F258:F262)</f>
        <v>194</v>
      </c>
      <c r="G257" s="1271">
        <f>SUM(G258:G262)</f>
        <v>0</v>
      </c>
      <c r="H257" s="1271">
        <f>SUM(H258:H262)</f>
        <v>0</v>
      </c>
      <c r="I257" s="1271">
        <f>SUM(I258:I262)</f>
        <v>0</v>
      </c>
      <c r="J257" s="3064" t="s">
        <v>3144</v>
      </c>
      <c r="K257" s="3064" t="s">
        <v>2799</v>
      </c>
      <c r="M257" s="1259"/>
      <c r="N257" s="1260"/>
      <c r="O257" s="1260"/>
      <c r="P257" s="1260"/>
    </row>
    <row r="258" spans="1:16" s="1258" customFormat="1" ht="16.5" customHeight="1" outlineLevel="1">
      <c r="A258" s="3062"/>
      <c r="B258" s="3085"/>
      <c r="C258" s="3083"/>
      <c r="D258" s="1261">
        <v>2021</v>
      </c>
      <c r="E258" s="1271">
        <f t="shared" si="28"/>
        <v>194</v>
      </c>
      <c r="F258" s="1272">
        <v>194</v>
      </c>
      <c r="G258" s="1272">
        <v>0</v>
      </c>
      <c r="H258" s="1272">
        <v>0</v>
      </c>
      <c r="I258" s="1272">
        <v>0</v>
      </c>
      <c r="J258" s="3065"/>
      <c r="K258" s="3065"/>
      <c r="M258" s="1259"/>
      <c r="N258" s="1260"/>
      <c r="O258" s="1260"/>
      <c r="P258" s="1260"/>
    </row>
    <row r="259" spans="1:16" s="1258" customFormat="1" ht="16.5" customHeight="1" outlineLevel="1">
      <c r="A259" s="3062"/>
      <c r="B259" s="3085"/>
      <c r="C259" s="3083"/>
      <c r="D259" s="1261">
        <v>2022</v>
      </c>
      <c r="E259" s="1271">
        <f t="shared" si="28"/>
        <v>0</v>
      </c>
      <c r="F259" s="1272">
        <v>0</v>
      </c>
      <c r="G259" s="1272">
        <v>0</v>
      </c>
      <c r="H259" s="1272">
        <v>0</v>
      </c>
      <c r="I259" s="1272">
        <v>0</v>
      </c>
      <c r="J259" s="3065"/>
      <c r="K259" s="3065"/>
      <c r="M259" s="1259"/>
      <c r="N259" s="1260"/>
      <c r="O259" s="1260"/>
      <c r="P259" s="1260"/>
    </row>
    <row r="260" spans="1:16" s="1258" customFormat="1" ht="16.5" customHeight="1" outlineLevel="1">
      <c r="A260" s="3062"/>
      <c r="B260" s="3085"/>
      <c r="C260" s="3083"/>
      <c r="D260" s="1261">
        <v>2023</v>
      </c>
      <c r="E260" s="1271">
        <f t="shared" si="28"/>
        <v>0</v>
      </c>
      <c r="F260" s="1272">
        <v>0</v>
      </c>
      <c r="G260" s="1272">
        <v>0</v>
      </c>
      <c r="H260" s="1272">
        <v>0</v>
      </c>
      <c r="I260" s="1272">
        <v>0</v>
      </c>
      <c r="J260" s="3065"/>
      <c r="K260" s="3065"/>
      <c r="M260" s="1259"/>
      <c r="N260" s="1260"/>
      <c r="O260" s="1260"/>
      <c r="P260" s="1260"/>
    </row>
    <row r="261" spans="1:16" s="1258" customFormat="1" ht="16.5" customHeight="1" outlineLevel="1">
      <c r="A261" s="3062"/>
      <c r="B261" s="3085"/>
      <c r="C261" s="3083"/>
      <c r="D261" s="1261">
        <v>2024</v>
      </c>
      <c r="E261" s="1271">
        <f t="shared" si="28"/>
        <v>0</v>
      </c>
      <c r="F261" s="1272">
        <v>0</v>
      </c>
      <c r="G261" s="1272">
        <v>0</v>
      </c>
      <c r="H261" s="1272">
        <v>0</v>
      </c>
      <c r="I261" s="1272">
        <v>0</v>
      </c>
      <c r="J261" s="3065"/>
      <c r="K261" s="3065"/>
      <c r="M261" s="1259"/>
      <c r="N261" s="1260"/>
      <c r="O261" s="1260"/>
      <c r="P261" s="1260"/>
    </row>
    <row r="262" spans="1:16" s="1258" customFormat="1" ht="16.5" customHeight="1" outlineLevel="1">
      <c r="A262" s="3063"/>
      <c r="B262" s="3086"/>
      <c r="C262" s="3084"/>
      <c r="D262" s="1261">
        <v>2025</v>
      </c>
      <c r="E262" s="1271">
        <f t="shared" si="28"/>
        <v>0</v>
      </c>
      <c r="F262" s="1272">
        <v>0</v>
      </c>
      <c r="G262" s="1272">
        <v>0</v>
      </c>
      <c r="H262" s="1272">
        <v>0</v>
      </c>
      <c r="I262" s="1272">
        <v>0</v>
      </c>
      <c r="J262" s="3066"/>
      <c r="K262" s="3066"/>
      <c r="M262" s="1259"/>
      <c r="N262" s="1260"/>
      <c r="O262" s="1260"/>
      <c r="P262" s="1260"/>
    </row>
    <row r="263" spans="1:16" s="1258" customFormat="1" ht="16.5" customHeight="1" outlineLevel="1">
      <c r="A263" s="3061" t="s">
        <v>2927</v>
      </c>
      <c r="B263" s="3079" t="s">
        <v>2928</v>
      </c>
      <c r="C263" s="3082" t="s">
        <v>3017</v>
      </c>
      <c r="D263" s="1261" t="s">
        <v>8</v>
      </c>
      <c r="E263" s="1271">
        <f t="shared" si="28"/>
        <v>900</v>
      </c>
      <c r="F263" s="1271">
        <f>SUM(F264:F268)</f>
        <v>900</v>
      </c>
      <c r="G263" s="1271">
        <f>SUM(G264:G268)</f>
        <v>0</v>
      </c>
      <c r="H263" s="1271">
        <f>SUM(H264:H268)</f>
        <v>0</v>
      </c>
      <c r="I263" s="1271">
        <f>SUM(I264:I268)</f>
        <v>0</v>
      </c>
      <c r="J263" s="3064" t="s">
        <v>3143</v>
      </c>
      <c r="K263" s="3064" t="s">
        <v>2799</v>
      </c>
      <c r="M263" s="1259"/>
      <c r="N263" s="1260"/>
      <c r="O263" s="1260"/>
      <c r="P263" s="1260"/>
    </row>
    <row r="264" spans="1:16" s="1258" customFormat="1" ht="16.5" customHeight="1" outlineLevel="1">
      <c r="A264" s="3062"/>
      <c r="B264" s="3085"/>
      <c r="C264" s="3083"/>
      <c r="D264" s="1261">
        <v>2021</v>
      </c>
      <c r="E264" s="1271">
        <f t="shared" si="28"/>
        <v>0</v>
      </c>
      <c r="F264" s="1272">
        <v>0</v>
      </c>
      <c r="G264" s="1272">
        <v>0</v>
      </c>
      <c r="H264" s="1272">
        <v>0</v>
      </c>
      <c r="I264" s="1272">
        <v>0</v>
      </c>
      <c r="J264" s="3065"/>
      <c r="K264" s="3065"/>
      <c r="M264" s="1259"/>
      <c r="N264" s="1260"/>
      <c r="O264" s="1260"/>
      <c r="P264" s="1260"/>
    </row>
    <row r="265" spans="1:16" s="1258" customFormat="1" ht="16.5" customHeight="1" outlineLevel="1">
      <c r="A265" s="3062"/>
      <c r="B265" s="3085"/>
      <c r="C265" s="3083"/>
      <c r="D265" s="1261">
        <v>2022</v>
      </c>
      <c r="E265" s="1271">
        <v>900</v>
      </c>
      <c r="F265" s="1272">
        <v>900</v>
      </c>
      <c r="G265" s="1272">
        <v>0</v>
      </c>
      <c r="H265" s="1272">
        <v>0</v>
      </c>
      <c r="I265" s="1272">
        <v>0</v>
      </c>
      <c r="J265" s="3065"/>
      <c r="K265" s="3065"/>
      <c r="M265" s="1259"/>
      <c r="N265" s="1260"/>
      <c r="O265" s="1260"/>
      <c r="P265" s="1260"/>
    </row>
    <row r="266" spans="1:16" s="1258" customFormat="1" ht="16.5" customHeight="1" outlineLevel="1">
      <c r="A266" s="3062"/>
      <c r="B266" s="3085"/>
      <c r="C266" s="3083"/>
      <c r="D266" s="1261">
        <v>2023</v>
      </c>
      <c r="E266" s="1271">
        <f t="shared" si="28"/>
        <v>0</v>
      </c>
      <c r="F266" s="1272">
        <v>0</v>
      </c>
      <c r="G266" s="1272">
        <v>0</v>
      </c>
      <c r="H266" s="1272">
        <v>0</v>
      </c>
      <c r="I266" s="1272">
        <v>0</v>
      </c>
      <c r="J266" s="3065"/>
      <c r="K266" s="3065"/>
      <c r="M266" s="1259"/>
      <c r="N266" s="1260"/>
      <c r="O266" s="1260"/>
      <c r="P266" s="1260"/>
    </row>
    <row r="267" spans="1:16" s="1258" customFormat="1" ht="16.5" customHeight="1" outlineLevel="1">
      <c r="A267" s="3062"/>
      <c r="B267" s="3085"/>
      <c r="C267" s="3083"/>
      <c r="D267" s="1261">
        <v>2024</v>
      </c>
      <c r="E267" s="1271">
        <f t="shared" si="28"/>
        <v>0</v>
      </c>
      <c r="F267" s="1272">
        <v>0</v>
      </c>
      <c r="G267" s="1272">
        <v>0</v>
      </c>
      <c r="H267" s="1272">
        <v>0</v>
      </c>
      <c r="I267" s="1272">
        <v>0</v>
      </c>
      <c r="J267" s="3065"/>
      <c r="K267" s="3065"/>
      <c r="M267" s="1259"/>
      <c r="N267" s="1260"/>
      <c r="O267" s="1260"/>
      <c r="P267" s="1260"/>
    </row>
    <row r="268" spans="1:16" s="1258" customFormat="1" ht="16.5" customHeight="1" outlineLevel="1">
      <c r="A268" s="3063"/>
      <c r="B268" s="3086"/>
      <c r="C268" s="3084"/>
      <c r="D268" s="1261">
        <v>2025</v>
      </c>
      <c r="E268" s="1271">
        <f t="shared" si="28"/>
        <v>0</v>
      </c>
      <c r="F268" s="1272">
        <v>0</v>
      </c>
      <c r="G268" s="1272">
        <v>0</v>
      </c>
      <c r="H268" s="1272">
        <v>0</v>
      </c>
      <c r="I268" s="1272">
        <v>0</v>
      </c>
      <c r="J268" s="3066"/>
      <c r="K268" s="3066"/>
      <c r="M268" s="1259"/>
      <c r="N268" s="1260"/>
      <c r="O268" s="1260"/>
      <c r="P268" s="1260"/>
    </row>
    <row r="269" spans="1:16" s="1258" customFormat="1" ht="16.5" customHeight="1" outlineLevel="1">
      <c r="A269" s="3061" t="s">
        <v>2929</v>
      </c>
      <c r="B269" s="3079" t="s">
        <v>2930</v>
      </c>
      <c r="C269" s="3082" t="s">
        <v>3017</v>
      </c>
      <c r="D269" s="1261" t="s">
        <v>8</v>
      </c>
      <c r="E269" s="1271">
        <f t="shared" si="28"/>
        <v>117456.592</v>
      </c>
      <c r="F269" s="1271">
        <f>SUM(F270:F274)</f>
        <v>117456.592</v>
      </c>
      <c r="G269" s="1271">
        <f>SUM(G270:G274)</f>
        <v>0</v>
      </c>
      <c r="H269" s="1271">
        <f>SUM(H270:H274)</f>
        <v>0</v>
      </c>
      <c r="I269" s="1271">
        <f>SUM(I270:I274)</f>
        <v>0</v>
      </c>
      <c r="J269" s="3064" t="s">
        <v>2930</v>
      </c>
      <c r="K269" s="3064" t="s">
        <v>3034</v>
      </c>
      <c r="M269" s="1259"/>
      <c r="N269" s="1260"/>
      <c r="O269" s="1260"/>
      <c r="P269" s="1260"/>
    </row>
    <row r="270" spans="1:16" s="1258" customFormat="1" ht="16.5" customHeight="1" outlineLevel="1">
      <c r="A270" s="3062"/>
      <c r="B270" s="3085"/>
      <c r="C270" s="3083"/>
      <c r="D270" s="1261">
        <v>2021</v>
      </c>
      <c r="E270" s="1271">
        <f t="shared" si="28"/>
        <v>0</v>
      </c>
      <c r="F270" s="1272">
        <v>0</v>
      </c>
      <c r="G270" s="1272">
        <v>0</v>
      </c>
      <c r="H270" s="1272">
        <v>0</v>
      </c>
      <c r="I270" s="1272">
        <v>0</v>
      </c>
      <c r="J270" s="3065"/>
      <c r="K270" s="3065"/>
      <c r="M270" s="1259"/>
      <c r="N270" s="1260"/>
      <c r="O270" s="1260"/>
      <c r="P270" s="1260"/>
    </row>
    <row r="271" spans="1:16" s="1258" customFormat="1" ht="16.5" customHeight="1" outlineLevel="1">
      <c r="A271" s="3062"/>
      <c r="B271" s="3085"/>
      <c r="C271" s="3083"/>
      <c r="D271" s="1261">
        <v>2022</v>
      </c>
      <c r="E271" s="1271">
        <f t="shared" si="28"/>
        <v>24779.228999999999</v>
      </c>
      <c r="F271" s="1272">
        <v>24779.228999999999</v>
      </c>
      <c r="G271" s="1272">
        <v>0</v>
      </c>
      <c r="H271" s="1272">
        <v>0</v>
      </c>
      <c r="I271" s="1272">
        <v>0</v>
      </c>
      <c r="J271" s="3065"/>
      <c r="K271" s="3065"/>
      <c r="M271" s="1259"/>
      <c r="N271" s="1260"/>
      <c r="O271" s="1260"/>
      <c r="P271" s="1260"/>
    </row>
    <row r="272" spans="1:16" s="1451" customFormat="1" ht="16.5" customHeight="1" outlineLevel="1">
      <c r="A272" s="3062"/>
      <c r="B272" s="3085"/>
      <c r="C272" s="3083"/>
      <c r="D272" s="1455">
        <v>2023</v>
      </c>
      <c r="E272" s="1456">
        <f t="shared" si="28"/>
        <v>35051.025000000001</v>
      </c>
      <c r="F272" s="1457">
        <f>25184.8+5003.055+4863.17</f>
        <v>35051.025000000001</v>
      </c>
      <c r="G272" s="1457">
        <v>0</v>
      </c>
      <c r="H272" s="1457">
        <v>0</v>
      </c>
      <c r="I272" s="1457">
        <v>0</v>
      </c>
      <c r="J272" s="3065"/>
      <c r="K272" s="3065"/>
      <c r="M272" s="1452"/>
      <c r="N272" s="1454"/>
      <c r="O272" s="1454"/>
      <c r="P272" s="1454"/>
    </row>
    <row r="273" spans="1:16" s="1258" customFormat="1" ht="16.5" customHeight="1" outlineLevel="1">
      <c r="A273" s="3062"/>
      <c r="B273" s="3085"/>
      <c r="C273" s="3083"/>
      <c r="D273" s="1261">
        <v>2024</v>
      </c>
      <c r="E273" s="1271">
        <f t="shared" si="28"/>
        <v>28813.169000000002</v>
      </c>
      <c r="F273" s="1272">
        <v>28813.169000000002</v>
      </c>
      <c r="G273" s="1272">
        <v>0</v>
      </c>
      <c r="H273" s="1272">
        <v>0</v>
      </c>
      <c r="I273" s="1272">
        <v>0</v>
      </c>
      <c r="J273" s="3065"/>
      <c r="K273" s="3065"/>
      <c r="M273" s="1259"/>
      <c r="N273" s="1260"/>
      <c r="O273" s="1260"/>
      <c r="P273" s="1260"/>
    </row>
    <row r="274" spans="1:16" s="1258" customFormat="1" ht="16.5" customHeight="1" outlineLevel="1">
      <c r="A274" s="3063"/>
      <c r="B274" s="3086"/>
      <c r="C274" s="3084"/>
      <c r="D274" s="1261">
        <v>2025</v>
      </c>
      <c r="E274" s="1271">
        <f t="shared" si="28"/>
        <v>28813.169000000002</v>
      </c>
      <c r="F274" s="1272">
        <v>28813.169000000002</v>
      </c>
      <c r="G274" s="1272">
        <v>0</v>
      </c>
      <c r="H274" s="1272">
        <v>0</v>
      </c>
      <c r="I274" s="1272">
        <v>0</v>
      </c>
      <c r="J274" s="3066"/>
      <c r="K274" s="3066"/>
      <c r="M274" s="1259"/>
      <c r="N274" s="1260"/>
      <c r="O274" s="1260"/>
      <c r="P274" s="1260"/>
    </row>
    <row r="275" spans="1:16" s="1258" customFormat="1" ht="16.5" customHeight="1" outlineLevel="1">
      <c r="A275" s="3061" t="s">
        <v>2931</v>
      </c>
      <c r="B275" s="3079" t="s">
        <v>3142</v>
      </c>
      <c r="C275" s="3082">
        <v>2022</v>
      </c>
      <c r="D275" s="1261" t="s">
        <v>8</v>
      </c>
      <c r="E275" s="1271">
        <f t="shared" si="28"/>
        <v>0</v>
      </c>
      <c r="F275" s="1271">
        <f>SUM(F276:F280)</f>
        <v>0</v>
      </c>
      <c r="G275" s="1271">
        <f>SUM(G276:G280)</f>
        <v>0</v>
      </c>
      <c r="H275" s="1271">
        <f>SUM(H276:H280)</f>
        <v>0</v>
      </c>
      <c r="I275" s="1271">
        <f>SUM(I276:I280)</f>
        <v>0</v>
      </c>
      <c r="J275" s="3064" t="s">
        <v>3141</v>
      </c>
      <c r="K275" s="3064" t="s">
        <v>3140</v>
      </c>
      <c r="M275" s="1259"/>
      <c r="N275" s="1260"/>
      <c r="O275" s="1260"/>
      <c r="P275" s="1260"/>
    </row>
    <row r="276" spans="1:16" s="1258" customFormat="1" ht="16.5" customHeight="1" outlineLevel="1">
      <c r="A276" s="3062"/>
      <c r="B276" s="3085"/>
      <c r="C276" s="3083"/>
      <c r="D276" s="1261">
        <v>2021</v>
      </c>
      <c r="E276" s="1271">
        <f t="shared" si="28"/>
        <v>0</v>
      </c>
      <c r="F276" s="1272">
        <v>0</v>
      </c>
      <c r="G276" s="1272">
        <v>0</v>
      </c>
      <c r="H276" s="1272">
        <v>0</v>
      </c>
      <c r="I276" s="1272">
        <v>0</v>
      </c>
      <c r="J276" s="3065"/>
      <c r="K276" s="3065"/>
      <c r="M276" s="1259"/>
      <c r="N276" s="1260"/>
      <c r="O276" s="1260"/>
      <c r="P276" s="1260"/>
    </row>
    <row r="277" spans="1:16" s="1258" customFormat="1" ht="16.5" customHeight="1" outlineLevel="1">
      <c r="A277" s="3062"/>
      <c r="B277" s="3085"/>
      <c r="C277" s="3083"/>
      <c r="D277" s="1261">
        <v>2022</v>
      </c>
      <c r="E277" s="1271">
        <f t="shared" si="28"/>
        <v>0</v>
      </c>
      <c r="F277" s="1272">
        <v>0</v>
      </c>
      <c r="G277" s="1272">
        <v>0</v>
      </c>
      <c r="H277" s="1272">
        <v>0</v>
      </c>
      <c r="I277" s="1272">
        <v>0</v>
      </c>
      <c r="J277" s="3065"/>
      <c r="K277" s="3065"/>
      <c r="M277" s="1259"/>
      <c r="N277" s="1260"/>
      <c r="O277" s="1260"/>
      <c r="P277" s="1260"/>
    </row>
    <row r="278" spans="1:16" s="1258" customFormat="1" ht="16.5" customHeight="1" outlineLevel="1">
      <c r="A278" s="3062"/>
      <c r="B278" s="3085"/>
      <c r="C278" s="3083"/>
      <c r="D278" s="1261">
        <v>2023</v>
      </c>
      <c r="E278" s="1271">
        <f t="shared" si="28"/>
        <v>0</v>
      </c>
      <c r="F278" s="1272">
        <v>0</v>
      </c>
      <c r="G278" s="1272">
        <v>0</v>
      </c>
      <c r="H278" s="1272">
        <v>0</v>
      </c>
      <c r="I278" s="1272">
        <v>0</v>
      </c>
      <c r="J278" s="3065"/>
      <c r="K278" s="3065"/>
      <c r="M278" s="1259"/>
      <c r="N278" s="1260"/>
      <c r="O278" s="1260"/>
      <c r="P278" s="1260"/>
    </row>
    <row r="279" spans="1:16" ht="16.5" customHeight="1" outlineLevel="1">
      <c r="A279" s="3062"/>
      <c r="B279" s="3085"/>
      <c r="C279" s="3083"/>
      <c r="D279" s="1261">
        <v>2024</v>
      </c>
      <c r="E279" s="1271">
        <f t="shared" si="28"/>
        <v>0</v>
      </c>
      <c r="F279" s="1272">
        <v>0</v>
      </c>
      <c r="G279" s="1272">
        <v>0</v>
      </c>
      <c r="H279" s="1272">
        <v>0</v>
      </c>
      <c r="I279" s="1272">
        <v>0</v>
      </c>
      <c r="J279" s="3065"/>
      <c r="K279" s="3065"/>
    </row>
    <row r="280" spans="1:16" ht="16.5" customHeight="1" outlineLevel="1">
      <c r="A280" s="3063"/>
      <c r="B280" s="3086"/>
      <c r="C280" s="3084"/>
      <c r="D280" s="1261">
        <v>2025</v>
      </c>
      <c r="E280" s="1271">
        <f t="shared" si="28"/>
        <v>0</v>
      </c>
      <c r="F280" s="1272">
        <v>0</v>
      </c>
      <c r="G280" s="1272">
        <v>0</v>
      </c>
      <c r="H280" s="1272">
        <v>0</v>
      </c>
      <c r="I280" s="1272">
        <v>0</v>
      </c>
      <c r="J280" s="3066"/>
      <c r="K280" s="3066"/>
    </row>
    <row r="281" spans="1:16" ht="15.75" customHeight="1" outlineLevel="1">
      <c r="A281" s="3050" t="s">
        <v>2932</v>
      </c>
      <c r="B281" s="3051" t="s">
        <v>2933</v>
      </c>
      <c r="C281" s="3052">
        <v>2022</v>
      </c>
      <c r="D281" s="1261" t="s">
        <v>8</v>
      </c>
      <c r="E281" s="1271">
        <f t="shared" si="28"/>
        <v>17927.877</v>
      </c>
      <c r="F281" s="1271">
        <f>SUM(F282:F286)</f>
        <v>17927.877</v>
      </c>
      <c r="G281" s="1271">
        <f>SUM(G282:G286)</f>
        <v>0</v>
      </c>
      <c r="H281" s="1271">
        <f>SUM(H282:H286)</f>
        <v>0</v>
      </c>
      <c r="I281" s="1271">
        <f>SUM(I282:I286)</f>
        <v>0</v>
      </c>
      <c r="J281" s="3053" t="s">
        <v>3139</v>
      </c>
      <c r="K281" s="3053" t="s">
        <v>3138</v>
      </c>
    </row>
    <row r="282" spans="1:16" outlineLevel="1">
      <c r="A282" s="3050"/>
      <c r="B282" s="3051"/>
      <c r="C282" s="3052"/>
      <c r="D282" s="1261">
        <v>2021</v>
      </c>
      <c r="E282" s="1271">
        <f t="shared" si="28"/>
        <v>0</v>
      </c>
      <c r="F282" s="1271">
        <v>0</v>
      </c>
      <c r="G282" s="1272">
        <v>0</v>
      </c>
      <c r="H282" s="1272">
        <v>0</v>
      </c>
      <c r="I282" s="1272">
        <v>0</v>
      </c>
      <c r="J282" s="3053"/>
      <c r="K282" s="3053"/>
    </row>
    <row r="283" spans="1:16" outlineLevel="1">
      <c r="A283" s="3050"/>
      <c r="B283" s="3051"/>
      <c r="C283" s="3052"/>
      <c r="D283" s="1261">
        <v>2022</v>
      </c>
      <c r="E283" s="1271">
        <f t="shared" si="28"/>
        <v>17927.877</v>
      </c>
      <c r="F283" s="1271">
        <v>17927.877</v>
      </c>
      <c r="G283" s="1272">
        <v>0</v>
      </c>
      <c r="H283" s="1272">
        <v>0</v>
      </c>
      <c r="I283" s="1272">
        <v>0</v>
      </c>
      <c r="J283" s="3053"/>
      <c r="K283" s="3053"/>
    </row>
    <row r="284" spans="1:16" outlineLevel="1">
      <c r="A284" s="3050"/>
      <c r="B284" s="3051"/>
      <c r="C284" s="3052"/>
      <c r="D284" s="1261">
        <v>2023</v>
      </c>
      <c r="E284" s="1271">
        <f t="shared" si="28"/>
        <v>0</v>
      </c>
      <c r="F284" s="1271">
        <v>0</v>
      </c>
      <c r="G284" s="1272">
        <v>0</v>
      </c>
      <c r="H284" s="1272">
        <v>0</v>
      </c>
      <c r="I284" s="1272">
        <v>0</v>
      </c>
      <c r="J284" s="3053"/>
      <c r="K284" s="3053"/>
    </row>
    <row r="285" spans="1:16" outlineLevel="1">
      <c r="A285" s="3050"/>
      <c r="B285" s="3051"/>
      <c r="C285" s="3052"/>
      <c r="D285" s="1261">
        <v>2024</v>
      </c>
      <c r="E285" s="1271">
        <f t="shared" si="28"/>
        <v>0</v>
      </c>
      <c r="F285" s="1271">
        <v>0</v>
      </c>
      <c r="G285" s="1272">
        <v>0</v>
      </c>
      <c r="H285" s="1272">
        <v>0</v>
      </c>
      <c r="I285" s="1272">
        <v>0</v>
      </c>
      <c r="J285" s="3053"/>
      <c r="K285" s="3053"/>
    </row>
    <row r="286" spans="1:16" outlineLevel="1">
      <c r="A286" s="3050"/>
      <c r="B286" s="3051"/>
      <c r="C286" s="3052"/>
      <c r="D286" s="1261">
        <v>2025</v>
      </c>
      <c r="E286" s="1271">
        <f t="shared" si="28"/>
        <v>0</v>
      </c>
      <c r="F286" s="1271">
        <v>0</v>
      </c>
      <c r="G286" s="1272">
        <v>0</v>
      </c>
      <c r="H286" s="1272">
        <v>0</v>
      </c>
      <c r="I286" s="1272">
        <v>0</v>
      </c>
      <c r="J286" s="3053"/>
      <c r="K286" s="3053"/>
    </row>
    <row r="287" spans="1:16" ht="15.75" customHeight="1" outlineLevel="1">
      <c r="A287" s="3050" t="s">
        <v>2934</v>
      </c>
      <c r="B287" s="3051" t="s">
        <v>3137</v>
      </c>
      <c r="C287" s="3052">
        <v>2022</v>
      </c>
      <c r="D287" s="1261" t="s">
        <v>8</v>
      </c>
      <c r="E287" s="1271">
        <f t="shared" si="28"/>
        <v>82491</v>
      </c>
      <c r="F287" s="1271">
        <f>SUM(F288:F292)</f>
        <v>82491</v>
      </c>
      <c r="G287" s="1271">
        <f>SUM(G288:G292)</f>
        <v>0</v>
      </c>
      <c r="H287" s="1271">
        <f>SUM(H288:H292)</f>
        <v>0</v>
      </c>
      <c r="I287" s="1271">
        <f>SUM(I288:I292)</f>
        <v>0</v>
      </c>
      <c r="J287" s="3053" t="s">
        <v>3136</v>
      </c>
      <c r="K287" s="3053" t="s">
        <v>3034</v>
      </c>
    </row>
    <row r="288" spans="1:16" ht="15" customHeight="1" outlineLevel="1">
      <c r="A288" s="3050"/>
      <c r="B288" s="3051"/>
      <c r="C288" s="3052"/>
      <c r="D288" s="1261">
        <v>2021</v>
      </c>
      <c r="E288" s="1271">
        <f t="shared" si="28"/>
        <v>0</v>
      </c>
      <c r="F288" s="1271">
        <v>0</v>
      </c>
      <c r="G288" s="1272">
        <v>0</v>
      </c>
      <c r="H288" s="1272">
        <v>0</v>
      </c>
      <c r="I288" s="1272">
        <v>0</v>
      </c>
      <c r="J288" s="3053"/>
      <c r="K288" s="3053"/>
    </row>
    <row r="289" spans="1:16" ht="15" customHeight="1" outlineLevel="1">
      <c r="A289" s="3050"/>
      <c r="B289" s="3051"/>
      <c r="C289" s="3052"/>
      <c r="D289" s="1261">
        <v>2022</v>
      </c>
      <c r="E289" s="1271">
        <f t="shared" si="28"/>
        <v>82491</v>
      </c>
      <c r="F289" s="1271">
        <f>56859.756+25631.244</f>
        <v>82491</v>
      </c>
      <c r="G289" s="1272">
        <v>0</v>
      </c>
      <c r="H289" s="1272">
        <v>0</v>
      </c>
      <c r="I289" s="1272">
        <v>0</v>
      </c>
      <c r="J289" s="3053"/>
      <c r="K289" s="3053"/>
      <c r="M289" s="1266"/>
    </row>
    <row r="290" spans="1:16" ht="15" customHeight="1" outlineLevel="1">
      <c r="A290" s="3050"/>
      <c r="B290" s="3051"/>
      <c r="C290" s="3052"/>
      <c r="D290" s="1261">
        <v>2023</v>
      </c>
      <c r="E290" s="1271">
        <f t="shared" si="28"/>
        <v>0</v>
      </c>
      <c r="F290" s="1271">
        <v>0</v>
      </c>
      <c r="G290" s="1272">
        <v>0</v>
      </c>
      <c r="H290" s="1272">
        <v>0</v>
      </c>
      <c r="I290" s="1272">
        <v>0</v>
      </c>
      <c r="J290" s="3053"/>
      <c r="K290" s="3053"/>
    </row>
    <row r="291" spans="1:16" ht="15" customHeight="1" outlineLevel="1">
      <c r="A291" s="3050"/>
      <c r="B291" s="3051"/>
      <c r="C291" s="3052"/>
      <c r="D291" s="1261">
        <v>2024</v>
      </c>
      <c r="E291" s="1271">
        <f t="shared" si="28"/>
        <v>0</v>
      </c>
      <c r="F291" s="1271">
        <v>0</v>
      </c>
      <c r="G291" s="1272">
        <v>0</v>
      </c>
      <c r="H291" s="1272">
        <v>0</v>
      </c>
      <c r="I291" s="1272">
        <v>0</v>
      </c>
      <c r="J291" s="3053"/>
      <c r="K291" s="3053"/>
    </row>
    <row r="292" spans="1:16" ht="15" customHeight="1" outlineLevel="1">
      <c r="A292" s="3050"/>
      <c r="B292" s="3051"/>
      <c r="C292" s="3052"/>
      <c r="D292" s="1261">
        <v>2025</v>
      </c>
      <c r="E292" s="1271">
        <f t="shared" si="28"/>
        <v>0</v>
      </c>
      <c r="F292" s="1271">
        <v>0</v>
      </c>
      <c r="G292" s="1272">
        <v>0</v>
      </c>
      <c r="H292" s="1272">
        <v>0</v>
      </c>
      <c r="I292" s="1272">
        <v>0</v>
      </c>
      <c r="J292" s="3053"/>
      <c r="K292" s="3053"/>
    </row>
    <row r="293" spans="1:16" outlineLevel="1">
      <c r="A293" s="3050" t="s">
        <v>2935</v>
      </c>
      <c r="B293" s="3051" t="s">
        <v>3135</v>
      </c>
      <c r="C293" s="3052">
        <v>2022</v>
      </c>
      <c r="D293" s="1261" t="s">
        <v>8</v>
      </c>
      <c r="E293" s="1271">
        <f t="shared" si="28"/>
        <v>0</v>
      </c>
      <c r="F293" s="1271">
        <f>SUM(F294:F298)</f>
        <v>0</v>
      </c>
      <c r="G293" s="1271">
        <f>SUM(G294:G298)</f>
        <v>0</v>
      </c>
      <c r="H293" s="1271">
        <f>SUM(H294:H298)</f>
        <v>0</v>
      </c>
      <c r="I293" s="1271">
        <f>SUM(I294:I298)</f>
        <v>0</v>
      </c>
      <c r="J293" s="3053" t="s">
        <v>3134</v>
      </c>
      <c r="K293" s="3053" t="s">
        <v>3034</v>
      </c>
    </row>
    <row r="294" spans="1:16" outlineLevel="1">
      <c r="A294" s="3050"/>
      <c r="B294" s="3051"/>
      <c r="C294" s="3052"/>
      <c r="D294" s="1261">
        <v>2021</v>
      </c>
      <c r="E294" s="1271">
        <f t="shared" si="28"/>
        <v>0</v>
      </c>
      <c r="F294" s="1271">
        <v>0</v>
      </c>
      <c r="G294" s="1272">
        <v>0</v>
      </c>
      <c r="H294" s="1272">
        <v>0</v>
      </c>
      <c r="I294" s="1272">
        <v>0</v>
      </c>
      <c r="J294" s="3053"/>
      <c r="K294" s="3053"/>
    </row>
    <row r="295" spans="1:16" s="1258" customFormat="1" outlineLevel="1">
      <c r="A295" s="3050"/>
      <c r="B295" s="3051"/>
      <c r="C295" s="3052"/>
      <c r="D295" s="1261">
        <v>2022</v>
      </c>
      <c r="E295" s="1271">
        <f t="shared" si="28"/>
        <v>0</v>
      </c>
      <c r="F295" s="1271">
        <v>0</v>
      </c>
      <c r="G295" s="1272">
        <v>0</v>
      </c>
      <c r="H295" s="1272">
        <v>0</v>
      </c>
      <c r="I295" s="1272">
        <v>0</v>
      </c>
      <c r="J295" s="3053"/>
      <c r="K295" s="3053"/>
      <c r="M295" s="1259"/>
      <c r="N295" s="1260"/>
      <c r="O295" s="1260"/>
      <c r="P295" s="1260"/>
    </row>
    <row r="296" spans="1:16" s="1258" customFormat="1" outlineLevel="1">
      <c r="A296" s="3050"/>
      <c r="B296" s="3051"/>
      <c r="C296" s="3052"/>
      <c r="D296" s="1261">
        <v>2023</v>
      </c>
      <c r="E296" s="1271">
        <f t="shared" si="28"/>
        <v>0</v>
      </c>
      <c r="F296" s="1271">
        <v>0</v>
      </c>
      <c r="G296" s="1272">
        <v>0</v>
      </c>
      <c r="H296" s="1272">
        <v>0</v>
      </c>
      <c r="I296" s="1272">
        <v>0</v>
      </c>
      <c r="J296" s="3053"/>
      <c r="K296" s="3053"/>
      <c r="M296" s="1259"/>
      <c r="N296" s="1260"/>
      <c r="O296" s="1260"/>
      <c r="P296" s="1260"/>
    </row>
    <row r="297" spans="1:16" s="1258" customFormat="1" outlineLevel="1">
      <c r="A297" s="3050"/>
      <c r="B297" s="3051"/>
      <c r="C297" s="3052"/>
      <c r="D297" s="1261">
        <v>2024</v>
      </c>
      <c r="E297" s="1271">
        <f t="shared" si="28"/>
        <v>0</v>
      </c>
      <c r="F297" s="1271">
        <v>0</v>
      </c>
      <c r="G297" s="1272">
        <v>0</v>
      </c>
      <c r="H297" s="1272">
        <v>0</v>
      </c>
      <c r="I297" s="1272">
        <v>0</v>
      </c>
      <c r="J297" s="3053"/>
      <c r="K297" s="3053"/>
      <c r="M297" s="1259"/>
      <c r="N297" s="1260"/>
      <c r="O297" s="1260"/>
      <c r="P297" s="1260"/>
    </row>
    <row r="298" spans="1:16" s="1258" customFormat="1" outlineLevel="1">
      <c r="A298" s="3050"/>
      <c r="B298" s="3051"/>
      <c r="C298" s="3052"/>
      <c r="D298" s="1261">
        <v>2025</v>
      </c>
      <c r="E298" s="1271">
        <f t="shared" si="28"/>
        <v>0</v>
      </c>
      <c r="F298" s="1271">
        <v>0</v>
      </c>
      <c r="G298" s="1272">
        <v>0</v>
      </c>
      <c r="H298" s="1272">
        <v>0</v>
      </c>
      <c r="I298" s="1272">
        <v>0</v>
      </c>
      <c r="J298" s="3053"/>
      <c r="K298" s="3053"/>
      <c r="M298" s="1259"/>
      <c r="N298" s="1260"/>
      <c r="O298" s="1260"/>
      <c r="P298" s="1260"/>
    </row>
    <row r="299" spans="1:16" s="1258" customFormat="1" outlineLevel="1">
      <c r="A299" s="3050" t="s">
        <v>3133</v>
      </c>
      <c r="B299" s="3051" t="s">
        <v>3132</v>
      </c>
      <c r="C299" s="3052">
        <v>2022</v>
      </c>
      <c r="D299" s="1261" t="s">
        <v>8</v>
      </c>
      <c r="E299" s="1271">
        <f t="shared" si="28"/>
        <v>7114.4989999999998</v>
      </c>
      <c r="F299" s="1271">
        <f>SUM(F300:F304)</f>
        <v>7114.4989999999998</v>
      </c>
      <c r="G299" s="1271">
        <f>SUM(G300:G304)</f>
        <v>0</v>
      </c>
      <c r="H299" s="1271">
        <f>SUM(H300:H304)</f>
        <v>0</v>
      </c>
      <c r="I299" s="1271">
        <f>SUM(I300:I304)</f>
        <v>0</v>
      </c>
      <c r="J299" s="3053" t="s">
        <v>3131</v>
      </c>
      <c r="K299" s="3053" t="s">
        <v>3034</v>
      </c>
      <c r="M299" s="1259"/>
      <c r="N299" s="1260"/>
      <c r="O299" s="1260"/>
      <c r="P299" s="1260"/>
    </row>
    <row r="300" spans="1:16" s="1258" customFormat="1" outlineLevel="1">
      <c r="A300" s="3050"/>
      <c r="B300" s="3051"/>
      <c r="C300" s="3052"/>
      <c r="D300" s="1261">
        <v>2021</v>
      </c>
      <c r="E300" s="1271">
        <f t="shared" si="28"/>
        <v>0</v>
      </c>
      <c r="F300" s="1271">
        <v>0</v>
      </c>
      <c r="G300" s="1272">
        <v>0</v>
      </c>
      <c r="H300" s="1272">
        <v>0</v>
      </c>
      <c r="I300" s="1272">
        <v>0</v>
      </c>
      <c r="J300" s="3053"/>
      <c r="K300" s="3053"/>
      <c r="M300" s="1259"/>
      <c r="N300" s="1260"/>
      <c r="O300" s="1260"/>
      <c r="P300" s="1260"/>
    </row>
    <row r="301" spans="1:16" s="1258" customFormat="1" outlineLevel="1">
      <c r="A301" s="3050"/>
      <c r="B301" s="3051"/>
      <c r="C301" s="3052"/>
      <c r="D301" s="1261">
        <v>2022</v>
      </c>
      <c r="E301" s="1271">
        <f t="shared" si="28"/>
        <v>3486.1039999999998</v>
      </c>
      <c r="F301" s="1271">
        <f>1682.37+32.07+1771.664</f>
        <v>3486.1039999999998</v>
      </c>
      <c r="G301" s="1272">
        <v>0</v>
      </c>
      <c r="H301" s="1272">
        <v>0</v>
      </c>
      <c r="I301" s="1272">
        <v>0</v>
      </c>
      <c r="J301" s="3053"/>
      <c r="K301" s="3053"/>
      <c r="M301" s="1259"/>
      <c r="N301" s="1260"/>
      <c r="O301" s="1260"/>
      <c r="P301" s="1260"/>
    </row>
    <row r="302" spans="1:16" s="1451" customFormat="1" outlineLevel="1">
      <c r="A302" s="3050"/>
      <c r="B302" s="3051"/>
      <c r="C302" s="3052"/>
      <c r="D302" s="1455">
        <v>2023</v>
      </c>
      <c r="E302" s="1456">
        <f t="shared" si="28"/>
        <v>3628.395</v>
      </c>
      <c r="F302" s="1456">
        <v>3628.395</v>
      </c>
      <c r="G302" s="1457">
        <v>0</v>
      </c>
      <c r="H302" s="1457">
        <v>0</v>
      </c>
      <c r="I302" s="1457">
        <v>0</v>
      </c>
      <c r="J302" s="3053"/>
      <c r="K302" s="3053"/>
      <c r="M302" s="1452"/>
      <c r="N302" s="1454"/>
      <c r="O302" s="1454"/>
      <c r="P302" s="1454"/>
    </row>
    <row r="303" spans="1:16" s="1258" customFormat="1" outlineLevel="1">
      <c r="A303" s="3050"/>
      <c r="B303" s="3051"/>
      <c r="C303" s="3052"/>
      <c r="D303" s="1261">
        <v>2024</v>
      </c>
      <c r="E303" s="1271">
        <f t="shared" si="28"/>
        <v>0</v>
      </c>
      <c r="F303" s="1271">
        <v>0</v>
      </c>
      <c r="G303" s="1272">
        <v>0</v>
      </c>
      <c r="H303" s="1272">
        <v>0</v>
      </c>
      <c r="I303" s="1272">
        <v>0</v>
      </c>
      <c r="J303" s="3053"/>
      <c r="K303" s="3053"/>
      <c r="M303" s="1259"/>
      <c r="N303" s="1260"/>
      <c r="O303" s="1260"/>
      <c r="P303" s="1260"/>
    </row>
    <row r="304" spans="1:16" s="1258" customFormat="1" outlineLevel="1">
      <c r="A304" s="3050"/>
      <c r="B304" s="3051"/>
      <c r="C304" s="3052"/>
      <c r="D304" s="1261">
        <v>2025</v>
      </c>
      <c r="E304" s="1271">
        <f t="shared" si="28"/>
        <v>0</v>
      </c>
      <c r="F304" s="1271">
        <v>0</v>
      </c>
      <c r="G304" s="1272">
        <v>0</v>
      </c>
      <c r="H304" s="1272">
        <v>0</v>
      </c>
      <c r="I304" s="1272">
        <v>0</v>
      </c>
      <c r="J304" s="3053"/>
      <c r="K304" s="3053"/>
      <c r="M304" s="1259"/>
      <c r="N304" s="1260"/>
      <c r="O304" s="1260"/>
      <c r="P304" s="1260"/>
    </row>
    <row r="305" spans="1:16" s="1258" customFormat="1" ht="20.100000000000001" customHeight="1" outlineLevel="1">
      <c r="A305" s="3061" t="s">
        <v>3130</v>
      </c>
      <c r="B305" s="3079" t="s">
        <v>3129</v>
      </c>
      <c r="C305" s="3082" t="s">
        <v>2989</v>
      </c>
      <c r="D305" s="1261" t="s">
        <v>8</v>
      </c>
      <c r="E305" s="1271">
        <f>SUM(E306:E310)</f>
        <v>16200.621999999999</v>
      </c>
      <c r="F305" s="1272">
        <f>SUM(F306:F310)</f>
        <v>16200.621999999999</v>
      </c>
      <c r="G305" s="1272">
        <f>SUM(G306:G310)</f>
        <v>0</v>
      </c>
      <c r="H305" s="1272">
        <f>SUM(H306:H310)</f>
        <v>0</v>
      </c>
      <c r="I305" s="1272">
        <f>SUM(I306:I310)</f>
        <v>0</v>
      </c>
      <c r="J305" s="3079" t="s">
        <v>3128</v>
      </c>
      <c r="K305" s="3064" t="s">
        <v>3127</v>
      </c>
      <c r="M305" s="1259"/>
      <c r="N305" s="1260"/>
      <c r="O305" s="1260"/>
      <c r="P305" s="1260"/>
    </row>
    <row r="306" spans="1:16" s="1258" customFormat="1" ht="20.100000000000001" customHeight="1" outlineLevel="1">
      <c r="A306" s="3062"/>
      <c r="B306" s="3085"/>
      <c r="C306" s="3083"/>
      <c r="D306" s="1261">
        <v>2021</v>
      </c>
      <c r="E306" s="1271">
        <f t="shared" ref="E306:E310" si="29">SUM(F306:I306)</f>
        <v>0</v>
      </c>
      <c r="F306" s="1272">
        <v>0</v>
      </c>
      <c r="G306" s="1272">
        <v>0</v>
      </c>
      <c r="H306" s="1272">
        <v>0</v>
      </c>
      <c r="I306" s="1272">
        <v>0</v>
      </c>
      <c r="J306" s="3085"/>
      <c r="K306" s="3065"/>
      <c r="M306" s="1259"/>
      <c r="N306" s="1260"/>
      <c r="O306" s="1260"/>
      <c r="P306" s="1260"/>
    </row>
    <row r="307" spans="1:16" s="1258" customFormat="1" ht="20.100000000000001" customHeight="1" outlineLevel="1">
      <c r="A307" s="3062"/>
      <c r="B307" s="3085"/>
      <c r="C307" s="3083"/>
      <c r="D307" s="1261">
        <v>2022</v>
      </c>
      <c r="E307" s="1271">
        <f t="shared" si="29"/>
        <v>0</v>
      </c>
      <c r="F307" s="1272">
        <v>0</v>
      </c>
      <c r="G307" s="1272">
        <v>0</v>
      </c>
      <c r="H307" s="1272">
        <v>0</v>
      </c>
      <c r="I307" s="1272">
        <v>0</v>
      </c>
      <c r="J307" s="3085"/>
      <c r="K307" s="3065"/>
      <c r="M307" s="1259"/>
      <c r="N307" s="1260"/>
      <c r="O307" s="1260"/>
      <c r="P307" s="1260"/>
    </row>
    <row r="308" spans="1:16" s="1451" customFormat="1" ht="20.100000000000001" customHeight="1" outlineLevel="1">
      <c r="A308" s="3062"/>
      <c r="B308" s="3085"/>
      <c r="C308" s="3083"/>
      <c r="D308" s="1455">
        <v>2023</v>
      </c>
      <c r="E308" s="1456">
        <f t="shared" si="29"/>
        <v>16200.621999999999</v>
      </c>
      <c r="F308" s="1457">
        <v>16200.621999999999</v>
      </c>
      <c r="G308" s="1457">
        <v>0</v>
      </c>
      <c r="H308" s="1457">
        <v>0</v>
      </c>
      <c r="I308" s="1457">
        <v>0</v>
      </c>
      <c r="J308" s="3085"/>
      <c r="K308" s="3065"/>
      <c r="M308" s="1452"/>
      <c r="N308" s="1454"/>
      <c r="O308" s="1454"/>
      <c r="P308" s="1454"/>
    </row>
    <row r="309" spans="1:16" s="1258" customFormat="1" ht="20.100000000000001" customHeight="1" outlineLevel="1">
      <c r="A309" s="3062"/>
      <c r="B309" s="3085"/>
      <c r="C309" s="3083"/>
      <c r="D309" s="1261">
        <v>2024</v>
      </c>
      <c r="E309" s="1271">
        <f t="shared" si="29"/>
        <v>0</v>
      </c>
      <c r="F309" s="1272">
        <v>0</v>
      </c>
      <c r="G309" s="1272">
        <v>0</v>
      </c>
      <c r="H309" s="1272">
        <v>0</v>
      </c>
      <c r="I309" s="1272">
        <v>0</v>
      </c>
      <c r="J309" s="3085"/>
      <c r="K309" s="3065"/>
      <c r="M309" s="1259"/>
      <c r="N309" s="1260"/>
      <c r="O309" s="1260"/>
      <c r="P309" s="1260"/>
    </row>
    <row r="310" spans="1:16" s="1258" customFormat="1" ht="20.100000000000001" customHeight="1" outlineLevel="1">
      <c r="A310" s="3063"/>
      <c r="B310" s="3086"/>
      <c r="C310" s="3084"/>
      <c r="D310" s="1261">
        <v>2025</v>
      </c>
      <c r="E310" s="1271">
        <f t="shared" si="29"/>
        <v>0</v>
      </c>
      <c r="F310" s="1272">
        <v>0</v>
      </c>
      <c r="G310" s="1272">
        <v>0</v>
      </c>
      <c r="H310" s="1272">
        <v>0</v>
      </c>
      <c r="I310" s="1272">
        <v>0</v>
      </c>
      <c r="J310" s="3086"/>
      <c r="K310" s="3066"/>
      <c r="M310" s="1259"/>
      <c r="N310" s="1260"/>
      <c r="O310" s="1260"/>
      <c r="P310" s="1260"/>
    </row>
    <row r="311" spans="1:16" s="1258" customFormat="1" ht="36.75" customHeight="1" outlineLevel="1">
      <c r="A311" s="3054" t="s">
        <v>3126</v>
      </c>
      <c r="B311" s="3055" t="s">
        <v>2936</v>
      </c>
      <c r="C311" s="3056" t="s">
        <v>2989</v>
      </c>
      <c r="D311" s="1264" t="s">
        <v>8</v>
      </c>
      <c r="E311" s="1265">
        <f t="shared" si="28"/>
        <v>305334.17021000001</v>
      </c>
      <c r="F311" s="1265">
        <f>SUM(F312:F316)</f>
        <v>219800</v>
      </c>
      <c r="G311" s="1265">
        <f>SUM(G312:G316)</f>
        <v>0</v>
      </c>
      <c r="H311" s="1265">
        <f>SUM(H312:H316)</f>
        <v>85534.170209999997</v>
      </c>
      <c r="I311" s="1265">
        <f>SUM(I312:I316)</f>
        <v>0</v>
      </c>
      <c r="J311" s="3058" t="s">
        <v>3125</v>
      </c>
      <c r="K311" s="3058" t="s">
        <v>2852</v>
      </c>
      <c r="M311" s="1259"/>
      <c r="N311" s="1260"/>
      <c r="O311" s="1260"/>
      <c r="P311" s="1260"/>
    </row>
    <row r="312" spans="1:16" s="1258" customFormat="1" ht="30.75" customHeight="1" outlineLevel="1">
      <c r="A312" s="3054"/>
      <c r="B312" s="3055"/>
      <c r="C312" s="3056"/>
      <c r="D312" s="1264">
        <v>2021</v>
      </c>
      <c r="E312" s="1265">
        <f t="shared" si="28"/>
        <v>54717.700210000003</v>
      </c>
      <c r="F312" s="1265">
        <f t="shared" ref="F312:I316" si="30">F324+F318</f>
        <v>41400</v>
      </c>
      <c r="G312" s="1265">
        <f t="shared" si="30"/>
        <v>0</v>
      </c>
      <c r="H312" s="1265">
        <f t="shared" si="30"/>
        <v>13317.700210000001</v>
      </c>
      <c r="I312" s="1265">
        <f t="shared" si="30"/>
        <v>0</v>
      </c>
      <c r="J312" s="3058"/>
      <c r="K312" s="3058"/>
      <c r="M312" s="1259"/>
      <c r="N312" s="1260"/>
      <c r="O312" s="1260"/>
      <c r="P312" s="1260"/>
    </row>
    <row r="313" spans="1:16" s="1258" customFormat="1" ht="40.5" customHeight="1" outlineLevel="1">
      <c r="A313" s="3054"/>
      <c r="B313" s="3055"/>
      <c r="C313" s="3056"/>
      <c r="D313" s="1264">
        <v>2022</v>
      </c>
      <c r="E313" s="1265">
        <f t="shared" si="28"/>
        <v>67577.179999999993</v>
      </c>
      <c r="F313" s="1265">
        <f t="shared" si="30"/>
        <v>47800</v>
      </c>
      <c r="G313" s="1265">
        <f t="shared" si="30"/>
        <v>0</v>
      </c>
      <c r="H313" s="1265">
        <f t="shared" si="30"/>
        <v>19777.18</v>
      </c>
      <c r="I313" s="1265">
        <f t="shared" si="30"/>
        <v>0</v>
      </c>
      <c r="J313" s="3058"/>
      <c r="K313" s="3058"/>
      <c r="M313" s="1259"/>
      <c r="N313" s="1260"/>
      <c r="O313" s="1260"/>
      <c r="P313" s="1260"/>
    </row>
    <row r="314" spans="1:16" s="1451" customFormat="1" ht="35.25" customHeight="1" outlineLevel="1">
      <c r="A314" s="3054"/>
      <c r="B314" s="3055"/>
      <c r="C314" s="3056"/>
      <c r="D314" s="1449">
        <v>2023</v>
      </c>
      <c r="E314" s="1450">
        <f t="shared" si="28"/>
        <v>67577.23</v>
      </c>
      <c r="F314" s="1450">
        <f t="shared" si="30"/>
        <v>47800</v>
      </c>
      <c r="G314" s="1450">
        <f t="shared" si="30"/>
        <v>0</v>
      </c>
      <c r="H314" s="1450">
        <f t="shared" si="30"/>
        <v>19777.23</v>
      </c>
      <c r="I314" s="1450">
        <f t="shared" si="30"/>
        <v>0</v>
      </c>
      <c r="J314" s="3058"/>
      <c r="K314" s="3058"/>
      <c r="M314" s="1452"/>
      <c r="N314" s="1454"/>
      <c r="O314" s="1454"/>
      <c r="P314" s="1454"/>
    </row>
    <row r="315" spans="1:16" s="1258" customFormat="1" ht="30" customHeight="1" outlineLevel="1">
      <c r="A315" s="3054"/>
      <c r="B315" s="3055"/>
      <c r="C315" s="3056"/>
      <c r="D315" s="1264">
        <v>2024</v>
      </c>
      <c r="E315" s="1265">
        <f t="shared" si="28"/>
        <v>57731.03</v>
      </c>
      <c r="F315" s="1265">
        <f t="shared" si="30"/>
        <v>41400</v>
      </c>
      <c r="G315" s="1265">
        <f t="shared" si="30"/>
        <v>0</v>
      </c>
      <c r="H315" s="1265">
        <f t="shared" si="30"/>
        <v>16331.03</v>
      </c>
      <c r="I315" s="1265">
        <f t="shared" si="30"/>
        <v>0</v>
      </c>
      <c r="J315" s="3058"/>
      <c r="K315" s="3058"/>
      <c r="M315" s="1259"/>
      <c r="N315" s="1260"/>
      <c r="O315" s="1260"/>
      <c r="P315" s="1260"/>
    </row>
    <row r="316" spans="1:16" s="1258" customFormat="1" ht="33.75" customHeight="1" outlineLevel="1">
      <c r="A316" s="3054"/>
      <c r="B316" s="3055"/>
      <c r="C316" s="3056"/>
      <c r="D316" s="1264">
        <v>2025</v>
      </c>
      <c r="E316" s="1265">
        <f t="shared" si="28"/>
        <v>57731.03</v>
      </c>
      <c r="F316" s="1265">
        <f t="shared" si="30"/>
        <v>41400</v>
      </c>
      <c r="G316" s="1265">
        <f t="shared" si="30"/>
        <v>0</v>
      </c>
      <c r="H316" s="1265">
        <f t="shared" si="30"/>
        <v>16331.03</v>
      </c>
      <c r="I316" s="1265">
        <f t="shared" si="30"/>
        <v>0</v>
      </c>
      <c r="J316" s="3058"/>
      <c r="K316" s="3058"/>
      <c r="M316" s="1259"/>
      <c r="N316" s="1260"/>
      <c r="O316" s="1260"/>
      <c r="P316" s="1260"/>
    </row>
    <row r="317" spans="1:16" s="1258" customFormat="1" ht="17.100000000000001" customHeight="1" outlineLevel="1">
      <c r="A317" s="3061" t="s">
        <v>3124</v>
      </c>
      <c r="B317" s="3079" t="s">
        <v>2937</v>
      </c>
      <c r="C317" s="3082">
        <v>2021</v>
      </c>
      <c r="D317" s="1261" t="s">
        <v>8</v>
      </c>
      <c r="E317" s="1271">
        <f>SUM(E318:E322)</f>
        <v>29493.268840000001</v>
      </c>
      <c r="F317" s="1272">
        <f>SUM(F318:F322)</f>
        <v>19200</v>
      </c>
      <c r="G317" s="1272">
        <f>SUM(G318:G322)</f>
        <v>0</v>
      </c>
      <c r="H317" s="1272">
        <f>SUM(H318:H322)</f>
        <v>10293.268840000001</v>
      </c>
      <c r="I317" s="1272">
        <f>SUM(I318:I322)</f>
        <v>0</v>
      </c>
      <c r="J317" s="3064" t="s">
        <v>2818</v>
      </c>
      <c r="K317" s="3064" t="s">
        <v>2852</v>
      </c>
      <c r="M317" s="1259"/>
      <c r="N317" s="1260"/>
      <c r="O317" s="1260"/>
      <c r="P317" s="1260"/>
    </row>
    <row r="318" spans="1:16" s="1258" customFormat="1" ht="27" customHeight="1" outlineLevel="1">
      <c r="A318" s="3062"/>
      <c r="B318" s="3085"/>
      <c r="C318" s="3083"/>
      <c r="D318" s="1261">
        <v>2021</v>
      </c>
      <c r="E318" s="1271">
        <f t="shared" ref="E318:E322" si="31">SUM(F318:I318)</f>
        <v>9800.9188400000003</v>
      </c>
      <c r="F318" s="1272">
        <v>6400</v>
      </c>
      <c r="G318" s="1272">
        <v>0</v>
      </c>
      <c r="H318" s="1272">
        <v>3400.9188399999998</v>
      </c>
      <c r="I318" s="1272">
        <v>0</v>
      </c>
      <c r="J318" s="3065"/>
      <c r="K318" s="3065"/>
      <c r="M318" s="1259"/>
      <c r="N318" s="1260"/>
      <c r="O318" s="1260"/>
      <c r="P318" s="1260"/>
    </row>
    <row r="319" spans="1:16" s="1258" customFormat="1" ht="23.25" customHeight="1" outlineLevel="1">
      <c r="A319" s="3062"/>
      <c r="B319" s="3085"/>
      <c r="C319" s="3083"/>
      <c r="D319" s="1261">
        <v>2022</v>
      </c>
      <c r="E319" s="1271">
        <f t="shared" si="31"/>
        <v>9846.15</v>
      </c>
      <c r="F319" s="1272">
        <v>6400</v>
      </c>
      <c r="G319" s="1272">
        <v>0</v>
      </c>
      <c r="H319" s="1272">
        <v>3446.15</v>
      </c>
      <c r="I319" s="1272">
        <v>0</v>
      </c>
      <c r="J319" s="3065"/>
      <c r="K319" s="3065"/>
      <c r="M319" s="1259"/>
      <c r="N319" s="1260"/>
      <c r="O319" s="1260"/>
      <c r="P319" s="1260"/>
    </row>
    <row r="320" spans="1:16" s="1451" customFormat="1" ht="25.5" customHeight="1" outlineLevel="1">
      <c r="A320" s="3062"/>
      <c r="B320" s="3085"/>
      <c r="C320" s="3083"/>
      <c r="D320" s="1455">
        <v>2023</v>
      </c>
      <c r="E320" s="1456">
        <f t="shared" si="31"/>
        <v>9846.2000000000007</v>
      </c>
      <c r="F320" s="1457">
        <v>6400</v>
      </c>
      <c r="G320" s="1457">
        <v>0</v>
      </c>
      <c r="H320" s="1457">
        <v>3446.2</v>
      </c>
      <c r="I320" s="1457">
        <v>0</v>
      </c>
      <c r="J320" s="3065"/>
      <c r="K320" s="3065"/>
      <c r="M320" s="1452"/>
      <c r="N320" s="1454"/>
      <c r="O320" s="1454"/>
      <c r="P320" s="1454"/>
    </row>
    <row r="321" spans="1:16" s="1258" customFormat="1" ht="25.5" customHeight="1" outlineLevel="1">
      <c r="A321" s="3062"/>
      <c r="B321" s="3085"/>
      <c r="C321" s="3083"/>
      <c r="D321" s="1261">
        <v>2024</v>
      </c>
      <c r="E321" s="1271">
        <f t="shared" si="31"/>
        <v>0</v>
      </c>
      <c r="F321" s="1272">
        <v>0</v>
      </c>
      <c r="G321" s="1272">
        <v>0</v>
      </c>
      <c r="H321" s="1272">
        <v>0</v>
      </c>
      <c r="I321" s="1272">
        <v>0</v>
      </c>
      <c r="J321" s="3065"/>
      <c r="K321" s="3065"/>
      <c r="M321" s="1259"/>
      <c r="N321" s="1260"/>
      <c r="O321" s="1260"/>
      <c r="P321" s="1260"/>
    </row>
    <row r="322" spans="1:16" s="1258" customFormat="1" ht="21.75" customHeight="1" outlineLevel="1">
      <c r="A322" s="3063"/>
      <c r="B322" s="3086"/>
      <c r="C322" s="3084"/>
      <c r="D322" s="1261">
        <v>2025</v>
      </c>
      <c r="E322" s="1271">
        <f t="shared" si="31"/>
        <v>0</v>
      </c>
      <c r="F322" s="1272">
        <v>0</v>
      </c>
      <c r="G322" s="1272">
        <v>0</v>
      </c>
      <c r="H322" s="1272">
        <v>0</v>
      </c>
      <c r="I322" s="1272">
        <v>0</v>
      </c>
      <c r="J322" s="3066"/>
      <c r="K322" s="3066"/>
      <c r="M322" s="1259"/>
      <c r="N322" s="1260"/>
      <c r="O322" s="1260"/>
      <c r="P322" s="1260"/>
    </row>
    <row r="323" spans="1:16" s="1258" customFormat="1" ht="20.100000000000001" customHeight="1" outlineLevel="1">
      <c r="A323" s="3061" t="s">
        <v>3123</v>
      </c>
      <c r="B323" s="3079" t="s">
        <v>2819</v>
      </c>
      <c r="C323" s="3082" t="s">
        <v>2989</v>
      </c>
      <c r="D323" s="1261" t="s">
        <v>8</v>
      </c>
      <c r="E323" s="1271">
        <f>SUM(E324:E328)</f>
        <v>275840.90136999998</v>
      </c>
      <c r="F323" s="1272">
        <f>SUM(F324:F328)</f>
        <v>200600</v>
      </c>
      <c r="G323" s="1272">
        <f>SUM(G324:G328)</f>
        <v>0</v>
      </c>
      <c r="H323" s="1272">
        <f>SUM(H324:H328)</f>
        <v>75240.901370000007</v>
      </c>
      <c r="I323" s="1272">
        <f>SUM(I324:I328)</f>
        <v>0</v>
      </c>
      <c r="J323" s="3064" t="s">
        <v>2820</v>
      </c>
      <c r="K323" s="3064" t="s">
        <v>2852</v>
      </c>
      <c r="M323" s="1259"/>
      <c r="N323" s="1260"/>
      <c r="O323" s="1260"/>
      <c r="P323" s="1260"/>
    </row>
    <row r="324" spans="1:16" s="1258" customFormat="1" ht="20.100000000000001" customHeight="1" outlineLevel="1">
      <c r="A324" s="3062"/>
      <c r="B324" s="3085"/>
      <c r="C324" s="3083"/>
      <c r="D324" s="1261">
        <v>2021</v>
      </c>
      <c r="E324" s="1271">
        <f t="shared" ref="E324:E358" si="32">SUM(F324:I324)</f>
        <v>44916.781369999997</v>
      </c>
      <c r="F324" s="1272">
        <v>35000</v>
      </c>
      <c r="G324" s="1272">
        <v>0</v>
      </c>
      <c r="H324" s="1272">
        <v>9916.7813700000006</v>
      </c>
      <c r="I324" s="1272">
        <v>0</v>
      </c>
      <c r="J324" s="3065"/>
      <c r="K324" s="3065"/>
      <c r="M324" s="1259"/>
      <c r="N324" s="1260"/>
      <c r="O324" s="1260"/>
      <c r="P324" s="1260"/>
    </row>
    <row r="325" spans="1:16" s="1258" customFormat="1" ht="20.100000000000001" customHeight="1" outlineLevel="1">
      <c r="A325" s="3062"/>
      <c r="B325" s="3085"/>
      <c r="C325" s="3083"/>
      <c r="D325" s="1261">
        <v>2022</v>
      </c>
      <c r="E325" s="1271">
        <f t="shared" si="32"/>
        <v>57731.03</v>
      </c>
      <c r="F325" s="1272">
        <v>41400</v>
      </c>
      <c r="G325" s="1272">
        <v>0</v>
      </c>
      <c r="H325" s="1272">
        <v>16331.03</v>
      </c>
      <c r="I325" s="1272">
        <v>0</v>
      </c>
      <c r="J325" s="3065"/>
      <c r="K325" s="3065"/>
      <c r="M325" s="1259"/>
      <c r="N325" s="1260"/>
      <c r="O325" s="1260"/>
      <c r="P325" s="1260"/>
    </row>
    <row r="326" spans="1:16" s="1451" customFormat="1" ht="20.100000000000001" customHeight="1" outlineLevel="1">
      <c r="A326" s="3062"/>
      <c r="B326" s="3085"/>
      <c r="C326" s="3083"/>
      <c r="D326" s="1455">
        <v>2023</v>
      </c>
      <c r="E326" s="1456">
        <f t="shared" si="32"/>
        <v>57731.03</v>
      </c>
      <c r="F326" s="1457">
        <v>41400</v>
      </c>
      <c r="G326" s="1457">
        <v>0</v>
      </c>
      <c r="H326" s="1457">
        <v>16331.03</v>
      </c>
      <c r="I326" s="1457">
        <v>0</v>
      </c>
      <c r="J326" s="3065"/>
      <c r="K326" s="3065"/>
      <c r="M326" s="1452"/>
      <c r="N326" s="1454"/>
      <c r="O326" s="1454"/>
      <c r="P326" s="1454"/>
    </row>
    <row r="327" spans="1:16" s="1258" customFormat="1" ht="20.100000000000001" customHeight="1" outlineLevel="1">
      <c r="A327" s="3062"/>
      <c r="B327" s="3085"/>
      <c r="C327" s="3083"/>
      <c r="D327" s="1261">
        <v>2024</v>
      </c>
      <c r="E327" s="1271">
        <f t="shared" si="32"/>
        <v>57731.03</v>
      </c>
      <c r="F327" s="1272">
        <v>41400</v>
      </c>
      <c r="G327" s="1272">
        <v>0</v>
      </c>
      <c r="H327" s="1272">
        <v>16331.03</v>
      </c>
      <c r="I327" s="1272">
        <v>0</v>
      </c>
      <c r="J327" s="3065"/>
      <c r="K327" s="3065"/>
      <c r="M327" s="1259"/>
      <c r="N327" s="1260"/>
      <c r="O327" s="1260"/>
      <c r="P327" s="1260"/>
    </row>
    <row r="328" spans="1:16" s="1258" customFormat="1" ht="20.100000000000001" customHeight="1" outlineLevel="1">
      <c r="A328" s="3063"/>
      <c r="B328" s="3086"/>
      <c r="C328" s="3084"/>
      <c r="D328" s="1261">
        <v>2025</v>
      </c>
      <c r="E328" s="1271">
        <f t="shared" si="32"/>
        <v>57731.03</v>
      </c>
      <c r="F328" s="1272">
        <v>41400</v>
      </c>
      <c r="G328" s="1272">
        <v>0</v>
      </c>
      <c r="H328" s="1272">
        <v>16331.03</v>
      </c>
      <c r="I328" s="1272">
        <v>0</v>
      </c>
      <c r="J328" s="3066"/>
      <c r="K328" s="3066"/>
      <c r="M328" s="1259"/>
      <c r="N328" s="1260"/>
      <c r="O328" s="1260"/>
      <c r="P328" s="1260"/>
    </row>
    <row r="329" spans="1:16" s="1258" customFormat="1" ht="15.75" customHeight="1" outlineLevel="1">
      <c r="A329" s="3054" t="s">
        <v>3122</v>
      </c>
      <c r="B329" s="3055" t="s">
        <v>631</v>
      </c>
      <c r="C329" s="3056" t="s">
        <v>3115</v>
      </c>
      <c r="D329" s="1264" t="s">
        <v>8</v>
      </c>
      <c r="E329" s="1265">
        <f t="shared" si="32"/>
        <v>80809.751939999987</v>
      </c>
      <c r="F329" s="1265">
        <f>SUM(F330:F334)</f>
        <v>9396.9685700000009</v>
      </c>
      <c r="G329" s="1265">
        <f>SUM(G330:G334)</f>
        <v>71412.78336999999</v>
      </c>
      <c r="H329" s="1265">
        <f>SUM(H330:H334)</f>
        <v>0</v>
      </c>
      <c r="I329" s="1265">
        <f>SUM(I330:I334)</f>
        <v>0</v>
      </c>
      <c r="J329" s="3058" t="s">
        <v>3121</v>
      </c>
      <c r="K329" s="3058" t="s">
        <v>3066</v>
      </c>
      <c r="M329" s="1259"/>
      <c r="N329" s="1260"/>
      <c r="O329" s="1260"/>
      <c r="P329" s="1260"/>
    </row>
    <row r="330" spans="1:16" s="1258" customFormat="1" outlineLevel="1">
      <c r="A330" s="3054"/>
      <c r="B330" s="3055"/>
      <c r="C330" s="3056"/>
      <c r="D330" s="1264">
        <v>2021</v>
      </c>
      <c r="E330" s="1265">
        <f t="shared" si="32"/>
        <v>27296.712679999997</v>
      </c>
      <c r="F330" s="1270">
        <f t="shared" ref="F330:I334" si="33">F336+F342</f>
        <v>3105.6126800000002</v>
      </c>
      <c r="G330" s="1270">
        <f t="shared" si="33"/>
        <v>24191.1</v>
      </c>
      <c r="H330" s="1270">
        <f t="shared" si="33"/>
        <v>0</v>
      </c>
      <c r="I330" s="1270">
        <f t="shared" si="33"/>
        <v>0</v>
      </c>
      <c r="J330" s="3058"/>
      <c r="K330" s="3058"/>
      <c r="M330" s="1259"/>
      <c r="N330" s="1260"/>
      <c r="O330" s="1260"/>
      <c r="P330" s="1260"/>
    </row>
    <row r="331" spans="1:16" s="1258" customFormat="1" outlineLevel="1">
      <c r="A331" s="3054"/>
      <c r="B331" s="3055"/>
      <c r="C331" s="3056"/>
      <c r="D331" s="1264">
        <v>2022</v>
      </c>
      <c r="E331" s="1265">
        <f t="shared" si="32"/>
        <v>18900.377</v>
      </c>
      <c r="F331" s="1270">
        <f t="shared" si="33"/>
        <v>2711.0770000000002</v>
      </c>
      <c r="G331" s="1270">
        <f t="shared" si="33"/>
        <v>16189.3</v>
      </c>
      <c r="H331" s="1270">
        <f t="shared" si="33"/>
        <v>0</v>
      </c>
      <c r="I331" s="1270">
        <f t="shared" si="33"/>
        <v>0</v>
      </c>
      <c r="J331" s="3058"/>
      <c r="K331" s="3058"/>
      <c r="M331" s="1259"/>
      <c r="N331" s="1260"/>
      <c r="O331" s="1260"/>
      <c r="P331" s="1260"/>
    </row>
    <row r="332" spans="1:16" s="1451" customFormat="1" outlineLevel="1">
      <c r="A332" s="3054"/>
      <c r="B332" s="3055"/>
      <c r="C332" s="3056"/>
      <c r="D332" s="1449">
        <v>2023</v>
      </c>
      <c r="E332" s="1450">
        <f t="shared" si="32"/>
        <v>11802.74826</v>
      </c>
      <c r="F332" s="1483">
        <f t="shared" si="33"/>
        <v>708.16489000000001</v>
      </c>
      <c r="G332" s="1483">
        <f t="shared" si="33"/>
        <v>11094.58337</v>
      </c>
      <c r="H332" s="1483">
        <f t="shared" si="33"/>
        <v>0</v>
      </c>
      <c r="I332" s="1483">
        <f t="shared" si="33"/>
        <v>0</v>
      </c>
      <c r="J332" s="3058"/>
      <c r="K332" s="3058"/>
      <c r="M332" s="1452"/>
      <c r="N332" s="1454"/>
      <c r="O332" s="1454"/>
      <c r="P332" s="1454"/>
    </row>
    <row r="333" spans="1:16" s="1258" customFormat="1" outlineLevel="1">
      <c r="A333" s="3054"/>
      <c r="B333" s="3055"/>
      <c r="C333" s="3056"/>
      <c r="D333" s="1264">
        <v>2024</v>
      </c>
      <c r="E333" s="1265">
        <f t="shared" si="32"/>
        <v>22809.914000000001</v>
      </c>
      <c r="F333" s="1270">
        <f t="shared" si="33"/>
        <v>2872.114</v>
      </c>
      <c r="G333" s="1270">
        <f t="shared" si="33"/>
        <v>19937.8</v>
      </c>
      <c r="H333" s="1270">
        <f t="shared" si="33"/>
        <v>0</v>
      </c>
      <c r="I333" s="1270">
        <f t="shared" si="33"/>
        <v>0</v>
      </c>
      <c r="J333" s="3058"/>
      <c r="K333" s="3058"/>
      <c r="M333" s="1259"/>
      <c r="N333" s="1260"/>
      <c r="O333" s="1260"/>
      <c r="P333" s="1260"/>
    </row>
    <row r="334" spans="1:16" s="1258" customFormat="1" outlineLevel="1">
      <c r="A334" s="3054"/>
      <c r="B334" s="3055"/>
      <c r="C334" s="3056"/>
      <c r="D334" s="1264">
        <v>2025</v>
      </c>
      <c r="E334" s="1265">
        <f t="shared" si="32"/>
        <v>0</v>
      </c>
      <c r="F334" s="1270">
        <f t="shared" si="33"/>
        <v>0</v>
      </c>
      <c r="G334" s="1270">
        <f t="shared" si="33"/>
        <v>0</v>
      </c>
      <c r="H334" s="1270">
        <f t="shared" si="33"/>
        <v>0</v>
      </c>
      <c r="I334" s="1270">
        <f t="shared" si="33"/>
        <v>0</v>
      </c>
      <c r="J334" s="3058"/>
      <c r="K334" s="3058"/>
      <c r="M334" s="1259"/>
      <c r="N334" s="1260"/>
      <c r="O334" s="1260"/>
      <c r="P334" s="1260"/>
    </row>
    <row r="335" spans="1:16" s="1258" customFormat="1" ht="19.5" customHeight="1" outlineLevel="1">
      <c r="A335" s="3050" t="s">
        <v>3120</v>
      </c>
      <c r="B335" s="3051" t="s">
        <v>3119</v>
      </c>
      <c r="C335" s="3052" t="s">
        <v>3115</v>
      </c>
      <c r="D335" s="1261" t="s">
        <v>8</v>
      </c>
      <c r="E335" s="1271">
        <f t="shared" si="32"/>
        <v>56905.539389999998</v>
      </c>
      <c r="F335" s="1271">
        <f>SUM(F336:F340)</f>
        <v>3414.2560199999998</v>
      </c>
      <c r="G335" s="1271">
        <f>SUM(G336:G340)</f>
        <v>53491.283369999997</v>
      </c>
      <c r="H335" s="1271">
        <f>SUM(H336:H340)</f>
        <v>0</v>
      </c>
      <c r="I335" s="1271">
        <f>SUM(I336:I340)</f>
        <v>0</v>
      </c>
      <c r="J335" s="3064" t="s">
        <v>3620</v>
      </c>
      <c r="K335" s="3053" t="s">
        <v>2852</v>
      </c>
      <c r="M335" s="1259"/>
      <c r="N335" s="1260"/>
      <c r="O335" s="1260"/>
      <c r="P335" s="1260"/>
    </row>
    <row r="336" spans="1:16" s="1258" customFormat="1" ht="15" customHeight="1" outlineLevel="1">
      <c r="A336" s="3050"/>
      <c r="B336" s="3051"/>
      <c r="C336" s="3052"/>
      <c r="D336" s="1261">
        <v>2021</v>
      </c>
      <c r="E336" s="1271">
        <f t="shared" si="32"/>
        <v>20914.599999999999</v>
      </c>
      <c r="F336" s="1271">
        <v>1254.8</v>
      </c>
      <c r="G336" s="1272">
        <v>19659.8</v>
      </c>
      <c r="H336" s="1272">
        <v>0</v>
      </c>
      <c r="I336" s="1272">
        <v>0</v>
      </c>
      <c r="J336" s="3065"/>
      <c r="K336" s="3053"/>
      <c r="M336" s="1259"/>
      <c r="N336" s="1260"/>
      <c r="O336" s="1260"/>
      <c r="P336" s="1260"/>
    </row>
    <row r="337" spans="1:16" s="1258" customFormat="1" ht="16.5" customHeight="1" outlineLevel="1">
      <c r="A337" s="3050"/>
      <c r="B337" s="3051"/>
      <c r="C337" s="3052"/>
      <c r="D337" s="1261">
        <v>2022</v>
      </c>
      <c r="E337" s="1271">
        <f t="shared" si="32"/>
        <v>12043.617</v>
      </c>
      <c r="F337" s="1271">
        <v>722.61699999999996</v>
      </c>
      <c r="G337" s="1272">
        <v>11321</v>
      </c>
      <c r="H337" s="1272">
        <v>0</v>
      </c>
      <c r="I337" s="1272">
        <v>0</v>
      </c>
      <c r="J337" s="3065"/>
      <c r="K337" s="3053"/>
      <c r="M337" s="1259"/>
      <c r="N337" s="1260"/>
      <c r="O337" s="1260"/>
      <c r="P337" s="1260"/>
    </row>
    <row r="338" spans="1:16" s="1451" customFormat="1" ht="14.25" customHeight="1" outlineLevel="1">
      <c r="A338" s="3050"/>
      <c r="B338" s="3051"/>
      <c r="C338" s="3052"/>
      <c r="D338" s="1455">
        <v>2023</v>
      </c>
      <c r="E338" s="1468">
        <f t="shared" si="32"/>
        <v>7674.45039</v>
      </c>
      <c r="F338" s="1468">
        <v>460.46701999999999</v>
      </c>
      <c r="G338" s="1469">
        <v>7213.9833699999999</v>
      </c>
      <c r="H338" s="1457">
        <v>0</v>
      </c>
      <c r="I338" s="1457">
        <v>0</v>
      </c>
      <c r="J338" s="3065"/>
      <c r="K338" s="3053"/>
      <c r="M338" s="1452"/>
      <c r="N338" s="1454"/>
      <c r="O338" s="1454"/>
      <c r="P338" s="1454"/>
    </row>
    <row r="339" spans="1:16" s="1258" customFormat="1" ht="12.75" customHeight="1" outlineLevel="1">
      <c r="A339" s="3050"/>
      <c r="B339" s="3051"/>
      <c r="C339" s="3052"/>
      <c r="D339" s="1261">
        <v>2024</v>
      </c>
      <c r="E339" s="1271">
        <f t="shared" si="32"/>
        <v>16272.871999999999</v>
      </c>
      <c r="F339" s="1271">
        <v>976.37199999999996</v>
      </c>
      <c r="G339" s="1272">
        <v>15296.5</v>
      </c>
      <c r="H339" s="1272">
        <v>0</v>
      </c>
      <c r="I339" s="1272">
        <v>0</v>
      </c>
      <c r="J339" s="3065"/>
      <c r="K339" s="3053"/>
      <c r="M339" s="1259"/>
      <c r="N339" s="1260"/>
      <c r="O339" s="1260"/>
      <c r="P339" s="1260"/>
    </row>
    <row r="340" spans="1:16" s="1258" customFormat="1" ht="14.25" customHeight="1" outlineLevel="1">
      <c r="A340" s="3050"/>
      <c r="B340" s="3051"/>
      <c r="C340" s="3052"/>
      <c r="D340" s="1261">
        <v>2025</v>
      </c>
      <c r="E340" s="1271">
        <f t="shared" si="32"/>
        <v>0</v>
      </c>
      <c r="F340" s="1271">
        <v>0</v>
      </c>
      <c r="G340" s="1272">
        <v>0</v>
      </c>
      <c r="H340" s="1272">
        <v>0</v>
      </c>
      <c r="I340" s="1272">
        <v>0</v>
      </c>
      <c r="J340" s="3066"/>
      <c r="K340" s="3053"/>
      <c r="M340" s="1259"/>
      <c r="N340" s="1260"/>
      <c r="O340" s="1260"/>
      <c r="P340" s="1260"/>
    </row>
    <row r="341" spans="1:16" s="1258" customFormat="1" ht="15.95" customHeight="1">
      <c r="A341" s="3050" t="s">
        <v>3117</v>
      </c>
      <c r="B341" s="3051" t="s">
        <v>3116</v>
      </c>
      <c r="C341" s="3052" t="s">
        <v>3115</v>
      </c>
      <c r="D341" s="1261" t="s">
        <v>8</v>
      </c>
      <c r="E341" s="1271">
        <f t="shared" si="32"/>
        <v>23904.21255</v>
      </c>
      <c r="F341" s="1271">
        <f>SUM(F342:F346)</f>
        <v>5982.7125500000002</v>
      </c>
      <c r="G341" s="1271">
        <f>SUM(G342:G346)</f>
        <v>17921.5</v>
      </c>
      <c r="H341" s="1271">
        <f>SUM(H342:H346)</f>
        <v>0</v>
      </c>
      <c r="I341" s="1271">
        <f>SUM(I342:I346)</f>
        <v>0</v>
      </c>
      <c r="J341" s="3053" t="s">
        <v>3114</v>
      </c>
      <c r="K341" s="3053" t="s">
        <v>3066</v>
      </c>
      <c r="M341" s="1259"/>
      <c r="N341" s="1260"/>
      <c r="O341" s="1260"/>
      <c r="P341" s="1260"/>
    </row>
    <row r="342" spans="1:16" s="1258" customFormat="1" ht="15.95" customHeight="1">
      <c r="A342" s="3050"/>
      <c r="B342" s="3051"/>
      <c r="C342" s="3052"/>
      <c r="D342" s="1261">
        <v>2021</v>
      </c>
      <c r="E342" s="1271">
        <f t="shared" si="32"/>
        <v>6382.1126800000002</v>
      </c>
      <c r="F342" s="1271">
        <v>1850.81268</v>
      </c>
      <c r="G342" s="1272">
        <v>4531.3</v>
      </c>
      <c r="H342" s="1272">
        <v>0</v>
      </c>
      <c r="I342" s="1272">
        <v>0</v>
      </c>
      <c r="J342" s="3053"/>
      <c r="K342" s="3053"/>
      <c r="M342" s="1259"/>
      <c r="N342" s="1260"/>
      <c r="O342" s="1260"/>
      <c r="P342" s="1260"/>
    </row>
    <row r="343" spans="1:16" ht="15.95" customHeight="1">
      <c r="A343" s="3050"/>
      <c r="B343" s="3051"/>
      <c r="C343" s="3052"/>
      <c r="D343" s="1261">
        <v>2022</v>
      </c>
      <c r="E343" s="1271">
        <f t="shared" si="32"/>
        <v>6856.76</v>
      </c>
      <c r="F343" s="1271">
        <v>1988.46</v>
      </c>
      <c r="G343" s="1272">
        <v>4868.3</v>
      </c>
      <c r="H343" s="1272">
        <v>0</v>
      </c>
      <c r="I343" s="1272">
        <v>0</v>
      </c>
      <c r="J343" s="3053"/>
      <c r="K343" s="3053"/>
    </row>
    <row r="344" spans="1:16" s="1454" customFormat="1" ht="15.95" customHeight="1">
      <c r="A344" s="3050"/>
      <c r="B344" s="3051"/>
      <c r="C344" s="3052"/>
      <c r="D344" s="1455">
        <v>2023</v>
      </c>
      <c r="E344" s="1468">
        <f t="shared" si="32"/>
        <v>4128.2978700000003</v>
      </c>
      <c r="F344" s="1468">
        <f>1812.41254-1564.71467</f>
        <v>247.69786999999997</v>
      </c>
      <c r="G344" s="1469">
        <v>3880.6</v>
      </c>
      <c r="H344" s="1457">
        <v>0</v>
      </c>
      <c r="I344" s="1457">
        <v>0</v>
      </c>
      <c r="J344" s="3053"/>
      <c r="K344" s="3053"/>
      <c r="L344" s="1451"/>
      <c r="M344" s="1452"/>
    </row>
    <row r="345" spans="1:16" ht="15.95" customHeight="1">
      <c r="A345" s="3050"/>
      <c r="B345" s="3051"/>
      <c r="C345" s="3052"/>
      <c r="D345" s="1261">
        <v>2024</v>
      </c>
      <c r="E345" s="1271">
        <f t="shared" si="32"/>
        <v>6537.0420000000004</v>
      </c>
      <c r="F345" s="1271">
        <v>1895.742</v>
      </c>
      <c r="G345" s="1272">
        <v>4641.3</v>
      </c>
      <c r="H345" s="1272">
        <v>0</v>
      </c>
      <c r="I345" s="1272">
        <v>0</v>
      </c>
      <c r="J345" s="3053"/>
      <c r="K345" s="3053"/>
    </row>
    <row r="346" spans="1:16" ht="15.95" customHeight="1">
      <c r="A346" s="3050"/>
      <c r="B346" s="3051"/>
      <c r="C346" s="3052"/>
      <c r="D346" s="1261">
        <v>2025</v>
      </c>
      <c r="E346" s="1271">
        <f t="shared" si="32"/>
        <v>0</v>
      </c>
      <c r="F346" s="1271">
        <v>0</v>
      </c>
      <c r="G346" s="1272">
        <v>0</v>
      </c>
      <c r="H346" s="1272">
        <v>0</v>
      </c>
      <c r="I346" s="1272">
        <v>0</v>
      </c>
      <c r="J346" s="3053"/>
      <c r="K346" s="3053"/>
    </row>
    <row r="347" spans="1:16" ht="15" customHeight="1" outlineLevel="1">
      <c r="A347" s="3054" t="s">
        <v>688</v>
      </c>
      <c r="B347" s="3055" t="s">
        <v>77</v>
      </c>
      <c r="C347" s="3056" t="s">
        <v>2989</v>
      </c>
      <c r="D347" s="1264" t="s">
        <v>8</v>
      </c>
      <c r="E347" s="1265">
        <f>SUM(F347:I347)</f>
        <v>3393407.4505547509</v>
      </c>
      <c r="F347" s="1265">
        <f>SUM(F348:F352)</f>
        <v>2194537.96893</v>
      </c>
      <c r="G347" s="1265">
        <f>SUM(G348:G352)</f>
        <v>1089688.432</v>
      </c>
      <c r="H347" s="1265">
        <f>SUM(H348:H352)</f>
        <v>109181.04962475087</v>
      </c>
      <c r="I347" s="1272">
        <v>0</v>
      </c>
      <c r="J347" s="3058"/>
      <c r="K347" s="3058" t="s">
        <v>3113</v>
      </c>
    </row>
    <row r="348" spans="1:16" outlineLevel="1">
      <c r="A348" s="3054"/>
      <c r="B348" s="3055"/>
      <c r="C348" s="3056"/>
      <c r="D348" s="1264">
        <v>2021</v>
      </c>
      <c r="E348" s="1265">
        <f t="shared" si="32"/>
        <v>542284.02945165033</v>
      </c>
      <c r="F348" s="1265">
        <f>F354+F474+F732+F678+F690+F714</f>
        <v>254674.71701999998</v>
      </c>
      <c r="G348" s="1265">
        <f t="shared" ref="G348:H348" si="34">G354+G474+G732+G678+G690+G714</f>
        <v>257488.69899999999</v>
      </c>
      <c r="H348" s="1265">
        <f t="shared" si="34"/>
        <v>30120.613431650385</v>
      </c>
      <c r="I348" s="1265">
        <f t="shared" ref="I348:I352" si="35">I354+I474+I732+I678+I690</f>
        <v>0</v>
      </c>
      <c r="J348" s="3058"/>
      <c r="K348" s="3058"/>
    </row>
    <row r="349" spans="1:16" outlineLevel="1">
      <c r="A349" s="3054"/>
      <c r="B349" s="3055"/>
      <c r="C349" s="3056"/>
      <c r="D349" s="1264">
        <v>2022</v>
      </c>
      <c r="E349" s="1265">
        <f t="shared" si="32"/>
        <v>1321007.9192131003</v>
      </c>
      <c r="F349" s="1265">
        <f t="shared" ref="F349:H352" si="36">F355+F475+F733+F679+F691+F715</f>
        <v>1034922.16776</v>
      </c>
      <c r="G349" s="1265">
        <f t="shared" si="36"/>
        <v>225488.99299999999</v>
      </c>
      <c r="H349" s="1265">
        <f t="shared" si="36"/>
        <v>60596.75845310052</v>
      </c>
      <c r="I349" s="1265">
        <f t="shared" si="35"/>
        <v>0</v>
      </c>
      <c r="J349" s="3058"/>
      <c r="K349" s="3058"/>
    </row>
    <row r="350" spans="1:16" s="1488" customFormat="1" outlineLevel="1">
      <c r="A350" s="3054"/>
      <c r="B350" s="3055"/>
      <c r="C350" s="3056"/>
      <c r="D350" s="1484">
        <v>2023</v>
      </c>
      <c r="E350" s="1485">
        <f t="shared" si="32"/>
        <v>591670.61089000001</v>
      </c>
      <c r="F350" s="1485">
        <f t="shared" si="36"/>
        <v>160797.59315000003</v>
      </c>
      <c r="G350" s="1485">
        <f t="shared" si="36"/>
        <v>424710.74</v>
      </c>
      <c r="H350" s="1485">
        <f t="shared" si="36"/>
        <v>6162.277739999975</v>
      </c>
      <c r="I350" s="1485">
        <f t="shared" si="35"/>
        <v>0</v>
      </c>
      <c r="J350" s="3058"/>
      <c r="K350" s="3058"/>
      <c r="L350" s="1486"/>
      <c r="M350" s="1487"/>
    </row>
    <row r="351" spans="1:16" outlineLevel="1">
      <c r="A351" s="3054"/>
      <c r="B351" s="3055"/>
      <c r="C351" s="3056"/>
      <c r="D351" s="1264">
        <v>2024</v>
      </c>
      <c r="E351" s="1265">
        <f t="shared" si="32"/>
        <v>691822.45400000003</v>
      </c>
      <c r="F351" s="1265">
        <f t="shared" si="36"/>
        <v>602310.054</v>
      </c>
      <c r="G351" s="1265">
        <f t="shared" si="36"/>
        <v>78000</v>
      </c>
      <c r="H351" s="1265">
        <f t="shared" si="36"/>
        <v>11512.4</v>
      </c>
      <c r="I351" s="1265">
        <f t="shared" si="35"/>
        <v>0</v>
      </c>
      <c r="J351" s="3058"/>
      <c r="K351" s="3058"/>
    </row>
    <row r="352" spans="1:16" outlineLevel="1">
      <c r="A352" s="3054"/>
      <c r="B352" s="3055"/>
      <c r="C352" s="3056"/>
      <c r="D352" s="1264">
        <v>2025</v>
      </c>
      <c r="E352" s="1265">
        <f t="shared" si="32"/>
        <v>246622.43700000001</v>
      </c>
      <c r="F352" s="1265">
        <f>F358+F478+F736+F682+F694+F718</f>
        <v>141833.43700000001</v>
      </c>
      <c r="G352" s="1265">
        <f t="shared" si="36"/>
        <v>104000</v>
      </c>
      <c r="H352" s="1265">
        <f t="shared" si="36"/>
        <v>789</v>
      </c>
      <c r="I352" s="1265">
        <f t="shared" si="35"/>
        <v>0</v>
      </c>
      <c r="J352" s="3058"/>
      <c r="K352" s="3058"/>
    </row>
    <row r="353" spans="1:13" ht="14.25" customHeight="1" outlineLevel="1">
      <c r="A353" s="3054" t="s">
        <v>3112</v>
      </c>
      <c r="B353" s="3055" t="s">
        <v>80</v>
      </c>
      <c r="C353" s="3056" t="s">
        <v>2989</v>
      </c>
      <c r="D353" s="1264" t="s">
        <v>8</v>
      </c>
      <c r="E353" s="1265">
        <f t="shared" si="32"/>
        <v>269420.94170292461</v>
      </c>
      <c r="F353" s="1265">
        <f>SUM(F354:F358)</f>
        <v>227674.3248</v>
      </c>
      <c r="G353" s="1265">
        <f>SUM(G354:G358)</f>
        <v>0</v>
      </c>
      <c r="H353" s="1265">
        <f>SUM(H354:H358)</f>
        <v>41746.61690292463</v>
      </c>
      <c r="I353" s="1272">
        <v>0</v>
      </c>
      <c r="J353" s="3058" t="s">
        <v>3111</v>
      </c>
      <c r="K353" s="3058" t="s">
        <v>3110</v>
      </c>
    </row>
    <row r="354" spans="1:13" ht="14.25" customHeight="1" outlineLevel="1">
      <c r="A354" s="3054"/>
      <c r="B354" s="3055"/>
      <c r="C354" s="3056"/>
      <c r="D354" s="1264">
        <v>2021</v>
      </c>
      <c r="E354" s="1265">
        <f t="shared" si="32"/>
        <v>69576.494685752899</v>
      </c>
      <c r="F354" s="1265">
        <f>F360+F366+F372+F378+F384+F390+F396+F402+F408+F414+F420+F426+F432+F438+F444+F450+F456</f>
        <v>55989.257299999997</v>
      </c>
      <c r="G354" s="1265">
        <f t="shared" ref="F354:H358" si="37">G360+G366+G372+G378+G384+G390+G396+G402+G408+G414+G420+G426+G432+G438+G444+G450+G456</f>
        <v>0</v>
      </c>
      <c r="H354" s="1265">
        <f t="shared" si="37"/>
        <v>13587.237385752907</v>
      </c>
      <c r="I354" s="1272">
        <v>0</v>
      </c>
      <c r="J354" s="3058"/>
      <c r="K354" s="3058"/>
    </row>
    <row r="355" spans="1:13" ht="14.25" customHeight="1" outlineLevel="1">
      <c r="A355" s="3054"/>
      <c r="B355" s="3055"/>
      <c r="C355" s="3056"/>
      <c r="D355" s="1264">
        <v>2022</v>
      </c>
      <c r="E355" s="1265">
        <f t="shared" si="32"/>
        <v>199844.44701717171</v>
      </c>
      <c r="F355" s="1265">
        <f>F361+F367+F373+F379+F385+F391+F397+F403+F409+F415+F421+F427+F433+F439+F445+F451+F457+F463</f>
        <v>171685.0675</v>
      </c>
      <c r="G355" s="1265">
        <f t="shared" si="37"/>
        <v>0</v>
      </c>
      <c r="H355" s="1265">
        <f>H361+H367+H373+H379+H385+H391+H397+H403+H409+H415+H421+H427+H433+H439+H445+H451+H457+H463</f>
        <v>28159.379517171721</v>
      </c>
      <c r="I355" s="1272">
        <v>0</v>
      </c>
      <c r="J355" s="3058"/>
      <c r="K355" s="3058"/>
      <c r="L355" s="1258" t="s">
        <v>3108</v>
      </c>
    </row>
    <row r="356" spans="1:13" s="1480" customFormat="1" ht="14.25" customHeight="1" outlineLevel="1">
      <c r="A356" s="3054"/>
      <c r="B356" s="3055"/>
      <c r="C356" s="3056"/>
      <c r="D356" s="1489">
        <v>2023</v>
      </c>
      <c r="E356" s="1490">
        <f t="shared" si="32"/>
        <v>0</v>
      </c>
      <c r="F356" s="1490">
        <f t="shared" si="37"/>
        <v>0</v>
      </c>
      <c r="G356" s="1490">
        <f>G362+G368+G374+G380+G386+G392+G398+G404+G410+G416+G422+G428+G434+G440+G446+G452+G458+G470</f>
        <v>0</v>
      </c>
      <c r="H356" s="1490">
        <f t="shared" si="37"/>
        <v>0</v>
      </c>
      <c r="I356" s="1478">
        <v>0</v>
      </c>
      <c r="J356" s="3058"/>
      <c r="K356" s="3058"/>
      <c r="L356" s="1481"/>
      <c r="M356" s="1479"/>
    </row>
    <row r="357" spans="1:13" ht="14.25" customHeight="1" outlineLevel="1">
      <c r="A357" s="3054"/>
      <c r="B357" s="3055"/>
      <c r="C357" s="3056"/>
      <c r="D357" s="1264">
        <v>2024</v>
      </c>
      <c r="E357" s="1265">
        <f t="shared" si="32"/>
        <v>0</v>
      </c>
      <c r="F357" s="1265">
        <f t="shared" si="37"/>
        <v>0</v>
      </c>
      <c r="G357" s="1265">
        <f t="shared" si="37"/>
        <v>0</v>
      </c>
      <c r="H357" s="1265">
        <f t="shared" si="37"/>
        <v>0</v>
      </c>
      <c r="I357" s="1272">
        <v>0</v>
      </c>
      <c r="J357" s="3058"/>
      <c r="K357" s="3058"/>
    </row>
    <row r="358" spans="1:13" ht="14.25" customHeight="1" outlineLevel="1">
      <c r="A358" s="3054"/>
      <c r="B358" s="3055"/>
      <c r="C358" s="3056"/>
      <c r="D358" s="1264">
        <v>2025</v>
      </c>
      <c r="E358" s="1265">
        <f t="shared" si="32"/>
        <v>0</v>
      </c>
      <c r="F358" s="1265">
        <f t="shared" si="37"/>
        <v>0</v>
      </c>
      <c r="G358" s="1265">
        <f t="shared" si="37"/>
        <v>0</v>
      </c>
      <c r="H358" s="1265">
        <f t="shared" si="37"/>
        <v>0</v>
      </c>
      <c r="I358" s="1272">
        <v>0</v>
      </c>
      <c r="J358" s="3058"/>
      <c r="K358" s="3058"/>
    </row>
    <row r="359" spans="1:13" ht="12" customHeight="1" outlineLevel="1">
      <c r="A359" s="3061" t="s">
        <v>3109</v>
      </c>
      <c r="B359" s="3079" t="s">
        <v>2823</v>
      </c>
      <c r="C359" s="3082" t="s">
        <v>3069</v>
      </c>
      <c r="D359" s="1261" t="s">
        <v>8</v>
      </c>
      <c r="E359" s="1271">
        <f>SUM(E360:E364)</f>
        <v>6584.2777657004835</v>
      </c>
      <c r="F359" s="1271">
        <f>SUM(F360:F364)</f>
        <v>5451.7819900000004</v>
      </c>
      <c r="G359" s="1271">
        <f>SUM(G360:G364)</f>
        <v>0</v>
      </c>
      <c r="H359" s="1271">
        <f>SUM(H360:H364)</f>
        <v>1132.4957757004834</v>
      </c>
      <c r="I359" s="1271">
        <f>SUM(I360:I364)</f>
        <v>0</v>
      </c>
      <c r="J359" s="3064" t="s">
        <v>2824</v>
      </c>
      <c r="K359" s="3064" t="s">
        <v>2993</v>
      </c>
    </row>
    <row r="360" spans="1:13" ht="12" customHeight="1" outlineLevel="1">
      <c r="A360" s="3062"/>
      <c r="B360" s="3085"/>
      <c r="C360" s="3083"/>
      <c r="D360" s="1261">
        <v>2021</v>
      </c>
      <c r="E360" s="1271">
        <f t="shared" ref="E360:E364" si="38">SUM(F360:I360)</f>
        <v>6584.2777657004835</v>
      </c>
      <c r="F360" s="1271">
        <v>5451.7819900000004</v>
      </c>
      <c r="G360" s="1271">
        <v>0</v>
      </c>
      <c r="H360" s="1271">
        <f>F360/82.8*17.2</f>
        <v>1132.4957757004834</v>
      </c>
      <c r="I360" s="1271">
        <v>0</v>
      </c>
      <c r="J360" s="3065"/>
      <c r="K360" s="3065"/>
    </row>
    <row r="361" spans="1:13" ht="12" customHeight="1" outlineLevel="1">
      <c r="A361" s="3062"/>
      <c r="B361" s="3085"/>
      <c r="C361" s="3083"/>
      <c r="D361" s="1261">
        <v>2022</v>
      </c>
      <c r="E361" s="1271">
        <f t="shared" si="38"/>
        <v>0</v>
      </c>
      <c r="F361" s="1271">
        <v>0</v>
      </c>
      <c r="G361" s="1271">
        <v>0</v>
      </c>
      <c r="H361" s="1271">
        <v>0</v>
      </c>
      <c r="I361" s="1271">
        <v>0</v>
      </c>
      <c r="J361" s="3065"/>
      <c r="K361" s="3065"/>
      <c r="L361" s="1258" t="s">
        <v>3108</v>
      </c>
    </row>
    <row r="362" spans="1:13" ht="12" customHeight="1" outlineLevel="1">
      <c r="A362" s="3062"/>
      <c r="B362" s="3085"/>
      <c r="C362" s="3083"/>
      <c r="D362" s="1261">
        <v>2023</v>
      </c>
      <c r="E362" s="1271">
        <f t="shared" si="38"/>
        <v>0</v>
      </c>
      <c r="F362" s="1271">
        <v>0</v>
      </c>
      <c r="G362" s="1271">
        <v>0</v>
      </c>
      <c r="H362" s="1271">
        <v>0</v>
      </c>
      <c r="I362" s="1271">
        <v>0</v>
      </c>
      <c r="J362" s="3065"/>
      <c r="K362" s="3065"/>
    </row>
    <row r="363" spans="1:13" ht="12" customHeight="1" outlineLevel="1">
      <c r="A363" s="3062"/>
      <c r="B363" s="3085"/>
      <c r="C363" s="3083"/>
      <c r="D363" s="1261">
        <v>2024</v>
      </c>
      <c r="E363" s="1271">
        <f t="shared" si="38"/>
        <v>0</v>
      </c>
      <c r="F363" s="1271">
        <v>0</v>
      </c>
      <c r="G363" s="1271">
        <v>0</v>
      </c>
      <c r="H363" s="1271">
        <v>0</v>
      </c>
      <c r="I363" s="1271">
        <v>0</v>
      </c>
      <c r="J363" s="3065"/>
      <c r="K363" s="3065"/>
    </row>
    <row r="364" spans="1:13" ht="12" customHeight="1" outlineLevel="1">
      <c r="A364" s="3063"/>
      <c r="B364" s="3086"/>
      <c r="C364" s="3084"/>
      <c r="D364" s="1261">
        <v>2025</v>
      </c>
      <c r="E364" s="1271">
        <f t="shared" si="38"/>
        <v>0</v>
      </c>
      <c r="F364" s="1271">
        <v>0</v>
      </c>
      <c r="G364" s="1271">
        <v>0</v>
      </c>
      <c r="H364" s="1271">
        <v>0</v>
      </c>
      <c r="I364" s="1271">
        <v>0</v>
      </c>
      <c r="J364" s="3066"/>
      <c r="K364" s="3066"/>
    </row>
    <row r="365" spans="1:13" ht="15" customHeight="1" outlineLevel="1">
      <c r="A365" s="3061" t="s">
        <v>3107</v>
      </c>
      <c r="B365" s="3079" t="s">
        <v>3106</v>
      </c>
      <c r="C365" s="3082">
        <v>2021</v>
      </c>
      <c r="D365" s="1261" t="s">
        <v>8</v>
      </c>
      <c r="E365" s="1271">
        <f>SUM(E366:E370)</f>
        <v>42104.816920052421</v>
      </c>
      <c r="F365" s="1271">
        <f>SUM(F366:F370)</f>
        <v>32125.975309999998</v>
      </c>
      <c r="G365" s="1271">
        <f>SUM(G366:G370)</f>
        <v>0</v>
      </c>
      <c r="H365" s="1271">
        <f>SUM(H366:H370)</f>
        <v>9978.8416100524246</v>
      </c>
      <c r="I365" s="1271">
        <f>SUM(I366:I370)</f>
        <v>0</v>
      </c>
      <c r="J365" s="3064" t="s">
        <v>2825</v>
      </c>
      <c r="K365" s="3064" t="s">
        <v>2993</v>
      </c>
    </row>
    <row r="366" spans="1:13" ht="15" customHeight="1" outlineLevel="1">
      <c r="A366" s="3062"/>
      <c r="B366" s="3085"/>
      <c r="C366" s="3083"/>
      <c r="D366" s="1261">
        <v>2021</v>
      </c>
      <c r="E366" s="1271">
        <f t="shared" ref="E366:E429" si="39">SUM(F366:I366)</f>
        <v>42104.816920052421</v>
      </c>
      <c r="F366" s="1271">
        <f>32125975.31/1000</f>
        <v>32125.975309999998</v>
      </c>
      <c r="G366" s="1271">
        <v>0</v>
      </c>
      <c r="H366" s="1271">
        <f>F366/76.3*23.7</f>
        <v>9978.8416100524246</v>
      </c>
      <c r="I366" s="1271">
        <v>0</v>
      </c>
      <c r="J366" s="3065"/>
      <c r="K366" s="3065"/>
    </row>
    <row r="367" spans="1:13" outlineLevel="1">
      <c r="A367" s="3062"/>
      <c r="B367" s="3085"/>
      <c r="C367" s="3083"/>
      <c r="D367" s="1261">
        <v>2022</v>
      </c>
      <c r="E367" s="1271">
        <f t="shared" si="39"/>
        <v>0</v>
      </c>
      <c r="F367" s="1271">
        <v>0</v>
      </c>
      <c r="G367" s="1271">
        <v>0</v>
      </c>
      <c r="H367" s="1271">
        <v>0</v>
      </c>
      <c r="I367" s="1271">
        <v>0</v>
      </c>
      <c r="J367" s="3065"/>
      <c r="K367" s="3065"/>
    </row>
    <row r="368" spans="1:13" outlineLevel="1">
      <c r="A368" s="3062"/>
      <c r="B368" s="3085"/>
      <c r="C368" s="3083"/>
      <c r="D368" s="1261">
        <v>2023</v>
      </c>
      <c r="E368" s="1271">
        <f t="shared" si="39"/>
        <v>0</v>
      </c>
      <c r="F368" s="1271">
        <v>0</v>
      </c>
      <c r="G368" s="1271">
        <v>0</v>
      </c>
      <c r="H368" s="1271">
        <v>0</v>
      </c>
      <c r="I368" s="1271">
        <v>0</v>
      </c>
      <c r="J368" s="3065"/>
      <c r="K368" s="3065"/>
    </row>
    <row r="369" spans="1:12" outlineLevel="1">
      <c r="A369" s="3062"/>
      <c r="B369" s="3085"/>
      <c r="C369" s="3083"/>
      <c r="D369" s="1261">
        <v>2024</v>
      </c>
      <c r="E369" s="1271">
        <f t="shared" si="39"/>
        <v>0</v>
      </c>
      <c r="F369" s="1271">
        <v>0</v>
      </c>
      <c r="G369" s="1271">
        <v>0</v>
      </c>
      <c r="H369" s="1271">
        <v>0</v>
      </c>
      <c r="I369" s="1271">
        <v>0</v>
      </c>
      <c r="J369" s="3065"/>
      <c r="K369" s="3065"/>
    </row>
    <row r="370" spans="1:12" ht="14.25" customHeight="1" outlineLevel="1">
      <c r="A370" s="3063"/>
      <c r="B370" s="3086"/>
      <c r="C370" s="3084"/>
      <c r="D370" s="1261">
        <v>2025</v>
      </c>
      <c r="E370" s="1271">
        <f t="shared" si="39"/>
        <v>0</v>
      </c>
      <c r="F370" s="1271">
        <v>0</v>
      </c>
      <c r="G370" s="1271">
        <v>0</v>
      </c>
      <c r="H370" s="1271">
        <v>0</v>
      </c>
      <c r="I370" s="1271">
        <v>0</v>
      </c>
      <c r="J370" s="3066"/>
      <c r="K370" s="3066"/>
    </row>
    <row r="371" spans="1:12" ht="18" customHeight="1" outlineLevel="1">
      <c r="A371" s="3061" t="s">
        <v>3105</v>
      </c>
      <c r="B371" s="3079" t="s">
        <v>3104</v>
      </c>
      <c r="C371" s="3082">
        <v>2021</v>
      </c>
      <c r="D371" s="1261" t="s">
        <v>8</v>
      </c>
      <c r="E371" s="1271">
        <f t="shared" si="39"/>
        <v>1505.5</v>
      </c>
      <c r="F371" s="1271">
        <f>SUM(F372:F376)</f>
        <v>1505.5</v>
      </c>
      <c r="G371" s="1271">
        <f>SUM(G372:G376)</f>
        <v>0</v>
      </c>
      <c r="H371" s="1271">
        <f>SUM(H372:H376)</f>
        <v>0</v>
      </c>
      <c r="I371" s="1271">
        <f>SUM(I372:I376)</f>
        <v>0</v>
      </c>
      <c r="J371" s="3064" t="s">
        <v>2857</v>
      </c>
      <c r="K371" s="3064" t="s">
        <v>2890</v>
      </c>
      <c r="L371" s="1260"/>
    </row>
    <row r="372" spans="1:12" ht="16.5" customHeight="1" outlineLevel="1">
      <c r="A372" s="3062"/>
      <c r="B372" s="3085"/>
      <c r="C372" s="3083"/>
      <c r="D372" s="1261">
        <v>2021</v>
      </c>
      <c r="E372" s="1271">
        <f t="shared" si="39"/>
        <v>1505.5</v>
      </c>
      <c r="F372" s="1276">
        <v>1505.5</v>
      </c>
      <c r="G372" s="1277">
        <v>0</v>
      </c>
      <c r="H372" s="1272">
        <v>0</v>
      </c>
      <c r="I372" s="1278">
        <v>0</v>
      </c>
      <c r="J372" s="3065"/>
      <c r="K372" s="3065"/>
      <c r="L372" s="1260"/>
    </row>
    <row r="373" spans="1:12" ht="15.75" customHeight="1" outlineLevel="1">
      <c r="A373" s="3062"/>
      <c r="B373" s="3085"/>
      <c r="C373" s="3083"/>
      <c r="D373" s="1261">
        <v>2022</v>
      </c>
      <c r="E373" s="1271">
        <f t="shared" si="39"/>
        <v>0</v>
      </c>
      <c r="F373" s="1271">
        <v>0</v>
      </c>
      <c r="G373" s="1278">
        <v>0</v>
      </c>
      <c r="H373" s="1272">
        <v>0</v>
      </c>
      <c r="I373" s="1278">
        <v>0</v>
      </c>
      <c r="J373" s="3065"/>
      <c r="K373" s="3065"/>
      <c r="L373" s="1260"/>
    </row>
    <row r="374" spans="1:12" ht="14.25" customHeight="1" outlineLevel="1">
      <c r="A374" s="3062"/>
      <c r="B374" s="3085"/>
      <c r="C374" s="3083"/>
      <c r="D374" s="1261">
        <v>2023</v>
      </c>
      <c r="E374" s="1271">
        <f t="shared" si="39"/>
        <v>0</v>
      </c>
      <c r="F374" s="1271">
        <v>0</v>
      </c>
      <c r="G374" s="1278">
        <v>0</v>
      </c>
      <c r="H374" s="1272">
        <v>0</v>
      </c>
      <c r="I374" s="1278">
        <v>0</v>
      </c>
      <c r="J374" s="3065"/>
      <c r="K374" s="3065"/>
      <c r="L374" s="1260"/>
    </row>
    <row r="375" spans="1:12" ht="15" customHeight="1" outlineLevel="1">
      <c r="A375" s="3062"/>
      <c r="B375" s="3085"/>
      <c r="C375" s="3083"/>
      <c r="D375" s="1261">
        <v>2024</v>
      </c>
      <c r="E375" s="1271">
        <f t="shared" si="39"/>
        <v>0</v>
      </c>
      <c r="F375" s="1271">
        <v>0</v>
      </c>
      <c r="G375" s="1278">
        <v>0</v>
      </c>
      <c r="H375" s="1272">
        <v>0</v>
      </c>
      <c r="I375" s="1278">
        <v>0</v>
      </c>
      <c r="J375" s="3065"/>
      <c r="K375" s="3065"/>
      <c r="L375" s="1260"/>
    </row>
    <row r="376" spans="1:12" ht="15.75" customHeight="1" outlineLevel="1">
      <c r="A376" s="3063"/>
      <c r="B376" s="3086"/>
      <c r="C376" s="3084"/>
      <c r="D376" s="1261">
        <v>2025</v>
      </c>
      <c r="E376" s="1271">
        <f t="shared" si="39"/>
        <v>0</v>
      </c>
      <c r="F376" s="1271">
        <v>0</v>
      </c>
      <c r="G376" s="1278">
        <v>0</v>
      </c>
      <c r="H376" s="1272">
        <v>0</v>
      </c>
      <c r="I376" s="1278">
        <v>0</v>
      </c>
      <c r="J376" s="3066"/>
      <c r="K376" s="3066"/>
      <c r="L376" s="1260"/>
    </row>
    <row r="377" spans="1:12" ht="15" customHeight="1" outlineLevel="1">
      <c r="A377" s="3061" t="s">
        <v>3103</v>
      </c>
      <c r="B377" s="3079" t="s">
        <v>2856</v>
      </c>
      <c r="C377" s="3082">
        <v>2021</v>
      </c>
      <c r="D377" s="1261" t="s">
        <v>8</v>
      </c>
      <c r="E377" s="1271">
        <f t="shared" si="39"/>
        <v>0</v>
      </c>
      <c r="F377" s="1271">
        <f>SUM(F378:F382)</f>
        <v>0</v>
      </c>
      <c r="G377" s="1271">
        <f>SUM(G378:G382)</f>
        <v>0</v>
      </c>
      <c r="H377" s="1271">
        <f>SUM(H378:H382)</f>
        <v>0</v>
      </c>
      <c r="I377" s="1271">
        <f>SUM(I378:I382)</f>
        <v>0</v>
      </c>
      <c r="J377" s="3064" t="s">
        <v>2858</v>
      </c>
      <c r="K377" s="3064" t="s">
        <v>2852</v>
      </c>
      <c r="L377" s="1258" t="s">
        <v>3102</v>
      </c>
    </row>
    <row r="378" spans="1:12" ht="15" customHeight="1" outlineLevel="1">
      <c r="A378" s="3062"/>
      <c r="B378" s="3085"/>
      <c r="C378" s="3083"/>
      <c r="D378" s="1261">
        <v>2021</v>
      </c>
      <c r="E378" s="1271">
        <f t="shared" si="39"/>
        <v>0</v>
      </c>
      <c r="F378" s="1271">
        <v>0</v>
      </c>
      <c r="G378" s="1271">
        <v>0</v>
      </c>
      <c r="H378" s="1271">
        <v>0</v>
      </c>
      <c r="I378" s="1271">
        <v>0</v>
      </c>
      <c r="J378" s="3065"/>
      <c r="K378" s="3065"/>
    </row>
    <row r="379" spans="1:12" ht="15" customHeight="1" outlineLevel="1">
      <c r="A379" s="3062"/>
      <c r="B379" s="3085"/>
      <c r="C379" s="3083"/>
      <c r="D379" s="1261">
        <v>2022</v>
      </c>
      <c r="E379" s="1271">
        <f t="shared" si="39"/>
        <v>0</v>
      </c>
      <c r="F379" s="1271">
        <v>0</v>
      </c>
      <c r="G379" s="1271">
        <v>0</v>
      </c>
      <c r="H379" s="1271">
        <v>0</v>
      </c>
      <c r="I379" s="1271">
        <v>0</v>
      </c>
      <c r="J379" s="3065"/>
      <c r="K379" s="3065"/>
    </row>
    <row r="380" spans="1:12" ht="15" customHeight="1" outlineLevel="1">
      <c r="A380" s="3062"/>
      <c r="B380" s="3085"/>
      <c r="C380" s="3083"/>
      <c r="D380" s="1261">
        <v>2023</v>
      </c>
      <c r="E380" s="1271">
        <f t="shared" si="39"/>
        <v>0</v>
      </c>
      <c r="F380" s="1271">
        <v>0</v>
      </c>
      <c r="G380" s="1271">
        <v>0</v>
      </c>
      <c r="H380" s="1271">
        <v>0</v>
      </c>
      <c r="I380" s="1271">
        <v>0</v>
      </c>
      <c r="J380" s="3065"/>
      <c r="K380" s="3065"/>
    </row>
    <row r="381" spans="1:12" ht="15" customHeight="1" outlineLevel="1">
      <c r="A381" s="3062"/>
      <c r="B381" s="3085"/>
      <c r="C381" s="3083"/>
      <c r="D381" s="1261">
        <v>2024</v>
      </c>
      <c r="E381" s="1271">
        <f t="shared" si="39"/>
        <v>0</v>
      </c>
      <c r="F381" s="1271">
        <v>0</v>
      </c>
      <c r="G381" s="1271">
        <v>0</v>
      </c>
      <c r="H381" s="1271">
        <v>0</v>
      </c>
      <c r="I381" s="1271">
        <v>0</v>
      </c>
      <c r="J381" s="3065"/>
      <c r="K381" s="3065"/>
    </row>
    <row r="382" spans="1:12" ht="15" customHeight="1" outlineLevel="1">
      <c r="A382" s="3063"/>
      <c r="B382" s="3086"/>
      <c r="C382" s="3084"/>
      <c r="D382" s="1261">
        <v>2025</v>
      </c>
      <c r="E382" s="1271">
        <f t="shared" si="39"/>
        <v>0</v>
      </c>
      <c r="F382" s="1271">
        <v>0</v>
      </c>
      <c r="G382" s="1271">
        <v>0</v>
      </c>
      <c r="H382" s="1271">
        <v>0</v>
      </c>
      <c r="I382" s="1271">
        <v>0</v>
      </c>
      <c r="J382" s="3066"/>
      <c r="K382" s="3066"/>
    </row>
    <row r="383" spans="1:12" ht="15" customHeight="1" outlineLevel="1">
      <c r="A383" s="3050" t="s">
        <v>3101</v>
      </c>
      <c r="B383" s="3079" t="s">
        <v>2859</v>
      </c>
      <c r="C383" s="3052" t="s">
        <v>2999</v>
      </c>
      <c r="D383" s="1261" t="s">
        <v>8</v>
      </c>
      <c r="E383" s="1271">
        <f t="shared" si="39"/>
        <v>119225.81</v>
      </c>
      <c r="F383" s="1271">
        <f>SUM(F384:F388)</f>
        <v>89555.157500000001</v>
      </c>
      <c r="G383" s="1278">
        <f>SUM(G384:G388)</f>
        <v>0</v>
      </c>
      <c r="H383" s="1272">
        <f>SUM(H384:H388)</f>
        <v>29670.652500000004</v>
      </c>
      <c r="I383" s="1278">
        <f>SUM(I384:I388)</f>
        <v>0</v>
      </c>
      <c r="J383" s="3064" t="s">
        <v>3100</v>
      </c>
      <c r="K383" s="3064" t="s">
        <v>2993</v>
      </c>
    </row>
    <row r="384" spans="1:12" ht="15" customHeight="1" outlineLevel="1">
      <c r="A384" s="3050"/>
      <c r="B384" s="3085"/>
      <c r="C384" s="3052"/>
      <c r="D384" s="1261">
        <v>2021</v>
      </c>
      <c r="E384" s="1271">
        <f t="shared" si="39"/>
        <v>10446.799999999999</v>
      </c>
      <c r="F384" s="1271">
        <v>7970.9</v>
      </c>
      <c r="G384" s="1278">
        <v>0</v>
      </c>
      <c r="H384" s="1272">
        <v>2475.9</v>
      </c>
      <c r="I384" s="1278">
        <v>0</v>
      </c>
      <c r="J384" s="3065"/>
      <c r="K384" s="3065"/>
    </row>
    <row r="385" spans="1:12" ht="15" customHeight="1" outlineLevel="1">
      <c r="A385" s="3050"/>
      <c r="B385" s="3085"/>
      <c r="C385" s="3052"/>
      <c r="D385" s="1261">
        <v>2022</v>
      </c>
      <c r="E385" s="1271">
        <f t="shared" si="39"/>
        <v>108779.01000000001</v>
      </c>
      <c r="F385" s="1271">
        <v>81584.257500000007</v>
      </c>
      <c r="G385" s="1271">
        <v>0</v>
      </c>
      <c r="H385" s="1271">
        <f>F385/75*25</f>
        <v>27194.752500000002</v>
      </c>
      <c r="I385" s="1278">
        <v>0</v>
      </c>
      <c r="J385" s="3065"/>
      <c r="K385" s="3065"/>
    </row>
    <row r="386" spans="1:12" ht="15" customHeight="1" outlineLevel="1">
      <c r="A386" s="3050"/>
      <c r="B386" s="3085"/>
      <c r="C386" s="3052"/>
      <c r="D386" s="1261">
        <v>2023</v>
      </c>
      <c r="E386" s="1271">
        <f t="shared" si="39"/>
        <v>0</v>
      </c>
      <c r="F386" s="1271">
        <v>0</v>
      </c>
      <c r="G386" s="1271">
        <v>0</v>
      </c>
      <c r="H386" s="1271">
        <v>0</v>
      </c>
      <c r="I386" s="1278">
        <v>0</v>
      </c>
      <c r="J386" s="3065"/>
      <c r="K386" s="3065"/>
    </row>
    <row r="387" spans="1:12" ht="15" customHeight="1" outlineLevel="1">
      <c r="A387" s="3050"/>
      <c r="B387" s="3085"/>
      <c r="C387" s="3052"/>
      <c r="D387" s="1261">
        <v>2024</v>
      </c>
      <c r="E387" s="1271">
        <f t="shared" si="39"/>
        <v>0</v>
      </c>
      <c r="F387" s="1271">
        <v>0</v>
      </c>
      <c r="G387" s="1271">
        <v>0</v>
      </c>
      <c r="H387" s="1271">
        <v>0</v>
      </c>
      <c r="I387" s="1278">
        <v>0</v>
      </c>
      <c r="J387" s="3065"/>
      <c r="K387" s="3065"/>
    </row>
    <row r="388" spans="1:12" ht="15" customHeight="1" outlineLevel="1">
      <c r="A388" s="3050"/>
      <c r="B388" s="3086"/>
      <c r="C388" s="3052"/>
      <c r="D388" s="1261">
        <v>2025</v>
      </c>
      <c r="E388" s="1271">
        <f t="shared" si="39"/>
        <v>0</v>
      </c>
      <c r="F388" s="1271">
        <v>0</v>
      </c>
      <c r="G388" s="1271">
        <v>0</v>
      </c>
      <c r="H388" s="1271">
        <v>0</v>
      </c>
      <c r="I388" s="1278">
        <v>0</v>
      </c>
      <c r="J388" s="3066"/>
      <c r="K388" s="3066"/>
    </row>
    <row r="389" spans="1:12" ht="15" customHeight="1" outlineLevel="1">
      <c r="A389" s="3061" t="s">
        <v>3099</v>
      </c>
      <c r="B389" s="3079" t="s">
        <v>2938</v>
      </c>
      <c r="C389" s="3052">
        <v>2021</v>
      </c>
      <c r="D389" s="1261" t="s">
        <v>8</v>
      </c>
      <c r="E389" s="1271">
        <f t="shared" si="39"/>
        <v>8935.1</v>
      </c>
      <c r="F389" s="1271">
        <f>SUM(F390:F394)</f>
        <v>8935.1</v>
      </c>
      <c r="G389" s="1278">
        <f>SUM(G390:G394)</f>
        <v>0</v>
      </c>
      <c r="H389" s="1272">
        <f>SUM(H390:H394)</f>
        <v>0</v>
      </c>
      <c r="I389" s="1278">
        <f>SUM(I390:I394)</f>
        <v>0</v>
      </c>
      <c r="J389" s="3064" t="s">
        <v>3098</v>
      </c>
      <c r="K389" s="3064" t="s">
        <v>3052</v>
      </c>
      <c r="L389" s="3097" t="s">
        <v>3097</v>
      </c>
    </row>
    <row r="390" spans="1:12" ht="15" customHeight="1" outlineLevel="1">
      <c r="A390" s="3062"/>
      <c r="B390" s="3085"/>
      <c r="C390" s="3052"/>
      <c r="D390" s="1261">
        <v>2021</v>
      </c>
      <c r="E390" s="1271">
        <f t="shared" si="39"/>
        <v>8935.1</v>
      </c>
      <c r="F390" s="1271">
        <v>8935.1</v>
      </c>
      <c r="G390" s="1278">
        <v>0</v>
      </c>
      <c r="H390" s="1272">
        <v>0</v>
      </c>
      <c r="I390" s="1278">
        <v>0</v>
      </c>
      <c r="J390" s="3065"/>
      <c r="K390" s="3065"/>
      <c r="L390" s="3097"/>
    </row>
    <row r="391" spans="1:12" ht="15" customHeight="1" outlineLevel="1">
      <c r="A391" s="3062"/>
      <c r="B391" s="3085"/>
      <c r="C391" s="3052"/>
      <c r="D391" s="1261">
        <v>2022</v>
      </c>
      <c r="E391" s="1271">
        <f t="shared" si="39"/>
        <v>0</v>
      </c>
      <c r="F391" s="1271">
        <v>0</v>
      </c>
      <c r="G391" s="1271">
        <v>0</v>
      </c>
      <c r="H391" s="1271">
        <v>0</v>
      </c>
      <c r="I391" s="1278">
        <v>0</v>
      </c>
      <c r="J391" s="3065"/>
      <c r="K391" s="3065"/>
      <c r="L391" s="3097"/>
    </row>
    <row r="392" spans="1:12" ht="15" customHeight="1" outlineLevel="1">
      <c r="A392" s="3062"/>
      <c r="B392" s="3085"/>
      <c r="C392" s="3052"/>
      <c r="D392" s="1261">
        <v>2023</v>
      </c>
      <c r="E392" s="1271">
        <f t="shared" si="39"/>
        <v>0</v>
      </c>
      <c r="F392" s="1271">
        <v>0</v>
      </c>
      <c r="G392" s="1271">
        <v>0</v>
      </c>
      <c r="H392" s="1271">
        <v>0</v>
      </c>
      <c r="I392" s="1278">
        <v>0</v>
      </c>
      <c r="J392" s="3065"/>
      <c r="K392" s="3065"/>
      <c r="L392" s="3097"/>
    </row>
    <row r="393" spans="1:12" ht="15" customHeight="1" outlineLevel="1">
      <c r="A393" s="3062"/>
      <c r="B393" s="3085"/>
      <c r="C393" s="3052"/>
      <c r="D393" s="1261">
        <v>2024</v>
      </c>
      <c r="E393" s="1271">
        <f t="shared" si="39"/>
        <v>0</v>
      </c>
      <c r="F393" s="1271">
        <v>0</v>
      </c>
      <c r="G393" s="1271">
        <v>0</v>
      </c>
      <c r="H393" s="1271">
        <v>0</v>
      </c>
      <c r="I393" s="1278">
        <v>0</v>
      </c>
      <c r="J393" s="3065"/>
      <c r="K393" s="3065"/>
      <c r="L393" s="3097"/>
    </row>
    <row r="394" spans="1:12" ht="15" customHeight="1" outlineLevel="1">
      <c r="A394" s="3063"/>
      <c r="B394" s="3086"/>
      <c r="C394" s="3052"/>
      <c r="D394" s="1261">
        <v>2025</v>
      </c>
      <c r="E394" s="1271">
        <f t="shared" si="39"/>
        <v>0</v>
      </c>
      <c r="F394" s="1271">
        <v>0</v>
      </c>
      <c r="G394" s="1271">
        <v>0</v>
      </c>
      <c r="H394" s="1271">
        <v>0</v>
      </c>
      <c r="I394" s="1278">
        <v>0</v>
      </c>
      <c r="J394" s="3066"/>
      <c r="K394" s="3066"/>
      <c r="L394" s="3097"/>
    </row>
    <row r="395" spans="1:12" ht="15" customHeight="1" outlineLevel="1">
      <c r="A395" s="3061" t="s">
        <v>3096</v>
      </c>
      <c r="B395" s="3079" t="s">
        <v>2939</v>
      </c>
      <c r="C395" s="3052">
        <v>2022</v>
      </c>
      <c r="D395" s="1261" t="s">
        <v>8</v>
      </c>
      <c r="E395" s="1271">
        <f t="shared" si="39"/>
        <v>0</v>
      </c>
      <c r="F395" s="1271">
        <f>SUM(F396:F400)</f>
        <v>0</v>
      </c>
      <c r="G395" s="1271">
        <f>SUM(G396:G400)</f>
        <v>0</v>
      </c>
      <c r="H395" s="1271">
        <f>SUM(H396:H400)</f>
        <v>0</v>
      </c>
      <c r="I395" s="1271">
        <f>SUM(I396:I400)</f>
        <v>0</v>
      </c>
      <c r="J395" s="3064" t="s">
        <v>3095</v>
      </c>
      <c r="K395" s="3053" t="s">
        <v>2993</v>
      </c>
      <c r="L395" s="3097" t="s">
        <v>3081</v>
      </c>
    </row>
    <row r="396" spans="1:12" ht="15" customHeight="1" outlineLevel="1">
      <c r="A396" s="3062"/>
      <c r="B396" s="3085"/>
      <c r="C396" s="3052"/>
      <c r="D396" s="1261">
        <v>2021</v>
      </c>
      <c r="E396" s="1271">
        <f t="shared" si="39"/>
        <v>0</v>
      </c>
      <c r="F396" s="1271">
        <v>0</v>
      </c>
      <c r="G396" s="1271">
        <v>0</v>
      </c>
      <c r="H396" s="1271">
        <v>0</v>
      </c>
      <c r="I396" s="1271">
        <v>0</v>
      </c>
      <c r="J396" s="3065"/>
      <c r="K396" s="3053"/>
      <c r="L396" s="3097"/>
    </row>
    <row r="397" spans="1:12" ht="15" customHeight="1" outlineLevel="1">
      <c r="A397" s="3062"/>
      <c r="B397" s="3085"/>
      <c r="C397" s="3052"/>
      <c r="D397" s="1261">
        <v>2022</v>
      </c>
      <c r="E397" s="1271">
        <f t="shared" si="39"/>
        <v>0</v>
      </c>
      <c r="F397" s="1271">
        <v>0</v>
      </c>
      <c r="G397" s="1271">
        <v>0</v>
      </c>
      <c r="H397" s="1271">
        <v>0</v>
      </c>
      <c r="I397" s="1271">
        <v>0</v>
      </c>
      <c r="J397" s="3065"/>
      <c r="K397" s="3053"/>
      <c r="L397" s="3097"/>
    </row>
    <row r="398" spans="1:12" ht="15" customHeight="1" outlineLevel="1">
      <c r="A398" s="3062"/>
      <c r="B398" s="3085"/>
      <c r="C398" s="3052"/>
      <c r="D398" s="1261">
        <v>2023</v>
      </c>
      <c r="E398" s="1271">
        <f t="shared" si="39"/>
        <v>0</v>
      </c>
      <c r="F398" s="1271">
        <v>0</v>
      </c>
      <c r="G398" s="1271">
        <v>0</v>
      </c>
      <c r="H398" s="1271">
        <v>0</v>
      </c>
      <c r="I398" s="1271">
        <v>0</v>
      </c>
      <c r="J398" s="3065"/>
      <c r="K398" s="3053"/>
      <c r="L398" s="3097"/>
    </row>
    <row r="399" spans="1:12" ht="15" customHeight="1" outlineLevel="1">
      <c r="A399" s="3062"/>
      <c r="B399" s="3085"/>
      <c r="C399" s="3052"/>
      <c r="D399" s="1261">
        <v>2024</v>
      </c>
      <c r="E399" s="1271">
        <f t="shared" si="39"/>
        <v>0</v>
      </c>
      <c r="F399" s="1271">
        <v>0</v>
      </c>
      <c r="G399" s="1271">
        <v>0</v>
      </c>
      <c r="H399" s="1271">
        <v>0</v>
      </c>
      <c r="I399" s="1271">
        <v>0</v>
      </c>
      <c r="J399" s="3065"/>
      <c r="K399" s="3053"/>
      <c r="L399" s="3097"/>
    </row>
    <row r="400" spans="1:12" ht="15" customHeight="1" outlineLevel="1">
      <c r="A400" s="3063"/>
      <c r="B400" s="3086"/>
      <c r="C400" s="3052"/>
      <c r="D400" s="1261">
        <v>2025</v>
      </c>
      <c r="E400" s="1271">
        <f t="shared" si="39"/>
        <v>0</v>
      </c>
      <c r="F400" s="1271">
        <v>0</v>
      </c>
      <c r="G400" s="1271">
        <v>0</v>
      </c>
      <c r="H400" s="1271">
        <v>0</v>
      </c>
      <c r="I400" s="1271">
        <v>0</v>
      </c>
      <c r="J400" s="3065"/>
      <c r="K400" s="3053"/>
      <c r="L400" s="3097"/>
    </row>
    <row r="401" spans="1:16" ht="15" customHeight="1" outlineLevel="1">
      <c r="A401" s="3061" t="s">
        <v>3094</v>
      </c>
      <c r="B401" s="3079" t="s">
        <v>2940</v>
      </c>
      <c r="C401" s="3052">
        <v>2023</v>
      </c>
      <c r="D401" s="1261" t="s">
        <v>8</v>
      </c>
      <c r="E401" s="1271">
        <f t="shared" si="39"/>
        <v>0</v>
      </c>
      <c r="F401" s="1271">
        <f>SUM(F402:F406)</f>
        <v>0</v>
      </c>
      <c r="G401" s="1271">
        <f>SUM(G402:G406)</f>
        <v>0</v>
      </c>
      <c r="H401" s="1271">
        <f>SUM(H402:H406)</f>
        <v>0</v>
      </c>
      <c r="I401" s="1271">
        <f>SUM(I402:I406)</f>
        <v>0</v>
      </c>
      <c r="J401" s="3053" t="s">
        <v>3093</v>
      </c>
      <c r="K401" s="3053" t="s">
        <v>3077</v>
      </c>
      <c r="L401" s="3097" t="s">
        <v>3081</v>
      </c>
    </row>
    <row r="402" spans="1:16" ht="15" customHeight="1" outlineLevel="1">
      <c r="A402" s="3062"/>
      <c r="B402" s="3085"/>
      <c r="C402" s="3052"/>
      <c r="D402" s="1261">
        <v>2021</v>
      </c>
      <c r="E402" s="1271">
        <f t="shared" si="39"/>
        <v>0</v>
      </c>
      <c r="F402" s="1271">
        <v>0</v>
      </c>
      <c r="G402" s="1271">
        <v>0</v>
      </c>
      <c r="H402" s="1271">
        <v>0</v>
      </c>
      <c r="I402" s="1271">
        <v>0</v>
      </c>
      <c r="J402" s="3053"/>
      <c r="K402" s="3053"/>
      <c r="L402" s="3097"/>
    </row>
    <row r="403" spans="1:16" ht="15" customHeight="1" outlineLevel="1">
      <c r="A403" s="3062"/>
      <c r="B403" s="3085"/>
      <c r="C403" s="3052"/>
      <c r="D403" s="1261">
        <v>2022</v>
      </c>
      <c r="E403" s="1271">
        <f t="shared" si="39"/>
        <v>0</v>
      </c>
      <c r="F403" s="1271">
        <v>0</v>
      </c>
      <c r="G403" s="1271">
        <v>0</v>
      </c>
      <c r="H403" s="1271">
        <v>0</v>
      </c>
      <c r="I403" s="1271">
        <v>0</v>
      </c>
      <c r="J403" s="3053"/>
      <c r="K403" s="3053"/>
      <c r="L403" s="3097"/>
    </row>
    <row r="404" spans="1:16" ht="15" customHeight="1" outlineLevel="1">
      <c r="A404" s="3062"/>
      <c r="B404" s="3085"/>
      <c r="C404" s="3052"/>
      <c r="D404" s="1261">
        <v>2023</v>
      </c>
      <c r="E404" s="1271">
        <f t="shared" si="39"/>
        <v>0</v>
      </c>
      <c r="F404" s="1271">
        <v>0</v>
      </c>
      <c r="G404" s="1271">
        <v>0</v>
      </c>
      <c r="H404" s="1271">
        <v>0</v>
      </c>
      <c r="I404" s="1271">
        <v>0</v>
      </c>
      <c r="J404" s="3053"/>
      <c r="K404" s="3053"/>
      <c r="L404" s="3097"/>
    </row>
    <row r="405" spans="1:16" ht="15" customHeight="1" outlineLevel="1">
      <c r="A405" s="3062"/>
      <c r="B405" s="3085"/>
      <c r="C405" s="3052"/>
      <c r="D405" s="1261">
        <v>2024</v>
      </c>
      <c r="E405" s="1271">
        <f t="shared" si="39"/>
        <v>0</v>
      </c>
      <c r="F405" s="1271">
        <v>0</v>
      </c>
      <c r="G405" s="1271">
        <v>0</v>
      </c>
      <c r="H405" s="1271">
        <v>0</v>
      </c>
      <c r="I405" s="1271">
        <v>0</v>
      </c>
      <c r="J405" s="3053"/>
      <c r="K405" s="3053"/>
      <c r="L405" s="3097"/>
    </row>
    <row r="406" spans="1:16" ht="15" customHeight="1" outlineLevel="1">
      <c r="A406" s="3063"/>
      <c r="B406" s="3086"/>
      <c r="C406" s="3052"/>
      <c r="D406" s="1261">
        <v>2025</v>
      </c>
      <c r="E406" s="1271">
        <f t="shared" si="39"/>
        <v>0</v>
      </c>
      <c r="F406" s="1271">
        <v>0</v>
      </c>
      <c r="G406" s="1271">
        <v>0</v>
      </c>
      <c r="H406" s="1271">
        <v>0</v>
      </c>
      <c r="I406" s="1271">
        <v>0</v>
      </c>
      <c r="J406" s="3053"/>
      <c r="K406" s="3053"/>
      <c r="L406" s="3097"/>
    </row>
    <row r="407" spans="1:16" s="1258" customFormat="1" ht="15" customHeight="1" outlineLevel="1">
      <c r="A407" s="3061" t="s">
        <v>3092</v>
      </c>
      <c r="B407" s="3079" t="s">
        <v>2941</v>
      </c>
      <c r="C407" s="3052">
        <v>2022</v>
      </c>
      <c r="D407" s="1261" t="s">
        <v>8</v>
      </c>
      <c r="E407" s="1271">
        <f t="shared" si="39"/>
        <v>0</v>
      </c>
      <c r="F407" s="1271">
        <f>SUM(F408:F412)</f>
        <v>0</v>
      </c>
      <c r="G407" s="1271">
        <f>SUM(G408:G412)</f>
        <v>0</v>
      </c>
      <c r="H407" s="1271">
        <f>SUM(H408:H412)</f>
        <v>0</v>
      </c>
      <c r="I407" s="1271">
        <f>SUM(I408:I412)</f>
        <v>0</v>
      </c>
      <c r="J407" s="3053" t="s">
        <v>3091</v>
      </c>
      <c r="K407" s="3053" t="s">
        <v>3090</v>
      </c>
      <c r="M407" s="1259"/>
      <c r="N407" s="1260"/>
      <c r="O407" s="1260"/>
      <c r="P407" s="1260"/>
    </row>
    <row r="408" spans="1:16" s="1258" customFormat="1" ht="15" customHeight="1" outlineLevel="1">
      <c r="A408" s="3062"/>
      <c r="B408" s="3085"/>
      <c r="C408" s="3052"/>
      <c r="D408" s="1261">
        <v>2021</v>
      </c>
      <c r="E408" s="1271">
        <f t="shared" si="39"/>
        <v>0</v>
      </c>
      <c r="F408" s="1271">
        <v>0</v>
      </c>
      <c r="G408" s="1271">
        <v>0</v>
      </c>
      <c r="H408" s="1271">
        <v>0</v>
      </c>
      <c r="I408" s="1271">
        <v>0</v>
      </c>
      <c r="J408" s="3053"/>
      <c r="K408" s="3053"/>
      <c r="M408" s="1259"/>
      <c r="N408" s="1260"/>
      <c r="O408" s="1260"/>
      <c r="P408" s="1260"/>
    </row>
    <row r="409" spans="1:16" s="1258" customFormat="1" ht="15" customHeight="1" outlineLevel="1">
      <c r="A409" s="3062"/>
      <c r="B409" s="3085"/>
      <c r="C409" s="3052"/>
      <c r="D409" s="1261">
        <v>2022</v>
      </c>
      <c r="E409" s="1271">
        <f t="shared" si="39"/>
        <v>0</v>
      </c>
      <c r="F409" s="1271">
        <f>6000-6000</f>
        <v>0</v>
      </c>
      <c r="G409" s="1271">
        <v>0</v>
      </c>
      <c r="H409" s="1271">
        <v>0</v>
      </c>
      <c r="I409" s="1271">
        <v>0</v>
      </c>
      <c r="J409" s="3053"/>
      <c r="K409" s="3053"/>
      <c r="M409" s="1259"/>
      <c r="N409" s="1260"/>
      <c r="O409" s="1260"/>
      <c r="P409" s="1260"/>
    </row>
    <row r="410" spans="1:16" s="1258" customFormat="1" ht="15" customHeight="1" outlineLevel="1">
      <c r="A410" s="3062"/>
      <c r="B410" s="3085"/>
      <c r="C410" s="3052"/>
      <c r="D410" s="1261">
        <v>2023</v>
      </c>
      <c r="E410" s="1271">
        <f t="shared" si="39"/>
        <v>0</v>
      </c>
      <c r="F410" s="1271">
        <v>0</v>
      </c>
      <c r="G410" s="1271">
        <v>0</v>
      </c>
      <c r="H410" s="1271">
        <v>0</v>
      </c>
      <c r="I410" s="1271">
        <v>0</v>
      </c>
      <c r="J410" s="3053"/>
      <c r="K410" s="3053"/>
      <c r="M410" s="1259"/>
      <c r="N410" s="1260"/>
      <c r="O410" s="1260"/>
      <c r="P410" s="1260"/>
    </row>
    <row r="411" spans="1:16" s="1258" customFormat="1" ht="15" customHeight="1" outlineLevel="1">
      <c r="A411" s="3062"/>
      <c r="B411" s="3085"/>
      <c r="C411" s="3052"/>
      <c r="D411" s="1261">
        <v>2024</v>
      </c>
      <c r="E411" s="1271">
        <f t="shared" si="39"/>
        <v>0</v>
      </c>
      <c r="F411" s="1271">
        <v>0</v>
      </c>
      <c r="G411" s="1271">
        <v>0</v>
      </c>
      <c r="H411" s="1271">
        <v>0</v>
      </c>
      <c r="I411" s="1271">
        <v>0</v>
      </c>
      <c r="J411" s="3053"/>
      <c r="K411" s="3053"/>
      <c r="M411" s="1259"/>
      <c r="N411" s="1260"/>
      <c r="O411" s="1260"/>
      <c r="P411" s="1260"/>
    </row>
    <row r="412" spans="1:16" s="1258" customFormat="1" ht="15" customHeight="1" outlineLevel="1">
      <c r="A412" s="3063"/>
      <c r="B412" s="3086"/>
      <c r="C412" s="3052"/>
      <c r="D412" s="1261">
        <v>2025</v>
      </c>
      <c r="E412" s="1271">
        <f t="shared" si="39"/>
        <v>0</v>
      </c>
      <c r="F412" s="1271">
        <v>0</v>
      </c>
      <c r="G412" s="1271">
        <v>0</v>
      </c>
      <c r="H412" s="1271">
        <v>0</v>
      </c>
      <c r="I412" s="1271">
        <v>0</v>
      </c>
      <c r="J412" s="3053"/>
      <c r="K412" s="3053"/>
      <c r="M412" s="1259"/>
      <c r="N412" s="1260"/>
      <c r="O412" s="1260"/>
      <c r="P412" s="1260"/>
    </row>
    <row r="413" spans="1:16" s="1258" customFormat="1" ht="15" customHeight="1" outlineLevel="1">
      <c r="A413" s="3061" t="s">
        <v>3089</v>
      </c>
      <c r="B413" s="3079" t="s">
        <v>2942</v>
      </c>
      <c r="C413" s="3052">
        <v>2022</v>
      </c>
      <c r="D413" s="1261" t="s">
        <v>8</v>
      </c>
      <c r="E413" s="1271">
        <f t="shared" si="39"/>
        <v>5000</v>
      </c>
      <c r="F413" s="1271">
        <f>SUM(F414:F418)</f>
        <v>4750</v>
      </c>
      <c r="G413" s="1271">
        <f>SUM(G414:G418)</f>
        <v>0</v>
      </c>
      <c r="H413" s="1271">
        <f>SUM(H414:H418)</f>
        <v>250</v>
      </c>
      <c r="I413" s="1271">
        <f>SUM(I414:I418)</f>
        <v>0</v>
      </c>
      <c r="J413" s="3053" t="s">
        <v>3088</v>
      </c>
      <c r="K413" s="3053" t="s">
        <v>2993</v>
      </c>
      <c r="M413" s="1259"/>
      <c r="N413" s="1260"/>
      <c r="O413" s="1260"/>
      <c r="P413" s="1260"/>
    </row>
    <row r="414" spans="1:16" s="1258" customFormat="1" ht="15" customHeight="1" outlineLevel="1">
      <c r="A414" s="3062"/>
      <c r="B414" s="3085"/>
      <c r="C414" s="3052"/>
      <c r="D414" s="1261">
        <v>2021</v>
      </c>
      <c r="E414" s="1271">
        <f t="shared" si="39"/>
        <v>0</v>
      </c>
      <c r="F414" s="1271">
        <v>0</v>
      </c>
      <c r="G414" s="1271">
        <v>0</v>
      </c>
      <c r="H414" s="1271">
        <v>0</v>
      </c>
      <c r="I414" s="1271">
        <v>0</v>
      </c>
      <c r="J414" s="3053"/>
      <c r="K414" s="3053"/>
      <c r="M414" s="1259"/>
      <c r="N414" s="1260"/>
      <c r="O414" s="1260"/>
      <c r="P414" s="1260"/>
    </row>
    <row r="415" spans="1:16" s="1258" customFormat="1" ht="15" customHeight="1" outlineLevel="1">
      <c r="A415" s="3062"/>
      <c r="B415" s="3085"/>
      <c r="C415" s="3052"/>
      <c r="D415" s="1261">
        <v>2022</v>
      </c>
      <c r="E415" s="1271">
        <f t="shared" si="39"/>
        <v>5000</v>
      </c>
      <c r="F415" s="1271">
        <f>4750000/1000</f>
        <v>4750</v>
      </c>
      <c r="G415" s="1271">
        <v>0</v>
      </c>
      <c r="H415" s="1271">
        <f>F415*5%/95%</f>
        <v>250</v>
      </c>
      <c r="I415" s="1271">
        <v>0</v>
      </c>
      <c r="J415" s="3053"/>
      <c r="K415" s="3053"/>
      <c r="M415" s="1259"/>
      <c r="N415" s="1260"/>
      <c r="O415" s="1260"/>
      <c r="P415" s="1260"/>
    </row>
    <row r="416" spans="1:16" s="1258" customFormat="1" ht="15" customHeight="1" outlineLevel="1">
      <c r="A416" s="3062"/>
      <c r="B416" s="3085"/>
      <c r="C416" s="3052"/>
      <c r="D416" s="1261">
        <v>2023</v>
      </c>
      <c r="E416" s="1271">
        <f t="shared" si="39"/>
        <v>0</v>
      </c>
      <c r="F416" s="1271">
        <v>0</v>
      </c>
      <c r="G416" s="1271">
        <v>0</v>
      </c>
      <c r="H416" s="1271">
        <v>0</v>
      </c>
      <c r="I416" s="1271">
        <v>0</v>
      </c>
      <c r="J416" s="3053"/>
      <c r="K416" s="3053"/>
      <c r="M416" s="1259"/>
      <c r="N416" s="1260"/>
      <c r="O416" s="1260"/>
      <c r="P416" s="1260"/>
    </row>
    <row r="417" spans="1:16" s="1258" customFormat="1" ht="15" customHeight="1" outlineLevel="1">
      <c r="A417" s="3062"/>
      <c r="B417" s="3085"/>
      <c r="C417" s="3052"/>
      <c r="D417" s="1261">
        <v>2024</v>
      </c>
      <c r="E417" s="1271">
        <f t="shared" si="39"/>
        <v>0</v>
      </c>
      <c r="F417" s="1271">
        <v>0</v>
      </c>
      <c r="G417" s="1271">
        <v>0</v>
      </c>
      <c r="H417" s="1271">
        <v>0</v>
      </c>
      <c r="I417" s="1271">
        <v>0</v>
      </c>
      <c r="J417" s="3053"/>
      <c r="K417" s="3053"/>
      <c r="M417" s="1259"/>
      <c r="N417" s="1260"/>
      <c r="O417" s="1260"/>
      <c r="P417" s="1260"/>
    </row>
    <row r="418" spans="1:16" s="1258" customFormat="1" ht="15" customHeight="1" outlineLevel="1">
      <c r="A418" s="3063"/>
      <c r="B418" s="3085"/>
      <c r="C418" s="3052"/>
      <c r="D418" s="1261">
        <v>2025</v>
      </c>
      <c r="E418" s="1271">
        <f t="shared" si="39"/>
        <v>0</v>
      </c>
      <c r="F418" s="1271">
        <v>0</v>
      </c>
      <c r="G418" s="1271">
        <v>0</v>
      </c>
      <c r="H418" s="1271">
        <v>0</v>
      </c>
      <c r="I418" s="1271">
        <v>0</v>
      </c>
      <c r="J418" s="3053"/>
      <c r="K418" s="3053"/>
      <c r="M418" s="1259"/>
      <c r="N418" s="1260"/>
      <c r="O418" s="1260"/>
      <c r="P418" s="1260"/>
    </row>
    <row r="419" spans="1:16" s="1258" customFormat="1" ht="15" customHeight="1" outlineLevel="1">
      <c r="A419" s="3061" t="s">
        <v>3087</v>
      </c>
      <c r="B419" s="3079" t="s">
        <v>2943</v>
      </c>
      <c r="C419" s="3052">
        <v>2022</v>
      </c>
      <c r="D419" s="1261" t="s">
        <v>8</v>
      </c>
      <c r="E419" s="1271">
        <f t="shared" si="39"/>
        <v>0</v>
      </c>
      <c r="F419" s="1271">
        <f>SUM(F420:F424)</f>
        <v>0</v>
      </c>
      <c r="G419" s="1271">
        <f t="shared" ref="G419:G449" si="40">SUM(G420:G424)</f>
        <v>0</v>
      </c>
      <c r="H419" s="1271">
        <f>SUM(H420:H424)</f>
        <v>0</v>
      </c>
      <c r="I419" s="1271">
        <f t="shared" ref="I419:I467" si="41">SUM(I420:I424)</f>
        <v>0</v>
      </c>
      <c r="J419" s="3053" t="s">
        <v>3086</v>
      </c>
      <c r="K419" s="3053" t="s">
        <v>2993</v>
      </c>
      <c r="M419" s="1259"/>
      <c r="N419" s="1260"/>
      <c r="O419" s="1260"/>
      <c r="P419" s="1260"/>
    </row>
    <row r="420" spans="1:16" s="1258" customFormat="1" ht="15" customHeight="1" outlineLevel="1">
      <c r="A420" s="3062"/>
      <c r="B420" s="3085"/>
      <c r="C420" s="3052"/>
      <c r="D420" s="1261">
        <v>2021</v>
      </c>
      <c r="E420" s="1271">
        <f t="shared" si="39"/>
        <v>0</v>
      </c>
      <c r="F420" s="1271">
        <v>0</v>
      </c>
      <c r="G420" s="1271">
        <f t="shared" si="40"/>
        <v>0</v>
      </c>
      <c r="H420" s="1271">
        <v>0</v>
      </c>
      <c r="I420" s="1271">
        <f t="shared" si="41"/>
        <v>0</v>
      </c>
      <c r="J420" s="3053"/>
      <c r="K420" s="3053"/>
      <c r="M420" s="1259"/>
      <c r="N420" s="1260"/>
      <c r="O420" s="1260"/>
      <c r="P420" s="1260"/>
    </row>
    <row r="421" spans="1:16" s="1258" customFormat="1" ht="15" customHeight="1" outlineLevel="1">
      <c r="A421" s="3062"/>
      <c r="B421" s="3085"/>
      <c r="C421" s="3052"/>
      <c r="D421" s="1261">
        <v>2022</v>
      </c>
      <c r="E421" s="1271">
        <f t="shared" si="39"/>
        <v>0</v>
      </c>
      <c r="F421" s="1271">
        <v>0</v>
      </c>
      <c r="G421" s="1271">
        <f t="shared" si="40"/>
        <v>0</v>
      </c>
      <c r="H421" s="1271">
        <v>0</v>
      </c>
      <c r="I421" s="1271">
        <f t="shared" si="41"/>
        <v>0</v>
      </c>
      <c r="J421" s="3053"/>
      <c r="K421" s="3053"/>
      <c r="M421" s="1259"/>
      <c r="N421" s="1260"/>
      <c r="O421" s="1260"/>
      <c r="P421" s="1260"/>
    </row>
    <row r="422" spans="1:16" s="1258" customFormat="1" ht="15" customHeight="1" outlineLevel="1">
      <c r="A422" s="3062"/>
      <c r="B422" s="3085"/>
      <c r="C422" s="3052"/>
      <c r="D422" s="1261">
        <v>2023</v>
      </c>
      <c r="E422" s="1271">
        <f t="shared" si="39"/>
        <v>0</v>
      </c>
      <c r="F422" s="1271">
        <v>0</v>
      </c>
      <c r="G422" s="1271">
        <f t="shared" si="40"/>
        <v>0</v>
      </c>
      <c r="H422" s="1271">
        <v>0</v>
      </c>
      <c r="I422" s="1271">
        <f t="shared" si="41"/>
        <v>0</v>
      </c>
      <c r="J422" s="3053"/>
      <c r="K422" s="3053"/>
      <c r="M422" s="1259"/>
      <c r="N422" s="1260"/>
      <c r="O422" s="1260"/>
      <c r="P422" s="1260"/>
    </row>
    <row r="423" spans="1:16" ht="15" customHeight="1" outlineLevel="1">
      <c r="A423" s="3062"/>
      <c r="B423" s="3085"/>
      <c r="C423" s="3052"/>
      <c r="D423" s="1261">
        <v>2024</v>
      </c>
      <c r="E423" s="1271">
        <f t="shared" si="39"/>
        <v>0</v>
      </c>
      <c r="F423" s="1271">
        <v>0</v>
      </c>
      <c r="G423" s="1271">
        <f t="shared" si="40"/>
        <v>0</v>
      </c>
      <c r="H423" s="1271">
        <v>0</v>
      </c>
      <c r="I423" s="1271">
        <f t="shared" si="41"/>
        <v>0</v>
      </c>
      <c r="J423" s="3053"/>
      <c r="K423" s="3053"/>
    </row>
    <row r="424" spans="1:16" ht="15" customHeight="1" outlineLevel="1">
      <c r="A424" s="3063"/>
      <c r="B424" s="3085"/>
      <c r="C424" s="3052"/>
      <c r="D424" s="1261">
        <v>2025</v>
      </c>
      <c r="E424" s="1271">
        <f t="shared" si="39"/>
        <v>0</v>
      </c>
      <c r="F424" s="1271">
        <v>0</v>
      </c>
      <c r="G424" s="1271">
        <f t="shared" si="40"/>
        <v>0</v>
      </c>
      <c r="H424" s="1271">
        <v>0</v>
      </c>
      <c r="I424" s="1271">
        <f t="shared" si="41"/>
        <v>0</v>
      </c>
      <c r="J424" s="3053"/>
      <c r="K424" s="3053"/>
    </row>
    <row r="425" spans="1:16" ht="15" customHeight="1" outlineLevel="1">
      <c r="A425" s="3061" t="s">
        <v>3085</v>
      </c>
      <c r="B425" s="3079" t="s">
        <v>2944</v>
      </c>
      <c r="C425" s="3052">
        <v>2022</v>
      </c>
      <c r="D425" s="1261" t="s">
        <v>8</v>
      </c>
      <c r="E425" s="1271">
        <f t="shared" si="39"/>
        <v>6815.7889999999998</v>
      </c>
      <c r="F425" s="1271">
        <f>SUM(F426:F430)</f>
        <v>6475</v>
      </c>
      <c r="G425" s="1271">
        <f t="shared" si="40"/>
        <v>0</v>
      </c>
      <c r="H425" s="1271">
        <f>SUM(H426:H430)</f>
        <v>340.78899999999999</v>
      </c>
      <c r="I425" s="1271">
        <f t="shared" si="41"/>
        <v>0</v>
      </c>
      <c r="J425" s="3053" t="s">
        <v>3084</v>
      </c>
      <c r="K425" s="3053" t="s">
        <v>2993</v>
      </c>
    </row>
    <row r="426" spans="1:16" ht="15" customHeight="1" outlineLevel="1">
      <c r="A426" s="3062"/>
      <c r="B426" s="3085"/>
      <c r="C426" s="3052"/>
      <c r="D426" s="1261">
        <v>2021</v>
      </c>
      <c r="E426" s="1271">
        <f t="shared" si="39"/>
        <v>0</v>
      </c>
      <c r="F426" s="1271">
        <v>0</v>
      </c>
      <c r="G426" s="1271">
        <v>0</v>
      </c>
      <c r="H426" s="1271">
        <v>0</v>
      </c>
      <c r="I426" s="1271">
        <f t="shared" si="41"/>
        <v>0</v>
      </c>
      <c r="J426" s="3053"/>
      <c r="K426" s="3053"/>
    </row>
    <row r="427" spans="1:16" ht="15" customHeight="1" outlineLevel="1">
      <c r="A427" s="3062"/>
      <c r="B427" s="3085"/>
      <c r="C427" s="3052"/>
      <c r="D427" s="1261">
        <v>2022</v>
      </c>
      <c r="E427" s="1271">
        <f t="shared" si="39"/>
        <v>6815.7889999999998</v>
      </c>
      <c r="F427" s="1271">
        <v>6475</v>
      </c>
      <c r="G427" s="1271">
        <v>0</v>
      </c>
      <c r="H427" s="1271">
        <v>340.78899999999999</v>
      </c>
      <c r="I427" s="1271">
        <f t="shared" si="41"/>
        <v>0</v>
      </c>
      <c r="J427" s="3053"/>
      <c r="K427" s="3053"/>
    </row>
    <row r="428" spans="1:16" ht="15" customHeight="1" outlineLevel="1">
      <c r="A428" s="3062"/>
      <c r="B428" s="3085"/>
      <c r="C428" s="3052"/>
      <c r="D428" s="1261">
        <v>2023</v>
      </c>
      <c r="E428" s="1271">
        <f t="shared" si="39"/>
        <v>0</v>
      </c>
      <c r="F428" s="1271">
        <v>0</v>
      </c>
      <c r="G428" s="1271">
        <v>0</v>
      </c>
      <c r="H428" s="1271">
        <v>0</v>
      </c>
      <c r="I428" s="1271">
        <f t="shared" si="41"/>
        <v>0</v>
      </c>
      <c r="J428" s="3053"/>
      <c r="K428" s="3053"/>
    </row>
    <row r="429" spans="1:16" ht="15" customHeight="1" outlineLevel="1">
      <c r="A429" s="3062"/>
      <c r="B429" s="3085"/>
      <c r="C429" s="3052"/>
      <c r="D429" s="1261">
        <v>2024</v>
      </c>
      <c r="E429" s="1271">
        <f t="shared" si="39"/>
        <v>0</v>
      </c>
      <c r="F429" s="1271">
        <v>0</v>
      </c>
      <c r="G429" s="1271">
        <v>0</v>
      </c>
      <c r="H429" s="1271">
        <v>0</v>
      </c>
      <c r="I429" s="1271">
        <f t="shared" si="41"/>
        <v>0</v>
      </c>
      <c r="J429" s="3053"/>
      <c r="K429" s="3053"/>
    </row>
    <row r="430" spans="1:16" ht="15" customHeight="1" outlineLevel="1">
      <c r="A430" s="3063"/>
      <c r="B430" s="3085"/>
      <c r="C430" s="3052"/>
      <c r="D430" s="1261">
        <v>2025</v>
      </c>
      <c r="E430" s="1271">
        <f t="shared" ref="E430:E493" si="42">SUM(F430:I430)</f>
        <v>0</v>
      </c>
      <c r="F430" s="1271">
        <v>0</v>
      </c>
      <c r="G430" s="1271">
        <v>0</v>
      </c>
      <c r="H430" s="1271">
        <v>0</v>
      </c>
      <c r="I430" s="1271">
        <f t="shared" si="41"/>
        <v>0</v>
      </c>
      <c r="J430" s="3053"/>
      <c r="K430" s="3053"/>
    </row>
    <row r="431" spans="1:16" ht="15" customHeight="1" outlineLevel="1">
      <c r="A431" s="3061" t="s">
        <v>3083</v>
      </c>
      <c r="B431" s="3079" t="s">
        <v>2945</v>
      </c>
      <c r="C431" s="3052">
        <v>2022</v>
      </c>
      <c r="D431" s="1261" t="s">
        <v>8</v>
      </c>
      <c r="E431" s="1271">
        <f t="shared" si="42"/>
        <v>6717.1717171717173</v>
      </c>
      <c r="F431" s="1271">
        <f>SUM(F432:F436)</f>
        <v>6650</v>
      </c>
      <c r="G431" s="1271">
        <v>0</v>
      </c>
      <c r="H431" s="1271">
        <f>SUM(H432:H436)</f>
        <v>67.171717171717177</v>
      </c>
      <c r="I431" s="1271">
        <f t="shared" si="41"/>
        <v>0</v>
      </c>
      <c r="J431" s="3053" t="s">
        <v>3082</v>
      </c>
      <c r="K431" s="3053" t="s">
        <v>2993</v>
      </c>
      <c r="L431" s="3097" t="s">
        <v>3081</v>
      </c>
    </row>
    <row r="432" spans="1:16" ht="15" customHeight="1" outlineLevel="1">
      <c r="A432" s="3062"/>
      <c r="B432" s="3085"/>
      <c r="C432" s="3052"/>
      <c r="D432" s="1261">
        <v>2021</v>
      </c>
      <c r="E432" s="1271">
        <f t="shared" si="42"/>
        <v>0</v>
      </c>
      <c r="F432" s="1271">
        <v>0</v>
      </c>
      <c r="G432" s="1271">
        <v>0</v>
      </c>
      <c r="H432" s="1271">
        <v>0</v>
      </c>
      <c r="I432" s="1271">
        <f t="shared" si="41"/>
        <v>0</v>
      </c>
      <c r="J432" s="3053"/>
      <c r="K432" s="3053"/>
      <c r="L432" s="3097"/>
    </row>
    <row r="433" spans="1:12" ht="15" customHeight="1" outlineLevel="1">
      <c r="A433" s="3062"/>
      <c r="B433" s="3085"/>
      <c r="C433" s="3052"/>
      <c r="D433" s="1261">
        <v>2022</v>
      </c>
      <c r="E433" s="1271">
        <f t="shared" si="42"/>
        <v>6717.1717171717173</v>
      </c>
      <c r="F433" s="1271">
        <v>6650</v>
      </c>
      <c r="G433" s="1271">
        <v>0</v>
      </c>
      <c r="H433" s="1271">
        <f>F433/99*1</f>
        <v>67.171717171717177</v>
      </c>
      <c r="I433" s="1271">
        <f t="shared" si="41"/>
        <v>0</v>
      </c>
      <c r="J433" s="3053"/>
      <c r="K433" s="3053"/>
      <c r="L433" s="3097"/>
    </row>
    <row r="434" spans="1:12" ht="15" customHeight="1" outlineLevel="1">
      <c r="A434" s="3062"/>
      <c r="B434" s="3085"/>
      <c r="C434" s="3052"/>
      <c r="D434" s="1261">
        <v>2023</v>
      </c>
      <c r="E434" s="1271">
        <f t="shared" si="42"/>
        <v>0</v>
      </c>
      <c r="F434" s="1271">
        <v>0</v>
      </c>
      <c r="G434" s="1271">
        <v>0</v>
      </c>
      <c r="H434" s="1271">
        <v>0</v>
      </c>
      <c r="I434" s="1271">
        <f t="shared" si="41"/>
        <v>0</v>
      </c>
      <c r="J434" s="3053"/>
      <c r="K434" s="3053"/>
      <c r="L434" s="3097"/>
    </row>
    <row r="435" spans="1:12" ht="15" customHeight="1" outlineLevel="1">
      <c r="A435" s="3062"/>
      <c r="B435" s="3085"/>
      <c r="C435" s="3052"/>
      <c r="D435" s="1261">
        <v>2024</v>
      </c>
      <c r="E435" s="1271">
        <f t="shared" si="42"/>
        <v>0</v>
      </c>
      <c r="F435" s="1271">
        <v>0</v>
      </c>
      <c r="G435" s="1271">
        <v>0</v>
      </c>
      <c r="H435" s="1271">
        <v>0</v>
      </c>
      <c r="I435" s="1271">
        <f t="shared" si="41"/>
        <v>0</v>
      </c>
      <c r="J435" s="3053"/>
      <c r="K435" s="3053"/>
      <c r="L435" s="3097"/>
    </row>
    <row r="436" spans="1:12" ht="15" customHeight="1" outlineLevel="1">
      <c r="A436" s="3063"/>
      <c r="B436" s="3085"/>
      <c r="C436" s="3052"/>
      <c r="D436" s="1261">
        <v>2025</v>
      </c>
      <c r="E436" s="1271">
        <f t="shared" si="42"/>
        <v>0</v>
      </c>
      <c r="F436" s="1271">
        <v>0</v>
      </c>
      <c r="G436" s="1271">
        <v>0</v>
      </c>
      <c r="H436" s="1271">
        <v>0</v>
      </c>
      <c r="I436" s="1271">
        <f t="shared" si="41"/>
        <v>0</v>
      </c>
      <c r="J436" s="3053"/>
      <c r="K436" s="3053"/>
      <c r="L436" s="3097"/>
    </row>
    <row r="437" spans="1:12" ht="17.25" customHeight="1" outlineLevel="1">
      <c r="A437" s="3061" t="s">
        <v>3080</v>
      </c>
      <c r="B437" s="3079" t="s">
        <v>2946</v>
      </c>
      <c r="C437" s="3052">
        <v>2023</v>
      </c>
      <c r="D437" s="1261" t="s">
        <v>8</v>
      </c>
      <c r="E437" s="1271">
        <f t="shared" si="42"/>
        <v>0</v>
      </c>
      <c r="F437" s="1271">
        <f>SUM(F438:F442)</f>
        <v>0</v>
      </c>
      <c r="G437" s="1271">
        <v>0</v>
      </c>
      <c r="H437" s="1271">
        <f>SUM(H438:H442)</f>
        <v>0</v>
      </c>
      <c r="I437" s="1271">
        <f t="shared" si="41"/>
        <v>0</v>
      </c>
      <c r="J437" s="3053" t="s">
        <v>3079</v>
      </c>
      <c r="K437" s="3053" t="s">
        <v>3077</v>
      </c>
    </row>
    <row r="438" spans="1:12" ht="17.25" customHeight="1" outlineLevel="1">
      <c r="A438" s="3062"/>
      <c r="B438" s="3085"/>
      <c r="C438" s="3052"/>
      <c r="D438" s="1261">
        <v>2021</v>
      </c>
      <c r="E438" s="1271">
        <f t="shared" si="42"/>
        <v>0</v>
      </c>
      <c r="F438" s="1271">
        <v>0</v>
      </c>
      <c r="G438" s="1271">
        <v>0</v>
      </c>
      <c r="H438" s="1271">
        <v>0</v>
      </c>
      <c r="I438" s="1271">
        <v>0</v>
      </c>
      <c r="J438" s="3053"/>
      <c r="K438" s="3053"/>
    </row>
    <row r="439" spans="1:12" ht="17.25" customHeight="1" outlineLevel="1">
      <c r="A439" s="3062"/>
      <c r="B439" s="3085"/>
      <c r="C439" s="3052"/>
      <c r="D439" s="1261">
        <v>2022</v>
      </c>
      <c r="E439" s="1271">
        <f t="shared" si="42"/>
        <v>0</v>
      </c>
      <c r="F439" s="1271">
        <v>0</v>
      </c>
      <c r="G439" s="1271">
        <v>0</v>
      </c>
      <c r="H439" s="1271">
        <v>0</v>
      </c>
      <c r="I439" s="1271">
        <v>0</v>
      </c>
      <c r="J439" s="3053"/>
      <c r="K439" s="3053"/>
    </row>
    <row r="440" spans="1:12" ht="17.25" customHeight="1" outlineLevel="1">
      <c r="A440" s="3062"/>
      <c r="B440" s="3085"/>
      <c r="C440" s="3052"/>
      <c r="D440" s="1261">
        <v>2023</v>
      </c>
      <c r="E440" s="1271">
        <f t="shared" si="42"/>
        <v>0</v>
      </c>
      <c r="F440" s="1271">
        <v>0</v>
      </c>
      <c r="G440" s="1271">
        <v>0</v>
      </c>
      <c r="H440" s="1271">
        <v>0</v>
      </c>
      <c r="I440" s="1271">
        <v>0</v>
      </c>
      <c r="J440" s="3053"/>
      <c r="K440" s="3053"/>
    </row>
    <row r="441" spans="1:12" ht="17.25" customHeight="1" outlineLevel="1">
      <c r="A441" s="3062"/>
      <c r="B441" s="3085"/>
      <c r="C441" s="3052"/>
      <c r="D441" s="1261">
        <v>2024</v>
      </c>
      <c r="E441" s="1271">
        <f t="shared" si="42"/>
        <v>0</v>
      </c>
      <c r="F441" s="1271">
        <v>0</v>
      </c>
      <c r="G441" s="1271">
        <v>0</v>
      </c>
      <c r="H441" s="1271">
        <v>0</v>
      </c>
      <c r="I441" s="1271">
        <v>0</v>
      </c>
      <c r="J441" s="3053"/>
      <c r="K441" s="3053"/>
    </row>
    <row r="442" spans="1:12" ht="17.25" customHeight="1" outlineLevel="1">
      <c r="A442" s="3063"/>
      <c r="B442" s="3085"/>
      <c r="C442" s="3052"/>
      <c r="D442" s="1261">
        <v>2025</v>
      </c>
      <c r="E442" s="1271">
        <f t="shared" si="42"/>
        <v>0</v>
      </c>
      <c r="F442" s="1271">
        <v>0</v>
      </c>
      <c r="G442" s="1271">
        <v>0</v>
      </c>
      <c r="H442" s="1271">
        <v>0</v>
      </c>
      <c r="I442" s="1271">
        <v>0</v>
      </c>
      <c r="J442" s="3053"/>
      <c r="K442" s="3053"/>
    </row>
    <row r="443" spans="1:12" ht="15" customHeight="1" outlineLevel="1">
      <c r="A443" s="3061" t="s">
        <v>588</v>
      </c>
      <c r="B443" s="3051" t="s">
        <v>2947</v>
      </c>
      <c r="C443" s="3052">
        <v>2022</v>
      </c>
      <c r="D443" s="1261" t="s">
        <v>8</v>
      </c>
      <c r="E443" s="1271">
        <f t="shared" si="42"/>
        <v>0</v>
      </c>
      <c r="F443" s="1271">
        <f>SUM(F444:F448)</f>
        <v>0</v>
      </c>
      <c r="G443" s="1271">
        <f t="shared" si="40"/>
        <v>0</v>
      </c>
      <c r="H443" s="1271">
        <f>SUM(H444:H448)</f>
        <v>0</v>
      </c>
      <c r="I443" s="1271">
        <f t="shared" si="41"/>
        <v>0</v>
      </c>
      <c r="J443" s="3053" t="s">
        <v>3078</v>
      </c>
      <c r="K443" s="3053" t="s">
        <v>2993</v>
      </c>
      <c r="L443" s="3059"/>
    </row>
    <row r="444" spans="1:12" ht="15" customHeight="1" outlineLevel="1">
      <c r="A444" s="3062"/>
      <c r="B444" s="3051"/>
      <c r="C444" s="3052"/>
      <c r="D444" s="1261">
        <v>2021</v>
      </c>
      <c r="E444" s="1271">
        <f t="shared" si="42"/>
        <v>0</v>
      </c>
      <c r="F444" s="1271">
        <v>0</v>
      </c>
      <c r="G444" s="1271">
        <v>0</v>
      </c>
      <c r="H444" s="1271">
        <v>0</v>
      </c>
      <c r="I444" s="1271">
        <v>0</v>
      </c>
      <c r="J444" s="3053"/>
      <c r="K444" s="3053"/>
      <c r="L444" s="3059"/>
    </row>
    <row r="445" spans="1:12" ht="15" customHeight="1" outlineLevel="1">
      <c r="A445" s="3062"/>
      <c r="B445" s="3051"/>
      <c r="C445" s="3052"/>
      <c r="D445" s="1261">
        <v>2022</v>
      </c>
      <c r="E445" s="1271">
        <f t="shared" si="42"/>
        <v>0</v>
      </c>
      <c r="F445" s="1271">
        <v>0</v>
      </c>
      <c r="G445" s="1271">
        <v>0</v>
      </c>
      <c r="H445" s="1271">
        <v>0</v>
      </c>
      <c r="I445" s="1271">
        <v>0</v>
      </c>
      <c r="J445" s="3053"/>
      <c r="K445" s="3053"/>
      <c r="L445" s="3059"/>
    </row>
    <row r="446" spans="1:12" ht="15" customHeight="1" outlineLevel="1">
      <c r="A446" s="3062"/>
      <c r="B446" s="3051"/>
      <c r="C446" s="3052"/>
      <c r="D446" s="1261">
        <v>2023</v>
      </c>
      <c r="E446" s="1271">
        <f t="shared" si="42"/>
        <v>0</v>
      </c>
      <c r="F446" s="1271">
        <v>0</v>
      </c>
      <c r="G446" s="1271">
        <v>0</v>
      </c>
      <c r="H446" s="1271">
        <v>0</v>
      </c>
      <c r="I446" s="1271">
        <v>0</v>
      </c>
      <c r="J446" s="3053"/>
      <c r="K446" s="3053"/>
      <c r="L446" s="3059"/>
    </row>
    <row r="447" spans="1:12" ht="15" customHeight="1" outlineLevel="1">
      <c r="A447" s="3062"/>
      <c r="B447" s="3051"/>
      <c r="C447" s="3052"/>
      <c r="D447" s="1261">
        <v>2024</v>
      </c>
      <c r="E447" s="1271">
        <f t="shared" si="42"/>
        <v>0</v>
      </c>
      <c r="F447" s="1271">
        <v>0</v>
      </c>
      <c r="G447" s="1271">
        <v>0</v>
      </c>
      <c r="H447" s="1271">
        <v>0</v>
      </c>
      <c r="I447" s="1271">
        <v>0</v>
      </c>
      <c r="J447" s="3053"/>
      <c r="K447" s="3053"/>
      <c r="L447" s="3059"/>
    </row>
    <row r="448" spans="1:12" ht="15" customHeight="1" outlineLevel="1">
      <c r="A448" s="3063"/>
      <c r="B448" s="3051"/>
      <c r="C448" s="3052"/>
      <c r="D448" s="1261">
        <v>2025</v>
      </c>
      <c r="E448" s="1271">
        <f t="shared" si="42"/>
        <v>0</v>
      </c>
      <c r="F448" s="1271">
        <v>0</v>
      </c>
      <c r="G448" s="1271">
        <v>0</v>
      </c>
      <c r="H448" s="1271">
        <v>0</v>
      </c>
      <c r="I448" s="1271">
        <v>0</v>
      </c>
      <c r="J448" s="3053"/>
      <c r="K448" s="3053"/>
      <c r="L448" s="3059"/>
    </row>
    <row r="449" spans="1:12" ht="15" customHeight="1" outlineLevel="1">
      <c r="A449" s="3061" t="s">
        <v>592</v>
      </c>
      <c r="B449" s="3079" t="s">
        <v>2948</v>
      </c>
      <c r="C449" s="3052" t="s">
        <v>3042</v>
      </c>
      <c r="D449" s="1261" t="s">
        <v>8</v>
      </c>
      <c r="E449" s="1271">
        <f t="shared" si="42"/>
        <v>66399.149999999994</v>
      </c>
      <c r="F449" s="1271">
        <f>SUM(F450:F454)</f>
        <v>66399.149999999994</v>
      </c>
      <c r="G449" s="1271">
        <f t="shared" si="40"/>
        <v>0</v>
      </c>
      <c r="H449" s="1271">
        <f>SUM(H450:H454)</f>
        <v>0</v>
      </c>
      <c r="I449" s="1271">
        <f t="shared" si="41"/>
        <v>0</v>
      </c>
      <c r="J449" s="3053" t="s">
        <v>3041</v>
      </c>
      <c r="K449" s="3053" t="s">
        <v>3077</v>
      </c>
    </row>
    <row r="450" spans="1:12" ht="15" customHeight="1" outlineLevel="1">
      <c r="A450" s="3062"/>
      <c r="B450" s="3085"/>
      <c r="C450" s="3052"/>
      <c r="D450" s="1261">
        <v>2021</v>
      </c>
      <c r="E450" s="1271">
        <f t="shared" si="42"/>
        <v>0</v>
      </c>
      <c r="F450" s="1271">
        <v>0</v>
      </c>
      <c r="G450" s="1271">
        <v>0</v>
      </c>
      <c r="H450" s="1271">
        <v>0</v>
      </c>
      <c r="I450" s="1271">
        <v>0</v>
      </c>
      <c r="J450" s="3053"/>
      <c r="K450" s="3053"/>
    </row>
    <row r="451" spans="1:12" ht="15" customHeight="1" outlineLevel="1">
      <c r="A451" s="3062"/>
      <c r="B451" s="3085"/>
      <c r="C451" s="3052"/>
      <c r="D451" s="1261">
        <v>2022</v>
      </c>
      <c r="E451" s="1271">
        <f t="shared" si="42"/>
        <v>66399.149999999994</v>
      </c>
      <c r="F451" s="1271">
        <f>200000-21582.6-112018.25</f>
        <v>66399.149999999994</v>
      </c>
      <c r="G451" s="1271">
        <v>0</v>
      </c>
      <c r="H451" s="1271">
        <v>0</v>
      </c>
      <c r="I451" s="1271">
        <v>0</v>
      </c>
      <c r="J451" s="3053"/>
      <c r="K451" s="3053"/>
    </row>
    <row r="452" spans="1:12" ht="15" customHeight="1" outlineLevel="1">
      <c r="A452" s="3062"/>
      <c r="B452" s="3085"/>
      <c r="C452" s="3052"/>
      <c r="D452" s="1261">
        <v>2023</v>
      </c>
      <c r="E452" s="1271">
        <f t="shared" si="42"/>
        <v>0</v>
      </c>
      <c r="F452" s="1271">
        <v>0</v>
      </c>
      <c r="G452" s="1271">
        <v>0</v>
      </c>
      <c r="H452" s="1271">
        <v>0</v>
      </c>
      <c r="I452" s="1271">
        <v>0</v>
      </c>
      <c r="J452" s="3053"/>
      <c r="K452" s="3053"/>
    </row>
    <row r="453" spans="1:12" ht="15" customHeight="1" outlineLevel="1">
      <c r="A453" s="3062"/>
      <c r="B453" s="3085"/>
      <c r="C453" s="3052"/>
      <c r="D453" s="1261">
        <v>2024</v>
      </c>
      <c r="E453" s="1271">
        <f t="shared" si="42"/>
        <v>0</v>
      </c>
      <c r="F453" s="1271">
        <v>0</v>
      </c>
      <c r="G453" s="1271">
        <v>0</v>
      </c>
      <c r="H453" s="1271">
        <v>0</v>
      </c>
      <c r="I453" s="1271">
        <v>0</v>
      </c>
      <c r="J453" s="3053"/>
      <c r="K453" s="3053"/>
    </row>
    <row r="454" spans="1:12" ht="15" customHeight="1" outlineLevel="1">
      <c r="A454" s="3063"/>
      <c r="B454" s="3086"/>
      <c r="C454" s="3052"/>
      <c r="D454" s="1261">
        <v>2025</v>
      </c>
      <c r="E454" s="1271">
        <f t="shared" si="42"/>
        <v>0</v>
      </c>
      <c r="F454" s="1271">
        <v>0</v>
      </c>
      <c r="G454" s="1271">
        <v>0</v>
      </c>
      <c r="H454" s="1271">
        <v>0</v>
      </c>
      <c r="I454" s="1271">
        <v>0</v>
      </c>
      <c r="J454" s="3053"/>
      <c r="K454" s="3053"/>
    </row>
    <row r="455" spans="1:12" ht="15" customHeight="1" outlineLevel="1">
      <c r="A455" s="3061" t="s">
        <v>594</v>
      </c>
      <c r="B455" s="3079" t="s">
        <v>2949</v>
      </c>
      <c r="C455" s="3052">
        <v>2022</v>
      </c>
      <c r="D455" s="1261" t="s">
        <v>8</v>
      </c>
      <c r="E455" s="1279">
        <f t="shared" si="42"/>
        <v>0</v>
      </c>
      <c r="F455" s="1271">
        <f t="shared" ref="F455:H467" si="43">SUM(F456:F460)</f>
        <v>0</v>
      </c>
      <c r="G455" s="1271">
        <f t="shared" si="43"/>
        <v>0</v>
      </c>
      <c r="H455" s="1271">
        <f t="shared" si="43"/>
        <v>0</v>
      </c>
      <c r="I455" s="1271">
        <f t="shared" si="41"/>
        <v>0</v>
      </c>
      <c r="J455" s="3064" t="s">
        <v>3076</v>
      </c>
      <c r="K455" s="3064" t="s">
        <v>2993</v>
      </c>
    </row>
    <row r="456" spans="1:12" ht="15" customHeight="1" outlineLevel="1">
      <c r="A456" s="3062"/>
      <c r="B456" s="3085"/>
      <c r="C456" s="3052"/>
      <c r="D456" s="1261">
        <v>2021</v>
      </c>
      <c r="E456" s="1279">
        <f t="shared" si="42"/>
        <v>0</v>
      </c>
      <c r="F456" s="1279">
        <v>0</v>
      </c>
      <c r="G456" s="1279">
        <v>0</v>
      </c>
      <c r="H456" s="1279">
        <v>0</v>
      </c>
      <c r="I456" s="1271">
        <v>0</v>
      </c>
      <c r="J456" s="3065"/>
      <c r="K456" s="3065"/>
    </row>
    <row r="457" spans="1:12" ht="15" customHeight="1" outlineLevel="1">
      <c r="A457" s="3062"/>
      <c r="B457" s="3085"/>
      <c r="C457" s="3052"/>
      <c r="D457" s="1261">
        <v>2022</v>
      </c>
      <c r="E457" s="1279">
        <f t="shared" si="42"/>
        <v>0</v>
      </c>
      <c r="F457" s="1279">
        <v>0</v>
      </c>
      <c r="G457" s="1279">
        <v>0</v>
      </c>
      <c r="H457" s="1279">
        <v>0</v>
      </c>
      <c r="I457" s="1271">
        <v>0</v>
      </c>
      <c r="J457" s="3065"/>
      <c r="K457" s="3065"/>
    </row>
    <row r="458" spans="1:12" ht="15" customHeight="1" outlineLevel="1">
      <c r="A458" s="3062"/>
      <c r="B458" s="3085"/>
      <c r="C458" s="3052"/>
      <c r="D458" s="1261">
        <v>2023</v>
      </c>
      <c r="E458" s="1279">
        <f t="shared" si="42"/>
        <v>0</v>
      </c>
      <c r="F458" s="1279">
        <v>0</v>
      </c>
      <c r="G458" s="1279">
        <v>0</v>
      </c>
      <c r="H458" s="1279">
        <v>0</v>
      </c>
      <c r="I458" s="1271">
        <v>0</v>
      </c>
      <c r="J458" s="3065"/>
      <c r="K458" s="3065"/>
    </row>
    <row r="459" spans="1:12" ht="15" customHeight="1" outlineLevel="1">
      <c r="A459" s="3062"/>
      <c r="B459" s="3085"/>
      <c r="C459" s="3052"/>
      <c r="D459" s="1261">
        <v>2024</v>
      </c>
      <c r="E459" s="1279">
        <f t="shared" si="42"/>
        <v>0</v>
      </c>
      <c r="F459" s="1279">
        <v>0</v>
      </c>
      <c r="G459" s="1279">
        <v>0</v>
      </c>
      <c r="H459" s="1279">
        <v>0</v>
      </c>
      <c r="I459" s="1271">
        <v>0</v>
      </c>
      <c r="J459" s="3065"/>
      <c r="K459" s="3065"/>
    </row>
    <row r="460" spans="1:12" ht="15" customHeight="1" outlineLevel="1">
      <c r="A460" s="3063"/>
      <c r="B460" s="3086"/>
      <c r="C460" s="3052"/>
      <c r="D460" s="1261">
        <v>2025</v>
      </c>
      <c r="E460" s="1279">
        <f t="shared" si="42"/>
        <v>0</v>
      </c>
      <c r="F460" s="1279">
        <v>0</v>
      </c>
      <c r="G460" s="1279">
        <v>0</v>
      </c>
      <c r="H460" s="1279">
        <v>0</v>
      </c>
      <c r="I460" s="1271">
        <v>0</v>
      </c>
      <c r="J460" s="3066"/>
      <c r="K460" s="3066"/>
    </row>
    <row r="461" spans="1:12" ht="15" customHeight="1" outlineLevel="1">
      <c r="A461" s="3061" t="s">
        <v>596</v>
      </c>
      <c r="B461" s="3079" t="s">
        <v>3075</v>
      </c>
      <c r="C461" s="3052">
        <v>2022</v>
      </c>
      <c r="D461" s="1261" t="s">
        <v>8</v>
      </c>
      <c r="E461" s="1279">
        <f t="shared" si="42"/>
        <v>6133.3262999999997</v>
      </c>
      <c r="F461" s="1271">
        <f t="shared" si="43"/>
        <v>5826.66</v>
      </c>
      <c r="G461" s="1279">
        <v>0</v>
      </c>
      <c r="H461" s="1271">
        <f t="shared" si="43"/>
        <v>306.66629999999998</v>
      </c>
      <c r="I461" s="1271">
        <f t="shared" si="41"/>
        <v>0</v>
      </c>
      <c r="J461" s="3064" t="s">
        <v>3074</v>
      </c>
      <c r="K461" s="3064" t="s">
        <v>2993</v>
      </c>
      <c r="L461" s="3059"/>
    </row>
    <row r="462" spans="1:12" outlineLevel="1">
      <c r="A462" s="3062"/>
      <c r="B462" s="3085"/>
      <c r="C462" s="3052"/>
      <c r="D462" s="1261">
        <v>2021</v>
      </c>
      <c r="E462" s="1279">
        <f t="shared" si="42"/>
        <v>0</v>
      </c>
      <c r="F462" s="1279">
        <v>0</v>
      </c>
      <c r="G462" s="1279">
        <v>0</v>
      </c>
      <c r="H462" s="1279">
        <v>0</v>
      </c>
      <c r="I462" s="1271">
        <v>0</v>
      </c>
      <c r="J462" s="3065"/>
      <c r="K462" s="3065"/>
      <c r="L462" s="3059"/>
    </row>
    <row r="463" spans="1:12" outlineLevel="1">
      <c r="A463" s="3062"/>
      <c r="B463" s="3085"/>
      <c r="C463" s="3052"/>
      <c r="D463" s="1261">
        <v>2022</v>
      </c>
      <c r="E463" s="1279">
        <f t="shared" si="42"/>
        <v>6133.3262999999997</v>
      </c>
      <c r="F463" s="1279">
        <v>5826.66</v>
      </c>
      <c r="G463" s="1279">
        <v>0</v>
      </c>
      <c r="H463" s="1279">
        <v>306.66629999999998</v>
      </c>
      <c r="I463" s="1271">
        <v>0</v>
      </c>
      <c r="J463" s="3065"/>
      <c r="K463" s="3065"/>
      <c r="L463" s="3059"/>
    </row>
    <row r="464" spans="1:12" outlineLevel="1">
      <c r="A464" s="3062"/>
      <c r="B464" s="3085"/>
      <c r="C464" s="3052"/>
      <c r="D464" s="1261">
        <v>2023</v>
      </c>
      <c r="E464" s="1279">
        <f t="shared" si="42"/>
        <v>0</v>
      </c>
      <c r="F464" s="1279">
        <v>0</v>
      </c>
      <c r="G464" s="1279">
        <v>0</v>
      </c>
      <c r="H464" s="1279">
        <v>0</v>
      </c>
      <c r="I464" s="1271">
        <v>0</v>
      </c>
      <c r="J464" s="3065"/>
      <c r="K464" s="3065"/>
    </row>
    <row r="465" spans="1:16" outlineLevel="1">
      <c r="A465" s="3062"/>
      <c r="B465" s="3085"/>
      <c r="C465" s="3052"/>
      <c r="D465" s="1261">
        <v>2024</v>
      </c>
      <c r="E465" s="1279">
        <f t="shared" si="42"/>
        <v>0</v>
      </c>
      <c r="F465" s="1279">
        <v>0</v>
      </c>
      <c r="G465" s="1279">
        <v>0</v>
      </c>
      <c r="H465" s="1279">
        <v>0</v>
      </c>
      <c r="I465" s="1271">
        <v>0</v>
      </c>
      <c r="J465" s="3065"/>
      <c r="K465" s="3065"/>
    </row>
    <row r="466" spans="1:16" outlineLevel="1">
      <c r="A466" s="3063"/>
      <c r="B466" s="3086"/>
      <c r="C466" s="3052"/>
      <c r="D466" s="1261">
        <v>2025</v>
      </c>
      <c r="E466" s="1279">
        <f t="shared" si="42"/>
        <v>0</v>
      </c>
      <c r="F466" s="1279">
        <v>0</v>
      </c>
      <c r="G466" s="1279">
        <v>0</v>
      </c>
      <c r="H466" s="1279">
        <v>0</v>
      </c>
      <c r="I466" s="1279">
        <v>0</v>
      </c>
      <c r="J466" s="3066"/>
      <c r="K466" s="3066"/>
    </row>
    <row r="467" spans="1:16" outlineLevel="1">
      <c r="A467" s="3061" t="s">
        <v>598</v>
      </c>
      <c r="B467" s="3079" t="s">
        <v>3073</v>
      </c>
      <c r="C467" s="3082">
        <v>2023</v>
      </c>
      <c r="D467" s="1261" t="s">
        <v>8</v>
      </c>
      <c r="E467" s="1279">
        <f t="shared" si="42"/>
        <v>0</v>
      </c>
      <c r="F467" s="1279">
        <f t="shared" si="43"/>
        <v>0</v>
      </c>
      <c r="G467" s="1279">
        <f t="shared" si="43"/>
        <v>0</v>
      </c>
      <c r="H467" s="1279">
        <f t="shared" si="43"/>
        <v>0</v>
      </c>
      <c r="I467" s="1279">
        <f t="shared" si="41"/>
        <v>0</v>
      </c>
      <c r="J467" s="3064" t="s">
        <v>3072</v>
      </c>
      <c r="K467" s="3064" t="s">
        <v>2799</v>
      </c>
    </row>
    <row r="468" spans="1:16" outlineLevel="1">
      <c r="A468" s="3062"/>
      <c r="B468" s="3085"/>
      <c r="C468" s="3083"/>
      <c r="D468" s="1261">
        <v>2021</v>
      </c>
      <c r="E468" s="1279">
        <f t="shared" si="42"/>
        <v>0</v>
      </c>
      <c r="F468" s="1279">
        <v>0</v>
      </c>
      <c r="G468" s="1279">
        <v>0</v>
      </c>
      <c r="H468" s="1279">
        <v>0</v>
      </c>
      <c r="I468" s="1279">
        <v>0</v>
      </c>
      <c r="J468" s="3065"/>
      <c r="K468" s="3065"/>
    </row>
    <row r="469" spans="1:16" outlineLevel="1">
      <c r="A469" s="3062"/>
      <c r="B469" s="3085"/>
      <c r="C469" s="3083"/>
      <c r="D469" s="1261">
        <v>2022</v>
      </c>
      <c r="E469" s="1279">
        <f t="shared" si="42"/>
        <v>0</v>
      </c>
      <c r="F469" s="1279">
        <v>0</v>
      </c>
      <c r="G469" s="1279">
        <v>0</v>
      </c>
      <c r="H469" s="1279">
        <v>0</v>
      </c>
      <c r="I469" s="1279">
        <v>0</v>
      </c>
      <c r="J469" s="3065"/>
      <c r="K469" s="3065"/>
    </row>
    <row r="470" spans="1:16" outlineLevel="1">
      <c r="A470" s="3062"/>
      <c r="B470" s="3085"/>
      <c r="C470" s="3083"/>
      <c r="D470" s="1261">
        <v>2023</v>
      </c>
      <c r="E470" s="1279">
        <f t="shared" si="42"/>
        <v>0</v>
      </c>
      <c r="F470" s="1279">
        <v>0</v>
      </c>
      <c r="G470" s="1279">
        <v>0</v>
      </c>
      <c r="H470" s="1279">
        <v>0</v>
      </c>
      <c r="I470" s="1279">
        <v>0</v>
      </c>
      <c r="J470" s="3065"/>
      <c r="K470" s="3065"/>
    </row>
    <row r="471" spans="1:16" s="1258" customFormat="1" outlineLevel="1">
      <c r="A471" s="3062"/>
      <c r="B471" s="3085"/>
      <c r="C471" s="3083"/>
      <c r="D471" s="1261">
        <v>2024</v>
      </c>
      <c r="E471" s="1279">
        <f t="shared" si="42"/>
        <v>0</v>
      </c>
      <c r="F471" s="1279">
        <v>0</v>
      </c>
      <c r="G471" s="1279">
        <v>0</v>
      </c>
      <c r="H471" s="1279">
        <v>0</v>
      </c>
      <c r="I471" s="1279">
        <v>0</v>
      </c>
      <c r="J471" s="3065"/>
      <c r="K471" s="3065"/>
      <c r="M471" s="1259"/>
      <c r="N471" s="1260"/>
      <c r="O471" s="1260"/>
      <c r="P471" s="1260"/>
    </row>
    <row r="472" spans="1:16" s="1258" customFormat="1" outlineLevel="1">
      <c r="A472" s="3063"/>
      <c r="B472" s="3086"/>
      <c r="C472" s="3084"/>
      <c r="D472" s="1261">
        <v>2025</v>
      </c>
      <c r="E472" s="1279">
        <f t="shared" si="42"/>
        <v>0</v>
      </c>
      <c r="F472" s="1279">
        <v>0</v>
      </c>
      <c r="G472" s="1279">
        <v>0</v>
      </c>
      <c r="H472" s="1279">
        <v>0</v>
      </c>
      <c r="I472" s="1279">
        <v>0</v>
      </c>
      <c r="J472" s="3066"/>
      <c r="K472" s="3066"/>
      <c r="M472" s="1259"/>
      <c r="N472" s="1260"/>
      <c r="O472" s="1260"/>
      <c r="P472" s="1260"/>
    </row>
    <row r="473" spans="1:16" s="1258" customFormat="1" ht="17.100000000000001" customHeight="1" outlineLevel="1">
      <c r="A473" s="3067" t="s">
        <v>3071</v>
      </c>
      <c r="B473" s="3070" t="s">
        <v>2720</v>
      </c>
      <c r="C473" s="3073" t="s">
        <v>2989</v>
      </c>
      <c r="D473" s="1264" t="s">
        <v>8</v>
      </c>
      <c r="E473" s="1265">
        <f t="shared" si="42"/>
        <v>705120.82076182624</v>
      </c>
      <c r="F473" s="1265">
        <f t="shared" ref="F473" si="44">SUM(F474:F478)</f>
        <v>670136.02604999999</v>
      </c>
      <c r="G473" s="1265">
        <f>SUM(G474:G478)</f>
        <v>0</v>
      </c>
      <c r="H473" s="1265">
        <f>SUM(H474:H478)</f>
        <v>34984.794711826275</v>
      </c>
      <c r="I473" s="1279">
        <f t="shared" ref="I473:I475" si="45">SUM(I480:I484)</f>
        <v>0</v>
      </c>
      <c r="J473" s="3076" t="s">
        <v>2826</v>
      </c>
      <c r="K473" s="3076" t="s">
        <v>3070</v>
      </c>
      <c r="M473" s="1259"/>
      <c r="N473" s="1260"/>
      <c r="O473" s="1260"/>
      <c r="P473" s="1260"/>
    </row>
    <row r="474" spans="1:16" s="1258" customFormat="1" ht="17.100000000000001" customHeight="1" outlineLevel="1">
      <c r="A474" s="3068"/>
      <c r="B474" s="3071"/>
      <c r="C474" s="3074"/>
      <c r="D474" s="1264">
        <v>2021</v>
      </c>
      <c r="E474" s="1265">
        <f t="shared" si="42"/>
        <v>195224.35576589749</v>
      </c>
      <c r="F474" s="1270">
        <f>SUM(F480+F486+F492+F498+F504+F510+F516+F522+F528+F534+F540+F546+F552+F558+F564+F570+F576+F582+F588+F594+F600+F606+F612+F618+F624+F630+F636+F642+F648)</f>
        <v>179524.59972</v>
      </c>
      <c r="G474" s="1270">
        <f t="shared" ref="G474:I478" si="46">SUM(G480+G486+G492+G498+G504+G510+G516+G522+G528+G534+G540+G546+G552+G558+G564+G570+G576+G582+G588+G594+G600+G606+G612+G618+G624+G630+G636+G642+G648)</f>
        <v>0</v>
      </c>
      <c r="H474" s="1270">
        <f>SUM(H480+H486+H492+H498+H504+H510+H516+H522+H528+H534+H540+H546+H552+H558+H564+H570+H576+H582+H588+H594+H600+H606+H612+H618+H624+H630+H636+H642+H648)</f>
        <v>15699.756045897479</v>
      </c>
      <c r="I474" s="1279">
        <f t="shared" si="45"/>
        <v>0</v>
      </c>
      <c r="J474" s="3077"/>
      <c r="K474" s="3077"/>
      <c r="M474" s="1259"/>
      <c r="N474" s="1260"/>
      <c r="O474" s="1260"/>
      <c r="P474" s="1260"/>
    </row>
    <row r="475" spans="1:16" s="1258" customFormat="1" ht="17.100000000000001" customHeight="1" outlineLevel="1">
      <c r="A475" s="3068"/>
      <c r="B475" s="3071"/>
      <c r="C475" s="3074"/>
      <c r="D475" s="1264">
        <v>2022</v>
      </c>
      <c r="E475" s="1265">
        <f t="shared" si="42"/>
        <v>369218.75899592874</v>
      </c>
      <c r="F475" s="1270">
        <f>SUM(F481+F487+F493+F499+F505+F511+F517+F523+F529+F535+F541+F547+F553+F559+F565+F571+F577+F583+F589+F595+F601+F607+F613+F619+F625+F631+F637+F643+F649+F655+F661+F667+F673)</f>
        <v>355399.40232999995</v>
      </c>
      <c r="G475" s="1270">
        <f t="shared" si="46"/>
        <v>0</v>
      </c>
      <c r="H475" s="1270">
        <f>SUM(H481+H487+H493+H499+H505+H511+H517+H523+H529+H535+H541+H547+H553+H559+H565+H571+H577+H583+H589+H595+H601+H607+H613+H619+H625+H631+H637+H643+H649+H655+H661+H667+H673)</f>
        <v>13819.356665928797</v>
      </c>
      <c r="I475" s="1279">
        <f t="shared" si="45"/>
        <v>0</v>
      </c>
      <c r="J475" s="3077"/>
      <c r="K475" s="3077"/>
      <c r="M475" s="1259"/>
      <c r="N475" s="1260"/>
      <c r="O475" s="1260"/>
      <c r="P475" s="1260"/>
    </row>
    <row r="476" spans="1:16" s="1451" customFormat="1" ht="17.100000000000001" customHeight="1" outlineLevel="1">
      <c r="A476" s="3068"/>
      <c r="B476" s="3071"/>
      <c r="C476" s="3074"/>
      <c r="D476" s="1449">
        <v>2023</v>
      </c>
      <c r="E476" s="1450">
        <f t="shared" si="42"/>
        <v>119877.70600000001</v>
      </c>
      <c r="F476" s="1483">
        <f t="shared" ref="F476:F478" si="47">SUM(F482+F488+F494+F500+F506+F512+F518+F524+F530+F536+F542+F548+F554+F560+F566+F572+F578+F584+F590+F596+F602+F608+F614+F620+F626+F632+F638+F644+F650)</f>
        <v>114412.024</v>
      </c>
      <c r="G476" s="1483">
        <f t="shared" si="46"/>
        <v>0</v>
      </c>
      <c r="H476" s="1483">
        <f t="shared" si="46"/>
        <v>5465.6819999999998</v>
      </c>
      <c r="I476" s="1483">
        <f t="shared" si="46"/>
        <v>0</v>
      </c>
      <c r="J476" s="3077"/>
      <c r="K476" s="3077"/>
      <c r="M476" s="1452"/>
      <c r="N476" s="1454"/>
      <c r="O476" s="1454"/>
      <c r="P476" s="1454"/>
    </row>
    <row r="477" spans="1:16" s="1258" customFormat="1" outlineLevel="1">
      <c r="A477" s="3068"/>
      <c r="B477" s="3071"/>
      <c r="C477" s="3074"/>
      <c r="D477" s="1264">
        <v>2024</v>
      </c>
      <c r="E477" s="1265">
        <f t="shared" si="42"/>
        <v>10400</v>
      </c>
      <c r="F477" s="1270">
        <f t="shared" si="47"/>
        <v>10400</v>
      </c>
      <c r="G477" s="1270">
        <f t="shared" si="46"/>
        <v>0</v>
      </c>
      <c r="H477" s="1270">
        <f t="shared" si="46"/>
        <v>0</v>
      </c>
      <c r="I477" s="1270">
        <f t="shared" si="46"/>
        <v>0</v>
      </c>
      <c r="J477" s="3077"/>
      <c r="K477" s="3077"/>
      <c r="M477" s="1259"/>
      <c r="N477" s="1260"/>
      <c r="O477" s="1260"/>
      <c r="P477" s="1260"/>
    </row>
    <row r="478" spans="1:16" s="1258" customFormat="1" outlineLevel="1">
      <c r="A478" s="3069"/>
      <c r="B478" s="3072"/>
      <c r="C478" s="3075"/>
      <c r="D478" s="1264">
        <v>2025</v>
      </c>
      <c r="E478" s="1265">
        <f t="shared" si="42"/>
        <v>10400</v>
      </c>
      <c r="F478" s="1270">
        <f t="shared" si="47"/>
        <v>10400</v>
      </c>
      <c r="G478" s="1270">
        <f t="shared" si="46"/>
        <v>0</v>
      </c>
      <c r="H478" s="1270">
        <f t="shared" si="46"/>
        <v>0</v>
      </c>
      <c r="I478" s="1270">
        <f t="shared" si="46"/>
        <v>0</v>
      </c>
      <c r="J478" s="3078"/>
      <c r="K478" s="3078"/>
      <c r="M478" s="1259"/>
      <c r="N478" s="1260"/>
      <c r="O478" s="1260"/>
      <c r="P478" s="1260"/>
    </row>
    <row r="479" spans="1:16" s="1258" customFormat="1" ht="17.100000000000001" customHeight="1" outlineLevel="1">
      <c r="A479" s="3061" t="s">
        <v>602</v>
      </c>
      <c r="B479" s="3079" t="s">
        <v>2827</v>
      </c>
      <c r="C479" s="3082" t="s">
        <v>3069</v>
      </c>
      <c r="D479" s="1261" t="s">
        <v>8</v>
      </c>
      <c r="E479" s="1271">
        <f t="shared" si="42"/>
        <v>54408.455999999998</v>
      </c>
      <c r="F479" s="1280">
        <f>SUM(F480:F484)</f>
        <v>50810.661</v>
      </c>
      <c r="G479" s="1272">
        <f>SUM(G480:G484)</f>
        <v>0</v>
      </c>
      <c r="H479" s="1272">
        <f>SUM(H480:H484)</f>
        <v>3597.7950000000001</v>
      </c>
      <c r="I479" s="1272">
        <f>SUM(I480:I484)</f>
        <v>0</v>
      </c>
      <c r="J479" s="3064" t="s">
        <v>3068</v>
      </c>
      <c r="K479" s="3064" t="s">
        <v>3027</v>
      </c>
      <c r="M479" s="1259"/>
      <c r="N479" s="1260"/>
      <c r="O479" s="1260"/>
      <c r="P479" s="1260"/>
    </row>
    <row r="480" spans="1:16" s="1258" customFormat="1" ht="17.100000000000001" customHeight="1" outlineLevel="1">
      <c r="A480" s="3062"/>
      <c r="B480" s="3085"/>
      <c r="C480" s="3083"/>
      <c r="D480" s="1261">
        <v>2021</v>
      </c>
      <c r="E480" s="1271">
        <f t="shared" si="42"/>
        <v>27027.03</v>
      </c>
      <c r="F480" s="1280">
        <v>25000</v>
      </c>
      <c r="G480" s="1272">
        <v>0</v>
      </c>
      <c r="H480" s="1272">
        <v>2027.03</v>
      </c>
      <c r="I480" s="1272">
        <v>0</v>
      </c>
      <c r="J480" s="3065"/>
      <c r="K480" s="3065"/>
      <c r="M480" s="1259"/>
      <c r="N480" s="1260"/>
      <c r="O480" s="1260"/>
      <c r="P480" s="1260"/>
    </row>
    <row r="481" spans="1:16" s="1258" customFormat="1" ht="17.100000000000001" customHeight="1" outlineLevel="1">
      <c r="A481" s="3062"/>
      <c r="B481" s="3085"/>
      <c r="C481" s="3083"/>
      <c r="D481" s="1261">
        <v>2022</v>
      </c>
      <c r="E481" s="1271">
        <f t="shared" si="42"/>
        <v>8067.7860000000001</v>
      </c>
      <c r="F481" s="1280">
        <v>7462.7030000000004</v>
      </c>
      <c r="G481" s="1272">
        <v>0</v>
      </c>
      <c r="H481" s="1272">
        <v>605.08299999999997</v>
      </c>
      <c r="I481" s="1272">
        <v>0</v>
      </c>
      <c r="J481" s="3065"/>
      <c r="K481" s="3065"/>
      <c r="M481" s="1259"/>
      <c r="N481" s="1260"/>
      <c r="O481" s="1260"/>
      <c r="P481" s="1260"/>
    </row>
    <row r="482" spans="1:16" s="1451" customFormat="1" ht="17.100000000000001" customHeight="1" outlineLevel="1">
      <c r="A482" s="3062"/>
      <c r="B482" s="3085"/>
      <c r="C482" s="3083"/>
      <c r="D482" s="1455">
        <v>2023</v>
      </c>
      <c r="E482" s="1456">
        <f t="shared" si="42"/>
        <v>19313.64</v>
      </c>
      <c r="F482" s="1491">
        <f>24463.944-6115.986</f>
        <v>18347.957999999999</v>
      </c>
      <c r="G482" s="1457">
        <v>0</v>
      </c>
      <c r="H482" s="1457">
        <v>965.68200000000002</v>
      </c>
      <c r="I482" s="1457">
        <v>0</v>
      </c>
      <c r="J482" s="3065"/>
      <c r="K482" s="3065"/>
      <c r="M482" s="1452"/>
      <c r="N482" s="1454"/>
      <c r="O482" s="1454"/>
      <c r="P482" s="1454"/>
    </row>
    <row r="483" spans="1:16" s="1258" customFormat="1" outlineLevel="1">
      <c r="A483" s="3062"/>
      <c r="B483" s="3085"/>
      <c r="C483" s="3083"/>
      <c r="D483" s="1261">
        <v>2024</v>
      </c>
      <c r="E483" s="1271">
        <f t="shared" si="42"/>
        <v>0</v>
      </c>
      <c r="F483" s="1280">
        <v>0</v>
      </c>
      <c r="G483" s="1272">
        <v>0</v>
      </c>
      <c r="H483" s="1272">
        <v>0</v>
      </c>
      <c r="I483" s="1272">
        <f>'668-ПП'!Q90</f>
        <v>0</v>
      </c>
      <c r="J483" s="3065"/>
      <c r="K483" s="3065"/>
      <c r="M483" s="1259"/>
      <c r="N483" s="1260"/>
      <c r="O483" s="1260"/>
      <c r="P483" s="1260"/>
    </row>
    <row r="484" spans="1:16" s="1258" customFormat="1" outlineLevel="1">
      <c r="A484" s="3063"/>
      <c r="B484" s="3086"/>
      <c r="C484" s="3084"/>
      <c r="D484" s="1261">
        <v>2025</v>
      </c>
      <c r="E484" s="1271">
        <f t="shared" si="42"/>
        <v>0</v>
      </c>
      <c r="F484" s="1280">
        <v>0</v>
      </c>
      <c r="G484" s="1272">
        <v>0</v>
      </c>
      <c r="H484" s="1272">
        <v>0</v>
      </c>
      <c r="I484" s="1272">
        <v>0</v>
      </c>
      <c r="J484" s="3066"/>
      <c r="K484" s="3066"/>
      <c r="M484" s="1259"/>
      <c r="N484" s="1260"/>
      <c r="O484" s="1260"/>
      <c r="P484" s="1260"/>
    </row>
    <row r="485" spans="1:16" s="1258" customFormat="1" ht="17.100000000000001" customHeight="1" outlineLevel="1">
      <c r="A485" s="3061" t="s">
        <v>2967</v>
      </c>
      <c r="B485" s="3079" t="s">
        <v>106</v>
      </c>
      <c r="C485" s="3082" t="s">
        <v>2989</v>
      </c>
      <c r="D485" s="1261" t="s">
        <v>8</v>
      </c>
      <c r="E485" s="1271">
        <f t="shared" si="42"/>
        <v>66479.56</v>
      </c>
      <c r="F485" s="1271">
        <f>SUM(F486:F490)</f>
        <v>66479.56</v>
      </c>
      <c r="G485" s="1271">
        <f>SUM(G486:G490)</f>
        <v>0</v>
      </c>
      <c r="H485" s="1271">
        <f>SUM(H486:H490)</f>
        <v>0</v>
      </c>
      <c r="I485" s="1271">
        <f>SUM(I486:I490)</f>
        <v>0</v>
      </c>
      <c r="J485" s="3064" t="s">
        <v>3067</v>
      </c>
      <c r="K485" s="3064" t="s">
        <v>3052</v>
      </c>
      <c r="M485" s="1259"/>
      <c r="N485" s="1260"/>
      <c r="O485" s="1260"/>
      <c r="P485" s="1260"/>
    </row>
    <row r="486" spans="1:16" s="1258" customFormat="1" ht="17.100000000000001" customHeight="1" outlineLevel="1">
      <c r="A486" s="3062"/>
      <c r="B486" s="3085"/>
      <c r="C486" s="3083"/>
      <c r="D486" s="1261">
        <v>2021</v>
      </c>
      <c r="E486" s="1271">
        <f t="shared" si="42"/>
        <v>6000</v>
      </c>
      <c r="F486" s="1271">
        <v>6000</v>
      </c>
      <c r="G486" s="1278">
        <v>0</v>
      </c>
      <c r="H486" s="1272">
        <v>0</v>
      </c>
      <c r="I486" s="1278">
        <v>0</v>
      </c>
      <c r="J486" s="3065"/>
      <c r="K486" s="3065"/>
      <c r="M486" s="1259"/>
      <c r="N486" s="1260"/>
      <c r="O486" s="1260"/>
      <c r="P486" s="1260"/>
    </row>
    <row r="487" spans="1:16" s="1258" customFormat="1" ht="17.100000000000001" customHeight="1" outlineLevel="1">
      <c r="A487" s="3062"/>
      <c r="B487" s="3085"/>
      <c r="C487" s="3083"/>
      <c r="D487" s="1261">
        <v>2022</v>
      </c>
      <c r="E487" s="1271">
        <f t="shared" si="42"/>
        <v>42479.56</v>
      </c>
      <c r="F487" s="1271">
        <v>42479.56</v>
      </c>
      <c r="G487" s="1278">
        <v>0</v>
      </c>
      <c r="H487" s="1272">
        <v>0</v>
      </c>
      <c r="I487" s="1278">
        <v>0</v>
      </c>
      <c r="J487" s="3065"/>
      <c r="K487" s="3065"/>
      <c r="M487" s="1259"/>
      <c r="N487" s="1260"/>
      <c r="O487" s="1260"/>
      <c r="P487" s="1260"/>
    </row>
    <row r="488" spans="1:16" s="1451" customFormat="1" ht="17.100000000000001" customHeight="1" outlineLevel="1">
      <c r="A488" s="3062"/>
      <c r="B488" s="3085"/>
      <c r="C488" s="3083"/>
      <c r="D488" s="1455">
        <v>2023</v>
      </c>
      <c r="E488" s="1456">
        <f t="shared" si="42"/>
        <v>6000</v>
      </c>
      <c r="F488" s="1456">
        <v>6000</v>
      </c>
      <c r="G488" s="1492">
        <v>0</v>
      </c>
      <c r="H488" s="1457">
        <v>0</v>
      </c>
      <c r="I488" s="1492">
        <v>0</v>
      </c>
      <c r="J488" s="3065"/>
      <c r="K488" s="3065"/>
      <c r="M488" s="1452"/>
      <c r="N488" s="1454"/>
      <c r="O488" s="1454"/>
      <c r="P488" s="1454"/>
    </row>
    <row r="489" spans="1:16" s="1258" customFormat="1" outlineLevel="1">
      <c r="A489" s="3062"/>
      <c r="B489" s="3085"/>
      <c r="C489" s="3083"/>
      <c r="D489" s="1261">
        <v>2024</v>
      </c>
      <c r="E489" s="1271">
        <f t="shared" si="42"/>
        <v>6000</v>
      </c>
      <c r="F489" s="1271">
        <v>6000</v>
      </c>
      <c r="G489" s="1278">
        <v>0</v>
      </c>
      <c r="H489" s="1272">
        <v>0</v>
      </c>
      <c r="I489" s="1278">
        <v>0</v>
      </c>
      <c r="J489" s="3065"/>
      <c r="K489" s="3065"/>
      <c r="M489" s="1259"/>
      <c r="N489" s="1260"/>
      <c r="O489" s="1260"/>
      <c r="P489" s="1260"/>
    </row>
    <row r="490" spans="1:16" s="1258" customFormat="1" outlineLevel="1">
      <c r="A490" s="3063"/>
      <c r="B490" s="3086"/>
      <c r="C490" s="3084"/>
      <c r="D490" s="1261">
        <v>2025</v>
      </c>
      <c r="E490" s="1271">
        <f t="shared" si="42"/>
        <v>6000</v>
      </c>
      <c r="F490" s="1271">
        <v>6000</v>
      </c>
      <c r="G490" s="1278">
        <v>0</v>
      </c>
      <c r="H490" s="1272">
        <v>0</v>
      </c>
      <c r="I490" s="1278">
        <v>0</v>
      </c>
      <c r="J490" s="3066"/>
      <c r="K490" s="3066"/>
      <c r="M490" s="1259"/>
      <c r="N490" s="1260"/>
      <c r="O490" s="1260"/>
      <c r="P490" s="1260"/>
    </row>
    <row r="491" spans="1:16" s="1258" customFormat="1" ht="17.100000000000001" customHeight="1" outlineLevel="1">
      <c r="A491" s="3061" t="s">
        <v>2968</v>
      </c>
      <c r="B491" s="3079" t="s">
        <v>2749</v>
      </c>
      <c r="C491" s="3082" t="s">
        <v>2999</v>
      </c>
      <c r="D491" s="1261" t="s">
        <v>8</v>
      </c>
      <c r="E491" s="1271">
        <f t="shared" si="42"/>
        <v>29876.245869999999</v>
      </c>
      <c r="F491" s="1271">
        <f>SUM(F492:F496)</f>
        <v>29876.245869999999</v>
      </c>
      <c r="G491" s="1271">
        <f>SUM(G492:G496)</f>
        <v>0</v>
      </c>
      <c r="H491" s="1271">
        <f>SUM(H492:H496)</f>
        <v>0</v>
      </c>
      <c r="I491" s="1271">
        <f>SUM(I492:I496)</f>
        <v>0</v>
      </c>
      <c r="J491" s="3064" t="s">
        <v>2829</v>
      </c>
      <c r="K491" s="3064" t="s">
        <v>3066</v>
      </c>
      <c r="M491" s="1259"/>
      <c r="N491" s="1260"/>
      <c r="O491" s="1260"/>
      <c r="P491" s="1260"/>
    </row>
    <row r="492" spans="1:16" s="1258" customFormat="1" ht="17.100000000000001" customHeight="1" outlineLevel="1">
      <c r="A492" s="3062"/>
      <c r="B492" s="3085"/>
      <c r="C492" s="3083"/>
      <c r="D492" s="1261">
        <v>2021</v>
      </c>
      <c r="E492" s="1271">
        <f t="shared" si="42"/>
        <v>3963.1770000000001</v>
      </c>
      <c r="F492" s="1271">
        <f>3963177/1000</f>
        <v>3963.1770000000001</v>
      </c>
      <c r="G492" s="1278">
        <v>0</v>
      </c>
      <c r="H492" s="1272">
        <v>0</v>
      </c>
      <c r="I492" s="1278">
        <v>0</v>
      </c>
      <c r="J492" s="3065"/>
      <c r="K492" s="3065"/>
      <c r="M492" s="1259"/>
      <c r="N492" s="1260"/>
      <c r="O492" s="1260"/>
      <c r="P492" s="1260"/>
    </row>
    <row r="493" spans="1:16" s="1258" customFormat="1" ht="17.100000000000001" customHeight="1" outlineLevel="1">
      <c r="A493" s="3062"/>
      <c r="B493" s="3085"/>
      <c r="C493" s="3083"/>
      <c r="D493" s="1261">
        <v>2022</v>
      </c>
      <c r="E493" s="1271">
        <f t="shared" si="42"/>
        <v>25913.068869999999</v>
      </c>
      <c r="F493" s="1271">
        <f>32144.3+6312.158-13089.787+546.39787</f>
        <v>25913.068869999999</v>
      </c>
      <c r="G493" s="1278">
        <v>0</v>
      </c>
      <c r="H493" s="1272">
        <v>0</v>
      </c>
      <c r="I493" s="1278">
        <v>0</v>
      </c>
      <c r="J493" s="3065"/>
      <c r="K493" s="3065"/>
      <c r="M493" s="1259"/>
      <c r="N493" s="1260"/>
      <c r="O493" s="1260"/>
      <c r="P493" s="1260"/>
    </row>
    <row r="494" spans="1:16" s="1258" customFormat="1" ht="17.100000000000001" customHeight="1" outlineLevel="1">
      <c r="A494" s="3062"/>
      <c r="B494" s="3085"/>
      <c r="C494" s="3083"/>
      <c r="D494" s="1261">
        <v>2023</v>
      </c>
      <c r="E494" s="1271">
        <f t="shared" ref="E494:E557" si="48">SUM(F494:I494)</f>
        <v>0</v>
      </c>
      <c r="F494" s="1271">
        <v>0</v>
      </c>
      <c r="G494" s="1278">
        <v>0</v>
      </c>
      <c r="H494" s="1272">
        <v>0</v>
      </c>
      <c r="I494" s="1278">
        <v>0</v>
      </c>
      <c r="J494" s="3065"/>
      <c r="K494" s="3065"/>
      <c r="M494" s="1259"/>
      <c r="N494" s="1260"/>
      <c r="O494" s="1260"/>
      <c r="P494" s="1260"/>
    </row>
    <row r="495" spans="1:16" s="1258" customFormat="1" outlineLevel="1">
      <c r="A495" s="3062"/>
      <c r="B495" s="3085"/>
      <c r="C495" s="3083"/>
      <c r="D495" s="1261">
        <v>2024</v>
      </c>
      <c r="E495" s="1271">
        <f t="shared" si="48"/>
        <v>0</v>
      </c>
      <c r="F495" s="1271">
        <v>0</v>
      </c>
      <c r="G495" s="1278">
        <v>0</v>
      </c>
      <c r="H495" s="1272">
        <v>0</v>
      </c>
      <c r="I495" s="1278">
        <v>0</v>
      </c>
      <c r="J495" s="3065"/>
      <c r="K495" s="3065"/>
      <c r="M495" s="1259"/>
      <c r="N495" s="1260"/>
      <c r="O495" s="1260"/>
      <c r="P495" s="1260"/>
    </row>
    <row r="496" spans="1:16" s="1258" customFormat="1" outlineLevel="1">
      <c r="A496" s="3063"/>
      <c r="B496" s="3086"/>
      <c r="C496" s="3084"/>
      <c r="D496" s="1261">
        <v>2025</v>
      </c>
      <c r="E496" s="1271">
        <f t="shared" si="48"/>
        <v>0</v>
      </c>
      <c r="F496" s="1271">
        <v>0</v>
      </c>
      <c r="G496" s="1278">
        <v>0</v>
      </c>
      <c r="H496" s="1272">
        <v>0</v>
      </c>
      <c r="I496" s="1278">
        <v>0</v>
      </c>
      <c r="J496" s="3066"/>
      <c r="K496" s="3066"/>
      <c r="M496" s="1259"/>
      <c r="N496" s="1260"/>
      <c r="O496" s="1260"/>
      <c r="P496" s="1260"/>
    </row>
    <row r="497" spans="1:16" s="1258" customFormat="1" ht="17.100000000000001" customHeight="1" outlineLevel="1">
      <c r="A497" s="3061" t="s">
        <v>2969</v>
      </c>
      <c r="B497" s="3079" t="s">
        <v>3065</v>
      </c>
      <c r="C497" s="3082">
        <v>2021</v>
      </c>
      <c r="D497" s="1261" t="s">
        <v>8</v>
      </c>
      <c r="E497" s="1271">
        <f t="shared" si="48"/>
        <v>22778.260870000002</v>
      </c>
      <c r="F497" s="1271">
        <f>SUM(F498:F502)</f>
        <v>18860.400000000001</v>
      </c>
      <c r="G497" s="1271">
        <f>SUM(G498:G502)</f>
        <v>0</v>
      </c>
      <c r="H497" s="1271">
        <f>SUM(H498:H502)</f>
        <v>3917.86087</v>
      </c>
      <c r="I497" s="1271">
        <f>SUM(I498:I502)</f>
        <v>0</v>
      </c>
      <c r="J497" s="3064" t="s">
        <v>2830</v>
      </c>
      <c r="K497" s="3064" t="s">
        <v>3027</v>
      </c>
      <c r="M497" s="1259"/>
      <c r="N497" s="1260"/>
      <c r="O497" s="1260"/>
      <c r="P497" s="1260"/>
    </row>
    <row r="498" spans="1:16" s="1258" customFormat="1" ht="17.100000000000001" customHeight="1" outlineLevel="1">
      <c r="A498" s="3062"/>
      <c r="B498" s="3085"/>
      <c r="C498" s="3083"/>
      <c r="D498" s="1261">
        <v>2021</v>
      </c>
      <c r="E498" s="1271">
        <f t="shared" si="48"/>
        <v>22778.260870000002</v>
      </c>
      <c r="F498" s="1271">
        <v>18860.400000000001</v>
      </c>
      <c r="G498" s="1278">
        <v>0</v>
      </c>
      <c r="H498" s="1272">
        <v>3917.86087</v>
      </c>
      <c r="I498" s="1278">
        <v>0</v>
      </c>
      <c r="J498" s="3065"/>
      <c r="K498" s="3065"/>
      <c r="M498" s="1259"/>
      <c r="N498" s="1260"/>
      <c r="O498" s="1260"/>
      <c r="P498" s="1260"/>
    </row>
    <row r="499" spans="1:16" s="1258" customFormat="1" ht="17.100000000000001" customHeight="1" outlineLevel="1">
      <c r="A499" s="3062"/>
      <c r="B499" s="3085"/>
      <c r="C499" s="3083"/>
      <c r="D499" s="1261">
        <v>2022</v>
      </c>
      <c r="E499" s="1271">
        <v>0</v>
      </c>
      <c r="F499" s="1271">
        <v>0</v>
      </c>
      <c r="G499" s="1278">
        <v>0</v>
      </c>
      <c r="H499" s="1272">
        <v>0</v>
      </c>
      <c r="I499" s="1278">
        <v>0</v>
      </c>
      <c r="J499" s="3065"/>
      <c r="K499" s="3065"/>
      <c r="M499" s="1259"/>
      <c r="N499" s="1260"/>
      <c r="O499" s="1260"/>
      <c r="P499" s="1260"/>
    </row>
    <row r="500" spans="1:16" s="1258" customFormat="1" ht="17.100000000000001" customHeight="1" outlineLevel="1">
      <c r="A500" s="3062"/>
      <c r="B500" s="3085"/>
      <c r="C500" s="3083"/>
      <c r="D500" s="1261">
        <v>2023</v>
      </c>
      <c r="E500" s="1271">
        <v>0</v>
      </c>
      <c r="F500" s="1271">
        <v>0</v>
      </c>
      <c r="G500" s="1278">
        <v>0</v>
      </c>
      <c r="H500" s="1272">
        <v>0</v>
      </c>
      <c r="I500" s="1278">
        <v>0</v>
      </c>
      <c r="J500" s="3065"/>
      <c r="K500" s="3065"/>
      <c r="M500" s="1259"/>
      <c r="N500" s="1260"/>
      <c r="O500" s="1260"/>
      <c r="P500" s="1260"/>
    </row>
    <row r="501" spans="1:16" s="1258" customFormat="1" outlineLevel="1">
      <c r="A501" s="3062"/>
      <c r="B501" s="3085"/>
      <c r="C501" s="3083"/>
      <c r="D501" s="1261">
        <v>2024</v>
      </c>
      <c r="E501" s="1271">
        <v>0</v>
      </c>
      <c r="F501" s="1271">
        <v>0</v>
      </c>
      <c r="G501" s="1278">
        <v>0</v>
      </c>
      <c r="H501" s="1272">
        <v>0</v>
      </c>
      <c r="I501" s="1278">
        <v>0</v>
      </c>
      <c r="J501" s="3065"/>
      <c r="K501" s="3065"/>
      <c r="M501" s="1259"/>
      <c r="N501" s="1260"/>
      <c r="O501" s="1260"/>
      <c r="P501" s="1260"/>
    </row>
    <row r="502" spans="1:16" s="1258" customFormat="1" outlineLevel="1">
      <c r="A502" s="3063"/>
      <c r="B502" s="3086"/>
      <c r="C502" s="3084"/>
      <c r="D502" s="1261">
        <v>2025</v>
      </c>
      <c r="E502" s="1271">
        <v>0</v>
      </c>
      <c r="F502" s="1271">
        <v>0</v>
      </c>
      <c r="G502" s="1278">
        <v>0</v>
      </c>
      <c r="H502" s="1272">
        <v>0</v>
      </c>
      <c r="I502" s="1278">
        <v>0</v>
      </c>
      <c r="J502" s="3066"/>
      <c r="K502" s="3066"/>
      <c r="M502" s="1259"/>
      <c r="N502" s="1260"/>
      <c r="O502" s="1260"/>
      <c r="P502" s="1260"/>
    </row>
    <row r="503" spans="1:16" s="1258" customFormat="1" ht="17.100000000000001" customHeight="1" outlineLevel="1">
      <c r="A503" s="3061" t="s">
        <v>2970</v>
      </c>
      <c r="B503" s="3079" t="s">
        <v>2831</v>
      </c>
      <c r="C503" s="3082">
        <v>2021</v>
      </c>
      <c r="D503" s="1261" t="s">
        <v>8</v>
      </c>
      <c r="E503" s="1271">
        <f t="shared" si="48"/>
        <v>13210.697336842104</v>
      </c>
      <c r="F503" s="1271">
        <f>SUM(F504:F508)</f>
        <v>12550.162469999999</v>
      </c>
      <c r="G503" s="1271">
        <f>SUM(G504:G508)</f>
        <v>0</v>
      </c>
      <c r="H503" s="1271">
        <f>SUM(H504:H508)</f>
        <v>660.5348668421052</v>
      </c>
      <c r="I503" s="1271">
        <f>SUM(I504:I508)</f>
        <v>0</v>
      </c>
      <c r="J503" s="3064" t="s">
        <v>2832</v>
      </c>
      <c r="K503" s="3064" t="s">
        <v>2993</v>
      </c>
      <c r="M503" s="1259"/>
      <c r="N503" s="1260"/>
      <c r="O503" s="1260"/>
      <c r="P503" s="1260"/>
    </row>
    <row r="504" spans="1:16" s="1258" customFormat="1" ht="17.100000000000001" customHeight="1" outlineLevel="1">
      <c r="A504" s="3062"/>
      <c r="B504" s="3085"/>
      <c r="C504" s="3083"/>
      <c r="D504" s="1261">
        <v>2021</v>
      </c>
      <c r="E504" s="1271">
        <f t="shared" si="48"/>
        <v>13210.697336842104</v>
      </c>
      <c r="F504" s="1276">
        <v>12550.162469999999</v>
      </c>
      <c r="G504" s="1278">
        <v>0</v>
      </c>
      <c r="H504" s="1272">
        <f>F504/95*5</f>
        <v>660.5348668421052</v>
      </c>
      <c r="I504" s="1278">
        <v>0</v>
      </c>
      <c r="J504" s="3065"/>
      <c r="K504" s="3065"/>
      <c r="M504" s="1259"/>
      <c r="N504" s="1260"/>
      <c r="O504" s="1260"/>
      <c r="P504" s="1260"/>
    </row>
    <row r="505" spans="1:16" s="1258" customFormat="1" ht="17.100000000000001" customHeight="1" outlineLevel="1">
      <c r="A505" s="3062"/>
      <c r="B505" s="3085"/>
      <c r="C505" s="3083"/>
      <c r="D505" s="1261">
        <v>2022</v>
      </c>
      <c r="E505" s="1271">
        <v>0</v>
      </c>
      <c r="F505" s="1271">
        <v>0</v>
      </c>
      <c r="G505" s="1278">
        <v>0</v>
      </c>
      <c r="H505" s="1272">
        <v>0</v>
      </c>
      <c r="I505" s="1278">
        <v>0</v>
      </c>
      <c r="J505" s="3065"/>
      <c r="K505" s="3065"/>
      <c r="M505" s="1259"/>
      <c r="N505" s="1260"/>
      <c r="O505" s="1260"/>
      <c r="P505" s="1260"/>
    </row>
    <row r="506" spans="1:16" s="1258" customFormat="1" ht="17.100000000000001" customHeight="1" outlineLevel="1">
      <c r="A506" s="3062"/>
      <c r="B506" s="3085"/>
      <c r="C506" s="3083"/>
      <c r="D506" s="1261">
        <v>2023</v>
      </c>
      <c r="E506" s="1271">
        <v>0</v>
      </c>
      <c r="F506" s="1271">
        <v>0</v>
      </c>
      <c r="G506" s="1278">
        <v>0</v>
      </c>
      <c r="H506" s="1272">
        <v>0</v>
      </c>
      <c r="I506" s="1278">
        <v>0</v>
      </c>
      <c r="J506" s="3065"/>
      <c r="K506" s="3065"/>
      <c r="M506" s="1259"/>
      <c r="N506" s="1260"/>
      <c r="O506" s="1260"/>
      <c r="P506" s="1260"/>
    </row>
    <row r="507" spans="1:16" s="1258" customFormat="1" outlineLevel="1">
      <c r="A507" s="3062"/>
      <c r="B507" s="3085"/>
      <c r="C507" s="3083"/>
      <c r="D507" s="1261">
        <v>2024</v>
      </c>
      <c r="E507" s="1271">
        <v>0</v>
      </c>
      <c r="F507" s="1271">
        <v>0</v>
      </c>
      <c r="G507" s="1278">
        <v>0</v>
      </c>
      <c r="H507" s="1272">
        <v>0</v>
      </c>
      <c r="I507" s="1278">
        <v>0</v>
      </c>
      <c r="J507" s="3065"/>
      <c r="K507" s="3065"/>
      <c r="M507" s="1259"/>
      <c r="N507" s="1260"/>
      <c r="O507" s="1260"/>
      <c r="P507" s="1260"/>
    </row>
    <row r="508" spans="1:16" s="1258" customFormat="1" outlineLevel="1">
      <c r="A508" s="3063"/>
      <c r="B508" s="3086"/>
      <c r="C508" s="3084"/>
      <c r="D508" s="1261">
        <v>2025</v>
      </c>
      <c r="E508" s="1271">
        <v>0</v>
      </c>
      <c r="F508" s="1271">
        <v>0</v>
      </c>
      <c r="G508" s="1278">
        <v>0</v>
      </c>
      <c r="H508" s="1272">
        <v>0</v>
      </c>
      <c r="I508" s="1278">
        <v>0</v>
      </c>
      <c r="J508" s="3066"/>
      <c r="K508" s="3066"/>
      <c r="M508" s="1259"/>
      <c r="N508" s="1260"/>
      <c r="O508" s="1260"/>
      <c r="P508" s="1260"/>
    </row>
    <row r="509" spans="1:16" s="1258" customFormat="1" ht="17.100000000000001" customHeight="1" outlineLevel="1">
      <c r="A509" s="3050" t="s">
        <v>2971</v>
      </c>
      <c r="B509" s="3051" t="s">
        <v>2833</v>
      </c>
      <c r="C509" s="3052">
        <v>2021</v>
      </c>
      <c r="D509" s="1261" t="s">
        <v>8</v>
      </c>
      <c r="E509" s="1271">
        <f t="shared" si="48"/>
        <v>7451.59</v>
      </c>
      <c r="F509" s="1271">
        <f>SUM(F510:F514)</f>
        <v>7079.0105000000003</v>
      </c>
      <c r="G509" s="1271">
        <f>SUM(G510:G514)</f>
        <v>0</v>
      </c>
      <c r="H509" s="1271">
        <f>SUM(H510:H514)</f>
        <v>372.5795</v>
      </c>
      <c r="I509" s="1271">
        <f>SUM(I510:I514)</f>
        <v>0</v>
      </c>
      <c r="J509" s="3053" t="s">
        <v>2834</v>
      </c>
      <c r="K509" s="3064" t="s">
        <v>2993</v>
      </c>
      <c r="M509" s="1259"/>
      <c r="N509" s="1260"/>
      <c r="O509" s="1260"/>
      <c r="P509" s="1260"/>
    </row>
    <row r="510" spans="1:16" s="1258" customFormat="1" ht="17.100000000000001" customHeight="1" outlineLevel="1">
      <c r="A510" s="3050"/>
      <c r="B510" s="3051"/>
      <c r="C510" s="3052"/>
      <c r="D510" s="1261">
        <v>2021</v>
      </c>
      <c r="E510" s="1271">
        <f t="shared" si="48"/>
        <v>7451.59</v>
      </c>
      <c r="F510" s="1276">
        <v>7079.0105000000003</v>
      </c>
      <c r="G510" s="1278">
        <v>0</v>
      </c>
      <c r="H510" s="1272">
        <f>F510/95*5</f>
        <v>372.5795</v>
      </c>
      <c r="I510" s="1278">
        <v>0</v>
      </c>
      <c r="J510" s="3053"/>
      <c r="K510" s="3065"/>
      <c r="M510" s="1259"/>
      <c r="N510" s="1260"/>
      <c r="O510" s="1260"/>
      <c r="P510" s="1260"/>
    </row>
    <row r="511" spans="1:16" s="1258" customFormat="1" ht="17.100000000000001" customHeight="1" outlineLevel="1">
      <c r="A511" s="3050"/>
      <c r="B511" s="3051"/>
      <c r="C511" s="3052"/>
      <c r="D511" s="1261">
        <v>2022</v>
      </c>
      <c r="E511" s="1271">
        <v>0</v>
      </c>
      <c r="F511" s="1271">
        <v>0</v>
      </c>
      <c r="G511" s="1278">
        <v>0</v>
      </c>
      <c r="H511" s="1272">
        <v>0</v>
      </c>
      <c r="I511" s="1278">
        <v>0</v>
      </c>
      <c r="J511" s="3053"/>
      <c r="K511" s="3065"/>
      <c r="M511" s="1259"/>
      <c r="N511" s="1260"/>
      <c r="O511" s="1260"/>
      <c r="P511" s="1260"/>
    </row>
    <row r="512" spans="1:16" s="1258" customFormat="1" ht="17.100000000000001" customHeight="1" outlineLevel="1">
      <c r="A512" s="3050"/>
      <c r="B512" s="3051"/>
      <c r="C512" s="3052"/>
      <c r="D512" s="1261">
        <v>2023</v>
      </c>
      <c r="E512" s="1271">
        <v>0</v>
      </c>
      <c r="F512" s="1271">
        <v>0</v>
      </c>
      <c r="G512" s="1278">
        <v>0</v>
      </c>
      <c r="H512" s="1272">
        <v>0</v>
      </c>
      <c r="I512" s="1278">
        <v>0</v>
      </c>
      <c r="J512" s="3053"/>
      <c r="K512" s="3065"/>
      <c r="M512" s="1259"/>
      <c r="N512" s="1260"/>
      <c r="O512" s="1260"/>
      <c r="P512" s="1260"/>
    </row>
    <row r="513" spans="1:16" s="1258" customFormat="1" outlineLevel="1">
      <c r="A513" s="3050"/>
      <c r="B513" s="3051"/>
      <c r="C513" s="3052"/>
      <c r="D513" s="1261">
        <v>2024</v>
      </c>
      <c r="E513" s="1271">
        <v>0</v>
      </c>
      <c r="F513" s="1271">
        <v>0</v>
      </c>
      <c r="G513" s="1278">
        <v>0</v>
      </c>
      <c r="H513" s="1272">
        <v>0</v>
      </c>
      <c r="I513" s="1278">
        <v>0</v>
      </c>
      <c r="J513" s="3053"/>
      <c r="K513" s="3065"/>
      <c r="M513" s="1259"/>
      <c r="N513" s="1260"/>
      <c r="O513" s="1260"/>
      <c r="P513" s="1260"/>
    </row>
    <row r="514" spans="1:16" s="1258" customFormat="1" outlineLevel="1">
      <c r="A514" s="3050"/>
      <c r="B514" s="3051"/>
      <c r="C514" s="3052"/>
      <c r="D514" s="1261">
        <v>2025</v>
      </c>
      <c r="E514" s="1271">
        <v>0</v>
      </c>
      <c r="F514" s="1271">
        <v>0</v>
      </c>
      <c r="G514" s="1278">
        <v>0</v>
      </c>
      <c r="H514" s="1272">
        <v>0</v>
      </c>
      <c r="I514" s="1278">
        <v>0</v>
      </c>
      <c r="J514" s="3053"/>
      <c r="K514" s="3066"/>
      <c r="M514" s="1259"/>
      <c r="N514" s="1260"/>
      <c r="O514" s="1260"/>
      <c r="P514" s="1260"/>
    </row>
    <row r="515" spans="1:16" s="1258" customFormat="1" ht="17.100000000000001" customHeight="1" outlineLevel="1">
      <c r="A515" s="3050" t="s">
        <v>2972</v>
      </c>
      <c r="B515" s="3051" t="s">
        <v>2836</v>
      </c>
      <c r="C515" s="3052">
        <v>2021</v>
      </c>
      <c r="D515" s="1261" t="s">
        <v>8</v>
      </c>
      <c r="E515" s="1271">
        <f t="shared" si="48"/>
        <v>50013.516600000003</v>
      </c>
      <c r="F515" s="1271">
        <f>SUM(F516:F520)</f>
        <v>47512.840770000003</v>
      </c>
      <c r="G515" s="1271">
        <f>SUM(G516:G520)</f>
        <v>0</v>
      </c>
      <c r="H515" s="1271">
        <f>SUM(H516:H520)</f>
        <v>2500.6758300000001</v>
      </c>
      <c r="I515" s="1271">
        <f>SUM(I516:I520)</f>
        <v>0</v>
      </c>
      <c r="J515" s="3053" t="s">
        <v>2835</v>
      </c>
      <c r="K515" s="3064" t="s">
        <v>2993</v>
      </c>
      <c r="M515" s="1259"/>
      <c r="N515" s="1260"/>
      <c r="O515" s="1260"/>
      <c r="P515" s="1260"/>
    </row>
    <row r="516" spans="1:16" s="1258" customFormat="1" ht="17.100000000000001" customHeight="1" outlineLevel="1">
      <c r="A516" s="3050"/>
      <c r="B516" s="3051"/>
      <c r="C516" s="3052"/>
      <c r="D516" s="1261">
        <v>2021</v>
      </c>
      <c r="E516" s="1271">
        <f t="shared" si="48"/>
        <v>50013.516600000003</v>
      </c>
      <c r="F516" s="1276">
        <v>47512.840770000003</v>
      </c>
      <c r="G516" s="1278">
        <v>0</v>
      </c>
      <c r="H516" s="1272">
        <f>F516/95*5</f>
        <v>2500.6758300000001</v>
      </c>
      <c r="I516" s="1278">
        <v>0</v>
      </c>
      <c r="J516" s="3053"/>
      <c r="K516" s="3065"/>
      <c r="M516" s="1259"/>
      <c r="N516" s="1260"/>
      <c r="O516" s="1260"/>
      <c r="P516" s="1260"/>
    </row>
    <row r="517" spans="1:16" s="1258" customFormat="1" ht="17.100000000000001" customHeight="1" outlineLevel="1">
      <c r="A517" s="3050"/>
      <c r="B517" s="3051"/>
      <c r="C517" s="3052"/>
      <c r="D517" s="1261">
        <v>2022</v>
      </c>
      <c r="E517" s="1271">
        <v>0</v>
      </c>
      <c r="F517" s="1271">
        <v>0</v>
      </c>
      <c r="G517" s="1278">
        <v>0</v>
      </c>
      <c r="H517" s="1272">
        <v>0</v>
      </c>
      <c r="I517" s="1278">
        <v>0</v>
      </c>
      <c r="J517" s="3053"/>
      <c r="K517" s="3065"/>
      <c r="M517" s="1259"/>
      <c r="N517" s="1260"/>
      <c r="O517" s="1260"/>
      <c r="P517" s="1260"/>
    </row>
    <row r="518" spans="1:16" s="1258" customFormat="1" ht="17.100000000000001" customHeight="1" outlineLevel="1">
      <c r="A518" s="3050"/>
      <c r="B518" s="3051"/>
      <c r="C518" s="3052"/>
      <c r="D518" s="1261">
        <v>2023</v>
      </c>
      <c r="E518" s="1271">
        <v>0</v>
      </c>
      <c r="F518" s="1271">
        <v>0</v>
      </c>
      <c r="G518" s="1278">
        <v>0</v>
      </c>
      <c r="H518" s="1272">
        <v>0</v>
      </c>
      <c r="I518" s="1278">
        <v>0</v>
      </c>
      <c r="J518" s="3053"/>
      <c r="K518" s="3065"/>
      <c r="M518" s="1259"/>
      <c r="N518" s="1260"/>
      <c r="O518" s="1260"/>
      <c r="P518" s="1260"/>
    </row>
    <row r="519" spans="1:16" outlineLevel="1">
      <c r="A519" s="3050"/>
      <c r="B519" s="3051"/>
      <c r="C519" s="3052"/>
      <c r="D519" s="1261">
        <v>2024</v>
      </c>
      <c r="E519" s="1271">
        <v>0</v>
      </c>
      <c r="F519" s="1271">
        <v>0</v>
      </c>
      <c r="G519" s="1278">
        <v>0</v>
      </c>
      <c r="H519" s="1272">
        <v>0</v>
      </c>
      <c r="I519" s="1278">
        <v>0</v>
      </c>
      <c r="J519" s="3053"/>
      <c r="K519" s="3065"/>
    </row>
    <row r="520" spans="1:16" ht="20.25" customHeight="1" outlineLevel="1">
      <c r="A520" s="3050"/>
      <c r="B520" s="3051"/>
      <c r="C520" s="3052"/>
      <c r="D520" s="1261">
        <v>2025</v>
      </c>
      <c r="E520" s="1271">
        <v>0</v>
      </c>
      <c r="F520" s="1271">
        <v>0</v>
      </c>
      <c r="G520" s="1278">
        <v>0</v>
      </c>
      <c r="H520" s="1272">
        <v>0</v>
      </c>
      <c r="I520" s="1278">
        <v>0</v>
      </c>
      <c r="J520" s="3053"/>
      <c r="K520" s="3066"/>
    </row>
    <row r="521" spans="1:16" ht="16.5" customHeight="1" outlineLevel="1">
      <c r="A521" s="3050" t="s">
        <v>2973</v>
      </c>
      <c r="B521" s="3051" t="s">
        <v>2862</v>
      </c>
      <c r="C521" s="3052">
        <v>2021</v>
      </c>
      <c r="D521" s="1261" t="s">
        <v>8</v>
      </c>
      <c r="E521" s="1271">
        <f t="shared" si="48"/>
        <v>9928.3460643185299</v>
      </c>
      <c r="F521" s="1271">
        <f>SUM(F522:F526)</f>
        <v>6483.2099799999996</v>
      </c>
      <c r="G521" s="1271">
        <f>SUM(G522:G526)</f>
        <v>0</v>
      </c>
      <c r="H521" s="1271">
        <f>SUM(H522:H526)</f>
        <v>3445.1360843185298</v>
      </c>
      <c r="I521" s="1271">
        <f>SUM(I522:I526)</f>
        <v>0</v>
      </c>
      <c r="J521" s="3053" t="s">
        <v>2900</v>
      </c>
      <c r="K521" s="3064" t="s">
        <v>2993</v>
      </c>
      <c r="L521" s="1260"/>
    </row>
    <row r="522" spans="1:16" ht="21.75" customHeight="1" outlineLevel="1">
      <c r="A522" s="3050"/>
      <c r="B522" s="3051"/>
      <c r="C522" s="3052"/>
      <c r="D522" s="1261">
        <v>2021</v>
      </c>
      <c r="E522" s="1271">
        <f t="shared" si="48"/>
        <v>9928.3460643185299</v>
      </c>
      <c r="F522" s="1276">
        <v>6483.2099799999996</v>
      </c>
      <c r="G522" s="1278">
        <v>0</v>
      </c>
      <c r="H522" s="1272">
        <f>F522/65.3*34.7</f>
        <v>3445.1360843185298</v>
      </c>
      <c r="I522" s="1278">
        <v>0</v>
      </c>
      <c r="J522" s="3053"/>
      <c r="K522" s="3065"/>
      <c r="L522" s="1260"/>
    </row>
    <row r="523" spans="1:16" ht="26.25" customHeight="1" outlineLevel="1">
      <c r="A523" s="3050"/>
      <c r="B523" s="3051"/>
      <c r="C523" s="3052"/>
      <c r="D523" s="1261">
        <v>2022</v>
      </c>
      <c r="E523" s="1271">
        <v>0</v>
      </c>
      <c r="F523" s="1271">
        <v>0</v>
      </c>
      <c r="G523" s="1278">
        <v>0</v>
      </c>
      <c r="H523" s="1272">
        <v>0</v>
      </c>
      <c r="I523" s="1278">
        <v>0</v>
      </c>
      <c r="J523" s="3053"/>
      <c r="K523" s="3065"/>
      <c r="L523" s="1260"/>
    </row>
    <row r="524" spans="1:16" ht="20.25" customHeight="1" outlineLevel="1">
      <c r="A524" s="3050"/>
      <c r="B524" s="3051"/>
      <c r="C524" s="3052"/>
      <c r="D524" s="1261">
        <v>2023</v>
      </c>
      <c r="E524" s="1271">
        <v>0</v>
      </c>
      <c r="F524" s="1271">
        <v>0</v>
      </c>
      <c r="G524" s="1278">
        <v>0</v>
      </c>
      <c r="H524" s="1272">
        <v>0</v>
      </c>
      <c r="I524" s="1278">
        <v>0</v>
      </c>
      <c r="J524" s="3053"/>
      <c r="K524" s="3065"/>
      <c r="L524" s="1260"/>
    </row>
    <row r="525" spans="1:16" ht="20.25" customHeight="1" outlineLevel="1">
      <c r="A525" s="3050"/>
      <c r="B525" s="3051"/>
      <c r="C525" s="3052"/>
      <c r="D525" s="1261">
        <v>2024</v>
      </c>
      <c r="E525" s="1271">
        <v>0</v>
      </c>
      <c r="F525" s="1271">
        <v>0</v>
      </c>
      <c r="G525" s="1278">
        <v>0</v>
      </c>
      <c r="H525" s="1272">
        <v>0</v>
      </c>
      <c r="I525" s="1278">
        <v>0</v>
      </c>
      <c r="J525" s="3053"/>
      <c r="K525" s="3065"/>
      <c r="L525" s="1260"/>
    </row>
    <row r="526" spans="1:16" ht="18.75" customHeight="1" outlineLevel="1">
      <c r="A526" s="3050"/>
      <c r="B526" s="3051"/>
      <c r="C526" s="3052"/>
      <c r="D526" s="1261">
        <v>2025</v>
      </c>
      <c r="E526" s="1271">
        <v>0</v>
      </c>
      <c r="F526" s="1271">
        <v>0</v>
      </c>
      <c r="G526" s="1278">
        <v>0</v>
      </c>
      <c r="H526" s="1272">
        <v>0</v>
      </c>
      <c r="I526" s="1278">
        <v>0</v>
      </c>
      <c r="J526" s="3053"/>
      <c r="K526" s="3066"/>
      <c r="L526" s="1260"/>
    </row>
    <row r="527" spans="1:16" ht="15" customHeight="1" outlineLevel="1">
      <c r="A527" s="3061" t="s">
        <v>2974</v>
      </c>
      <c r="B527" s="3079" t="s">
        <v>3064</v>
      </c>
      <c r="C527" s="3082">
        <v>2021</v>
      </c>
      <c r="D527" s="1261" t="s">
        <v>8</v>
      </c>
      <c r="E527" s="1271">
        <f t="shared" si="48"/>
        <v>0</v>
      </c>
      <c r="F527" s="1271">
        <f>SUM(F528:F532)</f>
        <v>0</v>
      </c>
      <c r="G527" s="1271">
        <f>SUM(G528:G532)</f>
        <v>0</v>
      </c>
      <c r="H527" s="1271">
        <f>SUM(H528:H532)</f>
        <v>0</v>
      </c>
      <c r="I527" s="1271">
        <f>SUM(I528:I532)</f>
        <v>0</v>
      </c>
      <c r="J527" s="3064" t="s">
        <v>2837</v>
      </c>
      <c r="K527" s="3064" t="s">
        <v>2993</v>
      </c>
    </row>
    <row r="528" spans="1:16" ht="15" customHeight="1" outlineLevel="1">
      <c r="A528" s="3062"/>
      <c r="B528" s="3085"/>
      <c r="C528" s="3083"/>
      <c r="D528" s="1261">
        <v>2021</v>
      </c>
      <c r="E528" s="1271">
        <f t="shared" si="48"/>
        <v>0</v>
      </c>
      <c r="F528" s="1276">
        <v>0</v>
      </c>
      <c r="G528" s="1278">
        <v>0</v>
      </c>
      <c r="H528" s="1272">
        <f>F528/95*5</f>
        <v>0</v>
      </c>
      <c r="I528" s="1278">
        <v>0</v>
      </c>
      <c r="J528" s="3065"/>
      <c r="K528" s="3065"/>
    </row>
    <row r="529" spans="1:13" ht="15" customHeight="1" outlineLevel="1">
      <c r="A529" s="3062"/>
      <c r="B529" s="3085"/>
      <c r="C529" s="3083"/>
      <c r="D529" s="1261">
        <v>2022</v>
      </c>
      <c r="E529" s="1271">
        <v>0</v>
      </c>
      <c r="F529" s="1271">
        <v>0</v>
      </c>
      <c r="G529" s="1278">
        <v>0</v>
      </c>
      <c r="H529" s="1272">
        <v>0</v>
      </c>
      <c r="I529" s="1278">
        <v>0</v>
      </c>
      <c r="J529" s="3065"/>
      <c r="K529" s="3065"/>
    </row>
    <row r="530" spans="1:13" ht="15" customHeight="1" outlineLevel="1">
      <c r="A530" s="3062"/>
      <c r="B530" s="3085"/>
      <c r="C530" s="3083"/>
      <c r="D530" s="1261">
        <v>2023</v>
      </c>
      <c r="E530" s="1271">
        <v>0</v>
      </c>
      <c r="F530" s="1271">
        <v>0</v>
      </c>
      <c r="G530" s="1278">
        <v>0</v>
      </c>
      <c r="H530" s="1272">
        <v>0</v>
      </c>
      <c r="I530" s="1278">
        <v>0</v>
      </c>
      <c r="J530" s="3065"/>
      <c r="K530" s="3065"/>
    </row>
    <row r="531" spans="1:13" ht="15" customHeight="1" outlineLevel="1">
      <c r="A531" s="3062"/>
      <c r="B531" s="3085"/>
      <c r="C531" s="3083"/>
      <c r="D531" s="1261">
        <v>2024</v>
      </c>
      <c r="E531" s="1271">
        <v>0</v>
      </c>
      <c r="F531" s="1271">
        <v>0</v>
      </c>
      <c r="G531" s="1278">
        <v>0</v>
      </c>
      <c r="H531" s="1272">
        <v>0</v>
      </c>
      <c r="I531" s="1278">
        <v>0</v>
      </c>
      <c r="J531" s="3065"/>
      <c r="K531" s="3065"/>
    </row>
    <row r="532" spans="1:13" ht="15" customHeight="1" outlineLevel="1">
      <c r="A532" s="3063"/>
      <c r="B532" s="3086"/>
      <c r="C532" s="3084"/>
      <c r="D532" s="1261">
        <v>2025</v>
      </c>
      <c r="E532" s="1271">
        <v>0</v>
      </c>
      <c r="F532" s="1271">
        <v>0</v>
      </c>
      <c r="G532" s="1278">
        <v>0</v>
      </c>
      <c r="H532" s="1272">
        <v>0</v>
      </c>
      <c r="I532" s="1278">
        <v>0</v>
      </c>
      <c r="J532" s="3066"/>
      <c r="K532" s="3066"/>
    </row>
    <row r="533" spans="1:13" ht="15" customHeight="1" outlineLevel="1">
      <c r="A533" s="3050" t="s">
        <v>2975</v>
      </c>
      <c r="B533" s="3051" t="s">
        <v>3063</v>
      </c>
      <c r="C533" s="3052">
        <v>2021</v>
      </c>
      <c r="D533" s="1261" t="s">
        <v>8</v>
      </c>
      <c r="E533" s="1271">
        <f t="shared" si="48"/>
        <v>28829.676842105262</v>
      </c>
      <c r="F533" s="1271">
        <f>SUM(F534:F538)</f>
        <v>27388.192999999999</v>
      </c>
      <c r="G533" s="1271">
        <f>SUM(G534:G538)</f>
        <v>0</v>
      </c>
      <c r="H533" s="1271">
        <f>SUM(H534:H538)</f>
        <v>1441.483842105263</v>
      </c>
      <c r="I533" s="1271">
        <f>SUM(I534:I538)</f>
        <v>0</v>
      </c>
      <c r="J533" s="3053" t="s">
        <v>2838</v>
      </c>
      <c r="K533" s="3064" t="s">
        <v>2993</v>
      </c>
    </row>
    <row r="534" spans="1:13" ht="15" customHeight="1" outlineLevel="1">
      <c r="A534" s="3050"/>
      <c r="B534" s="3051"/>
      <c r="C534" s="3052"/>
      <c r="D534" s="1261">
        <v>2021</v>
      </c>
      <c r="E534" s="1271">
        <f t="shared" si="48"/>
        <v>28829.676842105262</v>
      </c>
      <c r="F534" s="1271">
        <v>27388.192999999999</v>
      </c>
      <c r="G534" s="1278">
        <v>0</v>
      </c>
      <c r="H534" s="1272">
        <f>F534/95*5</f>
        <v>1441.483842105263</v>
      </c>
      <c r="I534" s="1278">
        <v>0</v>
      </c>
      <c r="J534" s="3053"/>
      <c r="K534" s="3065"/>
    </row>
    <row r="535" spans="1:13" ht="15" customHeight="1" outlineLevel="1">
      <c r="A535" s="3050"/>
      <c r="B535" s="3051"/>
      <c r="C535" s="3052"/>
      <c r="D535" s="1261">
        <v>2022</v>
      </c>
      <c r="E535" s="1271">
        <v>0</v>
      </c>
      <c r="F535" s="1271">
        <v>0</v>
      </c>
      <c r="G535" s="1278">
        <v>0</v>
      </c>
      <c r="H535" s="1272">
        <v>0</v>
      </c>
      <c r="I535" s="1278">
        <v>0</v>
      </c>
      <c r="J535" s="3053"/>
      <c r="K535" s="3065"/>
    </row>
    <row r="536" spans="1:13" ht="15" customHeight="1" outlineLevel="1">
      <c r="A536" s="3050"/>
      <c r="B536" s="3051"/>
      <c r="C536" s="3052"/>
      <c r="D536" s="1261">
        <v>2023</v>
      </c>
      <c r="E536" s="1271">
        <v>0</v>
      </c>
      <c r="F536" s="1271">
        <v>0</v>
      </c>
      <c r="G536" s="1278">
        <v>0</v>
      </c>
      <c r="H536" s="1272">
        <v>0</v>
      </c>
      <c r="I536" s="1278">
        <v>0</v>
      </c>
      <c r="J536" s="3053"/>
      <c r="K536" s="3065"/>
    </row>
    <row r="537" spans="1:13" ht="15" customHeight="1" outlineLevel="1">
      <c r="A537" s="3050"/>
      <c r="B537" s="3051"/>
      <c r="C537" s="3052"/>
      <c r="D537" s="1261">
        <v>2024</v>
      </c>
      <c r="E537" s="1271">
        <v>0</v>
      </c>
      <c r="F537" s="1271">
        <v>0</v>
      </c>
      <c r="G537" s="1278">
        <v>0</v>
      </c>
      <c r="H537" s="1272">
        <v>0</v>
      </c>
      <c r="I537" s="1278">
        <v>0</v>
      </c>
      <c r="J537" s="3053"/>
      <c r="K537" s="3065"/>
    </row>
    <row r="538" spans="1:13" ht="13.5" customHeight="1" outlineLevel="1">
      <c r="A538" s="3050"/>
      <c r="B538" s="3051"/>
      <c r="C538" s="3052"/>
      <c r="D538" s="1261">
        <v>2025</v>
      </c>
      <c r="E538" s="1271">
        <v>0</v>
      </c>
      <c r="F538" s="1271">
        <v>0</v>
      </c>
      <c r="G538" s="1278">
        <v>0</v>
      </c>
      <c r="H538" s="1272">
        <v>0</v>
      </c>
      <c r="I538" s="1278">
        <v>0</v>
      </c>
      <c r="J538" s="3053"/>
      <c r="K538" s="3066"/>
    </row>
    <row r="539" spans="1:13" ht="16.5" customHeight="1" outlineLevel="1">
      <c r="A539" s="3050" t="s">
        <v>2976</v>
      </c>
      <c r="B539" s="3079" t="s">
        <v>2860</v>
      </c>
      <c r="C539" s="3052" t="s">
        <v>2999</v>
      </c>
      <c r="D539" s="1261" t="s">
        <v>8</v>
      </c>
      <c r="E539" s="1281">
        <f t="shared" si="48"/>
        <v>4724.9217200000003</v>
      </c>
      <c r="F539" s="1279">
        <f>SUM(F540:F544)</f>
        <v>4431.9217200000003</v>
      </c>
      <c r="G539" s="1282">
        <f>SUM(G540:G544)</f>
        <v>0</v>
      </c>
      <c r="H539" s="1282">
        <f>SUM(H540:H544)</f>
        <v>293</v>
      </c>
      <c r="I539" s="1282">
        <f>SUM(I540:I544)</f>
        <v>0</v>
      </c>
      <c r="J539" s="3064" t="s">
        <v>3062</v>
      </c>
      <c r="K539" s="3064" t="s">
        <v>2993</v>
      </c>
      <c r="L539" s="1260"/>
    </row>
    <row r="540" spans="1:13" s="1283" customFormat="1" ht="15" customHeight="1" outlineLevel="1">
      <c r="A540" s="3050"/>
      <c r="B540" s="3085"/>
      <c r="C540" s="3052"/>
      <c r="D540" s="1261">
        <v>2021</v>
      </c>
      <c r="E540" s="1281">
        <f t="shared" si="48"/>
        <v>2270.6600000000003</v>
      </c>
      <c r="F540" s="1279">
        <v>2100.36</v>
      </c>
      <c r="G540" s="1271">
        <v>0</v>
      </c>
      <c r="H540" s="1271">
        <v>170.3</v>
      </c>
      <c r="I540" s="1271">
        <v>0</v>
      </c>
      <c r="J540" s="3065"/>
      <c r="K540" s="3065"/>
      <c r="M540" s="1284"/>
    </row>
    <row r="541" spans="1:13" s="1283" customFormat="1" ht="18.75" customHeight="1" outlineLevel="1">
      <c r="A541" s="3050"/>
      <c r="B541" s="3085"/>
      <c r="C541" s="3052"/>
      <c r="D541" s="1261">
        <v>2022</v>
      </c>
      <c r="E541" s="1281">
        <f t="shared" si="48"/>
        <v>2454.26172</v>
      </c>
      <c r="F541" s="1271">
        <v>2331.5617200000002</v>
      </c>
      <c r="G541" s="1271">
        <v>0</v>
      </c>
      <c r="H541" s="1271">
        <v>122.7</v>
      </c>
      <c r="I541" s="1271">
        <v>0</v>
      </c>
      <c r="J541" s="3065"/>
      <c r="K541" s="3065"/>
      <c r="M541" s="1284"/>
    </row>
    <row r="542" spans="1:13" s="1283" customFormat="1" ht="17.25" customHeight="1" outlineLevel="1">
      <c r="A542" s="3050"/>
      <c r="B542" s="3085"/>
      <c r="C542" s="3052"/>
      <c r="D542" s="1261">
        <v>2023</v>
      </c>
      <c r="E542" s="1281">
        <f t="shared" si="48"/>
        <v>0</v>
      </c>
      <c r="F542" s="1271">
        <v>0</v>
      </c>
      <c r="G542" s="1271">
        <v>0</v>
      </c>
      <c r="H542" s="1271">
        <v>0</v>
      </c>
      <c r="I542" s="1271">
        <v>0</v>
      </c>
      <c r="J542" s="3065"/>
      <c r="K542" s="3065"/>
      <c r="M542" s="1284"/>
    </row>
    <row r="543" spans="1:13" s="1283" customFormat="1" ht="15" customHeight="1" outlineLevel="1">
      <c r="A543" s="3050"/>
      <c r="B543" s="3085"/>
      <c r="C543" s="3052"/>
      <c r="D543" s="1261">
        <v>2024</v>
      </c>
      <c r="E543" s="1281">
        <f t="shared" si="48"/>
        <v>0</v>
      </c>
      <c r="F543" s="1271">
        <v>0</v>
      </c>
      <c r="G543" s="1271">
        <v>0</v>
      </c>
      <c r="H543" s="1271">
        <v>0</v>
      </c>
      <c r="I543" s="1271">
        <v>0</v>
      </c>
      <c r="J543" s="3065"/>
      <c r="K543" s="3065"/>
      <c r="M543" s="1284"/>
    </row>
    <row r="544" spans="1:13" s="1283" customFormat="1" ht="14.25" customHeight="1" outlineLevel="1">
      <c r="A544" s="3050"/>
      <c r="B544" s="3086"/>
      <c r="C544" s="3052"/>
      <c r="D544" s="1261">
        <v>2025</v>
      </c>
      <c r="E544" s="1281">
        <f t="shared" si="48"/>
        <v>0</v>
      </c>
      <c r="F544" s="1271">
        <v>0</v>
      </c>
      <c r="G544" s="1271">
        <v>0</v>
      </c>
      <c r="H544" s="1271">
        <v>0</v>
      </c>
      <c r="I544" s="1271">
        <v>0</v>
      </c>
      <c r="J544" s="3066"/>
      <c r="K544" s="3066"/>
      <c r="M544" s="1284"/>
    </row>
    <row r="545" spans="1:13" s="1283" customFormat="1" ht="12.75" customHeight="1" outlineLevel="1">
      <c r="A545" s="3050" t="s">
        <v>2977</v>
      </c>
      <c r="B545" s="3079" t="s">
        <v>3061</v>
      </c>
      <c r="C545" s="3052">
        <v>2021</v>
      </c>
      <c r="D545" s="1261" t="s">
        <v>8</v>
      </c>
      <c r="E545" s="1281">
        <f t="shared" si="48"/>
        <v>0</v>
      </c>
      <c r="F545" s="1271">
        <v>0</v>
      </c>
      <c r="G545" s="1271">
        <v>0</v>
      </c>
      <c r="H545" s="1271">
        <v>0</v>
      </c>
      <c r="I545" s="1271">
        <v>0</v>
      </c>
      <c r="J545" s="3064" t="s">
        <v>3060</v>
      </c>
      <c r="K545" s="3064" t="s">
        <v>168</v>
      </c>
      <c r="L545" s="1285"/>
      <c r="M545" s="1284"/>
    </row>
    <row r="546" spans="1:13" s="1283" customFormat="1" ht="12.75" customHeight="1" outlineLevel="1">
      <c r="A546" s="3050"/>
      <c r="B546" s="3085"/>
      <c r="C546" s="3052"/>
      <c r="D546" s="1261">
        <v>2021</v>
      </c>
      <c r="E546" s="1281">
        <f t="shared" si="48"/>
        <v>0</v>
      </c>
      <c r="F546" s="1271">
        <v>0</v>
      </c>
      <c r="G546" s="1271">
        <v>0</v>
      </c>
      <c r="H546" s="1271">
        <v>0</v>
      </c>
      <c r="I546" s="1271">
        <v>0</v>
      </c>
      <c r="J546" s="3065"/>
      <c r="K546" s="3065"/>
      <c r="L546" s="1285"/>
      <c r="M546" s="1284"/>
    </row>
    <row r="547" spans="1:13" s="1283" customFormat="1" ht="12.75" customHeight="1" outlineLevel="1">
      <c r="A547" s="3050"/>
      <c r="B547" s="3085"/>
      <c r="C547" s="3052"/>
      <c r="D547" s="1261">
        <v>2022</v>
      </c>
      <c r="E547" s="1281">
        <f t="shared" si="48"/>
        <v>0</v>
      </c>
      <c r="F547" s="1271">
        <v>0</v>
      </c>
      <c r="G547" s="1271">
        <v>0</v>
      </c>
      <c r="H547" s="1271">
        <v>0</v>
      </c>
      <c r="I547" s="1271">
        <v>0</v>
      </c>
      <c r="J547" s="3065"/>
      <c r="K547" s="3065"/>
      <c r="L547" s="1285"/>
      <c r="M547" s="1284"/>
    </row>
    <row r="548" spans="1:13" s="1283" customFormat="1" ht="12.75" customHeight="1" outlineLevel="1">
      <c r="A548" s="3050"/>
      <c r="B548" s="3085"/>
      <c r="C548" s="3052"/>
      <c r="D548" s="1261">
        <v>2023</v>
      </c>
      <c r="E548" s="1281">
        <f t="shared" si="48"/>
        <v>0</v>
      </c>
      <c r="F548" s="1271">
        <v>0</v>
      </c>
      <c r="G548" s="1271">
        <v>0</v>
      </c>
      <c r="H548" s="1271">
        <v>0</v>
      </c>
      <c r="I548" s="1271">
        <v>0</v>
      </c>
      <c r="J548" s="3065"/>
      <c r="K548" s="3065"/>
      <c r="L548" s="1285"/>
      <c r="M548" s="1284"/>
    </row>
    <row r="549" spans="1:13" s="1283" customFormat="1" ht="12.75" customHeight="1" outlineLevel="1">
      <c r="A549" s="3050"/>
      <c r="B549" s="3085"/>
      <c r="C549" s="3052"/>
      <c r="D549" s="1261">
        <v>2024</v>
      </c>
      <c r="E549" s="1281">
        <f t="shared" si="48"/>
        <v>0</v>
      </c>
      <c r="F549" s="1271">
        <v>0</v>
      </c>
      <c r="G549" s="1271">
        <v>0</v>
      </c>
      <c r="H549" s="1271">
        <v>0</v>
      </c>
      <c r="I549" s="1271">
        <v>0</v>
      </c>
      <c r="J549" s="3065"/>
      <c r="K549" s="3065"/>
      <c r="L549" s="1285"/>
      <c r="M549" s="1284"/>
    </row>
    <row r="550" spans="1:13" s="1283" customFormat="1" ht="12.75" customHeight="1" outlineLevel="1">
      <c r="A550" s="3050"/>
      <c r="B550" s="3086"/>
      <c r="C550" s="3052"/>
      <c r="D550" s="1261">
        <v>2025</v>
      </c>
      <c r="E550" s="1281">
        <f t="shared" si="48"/>
        <v>0</v>
      </c>
      <c r="F550" s="1271">
        <v>0</v>
      </c>
      <c r="G550" s="1271">
        <v>0</v>
      </c>
      <c r="H550" s="1271">
        <v>0</v>
      </c>
      <c r="I550" s="1271">
        <v>0</v>
      </c>
      <c r="J550" s="3066"/>
      <c r="K550" s="3066"/>
      <c r="L550" s="1285"/>
      <c r="M550" s="1284"/>
    </row>
    <row r="551" spans="1:13" s="1283" customFormat="1" ht="12.75" customHeight="1" outlineLevel="1">
      <c r="A551" s="3061" t="s">
        <v>2978</v>
      </c>
      <c r="B551" s="3079" t="s">
        <v>2861</v>
      </c>
      <c r="C551" s="3052">
        <v>2021</v>
      </c>
      <c r="D551" s="1261" t="s">
        <v>8</v>
      </c>
      <c r="E551" s="1281">
        <f t="shared" si="48"/>
        <v>468.3</v>
      </c>
      <c r="F551" s="1281">
        <f>SUM(F552:F556)</f>
        <v>468.3</v>
      </c>
      <c r="G551" s="1281">
        <f>SUM(G552:G556)</f>
        <v>0</v>
      </c>
      <c r="H551" s="1281">
        <f>SUM(H552:H556)</f>
        <v>0</v>
      </c>
      <c r="I551" s="1281">
        <f>SUM(I552:I556)</f>
        <v>0</v>
      </c>
      <c r="J551" s="3064" t="s">
        <v>3059</v>
      </c>
      <c r="K551" s="3064" t="s">
        <v>3034</v>
      </c>
      <c r="L551" s="1285"/>
      <c r="M551" s="1284"/>
    </row>
    <row r="552" spans="1:13" s="1283" customFormat="1" ht="12.75" customHeight="1" outlineLevel="1">
      <c r="A552" s="3062"/>
      <c r="B552" s="3085"/>
      <c r="C552" s="3052"/>
      <c r="D552" s="1261">
        <v>2021</v>
      </c>
      <c r="E552" s="1281">
        <f t="shared" si="48"/>
        <v>468.3</v>
      </c>
      <c r="F552" s="1281">
        <v>468.3</v>
      </c>
      <c r="G552" s="1281">
        <v>0</v>
      </c>
      <c r="H552" s="1281">
        <v>0</v>
      </c>
      <c r="I552" s="1281">
        <v>0</v>
      </c>
      <c r="J552" s="3065"/>
      <c r="K552" s="3065"/>
      <c r="L552" s="1285"/>
      <c r="M552" s="1284"/>
    </row>
    <row r="553" spans="1:13" s="1283" customFormat="1" ht="12.75" customHeight="1" outlineLevel="1">
      <c r="A553" s="3062"/>
      <c r="B553" s="3085"/>
      <c r="C553" s="3052"/>
      <c r="D553" s="1261">
        <v>2022</v>
      </c>
      <c r="E553" s="1281">
        <f t="shared" si="48"/>
        <v>0</v>
      </c>
      <c r="F553" s="1281">
        <v>0</v>
      </c>
      <c r="G553" s="1281">
        <v>0</v>
      </c>
      <c r="H553" s="1281">
        <v>0</v>
      </c>
      <c r="I553" s="1281">
        <v>0</v>
      </c>
      <c r="J553" s="3065"/>
      <c r="K553" s="3065"/>
      <c r="L553" s="1285"/>
      <c r="M553" s="1284"/>
    </row>
    <row r="554" spans="1:13" s="1283" customFormat="1" ht="12.75" customHeight="1" outlineLevel="1">
      <c r="A554" s="3062"/>
      <c r="B554" s="3085"/>
      <c r="C554" s="3052"/>
      <c r="D554" s="1261">
        <v>2023</v>
      </c>
      <c r="E554" s="1281">
        <f t="shared" si="48"/>
        <v>0</v>
      </c>
      <c r="F554" s="1281">
        <v>0</v>
      </c>
      <c r="G554" s="1281">
        <v>0</v>
      </c>
      <c r="H554" s="1281">
        <v>0</v>
      </c>
      <c r="I554" s="1281">
        <v>0</v>
      </c>
      <c r="J554" s="3065"/>
      <c r="K554" s="3065"/>
      <c r="L554" s="1285"/>
      <c r="M554" s="1284"/>
    </row>
    <row r="555" spans="1:13" s="1283" customFormat="1" ht="12.75" customHeight="1" outlineLevel="1">
      <c r="A555" s="3062"/>
      <c r="B555" s="3085"/>
      <c r="C555" s="3052"/>
      <c r="D555" s="1261">
        <v>2024</v>
      </c>
      <c r="E555" s="1281">
        <f t="shared" si="48"/>
        <v>0</v>
      </c>
      <c r="F555" s="1281">
        <v>0</v>
      </c>
      <c r="G555" s="1281">
        <v>0</v>
      </c>
      <c r="H555" s="1281">
        <v>0</v>
      </c>
      <c r="I555" s="1281">
        <v>0</v>
      </c>
      <c r="J555" s="3065"/>
      <c r="K555" s="3065"/>
      <c r="L555" s="1285"/>
      <c r="M555" s="1284"/>
    </row>
    <row r="556" spans="1:13" s="1283" customFormat="1" ht="12.75" customHeight="1" outlineLevel="1">
      <c r="A556" s="3063"/>
      <c r="B556" s="3086"/>
      <c r="C556" s="3052"/>
      <c r="D556" s="1261">
        <v>2025</v>
      </c>
      <c r="E556" s="1281">
        <f t="shared" si="48"/>
        <v>0</v>
      </c>
      <c r="F556" s="1281">
        <v>0</v>
      </c>
      <c r="G556" s="1281">
        <v>0</v>
      </c>
      <c r="H556" s="1281">
        <v>0</v>
      </c>
      <c r="I556" s="1281">
        <v>0</v>
      </c>
      <c r="J556" s="3066"/>
      <c r="K556" s="3066"/>
      <c r="L556" s="1285"/>
      <c r="M556" s="1284"/>
    </row>
    <row r="557" spans="1:13" s="1283" customFormat="1" ht="18" customHeight="1" outlineLevel="1">
      <c r="A557" s="3061" t="s">
        <v>250</v>
      </c>
      <c r="B557" s="3079" t="s">
        <v>2950</v>
      </c>
      <c r="C557" s="3052">
        <v>2021</v>
      </c>
      <c r="D557" s="1261" t="s">
        <v>8</v>
      </c>
      <c r="E557" s="1281">
        <f t="shared" si="48"/>
        <v>8226.4694736842102</v>
      </c>
      <c r="F557" s="1281">
        <f>SUM(F558:F562)</f>
        <v>7815.1459999999997</v>
      </c>
      <c r="G557" s="1281">
        <f>SUM(G558:G562)</f>
        <v>0</v>
      </c>
      <c r="H557" s="1281">
        <f>SUM(H558:H562)</f>
        <v>411.32347368421051</v>
      </c>
      <c r="I557" s="1281">
        <f>SUM(I558:I562)</f>
        <v>0</v>
      </c>
      <c r="J557" s="3064" t="s">
        <v>3058</v>
      </c>
      <c r="K557" s="3064" t="s">
        <v>2993</v>
      </c>
      <c r="L557" s="1285"/>
      <c r="M557" s="1284"/>
    </row>
    <row r="558" spans="1:13" s="1283" customFormat="1" ht="18" customHeight="1" outlineLevel="1">
      <c r="A558" s="3062"/>
      <c r="B558" s="3085"/>
      <c r="C558" s="3052"/>
      <c r="D558" s="1261">
        <v>2021</v>
      </c>
      <c r="E558" s="1281">
        <f t="shared" ref="E558:E621" si="49">SUM(F558:I558)</f>
        <v>8226.4694736842102</v>
      </c>
      <c r="F558" s="1281">
        <v>7815.1459999999997</v>
      </c>
      <c r="G558" s="1281">
        <v>0</v>
      </c>
      <c r="H558" s="1281">
        <f t="shared" ref="H558:H559" si="50">F558/95*5</f>
        <v>411.32347368421051</v>
      </c>
      <c r="I558" s="1281">
        <v>0</v>
      </c>
      <c r="J558" s="3065"/>
      <c r="K558" s="3065"/>
      <c r="L558" s="1285"/>
      <c r="M558" s="1284"/>
    </row>
    <row r="559" spans="1:13" s="1283" customFormat="1" ht="18" customHeight="1" outlineLevel="1">
      <c r="A559" s="3062"/>
      <c r="B559" s="3085"/>
      <c r="C559" s="3052"/>
      <c r="D559" s="1261">
        <v>2022</v>
      </c>
      <c r="E559" s="1281">
        <f t="shared" si="49"/>
        <v>0</v>
      </c>
      <c r="F559" s="1281">
        <v>0</v>
      </c>
      <c r="G559" s="1281">
        <v>0</v>
      </c>
      <c r="H559" s="1281">
        <f t="shared" si="50"/>
        <v>0</v>
      </c>
      <c r="I559" s="1281">
        <v>0</v>
      </c>
      <c r="J559" s="3065"/>
      <c r="K559" s="3065"/>
      <c r="L559" s="1285"/>
      <c r="M559" s="1284"/>
    </row>
    <row r="560" spans="1:13" s="1283" customFormat="1" ht="18" customHeight="1" outlineLevel="1">
      <c r="A560" s="3062"/>
      <c r="B560" s="3085"/>
      <c r="C560" s="3052"/>
      <c r="D560" s="1261">
        <v>2023</v>
      </c>
      <c r="E560" s="1281">
        <f t="shared" si="49"/>
        <v>0</v>
      </c>
      <c r="F560" s="1281">
        <v>0</v>
      </c>
      <c r="G560" s="1281">
        <v>0</v>
      </c>
      <c r="H560" s="1281">
        <v>0</v>
      </c>
      <c r="I560" s="1281">
        <v>0</v>
      </c>
      <c r="J560" s="3065"/>
      <c r="K560" s="3065"/>
      <c r="L560" s="1285"/>
      <c r="M560" s="1284"/>
    </row>
    <row r="561" spans="1:13" s="1283" customFormat="1" ht="18" customHeight="1" outlineLevel="1">
      <c r="A561" s="3062"/>
      <c r="B561" s="3085"/>
      <c r="C561" s="3052"/>
      <c r="D561" s="1261">
        <v>2024</v>
      </c>
      <c r="E561" s="1281">
        <f t="shared" si="49"/>
        <v>0</v>
      </c>
      <c r="F561" s="1281">
        <v>0</v>
      </c>
      <c r="G561" s="1281">
        <v>0</v>
      </c>
      <c r="H561" s="1281">
        <v>0</v>
      </c>
      <c r="I561" s="1281">
        <v>0</v>
      </c>
      <c r="J561" s="3065"/>
      <c r="K561" s="3065"/>
      <c r="L561" s="1285"/>
      <c r="M561" s="1284"/>
    </row>
    <row r="562" spans="1:13" s="1283" customFormat="1" ht="18" customHeight="1" outlineLevel="1">
      <c r="A562" s="3063"/>
      <c r="B562" s="3086"/>
      <c r="C562" s="3052"/>
      <c r="D562" s="1261">
        <v>2025</v>
      </c>
      <c r="E562" s="1281">
        <f t="shared" si="49"/>
        <v>0</v>
      </c>
      <c r="F562" s="1281">
        <v>0</v>
      </c>
      <c r="G562" s="1281">
        <v>0</v>
      </c>
      <c r="H562" s="1281">
        <v>0</v>
      </c>
      <c r="I562" s="1281">
        <v>0</v>
      </c>
      <c r="J562" s="3066"/>
      <c r="K562" s="3066"/>
      <c r="L562" s="1285"/>
      <c r="M562" s="1284"/>
    </row>
    <row r="563" spans="1:13" s="1283" customFormat="1" ht="18" customHeight="1" outlineLevel="1">
      <c r="A563" s="3061" t="s">
        <v>2979</v>
      </c>
      <c r="B563" s="3079" t="s">
        <v>2951</v>
      </c>
      <c r="C563" s="3052">
        <v>2021</v>
      </c>
      <c r="D563" s="1261" t="s">
        <v>8</v>
      </c>
      <c r="E563" s="1279">
        <f t="shared" si="49"/>
        <v>15056.631578947368</v>
      </c>
      <c r="F563" s="1279">
        <f>SUM(F564:F568)</f>
        <v>14303.8</v>
      </c>
      <c r="G563" s="1279">
        <f>SUM(G564:G568)</f>
        <v>0</v>
      </c>
      <c r="H563" s="1279">
        <f>SUM(H564:H568)</f>
        <v>752.83157894736837</v>
      </c>
      <c r="I563" s="1281">
        <v>0</v>
      </c>
      <c r="J563" s="3064" t="s">
        <v>3057</v>
      </c>
      <c r="K563" s="3064" t="s">
        <v>2993</v>
      </c>
      <c r="L563" s="1285"/>
      <c r="M563" s="1284"/>
    </row>
    <row r="564" spans="1:13" s="1283" customFormat="1" ht="18" customHeight="1" outlineLevel="1">
      <c r="A564" s="3062"/>
      <c r="B564" s="3085"/>
      <c r="C564" s="3052"/>
      <c r="D564" s="1261">
        <v>2021</v>
      </c>
      <c r="E564" s="1279">
        <f t="shared" si="49"/>
        <v>15056.631578947368</v>
      </c>
      <c r="F564" s="1279">
        <v>14303.8</v>
      </c>
      <c r="G564" s="1279">
        <v>0</v>
      </c>
      <c r="H564" s="1272">
        <f>F564/95*5</f>
        <v>752.83157894736837</v>
      </c>
      <c r="I564" s="1281">
        <v>0</v>
      </c>
      <c r="J564" s="3065"/>
      <c r="K564" s="3065"/>
      <c r="L564" s="1285"/>
      <c r="M564" s="1284"/>
    </row>
    <row r="565" spans="1:13" s="1283" customFormat="1" ht="18" customHeight="1" outlineLevel="1">
      <c r="A565" s="3062"/>
      <c r="B565" s="3085"/>
      <c r="C565" s="3052"/>
      <c r="D565" s="1261">
        <v>2022</v>
      </c>
      <c r="E565" s="1279">
        <f t="shared" si="49"/>
        <v>0</v>
      </c>
      <c r="F565" s="1279">
        <v>0</v>
      </c>
      <c r="G565" s="1279">
        <v>0</v>
      </c>
      <c r="H565" s="1279">
        <v>0</v>
      </c>
      <c r="I565" s="1279">
        <v>0</v>
      </c>
      <c r="J565" s="3065"/>
      <c r="K565" s="3065"/>
      <c r="L565" s="1285"/>
      <c r="M565" s="1284"/>
    </row>
    <row r="566" spans="1:13" s="1283" customFormat="1" ht="18" customHeight="1" outlineLevel="1">
      <c r="A566" s="3062"/>
      <c r="B566" s="3085"/>
      <c r="C566" s="3052"/>
      <c r="D566" s="1261">
        <v>2023</v>
      </c>
      <c r="E566" s="1279">
        <f t="shared" si="49"/>
        <v>0</v>
      </c>
      <c r="F566" s="1279">
        <v>0</v>
      </c>
      <c r="G566" s="1279">
        <v>0</v>
      </c>
      <c r="H566" s="1279">
        <v>0</v>
      </c>
      <c r="I566" s="1279">
        <v>0</v>
      </c>
      <c r="J566" s="3065"/>
      <c r="K566" s="3065"/>
      <c r="L566" s="1285"/>
      <c r="M566" s="1284"/>
    </row>
    <row r="567" spans="1:13" s="1283" customFormat="1" ht="18" customHeight="1" outlineLevel="1">
      <c r="A567" s="3062"/>
      <c r="B567" s="3085"/>
      <c r="C567" s="3052"/>
      <c r="D567" s="1261">
        <v>2024</v>
      </c>
      <c r="E567" s="1279">
        <f t="shared" si="49"/>
        <v>0</v>
      </c>
      <c r="F567" s="1279">
        <v>0</v>
      </c>
      <c r="G567" s="1279">
        <v>0</v>
      </c>
      <c r="H567" s="1279">
        <v>0</v>
      </c>
      <c r="I567" s="1279">
        <v>0</v>
      </c>
      <c r="J567" s="3065"/>
      <c r="K567" s="3065"/>
      <c r="L567" s="1285"/>
      <c r="M567" s="1284"/>
    </row>
    <row r="568" spans="1:13" s="1283" customFormat="1" ht="18" customHeight="1" outlineLevel="1">
      <c r="A568" s="3063"/>
      <c r="B568" s="3086"/>
      <c r="C568" s="3052"/>
      <c r="D568" s="1261">
        <v>2025</v>
      </c>
      <c r="E568" s="1279">
        <f t="shared" si="49"/>
        <v>0</v>
      </c>
      <c r="F568" s="1279">
        <v>0</v>
      </c>
      <c r="G568" s="1279">
        <v>0</v>
      </c>
      <c r="H568" s="1279">
        <v>0</v>
      </c>
      <c r="I568" s="1279">
        <v>0</v>
      </c>
      <c r="J568" s="3066"/>
      <c r="K568" s="3066"/>
      <c r="L568" s="1285"/>
      <c r="M568" s="1284"/>
    </row>
    <row r="569" spans="1:13" s="1283" customFormat="1" ht="12.75" customHeight="1" outlineLevel="1">
      <c r="A569" s="3061" t="s">
        <v>257</v>
      </c>
      <c r="B569" s="3079" t="s">
        <v>2952</v>
      </c>
      <c r="C569" s="3052">
        <v>2022</v>
      </c>
      <c r="D569" s="1261" t="s">
        <v>8</v>
      </c>
      <c r="E569" s="1279">
        <f t="shared" si="49"/>
        <v>20912.768100000001</v>
      </c>
      <c r="F569" s="1279">
        <f>SUM(F570:F574)</f>
        <v>20912.768100000001</v>
      </c>
      <c r="G569" s="1279">
        <f>SUM(G570:G574)</f>
        <v>0</v>
      </c>
      <c r="H569" s="1279">
        <f>SUM(H570:H574)</f>
        <v>0</v>
      </c>
      <c r="I569" s="1279">
        <f>SUM(I570:I574)</f>
        <v>0</v>
      </c>
      <c r="J569" s="3064" t="s">
        <v>3056</v>
      </c>
      <c r="K569" s="3053" t="s">
        <v>3055</v>
      </c>
      <c r="L569" s="1285"/>
      <c r="M569" s="1284"/>
    </row>
    <row r="570" spans="1:13" s="1283" customFormat="1" ht="12.75" customHeight="1" outlineLevel="1">
      <c r="A570" s="3062"/>
      <c r="B570" s="3085"/>
      <c r="C570" s="3052"/>
      <c r="D570" s="1261">
        <v>2021</v>
      </c>
      <c r="E570" s="1279">
        <f t="shared" si="49"/>
        <v>0</v>
      </c>
      <c r="F570" s="1279">
        <v>0</v>
      </c>
      <c r="G570" s="1279">
        <v>0</v>
      </c>
      <c r="H570" s="1279">
        <v>0</v>
      </c>
      <c r="I570" s="1279">
        <v>0</v>
      </c>
      <c r="J570" s="3065"/>
      <c r="K570" s="3053"/>
      <c r="L570" s="1285"/>
      <c r="M570" s="1284"/>
    </row>
    <row r="571" spans="1:13" s="1283" customFormat="1" ht="12.75" customHeight="1" outlineLevel="1">
      <c r="A571" s="3062"/>
      <c r="B571" s="3085"/>
      <c r="C571" s="3052"/>
      <c r="D571" s="1261">
        <v>2022</v>
      </c>
      <c r="E571" s="1279">
        <f t="shared" si="49"/>
        <v>20912.768100000001</v>
      </c>
      <c r="F571" s="1279">
        <v>20912.768100000001</v>
      </c>
      <c r="G571" s="1279">
        <v>0</v>
      </c>
      <c r="H571" s="1279">
        <v>0</v>
      </c>
      <c r="I571" s="1279">
        <v>0</v>
      </c>
      <c r="J571" s="3065"/>
      <c r="K571" s="3053"/>
      <c r="L571" s="1285"/>
      <c r="M571" s="1284"/>
    </row>
    <row r="572" spans="1:13" s="1283" customFormat="1" ht="12.75" customHeight="1" outlineLevel="1">
      <c r="A572" s="3062"/>
      <c r="B572" s="3085"/>
      <c r="C572" s="3052"/>
      <c r="D572" s="1261">
        <v>2023</v>
      </c>
      <c r="E572" s="1279">
        <f t="shared" si="49"/>
        <v>0</v>
      </c>
      <c r="F572" s="1279">
        <v>0</v>
      </c>
      <c r="G572" s="1279">
        <v>0</v>
      </c>
      <c r="H572" s="1279">
        <v>0</v>
      </c>
      <c r="I572" s="1279">
        <v>0</v>
      </c>
      <c r="J572" s="3065"/>
      <c r="K572" s="3053"/>
      <c r="L572" s="1285"/>
      <c r="M572" s="1284"/>
    </row>
    <row r="573" spans="1:13" s="1283" customFormat="1" ht="12.75" customHeight="1" outlineLevel="1">
      <c r="A573" s="3062"/>
      <c r="B573" s="3085"/>
      <c r="C573" s="3052"/>
      <c r="D573" s="1261">
        <v>2024</v>
      </c>
      <c r="E573" s="1279">
        <f t="shared" si="49"/>
        <v>0</v>
      </c>
      <c r="F573" s="1279">
        <v>0</v>
      </c>
      <c r="G573" s="1279">
        <v>0</v>
      </c>
      <c r="H573" s="1279">
        <v>0</v>
      </c>
      <c r="I573" s="1279">
        <v>0</v>
      </c>
      <c r="J573" s="3065"/>
      <c r="K573" s="3053"/>
      <c r="L573" s="1285"/>
      <c r="M573" s="1284"/>
    </row>
    <row r="574" spans="1:13" s="1283" customFormat="1" ht="12.75" customHeight="1" outlineLevel="1">
      <c r="A574" s="3063"/>
      <c r="B574" s="3086"/>
      <c r="C574" s="3052"/>
      <c r="D574" s="1261">
        <v>2025</v>
      </c>
      <c r="E574" s="1279">
        <f t="shared" si="49"/>
        <v>0</v>
      </c>
      <c r="F574" s="1279">
        <v>0</v>
      </c>
      <c r="G574" s="1279">
        <v>0</v>
      </c>
      <c r="H574" s="1279">
        <v>0</v>
      </c>
      <c r="I574" s="1279">
        <v>0</v>
      </c>
      <c r="J574" s="3066"/>
      <c r="K574" s="3053"/>
      <c r="L574" s="1285"/>
      <c r="M574" s="1284"/>
    </row>
    <row r="575" spans="1:13" s="1283" customFormat="1" ht="12.75" customHeight="1" outlineLevel="1">
      <c r="A575" s="3061" t="s">
        <v>260</v>
      </c>
      <c r="B575" s="3079" t="s">
        <v>2953</v>
      </c>
      <c r="C575" s="3052" t="s">
        <v>3042</v>
      </c>
      <c r="D575" s="1261" t="s">
        <v>8</v>
      </c>
      <c r="E575" s="1279">
        <f t="shared" si="49"/>
        <v>150000</v>
      </c>
      <c r="F575" s="1279">
        <f>SUM(F576:F580)</f>
        <v>142500</v>
      </c>
      <c r="G575" s="1279">
        <f>SUM(G576:G580)</f>
        <v>0</v>
      </c>
      <c r="H575" s="1279">
        <f>SUM(H576:H580)</f>
        <v>7500</v>
      </c>
      <c r="I575" s="1279">
        <f>SUM(I576:I580)</f>
        <v>0</v>
      </c>
      <c r="J575" s="3064" t="s">
        <v>3054</v>
      </c>
      <c r="K575" s="3064" t="s">
        <v>2993</v>
      </c>
      <c r="L575" s="1285"/>
      <c r="M575" s="1284"/>
    </row>
    <row r="576" spans="1:13" s="1283" customFormat="1" ht="12.75" customHeight="1" outlineLevel="1">
      <c r="A576" s="3062"/>
      <c r="B576" s="3085"/>
      <c r="C576" s="3052"/>
      <c r="D576" s="1261">
        <v>2021</v>
      </c>
      <c r="E576" s="1279">
        <f t="shared" si="49"/>
        <v>0</v>
      </c>
      <c r="F576" s="1279">
        <v>0</v>
      </c>
      <c r="G576" s="1279">
        <v>0</v>
      </c>
      <c r="H576" s="1279">
        <v>0</v>
      </c>
      <c r="I576" s="1279">
        <v>0</v>
      </c>
      <c r="J576" s="3065"/>
      <c r="K576" s="3065"/>
      <c r="L576" s="1285"/>
      <c r="M576" s="1284"/>
    </row>
    <row r="577" spans="1:13" s="1283" customFormat="1" ht="12.75" customHeight="1" outlineLevel="1">
      <c r="A577" s="3062"/>
      <c r="B577" s="3085"/>
      <c r="C577" s="3052"/>
      <c r="D577" s="1261">
        <v>2022</v>
      </c>
      <c r="E577" s="1279">
        <f t="shared" si="49"/>
        <v>70000</v>
      </c>
      <c r="F577" s="1279">
        <v>66500</v>
      </c>
      <c r="G577" s="1279">
        <v>0</v>
      </c>
      <c r="H577" s="1279">
        <v>3500</v>
      </c>
      <c r="I577" s="1279">
        <v>0</v>
      </c>
      <c r="J577" s="3065"/>
      <c r="K577" s="3065"/>
      <c r="L577" s="1285"/>
      <c r="M577" s="1284"/>
    </row>
    <row r="578" spans="1:13" s="1496" customFormat="1" ht="12.75" customHeight="1" outlineLevel="1">
      <c r="A578" s="3062"/>
      <c r="B578" s="3085"/>
      <c r="C578" s="3052"/>
      <c r="D578" s="1455">
        <v>2023</v>
      </c>
      <c r="E578" s="1493">
        <f t="shared" si="49"/>
        <v>80000</v>
      </c>
      <c r="F578" s="1493">
        <v>76000</v>
      </c>
      <c r="G578" s="1493">
        <v>0</v>
      </c>
      <c r="H578" s="1493">
        <v>4000</v>
      </c>
      <c r="I578" s="1493">
        <v>0</v>
      </c>
      <c r="J578" s="3065"/>
      <c r="K578" s="3065"/>
      <c r="L578" s="1494"/>
      <c r="M578" s="1495"/>
    </row>
    <row r="579" spans="1:13" s="1283" customFormat="1" ht="12.75" customHeight="1" outlineLevel="1">
      <c r="A579" s="3062"/>
      <c r="B579" s="3085"/>
      <c r="C579" s="3052"/>
      <c r="D579" s="1261">
        <v>2024</v>
      </c>
      <c r="E579" s="1279">
        <f t="shared" si="49"/>
        <v>0</v>
      </c>
      <c r="F579" s="1279">
        <v>0</v>
      </c>
      <c r="G579" s="1279">
        <v>0</v>
      </c>
      <c r="H579" s="1279">
        <v>0</v>
      </c>
      <c r="I579" s="1279">
        <v>0</v>
      </c>
      <c r="J579" s="3065"/>
      <c r="K579" s="3065"/>
      <c r="L579" s="1285"/>
      <c r="M579" s="1284"/>
    </row>
    <row r="580" spans="1:13" s="1283" customFormat="1" ht="12.75" outlineLevel="1">
      <c r="A580" s="3063"/>
      <c r="B580" s="3086"/>
      <c r="C580" s="3052"/>
      <c r="D580" s="1261">
        <v>2025</v>
      </c>
      <c r="E580" s="1279">
        <f t="shared" si="49"/>
        <v>0</v>
      </c>
      <c r="F580" s="1279">
        <v>0</v>
      </c>
      <c r="G580" s="1279">
        <v>0</v>
      </c>
      <c r="H580" s="1279">
        <v>0</v>
      </c>
      <c r="I580" s="1279">
        <v>0</v>
      </c>
      <c r="J580" s="3066"/>
      <c r="K580" s="3066"/>
      <c r="L580" s="1285"/>
      <c r="M580" s="1284"/>
    </row>
    <row r="581" spans="1:13" s="1283" customFormat="1" ht="14.25" customHeight="1" outlineLevel="1">
      <c r="A581" s="3061" t="s">
        <v>2981</v>
      </c>
      <c r="B581" s="3079" t="s">
        <v>2954</v>
      </c>
      <c r="C581" s="3052" t="s">
        <v>3017</v>
      </c>
      <c r="D581" s="1261" t="s">
        <v>8</v>
      </c>
      <c r="E581" s="1279">
        <f t="shared" si="49"/>
        <v>17600</v>
      </c>
      <c r="F581" s="1279">
        <f>SUM(F582:F586)</f>
        <v>17600</v>
      </c>
      <c r="G581" s="1279">
        <f>SUM(G582:G586)</f>
        <v>0</v>
      </c>
      <c r="H581" s="1279">
        <f>SUM(H582:H586)</f>
        <v>0</v>
      </c>
      <c r="I581" s="1279">
        <f>SUM(I582:I586)</f>
        <v>0</v>
      </c>
      <c r="J581" s="3064" t="s">
        <v>3053</v>
      </c>
      <c r="K581" s="3064" t="s">
        <v>3052</v>
      </c>
      <c r="L581" s="1285"/>
      <c r="M581" s="1284"/>
    </row>
    <row r="582" spans="1:13" s="1283" customFormat="1" ht="12.75" customHeight="1" outlineLevel="1">
      <c r="A582" s="3062"/>
      <c r="B582" s="3085"/>
      <c r="C582" s="3052"/>
      <c r="D582" s="1261">
        <v>2021</v>
      </c>
      <c r="E582" s="1279">
        <f t="shared" si="49"/>
        <v>0</v>
      </c>
      <c r="F582" s="1279">
        <v>0</v>
      </c>
      <c r="G582" s="1279">
        <v>0</v>
      </c>
      <c r="H582" s="1279">
        <v>0</v>
      </c>
      <c r="I582" s="1279">
        <v>0</v>
      </c>
      <c r="J582" s="3065"/>
      <c r="K582" s="3065"/>
      <c r="L582" s="1285"/>
      <c r="M582" s="1284"/>
    </row>
    <row r="583" spans="1:13" s="1283" customFormat="1" ht="14.25" customHeight="1" outlineLevel="1">
      <c r="A583" s="3062"/>
      <c r="B583" s="3085"/>
      <c r="C583" s="3052"/>
      <c r="D583" s="1261">
        <v>2022</v>
      </c>
      <c r="E583" s="1279">
        <f t="shared" si="49"/>
        <v>4400</v>
      </c>
      <c r="F583" s="1279">
        <v>4400</v>
      </c>
      <c r="G583" s="1279">
        <v>0</v>
      </c>
      <c r="H583" s="1279">
        <v>0</v>
      </c>
      <c r="I583" s="1279">
        <v>0</v>
      </c>
      <c r="J583" s="3065"/>
      <c r="K583" s="3065"/>
      <c r="L583" s="1285"/>
      <c r="M583" s="1284"/>
    </row>
    <row r="584" spans="1:13" s="1496" customFormat="1" ht="14.25" customHeight="1" outlineLevel="1">
      <c r="A584" s="3062"/>
      <c r="B584" s="3085"/>
      <c r="C584" s="3052"/>
      <c r="D584" s="1455">
        <v>2023</v>
      </c>
      <c r="E584" s="1493">
        <f t="shared" si="49"/>
        <v>4400</v>
      </c>
      <c r="F584" s="1493">
        <v>4400</v>
      </c>
      <c r="G584" s="1493">
        <v>0</v>
      </c>
      <c r="H584" s="1493">
        <v>0</v>
      </c>
      <c r="I584" s="1493">
        <v>0</v>
      </c>
      <c r="J584" s="3065"/>
      <c r="K584" s="3065"/>
      <c r="L584" s="1494"/>
      <c r="M584" s="1495"/>
    </row>
    <row r="585" spans="1:13" s="1283" customFormat="1" ht="12" customHeight="1" outlineLevel="1">
      <c r="A585" s="3062"/>
      <c r="B585" s="3085"/>
      <c r="C585" s="3052"/>
      <c r="D585" s="1261">
        <v>2024</v>
      </c>
      <c r="E585" s="1279">
        <f t="shared" si="49"/>
        <v>4400</v>
      </c>
      <c r="F585" s="1279">
        <v>4400</v>
      </c>
      <c r="G585" s="1279">
        <v>0</v>
      </c>
      <c r="H585" s="1279">
        <v>0</v>
      </c>
      <c r="I585" s="1279">
        <v>0</v>
      </c>
      <c r="J585" s="3065"/>
      <c r="K585" s="3065"/>
      <c r="L585" s="1285"/>
      <c r="M585" s="1284"/>
    </row>
    <row r="586" spans="1:13" s="1283" customFormat="1" ht="15" customHeight="1" outlineLevel="1">
      <c r="A586" s="3063"/>
      <c r="B586" s="3086"/>
      <c r="C586" s="3052"/>
      <c r="D586" s="1261">
        <v>2025</v>
      </c>
      <c r="E586" s="1279">
        <f t="shared" si="49"/>
        <v>4400</v>
      </c>
      <c r="F586" s="1279">
        <v>4400</v>
      </c>
      <c r="G586" s="1279">
        <v>0</v>
      </c>
      <c r="H586" s="1279">
        <v>0</v>
      </c>
      <c r="I586" s="1279">
        <v>0</v>
      </c>
      <c r="J586" s="3066"/>
      <c r="K586" s="3066"/>
      <c r="L586" s="1285"/>
      <c r="M586" s="1284"/>
    </row>
    <row r="587" spans="1:13" s="1283" customFormat="1" ht="12.75" customHeight="1" outlineLevel="1">
      <c r="A587" s="3061" t="s">
        <v>2982</v>
      </c>
      <c r="B587" s="3079" t="s">
        <v>3051</v>
      </c>
      <c r="C587" s="3052">
        <v>2022</v>
      </c>
      <c r="D587" s="1261" t="s">
        <v>8</v>
      </c>
      <c r="E587" s="1279">
        <f t="shared" si="49"/>
        <v>65500</v>
      </c>
      <c r="F587" s="1279">
        <f>SUM(F588:F592)</f>
        <v>62225</v>
      </c>
      <c r="G587" s="1279">
        <f>SUM(G588:G592)</f>
        <v>0</v>
      </c>
      <c r="H587" s="1279">
        <f>SUM(H588:H592)</f>
        <v>3275</v>
      </c>
      <c r="I587" s="1279">
        <f>SUM(I588:I592)</f>
        <v>0</v>
      </c>
      <c r="J587" s="3064" t="s">
        <v>3050</v>
      </c>
      <c r="K587" s="3064" t="s">
        <v>2993</v>
      </c>
      <c r="L587" s="1285"/>
      <c r="M587" s="1284"/>
    </row>
    <row r="588" spans="1:13" s="1283" customFormat="1" ht="12.75" customHeight="1" outlineLevel="1">
      <c r="A588" s="3062"/>
      <c r="B588" s="3085"/>
      <c r="C588" s="3052"/>
      <c r="D588" s="1261">
        <v>2021</v>
      </c>
      <c r="E588" s="1279">
        <f t="shared" si="49"/>
        <v>0</v>
      </c>
      <c r="F588" s="1279">
        <v>0</v>
      </c>
      <c r="G588" s="1279">
        <v>0</v>
      </c>
      <c r="H588" s="1279">
        <v>0</v>
      </c>
      <c r="I588" s="1279">
        <v>0</v>
      </c>
      <c r="J588" s="3065"/>
      <c r="K588" s="3065"/>
      <c r="L588" s="1285"/>
      <c r="M588" s="1284"/>
    </row>
    <row r="589" spans="1:13" s="1283" customFormat="1" ht="12.75" customHeight="1" outlineLevel="1">
      <c r="A589" s="3062"/>
      <c r="B589" s="3085"/>
      <c r="C589" s="3052"/>
      <c r="D589" s="1261">
        <v>2022</v>
      </c>
      <c r="E589" s="1279">
        <f t="shared" si="49"/>
        <v>65500</v>
      </c>
      <c r="F589" s="1279">
        <v>62225</v>
      </c>
      <c r="G589" s="1279">
        <v>0</v>
      </c>
      <c r="H589" s="1279">
        <v>3275</v>
      </c>
      <c r="I589" s="1279">
        <v>0</v>
      </c>
      <c r="J589" s="3065"/>
      <c r="K589" s="3065"/>
      <c r="L589" s="1285"/>
      <c r="M589" s="1284"/>
    </row>
    <row r="590" spans="1:13" s="1283" customFormat="1" ht="12.75" customHeight="1" outlineLevel="1">
      <c r="A590" s="3062"/>
      <c r="B590" s="3085"/>
      <c r="C590" s="3052"/>
      <c r="D590" s="1261">
        <v>2023</v>
      </c>
      <c r="E590" s="1279">
        <f t="shared" si="49"/>
        <v>0</v>
      </c>
      <c r="F590" s="1279">
        <v>0</v>
      </c>
      <c r="G590" s="1279">
        <v>0</v>
      </c>
      <c r="H590" s="1279">
        <v>0</v>
      </c>
      <c r="I590" s="1279">
        <v>0</v>
      </c>
      <c r="J590" s="3065"/>
      <c r="K590" s="3065"/>
      <c r="L590" s="1285"/>
      <c r="M590" s="1284"/>
    </row>
    <row r="591" spans="1:13" s="1283" customFormat="1" ht="12.75" customHeight="1" outlineLevel="1">
      <c r="A591" s="3062"/>
      <c r="B591" s="3085"/>
      <c r="C591" s="3052"/>
      <c r="D591" s="1261">
        <v>2024</v>
      </c>
      <c r="E591" s="1279">
        <f t="shared" si="49"/>
        <v>0</v>
      </c>
      <c r="F591" s="1279">
        <v>0</v>
      </c>
      <c r="G591" s="1279">
        <v>0</v>
      </c>
      <c r="H591" s="1279">
        <v>0</v>
      </c>
      <c r="I591" s="1279">
        <v>0</v>
      </c>
      <c r="J591" s="3065"/>
      <c r="K591" s="3065"/>
      <c r="L591" s="1285"/>
      <c r="M591" s="1284"/>
    </row>
    <row r="592" spans="1:13" s="1283" customFormat="1" ht="12.75" customHeight="1" outlineLevel="1">
      <c r="A592" s="3063"/>
      <c r="B592" s="3086"/>
      <c r="C592" s="3052"/>
      <c r="D592" s="1261">
        <v>2025</v>
      </c>
      <c r="E592" s="1279">
        <f t="shared" si="49"/>
        <v>0</v>
      </c>
      <c r="F592" s="1279">
        <v>0</v>
      </c>
      <c r="G592" s="1279">
        <v>0</v>
      </c>
      <c r="H592" s="1279">
        <v>0</v>
      </c>
      <c r="I592" s="1279">
        <v>0</v>
      </c>
      <c r="J592" s="3066"/>
      <c r="K592" s="3066"/>
      <c r="L592" s="1285"/>
      <c r="M592" s="1284"/>
    </row>
    <row r="593" spans="1:13" s="1283" customFormat="1" ht="12.75" customHeight="1" outlineLevel="1">
      <c r="A593" s="3087" t="s">
        <v>2983</v>
      </c>
      <c r="B593" s="3090" t="s">
        <v>2955</v>
      </c>
      <c r="C593" s="3093">
        <v>2022</v>
      </c>
      <c r="D593" s="1561" t="s">
        <v>8</v>
      </c>
      <c r="E593" s="1562">
        <f t="shared" si="49"/>
        <v>3010.9325454545456</v>
      </c>
      <c r="F593" s="1562">
        <f>SUM(F594:F598)</f>
        <v>2980.8232200000002</v>
      </c>
      <c r="G593" s="1562">
        <f t="shared" ref="G593:G635" si="51">SUM(G594:G598)</f>
        <v>0</v>
      </c>
      <c r="H593" s="1562">
        <f>SUM(H594:H598)</f>
        <v>30.109325454545456</v>
      </c>
      <c r="I593" s="1562">
        <f t="shared" ref="I593:I629" si="52">SUM(I594:I598)</f>
        <v>0</v>
      </c>
      <c r="J593" s="3094" t="s">
        <v>3049</v>
      </c>
      <c r="K593" s="3094" t="s">
        <v>2993</v>
      </c>
      <c r="L593" s="1285"/>
      <c r="M593" s="1284"/>
    </row>
    <row r="594" spans="1:13" s="1283" customFormat="1" ht="12.75" customHeight="1" outlineLevel="1">
      <c r="A594" s="3088"/>
      <c r="B594" s="3091"/>
      <c r="C594" s="3093"/>
      <c r="D594" s="1561">
        <v>2021</v>
      </c>
      <c r="E594" s="1562">
        <f t="shared" si="49"/>
        <v>0</v>
      </c>
      <c r="F594" s="1562"/>
      <c r="G594" s="1562">
        <f t="shared" si="51"/>
        <v>0</v>
      </c>
      <c r="H594" s="1562"/>
      <c r="I594" s="1562">
        <f t="shared" si="52"/>
        <v>0</v>
      </c>
      <c r="J594" s="3095"/>
      <c r="K594" s="3095"/>
      <c r="L594" s="1285"/>
      <c r="M594" s="1284"/>
    </row>
    <row r="595" spans="1:13" s="1283" customFormat="1" ht="12.75" customHeight="1" outlineLevel="1">
      <c r="A595" s="3088"/>
      <c r="B595" s="3091"/>
      <c r="C595" s="3093"/>
      <c r="D595" s="1561">
        <v>2022</v>
      </c>
      <c r="E595" s="1562">
        <f t="shared" si="49"/>
        <v>3010.9325454545456</v>
      </c>
      <c r="F595" s="1562">
        <v>2980.8232200000002</v>
      </c>
      <c r="G595" s="1562">
        <f t="shared" si="51"/>
        <v>0</v>
      </c>
      <c r="H595" s="1563">
        <f>F595/99*1</f>
        <v>30.109325454545456</v>
      </c>
      <c r="I595" s="1562">
        <f t="shared" si="52"/>
        <v>0</v>
      </c>
      <c r="J595" s="3095"/>
      <c r="K595" s="3095"/>
      <c r="L595" s="1285"/>
      <c r="M595" s="1284"/>
    </row>
    <row r="596" spans="1:13" s="1283" customFormat="1" ht="12.75" customHeight="1" outlineLevel="1">
      <c r="A596" s="3088"/>
      <c r="B596" s="3091"/>
      <c r="C596" s="3093"/>
      <c r="D596" s="1561">
        <v>2023</v>
      </c>
      <c r="E596" s="1562">
        <f t="shared" si="49"/>
        <v>0</v>
      </c>
      <c r="F596" s="1562"/>
      <c r="G596" s="1562">
        <f t="shared" si="51"/>
        <v>0</v>
      </c>
      <c r="H596" s="1562"/>
      <c r="I596" s="1562">
        <f t="shared" si="52"/>
        <v>0</v>
      </c>
      <c r="J596" s="3095"/>
      <c r="K596" s="3095"/>
      <c r="L596" s="1285"/>
      <c r="M596" s="1284"/>
    </row>
    <row r="597" spans="1:13" s="1283" customFormat="1" ht="12.75" customHeight="1" outlineLevel="1">
      <c r="A597" s="3088"/>
      <c r="B597" s="3091"/>
      <c r="C597" s="3093"/>
      <c r="D597" s="1561">
        <v>2024</v>
      </c>
      <c r="E597" s="1562">
        <f t="shared" si="49"/>
        <v>0</v>
      </c>
      <c r="F597" s="1562"/>
      <c r="G597" s="1562">
        <f t="shared" si="51"/>
        <v>0</v>
      </c>
      <c r="H597" s="1562"/>
      <c r="I597" s="1562">
        <f t="shared" si="52"/>
        <v>0</v>
      </c>
      <c r="J597" s="3095"/>
      <c r="K597" s="3095"/>
      <c r="L597" s="1285"/>
      <c r="M597" s="1284"/>
    </row>
    <row r="598" spans="1:13" s="1283" customFormat="1" ht="12.75" customHeight="1" outlineLevel="1">
      <c r="A598" s="3089"/>
      <c r="B598" s="3092"/>
      <c r="C598" s="3093"/>
      <c r="D598" s="1561">
        <v>2025</v>
      </c>
      <c r="E598" s="1562">
        <f t="shared" si="49"/>
        <v>0</v>
      </c>
      <c r="F598" s="1562"/>
      <c r="G598" s="1562">
        <f t="shared" si="51"/>
        <v>0</v>
      </c>
      <c r="H598" s="1562"/>
      <c r="I598" s="1562">
        <f t="shared" si="52"/>
        <v>0</v>
      </c>
      <c r="J598" s="3096"/>
      <c r="K598" s="3096"/>
      <c r="L598" s="1285"/>
      <c r="M598" s="1284"/>
    </row>
    <row r="599" spans="1:13" s="1283" customFormat="1" ht="12.75" customHeight="1" outlineLevel="1">
      <c r="A599" s="3061" t="s">
        <v>2984</v>
      </c>
      <c r="B599" s="3079" t="s">
        <v>2956</v>
      </c>
      <c r="C599" s="3052">
        <v>2022</v>
      </c>
      <c r="D599" s="1261" t="s">
        <v>8</v>
      </c>
      <c r="E599" s="1279">
        <f t="shared" si="49"/>
        <v>9956.0763399999996</v>
      </c>
      <c r="F599" s="1279">
        <f>SUM(F600:F604)</f>
        <v>9458.2733399999997</v>
      </c>
      <c r="G599" s="1279">
        <f t="shared" si="51"/>
        <v>0</v>
      </c>
      <c r="H599" s="1279">
        <f>SUM(H600:H604)</f>
        <v>497.803</v>
      </c>
      <c r="I599" s="1279">
        <f t="shared" si="52"/>
        <v>0</v>
      </c>
      <c r="J599" s="3064" t="s">
        <v>3048</v>
      </c>
      <c r="K599" s="3064" t="s">
        <v>2993</v>
      </c>
      <c r="L599" s="1285"/>
      <c r="M599" s="1284"/>
    </row>
    <row r="600" spans="1:13" s="1283" customFormat="1" ht="12.75" customHeight="1" outlineLevel="1">
      <c r="A600" s="3062"/>
      <c r="B600" s="3085"/>
      <c r="C600" s="3052"/>
      <c r="D600" s="1261">
        <v>2021</v>
      </c>
      <c r="E600" s="1279">
        <f t="shared" si="49"/>
        <v>0</v>
      </c>
      <c r="F600" s="1279">
        <v>0</v>
      </c>
      <c r="G600" s="1279">
        <f t="shared" si="51"/>
        <v>0</v>
      </c>
      <c r="H600" s="1279">
        <v>0</v>
      </c>
      <c r="I600" s="1279">
        <f t="shared" si="52"/>
        <v>0</v>
      </c>
      <c r="J600" s="3065"/>
      <c r="K600" s="3065"/>
      <c r="L600" s="1285"/>
      <c r="M600" s="1284"/>
    </row>
    <row r="601" spans="1:13" s="1283" customFormat="1" ht="12.75" customHeight="1" outlineLevel="1">
      <c r="A601" s="3062"/>
      <c r="B601" s="3085"/>
      <c r="C601" s="3052"/>
      <c r="D601" s="1261">
        <v>2022</v>
      </c>
      <c r="E601" s="1279">
        <f t="shared" si="49"/>
        <v>9956.0763399999996</v>
      </c>
      <c r="F601" s="1279">
        <v>9458.2733399999997</v>
      </c>
      <c r="G601" s="1279">
        <f t="shared" si="51"/>
        <v>0</v>
      </c>
      <c r="H601" s="1279">
        <v>497.803</v>
      </c>
      <c r="I601" s="1279">
        <f t="shared" si="52"/>
        <v>0</v>
      </c>
      <c r="J601" s="3065"/>
      <c r="K601" s="3065"/>
      <c r="L601" s="1285"/>
      <c r="M601" s="1284"/>
    </row>
    <row r="602" spans="1:13" s="1283" customFormat="1" ht="12.75" customHeight="1" outlineLevel="1">
      <c r="A602" s="3062"/>
      <c r="B602" s="3085"/>
      <c r="C602" s="3052"/>
      <c r="D602" s="1261">
        <v>2023</v>
      </c>
      <c r="E602" s="1279">
        <f t="shared" si="49"/>
        <v>0</v>
      </c>
      <c r="F602" s="1279">
        <v>0</v>
      </c>
      <c r="G602" s="1279">
        <f t="shared" si="51"/>
        <v>0</v>
      </c>
      <c r="H602" s="1279">
        <v>0</v>
      </c>
      <c r="I602" s="1279">
        <f t="shared" si="52"/>
        <v>0</v>
      </c>
      <c r="J602" s="3065"/>
      <c r="K602" s="3065"/>
      <c r="L602" s="1285"/>
      <c r="M602" s="1284"/>
    </row>
    <row r="603" spans="1:13" s="1283" customFormat="1" ht="12.75" customHeight="1" outlineLevel="1">
      <c r="A603" s="3062"/>
      <c r="B603" s="3085"/>
      <c r="C603" s="3052"/>
      <c r="D603" s="1261">
        <v>2024</v>
      </c>
      <c r="E603" s="1279">
        <f t="shared" si="49"/>
        <v>0</v>
      </c>
      <c r="F603" s="1279">
        <v>0</v>
      </c>
      <c r="G603" s="1279">
        <f t="shared" si="51"/>
        <v>0</v>
      </c>
      <c r="H603" s="1279">
        <v>0</v>
      </c>
      <c r="I603" s="1279">
        <f t="shared" si="52"/>
        <v>0</v>
      </c>
      <c r="J603" s="3065"/>
      <c r="K603" s="3065"/>
      <c r="L603" s="1285"/>
      <c r="M603" s="1284"/>
    </row>
    <row r="604" spans="1:13" s="1283" customFormat="1" ht="12.75" customHeight="1" outlineLevel="1">
      <c r="A604" s="3063"/>
      <c r="B604" s="3086"/>
      <c r="C604" s="3052"/>
      <c r="D604" s="1261">
        <v>2025</v>
      </c>
      <c r="E604" s="1279">
        <f t="shared" si="49"/>
        <v>0</v>
      </c>
      <c r="F604" s="1279">
        <v>0</v>
      </c>
      <c r="G604" s="1279">
        <f t="shared" si="51"/>
        <v>0</v>
      </c>
      <c r="H604" s="1279">
        <v>0</v>
      </c>
      <c r="I604" s="1279">
        <f t="shared" si="52"/>
        <v>0</v>
      </c>
      <c r="J604" s="3066"/>
      <c r="K604" s="3066"/>
      <c r="L604" s="1285"/>
      <c r="M604" s="1284"/>
    </row>
    <row r="605" spans="1:13" s="1283" customFormat="1" ht="12.75" customHeight="1" outlineLevel="1">
      <c r="A605" s="3061" t="s">
        <v>603</v>
      </c>
      <c r="B605" s="3079" t="s">
        <v>2957</v>
      </c>
      <c r="C605" s="3052">
        <v>2022</v>
      </c>
      <c r="D605" s="1261" t="s">
        <v>8</v>
      </c>
      <c r="E605" s="1279">
        <f t="shared" si="49"/>
        <v>3320.7358421052631</v>
      </c>
      <c r="F605" s="1279">
        <f>SUM(F606:F610)</f>
        <v>3154.6990500000002</v>
      </c>
      <c r="G605" s="1279">
        <f t="shared" si="51"/>
        <v>0</v>
      </c>
      <c r="H605" s="1279">
        <f>SUM(H606:H610)</f>
        <v>166.03679210526315</v>
      </c>
      <c r="I605" s="1279">
        <f t="shared" si="52"/>
        <v>0</v>
      </c>
      <c r="J605" s="3064" t="s">
        <v>3047</v>
      </c>
      <c r="K605" s="3064" t="s">
        <v>2993</v>
      </c>
      <c r="L605" s="1285"/>
      <c r="M605" s="1284"/>
    </row>
    <row r="606" spans="1:13" s="1283" customFormat="1" ht="12.75" customHeight="1" outlineLevel="1">
      <c r="A606" s="3062"/>
      <c r="B606" s="3085"/>
      <c r="C606" s="3052"/>
      <c r="D606" s="1261">
        <v>2021</v>
      </c>
      <c r="E606" s="1279">
        <f t="shared" si="49"/>
        <v>0</v>
      </c>
      <c r="F606" s="1279">
        <v>0</v>
      </c>
      <c r="G606" s="1279">
        <f t="shared" si="51"/>
        <v>0</v>
      </c>
      <c r="H606" s="1279">
        <v>0</v>
      </c>
      <c r="I606" s="1279">
        <f t="shared" si="52"/>
        <v>0</v>
      </c>
      <c r="J606" s="3065"/>
      <c r="K606" s="3065"/>
      <c r="L606" s="1285"/>
      <c r="M606" s="1284"/>
    </row>
    <row r="607" spans="1:13" s="1283" customFormat="1" ht="12.75" customHeight="1" outlineLevel="1">
      <c r="A607" s="3062"/>
      <c r="B607" s="3085"/>
      <c r="C607" s="3052"/>
      <c r="D607" s="1261">
        <v>2022</v>
      </c>
      <c r="E607" s="1279">
        <f t="shared" si="49"/>
        <v>3320.7358421052631</v>
      </c>
      <c r="F607" s="1279">
        <v>3154.6990500000002</v>
      </c>
      <c r="G607" s="1279">
        <f t="shared" si="51"/>
        <v>0</v>
      </c>
      <c r="H607" s="1281">
        <f>F607/95*5</f>
        <v>166.03679210526315</v>
      </c>
      <c r="I607" s="1279">
        <f t="shared" si="52"/>
        <v>0</v>
      </c>
      <c r="J607" s="3065"/>
      <c r="K607" s="3065"/>
      <c r="L607" s="1285"/>
      <c r="M607" s="1284"/>
    </row>
    <row r="608" spans="1:13" s="1283" customFormat="1" ht="12.75" customHeight="1" outlineLevel="1">
      <c r="A608" s="3062"/>
      <c r="B608" s="3085"/>
      <c r="C608" s="3052"/>
      <c r="D608" s="1261">
        <v>2023</v>
      </c>
      <c r="E608" s="1279">
        <f t="shared" si="49"/>
        <v>0</v>
      </c>
      <c r="F608" s="1279">
        <v>0</v>
      </c>
      <c r="G608" s="1279">
        <f t="shared" si="51"/>
        <v>0</v>
      </c>
      <c r="H608" s="1279">
        <v>0</v>
      </c>
      <c r="I608" s="1279">
        <f t="shared" si="52"/>
        <v>0</v>
      </c>
      <c r="J608" s="3065"/>
      <c r="K608" s="3065"/>
      <c r="L608" s="1285"/>
      <c r="M608" s="1284"/>
    </row>
    <row r="609" spans="1:13" s="1283" customFormat="1" ht="12.75" customHeight="1" outlineLevel="1">
      <c r="A609" s="3062"/>
      <c r="B609" s="3085"/>
      <c r="C609" s="3052"/>
      <c r="D609" s="1261">
        <v>2024</v>
      </c>
      <c r="E609" s="1279">
        <f t="shared" si="49"/>
        <v>0</v>
      </c>
      <c r="F609" s="1279">
        <v>0</v>
      </c>
      <c r="G609" s="1279">
        <f t="shared" si="51"/>
        <v>0</v>
      </c>
      <c r="H609" s="1279">
        <v>0</v>
      </c>
      <c r="I609" s="1279">
        <f t="shared" si="52"/>
        <v>0</v>
      </c>
      <c r="J609" s="3065"/>
      <c r="K609" s="3065"/>
      <c r="L609" s="1285"/>
      <c r="M609" s="1284"/>
    </row>
    <row r="610" spans="1:13" s="1283" customFormat="1" ht="12.75" customHeight="1" outlineLevel="1">
      <c r="A610" s="3063"/>
      <c r="B610" s="3086"/>
      <c r="C610" s="3052"/>
      <c r="D610" s="1261">
        <v>2025</v>
      </c>
      <c r="E610" s="1279">
        <f t="shared" si="49"/>
        <v>0</v>
      </c>
      <c r="F610" s="1279">
        <v>0</v>
      </c>
      <c r="G610" s="1279">
        <f t="shared" si="51"/>
        <v>0</v>
      </c>
      <c r="H610" s="1279">
        <v>0</v>
      </c>
      <c r="I610" s="1279">
        <f t="shared" si="52"/>
        <v>0</v>
      </c>
      <c r="J610" s="3066"/>
      <c r="K610" s="3066"/>
      <c r="L610" s="1285"/>
      <c r="M610" s="1284"/>
    </row>
    <row r="611" spans="1:13" s="1283" customFormat="1" ht="12.75" customHeight="1" outlineLevel="1">
      <c r="A611" s="3061" t="s">
        <v>606</v>
      </c>
      <c r="B611" s="3079" t="s">
        <v>2958</v>
      </c>
      <c r="C611" s="3052">
        <v>2022</v>
      </c>
      <c r="D611" s="1261" t="s">
        <v>8</v>
      </c>
      <c r="E611" s="1279">
        <f t="shared" si="49"/>
        <v>17129.317905263157</v>
      </c>
      <c r="F611" s="1279">
        <f>SUM(F612:F616)</f>
        <v>16272.852010000001</v>
      </c>
      <c r="G611" s="1279">
        <f t="shared" si="51"/>
        <v>0</v>
      </c>
      <c r="H611" s="1279">
        <f>SUM(H612:H616)</f>
        <v>856.4658952631579</v>
      </c>
      <c r="I611" s="1279">
        <f t="shared" si="52"/>
        <v>0</v>
      </c>
      <c r="J611" s="3064" t="s">
        <v>3046</v>
      </c>
      <c r="K611" s="3064" t="s">
        <v>2993</v>
      </c>
      <c r="L611" s="1285"/>
      <c r="M611" s="1284"/>
    </row>
    <row r="612" spans="1:13" s="1283" customFormat="1" ht="12.75" customHeight="1" outlineLevel="1">
      <c r="A612" s="3062"/>
      <c r="B612" s="3085"/>
      <c r="C612" s="3052"/>
      <c r="D612" s="1261">
        <v>2021</v>
      </c>
      <c r="E612" s="1279">
        <f t="shared" si="49"/>
        <v>0</v>
      </c>
      <c r="F612" s="1279">
        <v>0</v>
      </c>
      <c r="G612" s="1279">
        <f t="shared" si="51"/>
        <v>0</v>
      </c>
      <c r="H612" s="1279">
        <v>0</v>
      </c>
      <c r="I612" s="1279">
        <f t="shared" si="52"/>
        <v>0</v>
      </c>
      <c r="J612" s="3065"/>
      <c r="K612" s="3065"/>
      <c r="L612" s="1285"/>
      <c r="M612" s="1284"/>
    </row>
    <row r="613" spans="1:13" s="1283" customFormat="1" ht="12.75" customHeight="1" outlineLevel="1">
      <c r="A613" s="3062"/>
      <c r="B613" s="3085"/>
      <c r="C613" s="3052"/>
      <c r="D613" s="1261">
        <v>2022</v>
      </c>
      <c r="E613" s="1279">
        <f t="shared" si="49"/>
        <v>17129.317905263157</v>
      </c>
      <c r="F613" s="1279">
        <v>16272.852010000001</v>
      </c>
      <c r="G613" s="1279">
        <f t="shared" si="51"/>
        <v>0</v>
      </c>
      <c r="H613" s="1279">
        <f>F613/95*5</f>
        <v>856.4658952631579</v>
      </c>
      <c r="I613" s="1279">
        <f t="shared" si="52"/>
        <v>0</v>
      </c>
      <c r="J613" s="3065"/>
      <c r="K613" s="3065"/>
      <c r="L613" s="1285"/>
      <c r="M613" s="1284"/>
    </row>
    <row r="614" spans="1:13" s="1283" customFormat="1" ht="12.75" customHeight="1" outlineLevel="1">
      <c r="A614" s="3062"/>
      <c r="B614" s="3085"/>
      <c r="C614" s="3052"/>
      <c r="D614" s="1261">
        <v>2023</v>
      </c>
      <c r="E614" s="1279">
        <f t="shared" si="49"/>
        <v>0</v>
      </c>
      <c r="F614" s="1279">
        <v>0</v>
      </c>
      <c r="G614" s="1279">
        <f t="shared" si="51"/>
        <v>0</v>
      </c>
      <c r="H614" s="1279">
        <v>0</v>
      </c>
      <c r="I614" s="1279">
        <f t="shared" si="52"/>
        <v>0</v>
      </c>
      <c r="J614" s="3065"/>
      <c r="K614" s="3065"/>
      <c r="L614" s="1285"/>
      <c r="M614" s="1284"/>
    </row>
    <row r="615" spans="1:13" s="1283" customFormat="1" ht="12.75" customHeight="1" outlineLevel="1">
      <c r="A615" s="3062"/>
      <c r="B615" s="3085"/>
      <c r="C615" s="3052"/>
      <c r="D615" s="1261">
        <v>2024</v>
      </c>
      <c r="E615" s="1279">
        <f t="shared" si="49"/>
        <v>0</v>
      </c>
      <c r="F615" s="1279">
        <v>0</v>
      </c>
      <c r="G615" s="1279">
        <f t="shared" si="51"/>
        <v>0</v>
      </c>
      <c r="H615" s="1279">
        <v>0</v>
      </c>
      <c r="I615" s="1279">
        <f t="shared" si="52"/>
        <v>0</v>
      </c>
      <c r="J615" s="3065"/>
      <c r="K615" s="3065"/>
      <c r="L615" s="1285"/>
      <c r="M615" s="1284"/>
    </row>
    <row r="616" spans="1:13" s="1283" customFormat="1" ht="12.75" customHeight="1" outlineLevel="1">
      <c r="A616" s="3063"/>
      <c r="B616" s="3086"/>
      <c r="C616" s="3052"/>
      <c r="D616" s="1261">
        <v>2025</v>
      </c>
      <c r="E616" s="1279">
        <f t="shared" si="49"/>
        <v>0</v>
      </c>
      <c r="F616" s="1279">
        <v>0</v>
      </c>
      <c r="G616" s="1279">
        <f t="shared" si="51"/>
        <v>0</v>
      </c>
      <c r="H616" s="1279">
        <v>0</v>
      </c>
      <c r="I616" s="1279">
        <f t="shared" si="52"/>
        <v>0</v>
      </c>
      <c r="J616" s="3066"/>
      <c r="K616" s="3066"/>
      <c r="L616" s="1285"/>
      <c r="M616" s="1284"/>
    </row>
    <row r="617" spans="1:13" s="1283" customFormat="1" ht="12.75" customHeight="1" outlineLevel="1">
      <c r="A617" s="3061" t="s">
        <v>609</v>
      </c>
      <c r="B617" s="3079" t="s">
        <v>2959</v>
      </c>
      <c r="C617" s="3052">
        <v>2022</v>
      </c>
      <c r="D617" s="1261" t="s">
        <v>8</v>
      </c>
      <c r="E617" s="1279">
        <f t="shared" si="49"/>
        <v>5286.9536799999996</v>
      </c>
      <c r="F617" s="1279">
        <f>SUM(F618:F622)</f>
        <v>5022.6066799999999</v>
      </c>
      <c r="G617" s="1279">
        <f t="shared" si="51"/>
        <v>0</v>
      </c>
      <c r="H617" s="1279">
        <f>SUM(H618:H622)</f>
        <v>264.34699999999998</v>
      </c>
      <c r="I617" s="1279">
        <f t="shared" si="52"/>
        <v>0</v>
      </c>
      <c r="J617" s="3064" t="s">
        <v>3045</v>
      </c>
      <c r="K617" s="3064" t="s">
        <v>2993</v>
      </c>
      <c r="L617" s="1285"/>
      <c r="M617" s="1284"/>
    </row>
    <row r="618" spans="1:13" s="1283" customFormat="1" ht="12.75" customHeight="1" outlineLevel="1">
      <c r="A618" s="3062"/>
      <c r="B618" s="3085"/>
      <c r="C618" s="3052"/>
      <c r="D618" s="1261">
        <v>2021</v>
      </c>
      <c r="E618" s="1279">
        <f t="shared" si="49"/>
        <v>0</v>
      </c>
      <c r="F618" s="1279">
        <v>0</v>
      </c>
      <c r="G618" s="1279">
        <f t="shared" si="51"/>
        <v>0</v>
      </c>
      <c r="H618" s="1279">
        <v>0</v>
      </c>
      <c r="I618" s="1279">
        <f t="shared" si="52"/>
        <v>0</v>
      </c>
      <c r="J618" s="3065"/>
      <c r="K618" s="3065"/>
      <c r="L618" s="1285"/>
      <c r="M618" s="1284"/>
    </row>
    <row r="619" spans="1:13" s="1283" customFormat="1" ht="12.75" customHeight="1" outlineLevel="1">
      <c r="A619" s="3062"/>
      <c r="B619" s="3085"/>
      <c r="C619" s="3052"/>
      <c r="D619" s="1261">
        <v>2022</v>
      </c>
      <c r="E619" s="1279">
        <f t="shared" si="49"/>
        <v>5286.9536799999996</v>
      </c>
      <c r="F619" s="1279">
        <v>5022.6066799999999</v>
      </c>
      <c r="G619" s="1279">
        <f t="shared" si="51"/>
        <v>0</v>
      </c>
      <c r="H619" s="1279">
        <v>264.34699999999998</v>
      </c>
      <c r="I619" s="1279">
        <f t="shared" si="52"/>
        <v>0</v>
      </c>
      <c r="J619" s="3065"/>
      <c r="K619" s="3065"/>
      <c r="L619" s="1285"/>
      <c r="M619" s="1284"/>
    </row>
    <row r="620" spans="1:13" s="1283" customFormat="1" ht="12.75" customHeight="1" outlineLevel="1">
      <c r="A620" s="3062"/>
      <c r="B620" s="3085"/>
      <c r="C620" s="3052"/>
      <c r="D620" s="1261">
        <v>2023</v>
      </c>
      <c r="E620" s="1279">
        <f t="shared" si="49"/>
        <v>0</v>
      </c>
      <c r="F620" s="1279">
        <v>0</v>
      </c>
      <c r="G620" s="1279">
        <f t="shared" si="51"/>
        <v>0</v>
      </c>
      <c r="H620" s="1279">
        <v>0</v>
      </c>
      <c r="I620" s="1279">
        <f t="shared" si="52"/>
        <v>0</v>
      </c>
      <c r="J620" s="3065"/>
      <c r="K620" s="3065"/>
      <c r="L620" s="1285"/>
      <c r="M620" s="1284"/>
    </row>
    <row r="621" spans="1:13" s="1283" customFormat="1" ht="12.75" customHeight="1" outlineLevel="1">
      <c r="A621" s="3062"/>
      <c r="B621" s="3085"/>
      <c r="C621" s="3052"/>
      <c r="D621" s="1261">
        <v>2024</v>
      </c>
      <c r="E621" s="1279">
        <f t="shared" si="49"/>
        <v>0</v>
      </c>
      <c r="F621" s="1279">
        <v>0</v>
      </c>
      <c r="G621" s="1279">
        <f t="shared" si="51"/>
        <v>0</v>
      </c>
      <c r="H621" s="1279">
        <v>0</v>
      </c>
      <c r="I621" s="1279">
        <f t="shared" si="52"/>
        <v>0</v>
      </c>
      <c r="J621" s="3065"/>
      <c r="K621" s="3065"/>
      <c r="L621" s="1285"/>
      <c r="M621" s="1284"/>
    </row>
    <row r="622" spans="1:13" s="1283" customFormat="1" ht="12.75" customHeight="1" outlineLevel="1">
      <c r="A622" s="3063"/>
      <c r="B622" s="3086"/>
      <c r="C622" s="3052"/>
      <c r="D622" s="1261">
        <v>2025</v>
      </c>
      <c r="E622" s="1279">
        <f t="shared" ref="E622:F685" si="53">SUM(F622:I622)</f>
        <v>0</v>
      </c>
      <c r="F622" s="1279">
        <v>0</v>
      </c>
      <c r="G622" s="1279">
        <f t="shared" si="51"/>
        <v>0</v>
      </c>
      <c r="H622" s="1279">
        <v>0</v>
      </c>
      <c r="I622" s="1279">
        <f t="shared" si="52"/>
        <v>0</v>
      </c>
      <c r="J622" s="3066"/>
      <c r="K622" s="3066"/>
      <c r="L622" s="1285"/>
      <c r="M622" s="1284"/>
    </row>
    <row r="623" spans="1:13" s="1283" customFormat="1" ht="12.75" customHeight="1" outlineLevel="1">
      <c r="A623" s="3061" t="s">
        <v>611</v>
      </c>
      <c r="B623" s="3079" t="s">
        <v>2960</v>
      </c>
      <c r="C623" s="3052">
        <v>2022</v>
      </c>
      <c r="D623" s="1261" t="s">
        <v>8</v>
      </c>
      <c r="E623" s="1279">
        <f t="shared" si="53"/>
        <v>2973.9789052631577</v>
      </c>
      <c r="F623" s="1279">
        <f>SUM(F624:F628)</f>
        <v>2825.2799599999998</v>
      </c>
      <c r="G623" s="1279">
        <f t="shared" si="51"/>
        <v>0</v>
      </c>
      <c r="H623" s="1279">
        <f>SUM(H624:H628)</f>
        <v>148.69894526315787</v>
      </c>
      <c r="I623" s="1279">
        <f t="shared" si="52"/>
        <v>0</v>
      </c>
      <c r="J623" s="3064" t="s">
        <v>3044</v>
      </c>
      <c r="K623" s="3064" t="s">
        <v>2993</v>
      </c>
      <c r="L623" s="1285"/>
      <c r="M623" s="1284"/>
    </row>
    <row r="624" spans="1:13" s="1283" customFormat="1" ht="12.75" customHeight="1" outlineLevel="1">
      <c r="A624" s="3062"/>
      <c r="B624" s="3085"/>
      <c r="C624" s="3052"/>
      <c r="D624" s="1261">
        <v>2021</v>
      </c>
      <c r="E624" s="1279">
        <f t="shared" si="53"/>
        <v>0</v>
      </c>
      <c r="F624" s="1279">
        <v>0</v>
      </c>
      <c r="G624" s="1279">
        <f t="shared" si="51"/>
        <v>0</v>
      </c>
      <c r="H624" s="1279">
        <v>0</v>
      </c>
      <c r="I624" s="1279">
        <v>0</v>
      </c>
      <c r="J624" s="3065"/>
      <c r="K624" s="3065"/>
      <c r="L624" s="1285"/>
      <c r="M624" s="1284"/>
    </row>
    <row r="625" spans="1:13" s="1283" customFormat="1" ht="12.75" customHeight="1" outlineLevel="1">
      <c r="A625" s="3062"/>
      <c r="B625" s="3085"/>
      <c r="C625" s="3052"/>
      <c r="D625" s="1261">
        <v>2022</v>
      </c>
      <c r="E625" s="1279">
        <f t="shared" si="53"/>
        <v>2973.9789052631577</v>
      </c>
      <c r="F625" s="1279">
        <v>2825.2799599999998</v>
      </c>
      <c r="G625" s="1279">
        <f t="shared" si="51"/>
        <v>0</v>
      </c>
      <c r="H625" s="1279">
        <f>F625/95*5</f>
        <v>148.69894526315787</v>
      </c>
      <c r="I625" s="1279">
        <v>0</v>
      </c>
      <c r="J625" s="3065"/>
      <c r="K625" s="3065"/>
      <c r="L625" s="1285"/>
      <c r="M625" s="1284"/>
    </row>
    <row r="626" spans="1:13" s="1283" customFormat="1" ht="12.75" customHeight="1" outlineLevel="1">
      <c r="A626" s="3062"/>
      <c r="B626" s="3085"/>
      <c r="C626" s="3052"/>
      <c r="D626" s="1261">
        <v>2023</v>
      </c>
      <c r="E626" s="1279">
        <f t="shared" si="53"/>
        <v>0</v>
      </c>
      <c r="F626" s="1279">
        <v>0</v>
      </c>
      <c r="G626" s="1279">
        <v>0</v>
      </c>
      <c r="H626" s="1279">
        <v>0</v>
      </c>
      <c r="I626" s="1279">
        <v>0</v>
      </c>
      <c r="J626" s="3065"/>
      <c r="K626" s="3065"/>
      <c r="L626" s="1285"/>
      <c r="M626" s="1284"/>
    </row>
    <row r="627" spans="1:13" s="1283" customFormat="1" ht="12.75" customHeight="1" outlineLevel="1">
      <c r="A627" s="3062"/>
      <c r="B627" s="3085"/>
      <c r="C627" s="3052"/>
      <c r="D627" s="1261">
        <v>2024</v>
      </c>
      <c r="E627" s="1279">
        <f t="shared" si="53"/>
        <v>0</v>
      </c>
      <c r="F627" s="1279">
        <v>0</v>
      </c>
      <c r="G627" s="1279">
        <v>0</v>
      </c>
      <c r="H627" s="1279">
        <v>0</v>
      </c>
      <c r="I627" s="1279">
        <v>0</v>
      </c>
      <c r="J627" s="3065"/>
      <c r="K627" s="3065"/>
      <c r="L627" s="1285"/>
      <c r="M627" s="1284"/>
    </row>
    <row r="628" spans="1:13" s="1283" customFormat="1" ht="12.75" customHeight="1" outlineLevel="1">
      <c r="A628" s="3063"/>
      <c r="B628" s="3086"/>
      <c r="C628" s="3052"/>
      <c r="D628" s="1261">
        <v>2025</v>
      </c>
      <c r="E628" s="1279">
        <f t="shared" si="53"/>
        <v>0</v>
      </c>
      <c r="F628" s="1279">
        <v>0</v>
      </c>
      <c r="G628" s="1279">
        <v>0</v>
      </c>
      <c r="H628" s="1279">
        <v>0</v>
      </c>
      <c r="I628" s="1279">
        <v>0</v>
      </c>
      <c r="J628" s="3066"/>
      <c r="K628" s="3066"/>
      <c r="L628" s="1285"/>
      <c r="M628" s="1284"/>
    </row>
    <row r="629" spans="1:13" s="1283" customFormat="1" ht="12.75" customHeight="1" outlineLevel="1">
      <c r="A629" s="3061" t="s">
        <v>613</v>
      </c>
      <c r="B629" s="3079" t="s">
        <v>2961</v>
      </c>
      <c r="C629" s="3052" t="s">
        <v>3042</v>
      </c>
      <c r="D629" s="1261" t="s">
        <v>8</v>
      </c>
      <c r="E629" s="1279">
        <f t="shared" si="53"/>
        <v>26151.575000000001</v>
      </c>
      <c r="F629" s="1279">
        <f>SUM(F630:F634)</f>
        <v>24843.99625</v>
      </c>
      <c r="G629" s="1279">
        <f t="shared" si="51"/>
        <v>0</v>
      </c>
      <c r="H629" s="1279">
        <f>SUM(H630:H634)</f>
        <v>1307.5787500000001</v>
      </c>
      <c r="I629" s="1279">
        <f t="shared" si="52"/>
        <v>0</v>
      </c>
      <c r="J629" s="3064" t="s">
        <v>3043</v>
      </c>
      <c r="K629" s="3064" t="s">
        <v>2993</v>
      </c>
      <c r="L629" s="1285"/>
      <c r="M629" s="1284"/>
    </row>
    <row r="630" spans="1:13" s="1283" customFormat="1" ht="12.75" customHeight="1" outlineLevel="1">
      <c r="A630" s="3062"/>
      <c r="B630" s="3085"/>
      <c r="C630" s="3052"/>
      <c r="D630" s="1261">
        <v>2021</v>
      </c>
      <c r="E630" s="1279">
        <f t="shared" si="53"/>
        <v>0</v>
      </c>
      <c r="F630" s="1279">
        <v>0</v>
      </c>
      <c r="G630" s="1279">
        <v>0</v>
      </c>
      <c r="H630" s="1279">
        <v>0</v>
      </c>
      <c r="I630" s="1279">
        <f>SUM(I631:I634)</f>
        <v>0</v>
      </c>
      <c r="J630" s="3065"/>
      <c r="K630" s="3065"/>
      <c r="L630" s="1285"/>
      <c r="M630" s="1284"/>
    </row>
    <row r="631" spans="1:13" s="1283" customFormat="1" ht="12.75" customHeight="1" outlineLevel="1">
      <c r="A631" s="3062"/>
      <c r="B631" s="3085"/>
      <c r="C631" s="3052"/>
      <c r="D631" s="1261">
        <v>2022</v>
      </c>
      <c r="E631" s="1279">
        <f t="shared" si="53"/>
        <v>16151.575000000001</v>
      </c>
      <c r="F631" s="1279">
        <v>15343.99625</v>
      </c>
      <c r="G631" s="1279">
        <v>0</v>
      </c>
      <c r="H631" s="1279">
        <f>F631*5/95</f>
        <v>807.57875000000001</v>
      </c>
      <c r="I631" s="1279">
        <f>SUM(I632:I634)</f>
        <v>0</v>
      </c>
      <c r="J631" s="3065"/>
      <c r="K631" s="3065"/>
      <c r="L631" s="1285"/>
      <c r="M631" s="1284"/>
    </row>
    <row r="632" spans="1:13" s="1496" customFormat="1" ht="12.75" customHeight="1" outlineLevel="1">
      <c r="A632" s="3062"/>
      <c r="B632" s="3085"/>
      <c r="C632" s="3052"/>
      <c r="D632" s="1455">
        <v>2023</v>
      </c>
      <c r="E632" s="1493">
        <f t="shared" si="53"/>
        <v>10000</v>
      </c>
      <c r="F632" s="1493">
        <v>9500</v>
      </c>
      <c r="G632" s="1493">
        <v>0</v>
      </c>
      <c r="H632" s="1493">
        <v>500</v>
      </c>
      <c r="I632" s="1493">
        <f>SUM(I633:I634)</f>
        <v>0</v>
      </c>
      <c r="J632" s="3065"/>
      <c r="K632" s="3065"/>
      <c r="L632" s="1494"/>
      <c r="M632" s="1495"/>
    </row>
    <row r="633" spans="1:13" s="1283" customFormat="1" ht="12.75" customHeight="1" outlineLevel="1">
      <c r="A633" s="3062"/>
      <c r="B633" s="3085"/>
      <c r="C633" s="3052"/>
      <c r="D633" s="1261">
        <v>2024</v>
      </c>
      <c r="E633" s="1279">
        <f t="shared" si="53"/>
        <v>0</v>
      </c>
      <c r="F633" s="1279">
        <v>0</v>
      </c>
      <c r="G633" s="1279">
        <v>0</v>
      </c>
      <c r="H633" s="1279">
        <v>0</v>
      </c>
      <c r="I633" s="1279">
        <v>0</v>
      </c>
      <c r="J633" s="3065"/>
      <c r="K633" s="3065"/>
      <c r="L633" s="1285"/>
      <c r="M633" s="1284"/>
    </row>
    <row r="634" spans="1:13" s="1283" customFormat="1" ht="12.75" customHeight="1" outlineLevel="1">
      <c r="A634" s="3063"/>
      <c r="B634" s="3086"/>
      <c r="C634" s="3052"/>
      <c r="D634" s="1261">
        <v>2025</v>
      </c>
      <c r="E634" s="1279">
        <f t="shared" si="53"/>
        <v>0</v>
      </c>
      <c r="F634" s="1279">
        <v>0</v>
      </c>
      <c r="G634" s="1279">
        <v>0</v>
      </c>
      <c r="H634" s="1279">
        <v>0</v>
      </c>
      <c r="I634" s="1279">
        <v>0</v>
      </c>
      <c r="J634" s="3066"/>
      <c r="K634" s="3066"/>
      <c r="L634" s="1285"/>
      <c r="M634" s="1284"/>
    </row>
    <row r="635" spans="1:13" s="1283" customFormat="1" ht="12.75" customHeight="1" outlineLevel="1">
      <c r="A635" s="3061" t="s">
        <v>615</v>
      </c>
      <c r="B635" s="3051" t="s">
        <v>2962</v>
      </c>
      <c r="C635" s="3052" t="s">
        <v>3042</v>
      </c>
      <c r="D635" s="1261" t="s">
        <v>8</v>
      </c>
      <c r="E635" s="1279">
        <f t="shared" si="53"/>
        <v>11451.6183</v>
      </c>
      <c r="F635" s="1279">
        <f>SUM(F636:F640)</f>
        <v>11451.6183</v>
      </c>
      <c r="G635" s="1279">
        <f t="shared" si="51"/>
        <v>0</v>
      </c>
      <c r="H635" s="1279">
        <f>SUM(H636:H640)</f>
        <v>0</v>
      </c>
      <c r="I635" s="1279">
        <f>SUM(I636:I640)</f>
        <v>0</v>
      </c>
      <c r="J635" s="3053" t="s">
        <v>3621</v>
      </c>
      <c r="K635" s="3064" t="s">
        <v>3040</v>
      </c>
      <c r="L635" s="1285"/>
      <c r="M635" s="1284"/>
    </row>
    <row r="636" spans="1:13" s="1283" customFormat="1" ht="12.75" customHeight="1" outlineLevel="1">
      <c r="A636" s="3062"/>
      <c r="B636" s="3051"/>
      <c r="C636" s="3052"/>
      <c r="D636" s="1261">
        <v>2021</v>
      </c>
      <c r="E636" s="1279">
        <f t="shared" si="53"/>
        <v>0</v>
      </c>
      <c r="F636" s="1279">
        <v>0</v>
      </c>
      <c r="G636" s="1279">
        <v>0</v>
      </c>
      <c r="H636" s="1279">
        <v>0</v>
      </c>
      <c r="I636" s="1279">
        <v>0</v>
      </c>
      <c r="J636" s="3053"/>
      <c r="K636" s="3065"/>
      <c r="L636" s="1285"/>
      <c r="M636" s="1284"/>
    </row>
    <row r="637" spans="1:13" s="1283" customFormat="1" ht="12.75" customHeight="1" outlineLevel="1">
      <c r="A637" s="3062"/>
      <c r="B637" s="3051"/>
      <c r="C637" s="3052"/>
      <c r="D637" s="1261">
        <v>2022</v>
      </c>
      <c r="E637" s="1279">
        <f t="shared" si="53"/>
        <v>11287.552299999999</v>
      </c>
      <c r="F637" s="1279">
        <v>11287.552299999999</v>
      </c>
      <c r="G637" s="1279">
        <v>0</v>
      </c>
      <c r="H637" s="1279">
        <v>0</v>
      </c>
      <c r="I637" s="1279">
        <v>0</v>
      </c>
      <c r="J637" s="3053"/>
      <c r="K637" s="3065"/>
      <c r="L637" s="1285"/>
      <c r="M637" s="1284"/>
    </row>
    <row r="638" spans="1:13" s="1496" customFormat="1" ht="12.75" customHeight="1" outlineLevel="1">
      <c r="A638" s="3062"/>
      <c r="B638" s="3051"/>
      <c r="C638" s="3052"/>
      <c r="D638" s="1455">
        <v>2023</v>
      </c>
      <c r="E638" s="1493">
        <f t="shared" si="53"/>
        <v>164.066</v>
      </c>
      <c r="F638" s="1493">
        <v>164.066</v>
      </c>
      <c r="G638" s="1493">
        <v>0</v>
      </c>
      <c r="H638" s="1493">
        <v>0</v>
      </c>
      <c r="I638" s="1493">
        <v>0</v>
      </c>
      <c r="J638" s="3053"/>
      <c r="K638" s="3065"/>
      <c r="L638" s="1494"/>
      <c r="M638" s="1495"/>
    </row>
    <row r="639" spans="1:13" s="1283" customFormat="1" ht="12.75" customHeight="1" outlineLevel="1">
      <c r="A639" s="3062"/>
      <c r="B639" s="3051"/>
      <c r="C639" s="3052"/>
      <c r="D639" s="1261">
        <v>2024</v>
      </c>
      <c r="E639" s="1279">
        <f t="shared" si="53"/>
        <v>0</v>
      </c>
      <c r="F639" s="1279">
        <v>0</v>
      </c>
      <c r="G639" s="1279">
        <v>0</v>
      </c>
      <c r="H639" s="1279">
        <v>0</v>
      </c>
      <c r="I639" s="1279">
        <v>0</v>
      </c>
      <c r="J639" s="3053"/>
      <c r="K639" s="3065"/>
      <c r="L639" s="1285"/>
      <c r="M639" s="1284"/>
    </row>
    <row r="640" spans="1:13" s="1283" customFormat="1" ht="12.75" customHeight="1" outlineLevel="1">
      <c r="A640" s="3063"/>
      <c r="B640" s="3051"/>
      <c r="C640" s="3052"/>
      <c r="D640" s="1261">
        <v>2025</v>
      </c>
      <c r="E640" s="1279">
        <f t="shared" si="53"/>
        <v>0</v>
      </c>
      <c r="F640" s="1279">
        <v>0</v>
      </c>
      <c r="G640" s="1279">
        <v>0</v>
      </c>
      <c r="H640" s="1279">
        <v>0</v>
      </c>
      <c r="I640" s="1279">
        <v>0</v>
      </c>
      <c r="J640" s="3053"/>
      <c r="K640" s="3066"/>
      <c r="L640" s="1285"/>
      <c r="M640" s="1284"/>
    </row>
    <row r="641" spans="1:13" s="1283" customFormat="1" ht="12.75" customHeight="1" outlineLevel="1">
      <c r="A641" s="3061" t="s">
        <v>3039</v>
      </c>
      <c r="B641" s="3079" t="s">
        <v>3038</v>
      </c>
      <c r="C641" s="3052">
        <v>2022</v>
      </c>
      <c r="D641" s="1261" t="s">
        <v>8</v>
      </c>
      <c r="E641" s="1279">
        <f t="shared" si="53"/>
        <v>2900</v>
      </c>
      <c r="F641" s="1279">
        <f>SUM(F642:F646)</f>
        <v>2900</v>
      </c>
      <c r="G641" s="1279">
        <f t="shared" ref="G641:I653" si="54">SUM(G642:G646)</f>
        <v>0</v>
      </c>
      <c r="H641" s="1279">
        <f>SUM(H642:H646)</f>
        <v>0</v>
      </c>
      <c r="I641" s="1279">
        <f>SUM(I642:I646)</f>
        <v>0</v>
      </c>
      <c r="J641" s="3064" t="s">
        <v>3037</v>
      </c>
      <c r="K641" s="3064" t="s">
        <v>3034</v>
      </c>
      <c r="L641" s="1285"/>
      <c r="M641" s="1284"/>
    </row>
    <row r="642" spans="1:13" s="1283" customFormat="1" ht="12.75" customHeight="1" outlineLevel="1">
      <c r="A642" s="3062"/>
      <c r="B642" s="3085"/>
      <c r="C642" s="3052"/>
      <c r="D642" s="1261">
        <v>2021</v>
      </c>
      <c r="E642" s="1279">
        <f t="shared" si="53"/>
        <v>0</v>
      </c>
      <c r="F642" s="1279">
        <v>0</v>
      </c>
      <c r="G642" s="1279">
        <v>0</v>
      </c>
      <c r="H642" s="1279">
        <v>0</v>
      </c>
      <c r="I642" s="1279">
        <v>0</v>
      </c>
      <c r="J642" s="3065"/>
      <c r="K642" s="3065"/>
      <c r="L642" s="1285"/>
      <c r="M642" s="1284"/>
    </row>
    <row r="643" spans="1:13" s="1283" customFormat="1" ht="12.75" customHeight="1" outlineLevel="1">
      <c r="A643" s="3062"/>
      <c r="B643" s="3085"/>
      <c r="C643" s="3052"/>
      <c r="D643" s="1261">
        <v>2022</v>
      </c>
      <c r="E643" s="1279">
        <f t="shared" si="53"/>
        <v>2900</v>
      </c>
      <c r="F643" s="1279">
        <v>2900</v>
      </c>
      <c r="G643" s="1279">
        <v>0</v>
      </c>
      <c r="H643" s="1279">
        <v>0</v>
      </c>
      <c r="I643" s="1279">
        <v>0</v>
      </c>
      <c r="J643" s="3065"/>
      <c r="K643" s="3065"/>
      <c r="L643" s="1285"/>
      <c r="M643" s="1284"/>
    </row>
    <row r="644" spans="1:13" s="1283" customFormat="1" ht="12.75" customHeight="1" outlineLevel="1">
      <c r="A644" s="3062"/>
      <c r="B644" s="3085"/>
      <c r="C644" s="3052"/>
      <c r="D644" s="1261">
        <v>2023</v>
      </c>
      <c r="E644" s="1279">
        <f t="shared" si="53"/>
        <v>0</v>
      </c>
      <c r="F644" s="1279">
        <v>0</v>
      </c>
      <c r="G644" s="1279">
        <v>0</v>
      </c>
      <c r="H644" s="1279">
        <v>0</v>
      </c>
      <c r="I644" s="1279">
        <v>0</v>
      </c>
      <c r="J644" s="3065"/>
      <c r="K644" s="3065"/>
      <c r="L644" s="1285"/>
      <c r="M644" s="1284"/>
    </row>
    <row r="645" spans="1:13" s="1283" customFormat="1" ht="12.75" customHeight="1" outlineLevel="1">
      <c r="A645" s="3062"/>
      <c r="B645" s="3085"/>
      <c r="C645" s="3052"/>
      <c r="D645" s="1261">
        <v>2024</v>
      </c>
      <c r="E645" s="1279">
        <f t="shared" si="53"/>
        <v>0</v>
      </c>
      <c r="F645" s="1279">
        <v>0</v>
      </c>
      <c r="G645" s="1279">
        <v>0</v>
      </c>
      <c r="H645" s="1279">
        <v>0</v>
      </c>
      <c r="I645" s="1279">
        <v>0</v>
      </c>
      <c r="J645" s="3065"/>
      <c r="K645" s="3065"/>
      <c r="L645" s="1285"/>
      <c r="M645" s="1284"/>
    </row>
    <row r="646" spans="1:13" s="1283" customFormat="1" ht="12.75" customHeight="1" outlineLevel="1">
      <c r="A646" s="3063"/>
      <c r="B646" s="3086"/>
      <c r="C646" s="3052"/>
      <c r="D646" s="1261">
        <v>2025</v>
      </c>
      <c r="E646" s="1279">
        <f t="shared" si="53"/>
        <v>0</v>
      </c>
      <c r="F646" s="1279">
        <v>0</v>
      </c>
      <c r="G646" s="1279">
        <v>0</v>
      </c>
      <c r="H646" s="1279">
        <v>0</v>
      </c>
      <c r="I646" s="1279">
        <v>0</v>
      </c>
      <c r="J646" s="3066"/>
      <c r="K646" s="3066"/>
      <c r="L646" s="1285"/>
      <c r="M646" s="1284"/>
    </row>
    <row r="647" spans="1:13" s="1283" customFormat="1" ht="12.75" customHeight="1" outlineLevel="1">
      <c r="A647" s="3061" t="s">
        <v>3036</v>
      </c>
      <c r="B647" s="3079" t="s">
        <v>2963</v>
      </c>
      <c r="C647" s="3052">
        <v>2022</v>
      </c>
      <c r="D647" s="1261" t="s">
        <v>8</v>
      </c>
      <c r="E647" s="1279">
        <f t="shared" si="53"/>
        <v>0</v>
      </c>
      <c r="F647" s="1279">
        <f>SUM(F648:F652)</f>
        <v>0</v>
      </c>
      <c r="G647" s="1279">
        <f t="shared" si="54"/>
        <v>0</v>
      </c>
      <c r="H647" s="1279">
        <f>SUM(H648:H652)</f>
        <v>0</v>
      </c>
      <c r="I647" s="1279">
        <f>SUM(I648:I652)</f>
        <v>0</v>
      </c>
      <c r="J647" s="3064" t="s">
        <v>3035</v>
      </c>
      <c r="K647" s="3064" t="s">
        <v>3034</v>
      </c>
      <c r="L647" s="1285"/>
      <c r="M647" s="1284"/>
    </row>
    <row r="648" spans="1:13" s="1283" customFormat="1" ht="12.75" customHeight="1" outlineLevel="1">
      <c r="A648" s="3062"/>
      <c r="B648" s="3085"/>
      <c r="C648" s="3052"/>
      <c r="D648" s="1261">
        <v>2021</v>
      </c>
      <c r="E648" s="1279">
        <f t="shared" si="53"/>
        <v>0</v>
      </c>
      <c r="F648" s="1279">
        <v>0</v>
      </c>
      <c r="G648" s="1279">
        <v>0</v>
      </c>
      <c r="H648" s="1279">
        <v>0</v>
      </c>
      <c r="I648" s="1279">
        <v>0</v>
      </c>
      <c r="J648" s="3065"/>
      <c r="K648" s="3065"/>
      <c r="L648" s="1285"/>
      <c r="M648" s="1284"/>
    </row>
    <row r="649" spans="1:13" s="1283" customFormat="1" ht="12.75" customHeight="1" outlineLevel="1">
      <c r="A649" s="3062"/>
      <c r="B649" s="3085"/>
      <c r="C649" s="3052"/>
      <c r="D649" s="1261">
        <v>2022</v>
      </c>
      <c r="E649" s="1279">
        <f t="shared" si="53"/>
        <v>0</v>
      </c>
      <c r="F649" s="1279">
        <v>0</v>
      </c>
      <c r="G649" s="1279">
        <v>0</v>
      </c>
      <c r="H649" s="1279">
        <v>0</v>
      </c>
      <c r="I649" s="1279">
        <v>0</v>
      </c>
      <c r="J649" s="3065"/>
      <c r="K649" s="3065"/>
      <c r="L649" s="1285"/>
      <c r="M649" s="1284"/>
    </row>
    <row r="650" spans="1:13" s="1283" customFormat="1" ht="12.75" customHeight="1" outlineLevel="1">
      <c r="A650" s="3062"/>
      <c r="B650" s="3085"/>
      <c r="C650" s="3052"/>
      <c r="D650" s="1261">
        <v>2023</v>
      </c>
      <c r="E650" s="1279">
        <f t="shared" si="53"/>
        <v>0</v>
      </c>
      <c r="F650" s="1279">
        <v>0</v>
      </c>
      <c r="G650" s="1279">
        <v>0</v>
      </c>
      <c r="H650" s="1279">
        <v>0</v>
      </c>
      <c r="I650" s="1279">
        <v>0</v>
      </c>
      <c r="J650" s="3065"/>
      <c r="K650" s="3065"/>
      <c r="L650" s="1285"/>
      <c r="M650" s="1284"/>
    </row>
    <row r="651" spans="1:13" s="1283" customFormat="1" ht="12.75" customHeight="1" outlineLevel="1">
      <c r="A651" s="3062"/>
      <c r="B651" s="3085"/>
      <c r="C651" s="3052"/>
      <c r="D651" s="1261">
        <v>2024</v>
      </c>
      <c r="E651" s="1279">
        <f t="shared" si="53"/>
        <v>0</v>
      </c>
      <c r="F651" s="1279">
        <v>0</v>
      </c>
      <c r="G651" s="1279">
        <v>0</v>
      </c>
      <c r="H651" s="1279">
        <v>0</v>
      </c>
      <c r="I651" s="1279">
        <v>0</v>
      </c>
      <c r="J651" s="3065"/>
      <c r="K651" s="3065"/>
      <c r="L651" s="1285"/>
      <c r="M651" s="1284"/>
    </row>
    <row r="652" spans="1:13" s="1283" customFormat="1" ht="12.75" customHeight="1" outlineLevel="1">
      <c r="A652" s="3063"/>
      <c r="B652" s="3086"/>
      <c r="C652" s="3052"/>
      <c r="D652" s="1261">
        <v>2025</v>
      </c>
      <c r="E652" s="1279">
        <f t="shared" si="53"/>
        <v>0</v>
      </c>
      <c r="F652" s="1279">
        <v>0</v>
      </c>
      <c r="G652" s="1279">
        <v>0</v>
      </c>
      <c r="H652" s="1279">
        <v>0</v>
      </c>
      <c r="I652" s="1279">
        <v>0</v>
      </c>
      <c r="J652" s="3066"/>
      <c r="K652" s="3066"/>
      <c r="L652" s="1285"/>
      <c r="M652" s="1284"/>
    </row>
    <row r="653" spans="1:13" s="1283" customFormat="1" ht="15.75" customHeight="1" outlineLevel="1">
      <c r="A653" s="3061" t="s">
        <v>3033</v>
      </c>
      <c r="B653" s="3064" t="s">
        <v>3032</v>
      </c>
      <c r="C653" s="3082">
        <v>2022</v>
      </c>
      <c r="D653" s="1261" t="s">
        <v>8</v>
      </c>
      <c r="E653" s="1279">
        <f t="shared" si="53"/>
        <v>964.12733015494632</v>
      </c>
      <c r="F653" s="1279">
        <f>SUM(F654:F658)</f>
        <v>808.90282999999999</v>
      </c>
      <c r="G653" s="1279">
        <f t="shared" si="54"/>
        <v>0</v>
      </c>
      <c r="H653" s="1279">
        <f t="shared" si="54"/>
        <v>155.22450015494636</v>
      </c>
      <c r="I653" s="1279">
        <f t="shared" si="54"/>
        <v>0</v>
      </c>
      <c r="J653" s="3064" t="s">
        <v>3031</v>
      </c>
      <c r="K653" s="3064" t="s">
        <v>3027</v>
      </c>
      <c r="L653" s="1285"/>
      <c r="M653" s="1284"/>
    </row>
    <row r="654" spans="1:13" s="1283" customFormat="1" ht="15.75" customHeight="1" outlineLevel="1">
      <c r="A654" s="3062"/>
      <c r="B654" s="3065"/>
      <c r="C654" s="3083"/>
      <c r="D654" s="1261">
        <v>2021</v>
      </c>
      <c r="E654" s="1279">
        <f t="shared" si="53"/>
        <v>0</v>
      </c>
      <c r="F654" s="1279">
        <v>0</v>
      </c>
      <c r="G654" s="1279">
        <v>0</v>
      </c>
      <c r="H654" s="1279">
        <v>0</v>
      </c>
      <c r="I654" s="1279">
        <v>0</v>
      </c>
      <c r="J654" s="3065"/>
      <c r="K654" s="3065"/>
      <c r="L654" s="1285"/>
      <c r="M654" s="1284"/>
    </row>
    <row r="655" spans="1:13" s="1283" customFormat="1" ht="19.5" customHeight="1" outlineLevel="1">
      <c r="A655" s="3062"/>
      <c r="B655" s="3065"/>
      <c r="C655" s="3083"/>
      <c r="D655" s="1261">
        <v>2022</v>
      </c>
      <c r="E655" s="1279">
        <f t="shared" si="53"/>
        <v>964.12733015494632</v>
      </c>
      <c r="F655" s="1279">
        <f>808.944-0.04117</f>
        <v>808.90282999999999</v>
      </c>
      <c r="G655" s="1279">
        <v>0</v>
      </c>
      <c r="H655" s="1279">
        <f>F655*16.1/83.9</f>
        <v>155.22450015494636</v>
      </c>
      <c r="I655" s="1279">
        <v>0</v>
      </c>
      <c r="J655" s="3065"/>
      <c r="K655" s="3065"/>
      <c r="L655" s="1285"/>
      <c r="M655" s="1284"/>
    </row>
    <row r="656" spans="1:13" s="1283" customFormat="1" ht="18" customHeight="1" outlineLevel="1">
      <c r="A656" s="3062"/>
      <c r="B656" s="3065"/>
      <c r="C656" s="3083"/>
      <c r="D656" s="1261">
        <v>2023</v>
      </c>
      <c r="E656" s="1279">
        <f t="shared" si="53"/>
        <v>0</v>
      </c>
      <c r="F656" s="1279">
        <v>0</v>
      </c>
      <c r="G656" s="1279">
        <v>0</v>
      </c>
      <c r="H656" s="1279">
        <v>0</v>
      </c>
      <c r="I656" s="1279">
        <v>0</v>
      </c>
      <c r="J656" s="3065"/>
      <c r="K656" s="3065"/>
      <c r="L656" s="1285"/>
      <c r="M656" s="1284"/>
    </row>
    <row r="657" spans="1:13" s="1283" customFormat="1" ht="16.5" customHeight="1" outlineLevel="1">
      <c r="A657" s="3062"/>
      <c r="B657" s="3065"/>
      <c r="C657" s="3083"/>
      <c r="D657" s="1261">
        <v>2024</v>
      </c>
      <c r="E657" s="1279">
        <f t="shared" si="53"/>
        <v>0</v>
      </c>
      <c r="F657" s="1279">
        <v>0</v>
      </c>
      <c r="G657" s="1279">
        <v>0</v>
      </c>
      <c r="H657" s="1279">
        <v>0</v>
      </c>
      <c r="I657" s="1279">
        <v>0</v>
      </c>
      <c r="J657" s="3065"/>
      <c r="K657" s="3065"/>
      <c r="L657" s="1285"/>
      <c r="M657" s="1284"/>
    </row>
    <row r="658" spans="1:13" s="1283" customFormat="1" ht="16.5" customHeight="1" outlineLevel="1">
      <c r="A658" s="3063"/>
      <c r="B658" s="3066"/>
      <c r="C658" s="3084"/>
      <c r="D658" s="1261">
        <v>2025</v>
      </c>
      <c r="E658" s="1279">
        <f t="shared" si="53"/>
        <v>0</v>
      </c>
      <c r="F658" s="1279">
        <v>0</v>
      </c>
      <c r="G658" s="1279">
        <v>0</v>
      </c>
      <c r="H658" s="1279">
        <v>0</v>
      </c>
      <c r="I658" s="1279">
        <v>0</v>
      </c>
      <c r="J658" s="3066"/>
      <c r="K658" s="3066"/>
      <c r="L658" s="1285"/>
      <c r="M658" s="1284"/>
    </row>
    <row r="659" spans="1:13" s="1283" customFormat="1" ht="11.25" customHeight="1" outlineLevel="1">
      <c r="A659" s="3061" t="s">
        <v>3030</v>
      </c>
      <c r="B659" s="3064" t="s">
        <v>3029</v>
      </c>
      <c r="C659" s="3082">
        <v>2022</v>
      </c>
      <c r="D659" s="1261" t="s">
        <v>8</v>
      </c>
      <c r="E659" s="1279">
        <f t="shared" si="53"/>
        <v>5088.3444576877237</v>
      </c>
      <c r="F659" s="1279">
        <f>SUM(F660:F664)</f>
        <v>4269.1210000000001</v>
      </c>
      <c r="G659" s="1279">
        <f t="shared" ref="G659:I677" si="55">SUM(G660:G664)</f>
        <v>0</v>
      </c>
      <c r="H659" s="1279">
        <f t="shared" si="55"/>
        <v>819.22345768772345</v>
      </c>
      <c r="I659" s="1279">
        <f t="shared" si="55"/>
        <v>0</v>
      </c>
      <c r="J659" s="3064" t="s">
        <v>3028</v>
      </c>
      <c r="K659" s="3064" t="s">
        <v>3027</v>
      </c>
      <c r="L659" s="1285"/>
      <c r="M659" s="1284"/>
    </row>
    <row r="660" spans="1:13" s="1283" customFormat="1" ht="11.25" customHeight="1" outlineLevel="1">
      <c r="A660" s="3062"/>
      <c r="B660" s="3065"/>
      <c r="C660" s="3083"/>
      <c r="D660" s="1261">
        <v>2021</v>
      </c>
      <c r="E660" s="1279">
        <f t="shared" si="53"/>
        <v>0</v>
      </c>
      <c r="F660" s="1279">
        <v>0</v>
      </c>
      <c r="G660" s="1279">
        <v>0</v>
      </c>
      <c r="H660" s="1279">
        <v>0</v>
      </c>
      <c r="I660" s="1279">
        <v>0</v>
      </c>
      <c r="J660" s="3065"/>
      <c r="K660" s="3065"/>
      <c r="L660" s="1285"/>
      <c r="M660" s="1284"/>
    </row>
    <row r="661" spans="1:13" s="1283" customFormat="1" ht="11.25" customHeight="1" outlineLevel="1">
      <c r="A661" s="3062"/>
      <c r="B661" s="3065"/>
      <c r="C661" s="3083"/>
      <c r="D661" s="1261">
        <v>2022</v>
      </c>
      <c r="E661" s="1279">
        <f t="shared" si="53"/>
        <v>5088.3444576877237</v>
      </c>
      <c r="F661" s="1279">
        <f>4677.411-408.29</f>
        <v>4269.1210000000001</v>
      </c>
      <c r="G661" s="1279">
        <v>0</v>
      </c>
      <c r="H661" s="1279">
        <f>F661*16.1/83.9</f>
        <v>819.22345768772345</v>
      </c>
      <c r="I661" s="1279">
        <v>0</v>
      </c>
      <c r="J661" s="3065"/>
      <c r="K661" s="3065"/>
      <c r="L661" s="1285"/>
      <c r="M661" s="1284"/>
    </row>
    <row r="662" spans="1:13" s="1283" customFormat="1" ht="11.25" customHeight="1" outlineLevel="1">
      <c r="A662" s="3062"/>
      <c r="B662" s="3065"/>
      <c r="C662" s="3083"/>
      <c r="D662" s="1261">
        <v>2023</v>
      </c>
      <c r="E662" s="1279">
        <f t="shared" si="53"/>
        <v>0</v>
      </c>
      <c r="F662" s="1279">
        <v>0</v>
      </c>
      <c r="G662" s="1279">
        <v>0</v>
      </c>
      <c r="H662" s="1279">
        <v>0</v>
      </c>
      <c r="I662" s="1279">
        <v>0</v>
      </c>
      <c r="J662" s="3065"/>
      <c r="K662" s="3065"/>
      <c r="L662" s="1285"/>
      <c r="M662" s="1284"/>
    </row>
    <row r="663" spans="1:13" s="1283" customFormat="1" ht="11.25" customHeight="1" outlineLevel="1">
      <c r="A663" s="3062"/>
      <c r="B663" s="3065"/>
      <c r="C663" s="3083"/>
      <c r="D663" s="1261">
        <v>2024</v>
      </c>
      <c r="E663" s="1279">
        <f t="shared" si="53"/>
        <v>0</v>
      </c>
      <c r="F663" s="1279">
        <v>0</v>
      </c>
      <c r="G663" s="1279">
        <v>0</v>
      </c>
      <c r="H663" s="1279">
        <v>0</v>
      </c>
      <c r="I663" s="1279">
        <v>0</v>
      </c>
      <c r="J663" s="3065"/>
      <c r="K663" s="3065"/>
      <c r="L663" s="1285"/>
      <c r="M663" s="1284"/>
    </row>
    <row r="664" spans="1:13" s="1283" customFormat="1" ht="11.25" customHeight="1" outlineLevel="1">
      <c r="A664" s="3063"/>
      <c r="B664" s="3066"/>
      <c r="C664" s="3084"/>
      <c r="D664" s="1261">
        <v>2025</v>
      </c>
      <c r="E664" s="1279">
        <f t="shared" si="53"/>
        <v>0</v>
      </c>
      <c r="F664" s="1279">
        <v>0</v>
      </c>
      <c r="G664" s="1279">
        <v>0</v>
      </c>
      <c r="H664" s="1279">
        <v>0</v>
      </c>
      <c r="I664" s="1279">
        <v>0</v>
      </c>
      <c r="J664" s="3066"/>
      <c r="K664" s="3066"/>
      <c r="L664" s="1285"/>
      <c r="M664" s="1284"/>
    </row>
    <row r="665" spans="1:13" s="1283" customFormat="1" ht="11.25" customHeight="1" outlineLevel="1">
      <c r="A665" s="3061" t="s">
        <v>3026</v>
      </c>
      <c r="B665" s="3079" t="s">
        <v>3025</v>
      </c>
      <c r="C665" s="3052">
        <v>2022</v>
      </c>
      <c r="D665" s="1261" t="s">
        <v>8</v>
      </c>
      <c r="E665" s="1279">
        <f t="shared" si="53"/>
        <v>35550</v>
      </c>
      <c r="F665" s="1279">
        <f>SUM(F666:F670)</f>
        <v>33772.5</v>
      </c>
      <c r="G665" s="1279">
        <v>0</v>
      </c>
      <c r="H665" s="1279">
        <f>SUM(H666:H670)</f>
        <v>1777.5</v>
      </c>
      <c r="I665" s="1279">
        <v>0</v>
      </c>
      <c r="J665" s="3053" t="s">
        <v>3024</v>
      </c>
      <c r="K665" s="3053" t="s">
        <v>3020</v>
      </c>
      <c r="L665" s="1285"/>
      <c r="M665" s="1284"/>
    </row>
    <row r="666" spans="1:13" s="1283" customFormat="1" ht="11.25" customHeight="1" outlineLevel="1">
      <c r="A666" s="3062"/>
      <c r="B666" s="3085"/>
      <c r="C666" s="3052"/>
      <c r="D666" s="1261">
        <v>2021</v>
      </c>
      <c r="E666" s="1279">
        <f t="shared" si="53"/>
        <v>0</v>
      </c>
      <c r="F666" s="1279">
        <v>0</v>
      </c>
      <c r="G666" s="1279">
        <v>0</v>
      </c>
      <c r="H666" s="1279">
        <v>0</v>
      </c>
      <c r="I666" s="1279">
        <v>0</v>
      </c>
      <c r="J666" s="3053"/>
      <c r="K666" s="3053"/>
      <c r="L666" s="1285"/>
      <c r="M666" s="1284"/>
    </row>
    <row r="667" spans="1:13" s="1283" customFormat="1" ht="11.25" customHeight="1" outlineLevel="1">
      <c r="A667" s="3062"/>
      <c r="B667" s="3085"/>
      <c r="C667" s="3052"/>
      <c r="D667" s="1261">
        <v>2022</v>
      </c>
      <c r="E667" s="1279">
        <f t="shared" si="53"/>
        <v>35550</v>
      </c>
      <c r="F667" s="1279">
        <v>33772.5</v>
      </c>
      <c r="G667" s="1279">
        <v>0</v>
      </c>
      <c r="H667" s="1279">
        <f>F667*5/95</f>
        <v>1777.5</v>
      </c>
      <c r="I667" s="1279">
        <v>0</v>
      </c>
      <c r="J667" s="3053"/>
      <c r="K667" s="3053"/>
      <c r="L667" s="1285"/>
      <c r="M667" s="1284"/>
    </row>
    <row r="668" spans="1:13" s="1283" customFormat="1" ht="11.25" customHeight="1" outlineLevel="1">
      <c r="A668" s="3062"/>
      <c r="B668" s="3085"/>
      <c r="C668" s="3052"/>
      <c r="D668" s="1261">
        <v>2023</v>
      </c>
      <c r="E668" s="1279">
        <f t="shared" si="53"/>
        <v>0</v>
      </c>
      <c r="F668" s="1279">
        <v>0</v>
      </c>
      <c r="G668" s="1279">
        <v>0</v>
      </c>
      <c r="H668" s="1279">
        <v>0</v>
      </c>
      <c r="I668" s="1279">
        <v>0</v>
      </c>
      <c r="J668" s="3053"/>
      <c r="K668" s="3053"/>
      <c r="L668" s="1285"/>
      <c r="M668" s="1284"/>
    </row>
    <row r="669" spans="1:13" s="1283" customFormat="1" ht="11.25" customHeight="1" outlineLevel="1">
      <c r="A669" s="3062"/>
      <c r="B669" s="3085"/>
      <c r="C669" s="3052"/>
      <c r="D669" s="1261">
        <v>2024</v>
      </c>
      <c r="E669" s="1279">
        <f t="shared" si="53"/>
        <v>0</v>
      </c>
      <c r="F669" s="1279">
        <v>0</v>
      </c>
      <c r="G669" s="1279">
        <v>0</v>
      </c>
      <c r="H669" s="1279">
        <v>0</v>
      </c>
      <c r="I669" s="1279">
        <v>0</v>
      </c>
      <c r="J669" s="3053"/>
      <c r="K669" s="3053"/>
      <c r="L669" s="1285"/>
      <c r="M669" s="1284"/>
    </row>
    <row r="670" spans="1:13" s="1283" customFormat="1" ht="11.25" customHeight="1" outlineLevel="1">
      <c r="A670" s="3063"/>
      <c r="B670" s="3086"/>
      <c r="C670" s="3052"/>
      <c r="D670" s="1261">
        <v>2025</v>
      </c>
      <c r="E670" s="1279">
        <f t="shared" si="53"/>
        <v>0</v>
      </c>
      <c r="F670" s="1279">
        <v>0</v>
      </c>
      <c r="G670" s="1279">
        <v>0</v>
      </c>
      <c r="H670" s="1279">
        <v>0</v>
      </c>
      <c r="I670" s="1279">
        <v>0</v>
      </c>
      <c r="J670" s="3053"/>
      <c r="K670" s="3053"/>
      <c r="L670" s="1285"/>
      <c r="M670" s="1284"/>
    </row>
    <row r="671" spans="1:13" s="1283" customFormat="1" ht="11.25" customHeight="1" outlineLevel="1">
      <c r="A671" s="3061" t="s">
        <v>3023</v>
      </c>
      <c r="B671" s="3079" t="s">
        <v>3022</v>
      </c>
      <c r="C671" s="3052">
        <v>2022</v>
      </c>
      <c r="D671" s="1261" t="s">
        <v>8</v>
      </c>
      <c r="E671" s="1279">
        <f t="shared" si="53"/>
        <v>15871.72</v>
      </c>
      <c r="F671" s="1279">
        <f>SUM(F672:F676)</f>
        <v>15078.134</v>
      </c>
      <c r="G671" s="1279">
        <v>0</v>
      </c>
      <c r="H671" s="1279">
        <f>SUM(H672:H676)</f>
        <v>793.58600000000001</v>
      </c>
      <c r="I671" s="1279">
        <v>0</v>
      </c>
      <c r="J671" s="3053" t="s">
        <v>3021</v>
      </c>
      <c r="K671" s="3053" t="s">
        <v>3020</v>
      </c>
      <c r="L671" s="1285"/>
      <c r="M671" s="1284"/>
    </row>
    <row r="672" spans="1:13" s="1283" customFormat="1" ht="11.25" customHeight="1" outlineLevel="1">
      <c r="A672" s="3062"/>
      <c r="B672" s="3085"/>
      <c r="C672" s="3052"/>
      <c r="D672" s="1261">
        <v>2021</v>
      </c>
      <c r="E672" s="1279">
        <f t="shared" si="53"/>
        <v>0</v>
      </c>
      <c r="F672" s="1279">
        <f>SUM(G672:J672)</f>
        <v>0</v>
      </c>
      <c r="G672" s="1279">
        <v>0</v>
      </c>
      <c r="H672" s="1279">
        <v>0</v>
      </c>
      <c r="I672" s="1279">
        <v>0</v>
      </c>
      <c r="J672" s="3053"/>
      <c r="K672" s="3053"/>
      <c r="L672" s="1285"/>
      <c r="M672" s="1284"/>
    </row>
    <row r="673" spans="1:13" s="1283" customFormat="1" ht="11.25" customHeight="1" outlineLevel="1">
      <c r="A673" s="3062"/>
      <c r="B673" s="3085"/>
      <c r="C673" s="3052"/>
      <c r="D673" s="1261">
        <v>2022</v>
      </c>
      <c r="E673" s="1279">
        <f t="shared" si="53"/>
        <v>15871.72</v>
      </c>
      <c r="F673" s="1279">
        <v>15078.134</v>
      </c>
      <c r="G673" s="1279">
        <v>0</v>
      </c>
      <c r="H673" s="1279">
        <f>F673*5/95</f>
        <v>793.58600000000001</v>
      </c>
      <c r="I673" s="1279">
        <v>0</v>
      </c>
      <c r="J673" s="3053"/>
      <c r="K673" s="3053"/>
      <c r="L673" s="1285"/>
      <c r="M673" s="1284"/>
    </row>
    <row r="674" spans="1:13" s="1283" customFormat="1" ht="11.25" customHeight="1" outlineLevel="1">
      <c r="A674" s="3062"/>
      <c r="B674" s="3085"/>
      <c r="C674" s="3052"/>
      <c r="D674" s="1261">
        <v>2023</v>
      </c>
      <c r="E674" s="1279">
        <f t="shared" si="53"/>
        <v>0</v>
      </c>
      <c r="F674" s="1279">
        <f t="shared" si="53"/>
        <v>0</v>
      </c>
      <c r="G674" s="1279">
        <v>0</v>
      </c>
      <c r="H674" s="1279">
        <v>0</v>
      </c>
      <c r="I674" s="1279">
        <v>0</v>
      </c>
      <c r="J674" s="3053"/>
      <c r="K674" s="3053"/>
      <c r="L674" s="1285"/>
      <c r="M674" s="1284"/>
    </row>
    <row r="675" spans="1:13" s="1283" customFormat="1" ht="11.25" customHeight="1" outlineLevel="1">
      <c r="A675" s="3062"/>
      <c r="B675" s="3085"/>
      <c r="C675" s="3052"/>
      <c r="D675" s="1261">
        <v>2024</v>
      </c>
      <c r="E675" s="1279">
        <f t="shared" si="53"/>
        <v>0</v>
      </c>
      <c r="F675" s="1279">
        <f t="shared" si="53"/>
        <v>0</v>
      </c>
      <c r="G675" s="1279">
        <v>0</v>
      </c>
      <c r="H675" s="1279">
        <v>0</v>
      </c>
      <c r="I675" s="1279">
        <v>0</v>
      </c>
      <c r="J675" s="3053"/>
      <c r="K675" s="3053"/>
      <c r="L675" s="1285"/>
      <c r="M675" s="1284"/>
    </row>
    <row r="676" spans="1:13" s="1283" customFormat="1" ht="11.25" customHeight="1" outlineLevel="1">
      <c r="A676" s="3063"/>
      <c r="B676" s="3086"/>
      <c r="C676" s="3052"/>
      <c r="D676" s="1261">
        <v>2025</v>
      </c>
      <c r="E676" s="1279">
        <f t="shared" si="53"/>
        <v>0</v>
      </c>
      <c r="F676" s="1279">
        <f t="shared" si="53"/>
        <v>0</v>
      </c>
      <c r="G676" s="1279">
        <v>0</v>
      </c>
      <c r="H676" s="1279">
        <v>0</v>
      </c>
      <c r="I676" s="1279">
        <v>0</v>
      </c>
      <c r="J676" s="3053"/>
      <c r="K676" s="3053"/>
      <c r="L676" s="1285"/>
      <c r="M676" s="1284"/>
    </row>
    <row r="677" spans="1:13" s="1283" customFormat="1" ht="12.75" customHeight="1" outlineLevel="1">
      <c r="A677" s="3067" t="s">
        <v>3019</v>
      </c>
      <c r="B677" s="3070" t="s">
        <v>2964</v>
      </c>
      <c r="C677" s="3073" t="s">
        <v>3017</v>
      </c>
      <c r="D677" s="1261" t="s">
        <v>8</v>
      </c>
      <c r="E677" s="1265">
        <f t="shared" si="53"/>
        <v>328021.95</v>
      </c>
      <c r="F677" s="1265">
        <f>SUM(F678:F682)</f>
        <v>98140.857000000004</v>
      </c>
      <c r="G677" s="1265">
        <f t="shared" si="55"/>
        <v>229881.09299999999</v>
      </c>
      <c r="H677" s="1265">
        <f>SUM(H678:H682)</f>
        <v>0</v>
      </c>
      <c r="I677" s="1265">
        <f>SUM(I678:I682)</f>
        <v>0</v>
      </c>
      <c r="J677" s="3058" t="s">
        <v>2822</v>
      </c>
      <c r="K677" s="3058" t="s">
        <v>2799</v>
      </c>
      <c r="L677" s="1285"/>
      <c r="M677" s="1284"/>
    </row>
    <row r="678" spans="1:13" s="1283" customFormat="1" ht="12.75" customHeight="1" outlineLevel="1">
      <c r="A678" s="3068"/>
      <c r="B678" s="3071"/>
      <c r="C678" s="3074"/>
      <c r="D678" s="1261">
        <v>2021</v>
      </c>
      <c r="E678" s="1265">
        <f t="shared" si="53"/>
        <v>0</v>
      </c>
      <c r="F678" s="1286">
        <f t="shared" ref="F678:I682" si="56">F684</f>
        <v>0</v>
      </c>
      <c r="G678" s="1286">
        <f>G684</f>
        <v>0</v>
      </c>
      <c r="H678" s="1286">
        <f t="shared" si="56"/>
        <v>0</v>
      </c>
      <c r="I678" s="1286">
        <f t="shared" si="56"/>
        <v>0</v>
      </c>
      <c r="J678" s="3058"/>
      <c r="K678" s="3058"/>
      <c r="L678" s="1285"/>
      <c r="M678" s="1284"/>
    </row>
    <row r="679" spans="1:13" s="1283" customFormat="1" ht="12.75" customHeight="1" outlineLevel="1">
      <c r="A679" s="3068"/>
      <c r="B679" s="3071"/>
      <c r="C679" s="3074"/>
      <c r="D679" s="1261">
        <v>2022</v>
      </c>
      <c r="E679" s="1265">
        <f t="shared" si="53"/>
        <v>67438.159</v>
      </c>
      <c r="F679" s="1286">
        <f t="shared" si="56"/>
        <v>19557.065999999999</v>
      </c>
      <c r="G679" s="1286">
        <f t="shared" si="56"/>
        <v>47881.093000000001</v>
      </c>
      <c r="H679" s="1286">
        <f t="shared" si="56"/>
        <v>0</v>
      </c>
      <c r="I679" s="1286">
        <f t="shared" si="56"/>
        <v>0</v>
      </c>
      <c r="J679" s="3058"/>
      <c r="K679" s="3058"/>
      <c r="L679" s="1285"/>
      <c r="M679" s="1284"/>
    </row>
    <row r="680" spans="1:13" s="1496" customFormat="1" ht="12.75" customHeight="1" outlineLevel="1">
      <c r="A680" s="3068"/>
      <c r="B680" s="3071"/>
      <c r="C680" s="3074"/>
      <c r="D680" s="1455">
        <v>2023</v>
      </c>
      <c r="E680" s="1450">
        <f t="shared" si="53"/>
        <v>0</v>
      </c>
      <c r="F680" s="1497">
        <f t="shared" si="56"/>
        <v>0</v>
      </c>
      <c r="G680" s="1497">
        <f t="shared" si="56"/>
        <v>0</v>
      </c>
      <c r="H680" s="1497">
        <f t="shared" si="56"/>
        <v>0</v>
      </c>
      <c r="I680" s="1497">
        <f t="shared" si="56"/>
        <v>0</v>
      </c>
      <c r="J680" s="3058"/>
      <c r="K680" s="3058"/>
      <c r="L680" s="1494"/>
      <c r="M680" s="1495"/>
    </row>
    <row r="681" spans="1:13" s="1283" customFormat="1" ht="12.75" customHeight="1" outlineLevel="1">
      <c r="A681" s="3068"/>
      <c r="B681" s="3071"/>
      <c r="C681" s="3074"/>
      <c r="D681" s="1261">
        <v>2024</v>
      </c>
      <c r="E681" s="1265">
        <f t="shared" si="53"/>
        <v>109859.15399999999</v>
      </c>
      <c r="F681" s="1286">
        <f t="shared" si="56"/>
        <v>31859.153999999999</v>
      </c>
      <c r="G681" s="1286">
        <f t="shared" si="56"/>
        <v>78000</v>
      </c>
      <c r="H681" s="1286">
        <f t="shared" si="56"/>
        <v>0</v>
      </c>
      <c r="I681" s="1286">
        <f t="shared" si="56"/>
        <v>0</v>
      </c>
      <c r="J681" s="3058"/>
      <c r="K681" s="3058"/>
      <c r="L681" s="1285"/>
      <c r="M681" s="1284"/>
    </row>
    <row r="682" spans="1:13" s="1283" customFormat="1" ht="12.75" customHeight="1" outlineLevel="1">
      <c r="A682" s="3069"/>
      <c r="B682" s="3072"/>
      <c r="C682" s="3075"/>
      <c r="D682" s="1261">
        <v>2025</v>
      </c>
      <c r="E682" s="1265">
        <f t="shared" si="53"/>
        <v>150724.63699999999</v>
      </c>
      <c r="F682" s="1286">
        <f t="shared" si="56"/>
        <v>46724.637000000002</v>
      </c>
      <c r="G682" s="1286">
        <f t="shared" si="56"/>
        <v>104000</v>
      </c>
      <c r="H682" s="1286">
        <f t="shared" si="56"/>
        <v>0</v>
      </c>
      <c r="I682" s="1286">
        <f t="shared" si="56"/>
        <v>0</v>
      </c>
      <c r="J682" s="3058"/>
      <c r="K682" s="3058"/>
      <c r="L682" s="1285"/>
      <c r="M682" s="1284"/>
    </row>
    <row r="683" spans="1:13" s="1283" customFormat="1" ht="12.75" customHeight="1" outlineLevel="1">
      <c r="A683" s="3050" t="s">
        <v>2965</v>
      </c>
      <c r="B683" s="3079" t="s">
        <v>3018</v>
      </c>
      <c r="C683" s="3052" t="s">
        <v>3017</v>
      </c>
      <c r="D683" s="1261" t="s">
        <v>8</v>
      </c>
      <c r="E683" s="1271">
        <f t="shared" si="53"/>
        <v>328021.95</v>
      </c>
      <c r="F683" s="1271">
        <f>SUM(F684:F688)</f>
        <v>98140.857000000004</v>
      </c>
      <c r="G683" s="1271">
        <f>SUM(G684:G688)</f>
        <v>229881.09299999999</v>
      </c>
      <c r="H683" s="1271">
        <f>SUM(H684:H688)</f>
        <v>0</v>
      </c>
      <c r="I683" s="1271">
        <f>SUM(I684:I688)</f>
        <v>0</v>
      </c>
      <c r="J683" s="3064" t="s">
        <v>3016</v>
      </c>
      <c r="K683" s="3053" t="s">
        <v>2799</v>
      </c>
      <c r="L683" s="1285"/>
      <c r="M683" s="1284"/>
    </row>
    <row r="684" spans="1:13" s="1283" customFormat="1" ht="12.75" outlineLevel="1">
      <c r="A684" s="3050"/>
      <c r="B684" s="3085"/>
      <c r="C684" s="3052"/>
      <c r="D684" s="1261">
        <v>2021</v>
      </c>
      <c r="E684" s="1271">
        <f t="shared" si="53"/>
        <v>0</v>
      </c>
      <c r="F684" s="1272">
        <v>0</v>
      </c>
      <c r="G684" s="1272">
        <v>0</v>
      </c>
      <c r="H684" s="1272">
        <v>0</v>
      </c>
      <c r="I684" s="1272">
        <v>0</v>
      </c>
      <c r="J684" s="3065"/>
      <c r="K684" s="3053"/>
      <c r="L684" s="1285"/>
      <c r="M684" s="1284"/>
    </row>
    <row r="685" spans="1:13" s="1283" customFormat="1" ht="12.75" outlineLevel="1">
      <c r="A685" s="3050"/>
      <c r="B685" s="3085"/>
      <c r="C685" s="3052"/>
      <c r="D685" s="1261">
        <v>2022</v>
      </c>
      <c r="E685" s="1271">
        <f t="shared" si="53"/>
        <v>67438.159</v>
      </c>
      <c r="F685" s="1272">
        <v>19557.065999999999</v>
      </c>
      <c r="G685" s="1272">
        <v>47881.093000000001</v>
      </c>
      <c r="H685" s="1272">
        <v>0</v>
      </c>
      <c r="I685" s="1272">
        <v>0</v>
      </c>
      <c r="J685" s="3065"/>
      <c r="K685" s="3053"/>
      <c r="L685" s="1285"/>
      <c r="M685" s="1284"/>
    </row>
    <row r="686" spans="1:13" s="1283" customFormat="1" ht="12.75" outlineLevel="1">
      <c r="A686" s="3050"/>
      <c r="B686" s="3085"/>
      <c r="C686" s="3052"/>
      <c r="D686" s="1261">
        <v>2023</v>
      </c>
      <c r="E686" s="1271">
        <f t="shared" ref="E686:E767" si="57">SUM(F686:I686)</f>
        <v>0</v>
      </c>
      <c r="F686" s="1272">
        <v>0</v>
      </c>
      <c r="G686" s="1272">
        <v>0</v>
      </c>
      <c r="H686" s="1272">
        <v>0</v>
      </c>
      <c r="I686" s="1272">
        <v>0</v>
      </c>
      <c r="J686" s="3065"/>
      <c r="K686" s="3053"/>
      <c r="L686" s="1285"/>
      <c r="M686" s="1284"/>
    </row>
    <row r="687" spans="1:13" s="1283" customFormat="1" ht="12.75" outlineLevel="1">
      <c r="A687" s="3050"/>
      <c r="B687" s="3085"/>
      <c r="C687" s="3052"/>
      <c r="D687" s="1261">
        <v>2024</v>
      </c>
      <c r="E687" s="1271">
        <f t="shared" si="57"/>
        <v>109859.15399999999</v>
      </c>
      <c r="F687" s="1272">
        <v>31859.153999999999</v>
      </c>
      <c r="G687" s="1272">
        <v>78000</v>
      </c>
      <c r="H687" s="1272">
        <v>0</v>
      </c>
      <c r="I687" s="1272">
        <v>0</v>
      </c>
      <c r="J687" s="3065"/>
      <c r="K687" s="3053"/>
      <c r="L687" s="1285"/>
      <c r="M687" s="1284"/>
    </row>
    <row r="688" spans="1:13" s="1283" customFormat="1" ht="12.75" outlineLevel="1">
      <c r="A688" s="3050"/>
      <c r="B688" s="3086"/>
      <c r="C688" s="3052"/>
      <c r="D688" s="1261">
        <v>2025</v>
      </c>
      <c r="E688" s="1271">
        <f t="shared" si="57"/>
        <v>150724.63699999999</v>
      </c>
      <c r="F688" s="1271">
        <v>46724.637000000002</v>
      </c>
      <c r="G688" s="1271">
        <v>104000</v>
      </c>
      <c r="H688" s="1271">
        <f>SUM(I682:L682)</f>
        <v>0</v>
      </c>
      <c r="I688" s="1271">
        <f>SUM(J682:L682)</f>
        <v>0</v>
      </c>
      <c r="J688" s="3066"/>
      <c r="K688" s="3053"/>
      <c r="L688" s="1285"/>
      <c r="M688" s="1284"/>
    </row>
    <row r="689" spans="1:14" s="1283" customFormat="1" ht="12.75" outlineLevel="1">
      <c r="A689" s="3067" t="s">
        <v>3015</v>
      </c>
      <c r="B689" s="3070" t="s">
        <v>3014</v>
      </c>
      <c r="C689" s="3073" t="s">
        <v>2995</v>
      </c>
      <c r="D689" s="1261" t="s">
        <v>8</v>
      </c>
      <c r="E689" s="1265">
        <f t="shared" si="57"/>
        <v>574740.04</v>
      </c>
      <c r="F689" s="1265">
        <f>SUM(F690:F694)</f>
        <v>277420.3</v>
      </c>
      <c r="G689" s="1265">
        <f>SUM(G690:G694)</f>
        <v>297319.74</v>
      </c>
      <c r="H689" s="1265">
        <f>SUM(H690:H694)</f>
        <v>0</v>
      </c>
      <c r="I689" s="1265">
        <f>SUM(I690:I694)</f>
        <v>0</v>
      </c>
      <c r="J689" s="3058" t="s">
        <v>3013</v>
      </c>
      <c r="K689" s="3058" t="s">
        <v>3622</v>
      </c>
      <c r="L689" s="1285"/>
      <c r="M689" s="1284"/>
    </row>
    <row r="690" spans="1:14" s="1283" customFormat="1" ht="12.75" outlineLevel="1">
      <c r="A690" s="3068"/>
      <c r="B690" s="3071"/>
      <c r="C690" s="3074"/>
      <c r="D690" s="1261">
        <v>2021</v>
      </c>
      <c r="E690" s="1265">
        <f t="shared" si="57"/>
        <v>0</v>
      </c>
      <c r="F690" s="1286">
        <f t="shared" ref="F690:I694" si="58">F696+F702+F708</f>
        <v>0</v>
      </c>
      <c r="G690" s="1286">
        <f t="shared" si="58"/>
        <v>0</v>
      </c>
      <c r="H690" s="1286">
        <f t="shared" si="58"/>
        <v>0</v>
      </c>
      <c r="I690" s="1286">
        <f t="shared" si="58"/>
        <v>0</v>
      </c>
      <c r="J690" s="3058"/>
      <c r="K690" s="3058"/>
      <c r="L690" s="1285"/>
      <c r="M690" s="1284"/>
    </row>
    <row r="691" spans="1:14" s="1283" customFormat="1" ht="12.75" outlineLevel="1">
      <c r="A691" s="3068"/>
      <c r="B691" s="3071"/>
      <c r="C691" s="3074"/>
      <c r="D691" s="1261">
        <v>2022</v>
      </c>
      <c r="E691" s="1265">
        <f t="shared" si="57"/>
        <v>0</v>
      </c>
      <c r="F691" s="1286">
        <f t="shared" si="58"/>
        <v>0</v>
      </c>
      <c r="G691" s="1286">
        <f t="shared" si="58"/>
        <v>0</v>
      </c>
      <c r="H691" s="1286">
        <f t="shared" si="58"/>
        <v>0</v>
      </c>
      <c r="I691" s="1286">
        <f t="shared" si="58"/>
        <v>0</v>
      </c>
      <c r="J691" s="3058"/>
      <c r="K691" s="3058"/>
      <c r="L691" s="1285"/>
      <c r="M691" s="1284"/>
    </row>
    <row r="692" spans="1:14" s="1496" customFormat="1" ht="12.75" outlineLevel="1">
      <c r="A692" s="3068"/>
      <c r="B692" s="3071"/>
      <c r="C692" s="3074"/>
      <c r="D692" s="1455">
        <v>2023</v>
      </c>
      <c r="E692" s="1450">
        <f t="shared" si="57"/>
        <v>304029.74</v>
      </c>
      <c r="F692" s="1497">
        <f t="shared" si="58"/>
        <v>6710</v>
      </c>
      <c r="G692" s="1497">
        <f t="shared" si="58"/>
        <v>297319.74</v>
      </c>
      <c r="H692" s="1497">
        <f t="shared" si="58"/>
        <v>0</v>
      </c>
      <c r="I692" s="1497">
        <f t="shared" si="58"/>
        <v>0</v>
      </c>
      <c r="J692" s="3058"/>
      <c r="K692" s="3058"/>
      <c r="L692" s="1494"/>
      <c r="M692" s="1495"/>
    </row>
    <row r="693" spans="1:14" s="1283" customFormat="1" ht="12.75" outlineLevel="1">
      <c r="A693" s="3068"/>
      <c r="B693" s="3071"/>
      <c r="C693" s="3074"/>
      <c r="D693" s="1261">
        <v>2024</v>
      </c>
      <c r="E693" s="1265">
        <f t="shared" si="57"/>
        <v>270710.3</v>
      </c>
      <c r="F693" s="1286">
        <f t="shared" si="58"/>
        <v>270710.3</v>
      </c>
      <c r="G693" s="1286">
        <f t="shared" si="58"/>
        <v>0</v>
      </c>
      <c r="H693" s="1286">
        <f t="shared" si="58"/>
        <v>0</v>
      </c>
      <c r="I693" s="1286">
        <f t="shared" si="58"/>
        <v>0</v>
      </c>
      <c r="J693" s="3058"/>
      <c r="K693" s="3058"/>
      <c r="L693" s="1285"/>
      <c r="M693" s="1284"/>
    </row>
    <row r="694" spans="1:14" s="1283" customFormat="1" ht="12.75" outlineLevel="1">
      <c r="A694" s="3069"/>
      <c r="B694" s="3072"/>
      <c r="C694" s="3075"/>
      <c r="D694" s="1261">
        <v>2025</v>
      </c>
      <c r="E694" s="1265">
        <f t="shared" si="57"/>
        <v>0</v>
      </c>
      <c r="F694" s="1286">
        <f t="shared" si="58"/>
        <v>0</v>
      </c>
      <c r="G694" s="1286">
        <f t="shared" si="58"/>
        <v>0</v>
      </c>
      <c r="H694" s="1286">
        <f t="shared" si="58"/>
        <v>0</v>
      </c>
      <c r="I694" s="1286">
        <f t="shared" si="58"/>
        <v>0</v>
      </c>
      <c r="J694" s="3058"/>
      <c r="K694" s="3058"/>
      <c r="L694" s="1285"/>
      <c r="M694" s="1284"/>
    </row>
    <row r="695" spans="1:14" s="1283" customFormat="1" ht="12.75" outlineLevel="1">
      <c r="A695" s="3050" t="s">
        <v>2772</v>
      </c>
      <c r="B695" s="3079" t="s">
        <v>2823</v>
      </c>
      <c r="C695" s="3052" t="s">
        <v>2995</v>
      </c>
      <c r="D695" s="1261" t="s">
        <v>8</v>
      </c>
      <c r="E695" s="1271">
        <f t="shared" si="57"/>
        <v>457896.93</v>
      </c>
      <c r="F695" s="1271">
        <f>SUM(F696:F700)</f>
        <v>277420.3</v>
      </c>
      <c r="G695" s="1271">
        <f>SUM(G696:G700)</f>
        <v>180476.63</v>
      </c>
      <c r="H695" s="1271">
        <f>SUM(H696:H700)</f>
        <v>0</v>
      </c>
      <c r="I695" s="1271">
        <f>SUM(I696:I700)</f>
        <v>0</v>
      </c>
      <c r="J695" s="3079" t="s">
        <v>3007</v>
      </c>
      <c r="K695" s="3053" t="s">
        <v>3011</v>
      </c>
      <c r="L695" s="1285"/>
      <c r="M695" s="1284"/>
    </row>
    <row r="696" spans="1:14" s="1283" customFormat="1" ht="12.75" outlineLevel="1">
      <c r="A696" s="3050"/>
      <c r="B696" s="3085"/>
      <c r="C696" s="3052"/>
      <c r="D696" s="1261">
        <v>2021</v>
      </c>
      <c r="E696" s="1271">
        <f t="shared" si="57"/>
        <v>0</v>
      </c>
      <c r="F696" s="1272">
        <v>0</v>
      </c>
      <c r="G696" s="1272">
        <v>0</v>
      </c>
      <c r="H696" s="1272">
        <v>0</v>
      </c>
      <c r="I696" s="1272">
        <v>0</v>
      </c>
      <c r="J696" s="3085"/>
      <c r="K696" s="3053"/>
      <c r="L696" s="1285"/>
      <c r="M696" s="1284"/>
    </row>
    <row r="697" spans="1:14" s="1283" customFormat="1" ht="12.75" outlineLevel="1">
      <c r="A697" s="3050"/>
      <c r="B697" s="3085"/>
      <c r="C697" s="3052"/>
      <c r="D697" s="1261">
        <v>2022</v>
      </c>
      <c r="E697" s="1271">
        <f t="shared" si="57"/>
        <v>0</v>
      </c>
      <c r="F697" s="1272">
        <v>0</v>
      </c>
      <c r="G697" s="1272">
        <v>0</v>
      </c>
      <c r="H697" s="1272">
        <v>0</v>
      </c>
      <c r="I697" s="1272">
        <v>0</v>
      </c>
      <c r="J697" s="3085"/>
      <c r="K697" s="3053"/>
      <c r="L697" s="1285"/>
      <c r="M697" s="1284"/>
    </row>
    <row r="698" spans="1:14" s="1496" customFormat="1" ht="12.75" outlineLevel="1">
      <c r="A698" s="3050"/>
      <c r="B698" s="3085"/>
      <c r="C698" s="3052"/>
      <c r="D698" s="1455">
        <v>2023</v>
      </c>
      <c r="E698" s="1456">
        <f t="shared" si="57"/>
        <v>187186.63</v>
      </c>
      <c r="F698" s="1457">
        <v>6710</v>
      </c>
      <c r="G698" s="1457">
        <v>180476.63</v>
      </c>
      <c r="H698" s="1457">
        <v>0</v>
      </c>
      <c r="I698" s="1457">
        <v>0</v>
      </c>
      <c r="J698" s="3085"/>
      <c r="K698" s="3053"/>
      <c r="L698" s="1494"/>
      <c r="M698" s="1495"/>
    </row>
    <row r="699" spans="1:14" s="1283" customFormat="1" ht="12.75" outlineLevel="1">
      <c r="A699" s="3050"/>
      <c r="B699" s="3085"/>
      <c r="C699" s="3052"/>
      <c r="D699" s="1261">
        <v>2024</v>
      </c>
      <c r="E699" s="1271">
        <f t="shared" si="57"/>
        <v>270710.3</v>
      </c>
      <c r="F699" s="1272">
        <v>270710.3</v>
      </c>
      <c r="G699" s="1272">
        <v>0</v>
      </c>
      <c r="H699" s="1272">
        <v>0</v>
      </c>
      <c r="I699" s="1272">
        <v>0</v>
      </c>
      <c r="J699" s="3085"/>
      <c r="K699" s="3053"/>
      <c r="L699" s="1285"/>
      <c r="M699" s="1284"/>
    </row>
    <row r="700" spans="1:14" s="1283" customFormat="1" ht="12.75" outlineLevel="1">
      <c r="A700" s="3050"/>
      <c r="B700" s="3086"/>
      <c r="C700" s="3052"/>
      <c r="D700" s="1261">
        <v>2025</v>
      </c>
      <c r="E700" s="1271">
        <f t="shared" si="57"/>
        <v>0</v>
      </c>
      <c r="F700" s="1272">
        <v>0</v>
      </c>
      <c r="G700" s="1272">
        <v>0</v>
      </c>
      <c r="H700" s="1271">
        <f>SUM(I694:L694)</f>
        <v>0</v>
      </c>
      <c r="I700" s="1271">
        <f>SUM(J694:L694)</f>
        <v>0</v>
      </c>
      <c r="J700" s="3086"/>
      <c r="K700" s="3053"/>
      <c r="L700" s="1285"/>
      <c r="M700" s="1284"/>
    </row>
    <row r="701" spans="1:14" s="1283" customFormat="1" ht="12.75" customHeight="1" outlineLevel="1">
      <c r="A701" s="3061" t="s">
        <v>2775</v>
      </c>
      <c r="B701" s="3079" t="s">
        <v>3623</v>
      </c>
      <c r="C701" s="3082">
        <v>2023</v>
      </c>
      <c r="D701" s="1261" t="s">
        <v>8</v>
      </c>
      <c r="E701" s="1271">
        <f t="shared" si="57"/>
        <v>65440</v>
      </c>
      <c r="F701" s="1271">
        <f>SUM(F702:F706)</f>
        <v>0</v>
      </c>
      <c r="G701" s="1271">
        <f>SUM(G702:G706)</f>
        <v>65440</v>
      </c>
      <c r="H701" s="1271">
        <f>SUM(H702:H706)</f>
        <v>0</v>
      </c>
      <c r="I701" s="1271">
        <f>SUM(I702:I706)</f>
        <v>0</v>
      </c>
      <c r="J701" s="3079" t="s">
        <v>3007</v>
      </c>
      <c r="K701" s="3053" t="s">
        <v>3624</v>
      </c>
      <c r="L701" s="1285"/>
      <c r="M701" s="1284"/>
      <c r="N701" s="1287"/>
    </row>
    <row r="702" spans="1:14" s="1283" customFormat="1" ht="12.75" customHeight="1" outlineLevel="1">
      <c r="A702" s="3062"/>
      <c r="B702" s="3080"/>
      <c r="C702" s="3083"/>
      <c r="D702" s="1261">
        <v>2021</v>
      </c>
      <c r="E702" s="1271">
        <f t="shared" si="57"/>
        <v>0</v>
      </c>
      <c r="F702" s="1272">
        <v>0</v>
      </c>
      <c r="G702" s="1272">
        <v>0</v>
      </c>
      <c r="H702" s="1272">
        <v>0</v>
      </c>
      <c r="I702" s="1272">
        <v>0</v>
      </c>
      <c r="J702" s="3085"/>
      <c r="K702" s="3053"/>
      <c r="L702" s="1285"/>
      <c r="M702" s="1284"/>
      <c r="N702" s="1287"/>
    </row>
    <row r="703" spans="1:14" s="1283" customFormat="1" ht="12.75" customHeight="1" outlineLevel="1">
      <c r="A703" s="3062"/>
      <c r="B703" s="3080"/>
      <c r="C703" s="3083"/>
      <c r="D703" s="1261">
        <v>2022</v>
      </c>
      <c r="E703" s="1271">
        <f t="shared" si="57"/>
        <v>0</v>
      </c>
      <c r="F703" s="1272">
        <v>0</v>
      </c>
      <c r="G703" s="1272">
        <v>0</v>
      </c>
      <c r="H703" s="1272">
        <v>0</v>
      </c>
      <c r="I703" s="1272">
        <v>0</v>
      </c>
      <c r="J703" s="3085"/>
      <c r="K703" s="3053"/>
      <c r="L703" s="1285"/>
      <c r="M703" s="1284"/>
      <c r="N703" s="1287"/>
    </row>
    <row r="704" spans="1:14" s="1496" customFormat="1" ht="12.75" customHeight="1" outlineLevel="1">
      <c r="A704" s="3062"/>
      <c r="B704" s="3080"/>
      <c r="C704" s="3083"/>
      <c r="D704" s="1455">
        <v>2023</v>
      </c>
      <c r="E704" s="1456">
        <f t="shared" si="57"/>
        <v>65440</v>
      </c>
      <c r="F704" s="1457">
        <v>0</v>
      </c>
      <c r="G704" s="1457">
        <v>65440</v>
      </c>
      <c r="H704" s="1457">
        <v>0</v>
      </c>
      <c r="I704" s="1457">
        <v>0</v>
      </c>
      <c r="J704" s="3085"/>
      <c r="K704" s="3053"/>
      <c r="L704" s="1494"/>
      <c r="M704" s="1495"/>
      <c r="N704" s="1498"/>
    </row>
    <row r="705" spans="1:14" s="1283" customFormat="1" ht="12.75" customHeight="1" outlineLevel="1">
      <c r="A705" s="3062"/>
      <c r="B705" s="3080"/>
      <c r="C705" s="3083"/>
      <c r="D705" s="1261">
        <v>2024</v>
      </c>
      <c r="E705" s="1271">
        <f t="shared" si="57"/>
        <v>0</v>
      </c>
      <c r="F705" s="1272">
        <v>0</v>
      </c>
      <c r="G705" s="1272">
        <v>0</v>
      </c>
      <c r="H705" s="1272">
        <v>0</v>
      </c>
      <c r="I705" s="1272">
        <v>0</v>
      </c>
      <c r="J705" s="3085"/>
      <c r="K705" s="3053"/>
      <c r="L705" s="1285"/>
      <c r="M705" s="1284"/>
      <c r="N705" s="1287"/>
    </row>
    <row r="706" spans="1:14" s="1283" customFormat="1" ht="35.25" customHeight="1" outlineLevel="1">
      <c r="A706" s="3063"/>
      <c r="B706" s="3081"/>
      <c r="C706" s="3084"/>
      <c r="D706" s="1261">
        <v>2025</v>
      </c>
      <c r="E706" s="1271">
        <f t="shared" si="57"/>
        <v>0</v>
      </c>
      <c r="F706" s="1272">
        <v>0</v>
      </c>
      <c r="G706" s="1272">
        <v>0</v>
      </c>
      <c r="H706" s="1271">
        <f>SUM(I700:L700)</f>
        <v>0</v>
      </c>
      <c r="I706" s="1271">
        <f>SUM(J700:L700)</f>
        <v>0</v>
      </c>
      <c r="J706" s="3086"/>
      <c r="K706" s="3053"/>
      <c r="L706" s="1285"/>
      <c r="M706" s="1284"/>
      <c r="N706" s="1287"/>
    </row>
    <row r="707" spans="1:14" s="1283" customFormat="1" ht="12.75" customHeight="1" outlineLevel="1">
      <c r="A707" s="3050" t="s">
        <v>641</v>
      </c>
      <c r="B707" s="3079" t="s">
        <v>3625</v>
      </c>
      <c r="C707" s="3082">
        <v>2023</v>
      </c>
      <c r="D707" s="1261" t="s">
        <v>8</v>
      </c>
      <c r="E707" s="1271">
        <f t="shared" si="57"/>
        <v>51403.11</v>
      </c>
      <c r="F707" s="1271">
        <f>SUM(F708:F712)</f>
        <v>0</v>
      </c>
      <c r="G707" s="1271">
        <f>SUM(G708:G712)</f>
        <v>51403.11</v>
      </c>
      <c r="H707" s="1271">
        <f>SUM(H708:H712)</f>
        <v>0</v>
      </c>
      <c r="I707" s="1271">
        <f>SUM(I708:I712)</f>
        <v>0</v>
      </c>
      <c r="J707" s="3079" t="s">
        <v>3007</v>
      </c>
      <c r="K707" s="3053" t="s">
        <v>3624</v>
      </c>
      <c r="L707" s="1285"/>
      <c r="M707" s="1284"/>
      <c r="N707" s="1287"/>
    </row>
    <row r="708" spans="1:14" s="1283" customFormat="1" ht="12.75" outlineLevel="1">
      <c r="A708" s="3050"/>
      <c r="B708" s="3085"/>
      <c r="C708" s="3083"/>
      <c r="D708" s="1261">
        <v>2021</v>
      </c>
      <c r="E708" s="1271">
        <f t="shared" si="57"/>
        <v>0</v>
      </c>
      <c r="F708" s="1272">
        <v>0</v>
      </c>
      <c r="G708" s="1272">
        <v>0</v>
      </c>
      <c r="H708" s="1272">
        <v>0</v>
      </c>
      <c r="I708" s="1272">
        <v>0</v>
      </c>
      <c r="J708" s="3085"/>
      <c r="K708" s="3053"/>
      <c r="L708" s="1285"/>
      <c r="M708" s="1284"/>
      <c r="N708" s="1287"/>
    </row>
    <row r="709" spans="1:14" s="1283" customFormat="1" ht="12.75" outlineLevel="1">
      <c r="A709" s="3050"/>
      <c r="B709" s="3085"/>
      <c r="C709" s="3083"/>
      <c r="D709" s="1261">
        <v>2022</v>
      </c>
      <c r="E709" s="1271">
        <f t="shared" si="57"/>
        <v>0</v>
      </c>
      <c r="F709" s="1272">
        <v>0</v>
      </c>
      <c r="G709" s="1272">
        <v>0</v>
      </c>
      <c r="H709" s="1272">
        <v>0</v>
      </c>
      <c r="I709" s="1272">
        <v>0</v>
      </c>
      <c r="J709" s="3085"/>
      <c r="K709" s="3053"/>
      <c r="L709" s="1285"/>
      <c r="M709" s="1284"/>
      <c r="N709" s="1287"/>
    </row>
    <row r="710" spans="1:14" s="1496" customFormat="1" ht="12.75" outlineLevel="1">
      <c r="A710" s="3050"/>
      <c r="B710" s="3085"/>
      <c r="C710" s="3083"/>
      <c r="D710" s="1455">
        <v>2023</v>
      </c>
      <c r="E710" s="1456">
        <f t="shared" si="57"/>
        <v>51403.11</v>
      </c>
      <c r="F710" s="1457">
        <v>0</v>
      </c>
      <c r="G710" s="1457">
        <v>51403.11</v>
      </c>
      <c r="H710" s="1457">
        <v>0</v>
      </c>
      <c r="I710" s="1457">
        <v>0</v>
      </c>
      <c r="J710" s="3085"/>
      <c r="K710" s="3053"/>
      <c r="L710" s="1494"/>
      <c r="M710" s="1495"/>
      <c r="N710" s="1498"/>
    </row>
    <row r="711" spans="1:14" s="1283" customFormat="1" ht="12.75" outlineLevel="1">
      <c r="A711" s="3050"/>
      <c r="B711" s="3085"/>
      <c r="C711" s="3083"/>
      <c r="D711" s="1261">
        <v>2024</v>
      </c>
      <c r="E711" s="1271">
        <f t="shared" si="57"/>
        <v>0</v>
      </c>
      <c r="F711" s="1272">
        <v>0</v>
      </c>
      <c r="G711" s="1272">
        <v>0</v>
      </c>
      <c r="H711" s="1272">
        <v>0</v>
      </c>
      <c r="I711" s="1272">
        <v>0</v>
      </c>
      <c r="J711" s="3085"/>
      <c r="K711" s="3053"/>
      <c r="L711" s="1285"/>
      <c r="M711" s="1284"/>
      <c r="N711" s="1287"/>
    </row>
    <row r="712" spans="1:14" s="1283" customFormat="1" ht="48.75" customHeight="1" outlineLevel="1">
      <c r="A712" s="3050"/>
      <c r="B712" s="3086"/>
      <c r="C712" s="3084"/>
      <c r="D712" s="1261">
        <v>2025</v>
      </c>
      <c r="E712" s="1271">
        <f t="shared" si="57"/>
        <v>0</v>
      </c>
      <c r="F712" s="1272">
        <v>0</v>
      </c>
      <c r="G712" s="1272">
        <v>0</v>
      </c>
      <c r="H712" s="1271">
        <f>SUM(I706:L706)</f>
        <v>0</v>
      </c>
      <c r="I712" s="1271">
        <f>SUM(J706:L706)</f>
        <v>0</v>
      </c>
      <c r="J712" s="3086"/>
      <c r="K712" s="3053"/>
      <c r="L712" s="1285"/>
      <c r="M712" s="1284"/>
      <c r="N712" s="1287"/>
    </row>
    <row r="713" spans="1:14" s="1283" customFormat="1" ht="12.75" customHeight="1" outlineLevel="1">
      <c r="A713" s="3067" t="s">
        <v>3626</v>
      </c>
      <c r="B713" s="3076" t="s">
        <v>3627</v>
      </c>
      <c r="C713" s="3052" t="s">
        <v>3188</v>
      </c>
      <c r="D713" s="1261" t="s">
        <v>8</v>
      </c>
      <c r="E713" s="1271">
        <f t="shared" ref="E713:I718" si="59">SUM(E719,E725)</f>
        <v>187892.8</v>
      </c>
      <c r="F713" s="1272">
        <f t="shared" si="59"/>
        <v>186013.8</v>
      </c>
      <c r="G713" s="1272">
        <f t="shared" si="59"/>
        <v>0</v>
      </c>
      <c r="H713" s="1271">
        <f t="shared" si="59"/>
        <v>1879</v>
      </c>
      <c r="I713" s="1271">
        <f t="shared" si="59"/>
        <v>0</v>
      </c>
      <c r="J713" s="3058" t="s">
        <v>3628</v>
      </c>
      <c r="K713" s="3053" t="s">
        <v>3629</v>
      </c>
      <c r="L713" s="1285"/>
      <c r="M713" s="1284"/>
      <c r="N713" s="1287"/>
    </row>
    <row r="714" spans="1:14" s="1283" customFormat="1" ht="12.75" outlineLevel="1">
      <c r="A714" s="3068"/>
      <c r="B714" s="3077"/>
      <c r="C714" s="3052"/>
      <c r="D714" s="1261">
        <v>2021</v>
      </c>
      <c r="E714" s="1271">
        <f t="shared" si="59"/>
        <v>0</v>
      </c>
      <c r="F714" s="1272">
        <f t="shared" si="59"/>
        <v>0</v>
      </c>
      <c r="G714" s="1272">
        <f t="shared" si="59"/>
        <v>0</v>
      </c>
      <c r="H714" s="1271">
        <f t="shared" si="59"/>
        <v>0</v>
      </c>
      <c r="I714" s="1271">
        <f t="shared" si="59"/>
        <v>0</v>
      </c>
      <c r="J714" s="3058"/>
      <c r="K714" s="3053"/>
      <c r="L714" s="1285"/>
      <c r="M714" s="1284"/>
      <c r="N714" s="1287"/>
    </row>
    <row r="715" spans="1:14" s="1283" customFormat="1" ht="12.75" outlineLevel="1">
      <c r="A715" s="3068"/>
      <c r="B715" s="3077"/>
      <c r="C715" s="3052"/>
      <c r="D715" s="1261">
        <v>2022</v>
      </c>
      <c r="E715" s="1271">
        <f t="shared" si="59"/>
        <v>0</v>
      </c>
      <c r="F715" s="1272">
        <f t="shared" si="59"/>
        <v>0</v>
      </c>
      <c r="G715" s="1272">
        <f t="shared" si="59"/>
        <v>0</v>
      </c>
      <c r="H715" s="1271">
        <f t="shared" si="59"/>
        <v>0</v>
      </c>
      <c r="I715" s="1271">
        <f t="shared" si="59"/>
        <v>0</v>
      </c>
      <c r="J715" s="3058"/>
      <c r="K715" s="3053"/>
      <c r="L715" s="1285"/>
      <c r="M715" s="1284"/>
      <c r="N715" s="1287"/>
    </row>
    <row r="716" spans="1:14" s="1496" customFormat="1" ht="12.75" outlineLevel="1">
      <c r="A716" s="3068"/>
      <c r="B716" s="3077"/>
      <c r="C716" s="3052"/>
      <c r="D716" s="1455">
        <v>2023</v>
      </c>
      <c r="E716" s="1456">
        <f>SUM(E722,E728)</f>
        <v>28290</v>
      </c>
      <c r="F716" s="1457">
        <f>SUM(F722,F728)</f>
        <v>28000</v>
      </c>
      <c r="G716" s="1457">
        <f t="shared" si="59"/>
        <v>0</v>
      </c>
      <c r="H716" s="1456">
        <f t="shared" si="59"/>
        <v>290</v>
      </c>
      <c r="I716" s="1456">
        <f t="shared" si="59"/>
        <v>0</v>
      </c>
      <c r="J716" s="3058"/>
      <c r="K716" s="3053"/>
      <c r="L716" s="1494"/>
      <c r="M716" s="1495"/>
      <c r="N716" s="1498"/>
    </row>
    <row r="717" spans="1:14" s="1283" customFormat="1" ht="12.75" outlineLevel="1">
      <c r="A717" s="3068"/>
      <c r="B717" s="3077"/>
      <c r="C717" s="3052"/>
      <c r="D717" s="1261">
        <v>2024</v>
      </c>
      <c r="E717" s="1271">
        <f t="shared" si="59"/>
        <v>80355</v>
      </c>
      <c r="F717" s="1272">
        <f>SUM(F723,F729)</f>
        <v>79555</v>
      </c>
      <c r="G717" s="1272">
        <f t="shared" si="59"/>
        <v>0</v>
      </c>
      <c r="H717" s="1271">
        <f t="shared" si="59"/>
        <v>800</v>
      </c>
      <c r="I717" s="1271">
        <f t="shared" si="59"/>
        <v>0</v>
      </c>
      <c r="J717" s="3058"/>
      <c r="K717" s="3053"/>
      <c r="L717" s="1285"/>
      <c r="M717" s="1284"/>
      <c r="N717" s="1287"/>
    </row>
    <row r="718" spans="1:14" s="1283" customFormat="1" ht="12.75" outlineLevel="1">
      <c r="A718" s="3069"/>
      <c r="B718" s="3078"/>
      <c r="C718" s="3052"/>
      <c r="D718" s="1261">
        <v>2025</v>
      </c>
      <c r="E718" s="1271">
        <f t="shared" si="59"/>
        <v>79247.8</v>
      </c>
      <c r="F718" s="1272">
        <f t="shared" si="59"/>
        <v>78458.8</v>
      </c>
      <c r="G718" s="1272">
        <f t="shared" si="59"/>
        <v>0</v>
      </c>
      <c r="H718" s="1271">
        <f t="shared" si="59"/>
        <v>789</v>
      </c>
      <c r="I718" s="1271">
        <f t="shared" si="59"/>
        <v>0</v>
      </c>
      <c r="J718" s="3058"/>
      <c r="K718" s="3053"/>
      <c r="L718" s="1285"/>
      <c r="M718" s="1284"/>
      <c r="N718" s="1287"/>
    </row>
    <row r="719" spans="1:14" s="1283" customFormat="1" ht="12.75" customHeight="1" outlineLevel="1">
      <c r="A719" s="3061" t="s">
        <v>3630</v>
      </c>
      <c r="B719" s="3064" t="s">
        <v>3631</v>
      </c>
      <c r="C719" s="3052" t="s">
        <v>3188</v>
      </c>
      <c r="D719" s="1261" t="s">
        <v>8</v>
      </c>
      <c r="E719" s="1271">
        <f t="shared" ref="E719:E730" si="60">SUM(F719:I719)</f>
        <v>138499.6</v>
      </c>
      <c r="F719" s="1272">
        <f>SUM(F720:F724)</f>
        <v>137114.6</v>
      </c>
      <c r="G719" s="1272">
        <f>SUM(G720:G724)</f>
        <v>0</v>
      </c>
      <c r="H719" s="1271">
        <f>SUM(H720:H724)</f>
        <v>1385</v>
      </c>
      <c r="I719" s="1271">
        <f>SUM(I720:I724)</f>
        <v>0</v>
      </c>
      <c r="J719" s="3064" t="s">
        <v>3632</v>
      </c>
      <c r="K719" s="3053" t="s">
        <v>3633</v>
      </c>
      <c r="L719" s="1285"/>
      <c r="M719" s="1284"/>
      <c r="N719" s="1287"/>
    </row>
    <row r="720" spans="1:14" s="1283" customFormat="1" ht="12.75" outlineLevel="1">
      <c r="A720" s="3062"/>
      <c r="B720" s="3065"/>
      <c r="C720" s="3052"/>
      <c r="D720" s="1261">
        <v>2021</v>
      </c>
      <c r="E720" s="1271">
        <f t="shared" si="60"/>
        <v>0</v>
      </c>
      <c r="F720" s="1272">
        <v>0</v>
      </c>
      <c r="G720" s="1272">
        <v>0</v>
      </c>
      <c r="H720" s="1271">
        <v>0</v>
      </c>
      <c r="I720" s="1271">
        <v>0</v>
      </c>
      <c r="J720" s="3065"/>
      <c r="K720" s="3053"/>
      <c r="L720" s="1285"/>
      <c r="M720" s="1288">
        <f>SUM(E719,E725)</f>
        <v>187892.8</v>
      </c>
      <c r="N720" s="1287"/>
    </row>
    <row r="721" spans="1:14" s="1283" customFormat="1" ht="12.75" outlineLevel="1">
      <c r="A721" s="3062"/>
      <c r="B721" s="3065"/>
      <c r="C721" s="3052"/>
      <c r="D721" s="1261">
        <v>2022</v>
      </c>
      <c r="E721" s="1271">
        <f t="shared" si="60"/>
        <v>0</v>
      </c>
      <c r="F721" s="1272">
        <v>0</v>
      </c>
      <c r="G721" s="1272">
        <v>0</v>
      </c>
      <c r="H721" s="1271">
        <v>0</v>
      </c>
      <c r="I721" s="1271">
        <v>0</v>
      </c>
      <c r="J721" s="3065"/>
      <c r="K721" s="3053"/>
      <c r="L721" s="1285"/>
      <c r="M721" s="1284"/>
      <c r="N721" s="1287"/>
    </row>
    <row r="722" spans="1:14" s="1283" customFormat="1" ht="12.75" outlineLevel="1">
      <c r="A722" s="3062"/>
      <c r="B722" s="3065"/>
      <c r="C722" s="3052"/>
      <c r="D722" s="1261">
        <v>2023</v>
      </c>
      <c r="E722" s="1477">
        <f t="shared" si="60"/>
        <v>20666.5</v>
      </c>
      <c r="F722" s="1272">
        <v>20452.7</v>
      </c>
      <c r="G722" s="1272">
        <v>0</v>
      </c>
      <c r="H722" s="1271">
        <v>213.8</v>
      </c>
      <c r="I722" s="1271">
        <v>0</v>
      </c>
      <c r="J722" s="3065"/>
      <c r="K722" s="3053"/>
      <c r="L722" s="1285"/>
      <c r="M722" s="1284"/>
      <c r="N722" s="1287"/>
    </row>
    <row r="723" spans="1:14" s="1283" customFormat="1" ht="12.75" outlineLevel="1">
      <c r="A723" s="3062"/>
      <c r="B723" s="3065"/>
      <c r="C723" s="3052"/>
      <c r="D723" s="1261">
        <v>2024</v>
      </c>
      <c r="E723" s="1271">
        <f t="shared" si="60"/>
        <v>59324.6</v>
      </c>
      <c r="F723" s="1272">
        <v>58734.9</v>
      </c>
      <c r="G723" s="1272">
        <v>0</v>
      </c>
      <c r="H723" s="1271">
        <v>589.70000000000005</v>
      </c>
      <c r="I723" s="1271">
        <v>0</v>
      </c>
      <c r="J723" s="3065"/>
      <c r="K723" s="3053"/>
      <c r="L723" s="1285"/>
      <c r="M723" s="1284"/>
      <c r="N723" s="1287"/>
    </row>
    <row r="724" spans="1:14" s="1283" customFormat="1" ht="12.75" outlineLevel="1">
      <c r="A724" s="3063"/>
      <c r="B724" s="3066"/>
      <c r="C724" s="3052"/>
      <c r="D724" s="1261">
        <v>2025</v>
      </c>
      <c r="E724" s="1271">
        <f t="shared" si="60"/>
        <v>58508.5</v>
      </c>
      <c r="F724" s="1272">
        <v>57927</v>
      </c>
      <c r="G724" s="1272">
        <v>0</v>
      </c>
      <c r="H724" s="1271">
        <v>581.5</v>
      </c>
      <c r="I724" s="1271">
        <v>0</v>
      </c>
      <c r="J724" s="3066"/>
      <c r="K724" s="3053"/>
      <c r="L724" s="1285"/>
      <c r="M724" s="1284"/>
      <c r="N724" s="1287"/>
    </row>
    <row r="725" spans="1:14" s="1283" customFormat="1" ht="12.75" outlineLevel="1">
      <c r="A725" s="3061" t="s">
        <v>3634</v>
      </c>
      <c r="B725" s="3064" t="s">
        <v>3635</v>
      </c>
      <c r="C725" s="3052" t="s">
        <v>3188</v>
      </c>
      <c r="D725" s="1261" t="s">
        <v>8</v>
      </c>
      <c r="E725" s="1271">
        <f t="shared" si="60"/>
        <v>49393.2</v>
      </c>
      <c r="F725" s="1272">
        <f>SUM(F726:F730)</f>
        <v>48899.199999999997</v>
      </c>
      <c r="G725" s="1272">
        <f>SUM(G726:G730)</f>
        <v>0</v>
      </c>
      <c r="H725" s="1271">
        <f>SUM(H726:H730)</f>
        <v>494</v>
      </c>
      <c r="I725" s="1271">
        <f>SUM(I726:I730)</f>
        <v>0</v>
      </c>
      <c r="J725" s="3064" t="s">
        <v>3632</v>
      </c>
      <c r="K725" s="3053" t="s">
        <v>3633</v>
      </c>
      <c r="L725" s="1285"/>
      <c r="M725" s="1284"/>
      <c r="N725" s="1287"/>
    </row>
    <row r="726" spans="1:14" s="1283" customFormat="1" ht="12.75" outlineLevel="1">
      <c r="A726" s="3062"/>
      <c r="B726" s="3065"/>
      <c r="C726" s="3052"/>
      <c r="D726" s="1261">
        <v>2021</v>
      </c>
      <c r="E726" s="1271">
        <f t="shared" si="60"/>
        <v>0</v>
      </c>
      <c r="F726" s="1272">
        <v>0</v>
      </c>
      <c r="G726" s="1272">
        <v>0</v>
      </c>
      <c r="H726" s="1271">
        <v>0</v>
      </c>
      <c r="I726" s="1271">
        <v>0</v>
      </c>
      <c r="J726" s="3065"/>
      <c r="K726" s="3053"/>
      <c r="L726" s="1285"/>
      <c r="M726" s="1284"/>
      <c r="N726" s="1287"/>
    </row>
    <row r="727" spans="1:14" s="1283" customFormat="1" ht="12.75" outlineLevel="1">
      <c r="A727" s="3062"/>
      <c r="B727" s="3065"/>
      <c r="C727" s="3052"/>
      <c r="D727" s="1261">
        <v>2022</v>
      </c>
      <c r="E727" s="1271">
        <f t="shared" si="60"/>
        <v>0</v>
      </c>
      <c r="F727" s="1272">
        <v>0</v>
      </c>
      <c r="G727" s="1272">
        <v>0</v>
      </c>
      <c r="H727" s="1271">
        <v>0</v>
      </c>
      <c r="I727" s="1271">
        <v>0</v>
      </c>
      <c r="J727" s="3065"/>
      <c r="K727" s="3053"/>
      <c r="L727" s="1285"/>
      <c r="M727" s="1288">
        <f>SUM(F728,F722)</f>
        <v>28000</v>
      </c>
      <c r="N727" s="1287"/>
    </row>
    <row r="728" spans="1:14" s="1283" customFormat="1" ht="12.75" outlineLevel="1">
      <c r="A728" s="3062"/>
      <c r="B728" s="3065"/>
      <c r="C728" s="3052"/>
      <c r="D728" s="1261">
        <v>2023</v>
      </c>
      <c r="E728" s="1477">
        <f t="shared" si="60"/>
        <v>7623.5</v>
      </c>
      <c r="F728" s="1272">
        <v>7547.3</v>
      </c>
      <c r="G728" s="1272">
        <v>0</v>
      </c>
      <c r="H728" s="1271">
        <v>76.2</v>
      </c>
      <c r="I728" s="1271">
        <v>0</v>
      </c>
      <c r="J728" s="3065"/>
      <c r="K728" s="3053"/>
      <c r="L728" s="1285"/>
      <c r="M728" s="1284"/>
      <c r="N728" s="1287"/>
    </row>
    <row r="729" spans="1:14" s="1283" customFormat="1" ht="12.75" outlineLevel="1">
      <c r="A729" s="3062"/>
      <c r="B729" s="3065"/>
      <c r="C729" s="3052"/>
      <c r="D729" s="1261">
        <v>2024</v>
      </c>
      <c r="E729" s="1271">
        <f t="shared" si="60"/>
        <v>21030.399999999998</v>
      </c>
      <c r="F729" s="1272">
        <v>20820.099999999999</v>
      </c>
      <c r="G729" s="1272">
        <v>0</v>
      </c>
      <c r="H729" s="1271">
        <v>210.3</v>
      </c>
      <c r="I729" s="1271">
        <v>0</v>
      </c>
      <c r="J729" s="3065"/>
      <c r="K729" s="3053"/>
      <c r="L729" s="1285"/>
      <c r="M729" s="1284"/>
      <c r="N729" s="1287"/>
    </row>
    <row r="730" spans="1:14" s="1283" customFormat="1" ht="12.75" outlineLevel="1">
      <c r="A730" s="3063"/>
      <c r="B730" s="3066"/>
      <c r="C730" s="3052"/>
      <c r="D730" s="1261">
        <v>2025</v>
      </c>
      <c r="E730" s="1271">
        <f t="shared" si="60"/>
        <v>20739.3</v>
      </c>
      <c r="F730" s="1272">
        <v>20531.8</v>
      </c>
      <c r="G730" s="1272">
        <v>0</v>
      </c>
      <c r="H730" s="1271">
        <v>207.5</v>
      </c>
      <c r="I730" s="1271">
        <v>0</v>
      </c>
      <c r="J730" s="3066"/>
      <c r="K730" s="3053"/>
      <c r="L730" s="1285"/>
      <c r="M730" s="1284"/>
      <c r="N730" s="1287"/>
    </row>
    <row r="731" spans="1:14">
      <c r="A731" s="3067" t="s">
        <v>2884</v>
      </c>
      <c r="B731" s="3070" t="s">
        <v>631</v>
      </c>
      <c r="C731" s="3073" t="s">
        <v>2989</v>
      </c>
      <c r="D731" s="1261" t="s">
        <v>8</v>
      </c>
      <c r="E731" s="1265">
        <f t="shared" si="57"/>
        <v>1328210.8980899998</v>
      </c>
      <c r="F731" s="1265">
        <f>SUM(F732:F736)</f>
        <v>735152.66107999999</v>
      </c>
      <c r="G731" s="1265">
        <f>SUM(G732:G736)</f>
        <v>562487.59899999993</v>
      </c>
      <c r="H731" s="1265">
        <f>SUM(H732:H736)</f>
        <v>30570.638009999973</v>
      </c>
      <c r="I731" s="1265">
        <f>SUM(I732:I736)</f>
        <v>0</v>
      </c>
      <c r="J731" s="3058" t="s">
        <v>2822</v>
      </c>
      <c r="K731" s="3058" t="s">
        <v>3005</v>
      </c>
    </row>
    <row r="732" spans="1:14" ht="14.25" customHeight="1">
      <c r="A732" s="3068"/>
      <c r="B732" s="3071"/>
      <c r="C732" s="3074"/>
      <c r="D732" s="1261">
        <v>2021</v>
      </c>
      <c r="E732" s="1265">
        <f t="shared" si="57"/>
        <v>277483.179</v>
      </c>
      <c r="F732" s="1265">
        <f t="shared" ref="F732:I736" si="61">F738+F744+F750+F756</f>
        <v>19160.86</v>
      </c>
      <c r="G732" s="1265">
        <f t="shared" si="61"/>
        <v>257488.69899999999</v>
      </c>
      <c r="H732" s="1265">
        <f t="shared" si="61"/>
        <v>833.61999999999989</v>
      </c>
      <c r="I732" s="1265">
        <f t="shared" si="61"/>
        <v>0</v>
      </c>
      <c r="J732" s="3058"/>
      <c r="K732" s="3058"/>
    </row>
    <row r="733" spans="1:14">
      <c r="A733" s="3068"/>
      <c r="B733" s="3071"/>
      <c r="C733" s="3074"/>
      <c r="D733" s="1261">
        <v>2022</v>
      </c>
      <c r="E733" s="1265">
        <f t="shared" si="57"/>
        <v>684506.5541999999</v>
      </c>
      <c r="F733" s="1265">
        <f t="shared" si="61"/>
        <v>488280.63192999997</v>
      </c>
      <c r="G733" s="1265">
        <f t="shared" si="61"/>
        <v>177607.9</v>
      </c>
      <c r="H733" s="1265">
        <f t="shared" si="61"/>
        <v>18618.022270000001</v>
      </c>
      <c r="I733" s="1265">
        <f t="shared" si="61"/>
        <v>0</v>
      </c>
      <c r="J733" s="3058"/>
      <c r="K733" s="3058"/>
    </row>
    <row r="734" spans="1:14" s="1480" customFormat="1">
      <c r="A734" s="3068"/>
      <c r="B734" s="3071"/>
      <c r="C734" s="3074"/>
      <c r="D734" s="1476">
        <v>2023</v>
      </c>
      <c r="E734" s="1490">
        <f t="shared" si="57"/>
        <v>139473.16488999996</v>
      </c>
      <c r="F734" s="1490">
        <f t="shared" si="61"/>
        <v>11675.569150000007</v>
      </c>
      <c r="G734" s="1490">
        <f t="shared" si="61"/>
        <v>127391</v>
      </c>
      <c r="H734" s="1490">
        <f t="shared" si="61"/>
        <v>406.59573999997519</v>
      </c>
      <c r="I734" s="1490">
        <f t="shared" si="61"/>
        <v>0</v>
      </c>
      <c r="J734" s="3058"/>
      <c r="K734" s="3058"/>
      <c r="L734" s="1481"/>
      <c r="M734" s="1479"/>
    </row>
    <row r="735" spans="1:14">
      <c r="A735" s="3068"/>
      <c r="B735" s="3071"/>
      <c r="C735" s="3074"/>
      <c r="D735" s="1261">
        <v>2024</v>
      </c>
      <c r="E735" s="1265">
        <f t="shared" si="57"/>
        <v>220498</v>
      </c>
      <c r="F735" s="1265">
        <f t="shared" si="61"/>
        <v>209785.60000000001</v>
      </c>
      <c r="G735" s="1265">
        <f t="shared" si="61"/>
        <v>0</v>
      </c>
      <c r="H735" s="1265">
        <f t="shared" si="61"/>
        <v>10712.4</v>
      </c>
      <c r="I735" s="1265">
        <f t="shared" si="61"/>
        <v>0</v>
      </c>
      <c r="J735" s="3058"/>
      <c r="K735" s="3058"/>
    </row>
    <row r="736" spans="1:14">
      <c r="A736" s="3069"/>
      <c r="B736" s="3072"/>
      <c r="C736" s="3075"/>
      <c r="D736" s="1261">
        <v>2025</v>
      </c>
      <c r="E736" s="1265">
        <f t="shared" si="57"/>
        <v>6250</v>
      </c>
      <c r="F736" s="1265">
        <f t="shared" si="61"/>
        <v>6250</v>
      </c>
      <c r="G736" s="1265">
        <f t="shared" si="61"/>
        <v>0</v>
      </c>
      <c r="H736" s="1265">
        <f t="shared" si="61"/>
        <v>0</v>
      </c>
      <c r="I736" s="1265">
        <f t="shared" si="61"/>
        <v>0</v>
      </c>
      <c r="J736" s="3058"/>
      <c r="K736" s="3058"/>
    </row>
    <row r="737" spans="1:13" ht="21" customHeight="1">
      <c r="A737" s="3050" t="s">
        <v>3004</v>
      </c>
      <c r="B737" s="3051" t="s">
        <v>215</v>
      </c>
      <c r="C737" s="3052" t="s">
        <v>2989</v>
      </c>
      <c r="D737" s="1261" t="s">
        <v>8</v>
      </c>
      <c r="E737" s="1271">
        <f t="shared" si="57"/>
        <v>25746.25</v>
      </c>
      <c r="F737" s="1271">
        <f>SUM(F738:F742)</f>
        <v>25746.25</v>
      </c>
      <c r="G737" s="1271">
        <f>SUM(G738:G742)</f>
        <v>0</v>
      </c>
      <c r="H737" s="1271">
        <f>SUM(H738:H742)</f>
        <v>0</v>
      </c>
      <c r="I737" s="1271">
        <f>SUM(I738:I742)</f>
        <v>0</v>
      </c>
      <c r="J737" s="3053" t="s">
        <v>3003</v>
      </c>
      <c r="K737" s="3053" t="s">
        <v>2799</v>
      </c>
      <c r="L737" s="3060" t="s">
        <v>3002</v>
      </c>
    </row>
    <row r="738" spans="1:13" ht="21" customHeight="1">
      <c r="A738" s="3050"/>
      <c r="B738" s="3051"/>
      <c r="C738" s="3052"/>
      <c r="D738" s="1261">
        <v>2021</v>
      </c>
      <c r="E738" s="1271">
        <f t="shared" si="57"/>
        <v>3320.7</v>
      </c>
      <c r="F738" s="1272">
        <v>3320.7</v>
      </c>
      <c r="G738" s="1272">
        <v>0</v>
      </c>
      <c r="H738" s="1272">
        <v>0</v>
      </c>
      <c r="I738" s="1272">
        <v>0</v>
      </c>
      <c r="J738" s="3053"/>
      <c r="K738" s="3053"/>
      <c r="L738" s="3060"/>
    </row>
    <row r="739" spans="1:13" ht="21" customHeight="1">
      <c r="A739" s="3050"/>
      <c r="B739" s="3051"/>
      <c r="C739" s="3052"/>
      <c r="D739" s="1261">
        <v>2022</v>
      </c>
      <c r="E739" s="1271">
        <f t="shared" si="57"/>
        <v>5975.3</v>
      </c>
      <c r="F739" s="1271">
        <v>5975.3</v>
      </c>
      <c r="G739" s="1272">
        <v>0</v>
      </c>
      <c r="H739" s="1272">
        <v>0</v>
      </c>
      <c r="I739" s="1272">
        <v>0</v>
      </c>
      <c r="J739" s="3053"/>
      <c r="K739" s="3053"/>
      <c r="L739" s="3060"/>
    </row>
    <row r="740" spans="1:13" s="1454" customFormat="1" ht="21" customHeight="1">
      <c r="A740" s="3050"/>
      <c r="B740" s="3051"/>
      <c r="C740" s="3052"/>
      <c r="D740" s="1455">
        <v>2023</v>
      </c>
      <c r="E740" s="1468">
        <f t="shared" si="57"/>
        <v>3950.25</v>
      </c>
      <c r="F740" s="1468">
        <f>6250-2299.75</f>
        <v>3950.25</v>
      </c>
      <c r="G740" s="1457">
        <v>0</v>
      </c>
      <c r="H740" s="1457">
        <v>0</v>
      </c>
      <c r="I740" s="1457">
        <v>0</v>
      </c>
      <c r="J740" s="3053"/>
      <c r="K740" s="3053"/>
      <c r="L740" s="3060"/>
      <c r="M740" s="1452"/>
    </row>
    <row r="741" spans="1:13" ht="21" customHeight="1">
      <c r="A741" s="3050"/>
      <c r="B741" s="3051"/>
      <c r="C741" s="3052"/>
      <c r="D741" s="1261">
        <v>2024</v>
      </c>
      <c r="E741" s="1271">
        <f t="shared" si="57"/>
        <v>6250</v>
      </c>
      <c r="F741" s="1271">
        <v>6250</v>
      </c>
      <c r="G741" s="1272">
        <v>0</v>
      </c>
      <c r="H741" s="1272">
        <v>0</v>
      </c>
      <c r="I741" s="1272">
        <v>0</v>
      </c>
      <c r="J741" s="3053"/>
      <c r="K741" s="3053"/>
      <c r="L741" s="3060"/>
    </row>
    <row r="742" spans="1:13" ht="21" customHeight="1">
      <c r="A742" s="3050"/>
      <c r="B742" s="3051"/>
      <c r="C742" s="3052"/>
      <c r="D742" s="1261">
        <v>2025</v>
      </c>
      <c r="E742" s="1271">
        <f t="shared" si="57"/>
        <v>6250</v>
      </c>
      <c r="F742" s="1272">
        <v>6250</v>
      </c>
      <c r="G742" s="1272">
        <v>0</v>
      </c>
      <c r="H742" s="1272">
        <v>0</v>
      </c>
      <c r="I742" s="1272">
        <v>0</v>
      </c>
      <c r="J742" s="3053"/>
      <c r="K742" s="3053"/>
      <c r="L742" s="3060"/>
    </row>
    <row r="743" spans="1:13" ht="20.25" customHeight="1">
      <c r="A743" s="3050" t="s">
        <v>3001</v>
      </c>
      <c r="B743" s="3051" t="s">
        <v>2839</v>
      </c>
      <c r="C743" s="3052" t="s">
        <v>2999</v>
      </c>
      <c r="D743" s="1261" t="s">
        <v>8</v>
      </c>
      <c r="E743" s="1271">
        <f t="shared" si="57"/>
        <v>447152.68754999997</v>
      </c>
      <c r="F743" s="1271">
        <f>SUM(F744:F748)</f>
        <v>316032.67813999997</v>
      </c>
      <c r="G743" s="1271">
        <f>SUM(G744:G748)</f>
        <v>121253.24804000001</v>
      </c>
      <c r="H743" s="1271">
        <f>SUM(H744:H748)</f>
        <v>9866.7613700000002</v>
      </c>
      <c r="I743" s="1271">
        <f>SUM(I744:I748)</f>
        <v>0</v>
      </c>
      <c r="J743" s="3053" t="s">
        <v>3000</v>
      </c>
      <c r="K743" s="3053" t="s">
        <v>2993</v>
      </c>
      <c r="L743" s="3059"/>
    </row>
    <row r="744" spans="1:13" ht="20.25" customHeight="1">
      <c r="A744" s="3050"/>
      <c r="B744" s="3051"/>
      <c r="C744" s="3052"/>
      <c r="D744" s="1261">
        <v>2021</v>
      </c>
      <c r="E744" s="1271">
        <f t="shared" si="57"/>
        <v>94469.148000000001</v>
      </c>
      <c r="F744" s="1272">
        <v>5458.1030000000001</v>
      </c>
      <c r="G744" s="1272">
        <v>88723.845000000001</v>
      </c>
      <c r="H744" s="1272">
        <v>287.2</v>
      </c>
      <c r="I744" s="1272">
        <v>0</v>
      </c>
      <c r="J744" s="3053"/>
      <c r="K744" s="3053"/>
      <c r="L744" s="3059"/>
    </row>
    <row r="745" spans="1:13" ht="20.25" customHeight="1">
      <c r="A745" s="3050"/>
      <c r="B745" s="3051"/>
      <c r="C745" s="3052"/>
      <c r="D745" s="1261">
        <v>2022</v>
      </c>
      <c r="E745" s="1271">
        <f t="shared" si="57"/>
        <v>352683.53954999999</v>
      </c>
      <c r="F745" s="1272">
        <v>310574.57513999997</v>
      </c>
      <c r="G745" s="1272">
        <v>32529.403040000001</v>
      </c>
      <c r="H745" s="1272">
        <v>9579.5613699999994</v>
      </c>
      <c r="I745" s="1272">
        <v>0</v>
      </c>
      <c r="J745" s="3053"/>
      <c r="K745" s="3053"/>
      <c r="L745" s="3059"/>
    </row>
    <row r="746" spans="1:13" ht="20.25" customHeight="1">
      <c r="A746" s="3050"/>
      <c r="B746" s="3051"/>
      <c r="C746" s="3052"/>
      <c r="D746" s="1261">
        <v>2023</v>
      </c>
      <c r="E746" s="1271">
        <f t="shared" si="57"/>
        <v>0</v>
      </c>
      <c r="F746" s="1272">
        <v>0</v>
      </c>
      <c r="G746" s="1272">
        <v>0</v>
      </c>
      <c r="H746" s="1272">
        <v>0</v>
      </c>
      <c r="I746" s="1272">
        <v>0</v>
      </c>
      <c r="J746" s="3053"/>
      <c r="K746" s="3053"/>
      <c r="L746" s="3059"/>
    </row>
    <row r="747" spans="1:13" ht="20.25" customHeight="1">
      <c r="A747" s="3050"/>
      <c r="B747" s="3051"/>
      <c r="C747" s="3052"/>
      <c r="D747" s="1261">
        <v>2024</v>
      </c>
      <c r="E747" s="1271">
        <f t="shared" si="57"/>
        <v>0</v>
      </c>
      <c r="F747" s="1272">
        <v>0</v>
      </c>
      <c r="G747" s="1272">
        <v>0</v>
      </c>
      <c r="H747" s="1272">
        <v>0</v>
      </c>
      <c r="I747" s="1272">
        <v>0</v>
      </c>
      <c r="J747" s="3053"/>
      <c r="K747" s="3053"/>
      <c r="L747" s="3059"/>
    </row>
    <row r="748" spans="1:13" ht="20.25" customHeight="1">
      <c r="A748" s="3050"/>
      <c r="B748" s="3051"/>
      <c r="C748" s="3052"/>
      <c r="D748" s="1261">
        <v>2025</v>
      </c>
      <c r="E748" s="1271">
        <f t="shared" si="57"/>
        <v>0</v>
      </c>
      <c r="F748" s="1280">
        <v>0</v>
      </c>
      <c r="G748" s="1272">
        <v>0</v>
      </c>
      <c r="H748" s="1272">
        <v>0</v>
      </c>
      <c r="I748" s="1272">
        <v>0</v>
      </c>
      <c r="J748" s="3053"/>
      <c r="K748" s="3053"/>
      <c r="L748" s="3059"/>
    </row>
    <row r="749" spans="1:13" ht="15" customHeight="1">
      <c r="A749" s="3050" t="s">
        <v>2886</v>
      </c>
      <c r="B749" s="3051" t="s">
        <v>2841</v>
      </c>
      <c r="C749" s="3052" t="s">
        <v>2999</v>
      </c>
      <c r="D749" s="1261" t="s">
        <v>8</v>
      </c>
      <c r="E749" s="1271">
        <f t="shared" si="57"/>
        <v>508717.68395999999</v>
      </c>
      <c r="F749" s="1271">
        <v>242209.413</v>
      </c>
      <c r="G749" s="1271">
        <v>253746.75095999998</v>
      </c>
      <c r="H749" s="1271">
        <v>12761.52</v>
      </c>
      <c r="I749" s="1271">
        <f>SUM(I750:I754)</f>
        <v>0</v>
      </c>
      <c r="J749" s="3053" t="s">
        <v>2998</v>
      </c>
      <c r="K749" s="3053" t="s">
        <v>2993</v>
      </c>
    </row>
    <row r="750" spans="1:13">
      <c r="A750" s="3050"/>
      <c r="B750" s="3051"/>
      <c r="C750" s="3052"/>
      <c r="D750" s="1261">
        <v>2021</v>
      </c>
      <c r="E750" s="1271">
        <f t="shared" si="57"/>
        <v>179693.33100000001</v>
      </c>
      <c r="F750" s="1272">
        <v>10382.057000000001</v>
      </c>
      <c r="G750" s="1272">
        <v>168764.85399999999</v>
      </c>
      <c r="H750" s="1272">
        <v>546.41999999999996</v>
      </c>
      <c r="I750" s="1272">
        <v>0</v>
      </c>
      <c r="J750" s="3053"/>
      <c r="K750" s="3053"/>
    </row>
    <row r="751" spans="1:13">
      <c r="A751" s="3050"/>
      <c r="B751" s="3051"/>
      <c r="C751" s="3052"/>
      <c r="D751" s="1261">
        <v>2022</v>
      </c>
      <c r="E751" s="1271">
        <f t="shared" si="57"/>
        <v>325847.71465000004</v>
      </c>
      <c r="F751" s="1272">
        <v>171730.75679000001</v>
      </c>
      <c r="G751" s="1272">
        <v>145078.49695999999</v>
      </c>
      <c r="H751" s="1272">
        <v>9038.4609</v>
      </c>
      <c r="I751" s="1272">
        <v>0</v>
      </c>
      <c r="J751" s="3053"/>
      <c r="K751" s="3053"/>
    </row>
    <row r="752" spans="1:13">
      <c r="A752" s="3050"/>
      <c r="B752" s="3051"/>
      <c r="C752" s="3052"/>
      <c r="D752" s="1261">
        <v>2023</v>
      </c>
      <c r="E752" s="1271">
        <f t="shared" si="57"/>
        <v>0</v>
      </c>
      <c r="F752" s="1272">
        <v>0</v>
      </c>
      <c r="G752" s="1272">
        <v>0</v>
      </c>
      <c r="H752" s="1272">
        <v>0</v>
      </c>
      <c r="I752" s="1272">
        <v>0</v>
      </c>
      <c r="J752" s="3053"/>
      <c r="K752" s="3053"/>
    </row>
    <row r="753" spans="1:13">
      <c r="A753" s="3050"/>
      <c r="B753" s="3051"/>
      <c r="C753" s="3052"/>
      <c r="D753" s="1261">
        <v>2024</v>
      </c>
      <c r="E753" s="1271">
        <f t="shared" si="57"/>
        <v>0</v>
      </c>
      <c r="F753" s="1272">
        <v>0</v>
      </c>
      <c r="G753" s="1272">
        <v>0</v>
      </c>
      <c r="H753" s="1272">
        <v>0</v>
      </c>
      <c r="I753" s="1272">
        <v>0</v>
      </c>
      <c r="J753" s="3053"/>
      <c r="K753" s="3053"/>
    </row>
    <row r="754" spans="1:13">
      <c r="A754" s="3050"/>
      <c r="B754" s="3051"/>
      <c r="C754" s="3052"/>
      <c r="D754" s="1261">
        <v>2025</v>
      </c>
      <c r="E754" s="1271">
        <f t="shared" si="57"/>
        <v>0</v>
      </c>
      <c r="F754" s="1280">
        <v>0</v>
      </c>
      <c r="G754" s="1272">
        <v>0</v>
      </c>
      <c r="H754" s="1272">
        <v>0</v>
      </c>
      <c r="I754" s="1272">
        <v>0</v>
      </c>
      <c r="J754" s="3053"/>
      <c r="K754" s="3053"/>
    </row>
    <row r="755" spans="1:13">
      <c r="A755" s="3050" t="s">
        <v>2997</v>
      </c>
      <c r="B755" s="3051" t="s">
        <v>2996</v>
      </c>
      <c r="C755" s="3052" t="s">
        <v>2995</v>
      </c>
      <c r="D755" s="1261" t="s">
        <v>8</v>
      </c>
      <c r="E755" s="1271">
        <f t="shared" si="57"/>
        <v>349770.91488999996</v>
      </c>
      <c r="F755" s="1271">
        <f>SUM(F756:F760)</f>
        <v>211260.91915</v>
      </c>
      <c r="G755" s="1271">
        <f>SUM(G756:G760)</f>
        <v>127391</v>
      </c>
      <c r="H755" s="1271">
        <f>SUM(H756:H760)</f>
        <v>11118.995739999975</v>
      </c>
      <c r="I755" s="1271">
        <f>SUM(I756:I760)</f>
        <v>0</v>
      </c>
      <c r="J755" s="3053" t="s">
        <v>2994</v>
      </c>
      <c r="K755" s="3053" t="s">
        <v>2993</v>
      </c>
    </row>
    <row r="756" spans="1:13">
      <c r="A756" s="3050"/>
      <c r="B756" s="3051"/>
      <c r="C756" s="3052"/>
      <c r="D756" s="1261">
        <v>2021</v>
      </c>
      <c r="E756" s="1271">
        <f t="shared" si="57"/>
        <v>0</v>
      </c>
      <c r="F756" s="1272">
        <v>0</v>
      </c>
      <c r="G756" s="1272">
        <v>0</v>
      </c>
      <c r="H756" s="1289">
        <v>0</v>
      </c>
      <c r="I756" s="1272">
        <v>0</v>
      </c>
      <c r="J756" s="3053"/>
      <c r="K756" s="3053"/>
    </row>
    <row r="757" spans="1:13">
      <c r="A757" s="3050"/>
      <c r="B757" s="3051"/>
      <c r="C757" s="3052"/>
      <c r="D757" s="1261">
        <v>2022</v>
      </c>
      <c r="E757" s="1271">
        <f t="shared" si="57"/>
        <v>0</v>
      </c>
      <c r="F757" s="1272">
        <v>0</v>
      </c>
      <c r="G757" s="1272">
        <v>0</v>
      </c>
      <c r="H757" s="1272">
        <v>0</v>
      </c>
      <c r="I757" s="1272">
        <v>0</v>
      </c>
      <c r="J757" s="3053"/>
      <c r="K757" s="3053"/>
    </row>
    <row r="758" spans="1:13" s="1454" customFormat="1">
      <c r="A758" s="3050"/>
      <c r="B758" s="3051"/>
      <c r="C758" s="3052"/>
      <c r="D758" s="1455">
        <v>2023</v>
      </c>
      <c r="E758" s="1456">
        <f t="shared" si="57"/>
        <v>135522.91488999996</v>
      </c>
      <c r="F758" s="1457">
        <f>(135116319.15-127391000)/1000</f>
        <v>7725.3191500000057</v>
      </c>
      <c r="G758" s="1457">
        <v>127391</v>
      </c>
      <c r="H758" s="1457">
        <f>135522914.89/1000-F758-G758</f>
        <v>406.59573999997519</v>
      </c>
      <c r="I758" s="1457">
        <v>0</v>
      </c>
      <c r="J758" s="3053"/>
      <c r="K758" s="3053"/>
      <c r="L758" s="1451"/>
      <c r="M758" s="1452"/>
    </row>
    <row r="759" spans="1:13">
      <c r="A759" s="3050"/>
      <c r="B759" s="3051"/>
      <c r="C759" s="3052"/>
      <c r="D759" s="1261">
        <v>2024</v>
      </c>
      <c r="E759" s="1271">
        <f t="shared" si="57"/>
        <v>214248</v>
      </c>
      <c r="F759" s="1272">
        <v>203535.6</v>
      </c>
      <c r="G759" s="1272">
        <v>0</v>
      </c>
      <c r="H759" s="1272">
        <v>10712.4</v>
      </c>
      <c r="I759" s="1272">
        <v>0</v>
      </c>
      <c r="J759" s="3053"/>
      <c r="K759" s="3053"/>
    </row>
    <row r="760" spans="1:13">
      <c r="A760" s="3050"/>
      <c r="B760" s="3051"/>
      <c r="C760" s="3052"/>
      <c r="D760" s="1261">
        <v>2025</v>
      </c>
      <c r="E760" s="1271">
        <f t="shared" si="57"/>
        <v>0</v>
      </c>
      <c r="F760" s="1272">
        <v>0</v>
      </c>
      <c r="G760" s="1272">
        <v>0</v>
      </c>
      <c r="H760" s="1272">
        <v>0</v>
      </c>
      <c r="I760" s="1272">
        <v>0</v>
      </c>
      <c r="J760" s="3053"/>
      <c r="K760" s="3053"/>
    </row>
    <row r="761" spans="1:13" ht="15" customHeight="1">
      <c r="A761" s="3054" t="s">
        <v>689</v>
      </c>
      <c r="B761" s="3055" t="s">
        <v>2794</v>
      </c>
      <c r="C761" s="3056" t="s">
        <v>2989</v>
      </c>
      <c r="D761" s="1264" t="s">
        <v>8</v>
      </c>
      <c r="E761" s="1265">
        <f t="shared" si="57"/>
        <v>254013.038</v>
      </c>
      <c r="F761" s="1265">
        <f>SUM(F762:F766)</f>
        <v>254013.038</v>
      </c>
      <c r="G761" s="1270">
        <f>SUM(G762:G766)</f>
        <v>0</v>
      </c>
      <c r="H761" s="1270">
        <f>SUM(H762:H766)</f>
        <v>0</v>
      </c>
      <c r="I761" s="1270">
        <f>SUM(I762:I766)</f>
        <v>0</v>
      </c>
      <c r="J761" s="3057"/>
      <c r="K761" s="3058" t="s">
        <v>2799</v>
      </c>
    </row>
    <row r="762" spans="1:13">
      <c r="A762" s="3054"/>
      <c r="B762" s="3055"/>
      <c r="C762" s="3056"/>
      <c r="D762" s="1264">
        <v>2021</v>
      </c>
      <c r="E762" s="1265">
        <f t="shared" si="57"/>
        <v>40456.699999999997</v>
      </c>
      <c r="F762" s="1270">
        <f t="shared" ref="F762:I766" si="62">F768</f>
        <v>40456.699999999997</v>
      </c>
      <c r="G762" s="1270">
        <f t="shared" si="62"/>
        <v>0</v>
      </c>
      <c r="H762" s="1270">
        <f t="shared" si="62"/>
        <v>0</v>
      </c>
      <c r="I762" s="1270">
        <f t="shared" si="62"/>
        <v>0</v>
      </c>
      <c r="J762" s="3057"/>
      <c r="K762" s="3058"/>
    </row>
    <row r="763" spans="1:13">
      <c r="A763" s="3054"/>
      <c r="B763" s="3055"/>
      <c r="C763" s="3056"/>
      <c r="D763" s="1264">
        <v>2022</v>
      </c>
      <c r="E763" s="1265">
        <f t="shared" si="57"/>
        <v>50867.625999999997</v>
      </c>
      <c r="F763" s="1270">
        <f t="shared" si="62"/>
        <v>50867.625999999997</v>
      </c>
      <c r="G763" s="1270">
        <f t="shared" si="62"/>
        <v>0</v>
      </c>
      <c r="H763" s="1270">
        <f t="shared" si="62"/>
        <v>0</v>
      </c>
      <c r="I763" s="1270">
        <f t="shared" si="62"/>
        <v>0</v>
      </c>
      <c r="J763" s="3057"/>
      <c r="K763" s="3058"/>
    </row>
    <row r="764" spans="1:13" s="1475" customFormat="1">
      <c r="A764" s="3054"/>
      <c r="B764" s="3055"/>
      <c r="C764" s="3056"/>
      <c r="D764" s="1472">
        <v>2023</v>
      </c>
      <c r="E764" s="1473">
        <f t="shared" si="57"/>
        <v>54125.195</v>
      </c>
      <c r="F764" s="1499">
        <f t="shared" si="62"/>
        <v>54125.195</v>
      </c>
      <c r="G764" s="1499">
        <f t="shared" si="62"/>
        <v>0</v>
      </c>
      <c r="H764" s="1499">
        <f t="shared" si="62"/>
        <v>0</v>
      </c>
      <c r="I764" s="1499">
        <f t="shared" si="62"/>
        <v>0</v>
      </c>
      <c r="J764" s="3057"/>
      <c r="K764" s="3058"/>
      <c r="L764" s="1500"/>
      <c r="M764" s="1474"/>
    </row>
    <row r="765" spans="1:13">
      <c r="A765" s="3054"/>
      <c r="B765" s="3055"/>
      <c r="C765" s="3056"/>
      <c r="D765" s="1264">
        <v>2024</v>
      </c>
      <c r="E765" s="1265">
        <f t="shared" si="57"/>
        <v>54249.398000000001</v>
      </c>
      <c r="F765" s="1270">
        <f t="shared" si="62"/>
        <v>54249.398000000001</v>
      </c>
      <c r="G765" s="1270">
        <f t="shared" si="62"/>
        <v>0</v>
      </c>
      <c r="H765" s="1270">
        <f t="shared" si="62"/>
        <v>0</v>
      </c>
      <c r="I765" s="1270">
        <f t="shared" si="62"/>
        <v>0</v>
      </c>
      <c r="J765" s="3057"/>
      <c r="K765" s="3058"/>
    </row>
    <row r="766" spans="1:13" ht="19.5" customHeight="1">
      <c r="A766" s="3054"/>
      <c r="B766" s="3055"/>
      <c r="C766" s="3056"/>
      <c r="D766" s="1264">
        <v>2025</v>
      </c>
      <c r="E766" s="1265">
        <f t="shared" si="57"/>
        <v>54314.118999999999</v>
      </c>
      <c r="F766" s="1270">
        <f t="shared" si="62"/>
        <v>54314.118999999999</v>
      </c>
      <c r="G766" s="1270">
        <f t="shared" si="62"/>
        <v>0</v>
      </c>
      <c r="H766" s="1270">
        <f t="shared" si="62"/>
        <v>0</v>
      </c>
      <c r="I766" s="1270">
        <f t="shared" si="62"/>
        <v>0</v>
      </c>
      <c r="J766" s="3057"/>
      <c r="K766" s="3058"/>
    </row>
    <row r="767" spans="1:13">
      <c r="A767" s="3054" t="s">
        <v>2992</v>
      </c>
      <c r="B767" s="3055" t="s">
        <v>132</v>
      </c>
      <c r="C767" s="3056" t="s">
        <v>2989</v>
      </c>
      <c r="D767" s="1264" t="s">
        <v>8</v>
      </c>
      <c r="E767" s="1265">
        <f t="shared" si="57"/>
        <v>254013.038</v>
      </c>
      <c r="F767" s="1265">
        <f>SUM(F768:F772)</f>
        <v>254013.038</v>
      </c>
      <c r="G767" s="1265">
        <f>SUM(G768:G772)</f>
        <v>0</v>
      </c>
      <c r="H767" s="1265">
        <f>SUM(H768:H772)</f>
        <v>0</v>
      </c>
      <c r="I767" s="1265">
        <f>SUM(I768:I772)</f>
        <v>0</v>
      </c>
      <c r="J767" s="3058" t="s">
        <v>2991</v>
      </c>
      <c r="K767" s="3058" t="s">
        <v>2799</v>
      </c>
    </row>
    <row r="768" spans="1:13">
      <c r="A768" s="3054"/>
      <c r="B768" s="3055"/>
      <c r="C768" s="3056"/>
      <c r="D768" s="1264">
        <v>2021</v>
      </c>
      <c r="E768" s="1265">
        <f t="shared" ref="E768:E778" si="63">SUM(F768:I768)</f>
        <v>40456.699999999997</v>
      </c>
      <c r="F768" s="1270">
        <f t="shared" ref="F768:I772" si="64">F774</f>
        <v>40456.699999999997</v>
      </c>
      <c r="G768" s="1270">
        <f t="shared" si="64"/>
        <v>0</v>
      </c>
      <c r="H768" s="1270">
        <f t="shared" si="64"/>
        <v>0</v>
      </c>
      <c r="I768" s="1270">
        <f t="shared" si="64"/>
        <v>0</v>
      </c>
      <c r="J768" s="3058"/>
      <c r="K768" s="3058"/>
    </row>
    <row r="769" spans="1:13" s="1258" customFormat="1">
      <c r="A769" s="3054"/>
      <c r="B769" s="3055"/>
      <c r="C769" s="3056"/>
      <c r="D769" s="1264">
        <v>2022</v>
      </c>
      <c r="E769" s="1265">
        <f t="shared" si="63"/>
        <v>50867.625999999997</v>
      </c>
      <c r="F769" s="1270">
        <f t="shared" si="64"/>
        <v>50867.625999999997</v>
      </c>
      <c r="G769" s="1270">
        <f t="shared" si="64"/>
        <v>0</v>
      </c>
      <c r="H769" s="1270">
        <f t="shared" si="64"/>
        <v>0</v>
      </c>
      <c r="I769" s="1270">
        <f t="shared" si="64"/>
        <v>0</v>
      </c>
      <c r="J769" s="3058"/>
      <c r="K769" s="3058"/>
      <c r="M769" s="1259"/>
    </row>
    <row r="770" spans="1:13" s="1481" customFormat="1">
      <c r="A770" s="3054"/>
      <c r="B770" s="3055"/>
      <c r="C770" s="3056"/>
      <c r="D770" s="1489">
        <v>2023</v>
      </c>
      <c r="E770" s="1490">
        <f t="shared" si="63"/>
        <v>54125.195</v>
      </c>
      <c r="F770" s="1501">
        <f t="shared" si="64"/>
        <v>54125.195</v>
      </c>
      <c r="G770" s="1501">
        <f t="shared" si="64"/>
        <v>0</v>
      </c>
      <c r="H770" s="1501">
        <f t="shared" si="64"/>
        <v>0</v>
      </c>
      <c r="I770" s="1501">
        <f t="shared" si="64"/>
        <v>0</v>
      </c>
      <c r="J770" s="3058"/>
      <c r="K770" s="3058"/>
      <c r="M770" s="1479"/>
    </row>
    <row r="771" spans="1:13" s="1258" customFormat="1">
      <c r="A771" s="3054"/>
      <c r="B771" s="3055"/>
      <c r="C771" s="3056"/>
      <c r="D771" s="1264">
        <v>2024</v>
      </c>
      <c r="E771" s="1265">
        <f t="shared" si="63"/>
        <v>54249.398000000001</v>
      </c>
      <c r="F771" s="1270">
        <f t="shared" si="64"/>
        <v>54249.398000000001</v>
      </c>
      <c r="G771" s="1270">
        <f t="shared" si="64"/>
        <v>0</v>
      </c>
      <c r="H771" s="1270">
        <f t="shared" si="64"/>
        <v>0</v>
      </c>
      <c r="I771" s="1270">
        <f t="shared" si="64"/>
        <v>0</v>
      </c>
      <c r="J771" s="3058"/>
      <c r="K771" s="3058"/>
      <c r="M771" s="1259"/>
    </row>
    <row r="772" spans="1:13" s="1258" customFormat="1">
      <c r="A772" s="3054"/>
      <c r="B772" s="3055"/>
      <c r="C772" s="3056"/>
      <c r="D772" s="1264">
        <v>2025</v>
      </c>
      <c r="E772" s="1265">
        <f t="shared" si="63"/>
        <v>54314.118999999999</v>
      </c>
      <c r="F772" s="1270">
        <f t="shared" si="64"/>
        <v>54314.118999999999</v>
      </c>
      <c r="G772" s="1270">
        <f>G778</f>
        <v>0</v>
      </c>
      <c r="H772" s="1270">
        <f>H778</f>
        <v>0</v>
      </c>
      <c r="I772" s="1270">
        <f>I778</f>
        <v>0</v>
      </c>
      <c r="J772" s="3058"/>
      <c r="K772" s="3058"/>
      <c r="M772" s="1259"/>
    </row>
    <row r="773" spans="1:13" s="1258" customFormat="1">
      <c r="A773" s="3050" t="s">
        <v>2990</v>
      </c>
      <c r="B773" s="3051" t="s">
        <v>2843</v>
      </c>
      <c r="C773" s="3052" t="s">
        <v>2989</v>
      </c>
      <c r="D773" s="1261" t="s">
        <v>8</v>
      </c>
      <c r="E773" s="1271">
        <f t="shared" si="63"/>
        <v>254013.038</v>
      </c>
      <c r="F773" s="1271">
        <f>SUM(F774:F778)</f>
        <v>254013.038</v>
      </c>
      <c r="G773" s="1272">
        <f>SUM(G774:G778)</f>
        <v>0</v>
      </c>
      <c r="H773" s="1272">
        <f>SUM(H774:H778)</f>
        <v>0</v>
      </c>
      <c r="I773" s="1272">
        <f>SUM(I774:I778)</f>
        <v>0</v>
      </c>
      <c r="J773" s="3053" t="s">
        <v>2842</v>
      </c>
      <c r="K773" s="3053" t="s">
        <v>2799</v>
      </c>
      <c r="M773" s="1259"/>
    </row>
    <row r="774" spans="1:13" s="1258" customFormat="1">
      <c r="A774" s="3050"/>
      <c r="B774" s="3051"/>
      <c r="C774" s="3052"/>
      <c r="D774" s="1261">
        <v>2021</v>
      </c>
      <c r="E774" s="1271">
        <f t="shared" si="63"/>
        <v>40456.699999999997</v>
      </c>
      <c r="F774" s="1272">
        <v>40456.699999999997</v>
      </c>
      <c r="G774" s="1272">
        <v>0</v>
      </c>
      <c r="H774" s="1272">
        <v>0</v>
      </c>
      <c r="I774" s="1272">
        <v>0</v>
      </c>
      <c r="J774" s="3053"/>
      <c r="K774" s="3053"/>
      <c r="M774" s="1259"/>
    </row>
    <row r="775" spans="1:13" s="1258" customFormat="1">
      <c r="A775" s="3050"/>
      <c r="B775" s="3051"/>
      <c r="C775" s="3052"/>
      <c r="D775" s="1261">
        <v>2022</v>
      </c>
      <c r="E775" s="1271">
        <f t="shared" si="63"/>
        <v>50867.625999999997</v>
      </c>
      <c r="F775" s="1272">
        <v>50867.625999999997</v>
      </c>
      <c r="G775" s="1272">
        <v>0</v>
      </c>
      <c r="H775" s="1272">
        <v>0</v>
      </c>
      <c r="I775" s="1272">
        <v>0</v>
      </c>
      <c r="J775" s="3053"/>
      <c r="K775" s="3053"/>
      <c r="M775" s="1259"/>
    </row>
    <row r="776" spans="1:13" s="1258" customFormat="1">
      <c r="A776" s="3050"/>
      <c r="B776" s="3051"/>
      <c r="C776" s="3052"/>
      <c r="D776" s="1261">
        <v>2023</v>
      </c>
      <c r="E776" s="1271">
        <f t="shared" si="63"/>
        <v>54125.195</v>
      </c>
      <c r="F776" s="1272">
        <v>54125.195</v>
      </c>
      <c r="G776" s="1272">
        <v>0</v>
      </c>
      <c r="H776" s="1272">
        <v>0</v>
      </c>
      <c r="I776" s="1272">
        <v>0</v>
      </c>
      <c r="J776" s="3053"/>
      <c r="K776" s="3053"/>
      <c r="M776" s="1259"/>
    </row>
    <row r="777" spans="1:13" s="1258" customFormat="1">
      <c r="A777" s="3050"/>
      <c r="B777" s="3051"/>
      <c r="C777" s="3052"/>
      <c r="D777" s="1261">
        <v>2024</v>
      </c>
      <c r="E777" s="1271">
        <f t="shared" si="63"/>
        <v>54249.398000000001</v>
      </c>
      <c r="F777" s="1272">
        <v>54249.398000000001</v>
      </c>
      <c r="G777" s="1272">
        <v>0</v>
      </c>
      <c r="H777" s="1272">
        <v>0</v>
      </c>
      <c r="I777" s="1272">
        <v>0</v>
      </c>
      <c r="J777" s="3053"/>
      <c r="K777" s="3053"/>
      <c r="M777" s="1259"/>
    </row>
    <row r="778" spans="1:13" s="1258" customFormat="1">
      <c r="A778" s="3050"/>
      <c r="B778" s="3051"/>
      <c r="C778" s="3052"/>
      <c r="D778" s="1261">
        <v>2025</v>
      </c>
      <c r="E778" s="1271">
        <f t="shared" si="63"/>
        <v>54314.118999999999</v>
      </c>
      <c r="F778" s="1272">
        <v>54314.118999999999</v>
      </c>
      <c r="G778" s="1272">
        <v>0</v>
      </c>
      <c r="H778" s="1272">
        <v>0</v>
      </c>
      <c r="I778" s="1272">
        <v>0</v>
      </c>
      <c r="J778" s="3053"/>
      <c r="K778" s="3053"/>
      <c r="M778" s="1259"/>
    </row>
    <row r="779" spans="1:13" s="1258" customFormat="1">
      <c r="A779" s="1290"/>
      <c r="B779" s="1291"/>
      <c r="C779" s="1292"/>
      <c r="D779" s="1292"/>
      <c r="E779" s="1293"/>
      <c r="F779" s="1294"/>
      <c r="G779" s="1294"/>
      <c r="H779" s="1294"/>
      <c r="I779" s="1294"/>
      <c r="J779" s="1295"/>
      <c r="K779" s="1295"/>
      <c r="M779" s="1259"/>
    </row>
    <row r="780" spans="1:13">
      <c r="A780" s="1296" t="s">
        <v>3636</v>
      </c>
    </row>
  </sheetData>
  <autoFilter ref="A4:L778"/>
  <mergeCells count="666">
    <mergeCell ref="A1:K2"/>
    <mergeCell ref="A3:A4"/>
    <mergeCell ref="B3:B4"/>
    <mergeCell ref="C3:C4"/>
    <mergeCell ref="D3:I3"/>
    <mergeCell ref="J3:J4"/>
    <mergeCell ref="K3:K4"/>
    <mergeCell ref="A5:A10"/>
    <mergeCell ref="B5:B10"/>
    <mergeCell ref="C5:C10"/>
    <mergeCell ref="J5:J10"/>
    <mergeCell ref="K5:K10"/>
    <mergeCell ref="A11:A16"/>
    <mergeCell ref="B11:B16"/>
    <mergeCell ref="C11:C16"/>
    <mergeCell ref="J11:J16"/>
    <mergeCell ref="K11:K16"/>
    <mergeCell ref="L23:L28"/>
    <mergeCell ref="A29:A34"/>
    <mergeCell ref="B29:B34"/>
    <mergeCell ref="C29:C34"/>
    <mergeCell ref="J29:J34"/>
    <mergeCell ref="K29:K34"/>
    <mergeCell ref="L29:L34"/>
    <mergeCell ref="A17:A22"/>
    <mergeCell ref="B17:B22"/>
    <mergeCell ref="C17:C22"/>
    <mergeCell ref="J17:J22"/>
    <mergeCell ref="K17:K22"/>
    <mergeCell ref="A23:A28"/>
    <mergeCell ref="B23:B28"/>
    <mergeCell ref="C23:C28"/>
    <mergeCell ref="J23:J28"/>
    <mergeCell ref="K23:K28"/>
    <mergeCell ref="L41:L46"/>
    <mergeCell ref="A47:A52"/>
    <mergeCell ref="B47:B52"/>
    <mergeCell ref="C47:C52"/>
    <mergeCell ref="J47:J52"/>
    <mergeCell ref="K47:K52"/>
    <mergeCell ref="A35:A40"/>
    <mergeCell ref="B35:B40"/>
    <mergeCell ref="C35:C40"/>
    <mergeCell ref="J35:J40"/>
    <mergeCell ref="K35:K40"/>
    <mergeCell ref="A41:A46"/>
    <mergeCell ref="B41:B46"/>
    <mergeCell ref="C41:C46"/>
    <mergeCell ref="J41:J46"/>
    <mergeCell ref="K41:K46"/>
    <mergeCell ref="A53:A58"/>
    <mergeCell ref="B53:B58"/>
    <mergeCell ref="C53:C58"/>
    <mergeCell ref="J53:J58"/>
    <mergeCell ref="K53:K58"/>
    <mergeCell ref="A59:A64"/>
    <mergeCell ref="B59:B64"/>
    <mergeCell ref="C59:C64"/>
    <mergeCell ref="J59:J64"/>
    <mergeCell ref="K59:K64"/>
    <mergeCell ref="A65:A70"/>
    <mergeCell ref="B65:B70"/>
    <mergeCell ref="C65:C70"/>
    <mergeCell ref="J65:J70"/>
    <mergeCell ref="K65:K70"/>
    <mergeCell ref="A71:A76"/>
    <mergeCell ref="B71:B76"/>
    <mergeCell ref="C71:C76"/>
    <mergeCell ref="J71:J76"/>
    <mergeCell ref="K71:K76"/>
    <mergeCell ref="A77:A82"/>
    <mergeCell ref="B77:B82"/>
    <mergeCell ref="C77:C82"/>
    <mergeCell ref="J77:J82"/>
    <mergeCell ref="K77:K82"/>
    <mergeCell ref="A83:A88"/>
    <mergeCell ref="B83:B88"/>
    <mergeCell ref="C83:C88"/>
    <mergeCell ref="J83:J88"/>
    <mergeCell ref="K83:K88"/>
    <mergeCell ref="A89:A94"/>
    <mergeCell ref="B89:B94"/>
    <mergeCell ref="C89:C94"/>
    <mergeCell ref="J89:J94"/>
    <mergeCell ref="K89:K94"/>
    <mergeCell ref="A95:A100"/>
    <mergeCell ref="B95:B100"/>
    <mergeCell ref="C95:C100"/>
    <mergeCell ref="J95:J100"/>
    <mergeCell ref="K95:K100"/>
    <mergeCell ref="A101:A106"/>
    <mergeCell ref="B101:B106"/>
    <mergeCell ref="C101:C106"/>
    <mergeCell ref="J101:J106"/>
    <mergeCell ref="K101:K106"/>
    <mergeCell ref="A107:A112"/>
    <mergeCell ref="B107:B112"/>
    <mergeCell ref="C107:C112"/>
    <mergeCell ref="J107:J112"/>
    <mergeCell ref="K107:K112"/>
    <mergeCell ref="A113:A118"/>
    <mergeCell ref="B113:B118"/>
    <mergeCell ref="C113:C118"/>
    <mergeCell ref="J113:J118"/>
    <mergeCell ref="K113:K118"/>
    <mergeCell ref="A119:A124"/>
    <mergeCell ref="B119:B124"/>
    <mergeCell ref="C119:C124"/>
    <mergeCell ref="J119:J124"/>
    <mergeCell ref="K119:K124"/>
    <mergeCell ref="A125:A130"/>
    <mergeCell ref="B125:B130"/>
    <mergeCell ref="C125:C130"/>
    <mergeCell ref="J125:J130"/>
    <mergeCell ref="K125:K130"/>
    <mergeCell ref="A131:A136"/>
    <mergeCell ref="B131:B136"/>
    <mergeCell ref="C131:C136"/>
    <mergeCell ref="J131:J136"/>
    <mergeCell ref="K131:K136"/>
    <mergeCell ref="A137:A142"/>
    <mergeCell ref="B137:B142"/>
    <mergeCell ref="C137:C142"/>
    <mergeCell ref="J137:J142"/>
    <mergeCell ref="K137:K142"/>
    <mergeCell ref="A143:A148"/>
    <mergeCell ref="B143:B148"/>
    <mergeCell ref="C143:C148"/>
    <mergeCell ref="J143:J148"/>
    <mergeCell ref="K143:K148"/>
    <mergeCell ref="L155:L160"/>
    <mergeCell ref="A161:A166"/>
    <mergeCell ref="B161:B166"/>
    <mergeCell ref="C161:C166"/>
    <mergeCell ref="J161:J166"/>
    <mergeCell ref="K161:K166"/>
    <mergeCell ref="A149:A154"/>
    <mergeCell ref="B149:B154"/>
    <mergeCell ref="C149:C154"/>
    <mergeCell ref="J149:J154"/>
    <mergeCell ref="K149:K154"/>
    <mergeCell ref="A155:A160"/>
    <mergeCell ref="B155:B160"/>
    <mergeCell ref="C155:C160"/>
    <mergeCell ref="J155:J160"/>
    <mergeCell ref="K155:K160"/>
    <mergeCell ref="A167:A172"/>
    <mergeCell ref="B167:B172"/>
    <mergeCell ref="C167:C172"/>
    <mergeCell ref="J167:J172"/>
    <mergeCell ref="K167:K172"/>
    <mergeCell ref="A173:A178"/>
    <mergeCell ref="B173:B178"/>
    <mergeCell ref="C173:C178"/>
    <mergeCell ref="J173:J178"/>
    <mergeCell ref="K173:K178"/>
    <mergeCell ref="A185:A190"/>
    <mergeCell ref="B185:B190"/>
    <mergeCell ref="C185:C190"/>
    <mergeCell ref="J185:J190"/>
    <mergeCell ref="K185:K190"/>
    <mergeCell ref="L185:L190"/>
    <mergeCell ref="A179:A184"/>
    <mergeCell ref="B179:B184"/>
    <mergeCell ref="C179:C184"/>
    <mergeCell ref="J179:J184"/>
    <mergeCell ref="K179:K184"/>
    <mergeCell ref="L179:L184"/>
    <mergeCell ref="A191:A196"/>
    <mergeCell ref="B191:B196"/>
    <mergeCell ref="C191:C196"/>
    <mergeCell ref="J191:J196"/>
    <mergeCell ref="K191:K196"/>
    <mergeCell ref="A197:A202"/>
    <mergeCell ref="B197:B202"/>
    <mergeCell ref="C197:C202"/>
    <mergeCell ref="J197:J202"/>
    <mergeCell ref="K197:K202"/>
    <mergeCell ref="A203:A208"/>
    <mergeCell ref="B203:B208"/>
    <mergeCell ref="C203:C208"/>
    <mergeCell ref="J203:J208"/>
    <mergeCell ref="K203:K208"/>
    <mergeCell ref="A209:A214"/>
    <mergeCell ref="B209:B214"/>
    <mergeCell ref="C209:C214"/>
    <mergeCell ref="J209:J214"/>
    <mergeCell ref="K209:K214"/>
    <mergeCell ref="A215:A220"/>
    <mergeCell ref="B215:B220"/>
    <mergeCell ref="C215:C220"/>
    <mergeCell ref="J215:J220"/>
    <mergeCell ref="K215:K220"/>
    <mergeCell ref="A221:A226"/>
    <mergeCell ref="B221:B226"/>
    <mergeCell ref="C221:C226"/>
    <mergeCell ref="J221:J226"/>
    <mergeCell ref="K221:K226"/>
    <mergeCell ref="A227:A232"/>
    <mergeCell ref="B227:B232"/>
    <mergeCell ref="C227:C232"/>
    <mergeCell ref="J227:J232"/>
    <mergeCell ref="K227:K232"/>
    <mergeCell ref="A233:A238"/>
    <mergeCell ref="B233:B238"/>
    <mergeCell ref="C233:C238"/>
    <mergeCell ref="J233:J238"/>
    <mergeCell ref="K233:K238"/>
    <mergeCell ref="A239:A244"/>
    <mergeCell ref="B239:B244"/>
    <mergeCell ref="C239:C244"/>
    <mergeCell ref="J239:J244"/>
    <mergeCell ref="K239:K244"/>
    <mergeCell ref="A245:A250"/>
    <mergeCell ref="B245:B250"/>
    <mergeCell ref="C245:C250"/>
    <mergeCell ref="J245:J250"/>
    <mergeCell ref="K245:K250"/>
    <mergeCell ref="A251:A256"/>
    <mergeCell ref="B251:B256"/>
    <mergeCell ref="C251:C256"/>
    <mergeCell ref="J251:J256"/>
    <mergeCell ref="K251:K256"/>
    <mergeCell ref="A257:A262"/>
    <mergeCell ref="B257:B262"/>
    <mergeCell ref="C257:C262"/>
    <mergeCell ref="J257:J262"/>
    <mergeCell ref="K257:K262"/>
    <mergeCell ref="A263:A268"/>
    <mergeCell ref="B263:B268"/>
    <mergeCell ref="C263:C268"/>
    <mergeCell ref="J263:J268"/>
    <mergeCell ref="K263:K268"/>
    <mergeCell ref="A269:A274"/>
    <mergeCell ref="B269:B274"/>
    <mergeCell ref="C269:C274"/>
    <mergeCell ref="J269:J274"/>
    <mergeCell ref="K269:K274"/>
    <mergeCell ref="A275:A280"/>
    <mergeCell ref="B275:B280"/>
    <mergeCell ref="C275:C280"/>
    <mergeCell ref="J275:J280"/>
    <mergeCell ref="K275:K280"/>
    <mergeCell ref="A281:A286"/>
    <mergeCell ref="B281:B286"/>
    <mergeCell ref="C281:C286"/>
    <mergeCell ref="J281:J286"/>
    <mergeCell ref="K281:K286"/>
    <mergeCell ref="A287:A292"/>
    <mergeCell ref="B287:B292"/>
    <mergeCell ref="C287:C292"/>
    <mergeCell ref="J287:J292"/>
    <mergeCell ref="K287:K292"/>
    <mergeCell ref="A293:A298"/>
    <mergeCell ref="B293:B298"/>
    <mergeCell ref="C293:C298"/>
    <mergeCell ref="J293:J298"/>
    <mergeCell ref="K293:K298"/>
    <mergeCell ref="A299:A304"/>
    <mergeCell ref="B299:B304"/>
    <mergeCell ref="C299:C304"/>
    <mergeCell ref="J299:J304"/>
    <mergeCell ref="K299:K304"/>
    <mergeCell ref="A305:A310"/>
    <mergeCell ref="B305:B310"/>
    <mergeCell ref="C305:C310"/>
    <mergeCell ref="J305:J310"/>
    <mergeCell ref="K305:K310"/>
    <mergeCell ref="A311:A316"/>
    <mergeCell ref="B311:B316"/>
    <mergeCell ref="C311:C316"/>
    <mergeCell ref="J311:J316"/>
    <mergeCell ref="K311:K316"/>
    <mergeCell ref="A317:A322"/>
    <mergeCell ref="B317:B322"/>
    <mergeCell ref="C317:C322"/>
    <mergeCell ref="J317:J322"/>
    <mergeCell ref="K317:K322"/>
    <mergeCell ref="A323:A328"/>
    <mergeCell ref="B323:B328"/>
    <mergeCell ref="C323:C328"/>
    <mergeCell ref="J323:J328"/>
    <mergeCell ref="K323:K328"/>
    <mergeCell ref="A329:A334"/>
    <mergeCell ref="B329:B334"/>
    <mergeCell ref="C329:C334"/>
    <mergeCell ref="J329:J334"/>
    <mergeCell ref="K329:K334"/>
    <mergeCell ref="A335:A340"/>
    <mergeCell ref="B335:B340"/>
    <mergeCell ref="C335:C340"/>
    <mergeCell ref="J335:J340"/>
    <mergeCell ref="K335:K340"/>
    <mergeCell ref="A341:A346"/>
    <mergeCell ref="B341:B346"/>
    <mergeCell ref="C341:C346"/>
    <mergeCell ref="J341:J346"/>
    <mergeCell ref="K341:K346"/>
    <mergeCell ref="A347:A352"/>
    <mergeCell ref="B347:B352"/>
    <mergeCell ref="C347:C352"/>
    <mergeCell ref="J347:J352"/>
    <mergeCell ref="K347:K352"/>
    <mergeCell ref="A353:A358"/>
    <mergeCell ref="B353:B358"/>
    <mergeCell ref="C353:C358"/>
    <mergeCell ref="J353:J358"/>
    <mergeCell ref="K353:K358"/>
    <mergeCell ref="A359:A364"/>
    <mergeCell ref="B359:B364"/>
    <mergeCell ref="C359:C364"/>
    <mergeCell ref="J359:J364"/>
    <mergeCell ref="K359:K364"/>
    <mergeCell ref="A365:A370"/>
    <mergeCell ref="B365:B370"/>
    <mergeCell ref="C365:C370"/>
    <mergeCell ref="J365:J370"/>
    <mergeCell ref="K365:K370"/>
    <mergeCell ref="A371:A376"/>
    <mergeCell ref="B371:B376"/>
    <mergeCell ref="C371:C376"/>
    <mergeCell ref="J371:J376"/>
    <mergeCell ref="K371:K376"/>
    <mergeCell ref="A377:A382"/>
    <mergeCell ref="B377:B382"/>
    <mergeCell ref="C377:C382"/>
    <mergeCell ref="J377:J382"/>
    <mergeCell ref="K377:K382"/>
    <mergeCell ref="A383:A388"/>
    <mergeCell ref="B383:B388"/>
    <mergeCell ref="C383:C388"/>
    <mergeCell ref="J383:J388"/>
    <mergeCell ref="K383:K388"/>
    <mergeCell ref="A389:A394"/>
    <mergeCell ref="B389:B394"/>
    <mergeCell ref="C389:C394"/>
    <mergeCell ref="J389:J394"/>
    <mergeCell ref="K389:K394"/>
    <mergeCell ref="A401:A406"/>
    <mergeCell ref="B401:B406"/>
    <mergeCell ref="C401:C406"/>
    <mergeCell ref="J401:J406"/>
    <mergeCell ref="K401:K406"/>
    <mergeCell ref="L401:L406"/>
    <mergeCell ref="L389:L394"/>
    <mergeCell ref="A395:A400"/>
    <mergeCell ref="B395:B400"/>
    <mergeCell ref="C395:C400"/>
    <mergeCell ref="J395:J400"/>
    <mergeCell ref="K395:K400"/>
    <mergeCell ref="L395:L400"/>
    <mergeCell ref="A407:A412"/>
    <mergeCell ref="B407:B412"/>
    <mergeCell ref="C407:C412"/>
    <mergeCell ref="J407:J412"/>
    <mergeCell ref="K407:K412"/>
    <mergeCell ref="A413:A418"/>
    <mergeCell ref="B413:B418"/>
    <mergeCell ref="C413:C418"/>
    <mergeCell ref="J413:J418"/>
    <mergeCell ref="K413:K418"/>
    <mergeCell ref="A431:A436"/>
    <mergeCell ref="B431:B436"/>
    <mergeCell ref="C431:C436"/>
    <mergeCell ref="J431:J436"/>
    <mergeCell ref="K431:K436"/>
    <mergeCell ref="L431:L436"/>
    <mergeCell ref="A419:A424"/>
    <mergeCell ref="B419:B424"/>
    <mergeCell ref="C419:C424"/>
    <mergeCell ref="J419:J424"/>
    <mergeCell ref="K419:K424"/>
    <mergeCell ref="A425:A430"/>
    <mergeCell ref="B425:B430"/>
    <mergeCell ref="C425:C430"/>
    <mergeCell ref="J425:J430"/>
    <mergeCell ref="K425:K430"/>
    <mergeCell ref="L443:L448"/>
    <mergeCell ref="A449:A454"/>
    <mergeCell ref="B449:B454"/>
    <mergeCell ref="C449:C454"/>
    <mergeCell ref="J449:J454"/>
    <mergeCell ref="K449:K454"/>
    <mergeCell ref="A437:A442"/>
    <mergeCell ref="B437:B442"/>
    <mergeCell ref="C437:C442"/>
    <mergeCell ref="J437:J442"/>
    <mergeCell ref="K437:K442"/>
    <mergeCell ref="A443:A448"/>
    <mergeCell ref="B443:B448"/>
    <mergeCell ref="C443:C448"/>
    <mergeCell ref="J443:J448"/>
    <mergeCell ref="K443:K448"/>
    <mergeCell ref="L461:L463"/>
    <mergeCell ref="A467:A472"/>
    <mergeCell ref="B467:B472"/>
    <mergeCell ref="C467:C472"/>
    <mergeCell ref="J467:J472"/>
    <mergeCell ref="K467:K472"/>
    <mergeCell ref="A455:A460"/>
    <mergeCell ref="B455:B460"/>
    <mergeCell ref="C455:C460"/>
    <mergeCell ref="J455:J460"/>
    <mergeCell ref="K455:K460"/>
    <mergeCell ref="A461:A466"/>
    <mergeCell ref="B461:B466"/>
    <mergeCell ref="C461:C466"/>
    <mergeCell ref="J461:J466"/>
    <mergeCell ref="K461:K466"/>
    <mergeCell ref="A473:A478"/>
    <mergeCell ref="B473:B478"/>
    <mergeCell ref="C473:C478"/>
    <mergeCell ref="J473:J478"/>
    <mergeCell ref="K473:K478"/>
    <mergeCell ref="A479:A484"/>
    <mergeCell ref="B479:B484"/>
    <mergeCell ref="C479:C484"/>
    <mergeCell ref="J479:J484"/>
    <mergeCell ref="K479:K484"/>
    <mergeCell ref="A485:A490"/>
    <mergeCell ref="B485:B490"/>
    <mergeCell ref="C485:C490"/>
    <mergeCell ref="J485:J490"/>
    <mergeCell ref="K485:K490"/>
    <mergeCell ref="A491:A496"/>
    <mergeCell ref="B491:B496"/>
    <mergeCell ref="C491:C496"/>
    <mergeCell ref="J491:J496"/>
    <mergeCell ref="K491:K496"/>
    <mergeCell ref="A497:A502"/>
    <mergeCell ref="B497:B502"/>
    <mergeCell ref="C497:C502"/>
    <mergeCell ref="J497:J502"/>
    <mergeCell ref="K497:K502"/>
    <mergeCell ref="A503:A508"/>
    <mergeCell ref="B503:B508"/>
    <mergeCell ref="C503:C508"/>
    <mergeCell ref="J503:J508"/>
    <mergeCell ref="K503:K508"/>
    <mergeCell ref="A509:A514"/>
    <mergeCell ref="B509:B514"/>
    <mergeCell ref="C509:C514"/>
    <mergeCell ref="J509:J514"/>
    <mergeCell ref="K509:K514"/>
    <mergeCell ref="A515:A520"/>
    <mergeCell ref="B515:B520"/>
    <mergeCell ref="C515:C520"/>
    <mergeCell ref="J515:J520"/>
    <mergeCell ref="K515:K520"/>
    <mergeCell ref="A521:A526"/>
    <mergeCell ref="B521:B526"/>
    <mergeCell ref="C521:C526"/>
    <mergeCell ref="J521:J526"/>
    <mergeCell ref="K521:K526"/>
    <mergeCell ref="A527:A532"/>
    <mergeCell ref="B527:B532"/>
    <mergeCell ref="C527:C532"/>
    <mergeCell ref="J527:J532"/>
    <mergeCell ref="K527:K532"/>
    <mergeCell ref="A533:A538"/>
    <mergeCell ref="B533:B538"/>
    <mergeCell ref="C533:C538"/>
    <mergeCell ref="J533:J538"/>
    <mergeCell ref="K533:K538"/>
    <mergeCell ref="A539:A544"/>
    <mergeCell ref="B539:B544"/>
    <mergeCell ref="C539:C544"/>
    <mergeCell ref="J539:J544"/>
    <mergeCell ref="K539:K544"/>
    <mergeCell ref="A545:A550"/>
    <mergeCell ref="B545:B550"/>
    <mergeCell ref="C545:C550"/>
    <mergeCell ref="J545:J550"/>
    <mergeCell ref="K545:K550"/>
    <mergeCell ref="A551:A556"/>
    <mergeCell ref="B551:B556"/>
    <mergeCell ref="C551:C556"/>
    <mergeCell ref="J551:J556"/>
    <mergeCell ref="K551:K556"/>
    <mergeCell ref="A557:A562"/>
    <mergeCell ref="B557:B562"/>
    <mergeCell ref="C557:C562"/>
    <mergeCell ref="J557:J562"/>
    <mergeCell ref="K557:K562"/>
    <mergeCell ref="A563:A568"/>
    <mergeCell ref="B563:B568"/>
    <mergeCell ref="C563:C568"/>
    <mergeCell ref="J563:J568"/>
    <mergeCell ref="K563:K568"/>
    <mergeCell ref="A569:A574"/>
    <mergeCell ref="B569:B574"/>
    <mergeCell ref="C569:C574"/>
    <mergeCell ref="J569:J574"/>
    <mergeCell ref="K569:K574"/>
    <mergeCell ref="A575:A580"/>
    <mergeCell ref="B575:B580"/>
    <mergeCell ref="C575:C580"/>
    <mergeCell ref="J575:J580"/>
    <mergeCell ref="K575:K580"/>
    <mergeCell ref="A581:A586"/>
    <mergeCell ref="B581:B586"/>
    <mergeCell ref="C581:C586"/>
    <mergeCell ref="J581:J586"/>
    <mergeCell ref="K581:K586"/>
    <mergeCell ref="A587:A592"/>
    <mergeCell ref="B587:B592"/>
    <mergeCell ref="C587:C592"/>
    <mergeCell ref="J587:J592"/>
    <mergeCell ref="K587:K592"/>
    <mergeCell ref="A593:A598"/>
    <mergeCell ref="B593:B598"/>
    <mergeCell ref="C593:C598"/>
    <mergeCell ref="J593:J598"/>
    <mergeCell ref="K593:K598"/>
    <mergeCell ref="A599:A604"/>
    <mergeCell ref="B599:B604"/>
    <mergeCell ref="C599:C604"/>
    <mergeCell ref="J599:J604"/>
    <mergeCell ref="K599:K604"/>
    <mergeCell ref="A605:A610"/>
    <mergeCell ref="B605:B610"/>
    <mergeCell ref="C605:C610"/>
    <mergeCell ref="J605:J610"/>
    <mergeCell ref="K605:K610"/>
    <mergeCell ref="A611:A616"/>
    <mergeCell ref="B611:B616"/>
    <mergeCell ref="C611:C616"/>
    <mergeCell ref="J611:J616"/>
    <mergeCell ref="K611:K616"/>
    <mergeCell ref="A617:A622"/>
    <mergeCell ref="B617:B622"/>
    <mergeCell ref="C617:C622"/>
    <mergeCell ref="J617:J622"/>
    <mergeCell ref="K617:K622"/>
    <mergeCell ref="A623:A628"/>
    <mergeCell ref="B623:B628"/>
    <mergeCell ref="C623:C628"/>
    <mergeCell ref="J623:J628"/>
    <mergeCell ref="K623:K628"/>
    <mergeCell ref="A629:A634"/>
    <mergeCell ref="B629:B634"/>
    <mergeCell ref="C629:C634"/>
    <mergeCell ref="J629:J634"/>
    <mergeCell ref="K629:K634"/>
    <mergeCell ref="A635:A640"/>
    <mergeCell ref="B635:B640"/>
    <mergeCell ref="C635:C640"/>
    <mergeCell ref="J635:J640"/>
    <mergeCell ref="K635:K640"/>
    <mergeCell ref="A641:A646"/>
    <mergeCell ref="B641:B646"/>
    <mergeCell ref="C641:C646"/>
    <mergeCell ref="J641:J646"/>
    <mergeCell ref="K641:K646"/>
    <mergeCell ref="A647:A652"/>
    <mergeCell ref="B647:B652"/>
    <mergeCell ref="C647:C652"/>
    <mergeCell ref="J647:J652"/>
    <mergeCell ref="K647:K652"/>
    <mergeCell ref="A653:A658"/>
    <mergeCell ref="B653:B658"/>
    <mergeCell ref="C653:C658"/>
    <mergeCell ref="J653:J658"/>
    <mergeCell ref="K653:K658"/>
    <mergeCell ref="A659:A664"/>
    <mergeCell ref="B659:B664"/>
    <mergeCell ref="C659:C664"/>
    <mergeCell ref="J659:J664"/>
    <mergeCell ref="K659:K664"/>
    <mergeCell ref="A665:A670"/>
    <mergeCell ref="B665:B670"/>
    <mergeCell ref="C665:C670"/>
    <mergeCell ref="J665:J670"/>
    <mergeCell ref="K665:K670"/>
    <mergeCell ref="A671:A676"/>
    <mergeCell ref="B671:B676"/>
    <mergeCell ref="C671:C676"/>
    <mergeCell ref="J671:J676"/>
    <mergeCell ref="K671:K676"/>
    <mergeCell ref="A677:A682"/>
    <mergeCell ref="B677:B682"/>
    <mergeCell ref="C677:C682"/>
    <mergeCell ref="J677:J682"/>
    <mergeCell ref="K677:K682"/>
    <mergeCell ref="A683:A688"/>
    <mergeCell ref="B683:B688"/>
    <mergeCell ref="C683:C688"/>
    <mergeCell ref="J683:J688"/>
    <mergeCell ref="K683:K688"/>
    <mergeCell ref="A689:A694"/>
    <mergeCell ref="B689:B694"/>
    <mergeCell ref="C689:C694"/>
    <mergeCell ref="J689:J694"/>
    <mergeCell ref="K689:K694"/>
    <mergeCell ref="A695:A700"/>
    <mergeCell ref="B695:B700"/>
    <mergeCell ref="C695:C700"/>
    <mergeCell ref="J695:J700"/>
    <mergeCell ref="K695:K700"/>
    <mergeCell ref="A701:A706"/>
    <mergeCell ref="B701:B706"/>
    <mergeCell ref="C701:C706"/>
    <mergeCell ref="J701:J706"/>
    <mergeCell ref="K701:K706"/>
    <mergeCell ref="A707:A712"/>
    <mergeCell ref="B707:B712"/>
    <mergeCell ref="C707:C712"/>
    <mergeCell ref="J707:J712"/>
    <mergeCell ref="K707:K712"/>
    <mergeCell ref="A713:A718"/>
    <mergeCell ref="B713:B718"/>
    <mergeCell ref="C713:C718"/>
    <mergeCell ref="J713:J718"/>
    <mergeCell ref="K713:K718"/>
    <mergeCell ref="A719:A724"/>
    <mergeCell ref="B719:B724"/>
    <mergeCell ref="C719:C724"/>
    <mergeCell ref="J719:J724"/>
    <mergeCell ref="K719:K724"/>
    <mergeCell ref="A725:A730"/>
    <mergeCell ref="B725:B730"/>
    <mergeCell ref="C725:C730"/>
    <mergeCell ref="J725:J730"/>
    <mergeCell ref="K725:K730"/>
    <mergeCell ref="A731:A736"/>
    <mergeCell ref="B731:B736"/>
    <mergeCell ref="C731:C736"/>
    <mergeCell ref="J731:J736"/>
    <mergeCell ref="K731:K736"/>
    <mergeCell ref="A743:A748"/>
    <mergeCell ref="B743:B748"/>
    <mergeCell ref="C743:C748"/>
    <mergeCell ref="J743:J748"/>
    <mergeCell ref="K743:K748"/>
    <mergeCell ref="L743:L748"/>
    <mergeCell ref="A737:A742"/>
    <mergeCell ref="B737:B742"/>
    <mergeCell ref="C737:C742"/>
    <mergeCell ref="J737:J742"/>
    <mergeCell ref="K737:K742"/>
    <mergeCell ref="L737:L742"/>
    <mergeCell ref="A749:A754"/>
    <mergeCell ref="B749:B754"/>
    <mergeCell ref="C749:C754"/>
    <mergeCell ref="J749:J754"/>
    <mergeCell ref="K749:K754"/>
    <mergeCell ref="A755:A760"/>
    <mergeCell ref="B755:B760"/>
    <mergeCell ref="C755:C760"/>
    <mergeCell ref="J755:J760"/>
    <mergeCell ref="K755:K760"/>
    <mergeCell ref="A773:A778"/>
    <mergeCell ref="B773:B778"/>
    <mergeCell ref="C773:C778"/>
    <mergeCell ref="J773:J778"/>
    <mergeCell ref="K773:K778"/>
    <mergeCell ref="A761:A766"/>
    <mergeCell ref="B761:B766"/>
    <mergeCell ref="C761:C766"/>
    <mergeCell ref="J761:J766"/>
    <mergeCell ref="K761:K766"/>
    <mergeCell ref="A767:A772"/>
    <mergeCell ref="B767:B772"/>
    <mergeCell ref="C767:C772"/>
    <mergeCell ref="J767:J772"/>
    <mergeCell ref="K767:K772"/>
  </mergeCells>
  <pageMargins left="0.11811023622047245" right="0.11811023622047245" top="0.15748031496062992" bottom="0.15748031496062992" header="0.11811023622047245" footer="0.11811023622047245"/>
  <pageSetup paperSize="9" scale="68" firstPageNumber="4294967295" fitToHeight="0" orientation="landscape" r:id="rId1"/>
  <headerFooter>
    <oddFooter>&amp;C&amp;P</oddFooter>
  </headerFooter>
  <rowBreaks count="16" manualBreakCount="16">
    <brk id="46" max="10" man="1"/>
    <brk id="88" max="10" man="1"/>
    <brk id="130" max="10" man="1"/>
    <brk id="172" max="10" man="1"/>
    <brk id="220" max="10" man="1"/>
    <brk id="262" max="10" man="1"/>
    <brk id="304" max="10" man="1"/>
    <brk id="340" max="10" man="1"/>
    <brk id="388" max="10" man="1"/>
    <brk id="436" max="10" man="1"/>
    <brk id="484" max="10" man="1"/>
    <brk id="532" max="10" man="1"/>
    <brk id="580" max="10" man="1"/>
    <brk id="628" max="10" man="1"/>
    <brk id="676" max="10" man="1"/>
    <brk id="724" max="1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outlinePr summaryBelow="0"/>
    <pageSetUpPr fitToPage="1"/>
  </sheetPr>
  <dimension ref="A1:M1596"/>
  <sheetViews>
    <sheetView zoomScale="90" workbookViewId="0">
      <pane xSplit="2" ySplit="4" topLeftCell="C173" activePane="bottomRight" state="frozen"/>
      <selection activeCell="E225" sqref="E225:G234"/>
      <selection pane="topRight"/>
      <selection pane="bottomLeft"/>
      <selection pane="bottomRight" activeCell="H200" sqref="H200:H204"/>
    </sheetView>
  </sheetViews>
  <sheetFormatPr defaultColWidth="9.140625" defaultRowHeight="15.75"/>
  <cols>
    <col min="1" max="1" width="11.85546875" style="1305" customWidth="1"/>
    <col min="2" max="2" width="67.5703125" style="1306" customWidth="1"/>
    <col min="3" max="3" width="7.85546875" style="1255" customWidth="1"/>
    <col min="4" max="4" width="14.28515625" style="1447" customWidth="1"/>
    <col min="5" max="5" width="14.42578125" style="1448" customWidth="1"/>
    <col min="6" max="6" width="14.42578125" style="1309" customWidth="1"/>
    <col min="7" max="7" width="12.85546875" style="1255" customWidth="1"/>
    <col min="8" max="8" width="54.140625" style="1310" customWidth="1"/>
    <col min="9" max="9" width="84.85546875" style="1311" customWidth="1"/>
    <col min="10" max="10" width="23.140625" style="1312" customWidth="1"/>
    <col min="11" max="11" width="42.28515625" style="1313" customWidth="1"/>
    <col min="12" max="12" width="40" style="1313" customWidth="1"/>
    <col min="13" max="13" width="9.140625" style="1255"/>
    <col min="14" max="16384" width="9.140625" style="1314"/>
  </cols>
  <sheetData>
    <row r="1" spans="1:13">
      <c r="D1" s="1307"/>
      <c r="E1" s="1308"/>
    </row>
    <row r="2" spans="1:13" ht="15">
      <c r="A2" s="3325" t="s">
        <v>2988</v>
      </c>
      <c r="B2" s="3325"/>
      <c r="C2" s="3325"/>
      <c r="D2" s="3325"/>
      <c r="E2" s="3325"/>
      <c r="F2" s="3325"/>
      <c r="G2" s="3325"/>
      <c r="H2" s="3325"/>
      <c r="I2" s="3325"/>
      <c r="J2" s="3325"/>
      <c r="K2" s="3325"/>
      <c r="L2" s="3325"/>
      <c r="M2" s="3325"/>
    </row>
    <row r="3" spans="1:13" ht="27.75" customHeight="1">
      <c r="A3" s="3326" t="s">
        <v>1</v>
      </c>
      <c r="B3" s="3328" t="s">
        <v>137</v>
      </c>
      <c r="C3" s="3330" t="s">
        <v>4</v>
      </c>
      <c r="D3" s="3330"/>
      <c r="E3" s="3330"/>
      <c r="F3" s="3330"/>
      <c r="G3" s="3330"/>
      <c r="H3" s="3331" t="s">
        <v>138</v>
      </c>
      <c r="I3" s="3332"/>
      <c r="J3" s="3333"/>
      <c r="K3" s="3334" t="s">
        <v>6</v>
      </c>
      <c r="L3" s="3265" t="s">
        <v>3518</v>
      </c>
      <c r="M3" s="3336" t="s">
        <v>146</v>
      </c>
    </row>
    <row r="4" spans="1:13" ht="31.5">
      <c r="A4" s="3327"/>
      <c r="B4" s="3329"/>
      <c r="C4" s="1315" t="s">
        <v>139</v>
      </c>
      <c r="D4" s="1316" t="s">
        <v>140</v>
      </c>
      <c r="E4" s="1316" t="s">
        <v>147</v>
      </c>
      <c r="F4" s="1317" t="s">
        <v>141</v>
      </c>
      <c r="G4" s="1318" t="s">
        <v>148</v>
      </c>
      <c r="H4" s="1319" t="s">
        <v>142</v>
      </c>
      <c r="I4" s="1320" t="s">
        <v>143</v>
      </c>
      <c r="J4" s="1320" t="s">
        <v>144</v>
      </c>
      <c r="K4" s="3335"/>
      <c r="L4" s="3285"/>
      <c r="M4" s="3337"/>
    </row>
    <row r="5" spans="1:13">
      <c r="A5" s="3180"/>
      <c r="B5" s="3122" t="s">
        <v>3537</v>
      </c>
      <c r="C5" s="1321" t="s">
        <v>8</v>
      </c>
      <c r="D5" s="1322">
        <f>SUM(D6:D9)</f>
        <v>1961199.9062600001</v>
      </c>
      <c r="E5" s="1322">
        <f>SUM(E6:E9)</f>
        <v>1018827.8865500001</v>
      </c>
      <c r="F5" s="1322">
        <f>SUM(F6:F9)</f>
        <v>1018827.8865500001</v>
      </c>
      <c r="G5" s="1323">
        <f t="shared" ref="G5:G68" si="0">IFERROR(F5/D5,0)</f>
        <v>0.51949211464776202</v>
      </c>
      <c r="H5" s="3322"/>
      <c r="I5" s="1324" t="s">
        <v>267</v>
      </c>
      <c r="J5" s="1325">
        <f t="shared" ref="J5:J8" si="1">SUM(J10,J15)</f>
        <v>36</v>
      </c>
      <c r="K5" s="3134" t="s">
        <v>2894</v>
      </c>
      <c r="L5" s="3179"/>
      <c r="M5" s="3116">
        <v>823</v>
      </c>
    </row>
    <row r="6" spans="1:13">
      <c r="A6" s="3181"/>
      <c r="B6" s="3123"/>
      <c r="C6" s="1321" t="s">
        <v>9</v>
      </c>
      <c r="D6" s="1322">
        <f t="shared" ref="D6:E9" si="2">SUM(D21,D96,D181,D251)</f>
        <v>1485659.06718</v>
      </c>
      <c r="E6" s="1322">
        <f t="shared" si="2"/>
        <v>855838.06675999996</v>
      </c>
      <c r="F6" s="1322">
        <f t="shared" ref="F6:F8" si="3">E6</f>
        <v>855838.06675999996</v>
      </c>
      <c r="G6" s="1323">
        <f t="shared" si="0"/>
        <v>0.57606626289065554</v>
      </c>
      <c r="H6" s="3323"/>
      <c r="I6" s="1324" t="s">
        <v>268</v>
      </c>
      <c r="J6" s="1325">
        <f t="shared" si="1"/>
        <v>6</v>
      </c>
      <c r="K6" s="3135"/>
      <c r="L6" s="3179"/>
      <c r="M6" s="3117"/>
    </row>
    <row r="7" spans="1:13">
      <c r="A7" s="3181"/>
      <c r="B7" s="3123"/>
      <c r="C7" s="1321" t="s">
        <v>10</v>
      </c>
      <c r="D7" s="1322">
        <f t="shared" si="2"/>
        <v>437405.54</v>
      </c>
      <c r="E7" s="1322">
        <f t="shared" si="2"/>
        <v>160838.91979000001</v>
      </c>
      <c r="F7" s="1322">
        <f t="shared" si="3"/>
        <v>160838.91979000001</v>
      </c>
      <c r="G7" s="1323">
        <f t="shared" si="0"/>
        <v>0.36771120866461826</v>
      </c>
      <c r="H7" s="3323"/>
      <c r="I7" s="1324" t="s">
        <v>269</v>
      </c>
      <c r="J7" s="1325">
        <f t="shared" si="1"/>
        <v>12</v>
      </c>
      <c r="K7" s="3135"/>
      <c r="L7" s="3179"/>
      <c r="M7" s="3117"/>
    </row>
    <row r="8" spans="1:13">
      <c r="A8" s="3181"/>
      <c r="B8" s="3123"/>
      <c r="C8" s="1321" t="s">
        <v>11</v>
      </c>
      <c r="D8" s="1326">
        <f t="shared" si="2"/>
        <v>38135.299079999975</v>
      </c>
      <c r="E8" s="1326">
        <f t="shared" si="2"/>
        <v>2150.9</v>
      </c>
      <c r="F8" s="1326">
        <f t="shared" si="3"/>
        <v>2150.9</v>
      </c>
      <c r="G8" s="1323">
        <f t="shared" si="0"/>
        <v>5.6401812805712014E-2</v>
      </c>
      <c r="H8" s="3323"/>
      <c r="I8" s="1324" t="s">
        <v>270</v>
      </c>
      <c r="J8" s="1325">
        <f t="shared" si="1"/>
        <v>18</v>
      </c>
      <c r="K8" s="3135"/>
      <c r="L8" s="3179"/>
      <c r="M8" s="3117"/>
    </row>
    <row r="9" spans="1:13">
      <c r="A9" s="3182"/>
      <c r="B9" s="3124"/>
      <c r="C9" s="1321" t="s">
        <v>12</v>
      </c>
      <c r="D9" s="1326">
        <f t="shared" si="2"/>
        <v>0</v>
      </c>
      <c r="E9" s="1326">
        <v>0</v>
      </c>
      <c r="F9" s="1326">
        <v>0</v>
      </c>
      <c r="G9" s="1323">
        <f t="shared" si="0"/>
        <v>0</v>
      </c>
      <c r="H9" s="3324"/>
      <c r="I9" s="1324" t="s">
        <v>271</v>
      </c>
      <c r="J9" s="1327">
        <f>(J6+0.5*J7)/J5</f>
        <v>0.33333333333333331</v>
      </c>
      <c r="K9" s="3136"/>
      <c r="L9" s="3179"/>
      <c r="M9" s="3118"/>
    </row>
    <row r="10" spans="1:13">
      <c r="A10" s="3180"/>
      <c r="B10" s="3122" t="s">
        <v>2796</v>
      </c>
      <c r="C10" s="1321" t="s">
        <v>8</v>
      </c>
      <c r="D10" s="1328">
        <f>SUM(D11:D14)</f>
        <v>1483050.3613700001</v>
      </c>
      <c r="E10" s="1329">
        <f>SUM(E11:E14)</f>
        <v>827186.78654999996</v>
      </c>
      <c r="F10" s="1329">
        <f>SUM(F11:F14)</f>
        <v>827186.78654999996</v>
      </c>
      <c r="G10" s="1323">
        <f t="shared" si="0"/>
        <v>0.55776041602920901</v>
      </c>
      <c r="H10" s="3322"/>
      <c r="I10" s="1324" t="s">
        <v>267</v>
      </c>
      <c r="J10" s="1325">
        <f>SUM(J11:J13)</f>
        <v>30</v>
      </c>
      <c r="K10" s="3134" t="s">
        <v>2797</v>
      </c>
      <c r="L10" s="3179"/>
      <c r="M10" s="3116">
        <v>823</v>
      </c>
    </row>
    <row r="11" spans="1:13">
      <c r="A11" s="3181"/>
      <c r="B11" s="3123"/>
      <c r="C11" s="1321" t="s">
        <v>9</v>
      </c>
      <c r="D11" s="1326">
        <f t="shared" ref="D11:E13" si="4">SUM(D21,D96,D191,D196,D206,D231,D241,D251)</f>
        <v>1385723.7480300001</v>
      </c>
      <c r="E11" s="1322">
        <f t="shared" si="4"/>
        <v>814982.86676</v>
      </c>
      <c r="F11" s="1322">
        <f t="shared" ref="F11:F13" si="5">E11</f>
        <v>814982.86676</v>
      </c>
      <c r="G11" s="1323">
        <f t="shared" si="0"/>
        <v>0.58812794968593995</v>
      </c>
      <c r="H11" s="3323"/>
      <c r="I11" s="1324" t="s">
        <v>268</v>
      </c>
      <c r="J11" s="1325">
        <f>COUNTIFS($M$20:$M$264,823,$J$20:$J$264,"Да")</f>
        <v>6</v>
      </c>
      <c r="K11" s="3135"/>
      <c r="L11" s="3179"/>
      <c r="M11" s="3117"/>
    </row>
    <row r="12" spans="1:13">
      <c r="A12" s="3181"/>
      <c r="B12" s="3123"/>
      <c r="C12" s="1321" t="s">
        <v>10</v>
      </c>
      <c r="D12" s="1326">
        <f t="shared" si="4"/>
        <v>64097.91</v>
      </c>
      <c r="E12" s="1322">
        <f t="shared" si="4"/>
        <v>12203.91979</v>
      </c>
      <c r="F12" s="1322">
        <f t="shared" si="5"/>
        <v>12203.91979</v>
      </c>
      <c r="G12" s="1323">
        <f t="shared" si="0"/>
        <v>0.19039497216055873</v>
      </c>
      <c r="H12" s="3323"/>
      <c r="I12" s="1324" t="s">
        <v>269</v>
      </c>
      <c r="J12" s="1325">
        <f>COUNTIFS($M$20:$M$264,823,$J$20:$J$264,"Частично")</f>
        <v>10</v>
      </c>
      <c r="K12" s="3135"/>
      <c r="L12" s="3179"/>
      <c r="M12" s="3117"/>
    </row>
    <row r="13" spans="1:13">
      <c r="A13" s="3181"/>
      <c r="B13" s="3123"/>
      <c r="C13" s="1321" t="s">
        <v>11</v>
      </c>
      <c r="D13" s="1326">
        <f t="shared" si="4"/>
        <v>33228.70334</v>
      </c>
      <c r="E13" s="1322">
        <f t="shared" si="4"/>
        <v>0</v>
      </c>
      <c r="F13" s="1322">
        <f t="shared" si="5"/>
        <v>0</v>
      </c>
      <c r="G13" s="1323">
        <f t="shared" si="0"/>
        <v>0</v>
      </c>
      <c r="H13" s="3323"/>
      <c r="I13" s="1324" t="s">
        <v>270</v>
      </c>
      <c r="J13" s="1325">
        <f>COUNTIFS($M$20:$M$264,823,$J$20:$J$264,"Нет")</f>
        <v>14</v>
      </c>
      <c r="K13" s="3135"/>
      <c r="L13" s="3179"/>
      <c r="M13" s="3117"/>
    </row>
    <row r="14" spans="1:13">
      <c r="A14" s="3182"/>
      <c r="B14" s="3124"/>
      <c r="C14" s="1321" t="s">
        <v>12</v>
      </c>
      <c r="D14" s="1326">
        <v>0</v>
      </c>
      <c r="E14" s="1322">
        <v>0</v>
      </c>
      <c r="F14" s="1322">
        <v>0</v>
      </c>
      <c r="G14" s="1323">
        <f t="shared" si="0"/>
        <v>0</v>
      </c>
      <c r="H14" s="3324"/>
      <c r="I14" s="1324" t="s">
        <v>271</v>
      </c>
      <c r="J14" s="1330">
        <f>(J11+0.5*J12)/J10</f>
        <v>0.36666666666666664</v>
      </c>
      <c r="K14" s="3135"/>
      <c r="L14" s="3179"/>
      <c r="M14" s="3118"/>
    </row>
    <row r="15" spans="1:13">
      <c r="A15" s="3242"/>
      <c r="B15" s="3245" t="s">
        <v>653</v>
      </c>
      <c r="C15" s="1331" t="s">
        <v>8</v>
      </c>
      <c r="D15" s="1329">
        <f>SUM(D16:D19)</f>
        <v>478149.54488999996</v>
      </c>
      <c r="E15" s="1329">
        <f>SUM(E16:E19)</f>
        <v>191641.1</v>
      </c>
      <c r="F15" s="1329">
        <f>SUM(F16:F19)</f>
        <v>191641.1</v>
      </c>
      <c r="G15" s="1332">
        <f t="shared" si="0"/>
        <v>0.40079741170534366</v>
      </c>
      <c r="H15" s="3322"/>
      <c r="I15" s="1324" t="s">
        <v>267</v>
      </c>
      <c r="J15" s="1325">
        <f>SUM(J16:J18)</f>
        <v>6</v>
      </c>
      <c r="K15" s="3134" t="str">
        <f>'[7]Пр ГП 19-20'!$K$11</f>
        <v>Министерство строительства МО</v>
      </c>
      <c r="L15" s="3179"/>
      <c r="M15" s="3116">
        <v>823</v>
      </c>
    </row>
    <row r="16" spans="1:13">
      <c r="A16" s="3243"/>
      <c r="B16" s="3246"/>
      <c r="C16" s="1331" t="s">
        <v>9</v>
      </c>
      <c r="D16" s="1333">
        <f t="shared" ref="D16:E18" si="6">SUM(D201,D211,D221,D226,D246)</f>
        <v>99935.31915000001</v>
      </c>
      <c r="E16" s="1333">
        <f t="shared" si="6"/>
        <v>40855.199999999997</v>
      </c>
      <c r="F16" s="1333">
        <f t="shared" ref="F16:F19" si="7">E16</f>
        <v>40855.199999999997</v>
      </c>
      <c r="G16" s="1332">
        <f t="shared" si="0"/>
        <v>0.40881642593923706</v>
      </c>
      <c r="H16" s="3323"/>
      <c r="I16" s="1324" t="s">
        <v>268</v>
      </c>
      <c r="J16" s="1325">
        <f>COUNTIFS($M$20:$M$264,807,$J$20:$J$264,"Да")</f>
        <v>0</v>
      </c>
      <c r="K16" s="3135"/>
      <c r="L16" s="3179"/>
      <c r="M16" s="3117"/>
    </row>
    <row r="17" spans="1:13">
      <c r="A17" s="3243"/>
      <c r="B17" s="3246"/>
      <c r="C17" s="1331" t="s">
        <v>10</v>
      </c>
      <c r="D17" s="1333">
        <f t="shared" si="6"/>
        <v>373307.63</v>
      </c>
      <c r="E17" s="1333">
        <f t="shared" si="6"/>
        <v>148635</v>
      </c>
      <c r="F17" s="1333">
        <f t="shared" si="7"/>
        <v>148635</v>
      </c>
      <c r="G17" s="1332">
        <f t="shared" si="0"/>
        <v>0.39815687667567901</v>
      </c>
      <c r="H17" s="3323"/>
      <c r="I17" s="1324" t="s">
        <v>269</v>
      </c>
      <c r="J17" s="1325">
        <f>COUNTIFS($M$20:$M$264,807,$J$20:$J$264,"Частично")</f>
        <v>2</v>
      </c>
      <c r="K17" s="3135"/>
      <c r="L17" s="3179"/>
      <c r="M17" s="3117"/>
    </row>
    <row r="18" spans="1:13">
      <c r="A18" s="3243"/>
      <c r="B18" s="3246"/>
      <c r="C18" s="1331" t="s">
        <v>11</v>
      </c>
      <c r="D18" s="1333">
        <f t="shared" si="6"/>
        <v>4906.5957399999752</v>
      </c>
      <c r="E18" s="1333">
        <f t="shared" si="6"/>
        <v>2150.9</v>
      </c>
      <c r="F18" s="1333">
        <f t="shared" si="7"/>
        <v>2150.9</v>
      </c>
      <c r="G18" s="1332">
        <f t="shared" si="0"/>
        <v>0.43836910843606836</v>
      </c>
      <c r="H18" s="3323"/>
      <c r="I18" s="1324" t="s">
        <v>270</v>
      </c>
      <c r="J18" s="1325">
        <f>COUNTIFS($M$20:$M$264,807,$J$20:$J$264,"Нет")</f>
        <v>4</v>
      </c>
      <c r="K18" s="3135"/>
      <c r="L18" s="3179"/>
      <c r="M18" s="3117"/>
    </row>
    <row r="19" spans="1:13">
      <c r="A19" s="3244"/>
      <c r="B19" s="3247"/>
      <c r="C19" s="1331" t="s">
        <v>12</v>
      </c>
      <c r="D19" s="1333">
        <v>0</v>
      </c>
      <c r="E19" s="1333">
        <v>0</v>
      </c>
      <c r="F19" s="1333">
        <f t="shared" si="7"/>
        <v>0</v>
      </c>
      <c r="G19" s="1332">
        <f t="shared" si="0"/>
        <v>0</v>
      </c>
      <c r="H19" s="3324"/>
      <c r="I19" s="1324" t="s">
        <v>271</v>
      </c>
      <c r="J19" s="1330">
        <f>(J16+0.5*J17)/J15</f>
        <v>0.16666666666666666</v>
      </c>
      <c r="K19" s="3135"/>
      <c r="L19" s="3179"/>
      <c r="M19" s="3118"/>
    </row>
    <row r="20" spans="1:13">
      <c r="A20" s="3312" t="s">
        <v>16</v>
      </c>
      <c r="B20" s="3315" t="s">
        <v>2910</v>
      </c>
      <c r="C20" s="1334" t="s">
        <v>8</v>
      </c>
      <c r="D20" s="1335">
        <f>SUM(D21:D24)</f>
        <v>265742.54851999995</v>
      </c>
      <c r="E20" s="1335">
        <f>SUM(E21:E24)</f>
        <v>196395.48509</v>
      </c>
      <c r="F20" s="1335">
        <f>SUM(F21:F24)</f>
        <v>196395.48509</v>
      </c>
      <c r="G20" s="1336">
        <f t="shared" si="0"/>
        <v>0.73904418462073695</v>
      </c>
      <c r="H20" s="3318"/>
      <c r="I20" s="1337" t="s">
        <v>267</v>
      </c>
      <c r="J20" s="1338">
        <f t="shared" ref="J20:J23" si="8">SUM(J25,J75)</f>
        <v>12</v>
      </c>
      <c r="K20" s="3320" t="s">
        <v>2986</v>
      </c>
      <c r="L20" s="3320"/>
      <c r="M20" s="3167">
        <v>823</v>
      </c>
    </row>
    <row r="21" spans="1:13">
      <c r="A21" s="3313"/>
      <c r="B21" s="3316"/>
      <c r="C21" s="1334" t="s">
        <v>9</v>
      </c>
      <c r="D21" s="1339">
        <f t="shared" ref="D21:E23" si="9">SUM(D26,D76)</f>
        <v>251660.45717999997</v>
      </c>
      <c r="E21" s="1339">
        <f t="shared" si="9"/>
        <v>195279.85360999999</v>
      </c>
      <c r="F21" s="1339">
        <f t="shared" ref="F21:F29" si="10">E21</f>
        <v>195279.85360999999</v>
      </c>
      <c r="G21" s="1336">
        <f t="shared" si="0"/>
        <v>0.77596558393886339</v>
      </c>
      <c r="H21" s="3319"/>
      <c r="I21" s="1337" t="s">
        <v>268</v>
      </c>
      <c r="J21" s="1338">
        <f t="shared" si="8"/>
        <v>2</v>
      </c>
      <c r="K21" s="3321"/>
      <c r="L21" s="3321"/>
      <c r="M21" s="3168"/>
    </row>
    <row r="22" spans="1:13">
      <c r="A22" s="3313"/>
      <c r="B22" s="3316"/>
      <c r="C22" s="1334" t="s">
        <v>10</v>
      </c>
      <c r="D22" s="1339">
        <f t="shared" si="9"/>
        <v>1596.3</v>
      </c>
      <c r="E22" s="1339">
        <f t="shared" si="9"/>
        <v>1115.63148</v>
      </c>
      <c r="F22" s="1339">
        <f t="shared" si="10"/>
        <v>1115.63148</v>
      </c>
      <c r="G22" s="1336">
        <f t="shared" si="0"/>
        <v>0.69888584852471347</v>
      </c>
      <c r="H22" s="3319"/>
      <c r="I22" s="1337" t="s">
        <v>269</v>
      </c>
      <c r="J22" s="1338">
        <f t="shared" si="8"/>
        <v>6</v>
      </c>
      <c r="K22" s="3321"/>
      <c r="L22" s="3321"/>
      <c r="M22" s="3168"/>
    </row>
    <row r="23" spans="1:13">
      <c r="A23" s="3313"/>
      <c r="B23" s="3316"/>
      <c r="C23" s="1334" t="s">
        <v>11</v>
      </c>
      <c r="D23" s="1339">
        <f t="shared" si="9"/>
        <v>12485.79134</v>
      </c>
      <c r="E23" s="1339">
        <f t="shared" si="9"/>
        <v>0</v>
      </c>
      <c r="F23" s="1339">
        <v>0</v>
      </c>
      <c r="G23" s="1336">
        <f t="shared" si="0"/>
        <v>0</v>
      </c>
      <c r="H23" s="3319"/>
      <c r="I23" s="1337" t="s">
        <v>270</v>
      </c>
      <c r="J23" s="1338">
        <f t="shared" si="8"/>
        <v>4</v>
      </c>
      <c r="K23" s="3321"/>
      <c r="L23" s="3321"/>
      <c r="M23" s="3168"/>
    </row>
    <row r="24" spans="1:13">
      <c r="A24" s="3314"/>
      <c r="B24" s="3317"/>
      <c r="C24" s="1334" t="s">
        <v>12</v>
      </c>
      <c r="D24" s="1339">
        <v>0</v>
      </c>
      <c r="E24" s="1339">
        <v>0</v>
      </c>
      <c r="F24" s="1339">
        <v>0</v>
      </c>
      <c r="G24" s="1336">
        <f t="shared" si="0"/>
        <v>0</v>
      </c>
      <c r="H24" s="3319"/>
      <c r="I24" s="1340" t="s">
        <v>271</v>
      </c>
      <c r="J24" s="1341">
        <f>(J21+0.5*J22)/J20</f>
        <v>0.41666666666666669</v>
      </c>
      <c r="K24" s="3321"/>
      <c r="L24" s="3321"/>
      <c r="M24" s="3168"/>
    </row>
    <row r="25" spans="1:13" s="1347" customFormat="1" ht="15.75" customHeight="1">
      <c r="A25" s="3226" t="s">
        <v>3217</v>
      </c>
      <c r="B25" s="3204" t="s">
        <v>3498</v>
      </c>
      <c r="C25" s="1342" t="s">
        <v>8</v>
      </c>
      <c r="D25" s="1343">
        <f>SUM(D26:D29)</f>
        <v>256885.25702999998</v>
      </c>
      <c r="E25" s="1343">
        <f>SUM(E26:E29)</f>
        <v>191104.63154</v>
      </c>
      <c r="F25" s="1343">
        <f t="shared" si="10"/>
        <v>191104.63154</v>
      </c>
      <c r="G25" s="1344">
        <f t="shared" si="0"/>
        <v>0.74392993101072402</v>
      </c>
      <c r="H25" s="3309"/>
      <c r="I25" s="1345" t="s">
        <v>267</v>
      </c>
      <c r="J25" s="1346">
        <f>SUM(J26:J28)</f>
        <v>9</v>
      </c>
      <c r="K25" s="3146" t="s">
        <v>2798</v>
      </c>
      <c r="L25" s="3146"/>
      <c r="M25" s="3149">
        <v>823</v>
      </c>
    </row>
    <row r="26" spans="1:13" s="1347" customFormat="1">
      <c r="A26" s="3227"/>
      <c r="B26" s="3205"/>
      <c r="C26" s="1342" t="s">
        <v>9</v>
      </c>
      <c r="D26" s="1348">
        <f t="shared" ref="D26:E29" si="11">SUM(D31,D36,D41,D46,D51,D56,D61,D66,D71)</f>
        <v>244399.46568999998</v>
      </c>
      <c r="E26" s="1348">
        <f t="shared" si="11"/>
        <v>191104.63154</v>
      </c>
      <c r="F26" s="1348">
        <f t="shared" si="10"/>
        <v>191104.63154</v>
      </c>
      <c r="G26" s="1344">
        <f t="shared" si="0"/>
        <v>0.78193555374789581</v>
      </c>
      <c r="H26" s="3310"/>
      <c r="I26" s="1345" t="s">
        <v>268</v>
      </c>
      <c r="J26" s="1349">
        <f>COUNTIF($J$30:$J$74,"Да")</f>
        <v>2</v>
      </c>
      <c r="K26" s="3147"/>
      <c r="L26" s="3147"/>
      <c r="M26" s="3150"/>
    </row>
    <row r="27" spans="1:13" s="1347" customFormat="1">
      <c r="A27" s="3227"/>
      <c r="B27" s="3205"/>
      <c r="C27" s="1342" t="s">
        <v>10</v>
      </c>
      <c r="D27" s="1348">
        <f t="shared" si="11"/>
        <v>0</v>
      </c>
      <c r="E27" s="1343">
        <f t="shared" si="11"/>
        <v>0</v>
      </c>
      <c r="F27" s="1343">
        <f t="shared" si="10"/>
        <v>0</v>
      </c>
      <c r="G27" s="1344">
        <f t="shared" si="0"/>
        <v>0</v>
      </c>
      <c r="H27" s="3310"/>
      <c r="I27" s="1345" t="s">
        <v>269</v>
      </c>
      <c r="J27" s="1349">
        <f>COUNTIF($J$30:$J$74,"Частично")</f>
        <v>4</v>
      </c>
      <c r="K27" s="3147"/>
      <c r="L27" s="3147"/>
      <c r="M27" s="3150"/>
    </row>
    <row r="28" spans="1:13" s="1347" customFormat="1">
      <c r="A28" s="3227"/>
      <c r="B28" s="3205"/>
      <c r="C28" s="1342" t="s">
        <v>11</v>
      </c>
      <c r="D28" s="1348">
        <f>SUM(D33,D38,D43,D48,D53,D63,D68,D73)</f>
        <v>12485.79134</v>
      </c>
      <c r="E28" s="1343">
        <f t="shared" si="11"/>
        <v>0</v>
      </c>
      <c r="F28" s="1343">
        <f t="shared" si="10"/>
        <v>0</v>
      </c>
      <c r="G28" s="1344">
        <f t="shared" si="0"/>
        <v>0</v>
      </c>
      <c r="H28" s="3310"/>
      <c r="I28" s="1345" t="s">
        <v>270</v>
      </c>
      <c r="J28" s="1349">
        <f>COUNTIF($J$30:$J$74,"Нет")</f>
        <v>3</v>
      </c>
      <c r="K28" s="3147"/>
      <c r="L28" s="3147"/>
      <c r="M28" s="3150"/>
    </row>
    <row r="29" spans="1:13" s="1347" customFormat="1">
      <c r="A29" s="3228"/>
      <c r="B29" s="3206"/>
      <c r="C29" s="1342" t="s">
        <v>12</v>
      </c>
      <c r="D29" s="1348">
        <v>0</v>
      </c>
      <c r="E29" s="1343">
        <f t="shared" si="11"/>
        <v>0</v>
      </c>
      <c r="F29" s="1343">
        <f t="shared" si="10"/>
        <v>0</v>
      </c>
      <c r="G29" s="1344">
        <f t="shared" si="0"/>
        <v>0</v>
      </c>
      <c r="H29" s="3311"/>
      <c r="I29" s="1350" t="s">
        <v>271</v>
      </c>
      <c r="J29" s="1351">
        <f>(J26+0.5*J27)/J25</f>
        <v>0.44444444444444442</v>
      </c>
      <c r="K29" s="3147"/>
      <c r="L29" s="3147"/>
      <c r="M29" s="3150"/>
    </row>
    <row r="30" spans="1:13" s="1347" customFormat="1" ht="15">
      <c r="A30" s="3180" t="s">
        <v>33</v>
      </c>
      <c r="B30" s="3122" t="s">
        <v>3509</v>
      </c>
      <c r="C30" s="1352" t="s">
        <v>8</v>
      </c>
      <c r="D30" s="1353">
        <f>SUM(D31:D34)</f>
        <v>40000</v>
      </c>
      <c r="E30" s="1353">
        <f>SUM(E31:E34)</f>
        <v>40000</v>
      </c>
      <c r="F30" s="1353">
        <f>SUM(F31:F34)</f>
        <v>40000</v>
      </c>
      <c r="G30" s="1323">
        <f t="shared" si="0"/>
        <v>1</v>
      </c>
      <c r="H30" s="3125" t="s">
        <v>2897</v>
      </c>
      <c r="I30" s="3304" t="s">
        <v>3510</v>
      </c>
      <c r="J30" s="3131" t="s">
        <v>3384</v>
      </c>
      <c r="K30" s="3134" t="s">
        <v>2844</v>
      </c>
      <c r="L30" s="3128"/>
      <c r="M30" s="3116">
        <v>823</v>
      </c>
    </row>
    <row r="31" spans="1:13" s="1347" customFormat="1" ht="22.5" customHeight="1">
      <c r="A31" s="3307"/>
      <c r="B31" s="3299"/>
      <c r="C31" s="1321" t="s">
        <v>9</v>
      </c>
      <c r="D31" s="1354">
        <f>'[11]475ПП'!F61</f>
        <v>40000</v>
      </c>
      <c r="E31" s="1354">
        <f>[11]Документ!L27</f>
        <v>40000</v>
      </c>
      <c r="F31" s="1354">
        <f>E31</f>
        <v>40000</v>
      </c>
      <c r="G31" s="1323">
        <f t="shared" si="0"/>
        <v>1</v>
      </c>
      <c r="H31" s="3261"/>
      <c r="I31" s="3305"/>
      <c r="J31" s="3132"/>
      <c r="K31" s="3132"/>
      <c r="L31" s="3297"/>
      <c r="M31" s="3117"/>
    </row>
    <row r="32" spans="1:13" s="1347" customFormat="1" ht="21" customHeight="1">
      <c r="A32" s="3307"/>
      <c r="B32" s="3299"/>
      <c r="C32" s="1321" t="s">
        <v>10</v>
      </c>
      <c r="D32" s="1354">
        <f>'[11]475ПП'!G61</f>
        <v>0</v>
      </c>
      <c r="E32" s="1354">
        <v>0</v>
      </c>
      <c r="F32" s="1354">
        <v>0</v>
      </c>
      <c r="G32" s="1323">
        <f t="shared" si="0"/>
        <v>0</v>
      </c>
      <c r="H32" s="3261"/>
      <c r="I32" s="3305"/>
      <c r="J32" s="3132"/>
      <c r="K32" s="3132"/>
      <c r="L32" s="3297"/>
      <c r="M32" s="3117"/>
    </row>
    <row r="33" spans="1:13" s="1347" customFormat="1" ht="18.75" customHeight="1">
      <c r="A33" s="3307"/>
      <c r="B33" s="3299"/>
      <c r="C33" s="1321" t="s">
        <v>11</v>
      </c>
      <c r="D33" s="1354">
        <f>'[11]475ПП'!H61</f>
        <v>0</v>
      </c>
      <c r="E33" s="1354">
        <v>0</v>
      </c>
      <c r="F33" s="1354">
        <v>0</v>
      </c>
      <c r="G33" s="1323">
        <f t="shared" si="0"/>
        <v>0</v>
      </c>
      <c r="H33" s="3261"/>
      <c r="I33" s="3305"/>
      <c r="J33" s="3132"/>
      <c r="K33" s="3132"/>
      <c r="L33" s="3297"/>
      <c r="M33" s="3117"/>
    </row>
    <row r="34" spans="1:13" s="1347" customFormat="1" ht="20.25" customHeight="1">
      <c r="A34" s="3308"/>
      <c r="B34" s="3300"/>
      <c r="C34" s="1355" t="s">
        <v>12</v>
      </c>
      <c r="D34" s="1356">
        <f>'[11]475ПП'!I61</f>
        <v>0</v>
      </c>
      <c r="E34" s="1356">
        <v>0</v>
      </c>
      <c r="F34" s="1356">
        <v>0</v>
      </c>
      <c r="G34" s="1323">
        <f t="shared" si="0"/>
        <v>0</v>
      </c>
      <c r="H34" s="3262"/>
      <c r="I34" s="3306"/>
      <c r="J34" s="3133"/>
      <c r="K34" s="3133"/>
      <c r="L34" s="3298"/>
      <c r="M34" s="3118"/>
    </row>
    <row r="35" spans="1:13" s="1347" customFormat="1" ht="23.25" customHeight="1">
      <c r="A35" s="3180" t="s">
        <v>193</v>
      </c>
      <c r="B35" s="3122" t="s">
        <v>3371</v>
      </c>
      <c r="C35" s="1321" t="s">
        <v>8</v>
      </c>
      <c r="D35" s="1357">
        <v>40000</v>
      </c>
      <c r="E35" s="1357">
        <f>SUM(E36:E39)</f>
        <v>35440</v>
      </c>
      <c r="F35" s="1357">
        <f>SUM(F36:F39)</f>
        <v>35440</v>
      </c>
      <c r="G35" s="1323">
        <f t="shared" si="0"/>
        <v>0.88600000000000001</v>
      </c>
      <c r="H35" s="3301" t="s">
        <v>3206</v>
      </c>
      <c r="I35" s="3304" t="s">
        <v>3489</v>
      </c>
      <c r="J35" s="3131" t="s">
        <v>3385</v>
      </c>
      <c r="K35" s="3134" t="s">
        <v>2844</v>
      </c>
      <c r="L35" s="3128"/>
      <c r="M35" s="3116">
        <v>823</v>
      </c>
    </row>
    <row r="36" spans="1:13" s="1347" customFormat="1" ht="22.5" customHeight="1">
      <c r="A36" s="3181"/>
      <c r="B36" s="3261"/>
      <c r="C36" s="1321" t="s">
        <v>9</v>
      </c>
      <c r="D36" s="1358">
        <f>'[11]475ПП'!F73</f>
        <v>40000</v>
      </c>
      <c r="E36" s="1358">
        <f>[11]программа!Q105</f>
        <v>35440</v>
      </c>
      <c r="F36" s="1358">
        <f>E36</f>
        <v>35440</v>
      </c>
      <c r="G36" s="1359">
        <f t="shared" si="0"/>
        <v>0.88600000000000001</v>
      </c>
      <c r="H36" s="3302"/>
      <c r="I36" s="3305"/>
      <c r="J36" s="3132"/>
      <c r="K36" s="3132"/>
      <c r="L36" s="3297"/>
      <c r="M36" s="3117"/>
    </row>
    <row r="37" spans="1:13" s="1347" customFormat="1" ht="22.5" customHeight="1">
      <c r="A37" s="3181"/>
      <c r="B37" s="3261"/>
      <c r="C37" s="1321" t="s">
        <v>10</v>
      </c>
      <c r="D37" s="1356">
        <f>'[11]475ПП'!G73</f>
        <v>0</v>
      </c>
      <c r="E37" s="1356">
        <v>0</v>
      </c>
      <c r="F37" s="1356">
        <v>0</v>
      </c>
      <c r="G37" s="1323">
        <f t="shared" si="0"/>
        <v>0</v>
      </c>
      <c r="H37" s="3302"/>
      <c r="I37" s="3305"/>
      <c r="J37" s="3132"/>
      <c r="K37" s="3132"/>
      <c r="L37" s="3297"/>
      <c r="M37" s="3117"/>
    </row>
    <row r="38" spans="1:13" s="1347" customFormat="1" ht="23.25" customHeight="1">
      <c r="A38" s="3181"/>
      <c r="B38" s="3261"/>
      <c r="C38" s="1321" t="s">
        <v>11</v>
      </c>
      <c r="D38" s="1356">
        <f>'[11]475ПП'!H73</f>
        <v>0</v>
      </c>
      <c r="E38" s="1356">
        <v>0</v>
      </c>
      <c r="F38" s="1356">
        <v>0</v>
      </c>
      <c r="G38" s="1323">
        <f t="shared" si="0"/>
        <v>0</v>
      </c>
      <c r="H38" s="3302"/>
      <c r="I38" s="3305"/>
      <c r="J38" s="3132"/>
      <c r="K38" s="3132"/>
      <c r="L38" s="3297"/>
      <c r="M38" s="3117"/>
    </row>
    <row r="39" spans="1:13" s="1347" customFormat="1" ht="15">
      <c r="A39" s="3182"/>
      <c r="B39" s="3262"/>
      <c r="C39" s="1321" t="s">
        <v>12</v>
      </c>
      <c r="D39" s="1356">
        <f>'[11]475ПП'!I73</f>
        <v>0</v>
      </c>
      <c r="E39" s="1356">
        <v>0</v>
      </c>
      <c r="F39" s="1356">
        <v>0</v>
      </c>
      <c r="G39" s="1323">
        <f t="shared" si="0"/>
        <v>0</v>
      </c>
      <c r="H39" s="3303"/>
      <c r="I39" s="3306"/>
      <c r="J39" s="3133"/>
      <c r="K39" s="3133"/>
      <c r="L39" s="3298"/>
      <c r="M39" s="3118"/>
    </row>
    <row r="40" spans="1:13" s="1361" customFormat="1" ht="21.75" customHeight="1">
      <c r="A40" s="3242" t="s">
        <v>2806</v>
      </c>
      <c r="B40" s="3245" t="s">
        <v>3499</v>
      </c>
      <c r="C40" s="1360" t="s">
        <v>8</v>
      </c>
      <c r="D40" s="1328">
        <f>SUM(D41:D44)</f>
        <v>2451.4306900000001</v>
      </c>
      <c r="E40" s="1328">
        <f>SUM(E41:E44)</f>
        <v>1934.9210000000003</v>
      </c>
      <c r="F40" s="1328">
        <f>SUM(F41:F44)</f>
        <v>1934.9210000000003</v>
      </c>
      <c r="G40" s="1323">
        <f t="shared" si="0"/>
        <v>0.78930275609790956</v>
      </c>
      <c r="H40" s="3289" t="s">
        <v>2810</v>
      </c>
      <c r="I40" s="3128" t="s">
        <v>3386</v>
      </c>
      <c r="J40" s="3131" t="s">
        <v>3384</v>
      </c>
      <c r="K40" s="3265" t="s">
        <v>2844</v>
      </c>
      <c r="L40" s="3128" t="s">
        <v>3522</v>
      </c>
      <c r="M40" s="3116">
        <v>823</v>
      </c>
    </row>
    <row r="41" spans="1:13" s="1361" customFormat="1" ht="21.75" customHeight="1">
      <c r="A41" s="3243"/>
      <c r="B41" s="3246"/>
      <c r="C41" s="1331" t="s">
        <v>9</v>
      </c>
      <c r="D41" s="1362">
        <f>'[11]475ПП'!F79</f>
        <v>2451.4306900000001</v>
      </c>
      <c r="E41" s="1362">
        <f>2093.541-158.62</f>
        <v>1934.9210000000003</v>
      </c>
      <c r="F41" s="1362">
        <f>E41</f>
        <v>1934.9210000000003</v>
      </c>
      <c r="G41" s="1323">
        <f t="shared" si="0"/>
        <v>0.78930275609790956</v>
      </c>
      <c r="H41" s="3290"/>
      <c r="I41" s="3129"/>
      <c r="J41" s="3132"/>
      <c r="K41" s="3284"/>
      <c r="L41" s="3129"/>
      <c r="M41" s="3117"/>
    </row>
    <row r="42" spans="1:13" s="1361" customFormat="1" ht="23.25" customHeight="1">
      <c r="A42" s="3243"/>
      <c r="B42" s="3246"/>
      <c r="C42" s="1331" t="s">
        <v>10</v>
      </c>
      <c r="D42" s="1326">
        <f>'[11]475ПП'!G79</f>
        <v>0</v>
      </c>
      <c r="E42" s="1362">
        <v>0</v>
      </c>
      <c r="F42" s="1362">
        <v>0</v>
      </c>
      <c r="G42" s="1323">
        <f t="shared" si="0"/>
        <v>0</v>
      </c>
      <c r="H42" s="3290"/>
      <c r="I42" s="3129"/>
      <c r="J42" s="3132"/>
      <c r="K42" s="3284"/>
      <c r="L42" s="3129"/>
      <c r="M42" s="3117"/>
    </row>
    <row r="43" spans="1:13" s="1361" customFormat="1" ht="22.5" customHeight="1">
      <c r="A43" s="3243"/>
      <c r="B43" s="3246"/>
      <c r="C43" s="1331" t="s">
        <v>11</v>
      </c>
      <c r="D43" s="1326">
        <f>'[11]475ПП'!H79</f>
        <v>0</v>
      </c>
      <c r="E43" s="1362">
        <v>0</v>
      </c>
      <c r="F43" s="1362">
        <v>0</v>
      </c>
      <c r="G43" s="1323">
        <f t="shared" si="0"/>
        <v>0</v>
      </c>
      <c r="H43" s="3290"/>
      <c r="I43" s="3129"/>
      <c r="J43" s="3132"/>
      <c r="K43" s="3284"/>
      <c r="L43" s="3129"/>
      <c r="M43" s="3117"/>
    </row>
    <row r="44" spans="1:13" s="1361" customFormat="1" ht="15" customHeight="1">
      <c r="A44" s="3244"/>
      <c r="B44" s="3247"/>
      <c r="C44" s="1331" t="s">
        <v>12</v>
      </c>
      <c r="D44" s="1326">
        <f>'[11]475ПП'!I79</f>
        <v>0</v>
      </c>
      <c r="E44" s="1362">
        <v>0</v>
      </c>
      <c r="F44" s="1362">
        <v>0</v>
      </c>
      <c r="G44" s="1323">
        <f t="shared" si="0"/>
        <v>0</v>
      </c>
      <c r="H44" s="3291"/>
      <c r="I44" s="3130"/>
      <c r="J44" s="3133"/>
      <c r="K44" s="3284"/>
      <c r="L44" s="3130"/>
      <c r="M44" s="3118"/>
    </row>
    <row r="45" spans="1:13" s="1361" customFormat="1" ht="15" customHeight="1">
      <c r="A45" s="3242" t="s">
        <v>2808</v>
      </c>
      <c r="B45" s="3245" t="s">
        <v>3203</v>
      </c>
      <c r="C45" s="1360" t="s">
        <v>8</v>
      </c>
      <c r="D45" s="1363">
        <f>SUM(D46:D49)</f>
        <v>57948.035000000003</v>
      </c>
      <c r="E45" s="1363">
        <f>SUM(E46:E49)</f>
        <v>49849.056770000003</v>
      </c>
      <c r="F45" s="1363">
        <f>SUM(F46:F49)</f>
        <v>49849.056770000003</v>
      </c>
      <c r="G45" s="1323">
        <f t="shared" si="0"/>
        <v>0.86023722409224057</v>
      </c>
      <c r="H45" s="3289" t="s">
        <v>2811</v>
      </c>
      <c r="I45" s="3128" t="s">
        <v>3513</v>
      </c>
      <c r="J45" s="3131" t="s">
        <v>3385</v>
      </c>
      <c r="K45" s="3265" t="s">
        <v>2799</v>
      </c>
      <c r="L45" s="3134"/>
      <c r="M45" s="3116">
        <v>823</v>
      </c>
    </row>
    <row r="46" spans="1:13" s="1361" customFormat="1" ht="15" customHeight="1">
      <c r="A46" s="3243"/>
      <c r="B46" s="3299"/>
      <c r="C46" s="1331" t="s">
        <v>9</v>
      </c>
      <c r="D46" s="1364">
        <f>'[11]475ПП'!F85</f>
        <v>57948.035000000003</v>
      </c>
      <c r="E46" s="1364">
        <f>F46</f>
        <v>49849.056770000003</v>
      </c>
      <c r="F46" s="1364">
        <f>[11]программа!P19</f>
        <v>49849.056770000003</v>
      </c>
      <c r="G46" s="1359">
        <f t="shared" si="0"/>
        <v>0.86023722409224057</v>
      </c>
      <c r="H46" s="3261"/>
      <c r="I46" s="3297"/>
      <c r="J46" s="3132"/>
      <c r="K46" s="3284"/>
      <c r="L46" s="3135"/>
      <c r="M46" s="3117"/>
    </row>
    <row r="47" spans="1:13" s="1361" customFormat="1" ht="15" customHeight="1">
      <c r="A47" s="3243"/>
      <c r="B47" s="3299"/>
      <c r="C47" s="1331" t="s">
        <v>10</v>
      </c>
      <c r="D47" s="1326">
        <f>'[11]475ПП'!G85</f>
        <v>0</v>
      </c>
      <c r="E47" s="1362">
        <v>0</v>
      </c>
      <c r="F47" s="1362">
        <v>0</v>
      </c>
      <c r="G47" s="1323">
        <f t="shared" si="0"/>
        <v>0</v>
      </c>
      <c r="H47" s="3261"/>
      <c r="I47" s="3297"/>
      <c r="J47" s="3132"/>
      <c r="K47" s="3284"/>
      <c r="L47" s="3135"/>
      <c r="M47" s="3117"/>
    </row>
    <row r="48" spans="1:13" s="1361" customFormat="1" ht="15" customHeight="1">
      <c r="A48" s="3243"/>
      <c r="B48" s="3299"/>
      <c r="C48" s="1331" t="s">
        <v>11</v>
      </c>
      <c r="D48" s="1326">
        <f>'[11]475ПП'!H85</f>
        <v>0</v>
      </c>
      <c r="E48" s="1362">
        <v>0</v>
      </c>
      <c r="F48" s="1362">
        <v>0</v>
      </c>
      <c r="G48" s="1323">
        <f t="shared" si="0"/>
        <v>0</v>
      </c>
      <c r="H48" s="3261"/>
      <c r="I48" s="3297"/>
      <c r="J48" s="3132"/>
      <c r="K48" s="3284"/>
      <c r="L48" s="3135"/>
      <c r="M48" s="3117"/>
    </row>
    <row r="49" spans="1:13" s="1361" customFormat="1" ht="42" customHeight="1">
      <c r="A49" s="3244"/>
      <c r="B49" s="3300"/>
      <c r="C49" s="1331" t="s">
        <v>12</v>
      </c>
      <c r="D49" s="1326">
        <f>'[11]475ПП'!I85</f>
        <v>0</v>
      </c>
      <c r="E49" s="1362">
        <v>0</v>
      </c>
      <c r="F49" s="1362">
        <v>0</v>
      </c>
      <c r="G49" s="1323">
        <f t="shared" si="0"/>
        <v>0</v>
      </c>
      <c r="H49" s="3262"/>
      <c r="I49" s="3298"/>
      <c r="J49" s="3133"/>
      <c r="K49" s="3285"/>
      <c r="L49" s="3136"/>
      <c r="M49" s="3117"/>
    </row>
    <row r="50" spans="1:13" s="1361" customFormat="1" ht="15" customHeight="1">
      <c r="A50" s="3195" t="s">
        <v>2908</v>
      </c>
      <c r="B50" s="3281" t="s">
        <v>2903</v>
      </c>
      <c r="C50" s="1360" t="s">
        <v>8</v>
      </c>
      <c r="D50" s="1329">
        <f>SUM(D51:D54)</f>
        <v>20000</v>
      </c>
      <c r="E50" s="1365">
        <f>SUM(E51:E54)</f>
        <v>10000</v>
      </c>
      <c r="F50" s="1365">
        <f>SUM(F51:F54)</f>
        <v>10000</v>
      </c>
      <c r="G50" s="1323">
        <f t="shared" si="0"/>
        <v>0.5</v>
      </c>
      <c r="H50" s="3287" t="s">
        <v>2897</v>
      </c>
      <c r="I50" s="3128" t="s">
        <v>3512</v>
      </c>
      <c r="J50" s="3131" t="s">
        <v>3385</v>
      </c>
      <c r="K50" s="3265" t="s">
        <v>2799</v>
      </c>
      <c r="L50" s="3134"/>
      <c r="M50" s="3116">
        <v>823</v>
      </c>
    </row>
    <row r="51" spans="1:13" s="1361" customFormat="1" ht="15" customHeight="1">
      <c r="A51" s="3196"/>
      <c r="B51" s="3282"/>
      <c r="C51" s="1331" t="s">
        <v>9</v>
      </c>
      <c r="D51" s="1322">
        <f>'[11]475ПП'!F91</f>
        <v>20000</v>
      </c>
      <c r="E51" s="1333">
        <f>[11]Документ!L24</f>
        <v>10000</v>
      </c>
      <c r="F51" s="1333">
        <f>E51</f>
        <v>10000</v>
      </c>
      <c r="G51" s="1323">
        <f t="shared" si="0"/>
        <v>0.5</v>
      </c>
      <c r="H51" s="3296"/>
      <c r="I51" s="3297"/>
      <c r="J51" s="3132"/>
      <c r="K51" s="3284"/>
      <c r="L51" s="3135"/>
      <c r="M51" s="3117"/>
    </row>
    <row r="52" spans="1:13" s="1361" customFormat="1" ht="15" customHeight="1">
      <c r="A52" s="3196"/>
      <c r="B52" s="3282"/>
      <c r="C52" s="1331" t="s">
        <v>10</v>
      </c>
      <c r="D52" s="1322">
        <f>'[11]475ПП'!G91</f>
        <v>0</v>
      </c>
      <c r="E52" s="1333">
        <v>0</v>
      </c>
      <c r="F52" s="1333">
        <v>0</v>
      </c>
      <c r="G52" s="1323">
        <f t="shared" si="0"/>
        <v>0</v>
      </c>
      <c r="H52" s="3296"/>
      <c r="I52" s="3297"/>
      <c r="J52" s="3132"/>
      <c r="K52" s="3284"/>
      <c r="L52" s="3135"/>
      <c r="M52" s="3117"/>
    </row>
    <row r="53" spans="1:13" s="1361" customFormat="1" ht="15" customHeight="1">
      <c r="A53" s="3196"/>
      <c r="B53" s="3282"/>
      <c r="C53" s="1331" t="s">
        <v>11</v>
      </c>
      <c r="D53" s="1322">
        <f>'[11]475ПП'!H91</f>
        <v>0</v>
      </c>
      <c r="E53" s="1333">
        <v>0</v>
      </c>
      <c r="F53" s="1333">
        <v>0</v>
      </c>
      <c r="G53" s="1323">
        <f t="shared" si="0"/>
        <v>0</v>
      </c>
      <c r="H53" s="3296"/>
      <c r="I53" s="3297"/>
      <c r="J53" s="3132"/>
      <c r="K53" s="3284"/>
      <c r="L53" s="3135"/>
      <c r="M53" s="3117"/>
    </row>
    <row r="54" spans="1:13" s="1361" customFormat="1" ht="45.75" customHeight="1">
      <c r="A54" s="3197"/>
      <c r="B54" s="3283"/>
      <c r="C54" s="1331" t="s">
        <v>12</v>
      </c>
      <c r="D54" s="1322">
        <f>'[11]475ПП'!I91</f>
        <v>0</v>
      </c>
      <c r="E54" s="1333">
        <v>0</v>
      </c>
      <c r="F54" s="1333">
        <v>0</v>
      </c>
      <c r="G54" s="1323">
        <f t="shared" si="0"/>
        <v>0</v>
      </c>
      <c r="H54" s="3296"/>
      <c r="I54" s="3298"/>
      <c r="J54" s="3133"/>
      <c r="K54" s="3285"/>
      <c r="L54" s="3136"/>
      <c r="M54" s="3117"/>
    </row>
    <row r="55" spans="1:13" s="1361" customFormat="1" ht="32.25" customHeight="1">
      <c r="A55" s="3195" t="s">
        <v>2913</v>
      </c>
      <c r="B55" s="3281" t="s">
        <v>2905</v>
      </c>
      <c r="C55" s="1360" t="s">
        <v>8</v>
      </c>
      <c r="D55" s="1326">
        <f>SUM(D56:D59)</f>
        <v>26000</v>
      </c>
      <c r="E55" s="1362">
        <f>SUM(E56:E59)</f>
        <v>22500</v>
      </c>
      <c r="F55" s="1362">
        <f>SUM(F56:F59)</f>
        <v>22500</v>
      </c>
      <c r="G55" s="1323">
        <f t="shared" si="0"/>
        <v>0.86538461538461542</v>
      </c>
      <c r="H55" s="3170" t="s">
        <v>3196</v>
      </c>
      <c r="I55" s="3199" t="s">
        <v>3382</v>
      </c>
      <c r="J55" s="3131" t="s">
        <v>3385</v>
      </c>
      <c r="K55" s="3265" t="s">
        <v>2799</v>
      </c>
      <c r="L55" s="3179"/>
      <c r="M55" s="3295">
        <v>823</v>
      </c>
    </row>
    <row r="56" spans="1:13" s="1361" customFormat="1" ht="25.5" customHeight="1">
      <c r="A56" s="3196"/>
      <c r="B56" s="3282"/>
      <c r="C56" s="1331" t="s">
        <v>9</v>
      </c>
      <c r="D56" s="1326">
        <f>'[11]475ПП'!F109</f>
        <v>26000</v>
      </c>
      <c r="E56" s="1362">
        <f>[11]Документ!L30</f>
        <v>22500</v>
      </c>
      <c r="F56" s="1362">
        <f>E56</f>
        <v>22500</v>
      </c>
      <c r="G56" s="1323">
        <f t="shared" si="0"/>
        <v>0.86538461538461542</v>
      </c>
      <c r="H56" s="3171"/>
      <c r="I56" s="3132"/>
      <c r="J56" s="3132"/>
      <c r="K56" s="3284"/>
      <c r="L56" s="3179"/>
      <c r="M56" s="3295"/>
    </row>
    <row r="57" spans="1:13" s="1361" customFormat="1" ht="15" customHeight="1">
      <c r="A57" s="3196"/>
      <c r="B57" s="3282"/>
      <c r="C57" s="1331" t="s">
        <v>10</v>
      </c>
      <c r="D57" s="1326">
        <f>'[11]475ПП'!G109</f>
        <v>0</v>
      </c>
      <c r="E57" s="1362">
        <v>0</v>
      </c>
      <c r="F57" s="1362">
        <v>0</v>
      </c>
      <c r="G57" s="1323">
        <f t="shared" si="0"/>
        <v>0</v>
      </c>
      <c r="H57" s="3171"/>
      <c r="I57" s="3132"/>
      <c r="J57" s="3132"/>
      <c r="K57" s="3284"/>
      <c r="L57" s="3179"/>
      <c r="M57" s="3295"/>
    </row>
    <row r="58" spans="1:13" s="1361" customFormat="1" ht="21" customHeight="1">
      <c r="A58" s="3196"/>
      <c r="B58" s="3282"/>
      <c r="C58" s="1331" t="s">
        <v>11</v>
      </c>
      <c r="D58" s="1326">
        <f>'[11]475ПП'!H109</f>
        <v>0</v>
      </c>
      <c r="E58" s="1362">
        <v>0</v>
      </c>
      <c r="F58" s="1362">
        <v>0</v>
      </c>
      <c r="G58" s="1323">
        <f t="shared" si="0"/>
        <v>0</v>
      </c>
      <c r="H58" s="3171"/>
      <c r="I58" s="3132"/>
      <c r="J58" s="3132"/>
      <c r="K58" s="3284"/>
      <c r="L58" s="3179"/>
      <c r="M58" s="3295"/>
    </row>
    <row r="59" spans="1:13" s="1361" customFormat="1" ht="15" customHeight="1">
      <c r="A59" s="3197"/>
      <c r="B59" s="3283"/>
      <c r="C59" s="1331" t="s">
        <v>12</v>
      </c>
      <c r="D59" s="1326">
        <f>'[11]475ПП'!I109</f>
        <v>0</v>
      </c>
      <c r="E59" s="1362">
        <v>0</v>
      </c>
      <c r="F59" s="1362">
        <v>0</v>
      </c>
      <c r="G59" s="1323">
        <f t="shared" si="0"/>
        <v>0</v>
      </c>
      <c r="H59" s="3172"/>
      <c r="I59" s="3133"/>
      <c r="J59" s="3133"/>
      <c r="K59" s="3285"/>
      <c r="L59" s="3179"/>
      <c r="M59" s="3295"/>
    </row>
    <row r="60" spans="1:13" s="1361" customFormat="1" ht="24.75" customHeight="1">
      <c r="A60" s="3195" t="s">
        <v>3195</v>
      </c>
      <c r="B60" s="3281" t="s">
        <v>3194</v>
      </c>
      <c r="C60" s="1360" t="s">
        <v>8</v>
      </c>
      <c r="D60" s="1326">
        <f>SUM(D61:D64)</f>
        <v>14210.526320000001</v>
      </c>
      <c r="E60" s="1362">
        <f>SUM(E61:E64)</f>
        <v>0</v>
      </c>
      <c r="F60" s="1362">
        <f>SUM(F61:F64)</f>
        <v>0</v>
      </c>
      <c r="G60" s="1323">
        <f t="shared" si="0"/>
        <v>0</v>
      </c>
      <c r="H60" s="3170" t="s">
        <v>3366</v>
      </c>
      <c r="I60" s="3199" t="s">
        <v>3487</v>
      </c>
      <c r="J60" s="3199" t="s">
        <v>3488</v>
      </c>
      <c r="K60" s="3265" t="s">
        <v>2852</v>
      </c>
      <c r="L60" s="3128" t="s">
        <v>3527</v>
      </c>
      <c r="M60" s="3295">
        <v>823</v>
      </c>
    </row>
    <row r="61" spans="1:13" s="1361" customFormat="1" ht="15" customHeight="1">
      <c r="A61" s="3196"/>
      <c r="B61" s="3282"/>
      <c r="C61" s="1331" t="s">
        <v>9</v>
      </c>
      <c r="D61" s="1326">
        <f>'[11]475ПП'!F127</f>
        <v>9000</v>
      </c>
      <c r="E61" s="1362">
        <v>0</v>
      </c>
      <c r="F61" s="1362">
        <v>0</v>
      </c>
      <c r="G61" s="1323">
        <f t="shared" si="0"/>
        <v>0</v>
      </c>
      <c r="H61" s="3171"/>
      <c r="I61" s="3132"/>
      <c r="J61" s="3132"/>
      <c r="K61" s="3284"/>
      <c r="L61" s="3129"/>
      <c r="M61" s="3295"/>
    </row>
    <row r="62" spans="1:13" s="1361" customFormat="1" ht="15" customHeight="1">
      <c r="A62" s="3196"/>
      <c r="B62" s="3282"/>
      <c r="C62" s="1331" t="s">
        <v>10</v>
      </c>
      <c r="D62" s="1326">
        <f>'[11]475ПП'!G127</f>
        <v>0</v>
      </c>
      <c r="E62" s="1362">
        <v>0</v>
      </c>
      <c r="F62" s="1362">
        <v>0</v>
      </c>
      <c r="G62" s="1323">
        <f t="shared" si="0"/>
        <v>0</v>
      </c>
      <c r="H62" s="3171"/>
      <c r="I62" s="3132"/>
      <c r="J62" s="3132"/>
      <c r="K62" s="3284"/>
      <c r="L62" s="3129"/>
      <c r="M62" s="3295"/>
    </row>
    <row r="63" spans="1:13" s="1361" customFormat="1" ht="15" customHeight="1">
      <c r="A63" s="3196"/>
      <c r="B63" s="3282"/>
      <c r="C63" s="1331" t="s">
        <v>11</v>
      </c>
      <c r="D63" s="1326">
        <f>'[11]475ПП'!H127</f>
        <v>5210.5263199999999</v>
      </c>
      <c r="E63" s="1362">
        <v>0</v>
      </c>
      <c r="F63" s="1362">
        <v>0</v>
      </c>
      <c r="G63" s="1323">
        <f t="shared" si="0"/>
        <v>0</v>
      </c>
      <c r="H63" s="3171"/>
      <c r="I63" s="3132"/>
      <c r="J63" s="3132"/>
      <c r="K63" s="3284"/>
      <c r="L63" s="3129"/>
      <c r="M63" s="3295"/>
    </row>
    <row r="64" spans="1:13" s="1361" customFormat="1" ht="15" customHeight="1">
      <c r="A64" s="3197"/>
      <c r="B64" s="3283"/>
      <c r="C64" s="1331" t="s">
        <v>12</v>
      </c>
      <c r="D64" s="1326">
        <f>'[11]475ПП'!I127</f>
        <v>0</v>
      </c>
      <c r="E64" s="1362">
        <v>0</v>
      </c>
      <c r="F64" s="1362">
        <v>0</v>
      </c>
      <c r="G64" s="1323">
        <f t="shared" si="0"/>
        <v>0</v>
      </c>
      <c r="H64" s="3172"/>
      <c r="I64" s="3133"/>
      <c r="J64" s="3133"/>
      <c r="K64" s="3285"/>
      <c r="L64" s="3130"/>
      <c r="M64" s="3295"/>
    </row>
    <row r="65" spans="1:13" s="1361" customFormat="1" ht="15" customHeight="1">
      <c r="A65" s="3195" t="s">
        <v>3193</v>
      </c>
      <c r="B65" s="3281" t="s">
        <v>3192</v>
      </c>
      <c r="C65" s="1360" t="s">
        <v>8</v>
      </c>
      <c r="D65" s="1326">
        <f>SUM(D66:D69)</f>
        <v>42275.265019999999</v>
      </c>
      <c r="E65" s="1362">
        <f>SUM(E66:E69)</f>
        <v>31380.653770000001</v>
      </c>
      <c r="F65" s="1362">
        <f>SUM(F66:F69)</f>
        <v>31380.653770000001</v>
      </c>
      <c r="G65" s="1323">
        <f t="shared" si="0"/>
        <v>0.74229348426684327</v>
      </c>
      <c r="H65" s="3170" t="s">
        <v>3366</v>
      </c>
      <c r="I65" s="3199" t="s">
        <v>3372</v>
      </c>
      <c r="J65" s="3199" t="s">
        <v>3488</v>
      </c>
      <c r="K65" s="3265" t="s">
        <v>2852</v>
      </c>
      <c r="L65" s="3128" t="s">
        <v>3527</v>
      </c>
      <c r="M65" s="3116">
        <v>823</v>
      </c>
    </row>
    <row r="66" spans="1:13" s="1361" customFormat="1" ht="15" customHeight="1">
      <c r="A66" s="3196"/>
      <c r="B66" s="3282"/>
      <c r="C66" s="1331" t="s">
        <v>9</v>
      </c>
      <c r="D66" s="1366">
        <f>'[11]475ПП'!F133</f>
        <v>35000</v>
      </c>
      <c r="E66" s="1364">
        <f>[11]программа!P49</f>
        <v>31380.653770000001</v>
      </c>
      <c r="F66" s="1364">
        <f>E66</f>
        <v>31380.653770000001</v>
      </c>
      <c r="G66" s="1359">
        <f t="shared" si="0"/>
        <v>0.89659010771428571</v>
      </c>
      <c r="H66" s="3171"/>
      <c r="I66" s="3132"/>
      <c r="J66" s="3132"/>
      <c r="K66" s="3284"/>
      <c r="L66" s="3129"/>
      <c r="M66" s="3117"/>
    </row>
    <row r="67" spans="1:13" s="1361" customFormat="1" ht="15" customHeight="1">
      <c r="A67" s="3196"/>
      <c r="B67" s="3282"/>
      <c r="C67" s="1331" t="s">
        <v>10</v>
      </c>
      <c r="D67" s="1326">
        <f>'[11]475ПП'!G133</f>
        <v>0</v>
      </c>
      <c r="E67" s="1362">
        <v>0</v>
      </c>
      <c r="F67" s="1362">
        <v>0</v>
      </c>
      <c r="G67" s="1323">
        <f t="shared" si="0"/>
        <v>0</v>
      </c>
      <c r="H67" s="3171"/>
      <c r="I67" s="3132"/>
      <c r="J67" s="3132"/>
      <c r="K67" s="3284"/>
      <c r="L67" s="3129"/>
      <c r="M67" s="3117"/>
    </row>
    <row r="68" spans="1:13" s="1361" customFormat="1" ht="15" customHeight="1">
      <c r="A68" s="3196"/>
      <c r="B68" s="3282"/>
      <c r="C68" s="1331" t="s">
        <v>11</v>
      </c>
      <c r="D68" s="1326">
        <f>'[11]475ПП'!H133</f>
        <v>7275.2650199999998</v>
      </c>
      <c r="E68" s="1362">
        <v>0</v>
      </c>
      <c r="F68" s="1362">
        <v>0</v>
      </c>
      <c r="G68" s="1323">
        <f t="shared" si="0"/>
        <v>0</v>
      </c>
      <c r="H68" s="3171"/>
      <c r="I68" s="3132"/>
      <c r="J68" s="3132"/>
      <c r="K68" s="3284"/>
      <c r="L68" s="3129"/>
      <c r="M68" s="3117"/>
    </row>
    <row r="69" spans="1:13" s="1361" customFormat="1" ht="15" customHeight="1">
      <c r="A69" s="3197"/>
      <c r="B69" s="3283"/>
      <c r="C69" s="1331" t="s">
        <v>12</v>
      </c>
      <c r="D69" s="1326">
        <f>'[11]475ПП'!I133</f>
        <v>0</v>
      </c>
      <c r="E69" s="1362">
        <v>0</v>
      </c>
      <c r="F69" s="1362">
        <v>0</v>
      </c>
      <c r="G69" s="1323">
        <f t="shared" ref="G69:G132" si="12">IFERROR(F69/D69,0)</f>
        <v>0</v>
      </c>
      <c r="H69" s="3172"/>
      <c r="I69" s="3133"/>
      <c r="J69" s="3133"/>
      <c r="K69" s="3285"/>
      <c r="L69" s="3130"/>
      <c r="M69" s="3117"/>
    </row>
    <row r="70" spans="1:13" s="1361" customFormat="1" ht="15" customHeight="1">
      <c r="A70" s="3195" t="s">
        <v>3190</v>
      </c>
      <c r="B70" s="3281" t="s">
        <v>3189</v>
      </c>
      <c r="C70" s="1360" t="s">
        <v>8</v>
      </c>
      <c r="D70" s="1326">
        <f>SUM(D71:D74)</f>
        <v>14000</v>
      </c>
      <c r="E70" s="1362">
        <f>SUM(E71:E74)</f>
        <v>0</v>
      </c>
      <c r="F70" s="1362">
        <f>SUM(F71:F74)</f>
        <v>0</v>
      </c>
      <c r="G70" s="1323">
        <f t="shared" si="12"/>
        <v>0</v>
      </c>
      <c r="H70" s="3170" t="s">
        <v>3187</v>
      </c>
      <c r="I70" s="3292" t="s">
        <v>3500</v>
      </c>
      <c r="J70" s="3183" t="s">
        <v>3488</v>
      </c>
      <c r="K70" s="3265" t="s">
        <v>2799</v>
      </c>
      <c r="L70" s="3128" t="s">
        <v>3527</v>
      </c>
      <c r="M70" s="3116">
        <v>823</v>
      </c>
    </row>
    <row r="71" spans="1:13" s="1361" customFormat="1" ht="15" customHeight="1">
      <c r="A71" s="3196"/>
      <c r="B71" s="3282"/>
      <c r="C71" s="1331" t="s">
        <v>9</v>
      </c>
      <c r="D71" s="1326">
        <f>'[11]475ПП'!F139</f>
        <v>14000</v>
      </c>
      <c r="E71" s="1362">
        <v>0</v>
      </c>
      <c r="F71" s="1362">
        <v>0</v>
      </c>
      <c r="G71" s="1323">
        <f t="shared" si="12"/>
        <v>0</v>
      </c>
      <c r="H71" s="3171"/>
      <c r="I71" s="3293"/>
      <c r="J71" s="3184"/>
      <c r="K71" s="3284"/>
      <c r="L71" s="3129"/>
      <c r="M71" s="3117"/>
    </row>
    <row r="72" spans="1:13" s="1361" customFormat="1" ht="15" customHeight="1">
      <c r="A72" s="3196"/>
      <c r="B72" s="3282"/>
      <c r="C72" s="1331" t="s">
        <v>10</v>
      </c>
      <c r="D72" s="1326">
        <f>'[11]475ПП'!G139</f>
        <v>0</v>
      </c>
      <c r="E72" s="1362">
        <v>0</v>
      </c>
      <c r="F72" s="1362">
        <v>0</v>
      </c>
      <c r="G72" s="1323">
        <f t="shared" si="12"/>
        <v>0</v>
      </c>
      <c r="H72" s="3171"/>
      <c r="I72" s="3293"/>
      <c r="J72" s="3184"/>
      <c r="K72" s="3284"/>
      <c r="L72" s="3129"/>
      <c r="M72" s="3117"/>
    </row>
    <row r="73" spans="1:13" s="1361" customFormat="1" ht="15" customHeight="1">
      <c r="A73" s="3196"/>
      <c r="B73" s="3282"/>
      <c r="C73" s="1331" t="s">
        <v>11</v>
      </c>
      <c r="D73" s="1326">
        <f>'[11]475ПП'!H139</f>
        <v>0</v>
      </c>
      <c r="E73" s="1362">
        <v>0</v>
      </c>
      <c r="F73" s="1362">
        <v>0</v>
      </c>
      <c r="G73" s="1323">
        <f t="shared" si="12"/>
        <v>0</v>
      </c>
      <c r="H73" s="3171"/>
      <c r="I73" s="3293"/>
      <c r="J73" s="3184"/>
      <c r="K73" s="3284"/>
      <c r="L73" s="3129"/>
      <c r="M73" s="3117"/>
    </row>
    <row r="74" spans="1:13" s="1361" customFormat="1" ht="15" customHeight="1">
      <c r="A74" s="3197"/>
      <c r="B74" s="3283"/>
      <c r="C74" s="1331" t="s">
        <v>12</v>
      </c>
      <c r="D74" s="1326">
        <f>'[11]475ПП'!I139</f>
        <v>0</v>
      </c>
      <c r="E74" s="1362">
        <v>0</v>
      </c>
      <c r="F74" s="1362">
        <v>0</v>
      </c>
      <c r="G74" s="1323">
        <f t="shared" si="12"/>
        <v>0</v>
      </c>
      <c r="H74" s="3172"/>
      <c r="I74" s="3294"/>
      <c r="J74" s="3185"/>
      <c r="K74" s="3285"/>
      <c r="L74" s="3130"/>
      <c r="M74" s="3117"/>
    </row>
    <row r="75" spans="1:13" s="1347" customFormat="1">
      <c r="A75" s="3189" t="s">
        <v>3236</v>
      </c>
      <c r="B75" s="3140" t="s">
        <v>2870</v>
      </c>
      <c r="C75" s="1367" t="s">
        <v>8</v>
      </c>
      <c r="D75" s="1368">
        <f>SUM(D76:D79)</f>
        <v>8857.2914899999996</v>
      </c>
      <c r="E75" s="1368">
        <f>SUM(E76:E79)</f>
        <v>5290.8535499999998</v>
      </c>
      <c r="F75" s="1368">
        <f>SUM(F76:F79)</f>
        <v>5290.8535499999998</v>
      </c>
      <c r="G75" s="1344">
        <f t="shared" si="12"/>
        <v>0.59734440895091279</v>
      </c>
      <c r="H75" s="3192" t="s">
        <v>3185</v>
      </c>
      <c r="I75" s="1345" t="s">
        <v>267</v>
      </c>
      <c r="J75" s="1349">
        <f>SUM(J76:J78)</f>
        <v>3</v>
      </c>
      <c r="K75" s="3146" t="s">
        <v>2798</v>
      </c>
      <c r="L75" s="3146"/>
      <c r="M75" s="3149">
        <v>823</v>
      </c>
    </row>
    <row r="76" spans="1:13" s="1347" customFormat="1">
      <c r="A76" s="3190"/>
      <c r="B76" s="3141"/>
      <c r="C76" s="1367" t="s">
        <v>9</v>
      </c>
      <c r="D76" s="1369">
        <f t="shared" ref="D76:E79" si="13">SUM(D81,D86,D91)</f>
        <v>7260.9914900000003</v>
      </c>
      <c r="E76" s="1369">
        <f t="shared" si="13"/>
        <v>4175.2220699999998</v>
      </c>
      <c r="F76" s="1369">
        <f t="shared" ref="F76:F79" si="14">E76</f>
        <v>4175.2220699999998</v>
      </c>
      <c r="G76" s="1344">
        <f t="shared" si="12"/>
        <v>0.57502092871892341</v>
      </c>
      <c r="H76" s="3193"/>
      <c r="I76" s="1345" t="s">
        <v>268</v>
      </c>
      <c r="J76" s="1349">
        <f>COUNTIF($J$80:$J$94,"Да")</f>
        <v>0</v>
      </c>
      <c r="K76" s="3147"/>
      <c r="L76" s="3147"/>
      <c r="M76" s="3150"/>
    </row>
    <row r="77" spans="1:13" s="1347" customFormat="1">
      <c r="A77" s="3190"/>
      <c r="B77" s="3141"/>
      <c r="C77" s="1367" t="s">
        <v>10</v>
      </c>
      <c r="D77" s="1369">
        <f t="shared" si="13"/>
        <v>1596.3</v>
      </c>
      <c r="E77" s="1369">
        <f t="shared" si="13"/>
        <v>1115.63148</v>
      </c>
      <c r="F77" s="1369">
        <f t="shared" si="14"/>
        <v>1115.63148</v>
      </c>
      <c r="G77" s="1344">
        <f t="shared" si="12"/>
        <v>0.69888584852471347</v>
      </c>
      <c r="H77" s="3193"/>
      <c r="I77" s="1345" t="s">
        <v>269</v>
      </c>
      <c r="J77" s="1349">
        <f>COUNTIF($J$80:$J$94,"Частично")</f>
        <v>2</v>
      </c>
      <c r="K77" s="3147"/>
      <c r="L77" s="3147"/>
      <c r="M77" s="3150"/>
    </row>
    <row r="78" spans="1:13" s="1347" customFormat="1">
      <c r="A78" s="3190"/>
      <c r="B78" s="3141"/>
      <c r="C78" s="1367" t="s">
        <v>11</v>
      </c>
      <c r="D78" s="1369">
        <f t="shared" si="13"/>
        <v>0</v>
      </c>
      <c r="E78" s="1369">
        <f t="shared" si="13"/>
        <v>0</v>
      </c>
      <c r="F78" s="1369">
        <f t="shared" si="14"/>
        <v>0</v>
      </c>
      <c r="G78" s="1344">
        <f t="shared" si="12"/>
        <v>0</v>
      </c>
      <c r="H78" s="3193"/>
      <c r="I78" s="1345" t="s">
        <v>270</v>
      </c>
      <c r="J78" s="1349">
        <f>COUNTIF($J$80:$J$94,"Нет")</f>
        <v>1</v>
      </c>
      <c r="K78" s="3147"/>
      <c r="L78" s="3147"/>
      <c r="M78" s="3150"/>
    </row>
    <row r="79" spans="1:13" s="1347" customFormat="1">
      <c r="A79" s="3191"/>
      <c r="B79" s="3142"/>
      <c r="C79" s="1367" t="s">
        <v>12</v>
      </c>
      <c r="D79" s="1369">
        <f t="shared" si="13"/>
        <v>0</v>
      </c>
      <c r="E79" s="1369">
        <f t="shared" si="13"/>
        <v>0</v>
      </c>
      <c r="F79" s="1369">
        <f t="shared" si="14"/>
        <v>0</v>
      </c>
      <c r="G79" s="1344">
        <f t="shared" si="12"/>
        <v>0</v>
      </c>
      <c r="H79" s="3194"/>
      <c r="I79" s="1345" t="s">
        <v>271</v>
      </c>
      <c r="J79" s="1370">
        <f>(J76+0.5*J77)/J75</f>
        <v>0.33333333333333331</v>
      </c>
      <c r="K79" s="3147"/>
      <c r="L79" s="3147"/>
      <c r="M79" s="3151"/>
    </row>
    <row r="80" spans="1:13" s="1361" customFormat="1" ht="15" customHeight="1">
      <c r="A80" s="3242" t="s">
        <v>3237</v>
      </c>
      <c r="B80" s="3170" t="s">
        <v>655</v>
      </c>
      <c r="C80" s="1331" t="s">
        <v>8</v>
      </c>
      <c r="D80" s="1328">
        <f>SUM(D81:D84)</f>
        <v>1698.1914899999999</v>
      </c>
      <c r="E80" s="1328">
        <f>SUM(E81:E84)</f>
        <v>1186.8420000000001</v>
      </c>
      <c r="F80" s="1328">
        <f>SUM(F81:F84)</f>
        <v>1186.8420000000001</v>
      </c>
      <c r="G80" s="1323">
        <f t="shared" si="12"/>
        <v>0.69888584826202382</v>
      </c>
      <c r="H80" s="3289" t="s">
        <v>3183</v>
      </c>
      <c r="I80" s="3265" t="s">
        <v>3373</v>
      </c>
      <c r="J80" s="3131" t="s">
        <v>3385</v>
      </c>
      <c r="K80" s="3265" t="s">
        <v>2799</v>
      </c>
      <c r="L80" s="3128"/>
      <c r="M80" s="3116">
        <v>823</v>
      </c>
    </row>
    <row r="81" spans="1:13" s="1361" customFormat="1" ht="15" customHeight="1">
      <c r="A81" s="3243"/>
      <c r="B81" s="3171"/>
      <c r="C81" s="1331" t="s">
        <v>9</v>
      </c>
      <c r="D81" s="1354">
        <f>'[11]475ПП'!F151</f>
        <v>101.89149</v>
      </c>
      <c r="E81" s="1354">
        <f>'[11]2023_КАССА'!G45</f>
        <v>71.210520000000002</v>
      </c>
      <c r="F81" s="1354">
        <f t="shared" ref="F81:F82" si="15">E81</f>
        <v>71.210520000000002</v>
      </c>
      <c r="G81" s="1323">
        <f t="shared" si="12"/>
        <v>0.69888584414655242</v>
      </c>
      <c r="H81" s="3290"/>
      <c r="I81" s="3284"/>
      <c r="J81" s="3132"/>
      <c r="K81" s="3284"/>
      <c r="L81" s="3129"/>
      <c r="M81" s="3117"/>
    </row>
    <row r="82" spans="1:13" s="1361" customFormat="1" ht="15" customHeight="1">
      <c r="A82" s="3243"/>
      <c r="B82" s="3171"/>
      <c r="C82" s="1331" t="s">
        <v>10</v>
      </c>
      <c r="D82" s="1326">
        <f>'[11]475ПП'!G151</f>
        <v>1596.3</v>
      </c>
      <c r="E82" s="1326">
        <f>'[11]2023_КАССА'!G44</f>
        <v>1115.63148</v>
      </c>
      <c r="F82" s="1326">
        <f t="shared" si="15"/>
        <v>1115.63148</v>
      </c>
      <c r="G82" s="1323">
        <f t="shared" si="12"/>
        <v>0.69888584852471347</v>
      </c>
      <c r="H82" s="3290"/>
      <c r="I82" s="3284"/>
      <c r="J82" s="3132"/>
      <c r="K82" s="3284"/>
      <c r="L82" s="3129"/>
      <c r="M82" s="3117"/>
    </row>
    <row r="83" spans="1:13" s="1361" customFormat="1" ht="15" customHeight="1">
      <c r="A83" s="3243"/>
      <c r="B83" s="3171"/>
      <c r="C83" s="1331" t="s">
        <v>11</v>
      </c>
      <c r="D83" s="1326">
        <f>'[11]475ПП'!H151</f>
        <v>0</v>
      </c>
      <c r="E83" s="1362">
        <v>0</v>
      </c>
      <c r="F83" s="1362">
        <v>0</v>
      </c>
      <c r="G83" s="1323">
        <f t="shared" si="12"/>
        <v>0</v>
      </c>
      <c r="H83" s="3290"/>
      <c r="I83" s="3284"/>
      <c r="J83" s="3132"/>
      <c r="K83" s="3284"/>
      <c r="L83" s="3129"/>
      <c r="M83" s="3117"/>
    </row>
    <row r="84" spans="1:13" s="1361" customFormat="1" ht="15" customHeight="1">
      <c r="A84" s="3244"/>
      <c r="B84" s="3172"/>
      <c r="C84" s="1331" t="s">
        <v>12</v>
      </c>
      <c r="D84" s="1326">
        <f>'[11]475ПП'!I151</f>
        <v>0</v>
      </c>
      <c r="E84" s="1362">
        <v>0</v>
      </c>
      <c r="F84" s="1362">
        <v>0</v>
      </c>
      <c r="G84" s="1323">
        <f t="shared" si="12"/>
        <v>0</v>
      </c>
      <c r="H84" s="3291"/>
      <c r="I84" s="3285"/>
      <c r="J84" s="3133"/>
      <c r="K84" s="3285"/>
      <c r="L84" s="3130"/>
      <c r="M84" s="3118"/>
    </row>
    <row r="85" spans="1:13" s="1361" customFormat="1" ht="15">
      <c r="A85" s="3242" t="s">
        <v>3238</v>
      </c>
      <c r="B85" s="3286" t="s">
        <v>3374</v>
      </c>
      <c r="C85" s="1331" t="s">
        <v>8</v>
      </c>
      <c r="D85" s="1326">
        <f>SUM(D86:D89)</f>
        <v>3159.1</v>
      </c>
      <c r="E85" s="1362">
        <f>SUM(E86:E89)</f>
        <v>1120.5</v>
      </c>
      <c r="F85" s="1362">
        <f>SUM(F86:F89)</f>
        <v>1120.5</v>
      </c>
      <c r="G85" s="1323">
        <f t="shared" si="12"/>
        <v>0.35468962679244087</v>
      </c>
      <c r="H85" s="3287" t="str">
        <f>'[7]Пр ГП 19-20'!$J$41</f>
        <v xml:space="preserve">Обучение плаванию ежегодно не менее 500 человек </v>
      </c>
      <c r="I85" s="3265" t="s">
        <v>3375</v>
      </c>
      <c r="J85" s="3183" t="s">
        <v>3488</v>
      </c>
      <c r="K85" s="3288" t="s">
        <v>2799</v>
      </c>
      <c r="L85" s="3128" t="s">
        <v>3526</v>
      </c>
      <c r="M85" s="3116">
        <v>823</v>
      </c>
    </row>
    <row r="86" spans="1:13" s="1361" customFormat="1" ht="15">
      <c r="A86" s="3243"/>
      <c r="B86" s="3286"/>
      <c r="C86" s="1371" t="s">
        <v>9</v>
      </c>
      <c r="D86" s="1366">
        <f>'[11]475ПП'!F157</f>
        <v>3159.1</v>
      </c>
      <c r="E86" s="1364">
        <f>[11]НП!P58</f>
        <v>1120.5</v>
      </c>
      <c r="F86" s="1364">
        <f>E86</f>
        <v>1120.5</v>
      </c>
      <c r="G86" s="1359">
        <f t="shared" si="12"/>
        <v>0.35468962679244087</v>
      </c>
      <c r="H86" s="3287"/>
      <c r="I86" s="3284"/>
      <c r="J86" s="3184"/>
      <c r="K86" s="3288"/>
      <c r="L86" s="3129"/>
      <c r="M86" s="3117"/>
    </row>
    <row r="87" spans="1:13" s="1361" customFormat="1" ht="15">
      <c r="A87" s="3243"/>
      <c r="B87" s="3286"/>
      <c r="C87" s="1331" t="s">
        <v>10</v>
      </c>
      <c r="D87" s="1326">
        <v>0</v>
      </c>
      <c r="E87" s="1362">
        <v>0</v>
      </c>
      <c r="F87" s="1362">
        <v>0</v>
      </c>
      <c r="G87" s="1323">
        <f t="shared" si="12"/>
        <v>0</v>
      </c>
      <c r="H87" s="3287"/>
      <c r="I87" s="3284"/>
      <c r="J87" s="3184"/>
      <c r="K87" s="3288"/>
      <c r="L87" s="3129"/>
      <c r="M87" s="3117"/>
    </row>
    <row r="88" spans="1:13" s="1361" customFormat="1" ht="15">
      <c r="A88" s="3243"/>
      <c r="B88" s="3286"/>
      <c r="C88" s="1331" t="s">
        <v>11</v>
      </c>
      <c r="D88" s="1326">
        <v>0</v>
      </c>
      <c r="E88" s="1362">
        <v>0</v>
      </c>
      <c r="F88" s="1362">
        <v>0</v>
      </c>
      <c r="G88" s="1323">
        <f t="shared" si="12"/>
        <v>0</v>
      </c>
      <c r="H88" s="3287"/>
      <c r="I88" s="3284"/>
      <c r="J88" s="3184"/>
      <c r="K88" s="3288"/>
      <c r="L88" s="3129"/>
      <c r="M88" s="3117"/>
    </row>
    <row r="89" spans="1:13" s="1361" customFormat="1" ht="15">
      <c r="A89" s="3244"/>
      <c r="B89" s="3286"/>
      <c r="C89" s="1331" t="s">
        <v>12</v>
      </c>
      <c r="D89" s="1326">
        <v>0</v>
      </c>
      <c r="E89" s="1362">
        <v>0</v>
      </c>
      <c r="F89" s="1362">
        <v>0</v>
      </c>
      <c r="G89" s="1323">
        <f t="shared" si="12"/>
        <v>0</v>
      </c>
      <c r="H89" s="3287"/>
      <c r="I89" s="3285"/>
      <c r="J89" s="3185"/>
      <c r="K89" s="3288"/>
      <c r="L89" s="3130"/>
      <c r="M89" s="3118"/>
    </row>
    <row r="90" spans="1:13" s="1361" customFormat="1" ht="28.5" customHeight="1">
      <c r="A90" s="3242" t="s">
        <v>3239</v>
      </c>
      <c r="B90" s="3170" t="s">
        <v>3178</v>
      </c>
      <c r="C90" s="1331" t="s">
        <v>8</v>
      </c>
      <c r="D90" s="1326">
        <f>SUM(D91:D94)</f>
        <v>4000</v>
      </c>
      <c r="E90" s="1362">
        <f>SUM(E91:E94)</f>
        <v>2983.5115500000002</v>
      </c>
      <c r="F90" s="1362">
        <f>SUM(F91:F94)</f>
        <v>2983.5115500000002</v>
      </c>
      <c r="G90" s="1323">
        <f t="shared" si="12"/>
        <v>0.74587788750000006</v>
      </c>
      <c r="H90" s="3281" t="s">
        <v>2851</v>
      </c>
      <c r="I90" s="3134" t="s">
        <v>3376</v>
      </c>
      <c r="J90" s="3131" t="s">
        <v>3385</v>
      </c>
      <c r="K90" s="3265" t="s">
        <v>2799</v>
      </c>
      <c r="L90" s="3128"/>
      <c r="M90" s="3116">
        <v>823</v>
      </c>
    </row>
    <row r="91" spans="1:13" s="1361" customFormat="1" ht="23.25" customHeight="1">
      <c r="A91" s="3243"/>
      <c r="B91" s="3171"/>
      <c r="C91" s="1371" t="s">
        <v>9</v>
      </c>
      <c r="D91" s="1366">
        <f>'[11]475ПП'!F163</f>
        <v>4000</v>
      </c>
      <c r="E91" s="1364">
        <f>[11]НП!P60</f>
        <v>2983.5115500000002</v>
      </c>
      <c r="F91" s="1364">
        <f>E91</f>
        <v>2983.5115500000002</v>
      </c>
      <c r="G91" s="1359">
        <f t="shared" si="12"/>
        <v>0.74587788750000006</v>
      </c>
      <c r="H91" s="3282"/>
      <c r="I91" s="3135"/>
      <c r="J91" s="3132"/>
      <c r="K91" s="3284"/>
      <c r="L91" s="3129"/>
      <c r="M91" s="3117"/>
    </row>
    <row r="92" spans="1:13" s="1361" customFormat="1" ht="24.75" customHeight="1">
      <c r="A92" s="3243"/>
      <c r="B92" s="3171"/>
      <c r="C92" s="1331" t="s">
        <v>10</v>
      </c>
      <c r="D92" s="1326">
        <v>0</v>
      </c>
      <c r="E92" s="1362">
        <v>0</v>
      </c>
      <c r="F92" s="1362">
        <v>0</v>
      </c>
      <c r="G92" s="1323">
        <f t="shared" si="12"/>
        <v>0</v>
      </c>
      <c r="H92" s="3282"/>
      <c r="I92" s="3135"/>
      <c r="J92" s="3132"/>
      <c r="K92" s="3284"/>
      <c r="L92" s="3129"/>
      <c r="M92" s="3117"/>
    </row>
    <row r="93" spans="1:13" s="1361" customFormat="1" ht="25.5" customHeight="1">
      <c r="A93" s="3243"/>
      <c r="B93" s="3171"/>
      <c r="C93" s="1331" t="s">
        <v>11</v>
      </c>
      <c r="D93" s="1326">
        <v>0</v>
      </c>
      <c r="E93" s="1362">
        <v>0</v>
      </c>
      <c r="F93" s="1362">
        <v>0</v>
      </c>
      <c r="G93" s="1323">
        <f t="shared" si="12"/>
        <v>0</v>
      </c>
      <c r="H93" s="3282"/>
      <c r="I93" s="3135"/>
      <c r="J93" s="3132"/>
      <c r="K93" s="3284"/>
      <c r="L93" s="3129"/>
      <c r="M93" s="3117"/>
    </row>
    <row r="94" spans="1:13" s="1361" customFormat="1" ht="24" customHeight="1">
      <c r="A94" s="3244"/>
      <c r="B94" s="3172"/>
      <c r="C94" s="1331" t="s">
        <v>12</v>
      </c>
      <c r="D94" s="1326">
        <v>0</v>
      </c>
      <c r="E94" s="1362">
        <v>0</v>
      </c>
      <c r="F94" s="1362">
        <v>0</v>
      </c>
      <c r="G94" s="1323">
        <f t="shared" si="12"/>
        <v>0</v>
      </c>
      <c r="H94" s="3283"/>
      <c r="I94" s="3136"/>
      <c r="J94" s="3133"/>
      <c r="K94" s="3285"/>
      <c r="L94" s="3130"/>
      <c r="M94" s="3118"/>
    </row>
    <row r="95" spans="1:13" s="1347" customFormat="1">
      <c r="A95" s="3278" t="s">
        <v>40</v>
      </c>
      <c r="B95" s="3155" t="s">
        <v>2916</v>
      </c>
      <c r="C95" s="1372" t="s">
        <v>8</v>
      </c>
      <c r="D95" s="1373">
        <f>SUM(D96:D99)</f>
        <v>1078115.61785</v>
      </c>
      <c r="E95" s="1373">
        <f>SUM(E96:E99)</f>
        <v>604066.00509999995</v>
      </c>
      <c r="F95" s="1373">
        <f>SUM(F96:F99)</f>
        <v>604066.00509999995</v>
      </c>
      <c r="G95" s="1374">
        <f t="shared" si="12"/>
        <v>0.56029798205190695</v>
      </c>
      <c r="H95" s="3155"/>
      <c r="I95" s="1345" t="s">
        <v>267</v>
      </c>
      <c r="J95" s="1346">
        <f t="shared" ref="J95:J98" si="16">SUM(J100,J150,J165)</f>
        <v>13</v>
      </c>
      <c r="K95" s="3164" t="s">
        <v>2800</v>
      </c>
      <c r="L95" s="3164"/>
      <c r="M95" s="3167">
        <v>823</v>
      </c>
    </row>
    <row r="96" spans="1:13" s="1347" customFormat="1">
      <c r="A96" s="3279"/>
      <c r="B96" s="3156"/>
      <c r="C96" s="1372" t="s">
        <v>9</v>
      </c>
      <c r="D96" s="1373">
        <f t="shared" ref="D96:F99" si="17">SUM(D101,D151,D166)</f>
        <v>1047239.8878500001</v>
      </c>
      <c r="E96" s="1373">
        <f t="shared" si="17"/>
        <v>592977.71678999998</v>
      </c>
      <c r="F96" s="1373">
        <f>SUM(F101,F151,F166)</f>
        <v>592977.71678999998</v>
      </c>
      <c r="G96" s="1374">
        <f t="shared" si="12"/>
        <v>0.56622911681428845</v>
      </c>
      <c r="H96" s="3156"/>
      <c r="I96" s="1345" t="s">
        <v>268</v>
      </c>
      <c r="J96" s="1349">
        <f t="shared" si="16"/>
        <v>4</v>
      </c>
      <c r="K96" s="3165"/>
      <c r="L96" s="3165"/>
      <c r="M96" s="3168"/>
    </row>
    <row r="97" spans="1:13" s="1347" customFormat="1">
      <c r="A97" s="3279"/>
      <c r="B97" s="3156"/>
      <c r="C97" s="1372" t="s">
        <v>10</v>
      </c>
      <c r="D97" s="1373">
        <f t="shared" si="17"/>
        <v>11098.5</v>
      </c>
      <c r="E97" s="1373">
        <f t="shared" si="17"/>
        <v>11088.28831</v>
      </c>
      <c r="F97" s="1373">
        <f t="shared" si="17"/>
        <v>11088.28831</v>
      </c>
      <c r="G97" s="1374">
        <f t="shared" si="12"/>
        <v>0.9990799035905753</v>
      </c>
      <c r="H97" s="3156"/>
      <c r="I97" s="1345" t="s">
        <v>269</v>
      </c>
      <c r="J97" s="1349">
        <f t="shared" si="16"/>
        <v>3</v>
      </c>
      <c r="K97" s="3165"/>
      <c r="L97" s="3165"/>
      <c r="M97" s="3168"/>
    </row>
    <row r="98" spans="1:13" s="1347" customFormat="1">
      <c r="A98" s="3279"/>
      <c r="B98" s="3156"/>
      <c r="C98" s="1372" t="s">
        <v>11</v>
      </c>
      <c r="D98" s="1373">
        <f t="shared" si="17"/>
        <v>19777.23</v>
      </c>
      <c r="E98" s="1373">
        <f t="shared" si="17"/>
        <v>0</v>
      </c>
      <c r="F98" s="1373">
        <f t="shared" si="17"/>
        <v>0</v>
      </c>
      <c r="G98" s="1374">
        <f t="shared" si="12"/>
        <v>0</v>
      </c>
      <c r="H98" s="3156"/>
      <c r="I98" s="1345" t="s">
        <v>270</v>
      </c>
      <c r="J98" s="1349">
        <f t="shared" si="16"/>
        <v>6</v>
      </c>
      <c r="K98" s="3165"/>
      <c r="L98" s="3165"/>
      <c r="M98" s="3168"/>
    </row>
    <row r="99" spans="1:13" s="1347" customFormat="1">
      <c r="A99" s="3280"/>
      <c r="B99" s="3157"/>
      <c r="C99" s="1372" t="s">
        <v>12</v>
      </c>
      <c r="D99" s="1373">
        <v>0</v>
      </c>
      <c r="E99" s="1373">
        <f t="shared" si="17"/>
        <v>0</v>
      </c>
      <c r="F99" s="1373">
        <f t="shared" si="17"/>
        <v>0</v>
      </c>
      <c r="G99" s="1374">
        <f t="shared" si="12"/>
        <v>0</v>
      </c>
      <c r="H99" s="3157"/>
      <c r="I99" s="1345" t="s">
        <v>271</v>
      </c>
      <c r="J99" s="1370">
        <f>(J96+0.5*J97)/J95</f>
        <v>0.42307692307692307</v>
      </c>
      <c r="K99" s="3165"/>
      <c r="L99" s="3165"/>
      <c r="M99" s="3169"/>
    </row>
    <row r="100" spans="1:13" s="1347" customFormat="1">
      <c r="A100" s="3273" t="s">
        <v>2845</v>
      </c>
      <c r="B100" s="3140" t="s">
        <v>2917</v>
      </c>
      <c r="C100" s="1367" t="s">
        <v>8</v>
      </c>
      <c r="D100" s="1368">
        <f>SUM(D101:D104)</f>
        <v>998731.47366000002</v>
      </c>
      <c r="E100" s="1368">
        <f>SUM(E101:E104)</f>
        <v>569586.05356000003</v>
      </c>
      <c r="F100" s="1368">
        <f>SUM(F101:F104)</f>
        <v>569586.05356000003</v>
      </c>
      <c r="G100" s="1344">
        <f t="shared" si="12"/>
        <v>0.57030950619055509</v>
      </c>
      <c r="H100" s="3236" t="s">
        <v>3171</v>
      </c>
      <c r="I100" s="1345" t="s">
        <v>267</v>
      </c>
      <c r="J100" s="1349">
        <f>SUM(J101:J103)</f>
        <v>9</v>
      </c>
      <c r="K100" s="3210" t="s">
        <v>2889</v>
      </c>
      <c r="L100" s="3146"/>
      <c r="M100" s="3149">
        <v>823</v>
      </c>
    </row>
    <row r="101" spans="1:13" s="1347" customFormat="1">
      <c r="A101" s="3274"/>
      <c r="B101" s="3276"/>
      <c r="C101" s="1367" t="s">
        <v>9</v>
      </c>
      <c r="D101" s="1368">
        <f>SUM(D106,D111,D116,D121,D126,D131,D136,D141,D146)</f>
        <v>998731.47366000002</v>
      </c>
      <c r="E101" s="1368">
        <f>SUM(E106,E111,E116,E121,E126,E131,E136,E141,E146)</f>
        <v>569586.05356000003</v>
      </c>
      <c r="F101" s="1368">
        <f>SUM(F106,F111,F116,F121,F126,F131,F136,F141,F146)</f>
        <v>569586.05356000003</v>
      </c>
      <c r="G101" s="1344">
        <f t="shared" si="12"/>
        <v>0.57030950619055509</v>
      </c>
      <c r="H101" s="3276"/>
      <c r="I101" s="1345" t="s">
        <v>268</v>
      </c>
      <c r="J101" s="1349">
        <f>COUNTIF($J$105:$J$149,"Да")</f>
        <v>3</v>
      </c>
      <c r="K101" s="3210"/>
      <c r="L101" s="3147"/>
      <c r="M101" s="3150"/>
    </row>
    <row r="102" spans="1:13" s="1347" customFormat="1">
      <c r="A102" s="3274"/>
      <c r="B102" s="3276"/>
      <c r="C102" s="1367" t="s">
        <v>10</v>
      </c>
      <c r="D102" s="1368">
        <v>0</v>
      </c>
      <c r="E102" s="1368">
        <v>0</v>
      </c>
      <c r="F102" s="1368">
        <v>0</v>
      </c>
      <c r="G102" s="1344">
        <f t="shared" si="12"/>
        <v>0</v>
      </c>
      <c r="H102" s="3276"/>
      <c r="I102" s="1345" t="s">
        <v>269</v>
      </c>
      <c r="J102" s="1349">
        <f>COUNTIF($J$105:$J$149,"Частично")</f>
        <v>2</v>
      </c>
      <c r="K102" s="3210"/>
      <c r="L102" s="3147"/>
      <c r="M102" s="3150"/>
    </row>
    <row r="103" spans="1:13" s="1347" customFormat="1">
      <c r="A103" s="3274"/>
      <c r="B103" s="3276"/>
      <c r="C103" s="1367" t="s">
        <v>11</v>
      </c>
      <c r="D103" s="1368">
        <v>0</v>
      </c>
      <c r="E103" s="1368">
        <v>0</v>
      </c>
      <c r="F103" s="1368">
        <v>0</v>
      </c>
      <c r="G103" s="1344">
        <f t="shared" si="12"/>
        <v>0</v>
      </c>
      <c r="H103" s="3276"/>
      <c r="I103" s="1345" t="s">
        <v>270</v>
      </c>
      <c r="J103" s="1349">
        <f>COUNTIF($J$105:$J$149,"Нет")</f>
        <v>4</v>
      </c>
      <c r="K103" s="3210"/>
      <c r="L103" s="3147"/>
      <c r="M103" s="3150"/>
    </row>
    <row r="104" spans="1:13" s="1347" customFormat="1">
      <c r="A104" s="3275"/>
      <c r="B104" s="3277"/>
      <c r="C104" s="1367" t="s">
        <v>12</v>
      </c>
      <c r="D104" s="1368">
        <v>0</v>
      </c>
      <c r="E104" s="1368">
        <v>0</v>
      </c>
      <c r="F104" s="1368">
        <v>0</v>
      </c>
      <c r="G104" s="1344">
        <f t="shared" si="12"/>
        <v>0</v>
      </c>
      <c r="H104" s="3277"/>
      <c r="I104" s="1345" t="s">
        <v>271</v>
      </c>
      <c r="J104" s="1370">
        <f>(J101+0.5*J102)/J100</f>
        <v>0.44444444444444442</v>
      </c>
      <c r="K104" s="3210"/>
      <c r="L104" s="3148"/>
      <c r="M104" s="3151"/>
    </row>
    <row r="105" spans="1:13" s="1347" customFormat="1" ht="15" customHeight="1">
      <c r="A105" s="3180" t="s">
        <v>43</v>
      </c>
      <c r="B105" s="3119" t="s">
        <v>50</v>
      </c>
      <c r="C105" s="1321" t="s">
        <v>8</v>
      </c>
      <c r="D105" s="1329">
        <f>SUM(D106:D109)</f>
        <v>2106.6570000000002</v>
      </c>
      <c r="E105" s="1328">
        <f>SUM(E106:E109)</f>
        <v>218.01</v>
      </c>
      <c r="F105" s="1328">
        <f>SUM(F106:F109)</f>
        <v>218.01</v>
      </c>
      <c r="G105" s="1323">
        <f t="shared" si="12"/>
        <v>0.10348623435139179</v>
      </c>
      <c r="H105" s="3122" t="s">
        <v>3169</v>
      </c>
      <c r="I105" s="3268" t="s">
        <v>3521</v>
      </c>
      <c r="J105" s="3183" t="s">
        <v>3488</v>
      </c>
      <c r="K105" s="3263" t="s">
        <v>2848</v>
      </c>
      <c r="L105" s="3128" t="s">
        <v>3527</v>
      </c>
      <c r="M105" s="3186">
        <v>823</v>
      </c>
    </row>
    <row r="106" spans="1:13" s="1347" customFormat="1" ht="15" customHeight="1">
      <c r="A106" s="3181"/>
      <c r="B106" s="3120"/>
      <c r="C106" s="1321" t="s">
        <v>9</v>
      </c>
      <c r="D106" s="1375">
        <f>'[11]475ПП'!F187</f>
        <v>2106.6570000000002</v>
      </c>
      <c r="E106" s="1326">
        <f>'[11]2023_КАССА'!G48</f>
        <v>218.01</v>
      </c>
      <c r="F106" s="1326">
        <f>E106</f>
        <v>218.01</v>
      </c>
      <c r="G106" s="1323">
        <f t="shared" si="12"/>
        <v>0.10348623435139179</v>
      </c>
      <c r="H106" s="3123"/>
      <c r="I106" s="3269"/>
      <c r="J106" s="3184"/>
      <c r="K106" s="3271"/>
      <c r="L106" s="3129"/>
      <c r="M106" s="3187"/>
    </row>
    <row r="107" spans="1:13" s="1347" customFormat="1" ht="15" customHeight="1">
      <c r="A107" s="3181"/>
      <c r="B107" s="3120"/>
      <c r="C107" s="1321" t="s">
        <v>10</v>
      </c>
      <c r="D107" s="1326">
        <v>0</v>
      </c>
      <c r="E107" s="1326">
        <v>0</v>
      </c>
      <c r="F107" s="1326">
        <v>0</v>
      </c>
      <c r="G107" s="1323">
        <f t="shared" si="12"/>
        <v>0</v>
      </c>
      <c r="H107" s="3123"/>
      <c r="I107" s="3269"/>
      <c r="J107" s="3184"/>
      <c r="K107" s="3271"/>
      <c r="L107" s="3129"/>
      <c r="M107" s="3187"/>
    </row>
    <row r="108" spans="1:13" s="1347" customFormat="1" ht="15" customHeight="1">
      <c r="A108" s="3181"/>
      <c r="B108" s="3120"/>
      <c r="C108" s="1321" t="s">
        <v>11</v>
      </c>
      <c r="D108" s="1326">
        <v>0</v>
      </c>
      <c r="E108" s="1326">
        <v>0</v>
      </c>
      <c r="F108" s="1326">
        <v>0</v>
      </c>
      <c r="G108" s="1323">
        <f t="shared" si="12"/>
        <v>0</v>
      </c>
      <c r="H108" s="3123"/>
      <c r="I108" s="3269"/>
      <c r="J108" s="3184"/>
      <c r="K108" s="3271"/>
      <c r="L108" s="3129"/>
      <c r="M108" s="3187"/>
    </row>
    <row r="109" spans="1:13" s="1347" customFormat="1" ht="15" customHeight="1">
      <c r="A109" s="3182"/>
      <c r="B109" s="3121"/>
      <c r="C109" s="1321" t="s">
        <v>12</v>
      </c>
      <c r="D109" s="1326">
        <v>0</v>
      </c>
      <c r="E109" s="1326">
        <v>0</v>
      </c>
      <c r="F109" s="1326">
        <v>0</v>
      </c>
      <c r="G109" s="1323">
        <f t="shared" si="12"/>
        <v>0</v>
      </c>
      <c r="H109" s="3124"/>
      <c r="I109" s="3270"/>
      <c r="J109" s="3185"/>
      <c r="K109" s="3272"/>
      <c r="L109" s="3130"/>
      <c r="M109" s="3188"/>
    </row>
    <row r="110" spans="1:13" s="1347" customFormat="1" ht="22.5" customHeight="1">
      <c r="A110" s="3180" t="s">
        <v>196</v>
      </c>
      <c r="B110" s="3119" t="s">
        <v>2918</v>
      </c>
      <c r="C110" s="1321" t="s">
        <v>8</v>
      </c>
      <c r="D110" s="1328">
        <f>SUM(D111:D114)</f>
        <v>59494.678659999998</v>
      </c>
      <c r="E110" s="1328">
        <f>SUM(E111:E114)</f>
        <v>59400</v>
      </c>
      <c r="F110" s="1328">
        <f>SUM(F111:F114)</f>
        <v>59400</v>
      </c>
      <c r="G110" s="1323">
        <f t="shared" si="12"/>
        <v>0.99840861969284567</v>
      </c>
      <c r="H110" s="3122" t="s">
        <v>2849</v>
      </c>
      <c r="I110" s="3265" t="s">
        <v>3491</v>
      </c>
      <c r="J110" s="3131" t="s">
        <v>3384</v>
      </c>
      <c r="K110" s="3134" t="s">
        <v>2799</v>
      </c>
      <c r="L110" s="3128"/>
      <c r="M110" s="3116">
        <v>823</v>
      </c>
    </row>
    <row r="111" spans="1:13" s="1347" customFormat="1" ht="23.25" customHeight="1">
      <c r="A111" s="3181"/>
      <c r="B111" s="3120"/>
      <c r="C111" s="1321" t="s">
        <v>9</v>
      </c>
      <c r="D111" s="1375">
        <f>'[11]475ПП'!F193</f>
        <v>59494.678659999998</v>
      </c>
      <c r="E111" s="1375">
        <f>'[11]2023_КАССА'!G49</f>
        <v>59400</v>
      </c>
      <c r="F111" s="1375">
        <f>E111</f>
        <v>59400</v>
      </c>
      <c r="G111" s="1323">
        <f t="shared" si="12"/>
        <v>0.99840861969284567</v>
      </c>
      <c r="H111" s="3123"/>
      <c r="I111" s="3266"/>
      <c r="J111" s="3132"/>
      <c r="K111" s="3135"/>
      <c r="L111" s="3129"/>
      <c r="M111" s="3117"/>
    </row>
    <row r="112" spans="1:13" s="1347" customFormat="1" ht="24" customHeight="1">
      <c r="A112" s="3181"/>
      <c r="B112" s="3120"/>
      <c r="C112" s="1321" t="s">
        <v>10</v>
      </c>
      <c r="D112" s="1326">
        <v>0</v>
      </c>
      <c r="E112" s="1326">
        <v>0</v>
      </c>
      <c r="F112" s="1326">
        <v>0</v>
      </c>
      <c r="G112" s="1323">
        <f t="shared" si="12"/>
        <v>0</v>
      </c>
      <c r="H112" s="3123"/>
      <c r="I112" s="3266"/>
      <c r="J112" s="3132"/>
      <c r="K112" s="3135"/>
      <c r="L112" s="3129"/>
      <c r="M112" s="3117"/>
    </row>
    <row r="113" spans="1:13" s="1347" customFormat="1" ht="24" customHeight="1">
      <c r="A113" s="3181"/>
      <c r="B113" s="3120"/>
      <c r="C113" s="1321" t="s">
        <v>11</v>
      </c>
      <c r="D113" s="1326">
        <v>0</v>
      </c>
      <c r="E113" s="1326">
        <v>0</v>
      </c>
      <c r="F113" s="1326">
        <v>0</v>
      </c>
      <c r="G113" s="1323">
        <f t="shared" si="12"/>
        <v>0</v>
      </c>
      <c r="H113" s="3123"/>
      <c r="I113" s="3266"/>
      <c r="J113" s="3132"/>
      <c r="K113" s="3135"/>
      <c r="L113" s="3129"/>
      <c r="M113" s="3117"/>
    </row>
    <row r="114" spans="1:13" s="1347" customFormat="1" ht="25.5" customHeight="1">
      <c r="A114" s="3182"/>
      <c r="B114" s="3121"/>
      <c r="C114" s="1321" t="s">
        <v>12</v>
      </c>
      <c r="D114" s="1326">
        <v>0</v>
      </c>
      <c r="E114" s="1326">
        <v>0</v>
      </c>
      <c r="F114" s="1326">
        <v>0</v>
      </c>
      <c r="G114" s="1323">
        <f t="shared" si="12"/>
        <v>0</v>
      </c>
      <c r="H114" s="3124"/>
      <c r="I114" s="3267"/>
      <c r="J114" s="3133"/>
      <c r="K114" s="3135"/>
      <c r="L114" s="3130"/>
      <c r="M114" s="3118"/>
    </row>
    <row r="115" spans="1:13" s="1347" customFormat="1" ht="15" customHeight="1">
      <c r="A115" s="3180" t="s">
        <v>197</v>
      </c>
      <c r="B115" s="3119" t="s">
        <v>152</v>
      </c>
      <c r="C115" s="1321" t="s">
        <v>8</v>
      </c>
      <c r="D115" s="1328">
        <f>SUM(D116:D119)</f>
        <v>32.07</v>
      </c>
      <c r="E115" s="1328">
        <f>SUM(E116:E119)</f>
        <v>30.920999999999999</v>
      </c>
      <c r="F115" s="1328">
        <f>SUM(F116:F119)</f>
        <v>30.920999999999999</v>
      </c>
      <c r="G115" s="1323">
        <f t="shared" si="12"/>
        <v>0.96417212347988768</v>
      </c>
      <c r="H115" s="3122" t="s">
        <v>2813</v>
      </c>
      <c r="I115" s="3134" t="s">
        <v>3493</v>
      </c>
      <c r="J115" s="3131" t="s">
        <v>3384</v>
      </c>
      <c r="K115" s="3179" t="s">
        <v>3490</v>
      </c>
      <c r="L115" s="3128"/>
      <c r="M115" s="3116">
        <v>823</v>
      </c>
    </row>
    <row r="116" spans="1:13" s="1347" customFormat="1" ht="15" customHeight="1">
      <c r="A116" s="3181"/>
      <c r="B116" s="3120"/>
      <c r="C116" s="1321" t="s">
        <v>9</v>
      </c>
      <c r="D116" s="1375">
        <f>'[11]475ПП'!F199</f>
        <v>32.07</v>
      </c>
      <c r="E116" s="1326">
        <f>'[11]2023_КАССА'!G50</f>
        <v>30.920999999999999</v>
      </c>
      <c r="F116" s="1326">
        <f>E116</f>
        <v>30.920999999999999</v>
      </c>
      <c r="G116" s="1323">
        <f t="shared" si="12"/>
        <v>0.96417212347988768</v>
      </c>
      <c r="H116" s="3123"/>
      <c r="I116" s="3135"/>
      <c r="J116" s="3132"/>
      <c r="K116" s="3179"/>
      <c r="L116" s="3129"/>
      <c r="M116" s="3117"/>
    </row>
    <row r="117" spans="1:13" s="1347" customFormat="1" ht="15" customHeight="1">
      <c r="A117" s="3181"/>
      <c r="B117" s="3120"/>
      <c r="C117" s="1321" t="s">
        <v>10</v>
      </c>
      <c r="D117" s="1326">
        <v>0</v>
      </c>
      <c r="E117" s="1326">
        <v>0</v>
      </c>
      <c r="F117" s="1326">
        <v>0</v>
      </c>
      <c r="G117" s="1323">
        <f t="shared" si="12"/>
        <v>0</v>
      </c>
      <c r="H117" s="3123"/>
      <c r="I117" s="3135"/>
      <c r="J117" s="3132"/>
      <c r="K117" s="3179"/>
      <c r="L117" s="3129"/>
      <c r="M117" s="3117"/>
    </row>
    <row r="118" spans="1:13" s="1347" customFormat="1" ht="15" customHeight="1">
      <c r="A118" s="3181"/>
      <c r="B118" s="3120"/>
      <c r="C118" s="1321" t="s">
        <v>11</v>
      </c>
      <c r="D118" s="1326">
        <v>0</v>
      </c>
      <c r="E118" s="1326">
        <v>0</v>
      </c>
      <c r="F118" s="1326">
        <v>0</v>
      </c>
      <c r="G118" s="1323">
        <f t="shared" si="12"/>
        <v>0</v>
      </c>
      <c r="H118" s="3123"/>
      <c r="I118" s="3135"/>
      <c r="J118" s="3132"/>
      <c r="K118" s="3179"/>
      <c r="L118" s="3129"/>
      <c r="M118" s="3117"/>
    </row>
    <row r="119" spans="1:13" s="1347" customFormat="1" ht="27.75" customHeight="1">
      <c r="A119" s="3182"/>
      <c r="B119" s="3121"/>
      <c r="C119" s="1321" t="s">
        <v>12</v>
      </c>
      <c r="D119" s="1326">
        <v>0</v>
      </c>
      <c r="E119" s="1326">
        <v>0</v>
      </c>
      <c r="F119" s="1326">
        <v>0</v>
      </c>
      <c r="G119" s="1323">
        <f t="shared" si="12"/>
        <v>0</v>
      </c>
      <c r="H119" s="3124"/>
      <c r="I119" s="3136"/>
      <c r="J119" s="3133"/>
      <c r="K119" s="3179"/>
      <c r="L119" s="3130"/>
      <c r="M119" s="3118"/>
    </row>
    <row r="120" spans="1:13" s="1347" customFormat="1" ht="15" customHeight="1">
      <c r="A120" s="3180" t="s">
        <v>198</v>
      </c>
      <c r="B120" s="3119" t="s">
        <v>22</v>
      </c>
      <c r="C120" s="1321" t="s">
        <v>8</v>
      </c>
      <c r="D120" s="1328">
        <f>SUM(D121:D124)</f>
        <v>878519.89599999995</v>
      </c>
      <c r="E120" s="1326">
        <f>SUM(E121:E124)</f>
        <v>476163.86099999998</v>
      </c>
      <c r="F120" s="1326">
        <f>SUM(F121:F124)</f>
        <v>476163.86099999998</v>
      </c>
      <c r="G120" s="1323">
        <f t="shared" si="12"/>
        <v>0.54200691773519039</v>
      </c>
      <c r="H120" s="3122" t="s">
        <v>2815</v>
      </c>
      <c r="I120" s="3128" t="s">
        <v>3501</v>
      </c>
      <c r="J120" s="3131" t="s">
        <v>3385</v>
      </c>
      <c r="K120" s="3134" t="s">
        <v>3492</v>
      </c>
      <c r="L120" s="3128"/>
      <c r="M120" s="3116">
        <v>823</v>
      </c>
    </row>
    <row r="121" spans="1:13" s="1347" customFormat="1" ht="15" customHeight="1">
      <c r="A121" s="3181"/>
      <c r="B121" s="3120"/>
      <c r="C121" s="1321" t="s">
        <v>9</v>
      </c>
      <c r="D121" s="1375">
        <f>'[11]475ПП'!F205</f>
        <v>878519.89599999995</v>
      </c>
      <c r="E121" s="1326">
        <f>'[11]2023_КАССА'!F56</f>
        <v>476163.86099999998</v>
      </c>
      <c r="F121" s="1326">
        <f>E121</f>
        <v>476163.86099999998</v>
      </c>
      <c r="G121" s="1323">
        <f t="shared" si="12"/>
        <v>0.54200691773519039</v>
      </c>
      <c r="H121" s="3123"/>
      <c r="I121" s="3129"/>
      <c r="J121" s="3132"/>
      <c r="K121" s="3135"/>
      <c r="L121" s="3129"/>
      <c r="M121" s="3117"/>
    </row>
    <row r="122" spans="1:13" s="1347" customFormat="1" ht="15" customHeight="1">
      <c r="A122" s="3181"/>
      <c r="B122" s="3120"/>
      <c r="C122" s="1321" t="s">
        <v>10</v>
      </c>
      <c r="D122" s="1326">
        <v>0</v>
      </c>
      <c r="E122" s="1326">
        <v>0</v>
      </c>
      <c r="F122" s="1326">
        <v>0</v>
      </c>
      <c r="G122" s="1323">
        <f t="shared" si="12"/>
        <v>0</v>
      </c>
      <c r="H122" s="3123"/>
      <c r="I122" s="3129"/>
      <c r="J122" s="3132"/>
      <c r="K122" s="3135"/>
      <c r="L122" s="3129"/>
      <c r="M122" s="3117"/>
    </row>
    <row r="123" spans="1:13" s="1347" customFormat="1" ht="15" customHeight="1">
      <c r="A123" s="3181"/>
      <c r="B123" s="3120"/>
      <c r="C123" s="1321" t="s">
        <v>11</v>
      </c>
      <c r="D123" s="1326">
        <v>0</v>
      </c>
      <c r="E123" s="1326">
        <v>0</v>
      </c>
      <c r="F123" s="1326">
        <v>0</v>
      </c>
      <c r="G123" s="1323">
        <f t="shared" si="12"/>
        <v>0</v>
      </c>
      <c r="H123" s="3123"/>
      <c r="I123" s="3129"/>
      <c r="J123" s="3132"/>
      <c r="K123" s="3135"/>
      <c r="L123" s="3129"/>
      <c r="M123" s="3117"/>
    </row>
    <row r="124" spans="1:13" s="1347" customFormat="1" ht="25.5" customHeight="1">
      <c r="A124" s="3182"/>
      <c r="B124" s="3121"/>
      <c r="C124" s="1321" t="s">
        <v>12</v>
      </c>
      <c r="D124" s="1326">
        <v>0</v>
      </c>
      <c r="E124" s="1326">
        <v>0</v>
      </c>
      <c r="F124" s="1326">
        <v>0</v>
      </c>
      <c r="G124" s="1323">
        <f t="shared" si="12"/>
        <v>0</v>
      </c>
      <c r="H124" s="3124"/>
      <c r="I124" s="3130"/>
      <c r="J124" s="3133"/>
      <c r="K124" s="3135"/>
      <c r="L124" s="3130"/>
      <c r="M124" s="3118"/>
    </row>
    <row r="125" spans="1:13" s="1347" customFormat="1" ht="15" customHeight="1">
      <c r="A125" s="3180" t="s">
        <v>199</v>
      </c>
      <c r="B125" s="3119" t="s">
        <v>3502</v>
      </c>
      <c r="C125" s="1321" t="s">
        <v>8</v>
      </c>
      <c r="D125" s="1328">
        <f>SUM(D126:D129)</f>
        <v>3561.3</v>
      </c>
      <c r="E125" s="1328">
        <f>SUM(E126:E129)</f>
        <v>2746.43219</v>
      </c>
      <c r="F125" s="1328">
        <f>SUM(F126:F129)</f>
        <v>2746.43219</v>
      </c>
      <c r="G125" s="1323">
        <f t="shared" si="12"/>
        <v>0.77118810265914128</v>
      </c>
      <c r="H125" s="3125" t="s">
        <v>3503</v>
      </c>
      <c r="I125" s="3128" t="s">
        <v>3504</v>
      </c>
      <c r="J125" s="3131" t="s">
        <v>3385</v>
      </c>
      <c r="K125" s="3134" t="s">
        <v>3492</v>
      </c>
      <c r="L125" s="3128"/>
      <c r="M125" s="3116">
        <v>823</v>
      </c>
    </row>
    <row r="126" spans="1:13" s="1347" customFormat="1" ht="15" customHeight="1">
      <c r="A126" s="3181"/>
      <c r="B126" s="3120"/>
      <c r="C126" s="1321" t="s">
        <v>9</v>
      </c>
      <c r="D126" s="1375">
        <f>'[11]475ПП'!F211</f>
        <v>3561.3</v>
      </c>
      <c r="E126" s="1326">
        <f>'[11]2023_КАССА'!F66+[11]Документ!L64</f>
        <v>2746.43219</v>
      </c>
      <c r="F126" s="1326">
        <f>E126</f>
        <v>2746.43219</v>
      </c>
      <c r="G126" s="1323">
        <f t="shared" si="12"/>
        <v>0.77118810265914128</v>
      </c>
      <c r="H126" s="3126"/>
      <c r="I126" s="3129"/>
      <c r="J126" s="3132"/>
      <c r="K126" s="3135"/>
      <c r="L126" s="3129"/>
      <c r="M126" s="3117"/>
    </row>
    <row r="127" spans="1:13" s="1347" customFormat="1" ht="15" customHeight="1">
      <c r="A127" s="3181"/>
      <c r="B127" s="3120"/>
      <c r="C127" s="1321" t="s">
        <v>10</v>
      </c>
      <c r="D127" s="1326">
        <v>0</v>
      </c>
      <c r="E127" s="1326">
        <v>0</v>
      </c>
      <c r="F127" s="1326">
        <v>0</v>
      </c>
      <c r="G127" s="1323">
        <f t="shared" si="12"/>
        <v>0</v>
      </c>
      <c r="H127" s="3126"/>
      <c r="I127" s="3129"/>
      <c r="J127" s="3132"/>
      <c r="K127" s="3135"/>
      <c r="L127" s="3129"/>
      <c r="M127" s="3117"/>
    </row>
    <row r="128" spans="1:13" s="1347" customFormat="1" ht="15" customHeight="1">
      <c r="A128" s="3181"/>
      <c r="B128" s="3120"/>
      <c r="C128" s="1321" t="s">
        <v>11</v>
      </c>
      <c r="D128" s="1326">
        <v>0</v>
      </c>
      <c r="E128" s="1326">
        <v>0</v>
      </c>
      <c r="F128" s="1326">
        <v>0</v>
      </c>
      <c r="G128" s="1323">
        <f t="shared" si="12"/>
        <v>0</v>
      </c>
      <c r="H128" s="3126"/>
      <c r="I128" s="3129"/>
      <c r="J128" s="3132"/>
      <c r="K128" s="3135"/>
      <c r="L128" s="3129"/>
      <c r="M128" s="3117"/>
    </row>
    <row r="129" spans="1:13" s="1347" customFormat="1" ht="20.25" customHeight="1">
      <c r="A129" s="3182"/>
      <c r="B129" s="3121"/>
      <c r="C129" s="1321" t="s">
        <v>12</v>
      </c>
      <c r="D129" s="1326">
        <v>0</v>
      </c>
      <c r="E129" s="1326">
        <v>0</v>
      </c>
      <c r="F129" s="1326">
        <v>0</v>
      </c>
      <c r="G129" s="1323">
        <f t="shared" si="12"/>
        <v>0</v>
      </c>
      <c r="H129" s="3127"/>
      <c r="I129" s="3130"/>
      <c r="J129" s="3133"/>
      <c r="K129" s="3135"/>
      <c r="L129" s="3130"/>
      <c r="M129" s="3118"/>
    </row>
    <row r="130" spans="1:13" ht="15" customHeight="1">
      <c r="A130" s="3264" t="s">
        <v>2921</v>
      </c>
      <c r="B130" s="3255" t="s">
        <v>2922</v>
      </c>
      <c r="C130" s="1376" t="s">
        <v>8</v>
      </c>
      <c r="D130" s="1377">
        <f>SUM(D131:D134)</f>
        <v>5000</v>
      </c>
      <c r="E130" s="1378">
        <f>SUM(E131:E134)</f>
        <v>0</v>
      </c>
      <c r="F130" s="1378">
        <f>SUM(F131:F134)</f>
        <v>0</v>
      </c>
      <c r="G130" s="1323">
        <f t="shared" si="12"/>
        <v>0</v>
      </c>
      <c r="H130" s="3255" t="s">
        <v>3149</v>
      </c>
      <c r="I130" s="3134" t="s">
        <v>3517</v>
      </c>
      <c r="J130" s="3183" t="s">
        <v>3488</v>
      </c>
      <c r="K130" s="3263" t="s">
        <v>23</v>
      </c>
      <c r="L130" s="3128" t="s">
        <v>3528</v>
      </c>
      <c r="M130" s="3116">
        <v>823</v>
      </c>
    </row>
    <row r="131" spans="1:13" ht="15" customHeight="1">
      <c r="A131" s="3264"/>
      <c r="B131" s="3256"/>
      <c r="C131" s="1376" t="s">
        <v>9</v>
      </c>
      <c r="D131" s="1377">
        <f>'[11]475ПП'!F247</f>
        <v>5000</v>
      </c>
      <c r="E131" s="1378">
        <f>'[11]2023_КАССА'!F78</f>
        <v>0</v>
      </c>
      <c r="F131" s="1378">
        <f>E131</f>
        <v>0</v>
      </c>
      <c r="G131" s="1323">
        <f t="shared" si="12"/>
        <v>0</v>
      </c>
      <c r="H131" s="3256"/>
      <c r="I131" s="3132"/>
      <c r="J131" s="3184"/>
      <c r="K131" s="3132"/>
      <c r="L131" s="3129"/>
      <c r="M131" s="3117"/>
    </row>
    <row r="132" spans="1:13" ht="15" customHeight="1">
      <c r="A132" s="3264"/>
      <c r="B132" s="3256"/>
      <c r="C132" s="1376" t="s">
        <v>10</v>
      </c>
      <c r="D132" s="1377">
        <v>0</v>
      </c>
      <c r="E132" s="1378">
        <v>0</v>
      </c>
      <c r="F132" s="1378">
        <v>0</v>
      </c>
      <c r="G132" s="1323">
        <f t="shared" si="12"/>
        <v>0</v>
      </c>
      <c r="H132" s="3256"/>
      <c r="I132" s="3132"/>
      <c r="J132" s="3184"/>
      <c r="K132" s="3132"/>
      <c r="L132" s="3129"/>
      <c r="M132" s="3117"/>
    </row>
    <row r="133" spans="1:13" ht="15" customHeight="1">
      <c r="A133" s="3264"/>
      <c r="B133" s="3256"/>
      <c r="C133" s="1376" t="s">
        <v>11</v>
      </c>
      <c r="D133" s="1377">
        <v>0</v>
      </c>
      <c r="E133" s="1378">
        <v>0</v>
      </c>
      <c r="F133" s="1378">
        <v>0</v>
      </c>
      <c r="G133" s="1323">
        <f t="shared" ref="G133:G196" si="18">IFERROR(F133/D133,0)</f>
        <v>0</v>
      </c>
      <c r="H133" s="3256"/>
      <c r="I133" s="3132"/>
      <c r="J133" s="3184"/>
      <c r="K133" s="3132"/>
      <c r="L133" s="3129"/>
      <c r="M133" s="3117"/>
    </row>
    <row r="134" spans="1:13" ht="15" customHeight="1">
      <c r="A134" s="3264"/>
      <c r="B134" s="3257"/>
      <c r="C134" s="1376" t="s">
        <v>12</v>
      </c>
      <c r="D134" s="1377">
        <v>0</v>
      </c>
      <c r="E134" s="1378">
        <v>0</v>
      </c>
      <c r="F134" s="1378">
        <v>0</v>
      </c>
      <c r="G134" s="1323">
        <f t="shared" si="18"/>
        <v>0</v>
      </c>
      <c r="H134" s="3257"/>
      <c r="I134" s="3133"/>
      <c r="J134" s="3185"/>
      <c r="K134" s="3133"/>
      <c r="L134" s="3130"/>
      <c r="M134" s="3118"/>
    </row>
    <row r="135" spans="1:13" ht="15">
      <c r="A135" s="3255" t="s">
        <v>2929</v>
      </c>
      <c r="B135" s="3255" t="s">
        <v>2930</v>
      </c>
      <c r="C135" s="1376" t="s">
        <v>8</v>
      </c>
      <c r="D135" s="1377">
        <f>SUM(D136:D139)</f>
        <v>30187.855</v>
      </c>
      <c r="E135" s="1378">
        <f>SUM(E136:E139)</f>
        <v>30187.829369999999</v>
      </c>
      <c r="F135" s="1378">
        <f>SUM(F136:F139)</f>
        <v>30187.829369999999</v>
      </c>
      <c r="G135" s="1323">
        <f t="shared" si="18"/>
        <v>0.99999915098306913</v>
      </c>
      <c r="H135" s="3125" t="s">
        <v>2930</v>
      </c>
      <c r="I135" s="3134" t="s">
        <v>3494</v>
      </c>
      <c r="J135" s="3183" t="s">
        <v>3384</v>
      </c>
      <c r="K135" s="3263" t="s">
        <v>3034</v>
      </c>
      <c r="L135" s="3134"/>
      <c r="M135" s="3116">
        <v>823</v>
      </c>
    </row>
    <row r="136" spans="1:13" ht="15">
      <c r="A136" s="3256"/>
      <c r="B136" s="3256"/>
      <c r="C136" s="1376" t="s">
        <v>9</v>
      </c>
      <c r="D136" s="1377">
        <f>'[11]475ПП'!F271</f>
        <v>30187.855</v>
      </c>
      <c r="E136" s="1378">
        <f>'[11]2023_КАССА'!F65</f>
        <v>30187.829369999999</v>
      </c>
      <c r="F136" s="1378">
        <f>E136</f>
        <v>30187.829369999999</v>
      </c>
      <c r="G136" s="1323">
        <f t="shared" si="18"/>
        <v>0.99999915098306913</v>
      </c>
      <c r="H136" s="3261"/>
      <c r="I136" s="3132"/>
      <c r="J136" s="3132"/>
      <c r="K136" s="3132"/>
      <c r="L136" s="3132"/>
      <c r="M136" s="3117"/>
    </row>
    <row r="137" spans="1:13" ht="15">
      <c r="A137" s="3256"/>
      <c r="B137" s="3256"/>
      <c r="C137" s="1376" t="s">
        <v>10</v>
      </c>
      <c r="D137" s="1377">
        <v>0</v>
      </c>
      <c r="E137" s="1378">
        <v>0</v>
      </c>
      <c r="F137" s="1378">
        <v>0</v>
      </c>
      <c r="G137" s="1323">
        <f t="shared" si="18"/>
        <v>0</v>
      </c>
      <c r="H137" s="3261"/>
      <c r="I137" s="3132"/>
      <c r="J137" s="3132"/>
      <c r="K137" s="3132"/>
      <c r="L137" s="3132"/>
      <c r="M137" s="3117"/>
    </row>
    <row r="138" spans="1:13" ht="15">
      <c r="A138" s="3256"/>
      <c r="B138" s="3256"/>
      <c r="C138" s="1376" t="s">
        <v>11</v>
      </c>
      <c r="D138" s="1377">
        <v>0</v>
      </c>
      <c r="E138" s="1378">
        <v>0</v>
      </c>
      <c r="F138" s="1378">
        <v>0</v>
      </c>
      <c r="G138" s="1323">
        <f t="shared" si="18"/>
        <v>0</v>
      </c>
      <c r="H138" s="3261"/>
      <c r="I138" s="3132"/>
      <c r="J138" s="3132"/>
      <c r="K138" s="3132"/>
      <c r="L138" s="3132"/>
      <c r="M138" s="3117"/>
    </row>
    <row r="139" spans="1:13" ht="15">
      <c r="A139" s="3257"/>
      <c r="B139" s="3257"/>
      <c r="C139" s="1376" t="s">
        <v>12</v>
      </c>
      <c r="D139" s="1377">
        <v>0</v>
      </c>
      <c r="E139" s="1378">
        <v>0</v>
      </c>
      <c r="F139" s="1378">
        <v>0</v>
      </c>
      <c r="G139" s="1323">
        <f t="shared" si="18"/>
        <v>0</v>
      </c>
      <c r="H139" s="3262"/>
      <c r="I139" s="3133"/>
      <c r="J139" s="3133"/>
      <c r="K139" s="3133"/>
      <c r="L139" s="3133"/>
      <c r="M139" s="3118"/>
    </row>
    <row r="140" spans="1:13" ht="15" customHeight="1">
      <c r="A140" s="3255" t="s">
        <v>3133</v>
      </c>
      <c r="B140" s="3255" t="s">
        <v>3379</v>
      </c>
      <c r="C140" s="1376" t="s">
        <v>8</v>
      </c>
      <c r="D140" s="1377">
        <f>SUM(D141:D144)</f>
        <v>3628.395</v>
      </c>
      <c r="E140" s="1378">
        <f>SUM(E141:E144)</f>
        <v>0</v>
      </c>
      <c r="F140" s="1378">
        <f>SUM(F141:F144)</f>
        <v>0</v>
      </c>
      <c r="G140" s="1323">
        <f t="shared" si="18"/>
        <v>0</v>
      </c>
      <c r="H140" s="3125" t="s">
        <v>3131</v>
      </c>
      <c r="I140" s="3134" t="s">
        <v>3523</v>
      </c>
      <c r="J140" s="3183" t="s">
        <v>3488</v>
      </c>
      <c r="K140" s="3263" t="s">
        <v>23</v>
      </c>
      <c r="L140" s="3128" t="s">
        <v>3528</v>
      </c>
      <c r="M140" s="3116">
        <v>823</v>
      </c>
    </row>
    <row r="141" spans="1:13" ht="15" customHeight="1">
      <c r="A141" s="3256"/>
      <c r="B141" s="3256"/>
      <c r="C141" s="1376" t="s">
        <v>9</v>
      </c>
      <c r="D141" s="1377">
        <f>'[11]475ПП'!F301</f>
        <v>3628.395</v>
      </c>
      <c r="E141" s="1378">
        <v>0</v>
      </c>
      <c r="F141" s="1378">
        <v>0</v>
      </c>
      <c r="G141" s="1323">
        <f t="shared" si="18"/>
        <v>0</v>
      </c>
      <c r="H141" s="3261"/>
      <c r="I141" s="3132"/>
      <c r="J141" s="3184"/>
      <c r="K141" s="3132"/>
      <c r="L141" s="3129"/>
      <c r="M141" s="3117"/>
    </row>
    <row r="142" spans="1:13" ht="15" customHeight="1">
      <c r="A142" s="3256"/>
      <c r="B142" s="3256"/>
      <c r="C142" s="1376" t="s">
        <v>10</v>
      </c>
      <c r="D142" s="1377">
        <f>'[11]475ПП'!G301</f>
        <v>0</v>
      </c>
      <c r="E142" s="1378">
        <v>0</v>
      </c>
      <c r="F142" s="1378">
        <v>0</v>
      </c>
      <c r="G142" s="1323">
        <f t="shared" si="18"/>
        <v>0</v>
      </c>
      <c r="H142" s="3261"/>
      <c r="I142" s="3132"/>
      <c r="J142" s="3184"/>
      <c r="K142" s="3132"/>
      <c r="L142" s="3129"/>
      <c r="M142" s="3117"/>
    </row>
    <row r="143" spans="1:13" ht="15" customHeight="1">
      <c r="A143" s="3256"/>
      <c r="B143" s="3256"/>
      <c r="C143" s="1376" t="s">
        <v>11</v>
      </c>
      <c r="D143" s="1377">
        <f>'[11]475ПП'!H301</f>
        <v>0</v>
      </c>
      <c r="E143" s="1378">
        <v>0</v>
      </c>
      <c r="F143" s="1378">
        <v>0</v>
      </c>
      <c r="G143" s="1323">
        <f t="shared" si="18"/>
        <v>0</v>
      </c>
      <c r="H143" s="3261"/>
      <c r="I143" s="3132"/>
      <c r="J143" s="3184"/>
      <c r="K143" s="3132"/>
      <c r="L143" s="3129"/>
      <c r="M143" s="3117"/>
    </row>
    <row r="144" spans="1:13" ht="15" customHeight="1">
      <c r="A144" s="3257"/>
      <c r="B144" s="3257"/>
      <c r="C144" s="1376" t="s">
        <v>12</v>
      </c>
      <c r="D144" s="1377">
        <f>'[11]475ПП'!I301</f>
        <v>0</v>
      </c>
      <c r="E144" s="1378">
        <v>0</v>
      </c>
      <c r="F144" s="1378">
        <v>0</v>
      </c>
      <c r="G144" s="1323">
        <f t="shared" si="18"/>
        <v>0</v>
      </c>
      <c r="H144" s="3262"/>
      <c r="I144" s="3133"/>
      <c r="J144" s="3185"/>
      <c r="K144" s="3133"/>
      <c r="L144" s="3130"/>
      <c r="M144" s="3118"/>
    </row>
    <row r="145" spans="1:13" ht="22.5" customHeight="1">
      <c r="A145" s="3255" t="s">
        <v>3130</v>
      </c>
      <c r="B145" s="3258" t="s">
        <v>3129</v>
      </c>
      <c r="C145" s="1376" t="s">
        <v>8</v>
      </c>
      <c r="D145" s="1377">
        <f>SUM(D146:D149)</f>
        <v>16200.621999999999</v>
      </c>
      <c r="E145" s="1378">
        <f>SUM(E146:E149)</f>
        <v>839</v>
      </c>
      <c r="F145" s="1378">
        <f>SUM(F146:F149)</f>
        <v>839</v>
      </c>
      <c r="G145" s="1323">
        <f t="shared" si="18"/>
        <v>5.1788135048148151E-2</v>
      </c>
      <c r="H145" s="3125" t="s">
        <v>3128</v>
      </c>
      <c r="I145" s="3134" t="s">
        <v>3531</v>
      </c>
      <c r="J145" s="3183" t="s">
        <v>3488</v>
      </c>
      <c r="K145" s="3263" t="s">
        <v>3127</v>
      </c>
      <c r="L145" s="3128" t="s">
        <v>3527</v>
      </c>
      <c r="M145" s="3116">
        <v>823</v>
      </c>
    </row>
    <row r="146" spans="1:13" ht="23.25" customHeight="1">
      <c r="A146" s="3256"/>
      <c r="B146" s="3259"/>
      <c r="C146" s="1376" t="s">
        <v>9</v>
      </c>
      <c r="D146" s="1377">
        <f>'[11]475ПП'!F307</f>
        <v>16200.621999999999</v>
      </c>
      <c r="E146" s="1378">
        <f>'[11]2023_КАССА'!F81</f>
        <v>839</v>
      </c>
      <c r="F146" s="1378">
        <f>E146</f>
        <v>839</v>
      </c>
      <c r="G146" s="1323">
        <f t="shared" si="18"/>
        <v>5.1788135048148151E-2</v>
      </c>
      <c r="H146" s="3261"/>
      <c r="I146" s="3132"/>
      <c r="J146" s="3184"/>
      <c r="K146" s="3132"/>
      <c r="L146" s="3129"/>
      <c r="M146" s="3117"/>
    </row>
    <row r="147" spans="1:13" ht="21" customHeight="1">
      <c r="A147" s="3256"/>
      <c r="B147" s="3259"/>
      <c r="C147" s="1376" t="s">
        <v>10</v>
      </c>
      <c r="D147" s="1377">
        <f>'[11]475ПП'!G307</f>
        <v>0</v>
      </c>
      <c r="E147" s="1378">
        <v>0</v>
      </c>
      <c r="F147" s="1378">
        <v>0</v>
      </c>
      <c r="G147" s="1323">
        <f t="shared" si="18"/>
        <v>0</v>
      </c>
      <c r="H147" s="3261"/>
      <c r="I147" s="3132"/>
      <c r="J147" s="3184"/>
      <c r="K147" s="3132"/>
      <c r="L147" s="3129"/>
      <c r="M147" s="3117"/>
    </row>
    <row r="148" spans="1:13" ht="22.5" customHeight="1">
      <c r="A148" s="3256"/>
      <c r="B148" s="3259"/>
      <c r="C148" s="1376" t="s">
        <v>11</v>
      </c>
      <c r="D148" s="1377">
        <f>'[11]475ПП'!H307</f>
        <v>0</v>
      </c>
      <c r="E148" s="1378">
        <v>0</v>
      </c>
      <c r="F148" s="1378">
        <v>0</v>
      </c>
      <c r="G148" s="1323">
        <f t="shared" si="18"/>
        <v>0</v>
      </c>
      <c r="H148" s="3261"/>
      <c r="I148" s="3132"/>
      <c r="J148" s="3184"/>
      <c r="K148" s="3132"/>
      <c r="L148" s="3129"/>
      <c r="M148" s="3117"/>
    </row>
    <row r="149" spans="1:13" ht="23.25" customHeight="1">
      <c r="A149" s="3257"/>
      <c r="B149" s="3260"/>
      <c r="C149" s="1376" t="s">
        <v>12</v>
      </c>
      <c r="D149" s="1377">
        <f>'[11]475ПП'!I307</f>
        <v>0</v>
      </c>
      <c r="E149" s="1378">
        <v>0</v>
      </c>
      <c r="F149" s="1378">
        <v>0</v>
      </c>
      <c r="G149" s="1323">
        <f t="shared" si="18"/>
        <v>0</v>
      </c>
      <c r="H149" s="3262"/>
      <c r="I149" s="3133"/>
      <c r="J149" s="3185"/>
      <c r="K149" s="3133"/>
      <c r="L149" s="3130"/>
      <c r="M149" s="3118"/>
    </row>
    <row r="150" spans="1:13" s="1347" customFormat="1" ht="25.5" customHeight="1">
      <c r="A150" s="3226" t="s">
        <v>175</v>
      </c>
      <c r="B150" s="3248" t="s">
        <v>2936</v>
      </c>
      <c r="C150" s="1367" t="s">
        <v>8</v>
      </c>
      <c r="D150" s="1379">
        <f>SUM(D151:D154)</f>
        <v>67577.23</v>
      </c>
      <c r="E150" s="1380">
        <f>SUM(E151:E154)</f>
        <v>22683.900150000001</v>
      </c>
      <c r="F150" s="1380">
        <f>SUM(F151:F154)</f>
        <v>22683.900150000001</v>
      </c>
      <c r="G150" s="1344">
        <f t="shared" si="18"/>
        <v>0.33567371953541159</v>
      </c>
      <c r="H150" s="3251" t="s">
        <v>3125</v>
      </c>
      <c r="I150" s="1345" t="s">
        <v>267</v>
      </c>
      <c r="J150" s="1349">
        <f>SUM(J151:J153)</f>
        <v>2</v>
      </c>
      <c r="K150" s="3210" t="s">
        <v>2801</v>
      </c>
      <c r="L150" s="3254"/>
      <c r="M150" s="3149">
        <v>823</v>
      </c>
    </row>
    <row r="151" spans="1:13" s="1347" customFormat="1" ht="24.75" customHeight="1">
      <c r="A151" s="3227"/>
      <c r="B151" s="3249"/>
      <c r="C151" s="1367" t="s">
        <v>9</v>
      </c>
      <c r="D151" s="1369">
        <f t="shared" ref="D151:E153" si="19">SUM(D156,D161)</f>
        <v>47800</v>
      </c>
      <c r="E151" s="1369">
        <f t="shared" si="19"/>
        <v>22683.900150000001</v>
      </c>
      <c r="F151" s="1369">
        <f t="shared" ref="F151:F153" si="20">E151</f>
        <v>22683.900150000001</v>
      </c>
      <c r="G151" s="1344">
        <f t="shared" si="18"/>
        <v>0.47455858054393307</v>
      </c>
      <c r="H151" s="3252"/>
      <c r="I151" s="1345" t="s">
        <v>268</v>
      </c>
      <c r="J151" s="1349">
        <f>COUNTIF($J$155:$J$164,"Да")</f>
        <v>0</v>
      </c>
      <c r="K151" s="3210"/>
      <c r="L151" s="3254"/>
      <c r="M151" s="3150"/>
    </row>
    <row r="152" spans="1:13" s="1347" customFormat="1" ht="22.5" customHeight="1">
      <c r="A152" s="3227"/>
      <c r="B152" s="3249"/>
      <c r="C152" s="1367" t="s">
        <v>10</v>
      </c>
      <c r="D152" s="1369">
        <f t="shared" si="19"/>
        <v>0</v>
      </c>
      <c r="E152" s="1369">
        <f t="shared" si="19"/>
        <v>0</v>
      </c>
      <c r="F152" s="1369">
        <f t="shared" si="20"/>
        <v>0</v>
      </c>
      <c r="G152" s="1344">
        <f t="shared" si="18"/>
        <v>0</v>
      </c>
      <c r="H152" s="3252"/>
      <c r="I152" s="1345" t="s">
        <v>269</v>
      </c>
      <c r="J152" s="1349">
        <f>COUNTIF($J$155:$J$164,"Нет")</f>
        <v>1</v>
      </c>
      <c r="K152" s="3210"/>
      <c r="L152" s="3254"/>
      <c r="M152" s="3150"/>
    </row>
    <row r="153" spans="1:13" s="1347" customFormat="1" ht="23.25" customHeight="1">
      <c r="A153" s="3227"/>
      <c r="B153" s="3249"/>
      <c r="C153" s="1367" t="s">
        <v>11</v>
      </c>
      <c r="D153" s="1369">
        <f t="shared" si="19"/>
        <v>19777.23</v>
      </c>
      <c r="E153" s="1369">
        <f t="shared" si="19"/>
        <v>0</v>
      </c>
      <c r="F153" s="1369">
        <f t="shared" si="20"/>
        <v>0</v>
      </c>
      <c r="G153" s="1344">
        <f t="shared" si="18"/>
        <v>0</v>
      </c>
      <c r="H153" s="3252"/>
      <c r="I153" s="1345" t="s">
        <v>270</v>
      </c>
      <c r="J153" s="1349">
        <f>COUNTIF($J$155:$J$164,"Частично")</f>
        <v>1</v>
      </c>
      <c r="K153" s="3210"/>
      <c r="L153" s="3254"/>
      <c r="M153" s="3150"/>
    </row>
    <row r="154" spans="1:13" s="1347" customFormat="1" ht="22.5" customHeight="1">
      <c r="A154" s="3228"/>
      <c r="B154" s="3250"/>
      <c r="C154" s="1367" t="s">
        <v>12</v>
      </c>
      <c r="D154" s="1369">
        <v>0</v>
      </c>
      <c r="E154" s="1369">
        <v>0</v>
      </c>
      <c r="F154" s="1369">
        <v>0</v>
      </c>
      <c r="G154" s="1344">
        <f t="shared" si="18"/>
        <v>0</v>
      </c>
      <c r="H154" s="3253"/>
      <c r="I154" s="1345" t="s">
        <v>271</v>
      </c>
      <c r="J154" s="1370">
        <f>(J151+0.5*J152)/J150</f>
        <v>0.25</v>
      </c>
      <c r="K154" s="3210"/>
      <c r="L154" s="3254"/>
      <c r="M154" s="3151"/>
    </row>
    <row r="155" spans="1:13" s="1347" customFormat="1" ht="15" customHeight="1">
      <c r="A155" s="3180" t="s">
        <v>58</v>
      </c>
      <c r="B155" s="3122" t="s">
        <v>2937</v>
      </c>
      <c r="C155" s="1321" t="s">
        <v>8</v>
      </c>
      <c r="D155" s="1329">
        <f>SUM(D156:D159)</f>
        <v>9846.2000000000007</v>
      </c>
      <c r="E155" s="1328">
        <f>SUM(E156:E159)</f>
        <v>0</v>
      </c>
      <c r="F155" s="1328">
        <f>SUM(F156:F159)</f>
        <v>0</v>
      </c>
      <c r="G155" s="1323">
        <f t="shared" si="18"/>
        <v>0</v>
      </c>
      <c r="H155" s="3125" t="s">
        <v>2818</v>
      </c>
      <c r="I155" s="3128" t="s">
        <v>3532</v>
      </c>
      <c r="J155" s="3183" t="s">
        <v>3488</v>
      </c>
      <c r="K155" s="3199" t="s">
        <v>2852</v>
      </c>
      <c r="L155" s="3128" t="s">
        <v>3527</v>
      </c>
      <c r="M155" s="3116">
        <v>823</v>
      </c>
    </row>
    <row r="156" spans="1:13" s="1347" customFormat="1" ht="15" customHeight="1">
      <c r="A156" s="3181"/>
      <c r="B156" s="3123"/>
      <c r="C156" s="1321" t="s">
        <v>9</v>
      </c>
      <c r="D156" s="1362">
        <f>'[11]475ПП'!F319</f>
        <v>6400</v>
      </c>
      <c r="E156" s="1362">
        <v>0</v>
      </c>
      <c r="F156" s="1362">
        <v>0</v>
      </c>
      <c r="G156" s="1323">
        <f t="shared" si="18"/>
        <v>0</v>
      </c>
      <c r="H156" s="3126"/>
      <c r="I156" s="3129"/>
      <c r="J156" s="3184"/>
      <c r="K156" s="3132"/>
      <c r="L156" s="3129"/>
      <c r="M156" s="3117"/>
    </row>
    <row r="157" spans="1:13" s="1347" customFormat="1" ht="19.5" customHeight="1">
      <c r="A157" s="3181"/>
      <c r="B157" s="3123"/>
      <c r="C157" s="1321" t="s">
        <v>10</v>
      </c>
      <c r="D157" s="1326">
        <f>'[11]475ПП'!G319</f>
        <v>0</v>
      </c>
      <c r="E157" s="1362">
        <v>0</v>
      </c>
      <c r="F157" s="1362">
        <v>0</v>
      </c>
      <c r="G157" s="1323">
        <f t="shared" si="18"/>
        <v>0</v>
      </c>
      <c r="H157" s="3126"/>
      <c r="I157" s="3129"/>
      <c r="J157" s="3184"/>
      <c r="K157" s="3132"/>
      <c r="L157" s="3129"/>
      <c r="M157" s="3117"/>
    </row>
    <row r="158" spans="1:13" s="1347" customFormat="1" ht="21.75" customHeight="1">
      <c r="A158" s="3181"/>
      <c r="B158" s="3123"/>
      <c r="C158" s="1321" t="s">
        <v>11</v>
      </c>
      <c r="D158" s="1326">
        <f>'[11]475ПП'!H319</f>
        <v>3446.2</v>
      </c>
      <c r="E158" s="1362">
        <v>0</v>
      </c>
      <c r="F158" s="1362">
        <v>0</v>
      </c>
      <c r="G158" s="1323">
        <f t="shared" si="18"/>
        <v>0</v>
      </c>
      <c r="H158" s="3126"/>
      <c r="I158" s="3129"/>
      <c r="J158" s="3184"/>
      <c r="K158" s="3132"/>
      <c r="L158" s="3129"/>
      <c r="M158" s="3117"/>
    </row>
    <row r="159" spans="1:13" s="1347" customFormat="1" ht="22.5" customHeight="1">
      <c r="A159" s="3182"/>
      <c r="B159" s="3124"/>
      <c r="C159" s="1321" t="s">
        <v>12</v>
      </c>
      <c r="D159" s="1326">
        <f>'[11]475ПП'!I319</f>
        <v>0</v>
      </c>
      <c r="E159" s="1362">
        <v>0</v>
      </c>
      <c r="F159" s="1362">
        <v>0</v>
      </c>
      <c r="G159" s="1323">
        <f t="shared" si="18"/>
        <v>0</v>
      </c>
      <c r="H159" s="3127"/>
      <c r="I159" s="3130"/>
      <c r="J159" s="3185"/>
      <c r="K159" s="3133"/>
      <c r="L159" s="3130"/>
      <c r="M159" s="3118"/>
    </row>
    <row r="160" spans="1:13" s="1347" customFormat="1" ht="21.75" customHeight="1">
      <c r="A160" s="3242" t="s">
        <v>67</v>
      </c>
      <c r="B160" s="3245" t="s">
        <v>2819</v>
      </c>
      <c r="C160" s="1331" t="s">
        <v>8</v>
      </c>
      <c r="D160" s="1328">
        <f>SUM(D161:D164)</f>
        <v>57731.03</v>
      </c>
      <c r="E160" s="1328">
        <f>SUM(E161:E164)</f>
        <v>22683.900150000001</v>
      </c>
      <c r="F160" s="1328">
        <f>SUM(F161:F164)</f>
        <v>22683.900150000001</v>
      </c>
      <c r="G160" s="1323">
        <f t="shared" si="18"/>
        <v>0.39292387733251949</v>
      </c>
      <c r="H160" s="3125" t="s">
        <v>2820</v>
      </c>
      <c r="I160" s="3128" t="s">
        <v>2874</v>
      </c>
      <c r="J160" s="3131" t="s">
        <v>3385</v>
      </c>
      <c r="K160" s="3134" t="s">
        <v>2799</v>
      </c>
      <c r="L160" s="3128" t="s">
        <v>3529</v>
      </c>
      <c r="M160" s="3116">
        <v>823</v>
      </c>
    </row>
    <row r="161" spans="1:13" s="1347" customFormat="1" ht="23.25" customHeight="1">
      <c r="A161" s="3243"/>
      <c r="B161" s="3246"/>
      <c r="C161" s="1331" t="s">
        <v>9</v>
      </c>
      <c r="D161" s="1375">
        <f>'[11]475ПП'!F325</f>
        <v>41400</v>
      </c>
      <c r="E161" s="1362">
        <f>[11]Документ!L73</f>
        <v>22683.900150000001</v>
      </c>
      <c r="F161" s="1362">
        <f>E161</f>
        <v>22683.900150000001</v>
      </c>
      <c r="G161" s="1323">
        <f t="shared" si="18"/>
        <v>0.54792029347826088</v>
      </c>
      <c r="H161" s="3126"/>
      <c r="I161" s="3129" t="s">
        <v>268</v>
      </c>
      <c r="J161" s="3132"/>
      <c r="K161" s="3135"/>
      <c r="L161" s="3129"/>
      <c r="M161" s="3117"/>
    </row>
    <row r="162" spans="1:13" s="1347" customFormat="1" ht="24" customHeight="1">
      <c r="A162" s="3243"/>
      <c r="B162" s="3246"/>
      <c r="C162" s="1331" t="s">
        <v>10</v>
      </c>
      <c r="D162" s="1322">
        <f>'[11]475ПП'!G325</f>
        <v>0</v>
      </c>
      <c r="E162" s="1362">
        <v>0</v>
      </c>
      <c r="F162" s="1362">
        <v>0</v>
      </c>
      <c r="G162" s="1323">
        <f t="shared" si="18"/>
        <v>0</v>
      </c>
      <c r="H162" s="3126"/>
      <c r="I162" s="3129" t="s">
        <v>269</v>
      </c>
      <c r="J162" s="3132"/>
      <c r="K162" s="3135"/>
      <c r="L162" s="3129"/>
      <c r="M162" s="3117"/>
    </row>
    <row r="163" spans="1:13" s="1347" customFormat="1" ht="24" customHeight="1">
      <c r="A163" s="3243"/>
      <c r="B163" s="3246"/>
      <c r="C163" s="1331" t="s">
        <v>11</v>
      </c>
      <c r="D163" s="1322">
        <f>'[11]475ПП'!H325</f>
        <v>16331.03</v>
      </c>
      <c r="E163" s="1362">
        <v>0</v>
      </c>
      <c r="F163" s="1362">
        <v>0</v>
      </c>
      <c r="G163" s="1323">
        <f t="shared" si="18"/>
        <v>0</v>
      </c>
      <c r="H163" s="3126"/>
      <c r="I163" s="3129" t="s">
        <v>270</v>
      </c>
      <c r="J163" s="3132"/>
      <c r="K163" s="3135"/>
      <c r="L163" s="3129"/>
      <c r="M163" s="3117"/>
    </row>
    <row r="164" spans="1:13" s="1347" customFormat="1" ht="23.25" customHeight="1">
      <c r="A164" s="3244"/>
      <c r="B164" s="3247"/>
      <c r="C164" s="1331" t="s">
        <v>12</v>
      </c>
      <c r="D164" s="1322">
        <f>'[11]475ПП'!I325</f>
        <v>0</v>
      </c>
      <c r="E164" s="1362">
        <v>0</v>
      </c>
      <c r="F164" s="1362">
        <v>0</v>
      </c>
      <c r="G164" s="1323">
        <f t="shared" si="18"/>
        <v>0</v>
      </c>
      <c r="H164" s="3127"/>
      <c r="I164" s="3130" t="s">
        <v>271</v>
      </c>
      <c r="J164" s="3133"/>
      <c r="K164" s="3136"/>
      <c r="L164" s="3130"/>
      <c r="M164" s="3118"/>
    </row>
    <row r="165" spans="1:13" s="1347" customFormat="1">
      <c r="A165" s="3189" t="s">
        <v>2876</v>
      </c>
      <c r="B165" s="3236" t="s">
        <v>2875</v>
      </c>
      <c r="C165" s="1367" t="s">
        <v>8</v>
      </c>
      <c r="D165" s="1380">
        <f>SUM(D166:D169)</f>
        <v>11806.91419</v>
      </c>
      <c r="E165" s="1380">
        <f>SUM(E166:E169)</f>
        <v>11796.051390000001</v>
      </c>
      <c r="F165" s="1380">
        <f>SUM(F166:F169)</f>
        <v>11796.051390000001</v>
      </c>
      <c r="G165" s="1344">
        <f t="shared" si="18"/>
        <v>0.99907996282303813</v>
      </c>
      <c r="H165" s="3192" t="s">
        <v>2821</v>
      </c>
      <c r="I165" s="1381" t="s">
        <v>267</v>
      </c>
      <c r="J165" s="1382">
        <f>SUM(J166:J168)</f>
        <v>2</v>
      </c>
      <c r="K165" s="3146" t="s">
        <v>2802</v>
      </c>
      <c r="L165" s="3239"/>
      <c r="M165" s="3149">
        <v>823</v>
      </c>
    </row>
    <row r="166" spans="1:13" s="1347" customFormat="1">
      <c r="A166" s="3190"/>
      <c r="B166" s="3237"/>
      <c r="C166" s="1367" t="s">
        <v>9</v>
      </c>
      <c r="D166" s="1380">
        <f t="shared" ref="D166:E168" si="21">SUM(D171,D176)</f>
        <v>708.41418999999996</v>
      </c>
      <c r="E166" s="1380">
        <f t="shared" si="21"/>
        <v>707.76307999999995</v>
      </c>
      <c r="F166" s="1380">
        <f t="shared" ref="F166:F168" si="22">E166</f>
        <v>707.76307999999995</v>
      </c>
      <c r="G166" s="1344">
        <f t="shared" si="18"/>
        <v>0.99908089079920881</v>
      </c>
      <c r="H166" s="3193"/>
      <c r="I166" s="1381" t="s">
        <v>268</v>
      </c>
      <c r="J166" s="1382">
        <f>COUNTIF($J$170:$J$179,"Да")</f>
        <v>1</v>
      </c>
      <c r="K166" s="3147"/>
      <c r="L166" s="3240"/>
      <c r="M166" s="3150"/>
    </row>
    <row r="167" spans="1:13" s="1347" customFormat="1">
      <c r="A167" s="3190"/>
      <c r="B167" s="3237"/>
      <c r="C167" s="1367" t="s">
        <v>10</v>
      </c>
      <c r="D167" s="1380">
        <f t="shared" si="21"/>
        <v>11098.5</v>
      </c>
      <c r="E167" s="1380">
        <f t="shared" si="21"/>
        <v>11088.28831</v>
      </c>
      <c r="F167" s="1380">
        <f t="shared" si="22"/>
        <v>11088.28831</v>
      </c>
      <c r="G167" s="1344">
        <f t="shared" si="18"/>
        <v>0.9990799035905753</v>
      </c>
      <c r="H167" s="3193"/>
      <c r="I167" s="1381" t="s">
        <v>269</v>
      </c>
      <c r="J167" s="1382">
        <f>COUNTIF($J$170:$J$179,"Частично")</f>
        <v>0</v>
      </c>
      <c r="K167" s="3147"/>
      <c r="L167" s="3240"/>
      <c r="M167" s="3150"/>
    </row>
    <row r="168" spans="1:13" s="1347" customFormat="1">
      <c r="A168" s="3190"/>
      <c r="B168" s="3237"/>
      <c r="C168" s="1367" t="s">
        <v>11</v>
      </c>
      <c r="D168" s="1380">
        <f t="shared" si="21"/>
        <v>0</v>
      </c>
      <c r="E168" s="1380">
        <f t="shared" si="21"/>
        <v>0</v>
      </c>
      <c r="F168" s="1380">
        <f t="shared" si="22"/>
        <v>0</v>
      </c>
      <c r="G168" s="1344">
        <f t="shared" si="18"/>
        <v>0</v>
      </c>
      <c r="H168" s="3193"/>
      <c r="I168" s="1381" t="s">
        <v>270</v>
      </c>
      <c r="J168" s="1382">
        <f>COUNTIF($J$170:$J$179,"Нет")</f>
        <v>1</v>
      </c>
      <c r="K168" s="3147"/>
      <c r="L168" s="3240"/>
      <c r="M168" s="3150"/>
    </row>
    <row r="169" spans="1:13" s="1347" customFormat="1">
      <c r="A169" s="3191"/>
      <c r="B169" s="3238"/>
      <c r="C169" s="1367" t="s">
        <v>12</v>
      </c>
      <c r="D169" s="1380">
        <v>0</v>
      </c>
      <c r="E169" s="1380">
        <v>0</v>
      </c>
      <c r="F169" s="1380">
        <v>0</v>
      </c>
      <c r="G169" s="1344">
        <f t="shared" si="18"/>
        <v>0</v>
      </c>
      <c r="H169" s="3194"/>
      <c r="I169" s="1381" t="s">
        <v>271</v>
      </c>
      <c r="J169" s="1383">
        <f>(J166+0.5*J167)/J165</f>
        <v>0.5</v>
      </c>
      <c r="K169" s="3148"/>
      <c r="L169" s="3241"/>
      <c r="M169" s="3151"/>
    </row>
    <row r="170" spans="1:13" s="1347" customFormat="1" ht="15">
      <c r="A170" s="3235" t="s">
        <v>2877</v>
      </c>
      <c r="B170" s="3119" t="s">
        <v>3119</v>
      </c>
      <c r="C170" s="1321" t="s">
        <v>8</v>
      </c>
      <c r="D170" s="1328">
        <f>SUM(D171:D174)</f>
        <v>7678.6163199999992</v>
      </c>
      <c r="E170" s="1328">
        <f>SUM(E171:E174)</f>
        <v>7674.45039</v>
      </c>
      <c r="F170" s="1328">
        <f>SUM(F171:F174)</f>
        <v>7674.45039</v>
      </c>
      <c r="G170" s="1323">
        <f t="shared" si="18"/>
        <v>0.99945746345091513</v>
      </c>
      <c r="H170" s="3125" t="s">
        <v>3118</v>
      </c>
      <c r="I170" s="3128" t="s">
        <v>3516</v>
      </c>
      <c r="J170" s="3183" t="s">
        <v>3384</v>
      </c>
      <c r="K170" s="3134" t="s">
        <v>3496</v>
      </c>
      <c r="L170" s="3113"/>
      <c r="M170" s="3215">
        <v>823</v>
      </c>
    </row>
    <row r="171" spans="1:13" s="1347" customFormat="1" ht="15">
      <c r="A171" s="3181"/>
      <c r="B171" s="3120"/>
      <c r="C171" s="1384" t="s">
        <v>9</v>
      </c>
      <c r="D171" s="1385">
        <f>'[11]475ПП'!F337</f>
        <v>460.71632</v>
      </c>
      <c r="E171" s="1364">
        <f>[11]НП!P198</f>
        <v>460.46701999999999</v>
      </c>
      <c r="F171" s="1364">
        <f t="shared" ref="F171:F172" si="23">E171</f>
        <v>460.46701999999999</v>
      </c>
      <c r="G171" s="1359">
        <f t="shared" si="18"/>
        <v>0.99945888611022071</v>
      </c>
      <c r="H171" s="3126"/>
      <c r="I171" s="3129"/>
      <c r="J171" s="3184"/>
      <c r="K171" s="3135"/>
      <c r="L171" s="3114"/>
      <c r="M171" s="3216"/>
    </row>
    <row r="172" spans="1:13" s="1347" customFormat="1" ht="15">
      <c r="A172" s="3181"/>
      <c r="B172" s="3120"/>
      <c r="C172" s="1384" t="s">
        <v>10</v>
      </c>
      <c r="D172" s="1366">
        <f>'[11]475ПП'!G337</f>
        <v>7217.9</v>
      </c>
      <c r="E172" s="1364">
        <f>[11]НП!P197</f>
        <v>7213.9833699999999</v>
      </c>
      <c r="F172" s="1364">
        <f t="shared" si="23"/>
        <v>7213.9833699999999</v>
      </c>
      <c r="G172" s="1359">
        <f t="shared" si="18"/>
        <v>0.9994573726430126</v>
      </c>
      <c r="H172" s="3126"/>
      <c r="I172" s="3129"/>
      <c r="J172" s="3184"/>
      <c r="K172" s="3135"/>
      <c r="L172" s="3114"/>
      <c r="M172" s="3216"/>
    </row>
    <row r="173" spans="1:13" s="1347" customFormat="1" ht="15">
      <c r="A173" s="3181"/>
      <c r="B173" s="3120"/>
      <c r="C173" s="1321" t="s">
        <v>11</v>
      </c>
      <c r="D173" s="1326">
        <f>'[11]475ПП'!H337</f>
        <v>0</v>
      </c>
      <c r="E173" s="1362">
        <v>0</v>
      </c>
      <c r="F173" s="1362">
        <v>0</v>
      </c>
      <c r="G173" s="1323">
        <f t="shared" si="18"/>
        <v>0</v>
      </c>
      <c r="H173" s="3126"/>
      <c r="I173" s="3129"/>
      <c r="J173" s="3184"/>
      <c r="K173" s="3135"/>
      <c r="L173" s="3114"/>
      <c r="M173" s="3216"/>
    </row>
    <row r="174" spans="1:13" s="1347" customFormat="1" ht="15">
      <c r="A174" s="3182"/>
      <c r="B174" s="3121"/>
      <c r="C174" s="1321" t="s">
        <v>12</v>
      </c>
      <c r="D174" s="1326">
        <f>'[11]475ПП'!I337</f>
        <v>0</v>
      </c>
      <c r="E174" s="1362">
        <v>0</v>
      </c>
      <c r="F174" s="1362">
        <v>0</v>
      </c>
      <c r="G174" s="1323">
        <f t="shared" si="18"/>
        <v>0</v>
      </c>
      <c r="H174" s="3127"/>
      <c r="I174" s="3130"/>
      <c r="J174" s="3185"/>
      <c r="K174" s="3136"/>
      <c r="L174" s="3115"/>
      <c r="M174" s="3217"/>
    </row>
    <row r="175" spans="1:13" s="1347" customFormat="1" ht="15" customHeight="1">
      <c r="A175" s="3235" t="s">
        <v>2878</v>
      </c>
      <c r="B175" s="3119" t="s">
        <v>3116</v>
      </c>
      <c r="C175" s="1321" t="s">
        <v>8</v>
      </c>
      <c r="D175" s="1328">
        <f>SUM(D176:D179)</f>
        <v>4128.2978700000003</v>
      </c>
      <c r="E175" s="1328">
        <f>SUM(E176:E179)</f>
        <v>4121.6009999999997</v>
      </c>
      <c r="F175" s="1328">
        <f>SUM(F176:F179)</f>
        <v>4121.6009999999997</v>
      </c>
      <c r="G175" s="1323">
        <f t="shared" si="18"/>
        <v>0.99837781327537767</v>
      </c>
      <c r="H175" s="3125" t="s">
        <v>3114</v>
      </c>
      <c r="I175" s="3128" t="s">
        <v>3639</v>
      </c>
      <c r="J175" s="3183" t="s">
        <v>3488</v>
      </c>
      <c r="K175" s="3134" t="s">
        <v>3497</v>
      </c>
      <c r="L175" s="3128" t="s">
        <v>3530</v>
      </c>
      <c r="M175" s="3215">
        <v>823</v>
      </c>
    </row>
    <row r="176" spans="1:13" s="1347" customFormat="1">
      <c r="A176" s="3181"/>
      <c r="B176" s="3120"/>
      <c r="C176" s="1384" t="s">
        <v>9</v>
      </c>
      <c r="D176" s="1386">
        <f>'[11]475ПП'!F343</f>
        <v>247.69786999999997</v>
      </c>
      <c r="E176" s="1386">
        <f>[11]НП!P187</f>
        <v>247.29606000000001</v>
      </c>
      <c r="F176" s="1386">
        <f t="shared" ref="F176:F177" si="24">E176</f>
        <v>247.29606000000001</v>
      </c>
      <c r="G176" s="1359">
        <f t="shared" si="18"/>
        <v>0.99837782214275816</v>
      </c>
      <c r="H176" s="3126"/>
      <c r="I176" s="3129"/>
      <c r="J176" s="3184"/>
      <c r="K176" s="3135"/>
      <c r="L176" s="3129"/>
      <c r="M176" s="3216"/>
    </row>
    <row r="177" spans="1:13" s="1347" customFormat="1" ht="15" customHeight="1">
      <c r="A177" s="3181"/>
      <c r="B177" s="3120"/>
      <c r="C177" s="1384" t="s">
        <v>10</v>
      </c>
      <c r="D177" s="1387">
        <f>'[11]475ПП'!G343</f>
        <v>3880.6</v>
      </c>
      <c r="E177" s="1387">
        <f>[11]НП!P186</f>
        <v>3874.30494</v>
      </c>
      <c r="F177" s="1387">
        <f t="shared" si="24"/>
        <v>3874.30494</v>
      </c>
      <c r="G177" s="1359">
        <f t="shared" si="18"/>
        <v>0.99837781270937487</v>
      </c>
      <c r="H177" s="3126"/>
      <c r="I177" s="3129"/>
      <c r="J177" s="3184"/>
      <c r="K177" s="3135"/>
      <c r="L177" s="3129"/>
      <c r="M177" s="3216"/>
    </row>
    <row r="178" spans="1:13" s="1347" customFormat="1" ht="15" customHeight="1">
      <c r="A178" s="3181"/>
      <c r="B178" s="3120"/>
      <c r="C178" s="1321" t="s">
        <v>11</v>
      </c>
      <c r="D178" s="1326">
        <f>'[11]475ПП'!H343</f>
        <v>0</v>
      </c>
      <c r="E178" s="1362">
        <v>0</v>
      </c>
      <c r="F178" s="1362">
        <v>0</v>
      </c>
      <c r="G178" s="1323">
        <f t="shared" si="18"/>
        <v>0</v>
      </c>
      <c r="H178" s="3126"/>
      <c r="I178" s="3129"/>
      <c r="J178" s="3184"/>
      <c r="K178" s="3135"/>
      <c r="L178" s="3129"/>
      <c r="M178" s="3216"/>
    </row>
    <row r="179" spans="1:13" s="1347" customFormat="1" ht="15" customHeight="1">
      <c r="A179" s="3182"/>
      <c r="B179" s="3121"/>
      <c r="C179" s="1321" t="s">
        <v>12</v>
      </c>
      <c r="D179" s="1326">
        <f>'[11]475ПП'!I343</f>
        <v>0</v>
      </c>
      <c r="E179" s="1362">
        <v>0</v>
      </c>
      <c r="F179" s="1362">
        <v>0</v>
      </c>
      <c r="G179" s="1323">
        <f t="shared" si="18"/>
        <v>0</v>
      </c>
      <c r="H179" s="3127"/>
      <c r="I179" s="3130"/>
      <c r="J179" s="3185"/>
      <c r="K179" s="3136"/>
      <c r="L179" s="3130"/>
      <c r="M179" s="3217"/>
    </row>
    <row r="180" spans="1:13">
      <c r="A180" s="3229" t="s">
        <v>76</v>
      </c>
      <c r="B180" s="3155" t="s">
        <v>77</v>
      </c>
      <c r="C180" s="1388" t="s">
        <v>8</v>
      </c>
      <c r="D180" s="1389">
        <f>SUM(D181:D184)</f>
        <v>563216.5448899999</v>
      </c>
      <c r="E180" s="1389">
        <f>SUM(E181:E184)</f>
        <v>195591.35</v>
      </c>
      <c r="F180" s="1389">
        <f>SUM(F181:F184)</f>
        <v>195591.35</v>
      </c>
      <c r="G180" s="1390">
        <f t="shared" si="18"/>
        <v>0.34727557593003655</v>
      </c>
      <c r="H180" s="3155"/>
      <c r="I180" s="1345" t="s">
        <v>267</v>
      </c>
      <c r="J180" s="1346">
        <f t="shared" ref="J180:J183" si="25">SUM(J185,J215,J235)</f>
        <v>10</v>
      </c>
      <c r="K180" s="3164" t="s">
        <v>2895</v>
      </c>
      <c r="L180" s="3232"/>
      <c r="M180" s="3167" t="s">
        <v>150</v>
      </c>
    </row>
    <row r="181" spans="1:13">
      <c r="A181" s="3230"/>
      <c r="B181" s="3156"/>
      <c r="C181" s="1388" t="s">
        <v>9</v>
      </c>
      <c r="D181" s="1391">
        <f t="shared" ref="D181:E183" si="26">SUM(D186,D216,D236)</f>
        <v>132633.52715000001</v>
      </c>
      <c r="E181" s="1391">
        <f t="shared" si="26"/>
        <v>44805.45</v>
      </c>
      <c r="F181" s="1391">
        <f t="shared" ref="F181:F183" si="27">E181</f>
        <v>44805.45</v>
      </c>
      <c r="G181" s="1390">
        <f t="shared" si="18"/>
        <v>0.33781390695678254</v>
      </c>
      <c r="H181" s="3156"/>
      <c r="I181" s="1345" t="s">
        <v>268</v>
      </c>
      <c r="J181" s="1346">
        <f t="shared" si="25"/>
        <v>0</v>
      </c>
      <c r="K181" s="3165"/>
      <c r="L181" s="3233"/>
      <c r="M181" s="3168"/>
    </row>
    <row r="182" spans="1:13">
      <c r="A182" s="3230"/>
      <c r="B182" s="3156"/>
      <c r="C182" s="1388" t="s">
        <v>10</v>
      </c>
      <c r="D182" s="1391">
        <f t="shared" si="26"/>
        <v>424710.74</v>
      </c>
      <c r="E182" s="1392">
        <f t="shared" si="26"/>
        <v>148635</v>
      </c>
      <c r="F182" s="1392">
        <f t="shared" si="27"/>
        <v>148635</v>
      </c>
      <c r="G182" s="1390">
        <f t="shared" si="18"/>
        <v>0.34996760383314063</v>
      </c>
      <c r="H182" s="3156"/>
      <c r="I182" s="1345" t="s">
        <v>269</v>
      </c>
      <c r="J182" s="1346">
        <f t="shared" si="25"/>
        <v>2</v>
      </c>
      <c r="K182" s="3165"/>
      <c r="L182" s="3233"/>
      <c r="M182" s="3168"/>
    </row>
    <row r="183" spans="1:13">
      <c r="A183" s="3230"/>
      <c r="B183" s="3156"/>
      <c r="C183" s="1388" t="s">
        <v>11</v>
      </c>
      <c r="D183" s="1391">
        <f t="shared" si="26"/>
        <v>5872.277739999975</v>
      </c>
      <c r="E183" s="1392">
        <f t="shared" si="26"/>
        <v>2150.9</v>
      </c>
      <c r="F183" s="1392">
        <f t="shared" si="27"/>
        <v>2150.9</v>
      </c>
      <c r="G183" s="1390">
        <f t="shared" si="18"/>
        <v>0.36628035921203028</v>
      </c>
      <c r="H183" s="3156"/>
      <c r="I183" s="1345" t="s">
        <v>270</v>
      </c>
      <c r="J183" s="1346">
        <f t="shared" si="25"/>
        <v>8</v>
      </c>
      <c r="K183" s="3165"/>
      <c r="L183" s="3233"/>
      <c r="M183" s="3168"/>
    </row>
    <row r="184" spans="1:13">
      <c r="A184" s="3231"/>
      <c r="B184" s="3157"/>
      <c r="C184" s="1388" t="s">
        <v>12</v>
      </c>
      <c r="D184" s="1392">
        <v>0</v>
      </c>
      <c r="E184" s="1392">
        <v>0</v>
      </c>
      <c r="F184" s="1392">
        <v>0</v>
      </c>
      <c r="G184" s="1390">
        <f t="shared" si="18"/>
        <v>0</v>
      </c>
      <c r="H184" s="3157"/>
      <c r="I184" s="1345" t="s">
        <v>271</v>
      </c>
      <c r="J184" s="1370">
        <f>(J181+0.5*J182)/J180</f>
        <v>0.1</v>
      </c>
      <c r="K184" s="3166"/>
      <c r="L184" s="3234"/>
      <c r="M184" s="3169"/>
    </row>
    <row r="185" spans="1:13">
      <c r="A185" s="3226" t="s">
        <v>178</v>
      </c>
      <c r="B185" s="3140" t="s">
        <v>2720</v>
      </c>
      <c r="C185" s="1367" t="s">
        <v>8</v>
      </c>
      <c r="D185" s="1393">
        <f>SUM(D186:D189)</f>
        <v>119713.64</v>
      </c>
      <c r="E185" s="1393">
        <f>SUM(E186:E189)</f>
        <v>36709.799999999996</v>
      </c>
      <c r="F185" s="1393">
        <f>SUM(F186:F189)</f>
        <v>36709.799999999996</v>
      </c>
      <c r="G185" s="1394">
        <f t="shared" si="18"/>
        <v>0.30664676138825947</v>
      </c>
      <c r="H185" s="3207" t="s">
        <v>2826</v>
      </c>
      <c r="I185" s="1345" t="s">
        <v>267</v>
      </c>
      <c r="J185" s="1346">
        <f>SUM(J186:J188)</f>
        <v>5</v>
      </c>
      <c r="K185" s="3146" t="str">
        <f>'[7]Пр ГП 19-20'!$K$167</f>
        <v>Министерство строительства МО, администрации муниципальных образований</v>
      </c>
      <c r="L185" s="3146"/>
      <c r="M185" s="3149">
        <v>823</v>
      </c>
    </row>
    <row r="186" spans="1:13">
      <c r="A186" s="3227"/>
      <c r="B186" s="3141"/>
      <c r="C186" s="1367" t="s">
        <v>9</v>
      </c>
      <c r="D186" s="1393">
        <f t="shared" ref="D186:E188" si="28">SUM(D191,D196,D201,D206,D211)</f>
        <v>114247.958</v>
      </c>
      <c r="E186" s="1393">
        <f t="shared" si="28"/>
        <v>34873.699999999997</v>
      </c>
      <c r="F186" s="1393">
        <f t="shared" ref="F186:F189" si="29">E186</f>
        <v>34873.699999999997</v>
      </c>
      <c r="G186" s="1394">
        <f t="shared" si="18"/>
        <v>0.30524571826482882</v>
      </c>
      <c r="H186" s="3208"/>
      <c r="I186" s="1345" t="s">
        <v>268</v>
      </c>
      <c r="J186" s="1346">
        <f>COUNTIF($J$190:$J$214,"Да")</f>
        <v>0</v>
      </c>
      <c r="K186" s="3147"/>
      <c r="L186" s="3147"/>
      <c r="M186" s="3150"/>
    </row>
    <row r="187" spans="1:13">
      <c r="A187" s="3227"/>
      <c r="B187" s="3141"/>
      <c r="C187" s="1367" t="s">
        <v>10</v>
      </c>
      <c r="D187" s="1393">
        <f t="shared" si="28"/>
        <v>0</v>
      </c>
      <c r="E187" s="1393">
        <f t="shared" si="28"/>
        <v>0</v>
      </c>
      <c r="F187" s="1393">
        <f t="shared" si="29"/>
        <v>0</v>
      </c>
      <c r="G187" s="1394">
        <f t="shared" si="18"/>
        <v>0</v>
      </c>
      <c r="H187" s="3208"/>
      <c r="I187" s="1345" t="s">
        <v>269</v>
      </c>
      <c r="J187" s="1346">
        <f>COUNTIF($J$190:$J$214,"Частично")</f>
        <v>1</v>
      </c>
      <c r="K187" s="3147"/>
      <c r="L187" s="3147"/>
      <c r="M187" s="3150"/>
    </row>
    <row r="188" spans="1:13">
      <c r="A188" s="3227"/>
      <c r="B188" s="3141"/>
      <c r="C188" s="1367" t="s">
        <v>11</v>
      </c>
      <c r="D188" s="1393">
        <f t="shared" si="28"/>
        <v>5465.6819999999998</v>
      </c>
      <c r="E188" s="1393">
        <f t="shared" si="28"/>
        <v>1836.1000000000001</v>
      </c>
      <c r="F188" s="1393">
        <f t="shared" si="29"/>
        <v>1836.1000000000001</v>
      </c>
      <c r="G188" s="1394">
        <f t="shared" si="18"/>
        <v>0.33593246002969074</v>
      </c>
      <c r="H188" s="3208"/>
      <c r="I188" s="1345" t="s">
        <v>270</v>
      </c>
      <c r="J188" s="1346">
        <f>COUNTIF($J$190:$J$214,"Нет")</f>
        <v>4</v>
      </c>
      <c r="K188" s="3147"/>
      <c r="L188" s="3147"/>
      <c r="M188" s="3150"/>
    </row>
    <row r="189" spans="1:13">
      <c r="A189" s="3228"/>
      <c r="B189" s="3142"/>
      <c r="C189" s="1367" t="s">
        <v>12</v>
      </c>
      <c r="D189" s="1393">
        <v>0</v>
      </c>
      <c r="E189" s="1393">
        <v>0</v>
      </c>
      <c r="F189" s="1393">
        <f t="shared" si="29"/>
        <v>0</v>
      </c>
      <c r="G189" s="1394">
        <f t="shared" si="18"/>
        <v>0</v>
      </c>
      <c r="H189" s="3209"/>
      <c r="I189" s="1345" t="s">
        <v>271</v>
      </c>
      <c r="J189" s="1370">
        <f>(J186+0.5*J187)/J185</f>
        <v>0.1</v>
      </c>
      <c r="K189" s="3148"/>
      <c r="L189" s="3148"/>
      <c r="M189" s="3151"/>
    </row>
    <row r="190" spans="1:13" s="1347" customFormat="1" ht="15" customHeight="1">
      <c r="A190" s="3195" t="s">
        <v>602</v>
      </c>
      <c r="B190" s="3170" t="s">
        <v>2827</v>
      </c>
      <c r="C190" s="1331" t="s">
        <v>8</v>
      </c>
      <c r="D190" s="1322">
        <f>SUM(D191:D194)</f>
        <v>19313.64</v>
      </c>
      <c r="E190" s="1322">
        <f>SUM(E191:E194)</f>
        <v>0</v>
      </c>
      <c r="F190" s="1322">
        <f>SUM(F191:F194)</f>
        <v>0</v>
      </c>
      <c r="G190" s="1323">
        <f t="shared" si="18"/>
        <v>0</v>
      </c>
      <c r="H190" s="3170" t="s">
        <v>3068</v>
      </c>
      <c r="I190" s="3134" t="s">
        <v>3525</v>
      </c>
      <c r="J190" s="3183" t="s">
        <v>3488</v>
      </c>
      <c r="K190" s="3134" t="s">
        <v>3027</v>
      </c>
      <c r="L190" s="3128" t="s">
        <v>3533</v>
      </c>
      <c r="M190" s="3116">
        <v>823</v>
      </c>
    </row>
    <row r="191" spans="1:13" s="1347" customFormat="1" ht="15" customHeight="1">
      <c r="A191" s="3196"/>
      <c r="B191" s="3171"/>
      <c r="C191" s="1331" t="s">
        <v>9</v>
      </c>
      <c r="D191" s="1322">
        <f>'[11]475ПП'!F481</f>
        <v>18347.957999999999</v>
      </c>
      <c r="E191" s="1333">
        <v>0</v>
      </c>
      <c r="F191" s="1333">
        <v>0</v>
      </c>
      <c r="G191" s="1323">
        <f t="shared" si="18"/>
        <v>0</v>
      </c>
      <c r="H191" s="3171"/>
      <c r="I191" s="3135"/>
      <c r="J191" s="3184"/>
      <c r="K191" s="3135"/>
      <c r="L191" s="3129"/>
      <c r="M191" s="3117"/>
    </row>
    <row r="192" spans="1:13" s="1347" customFormat="1" ht="15" customHeight="1">
      <c r="A192" s="3196"/>
      <c r="B192" s="3171"/>
      <c r="C192" s="1331" t="s">
        <v>10</v>
      </c>
      <c r="D192" s="1322">
        <f>'[11]475ПП'!G481</f>
        <v>0</v>
      </c>
      <c r="E192" s="1333">
        <v>0</v>
      </c>
      <c r="F192" s="1333">
        <v>0</v>
      </c>
      <c r="G192" s="1323">
        <f t="shared" si="18"/>
        <v>0</v>
      </c>
      <c r="H192" s="3171"/>
      <c r="I192" s="3135"/>
      <c r="J192" s="3184"/>
      <c r="K192" s="3135"/>
      <c r="L192" s="3129"/>
      <c r="M192" s="3117"/>
    </row>
    <row r="193" spans="1:13" s="1347" customFormat="1" ht="15" customHeight="1">
      <c r="A193" s="3196"/>
      <c r="B193" s="3171"/>
      <c r="C193" s="1331" t="s">
        <v>11</v>
      </c>
      <c r="D193" s="1322">
        <f>'[11]475ПП'!H481</f>
        <v>965.68200000000002</v>
      </c>
      <c r="E193" s="1333">
        <v>0</v>
      </c>
      <c r="F193" s="1333">
        <v>0</v>
      </c>
      <c r="G193" s="1323">
        <f t="shared" si="18"/>
        <v>0</v>
      </c>
      <c r="H193" s="3171"/>
      <c r="I193" s="3135"/>
      <c r="J193" s="3184"/>
      <c r="K193" s="3135"/>
      <c r="L193" s="3129"/>
      <c r="M193" s="3117"/>
    </row>
    <row r="194" spans="1:13" s="1347" customFormat="1" ht="15" customHeight="1">
      <c r="A194" s="3197"/>
      <c r="B194" s="3172"/>
      <c r="C194" s="1331" t="s">
        <v>12</v>
      </c>
      <c r="D194" s="1322">
        <f>'[11]475ПП'!I481</f>
        <v>0</v>
      </c>
      <c r="E194" s="1333">
        <v>0</v>
      </c>
      <c r="F194" s="1333">
        <v>0</v>
      </c>
      <c r="G194" s="1323">
        <f t="shared" si="18"/>
        <v>0</v>
      </c>
      <c r="H194" s="3172"/>
      <c r="I194" s="3136"/>
      <c r="J194" s="3185"/>
      <c r="K194" s="3136"/>
      <c r="L194" s="3130"/>
      <c r="M194" s="3118"/>
    </row>
    <row r="195" spans="1:13" s="1395" customFormat="1" ht="15" customHeight="1">
      <c r="A195" s="3195" t="s">
        <v>2967</v>
      </c>
      <c r="B195" s="3170" t="s">
        <v>106</v>
      </c>
      <c r="C195" s="1360" t="s">
        <v>8</v>
      </c>
      <c r="D195" s="1329">
        <f>SUM(D196:D199)</f>
        <v>6000</v>
      </c>
      <c r="E195" s="1333">
        <v>0</v>
      </c>
      <c r="F195" s="1333">
        <v>0</v>
      </c>
      <c r="G195" s="1323">
        <f t="shared" si="18"/>
        <v>0</v>
      </c>
      <c r="H195" s="3170" t="s">
        <v>3067</v>
      </c>
      <c r="I195" s="3134" t="s">
        <v>3514</v>
      </c>
      <c r="J195" s="3183" t="s">
        <v>3488</v>
      </c>
      <c r="K195" s="3134" t="s">
        <v>3052</v>
      </c>
      <c r="L195" s="3128" t="s">
        <v>3533</v>
      </c>
      <c r="M195" s="3116">
        <v>823</v>
      </c>
    </row>
    <row r="196" spans="1:13" s="1395" customFormat="1" ht="15" customHeight="1">
      <c r="A196" s="3196"/>
      <c r="B196" s="3171"/>
      <c r="C196" s="1331" t="s">
        <v>9</v>
      </c>
      <c r="D196" s="1396">
        <f>'[11]475ПП'!F487</f>
        <v>6000</v>
      </c>
      <c r="E196" s="1333">
        <v>0</v>
      </c>
      <c r="F196" s="1333">
        <v>0</v>
      </c>
      <c r="G196" s="1323">
        <f t="shared" si="18"/>
        <v>0</v>
      </c>
      <c r="H196" s="3171"/>
      <c r="I196" s="3135"/>
      <c r="J196" s="3184"/>
      <c r="K196" s="3135"/>
      <c r="L196" s="3129"/>
      <c r="M196" s="3117"/>
    </row>
    <row r="197" spans="1:13" s="1395" customFormat="1" ht="15" customHeight="1">
      <c r="A197" s="3196"/>
      <c r="B197" s="3171"/>
      <c r="C197" s="1331" t="s">
        <v>10</v>
      </c>
      <c r="D197" s="1396">
        <f>'[11]475ПП'!G487</f>
        <v>0</v>
      </c>
      <c r="E197" s="1333">
        <v>0</v>
      </c>
      <c r="F197" s="1333">
        <v>0</v>
      </c>
      <c r="G197" s="1323">
        <f t="shared" ref="G197:G260" si="30">IFERROR(F197/D197,0)</f>
        <v>0</v>
      </c>
      <c r="H197" s="3171"/>
      <c r="I197" s="3135"/>
      <c r="J197" s="3184"/>
      <c r="K197" s="3135"/>
      <c r="L197" s="3129"/>
      <c r="M197" s="3117"/>
    </row>
    <row r="198" spans="1:13" s="1395" customFormat="1" ht="15" customHeight="1">
      <c r="A198" s="3196"/>
      <c r="B198" s="3171"/>
      <c r="C198" s="1331" t="s">
        <v>11</v>
      </c>
      <c r="D198" s="1396">
        <f>'[11]475ПП'!H487</f>
        <v>0</v>
      </c>
      <c r="E198" s="1333">
        <v>0</v>
      </c>
      <c r="F198" s="1333">
        <v>0</v>
      </c>
      <c r="G198" s="1323">
        <f t="shared" si="30"/>
        <v>0</v>
      </c>
      <c r="H198" s="3171"/>
      <c r="I198" s="3135"/>
      <c r="J198" s="3184"/>
      <c r="K198" s="3135"/>
      <c r="L198" s="3129"/>
      <c r="M198" s="3117"/>
    </row>
    <row r="199" spans="1:13" s="1395" customFormat="1" ht="15" customHeight="1">
      <c r="A199" s="3197"/>
      <c r="B199" s="3172"/>
      <c r="C199" s="1331" t="s">
        <v>12</v>
      </c>
      <c r="D199" s="1396">
        <f>'[11]475ПП'!I487</f>
        <v>0</v>
      </c>
      <c r="E199" s="1333">
        <v>0</v>
      </c>
      <c r="F199" s="1333">
        <v>0</v>
      </c>
      <c r="G199" s="1323">
        <f t="shared" si="30"/>
        <v>0</v>
      </c>
      <c r="H199" s="3172"/>
      <c r="I199" s="3136"/>
      <c r="J199" s="3185"/>
      <c r="K199" s="3136"/>
      <c r="L199" s="3130"/>
      <c r="M199" s="3118"/>
    </row>
    <row r="200" spans="1:13" s="1347" customFormat="1" ht="15" customHeight="1">
      <c r="A200" s="3218" t="s">
        <v>2980</v>
      </c>
      <c r="B200" s="3221" t="s">
        <v>2953</v>
      </c>
      <c r="C200" s="1397" t="s">
        <v>8</v>
      </c>
      <c r="D200" s="1398">
        <f>SUM(D201:D204)</f>
        <v>80000</v>
      </c>
      <c r="E200" s="1399">
        <f>E201+E202+E203+E204</f>
        <v>35001.899999999994</v>
      </c>
      <c r="F200" s="1399">
        <f>F201+F202+F203+F204</f>
        <v>35001.899999999994</v>
      </c>
      <c r="G200" s="1400">
        <f t="shared" si="30"/>
        <v>0.43752374999999993</v>
      </c>
      <c r="H200" s="3221" t="s">
        <v>3054</v>
      </c>
      <c r="I200" s="3222" t="s">
        <v>3640</v>
      </c>
      <c r="J200" s="3223" t="s">
        <v>3385</v>
      </c>
      <c r="K200" s="3222" t="s">
        <v>168</v>
      </c>
      <c r="L200" s="3211" t="s">
        <v>3533</v>
      </c>
      <c r="M200" s="3214">
        <v>807</v>
      </c>
    </row>
    <row r="201" spans="1:13" s="1347" customFormat="1" ht="15" customHeight="1">
      <c r="A201" s="3219"/>
      <c r="B201" s="3221"/>
      <c r="C201" s="1397" t="s">
        <v>9</v>
      </c>
      <c r="D201" s="1401">
        <f>'[11]475ПП'!F577</f>
        <v>76000</v>
      </c>
      <c r="E201" s="1402">
        <v>33251.199999999997</v>
      </c>
      <c r="F201" s="1402">
        <v>33251.199999999997</v>
      </c>
      <c r="G201" s="1400">
        <f t="shared" si="30"/>
        <v>0.43751578947368419</v>
      </c>
      <c r="H201" s="3221"/>
      <c r="I201" s="3222"/>
      <c r="J201" s="3224"/>
      <c r="K201" s="3222"/>
      <c r="L201" s="3212"/>
      <c r="M201" s="3214"/>
    </row>
    <row r="202" spans="1:13" s="1347" customFormat="1" ht="15" customHeight="1">
      <c r="A202" s="3219"/>
      <c r="B202" s="3221"/>
      <c r="C202" s="1397" t="s">
        <v>10</v>
      </c>
      <c r="D202" s="1398">
        <f>'[11]475ПП'!G577</f>
        <v>0</v>
      </c>
      <c r="E202" s="1402">
        <v>0</v>
      </c>
      <c r="F202" s="1402">
        <v>0</v>
      </c>
      <c r="G202" s="1400">
        <f t="shared" si="30"/>
        <v>0</v>
      </c>
      <c r="H202" s="3221"/>
      <c r="I202" s="3222"/>
      <c r="J202" s="3224"/>
      <c r="K202" s="3222"/>
      <c r="L202" s="3212"/>
      <c r="M202" s="3214"/>
    </row>
    <row r="203" spans="1:13" s="1347" customFormat="1" ht="15" customHeight="1">
      <c r="A203" s="3219"/>
      <c r="B203" s="3221"/>
      <c r="C203" s="1397" t="s">
        <v>11</v>
      </c>
      <c r="D203" s="1398">
        <f>'[11]475ПП'!H577</f>
        <v>4000</v>
      </c>
      <c r="E203" s="1402">
        <v>1750.7</v>
      </c>
      <c r="F203" s="1402">
        <v>1750.7</v>
      </c>
      <c r="G203" s="1400">
        <f t="shared" si="30"/>
        <v>0.43767500000000004</v>
      </c>
      <c r="H203" s="3221"/>
      <c r="I203" s="3222"/>
      <c r="J203" s="3224"/>
      <c r="K203" s="3222"/>
      <c r="L203" s="3212"/>
      <c r="M203" s="3214"/>
    </row>
    <row r="204" spans="1:13" s="1347" customFormat="1" ht="151.5" customHeight="1">
      <c r="A204" s="3220"/>
      <c r="B204" s="3221"/>
      <c r="C204" s="1403" t="s">
        <v>12</v>
      </c>
      <c r="D204" s="1398">
        <f>'[11]475ПП'!I577</f>
        <v>0</v>
      </c>
      <c r="E204" s="1402">
        <v>0</v>
      </c>
      <c r="F204" s="1402">
        <v>0</v>
      </c>
      <c r="G204" s="1400">
        <f t="shared" si="30"/>
        <v>0</v>
      </c>
      <c r="H204" s="3221"/>
      <c r="I204" s="3222"/>
      <c r="J204" s="3225"/>
      <c r="K204" s="3222"/>
      <c r="L204" s="3213"/>
      <c r="M204" s="3214"/>
    </row>
    <row r="205" spans="1:13" s="1347" customFormat="1" ht="15" customHeight="1">
      <c r="A205" s="3195" t="s">
        <v>2981</v>
      </c>
      <c r="B205" s="3170" t="s">
        <v>2954</v>
      </c>
      <c r="C205" s="1331" t="s">
        <v>8</v>
      </c>
      <c r="D205" s="1404">
        <f>SUM(D206:D209)</f>
        <v>4400</v>
      </c>
      <c r="E205" s="1405">
        <f>SUM(E206:E209)</f>
        <v>0</v>
      </c>
      <c r="F205" s="1405">
        <f>SUM(F206:F209)</f>
        <v>0</v>
      </c>
      <c r="G205" s="1323">
        <f t="shared" si="30"/>
        <v>0</v>
      </c>
      <c r="H205" s="3173" t="s">
        <v>3381</v>
      </c>
      <c r="I205" s="3199" t="s">
        <v>3515</v>
      </c>
      <c r="J205" s="3183" t="s">
        <v>3488</v>
      </c>
      <c r="K205" s="3134" t="s">
        <v>3052</v>
      </c>
      <c r="L205" s="3128" t="s">
        <v>3534</v>
      </c>
      <c r="M205" s="3215">
        <v>823</v>
      </c>
    </row>
    <row r="206" spans="1:13" s="1347" customFormat="1" ht="15" customHeight="1">
      <c r="A206" s="3196"/>
      <c r="B206" s="3171"/>
      <c r="C206" s="1331" t="s">
        <v>9</v>
      </c>
      <c r="D206" s="1406">
        <f>'[11]475ПП'!F583</f>
        <v>4400</v>
      </c>
      <c r="E206" s="1405">
        <v>0</v>
      </c>
      <c r="F206" s="1405">
        <v>0</v>
      </c>
      <c r="G206" s="1323">
        <f t="shared" si="30"/>
        <v>0</v>
      </c>
      <c r="H206" s="3174"/>
      <c r="I206" s="3132"/>
      <c r="J206" s="3184"/>
      <c r="K206" s="3135"/>
      <c r="L206" s="3129"/>
      <c r="M206" s="3216"/>
    </row>
    <row r="207" spans="1:13" s="1347" customFormat="1" ht="15" customHeight="1">
      <c r="A207" s="3196"/>
      <c r="B207" s="3171"/>
      <c r="C207" s="1331" t="s">
        <v>10</v>
      </c>
      <c r="D207" s="1407">
        <f>'[11]475ПП'!G583</f>
        <v>0</v>
      </c>
      <c r="E207" s="1405">
        <v>0</v>
      </c>
      <c r="F207" s="1405">
        <v>0</v>
      </c>
      <c r="G207" s="1323">
        <f t="shared" si="30"/>
        <v>0</v>
      </c>
      <c r="H207" s="3174"/>
      <c r="I207" s="3132"/>
      <c r="J207" s="3184"/>
      <c r="K207" s="3135"/>
      <c r="L207" s="3129"/>
      <c r="M207" s="3216"/>
    </row>
    <row r="208" spans="1:13" s="1347" customFormat="1" ht="15" customHeight="1">
      <c r="A208" s="3196"/>
      <c r="B208" s="3171"/>
      <c r="C208" s="1331" t="s">
        <v>11</v>
      </c>
      <c r="D208" s="1408">
        <f>'[11]475ПП'!H583</f>
        <v>0</v>
      </c>
      <c r="E208" s="1405">
        <v>0</v>
      </c>
      <c r="F208" s="1405">
        <v>0</v>
      </c>
      <c r="G208" s="1323">
        <f t="shared" si="30"/>
        <v>0</v>
      </c>
      <c r="H208" s="3174"/>
      <c r="I208" s="3132"/>
      <c r="J208" s="3184"/>
      <c r="K208" s="3135"/>
      <c r="L208" s="3129"/>
      <c r="M208" s="3216"/>
    </row>
    <row r="209" spans="1:13" s="1347" customFormat="1" ht="15" customHeight="1">
      <c r="A209" s="3197"/>
      <c r="B209" s="3172"/>
      <c r="C209" s="1409" t="s">
        <v>12</v>
      </c>
      <c r="D209" s="1408">
        <f>'[11]475ПП'!I583</f>
        <v>0</v>
      </c>
      <c r="E209" s="1405">
        <v>0</v>
      </c>
      <c r="F209" s="1405">
        <v>0</v>
      </c>
      <c r="G209" s="1323">
        <f t="shared" si="30"/>
        <v>0</v>
      </c>
      <c r="H209" s="3175"/>
      <c r="I209" s="3133"/>
      <c r="J209" s="3185"/>
      <c r="K209" s="3136"/>
      <c r="L209" s="3130"/>
      <c r="M209" s="3217"/>
    </row>
    <row r="210" spans="1:13" s="1347" customFormat="1" ht="15" customHeight="1">
      <c r="A210" s="3195" t="s">
        <v>613</v>
      </c>
      <c r="B210" s="3170" t="s">
        <v>2961</v>
      </c>
      <c r="C210" s="1331" t="s">
        <v>8</v>
      </c>
      <c r="D210" s="1404">
        <f>SUM(D211:D214)</f>
        <v>10000</v>
      </c>
      <c r="E210" s="1410">
        <f>E211+E213</f>
        <v>1707.9</v>
      </c>
      <c r="F210" s="1410">
        <f>F211+F213</f>
        <v>1707.9</v>
      </c>
      <c r="G210" s="1411">
        <f t="shared" si="30"/>
        <v>0.17079</v>
      </c>
      <c r="H210" s="3173" t="s">
        <v>3043</v>
      </c>
      <c r="I210" s="3199" t="s">
        <v>3391</v>
      </c>
      <c r="J210" s="3183" t="s">
        <v>3488</v>
      </c>
      <c r="K210" s="3134" t="s">
        <v>2993</v>
      </c>
      <c r="L210" s="3128" t="s">
        <v>3533</v>
      </c>
      <c r="M210" s="3116">
        <v>807</v>
      </c>
    </row>
    <row r="211" spans="1:13" s="1347" customFormat="1" ht="15" customHeight="1">
      <c r="A211" s="3196"/>
      <c r="B211" s="3171"/>
      <c r="C211" s="1331" t="s">
        <v>9</v>
      </c>
      <c r="D211" s="1407">
        <f>'[11]475ПП'!F631</f>
        <v>9500</v>
      </c>
      <c r="E211" s="1410">
        <v>1622.5</v>
      </c>
      <c r="F211" s="1410">
        <v>1622.5</v>
      </c>
      <c r="G211" s="1411">
        <f t="shared" si="30"/>
        <v>0.17078947368421052</v>
      </c>
      <c r="H211" s="3174"/>
      <c r="I211" s="3132"/>
      <c r="J211" s="3184"/>
      <c r="K211" s="3135"/>
      <c r="L211" s="3129"/>
      <c r="M211" s="3117"/>
    </row>
    <row r="212" spans="1:13" s="1347" customFormat="1" ht="15" customHeight="1">
      <c r="A212" s="3196"/>
      <c r="B212" s="3171"/>
      <c r="C212" s="1331" t="s">
        <v>10</v>
      </c>
      <c r="D212" s="1407">
        <f>'[11]475ПП'!G631</f>
        <v>0</v>
      </c>
      <c r="E212" s="1410">
        <v>0</v>
      </c>
      <c r="F212" s="1410">
        <v>0</v>
      </c>
      <c r="G212" s="1411">
        <f t="shared" si="30"/>
        <v>0</v>
      </c>
      <c r="H212" s="3174"/>
      <c r="I212" s="3132"/>
      <c r="J212" s="3184"/>
      <c r="K212" s="3135"/>
      <c r="L212" s="3129"/>
      <c r="M212" s="3117"/>
    </row>
    <row r="213" spans="1:13" s="1347" customFormat="1" ht="15" customHeight="1">
      <c r="A213" s="3196"/>
      <c r="B213" s="3171"/>
      <c r="C213" s="1331" t="s">
        <v>11</v>
      </c>
      <c r="D213" s="1408">
        <f>'[11]475ПП'!H631</f>
        <v>500</v>
      </c>
      <c r="E213" s="1410">
        <v>85.4</v>
      </c>
      <c r="F213" s="1410">
        <v>85.4</v>
      </c>
      <c r="G213" s="1411">
        <f t="shared" si="30"/>
        <v>0.17080000000000001</v>
      </c>
      <c r="H213" s="3174"/>
      <c r="I213" s="3132"/>
      <c r="J213" s="3184"/>
      <c r="K213" s="3135"/>
      <c r="L213" s="3129"/>
      <c r="M213" s="3117"/>
    </row>
    <row r="214" spans="1:13" s="1347" customFormat="1" ht="15" customHeight="1">
      <c r="A214" s="3197"/>
      <c r="B214" s="3172"/>
      <c r="C214" s="1409" t="s">
        <v>12</v>
      </c>
      <c r="D214" s="1408">
        <f>'[11]475ПП'!I631</f>
        <v>0</v>
      </c>
      <c r="E214" s="1410">
        <v>0</v>
      </c>
      <c r="F214" s="1410">
        <v>0</v>
      </c>
      <c r="G214" s="1411">
        <f t="shared" si="30"/>
        <v>0</v>
      </c>
      <c r="H214" s="3175"/>
      <c r="I214" s="3133"/>
      <c r="J214" s="3185"/>
      <c r="K214" s="3136"/>
      <c r="L214" s="3130"/>
      <c r="M214" s="3118"/>
    </row>
    <row r="215" spans="1:13" s="1347" customFormat="1" ht="15" customHeight="1">
      <c r="A215" s="3201" t="s">
        <v>3015</v>
      </c>
      <c r="B215" s="3204" t="s">
        <v>3014</v>
      </c>
      <c r="C215" s="1342" t="s">
        <v>8</v>
      </c>
      <c r="D215" s="1412">
        <f>SUM(D216:D219)</f>
        <v>304029.74</v>
      </c>
      <c r="E215" s="1413">
        <f>SUM(E216:E219)</f>
        <v>50000</v>
      </c>
      <c r="F215" s="1413">
        <f>SUM(F216:F219)</f>
        <v>50000</v>
      </c>
      <c r="G215" s="1414">
        <f t="shared" si="30"/>
        <v>0.16445759549707209</v>
      </c>
      <c r="H215" s="3207" t="s">
        <v>3505</v>
      </c>
      <c r="I215" s="1345" t="s">
        <v>267</v>
      </c>
      <c r="J215" s="1346">
        <f>SUM(J216:J218)</f>
        <v>3</v>
      </c>
      <c r="K215" s="3210" t="s">
        <v>3012</v>
      </c>
      <c r="L215" s="3210"/>
      <c r="M215" s="3149">
        <v>807</v>
      </c>
    </row>
    <row r="216" spans="1:13" s="1347" customFormat="1" ht="15" customHeight="1">
      <c r="A216" s="3202"/>
      <c r="B216" s="3205"/>
      <c r="C216" s="1342" t="s">
        <v>9</v>
      </c>
      <c r="D216" s="1412">
        <f t="shared" ref="D216:E219" si="31">SUM(D221,D226,D231)</f>
        <v>6710</v>
      </c>
      <c r="E216" s="1413">
        <f>SUM(E221,E226,E231)</f>
        <v>0</v>
      </c>
      <c r="F216" s="1413">
        <f t="shared" ref="F216:F219" si="32">SUM(F221,F226,F231)</f>
        <v>0</v>
      </c>
      <c r="G216" s="1414">
        <f t="shared" si="30"/>
        <v>0</v>
      </c>
      <c r="H216" s="3208"/>
      <c r="I216" s="1345" t="s">
        <v>268</v>
      </c>
      <c r="J216" s="1346">
        <f>COUNTIF($J$220:$J$234,"Да")</f>
        <v>0</v>
      </c>
      <c r="K216" s="3210"/>
      <c r="L216" s="3210"/>
      <c r="M216" s="3150"/>
    </row>
    <row r="217" spans="1:13" s="1347" customFormat="1" ht="15" customHeight="1">
      <c r="A217" s="3202"/>
      <c r="B217" s="3205"/>
      <c r="C217" s="1342" t="s">
        <v>10</v>
      </c>
      <c r="D217" s="1415">
        <f t="shared" si="31"/>
        <v>297319.74</v>
      </c>
      <c r="E217" s="1413">
        <f>SUM(E216,E222,E227,E232)</f>
        <v>50000</v>
      </c>
      <c r="F217" s="1413">
        <f t="shared" si="32"/>
        <v>50000</v>
      </c>
      <c r="G217" s="1414">
        <f t="shared" si="30"/>
        <v>0.16816912324758526</v>
      </c>
      <c r="H217" s="3208"/>
      <c r="I217" s="1345" t="s">
        <v>269</v>
      </c>
      <c r="J217" s="1346">
        <f>COUNTIF($J$220:$J$234,"Частично")</f>
        <v>0</v>
      </c>
      <c r="K217" s="3210"/>
      <c r="L217" s="3210"/>
      <c r="M217" s="3150"/>
    </row>
    <row r="218" spans="1:13" s="1347" customFormat="1" ht="15" customHeight="1">
      <c r="A218" s="3202"/>
      <c r="B218" s="3205"/>
      <c r="C218" s="1342" t="s">
        <v>11</v>
      </c>
      <c r="D218" s="1412">
        <f t="shared" si="31"/>
        <v>0</v>
      </c>
      <c r="E218" s="1413">
        <f t="shared" si="31"/>
        <v>0</v>
      </c>
      <c r="F218" s="1413">
        <f t="shared" si="32"/>
        <v>0</v>
      </c>
      <c r="G218" s="1414">
        <f t="shared" si="30"/>
        <v>0</v>
      </c>
      <c r="H218" s="3208"/>
      <c r="I218" s="1345" t="s">
        <v>270</v>
      </c>
      <c r="J218" s="1346">
        <f>COUNTIF($J$220:$J$234,"Нет")</f>
        <v>3</v>
      </c>
      <c r="K218" s="3210"/>
      <c r="L218" s="3210"/>
      <c r="M218" s="3150"/>
    </row>
    <row r="219" spans="1:13" s="1347" customFormat="1" ht="15" customHeight="1">
      <c r="A219" s="3203"/>
      <c r="B219" s="3206"/>
      <c r="C219" s="1416" t="s">
        <v>12</v>
      </c>
      <c r="D219" s="1412">
        <f t="shared" si="31"/>
        <v>0</v>
      </c>
      <c r="E219" s="1413">
        <f t="shared" si="31"/>
        <v>0</v>
      </c>
      <c r="F219" s="1413">
        <f t="shared" si="32"/>
        <v>0</v>
      </c>
      <c r="G219" s="1414">
        <f t="shared" si="30"/>
        <v>0</v>
      </c>
      <c r="H219" s="3209"/>
      <c r="I219" s="1345" t="s">
        <v>271</v>
      </c>
      <c r="J219" s="1370">
        <f>(J216+0.5*J217)/J215</f>
        <v>0</v>
      </c>
      <c r="K219" s="3210"/>
      <c r="L219" s="3210"/>
      <c r="M219" s="3151"/>
    </row>
    <row r="220" spans="1:13" s="1347" customFormat="1" ht="15" customHeight="1">
      <c r="A220" s="3195" t="s">
        <v>2772</v>
      </c>
      <c r="B220" s="3170" t="s">
        <v>2823</v>
      </c>
      <c r="C220" s="1331" t="s">
        <v>8</v>
      </c>
      <c r="D220" s="1408">
        <f>SUM(D221:D224)</f>
        <v>187186.63</v>
      </c>
      <c r="E220" s="1410">
        <f>E222</f>
        <v>50000</v>
      </c>
      <c r="F220" s="1410">
        <f>F222</f>
        <v>50000</v>
      </c>
      <c r="G220" s="1417">
        <f t="shared" si="30"/>
        <v>0.26711309456236271</v>
      </c>
      <c r="H220" s="3198" t="s">
        <v>3007</v>
      </c>
      <c r="I220" s="3200" t="s">
        <v>3641</v>
      </c>
      <c r="J220" s="3183" t="s">
        <v>3488</v>
      </c>
      <c r="K220" s="3179" t="s">
        <v>3011</v>
      </c>
      <c r="L220" s="3128" t="s">
        <v>3527</v>
      </c>
      <c r="M220" s="3186">
        <v>807</v>
      </c>
    </row>
    <row r="221" spans="1:13" s="1347" customFormat="1" ht="15" customHeight="1">
      <c r="A221" s="3196"/>
      <c r="B221" s="3171"/>
      <c r="C221" s="1331" t="s">
        <v>9</v>
      </c>
      <c r="D221" s="1408">
        <f>'[11]475ПП'!F697</f>
        <v>6710</v>
      </c>
      <c r="E221" s="1410">
        <v>0</v>
      </c>
      <c r="F221" s="1410">
        <v>0</v>
      </c>
      <c r="G221" s="1417">
        <f t="shared" si="30"/>
        <v>0</v>
      </c>
      <c r="H221" s="3198"/>
      <c r="I221" s="3200"/>
      <c r="J221" s="3184"/>
      <c r="K221" s="3179"/>
      <c r="L221" s="3129"/>
      <c r="M221" s="3187"/>
    </row>
    <row r="222" spans="1:13" s="1347" customFormat="1" ht="15" customHeight="1">
      <c r="A222" s="3196"/>
      <c r="B222" s="3171"/>
      <c r="C222" s="1331" t="s">
        <v>10</v>
      </c>
      <c r="D222" s="1408">
        <f>'[11]475ПП'!G697</f>
        <v>180476.63</v>
      </c>
      <c r="E222" s="1410">
        <v>50000</v>
      </c>
      <c r="F222" s="1410">
        <v>50000</v>
      </c>
      <c r="G222" s="1417">
        <f t="shared" si="30"/>
        <v>0.27704418018000448</v>
      </c>
      <c r="H222" s="3198"/>
      <c r="I222" s="3200"/>
      <c r="J222" s="3184"/>
      <c r="K222" s="3179"/>
      <c r="L222" s="3129"/>
      <c r="M222" s="3187"/>
    </row>
    <row r="223" spans="1:13" s="1347" customFormat="1" ht="15" customHeight="1">
      <c r="A223" s="3196"/>
      <c r="B223" s="3171"/>
      <c r="C223" s="1331" t="s">
        <v>11</v>
      </c>
      <c r="D223" s="1408">
        <f>'[11]475ПП'!H697</f>
        <v>0</v>
      </c>
      <c r="E223" s="1410">
        <v>0</v>
      </c>
      <c r="F223" s="1410">
        <v>0</v>
      </c>
      <c r="G223" s="1417">
        <f t="shared" si="30"/>
        <v>0</v>
      </c>
      <c r="H223" s="3198"/>
      <c r="I223" s="3200"/>
      <c r="J223" s="3184"/>
      <c r="K223" s="3179"/>
      <c r="L223" s="3129"/>
      <c r="M223" s="3187"/>
    </row>
    <row r="224" spans="1:13" s="1347" customFormat="1" ht="142.5" customHeight="1">
      <c r="A224" s="3197"/>
      <c r="B224" s="3172"/>
      <c r="C224" s="1409" t="s">
        <v>12</v>
      </c>
      <c r="D224" s="1408">
        <f>'[11]475ПП'!I697</f>
        <v>0</v>
      </c>
      <c r="E224" s="1410">
        <v>0</v>
      </c>
      <c r="F224" s="1410">
        <v>0</v>
      </c>
      <c r="G224" s="1417">
        <f t="shared" si="30"/>
        <v>0</v>
      </c>
      <c r="H224" s="3198"/>
      <c r="I224" s="3200"/>
      <c r="J224" s="3185"/>
      <c r="K224" s="3179"/>
      <c r="L224" s="3130"/>
      <c r="M224" s="3188"/>
    </row>
    <row r="225" spans="1:13" s="1347" customFormat="1" ht="15" customHeight="1">
      <c r="A225" s="3195" t="s">
        <v>2775</v>
      </c>
      <c r="B225" s="3170" t="s">
        <v>3010</v>
      </c>
      <c r="C225" s="1331" t="s">
        <v>8</v>
      </c>
      <c r="D225" s="1408">
        <f>SUM(D226:D229)</f>
        <v>65440</v>
      </c>
      <c r="E225" s="1410">
        <f>SUM(E226:E229)</f>
        <v>0</v>
      </c>
      <c r="F225" s="1410">
        <f>SUM(F226:F229)</f>
        <v>0</v>
      </c>
      <c r="G225" s="1417">
        <f t="shared" si="30"/>
        <v>0</v>
      </c>
      <c r="H225" s="3198" t="s">
        <v>3007</v>
      </c>
      <c r="I225" s="3200" t="s">
        <v>3607</v>
      </c>
      <c r="J225" s="3183" t="s">
        <v>3488</v>
      </c>
      <c r="K225" s="3179" t="s">
        <v>3009</v>
      </c>
      <c r="L225" s="3128" t="s">
        <v>3527</v>
      </c>
      <c r="M225" s="3186">
        <v>807</v>
      </c>
    </row>
    <row r="226" spans="1:13" s="1347" customFormat="1" ht="15" customHeight="1">
      <c r="A226" s="3196"/>
      <c r="B226" s="3171"/>
      <c r="C226" s="1331" t="s">
        <v>9</v>
      </c>
      <c r="D226" s="1408">
        <f>'[11]475ПП'!F703</f>
        <v>0</v>
      </c>
      <c r="E226" s="1410">
        <v>0</v>
      </c>
      <c r="F226" s="1410">
        <v>0</v>
      </c>
      <c r="G226" s="1417">
        <f t="shared" si="30"/>
        <v>0</v>
      </c>
      <c r="H226" s="3198"/>
      <c r="I226" s="3200"/>
      <c r="J226" s="3184"/>
      <c r="K226" s="3179"/>
      <c r="L226" s="3129"/>
      <c r="M226" s="3187"/>
    </row>
    <row r="227" spans="1:13" s="1347" customFormat="1" ht="15" customHeight="1">
      <c r="A227" s="3196"/>
      <c r="B227" s="3171"/>
      <c r="C227" s="1331" t="s">
        <v>10</v>
      </c>
      <c r="D227" s="1408">
        <f>'[11]475ПП'!G703</f>
        <v>65440</v>
      </c>
      <c r="E227" s="1410">
        <v>0</v>
      </c>
      <c r="F227" s="1410">
        <v>0</v>
      </c>
      <c r="G227" s="1417">
        <f t="shared" si="30"/>
        <v>0</v>
      </c>
      <c r="H227" s="3198"/>
      <c r="I227" s="3200"/>
      <c r="J227" s="3184"/>
      <c r="K227" s="3179"/>
      <c r="L227" s="3129"/>
      <c r="M227" s="3187"/>
    </row>
    <row r="228" spans="1:13" s="1347" customFormat="1" ht="15" customHeight="1">
      <c r="A228" s="3196"/>
      <c r="B228" s="3171"/>
      <c r="C228" s="1331" t="s">
        <v>11</v>
      </c>
      <c r="D228" s="1408">
        <f>'[11]475ПП'!H703</f>
        <v>0</v>
      </c>
      <c r="E228" s="1410">
        <v>0</v>
      </c>
      <c r="F228" s="1410">
        <v>0</v>
      </c>
      <c r="G228" s="1417">
        <f t="shared" si="30"/>
        <v>0</v>
      </c>
      <c r="H228" s="3198"/>
      <c r="I228" s="3200"/>
      <c r="J228" s="3184"/>
      <c r="K228" s="3179"/>
      <c r="L228" s="3129"/>
      <c r="M228" s="3187"/>
    </row>
    <row r="229" spans="1:13" s="1347" customFormat="1" ht="15" customHeight="1">
      <c r="A229" s="3197"/>
      <c r="B229" s="3172"/>
      <c r="C229" s="1409" t="s">
        <v>12</v>
      </c>
      <c r="D229" s="1408">
        <f>'[11]475ПП'!I703</f>
        <v>0</v>
      </c>
      <c r="E229" s="1410">
        <v>0</v>
      </c>
      <c r="F229" s="1410">
        <v>0</v>
      </c>
      <c r="G229" s="1417">
        <f t="shared" si="30"/>
        <v>0</v>
      </c>
      <c r="H229" s="3198"/>
      <c r="I229" s="3200"/>
      <c r="J229" s="3185"/>
      <c r="K229" s="3179"/>
      <c r="L229" s="3130"/>
      <c r="M229" s="3188"/>
    </row>
    <row r="230" spans="1:13" s="1347" customFormat="1" ht="15" customHeight="1">
      <c r="A230" s="3195" t="s">
        <v>641</v>
      </c>
      <c r="B230" s="3170" t="s">
        <v>3008</v>
      </c>
      <c r="C230" s="1331" t="s">
        <v>8</v>
      </c>
      <c r="D230" s="1408">
        <f>SUM(D231:D234)</f>
        <v>51403.11</v>
      </c>
      <c r="E230" s="1410">
        <f>SUM(E231:E234)</f>
        <v>0</v>
      </c>
      <c r="F230" s="1410">
        <f>SUM(F231:F234)</f>
        <v>0</v>
      </c>
      <c r="G230" s="1417">
        <f t="shared" si="30"/>
        <v>0</v>
      </c>
      <c r="H230" s="3198" t="s">
        <v>3007</v>
      </c>
      <c r="I230" s="3199" t="s">
        <v>3608</v>
      </c>
      <c r="J230" s="3183" t="s">
        <v>3488</v>
      </c>
      <c r="K230" s="3134" t="s">
        <v>3006</v>
      </c>
      <c r="L230" s="3128" t="s">
        <v>3527</v>
      </c>
      <c r="M230" s="3186">
        <v>807</v>
      </c>
    </row>
    <row r="231" spans="1:13" s="1347" customFormat="1" ht="15" customHeight="1">
      <c r="A231" s="3196"/>
      <c r="B231" s="3171"/>
      <c r="C231" s="1331" t="s">
        <v>9</v>
      </c>
      <c r="D231" s="1408">
        <f>'[11]475ПП'!F709</f>
        <v>0</v>
      </c>
      <c r="E231" s="1410">
        <v>0</v>
      </c>
      <c r="F231" s="1410">
        <v>0</v>
      </c>
      <c r="G231" s="1417">
        <f t="shared" si="30"/>
        <v>0</v>
      </c>
      <c r="H231" s="3198"/>
      <c r="I231" s="3132"/>
      <c r="J231" s="3184"/>
      <c r="K231" s="3135"/>
      <c r="L231" s="3129"/>
      <c r="M231" s="3187"/>
    </row>
    <row r="232" spans="1:13" s="1347" customFormat="1" ht="15" customHeight="1">
      <c r="A232" s="3196"/>
      <c r="B232" s="3171"/>
      <c r="C232" s="1331" t="s">
        <v>10</v>
      </c>
      <c r="D232" s="1408">
        <f>'[11]475ПП'!G709</f>
        <v>51403.11</v>
      </c>
      <c r="E232" s="1410">
        <v>0</v>
      </c>
      <c r="F232" s="1410">
        <v>0</v>
      </c>
      <c r="G232" s="1417">
        <f t="shared" si="30"/>
        <v>0</v>
      </c>
      <c r="H232" s="3198"/>
      <c r="I232" s="3132"/>
      <c r="J232" s="3184"/>
      <c r="K232" s="3135"/>
      <c r="L232" s="3129"/>
      <c r="M232" s="3187"/>
    </row>
    <row r="233" spans="1:13" s="1347" customFormat="1" ht="15" customHeight="1">
      <c r="A233" s="3196"/>
      <c r="B233" s="3171"/>
      <c r="C233" s="1331" t="s">
        <v>11</v>
      </c>
      <c r="D233" s="1408">
        <f>'[11]475ПП'!H709</f>
        <v>0</v>
      </c>
      <c r="E233" s="1410">
        <v>0</v>
      </c>
      <c r="F233" s="1410">
        <v>0</v>
      </c>
      <c r="G233" s="1417">
        <f t="shared" si="30"/>
        <v>0</v>
      </c>
      <c r="H233" s="3198"/>
      <c r="I233" s="3132"/>
      <c r="J233" s="3184"/>
      <c r="K233" s="3135"/>
      <c r="L233" s="3129"/>
      <c r="M233" s="3187"/>
    </row>
    <row r="234" spans="1:13" s="1347" customFormat="1" ht="47.25" customHeight="1">
      <c r="A234" s="3197"/>
      <c r="B234" s="3172"/>
      <c r="C234" s="1409" t="s">
        <v>12</v>
      </c>
      <c r="D234" s="1408">
        <f>'[11]475ПП'!I709</f>
        <v>0</v>
      </c>
      <c r="E234" s="1410">
        <v>0</v>
      </c>
      <c r="F234" s="1410">
        <v>0</v>
      </c>
      <c r="G234" s="1417">
        <f t="shared" si="30"/>
        <v>0</v>
      </c>
      <c r="H234" s="3198"/>
      <c r="I234" s="3133"/>
      <c r="J234" s="3185"/>
      <c r="K234" s="3136"/>
      <c r="L234" s="3130"/>
      <c r="M234" s="3188"/>
    </row>
    <row r="235" spans="1:13" s="1347" customFormat="1">
      <c r="A235" s="3189" t="s">
        <v>2884</v>
      </c>
      <c r="B235" s="3137" t="s">
        <v>631</v>
      </c>
      <c r="C235" s="1367" t="s">
        <v>8</v>
      </c>
      <c r="D235" s="1368">
        <f>SUM(D236:D239)</f>
        <v>139473.16488999996</v>
      </c>
      <c r="E235" s="1368">
        <f>SUM(E236:E239)</f>
        <v>108881.55</v>
      </c>
      <c r="F235" s="1368">
        <f>SUM(F236:F239)</f>
        <v>108881.55</v>
      </c>
      <c r="G235" s="1414">
        <f t="shared" si="30"/>
        <v>0.78066307655578748</v>
      </c>
      <c r="H235" s="3192" t="s">
        <v>2822</v>
      </c>
      <c r="I235" s="1345" t="s">
        <v>267</v>
      </c>
      <c r="J235" s="1418">
        <f>SUM(J236:J238)</f>
        <v>2</v>
      </c>
      <c r="K235" s="3146" t="s">
        <v>2804</v>
      </c>
      <c r="L235" s="3146"/>
      <c r="M235" s="3149" t="s">
        <v>150</v>
      </c>
    </row>
    <row r="236" spans="1:13" s="1347" customFormat="1">
      <c r="A236" s="3190"/>
      <c r="B236" s="3138"/>
      <c r="C236" s="1367" t="s">
        <v>9</v>
      </c>
      <c r="D236" s="1419">
        <f t="shared" ref="D236:F239" si="33">SUM(D241,D246)</f>
        <v>11675.569150000007</v>
      </c>
      <c r="E236" s="1419">
        <f t="shared" si="33"/>
        <v>9931.75</v>
      </c>
      <c r="F236" s="1419">
        <f t="shared" si="33"/>
        <v>9931.75</v>
      </c>
      <c r="G236" s="1414">
        <f t="shared" si="30"/>
        <v>0.85064375641165157</v>
      </c>
      <c r="H236" s="3193"/>
      <c r="I236" s="1345" t="s">
        <v>268</v>
      </c>
      <c r="J236" s="1382">
        <f>COUNTIF($J$240:$J$249,"Да")</f>
        <v>0</v>
      </c>
      <c r="K236" s="3147"/>
      <c r="L236" s="3147"/>
      <c r="M236" s="3150"/>
    </row>
    <row r="237" spans="1:13" s="1347" customFormat="1">
      <c r="A237" s="3190"/>
      <c r="B237" s="3138"/>
      <c r="C237" s="1367" t="s">
        <v>10</v>
      </c>
      <c r="D237" s="1419">
        <f t="shared" si="33"/>
        <v>127391</v>
      </c>
      <c r="E237" s="1420">
        <f t="shared" si="33"/>
        <v>98635</v>
      </c>
      <c r="F237" s="1420">
        <f t="shared" si="33"/>
        <v>98635</v>
      </c>
      <c r="G237" s="1414">
        <f t="shared" si="30"/>
        <v>0.77426976787999158</v>
      </c>
      <c r="H237" s="3193"/>
      <c r="I237" s="1345" t="s">
        <v>269</v>
      </c>
      <c r="J237" s="1382">
        <f>COUNTIF($J$240:$J$249,"Частично")</f>
        <v>1</v>
      </c>
      <c r="K237" s="3147"/>
      <c r="L237" s="3147"/>
      <c r="M237" s="3150"/>
    </row>
    <row r="238" spans="1:13" s="1347" customFormat="1">
      <c r="A238" s="3190"/>
      <c r="B238" s="3138"/>
      <c r="C238" s="1367" t="s">
        <v>11</v>
      </c>
      <c r="D238" s="1419">
        <f>SUM(D248,D243)</f>
        <v>406.59573999997519</v>
      </c>
      <c r="E238" s="1419">
        <f t="shared" si="33"/>
        <v>314.8</v>
      </c>
      <c r="F238" s="1419">
        <f>SUM(F248,F243)</f>
        <v>314.8</v>
      </c>
      <c r="G238" s="1414">
        <f t="shared" si="30"/>
        <v>0.77423339457520934</v>
      </c>
      <c r="H238" s="3193"/>
      <c r="I238" s="1345" t="s">
        <v>270</v>
      </c>
      <c r="J238" s="1382">
        <f>COUNTIF($J$240:$J$249,"Нет")</f>
        <v>1</v>
      </c>
      <c r="K238" s="3147"/>
      <c r="L238" s="3147"/>
      <c r="M238" s="3150"/>
    </row>
    <row r="239" spans="1:13" s="1347" customFormat="1">
      <c r="A239" s="3191"/>
      <c r="B239" s="3139"/>
      <c r="C239" s="1421" t="s">
        <v>12</v>
      </c>
      <c r="D239" s="1419">
        <v>0</v>
      </c>
      <c r="E239" s="1419">
        <f t="shared" si="33"/>
        <v>0</v>
      </c>
      <c r="F239" s="1419">
        <f>SUM(F244,F249)</f>
        <v>0</v>
      </c>
      <c r="G239" s="1414">
        <f t="shared" si="30"/>
        <v>0</v>
      </c>
      <c r="H239" s="3194"/>
      <c r="I239" s="1345" t="s">
        <v>271</v>
      </c>
      <c r="J239" s="1383">
        <f>(J236+0.5*J237)/J235</f>
        <v>0.25</v>
      </c>
      <c r="K239" s="3147"/>
      <c r="L239" s="3148"/>
      <c r="M239" s="3151"/>
    </row>
    <row r="240" spans="1:13" s="1347" customFormat="1" ht="15" customHeight="1">
      <c r="A240" s="3180" t="s">
        <v>2885</v>
      </c>
      <c r="B240" s="3119" t="s">
        <v>215</v>
      </c>
      <c r="C240" s="1321" t="s">
        <v>8</v>
      </c>
      <c r="D240" s="1422">
        <f>SUM(D241:D244)</f>
        <v>3950.25</v>
      </c>
      <c r="E240" s="1328">
        <f>SUM(E241:E244)</f>
        <v>3950.25</v>
      </c>
      <c r="F240" s="1328">
        <f>SUM(F241:F244)</f>
        <v>3950.25</v>
      </c>
      <c r="G240" s="1423">
        <f t="shared" si="30"/>
        <v>1</v>
      </c>
      <c r="H240" s="3119" t="s">
        <v>3003</v>
      </c>
      <c r="I240" s="3134" t="s">
        <v>3536</v>
      </c>
      <c r="J240" s="3183" t="s">
        <v>3488</v>
      </c>
      <c r="K240" s="3134" t="s">
        <v>2799</v>
      </c>
      <c r="L240" s="3128" t="s">
        <v>3535</v>
      </c>
      <c r="M240" s="3116">
        <v>823</v>
      </c>
    </row>
    <row r="241" spans="1:13" s="1347" customFormat="1" ht="15" customHeight="1">
      <c r="A241" s="3181"/>
      <c r="B241" s="3120"/>
      <c r="C241" s="1384" t="s">
        <v>9</v>
      </c>
      <c r="D241" s="1424">
        <f>'[11]475ПП'!F721</f>
        <v>3950.25</v>
      </c>
      <c r="E241" s="1366">
        <f>[11]НП!P92</f>
        <v>3950.25</v>
      </c>
      <c r="F241" s="1366">
        <f>E241</f>
        <v>3950.25</v>
      </c>
      <c r="G241" s="1425">
        <f t="shared" si="30"/>
        <v>1</v>
      </c>
      <c r="H241" s="3120"/>
      <c r="I241" s="3135"/>
      <c r="J241" s="3184"/>
      <c r="K241" s="3135"/>
      <c r="L241" s="3129"/>
      <c r="M241" s="3117"/>
    </row>
    <row r="242" spans="1:13" s="1347" customFormat="1" ht="15" customHeight="1">
      <c r="A242" s="3181"/>
      <c r="B242" s="3120"/>
      <c r="C242" s="1321" t="s">
        <v>10</v>
      </c>
      <c r="D242" s="1426">
        <f>'[11]475ПП'!G721</f>
        <v>0</v>
      </c>
      <c r="E242" s="1326">
        <v>0</v>
      </c>
      <c r="F242" s="1326">
        <v>0</v>
      </c>
      <c r="G242" s="1423">
        <f t="shared" si="30"/>
        <v>0</v>
      </c>
      <c r="H242" s="3120"/>
      <c r="I242" s="3135"/>
      <c r="J242" s="3184"/>
      <c r="K242" s="3135"/>
      <c r="L242" s="3129"/>
      <c r="M242" s="3117"/>
    </row>
    <row r="243" spans="1:13" s="1347" customFormat="1" ht="15" customHeight="1">
      <c r="A243" s="3181"/>
      <c r="B243" s="3120"/>
      <c r="C243" s="1321" t="s">
        <v>11</v>
      </c>
      <c r="D243" s="1375">
        <f>'[11]475ПП'!H721</f>
        <v>0</v>
      </c>
      <c r="E243" s="1362">
        <v>0</v>
      </c>
      <c r="F243" s="1362">
        <v>0</v>
      </c>
      <c r="G243" s="1423">
        <f t="shared" si="30"/>
        <v>0</v>
      </c>
      <c r="H243" s="3120"/>
      <c r="I243" s="3135"/>
      <c r="J243" s="3184"/>
      <c r="K243" s="3135"/>
      <c r="L243" s="3129"/>
      <c r="M243" s="3117"/>
    </row>
    <row r="244" spans="1:13" s="1347" customFormat="1" ht="15" customHeight="1">
      <c r="A244" s="3182"/>
      <c r="B244" s="3121"/>
      <c r="C244" s="1427" t="s">
        <v>12</v>
      </c>
      <c r="D244" s="1428">
        <f>'[11]475ПП'!I721</f>
        <v>0</v>
      </c>
      <c r="E244" s="1362">
        <v>0</v>
      </c>
      <c r="F244" s="1362">
        <v>0</v>
      </c>
      <c r="G244" s="1423">
        <f t="shared" si="30"/>
        <v>0</v>
      </c>
      <c r="H244" s="3121"/>
      <c r="I244" s="3136"/>
      <c r="J244" s="3185"/>
      <c r="K244" s="3135"/>
      <c r="L244" s="3130"/>
      <c r="M244" s="3118"/>
    </row>
    <row r="245" spans="1:13" s="1347" customFormat="1" ht="15.75" customHeight="1">
      <c r="A245" s="3170" t="s">
        <v>2888</v>
      </c>
      <c r="B245" s="3170" t="s">
        <v>2996</v>
      </c>
      <c r="C245" s="1321" t="s">
        <v>8</v>
      </c>
      <c r="D245" s="1429">
        <f>SUM(D246:D249)</f>
        <v>135522.91488999996</v>
      </c>
      <c r="E245" s="1430">
        <f>E246+E247+E248+E249</f>
        <v>104931.3</v>
      </c>
      <c r="F245" s="1430">
        <f>F246+F247+F248+F249</f>
        <v>104931.3</v>
      </c>
      <c r="G245" s="1423">
        <f t="shared" si="30"/>
        <v>0.77426979847038946</v>
      </c>
      <c r="H245" s="3173" t="s">
        <v>2994</v>
      </c>
      <c r="I245" s="3176" t="s">
        <v>3642</v>
      </c>
      <c r="J245" s="3131" t="s">
        <v>3385</v>
      </c>
      <c r="K245" s="3179" t="s">
        <v>2863</v>
      </c>
      <c r="L245" s="3128" t="s">
        <v>3495</v>
      </c>
      <c r="M245" s="3116">
        <v>807</v>
      </c>
    </row>
    <row r="246" spans="1:13" s="1347" customFormat="1" ht="15.75" customHeight="1">
      <c r="A246" s="3171"/>
      <c r="B246" s="3171"/>
      <c r="C246" s="1321" t="s">
        <v>9</v>
      </c>
      <c r="D246" s="1326">
        <f>'[11]475ПП'!F739</f>
        <v>7725.3191500000057</v>
      </c>
      <c r="E246" s="1431">
        <v>5981.5</v>
      </c>
      <c r="F246" s="1431">
        <v>5981.5</v>
      </c>
      <c r="G246" s="1423">
        <f t="shared" si="30"/>
        <v>0.77427221890243791</v>
      </c>
      <c r="H246" s="3174"/>
      <c r="I246" s="3177"/>
      <c r="J246" s="3132"/>
      <c r="K246" s="3179"/>
      <c r="L246" s="3129"/>
      <c r="M246" s="3117"/>
    </row>
    <row r="247" spans="1:13" s="1347" customFormat="1" ht="15.75" customHeight="1">
      <c r="A247" s="3171"/>
      <c r="B247" s="3171"/>
      <c r="C247" s="1321" t="s">
        <v>10</v>
      </c>
      <c r="D247" s="1326">
        <f>'[11]475ПП'!G739</f>
        <v>127391</v>
      </c>
      <c r="E247" s="1431">
        <v>98635</v>
      </c>
      <c r="F247" s="1431">
        <v>98635</v>
      </c>
      <c r="G247" s="1423">
        <f t="shared" si="30"/>
        <v>0.77426976787999158</v>
      </c>
      <c r="H247" s="3174"/>
      <c r="I247" s="3177"/>
      <c r="J247" s="3132"/>
      <c r="K247" s="3179"/>
      <c r="L247" s="3129"/>
      <c r="M247" s="3117"/>
    </row>
    <row r="248" spans="1:13" s="1347" customFormat="1" ht="15.75" customHeight="1">
      <c r="A248" s="3171"/>
      <c r="B248" s="3171"/>
      <c r="C248" s="1321" t="s">
        <v>11</v>
      </c>
      <c r="D248" s="1326">
        <f>'[11]475ПП'!H739</f>
        <v>406.59573999997519</v>
      </c>
      <c r="E248" s="1431">
        <v>314.8</v>
      </c>
      <c r="F248" s="1431">
        <v>314.8</v>
      </c>
      <c r="G248" s="1423">
        <f t="shared" si="30"/>
        <v>0.77423339457520934</v>
      </c>
      <c r="H248" s="3174"/>
      <c r="I248" s="3177"/>
      <c r="J248" s="3132"/>
      <c r="K248" s="3179"/>
      <c r="L248" s="3129"/>
      <c r="M248" s="3117"/>
    </row>
    <row r="249" spans="1:13" s="1347" customFormat="1" ht="53.25" customHeight="1">
      <c r="A249" s="3172"/>
      <c r="B249" s="3172"/>
      <c r="C249" s="1432" t="s">
        <v>12</v>
      </c>
      <c r="D249" s="1328">
        <v>0</v>
      </c>
      <c r="E249" s="1433">
        <v>0</v>
      </c>
      <c r="F249" s="1433">
        <v>0</v>
      </c>
      <c r="G249" s="1423">
        <f t="shared" si="30"/>
        <v>0</v>
      </c>
      <c r="H249" s="3175"/>
      <c r="I249" s="3178"/>
      <c r="J249" s="3133"/>
      <c r="K249" s="3179"/>
      <c r="L249" s="3130"/>
      <c r="M249" s="3118"/>
    </row>
    <row r="250" spans="1:13" s="1347" customFormat="1">
      <c r="A250" s="3152" t="s">
        <v>129</v>
      </c>
      <c r="B250" s="3155" t="s">
        <v>130</v>
      </c>
      <c r="C250" s="1372" t="s">
        <v>8</v>
      </c>
      <c r="D250" s="1434">
        <f>SUM(D251:D254)</f>
        <v>54125.195</v>
      </c>
      <c r="E250" s="1335">
        <f>SUM(E251:E254)</f>
        <v>22775.04636</v>
      </c>
      <c r="F250" s="1335">
        <f>SUM(F251:F254)</f>
        <v>22775.04636</v>
      </c>
      <c r="G250" s="1390">
        <f t="shared" si="30"/>
        <v>0.42078455994477248</v>
      </c>
      <c r="H250" s="3158"/>
      <c r="I250" s="1435" t="s">
        <v>267</v>
      </c>
      <c r="J250" s="1436">
        <f t="shared" ref="J250:J253" si="34">J255</f>
        <v>1</v>
      </c>
      <c r="K250" s="3161" t="s">
        <v>2799</v>
      </c>
      <c r="L250" s="3164"/>
      <c r="M250" s="3167">
        <v>823</v>
      </c>
    </row>
    <row r="251" spans="1:13" s="1347" customFormat="1">
      <c r="A251" s="3153"/>
      <c r="B251" s="3156"/>
      <c r="C251" s="1372" t="s">
        <v>9</v>
      </c>
      <c r="D251" s="1437">
        <f>D256</f>
        <v>54125.195</v>
      </c>
      <c r="E251" s="1438">
        <f>E256</f>
        <v>22775.04636</v>
      </c>
      <c r="F251" s="1438">
        <f>F256</f>
        <v>22775.04636</v>
      </c>
      <c r="G251" s="1390">
        <f t="shared" si="30"/>
        <v>0.42078455994477248</v>
      </c>
      <c r="H251" s="3159"/>
      <c r="I251" s="1435" t="s">
        <v>268</v>
      </c>
      <c r="J251" s="1436">
        <f t="shared" si="34"/>
        <v>0</v>
      </c>
      <c r="K251" s="3162"/>
      <c r="L251" s="3165"/>
      <c r="M251" s="3168"/>
    </row>
    <row r="252" spans="1:13" s="1347" customFormat="1">
      <c r="A252" s="3153"/>
      <c r="B252" s="3156"/>
      <c r="C252" s="1372" t="s">
        <v>10</v>
      </c>
      <c r="D252" s="1437">
        <v>0</v>
      </c>
      <c r="E252" s="1437">
        <v>0</v>
      </c>
      <c r="F252" s="1437">
        <v>0</v>
      </c>
      <c r="G252" s="1390">
        <f t="shared" si="30"/>
        <v>0</v>
      </c>
      <c r="H252" s="3159"/>
      <c r="I252" s="1435" t="s">
        <v>269</v>
      </c>
      <c r="J252" s="1436">
        <f t="shared" si="34"/>
        <v>1</v>
      </c>
      <c r="K252" s="3162"/>
      <c r="L252" s="3165"/>
      <c r="M252" s="3168"/>
    </row>
    <row r="253" spans="1:13" s="1347" customFormat="1">
      <c r="A253" s="3153"/>
      <c r="B253" s="3156"/>
      <c r="C253" s="1372" t="s">
        <v>11</v>
      </c>
      <c r="D253" s="1437">
        <v>0</v>
      </c>
      <c r="E253" s="1437">
        <v>0</v>
      </c>
      <c r="F253" s="1437">
        <v>0</v>
      </c>
      <c r="G253" s="1390">
        <f t="shared" si="30"/>
        <v>0</v>
      </c>
      <c r="H253" s="3159"/>
      <c r="I253" s="1435" t="s">
        <v>270</v>
      </c>
      <c r="J253" s="1436">
        <f t="shared" si="34"/>
        <v>0</v>
      </c>
      <c r="K253" s="3162"/>
      <c r="L253" s="3165"/>
      <c r="M253" s="3168"/>
    </row>
    <row r="254" spans="1:13" s="1347" customFormat="1">
      <c r="A254" s="3154"/>
      <c r="B254" s="3157"/>
      <c r="C254" s="1372" t="s">
        <v>12</v>
      </c>
      <c r="D254" s="1437">
        <v>0</v>
      </c>
      <c r="E254" s="1437">
        <v>0</v>
      </c>
      <c r="F254" s="1437">
        <v>0</v>
      </c>
      <c r="G254" s="1390">
        <f t="shared" si="30"/>
        <v>0</v>
      </c>
      <c r="H254" s="3160"/>
      <c r="I254" s="1435" t="s">
        <v>271</v>
      </c>
      <c r="J254" s="1439">
        <f>(J251+0.5*J252)/J250</f>
        <v>0.5</v>
      </c>
      <c r="K254" s="3163"/>
      <c r="L254" s="3166"/>
      <c r="M254" s="3169"/>
    </row>
    <row r="255" spans="1:13" s="1347" customFormat="1" ht="21" customHeight="1">
      <c r="A255" s="3137" t="s">
        <v>131</v>
      </c>
      <c r="B255" s="3140" t="s">
        <v>672</v>
      </c>
      <c r="C255" s="1440" t="s">
        <v>8</v>
      </c>
      <c r="D255" s="1368">
        <f>SUM(D256:D259)</f>
        <v>54125.195</v>
      </c>
      <c r="E255" s="1441">
        <f>SUM(E256:E259)</f>
        <v>22775.04636</v>
      </c>
      <c r="F255" s="1441">
        <f>SUM(F256:F259)</f>
        <v>22775.04636</v>
      </c>
      <c r="G255" s="1344">
        <f t="shared" si="30"/>
        <v>0.42078455994477248</v>
      </c>
      <c r="H255" s="3143"/>
      <c r="I255" s="1345" t="s">
        <v>267</v>
      </c>
      <c r="J255" s="1382">
        <f>SUM(J256:J258)</f>
        <v>1</v>
      </c>
      <c r="K255" s="3146" t="s">
        <v>2799</v>
      </c>
      <c r="L255" s="3146"/>
      <c r="M255" s="3149">
        <v>823</v>
      </c>
    </row>
    <row r="256" spans="1:13" s="1347" customFormat="1">
      <c r="A256" s="3138"/>
      <c r="B256" s="3141"/>
      <c r="C256" s="1367" t="s">
        <v>9</v>
      </c>
      <c r="D256" s="1380">
        <f>D261</f>
        <v>54125.195</v>
      </c>
      <c r="E256" s="1441">
        <f>E261</f>
        <v>22775.04636</v>
      </c>
      <c r="F256" s="1441">
        <f>F261</f>
        <v>22775.04636</v>
      </c>
      <c r="G256" s="1344">
        <f t="shared" si="30"/>
        <v>0.42078455994477248</v>
      </c>
      <c r="H256" s="3144"/>
      <c r="I256" s="1345" t="s">
        <v>268</v>
      </c>
      <c r="J256" s="1382">
        <f>COUNTIF($J$260,"Да")</f>
        <v>0</v>
      </c>
      <c r="K256" s="3147"/>
      <c r="L256" s="3147"/>
      <c r="M256" s="3150"/>
    </row>
    <row r="257" spans="1:13" s="1347" customFormat="1">
      <c r="A257" s="3138"/>
      <c r="B257" s="3141"/>
      <c r="C257" s="1367" t="s">
        <v>10</v>
      </c>
      <c r="D257" s="1380">
        <v>0</v>
      </c>
      <c r="E257" s="1380">
        <v>0</v>
      </c>
      <c r="F257" s="1380">
        <v>0</v>
      </c>
      <c r="G257" s="1344">
        <f t="shared" si="30"/>
        <v>0</v>
      </c>
      <c r="H257" s="3144"/>
      <c r="I257" s="1345" t="s">
        <v>269</v>
      </c>
      <c r="J257" s="1382">
        <f>COUNTIF($J$260,"Частично")</f>
        <v>1</v>
      </c>
      <c r="K257" s="3147"/>
      <c r="L257" s="3147"/>
      <c r="M257" s="3150"/>
    </row>
    <row r="258" spans="1:13" s="1347" customFormat="1">
      <c r="A258" s="3138"/>
      <c r="B258" s="3141"/>
      <c r="C258" s="1367" t="s">
        <v>11</v>
      </c>
      <c r="D258" s="1380">
        <v>0</v>
      </c>
      <c r="E258" s="1380">
        <v>0</v>
      </c>
      <c r="F258" s="1380">
        <v>0</v>
      </c>
      <c r="G258" s="1344">
        <f t="shared" si="30"/>
        <v>0</v>
      </c>
      <c r="H258" s="3144"/>
      <c r="I258" s="1345" t="s">
        <v>270</v>
      </c>
      <c r="J258" s="1382">
        <f>COUNTIF($J$260,"Нет")</f>
        <v>0</v>
      </c>
      <c r="K258" s="3147"/>
      <c r="L258" s="3147"/>
      <c r="M258" s="3150"/>
    </row>
    <row r="259" spans="1:13" s="1347" customFormat="1">
      <c r="A259" s="3139"/>
      <c r="B259" s="3142"/>
      <c r="C259" s="1367" t="s">
        <v>12</v>
      </c>
      <c r="D259" s="1380">
        <v>0</v>
      </c>
      <c r="E259" s="1380">
        <v>0</v>
      </c>
      <c r="F259" s="1380">
        <v>0</v>
      </c>
      <c r="G259" s="1344">
        <f t="shared" si="30"/>
        <v>0</v>
      </c>
      <c r="H259" s="3145"/>
      <c r="I259" s="1345" t="s">
        <v>271</v>
      </c>
      <c r="J259" s="1383">
        <f>(J256+0.5*J257)/J255</f>
        <v>0.5</v>
      </c>
      <c r="K259" s="3148"/>
      <c r="L259" s="3148"/>
      <c r="M259" s="3151"/>
    </row>
    <row r="260" spans="1:13" s="1347" customFormat="1" ht="15" customHeight="1">
      <c r="A260" s="3119" t="s">
        <v>134</v>
      </c>
      <c r="B260" s="3122" t="s">
        <v>2843</v>
      </c>
      <c r="C260" s="1321" t="s">
        <v>8</v>
      </c>
      <c r="D260" s="1328">
        <f>SUM(D261:D264)</f>
        <v>54125.195</v>
      </c>
      <c r="E260" s="1378">
        <f>SUM(E261:E264)</f>
        <v>22775.04636</v>
      </c>
      <c r="F260" s="1378">
        <f>SUM(F261:F264)</f>
        <v>22775.04636</v>
      </c>
      <c r="G260" s="1323">
        <f t="shared" si="30"/>
        <v>0.42078455994477248</v>
      </c>
      <c r="H260" s="3125" t="s">
        <v>2842</v>
      </c>
      <c r="I260" s="3128" t="s">
        <v>3519</v>
      </c>
      <c r="J260" s="3131" t="s">
        <v>3385</v>
      </c>
      <c r="K260" s="3134" t="s">
        <v>2803</v>
      </c>
      <c r="L260" s="3113" t="s">
        <v>3520</v>
      </c>
      <c r="M260" s="3116">
        <v>823</v>
      </c>
    </row>
    <row r="261" spans="1:13" s="1347" customFormat="1" ht="15" customHeight="1">
      <c r="A261" s="3120"/>
      <c r="B261" s="3123"/>
      <c r="C261" s="1321" t="s">
        <v>9</v>
      </c>
      <c r="D261" s="1326">
        <f>'[11]475ПП'!F757</f>
        <v>54125.195</v>
      </c>
      <c r="E261" s="1378">
        <f>[11]Документ!L105</f>
        <v>22775.04636</v>
      </c>
      <c r="F261" s="1378">
        <f>E261</f>
        <v>22775.04636</v>
      </c>
      <c r="G261" s="1323">
        <f t="shared" ref="G261:G264" si="35">IFERROR(F261/D261,0)</f>
        <v>0.42078455994477248</v>
      </c>
      <c r="H261" s="3126"/>
      <c r="I261" s="3129"/>
      <c r="J261" s="3132"/>
      <c r="K261" s="3135"/>
      <c r="L261" s="3114"/>
      <c r="M261" s="3117"/>
    </row>
    <row r="262" spans="1:13" s="1347" customFormat="1" ht="15" customHeight="1">
      <c r="A262" s="3120"/>
      <c r="B262" s="3123"/>
      <c r="C262" s="1321" t="s">
        <v>10</v>
      </c>
      <c r="D262" s="1326">
        <f>'[11]475ПП'!G757</f>
        <v>0</v>
      </c>
      <c r="E262" s="1362">
        <v>0</v>
      </c>
      <c r="F262" s="1362">
        <v>0</v>
      </c>
      <c r="G262" s="1323">
        <f t="shared" si="35"/>
        <v>0</v>
      </c>
      <c r="H262" s="3126"/>
      <c r="I262" s="3129"/>
      <c r="J262" s="3132"/>
      <c r="K262" s="3135"/>
      <c r="L262" s="3114"/>
      <c r="M262" s="3117"/>
    </row>
    <row r="263" spans="1:13" s="1347" customFormat="1" ht="15" customHeight="1">
      <c r="A263" s="3120"/>
      <c r="B263" s="3123"/>
      <c r="C263" s="1321" t="s">
        <v>11</v>
      </c>
      <c r="D263" s="1326">
        <f>'[11]475ПП'!H757</f>
        <v>0</v>
      </c>
      <c r="E263" s="1362">
        <v>0</v>
      </c>
      <c r="F263" s="1362">
        <v>0</v>
      </c>
      <c r="G263" s="1323">
        <f t="shared" si="35"/>
        <v>0</v>
      </c>
      <c r="H263" s="3126"/>
      <c r="I263" s="3129"/>
      <c r="J263" s="3132"/>
      <c r="K263" s="3135"/>
      <c r="L263" s="3114"/>
      <c r="M263" s="3117"/>
    </row>
    <row r="264" spans="1:13" s="1347" customFormat="1" ht="15" customHeight="1">
      <c r="A264" s="3121"/>
      <c r="B264" s="3124"/>
      <c r="C264" s="1321" t="s">
        <v>12</v>
      </c>
      <c r="D264" s="1326">
        <f>'[11]475ПП'!I757</f>
        <v>0</v>
      </c>
      <c r="E264" s="1362">
        <v>0</v>
      </c>
      <c r="F264" s="1362">
        <v>0</v>
      </c>
      <c r="G264" s="1323">
        <f t="shared" si="35"/>
        <v>0</v>
      </c>
      <c r="H264" s="3127"/>
      <c r="I264" s="3130"/>
      <c r="J264" s="3133"/>
      <c r="K264" s="3136"/>
      <c r="L264" s="3115"/>
      <c r="M264" s="3118"/>
    </row>
    <row r="265" spans="1:13" s="1444" customFormat="1">
      <c r="A265" s="1305"/>
      <c r="B265" s="1306"/>
      <c r="C265" s="1255"/>
      <c r="D265" s="1442"/>
      <c r="E265" s="1309"/>
      <c r="F265" s="1443"/>
      <c r="G265" s="1314"/>
      <c r="H265" s="1310"/>
      <c r="I265" s="1311"/>
      <c r="J265" s="1312"/>
      <c r="K265" s="1313"/>
      <c r="L265" s="1313"/>
      <c r="M265" s="1255"/>
    </row>
    <row r="266" spans="1:13" s="1444" customFormat="1">
      <c r="A266" s="1305"/>
      <c r="B266" s="1306"/>
      <c r="C266" s="1255"/>
      <c r="D266" s="1442"/>
      <c r="E266" s="1309"/>
      <c r="F266" s="1443"/>
      <c r="G266" s="1314"/>
      <c r="H266" s="1310"/>
      <c r="I266" s="1311"/>
      <c r="J266" s="1312"/>
      <c r="K266" s="1313"/>
      <c r="L266" s="1313"/>
      <c r="M266" s="1255"/>
    </row>
    <row r="267" spans="1:13" s="1444" customFormat="1">
      <c r="A267" s="1305"/>
      <c r="B267" s="1306"/>
      <c r="C267" s="1255"/>
      <c r="D267" s="1442"/>
      <c r="E267" s="1309"/>
      <c r="F267" s="1443"/>
      <c r="G267" s="1314"/>
      <c r="H267" s="1310"/>
      <c r="I267" s="1311"/>
      <c r="J267" s="1312"/>
      <c r="K267" s="1313"/>
      <c r="L267" s="1313"/>
      <c r="M267" s="1255"/>
    </row>
    <row r="268" spans="1:13" s="1444" customFormat="1">
      <c r="A268" s="1305"/>
      <c r="B268" s="1306"/>
      <c r="C268" s="1255"/>
      <c r="D268" s="1442"/>
      <c r="E268" s="1309"/>
      <c r="F268" s="1443"/>
      <c r="G268" s="1314"/>
      <c r="H268" s="1310"/>
      <c r="I268" s="1311"/>
      <c r="J268" s="1312"/>
      <c r="K268" s="1313"/>
      <c r="L268" s="1313"/>
      <c r="M268" s="1255"/>
    </row>
    <row r="269" spans="1:13" s="1444" customFormat="1">
      <c r="A269" s="1305"/>
      <c r="B269" s="1306"/>
      <c r="C269" s="1255"/>
      <c r="D269" s="1442"/>
      <c r="E269" s="1309"/>
      <c r="F269" s="1443"/>
      <c r="G269" s="1314"/>
      <c r="H269" s="1310"/>
      <c r="I269" s="1311"/>
      <c r="J269" s="1312"/>
      <c r="K269" s="1313"/>
      <c r="L269" s="1313"/>
      <c r="M269" s="1255"/>
    </row>
    <row r="270" spans="1:13" s="1444" customFormat="1">
      <c r="A270" s="1305"/>
      <c r="B270" s="1306"/>
      <c r="C270" s="1255"/>
      <c r="D270" s="1442"/>
      <c r="E270" s="1309"/>
      <c r="F270" s="1443"/>
      <c r="G270" s="1314"/>
      <c r="H270" s="1310"/>
      <c r="I270" s="1311"/>
      <c r="J270" s="1312"/>
      <c r="K270" s="1313"/>
      <c r="L270" s="1313"/>
      <c r="M270" s="1255"/>
    </row>
    <row r="271" spans="1:13" s="1444" customFormat="1">
      <c r="A271" s="1305"/>
      <c r="B271" s="1306"/>
      <c r="C271" s="1255"/>
      <c r="D271" s="1442"/>
      <c r="E271" s="1309"/>
      <c r="F271" s="1443"/>
      <c r="G271" s="1314"/>
      <c r="H271" s="1310"/>
      <c r="I271" s="1311"/>
      <c r="J271" s="1312"/>
      <c r="K271" s="1313"/>
      <c r="L271" s="1313"/>
      <c r="M271" s="1255"/>
    </row>
    <row r="272" spans="1:13" s="1444" customFormat="1">
      <c r="A272" s="1305"/>
      <c r="B272" s="1306"/>
      <c r="C272" s="1255"/>
      <c r="D272" s="1442"/>
      <c r="E272" s="1309"/>
      <c r="F272" s="1443"/>
      <c r="G272" s="1314"/>
      <c r="H272" s="1310"/>
      <c r="I272" s="1311"/>
      <c r="J272" s="1312"/>
      <c r="K272" s="1313"/>
      <c r="L272" s="1313"/>
      <c r="M272" s="1255"/>
    </row>
    <row r="273" spans="1:13" s="1444" customFormat="1">
      <c r="A273" s="1305"/>
      <c r="B273" s="1306"/>
      <c r="C273" s="1255"/>
      <c r="D273" s="1442"/>
      <c r="E273" s="1309"/>
      <c r="F273" s="1443"/>
      <c r="G273" s="1314"/>
      <c r="H273" s="1310"/>
      <c r="I273" s="1311"/>
      <c r="J273" s="1312"/>
      <c r="K273" s="1313"/>
      <c r="L273" s="1313"/>
      <c r="M273" s="1255"/>
    </row>
    <row r="274" spans="1:13" s="1444" customFormat="1">
      <c r="A274" s="1305"/>
      <c r="B274" s="1306"/>
      <c r="C274" s="1255"/>
      <c r="D274" s="1442"/>
      <c r="E274" s="1309"/>
      <c r="F274" s="1443"/>
      <c r="G274" s="1314"/>
      <c r="H274" s="1310"/>
      <c r="I274" s="1311"/>
      <c r="J274" s="1312"/>
      <c r="K274" s="1313"/>
      <c r="L274" s="1313"/>
      <c r="M274" s="1255"/>
    </row>
    <row r="275" spans="1:13" s="1444" customFormat="1">
      <c r="A275" s="1305"/>
      <c r="B275" s="1306"/>
      <c r="C275" s="1255"/>
      <c r="D275" s="1442"/>
      <c r="E275" s="1309"/>
      <c r="F275" s="1443"/>
      <c r="G275" s="1314"/>
      <c r="H275" s="1310"/>
      <c r="I275" s="1311"/>
      <c r="J275" s="1312"/>
      <c r="K275" s="1313"/>
      <c r="L275" s="1313"/>
      <c r="M275" s="1255"/>
    </row>
    <row r="276" spans="1:13" s="1444" customFormat="1">
      <c r="A276" s="1305"/>
      <c r="B276" s="1306"/>
      <c r="C276" s="1255"/>
      <c r="D276" s="1442"/>
      <c r="E276" s="1309"/>
      <c r="F276" s="1443"/>
      <c r="G276" s="1314"/>
      <c r="H276" s="1310"/>
      <c r="I276" s="1311"/>
      <c r="J276" s="1312"/>
      <c r="K276" s="1313"/>
      <c r="L276" s="1313"/>
      <c r="M276" s="1255"/>
    </row>
    <row r="277" spans="1:13" s="1444" customFormat="1">
      <c r="A277" s="1305"/>
      <c r="B277" s="1306"/>
      <c r="C277" s="1255"/>
      <c r="D277" s="1442"/>
      <c r="E277" s="1309"/>
      <c r="F277" s="1443"/>
      <c r="G277" s="1314"/>
      <c r="H277" s="1310"/>
      <c r="I277" s="1311"/>
      <c r="J277" s="1312"/>
      <c r="K277" s="1313"/>
      <c r="L277" s="1313"/>
      <c r="M277" s="1255"/>
    </row>
    <row r="278" spans="1:13" s="1444" customFormat="1">
      <c r="A278" s="1305"/>
      <c r="B278" s="1306"/>
      <c r="C278" s="1255"/>
      <c r="D278" s="1442"/>
      <c r="E278" s="1309"/>
      <c r="F278" s="1443"/>
      <c r="G278" s="1314"/>
      <c r="H278" s="1310"/>
      <c r="I278" s="1311"/>
      <c r="J278" s="1312"/>
      <c r="K278" s="1313"/>
      <c r="L278" s="1313"/>
      <c r="M278" s="1255"/>
    </row>
    <row r="279" spans="1:13" s="1444" customFormat="1">
      <c r="A279" s="1305"/>
      <c r="B279" s="1306"/>
      <c r="C279" s="1255"/>
      <c r="D279" s="1442"/>
      <c r="E279" s="1309"/>
      <c r="F279" s="1443"/>
      <c r="G279" s="1314"/>
      <c r="H279" s="1310"/>
      <c r="I279" s="1311"/>
      <c r="J279" s="1312"/>
      <c r="K279" s="1313"/>
      <c r="L279" s="1313"/>
      <c r="M279" s="1255"/>
    </row>
    <row r="280" spans="1:13" s="1444" customFormat="1">
      <c r="A280" s="1305"/>
      <c r="B280" s="1306"/>
      <c r="C280" s="1255"/>
      <c r="D280" s="1442"/>
      <c r="E280" s="1309"/>
      <c r="F280" s="1443"/>
      <c r="G280" s="1314"/>
      <c r="H280" s="1310"/>
      <c r="I280" s="1311"/>
      <c r="J280" s="1312"/>
      <c r="K280" s="1313"/>
      <c r="L280" s="1313"/>
      <c r="M280" s="1255"/>
    </row>
    <row r="281" spans="1:13" s="1444" customFormat="1">
      <c r="A281" s="1305"/>
      <c r="B281" s="1306"/>
      <c r="C281" s="1255"/>
      <c r="D281" s="1442"/>
      <c r="E281" s="1309"/>
      <c r="F281" s="1443"/>
      <c r="G281" s="1314"/>
      <c r="H281" s="1310"/>
      <c r="I281" s="1311"/>
      <c r="J281" s="1312"/>
      <c r="K281" s="1313"/>
      <c r="L281" s="1313"/>
      <c r="M281" s="1255"/>
    </row>
    <row r="282" spans="1:13" s="1444" customFormat="1">
      <c r="A282" s="1305"/>
      <c r="B282" s="1306"/>
      <c r="C282" s="1255"/>
      <c r="D282" s="1442"/>
      <c r="E282" s="1309"/>
      <c r="F282" s="1443"/>
      <c r="G282" s="1314"/>
      <c r="H282" s="1310"/>
      <c r="I282" s="1311"/>
      <c r="J282" s="1312"/>
      <c r="K282" s="1313"/>
      <c r="L282" s="1313"/>
      <c r="M282" s="1255"/>
    </row>
    <row r="283" spans="1:13" s="1444" customFormat="1">
      <c r="A283" s="1305"/>
      <c r="B283" s="1306"/>
      <c r="C283" s="1255"/>
      <c r="D283" s="1442"/>
      <c r="E283" s="1309"/>
      <c r="F283" s="1443"/>
      <c r="G283" s="1314"/>
      <c r="H283" s="1310"/>
      <c r="I283" s="1311"/>
      <c r="J283" s="1312"/>
      <c r="K283" s="1313"/>
      <c r="L283" s="1313"/>
      <c r="M283" s="1255"/>
    </row>
    <row r="284" spans="1:13" s="1444" customFormat="1">
      <c r="A284" s="1305"/>
      <c r="B284" s="1306"/>
      <c r="C284" s="1255"/>
      <c r="D284" s="1442"/>
      <c r="E284" s="1309"/>
      <c r="F284" s="1443"/>
      <c r="G284" s="1314"/>
      <c r="H284" s="1310"/>
      <c r="I284" s="1311"/>
      <c r="J284" s="1312"/>
      <c r="K284" s="1313"/>
      <c r="L284" s="1313"/>
      <c r="M284" s="1255"/>
    </row>
    <row r="285" spans="1:13" s="1444" customFormat="1">
      <c r="A285" s="1305"/>
      <c r="B285" s="1306"/>
      <c r="C285" s="1255"/>
      <c r="D285" s="1442"/>
      <c r="E285" s="1309"/>
      <c r="F285" s="1443"/>
      <c r="G285" s="1314"/>
      <c r="H285" s="1310"/>
      <c r="I285" s="1311"/>
      <c r="J285" s="1312"/>
      <c r="K285" s="1313"/>
      <c r="L285" s="1313"/>
      <c r="M285" s="1255"/>
    </row>
    <row r="286" spans="1:13" s="1444" customFormat="1">
      <c r="A286" s="1305"/>
      <c r="B286" s="1306"/>
      <c r="C286" s="1255"/>
      <c r="D286" s="1442"/>
      <c r="E286" s="1309"/>
      <c r="F286" s="1443"/>
      <c r="G286" s="1314"/>
      <c r="H286" s="1310"/>
      <c r="I286" s="1311"/>
      <c r="J286" s="1312"/>
      <c r="K286" s="1313"/>
      <c r="L286" s="1313"/>
      <c r="M286" s="1255"/>
    </row>
    <row r="287" spans="1:13" s="1444" customFormat="1">
      <c r="A287" s="1305"/>
      <c r="B287" s="1306"/>
      <c r="C287" s="1255"/>
      <c r="D287" s="1442"/>
      <c r="E287" s="1309"/>
      <c r="F287" s="1443"/>
      <c r="G287" s="1314"/>
      <c r="H287" s="1310"/>
      <c r="I287" s="1311"/>
      <c r="J287" s="1312"/>
      <c r="K287" s="1313"/>
      <c r="L287" s="1313"/>
      <c r="M287" s="1255"/>
    </row>
    <row r="288" spans="1:13" s="1444" customFormat="1">
      <c r="A288" s="1305"/>
      <c r="B288" s="1306"/>
      <c r="C288" s="1255"/>
      <c r="D288" s="1442"/>
      <c r="E288" s="1309"/>
      <c r="F288" s="1443"/>
      <c r="G288" s="1314"/>
      <c r="H288" s="1310"/>
      <c r="I288" s="1311"/>
      <c r="J288" s="1312"/>
      <c r="K288" s="1313"/>
      <c r="L288" s="1313"/>
      <c r="M288" s="1255"/>
    </row>
    <row r="289" spans="1:13" s="1444" customFormat="1">
      <c r="A289" s="1305"/>
      <c r="B289" s="1306"/>
      <c r="C289" s="1255"/>
      <c r="D289" s="1442"/>
      <c r="E289" s="1309"/>
      <c r="F289" s="1443"/>
      <c r="G289" s="1314"/>
      <c r="H289" s="1310"/>
      <c r="I289" s="1311"/>
      <c r="J289" s="1312"/>
      <c r="K289" s="1313"/>
      <c r="L289" s="1313"/>
      <c r="M289" s="1255"/>
    </row>
    <row r="290" spans="1:13" s="1444" customFormat="1">
      <c r="A290" s="1305"/>
      <c r="B290" s="1306"/>
      <c r="C290" s="1255"/>
      <c r="D290" s="1442"/>
      <c r="E290" s="1309"/>
      <c r="F290" s="1443"/>
      <c r="G290" s="1314"/>
      <c r="H290" s="1310"/>
      <c r="I290" s="1311"/>
      <c r="J290" s="1312"/>
      <c r="K290" s="1313"/>
      <c r="L290" s="1313"/>
      <c r="M290" s="1255"/>
    </row>
    <row r="291" spans="1:13" s="1444" customFormat="1">
      <c r="A291" s="1305"/>
      <c r="B291" s="1306"/>
      <c r="C291" s="1255"/>
      <c r="D291" s="1442"/>
      <c r="E291" s="1309"/>
      <c r="F291" s="1443"/>
      <c r="G291" s="1314"/>
      <c r="H291" s="1310"/>
      <c r="I291" s="1311"/>
      <c r="J291" s="1312"/>
      <c r="K291" s="1313"/>
      <c r="L291" s="1313"/>
      <c r="M291" s="1255"/>
    </row>
    <row r="292" spans="1:13" s="1444" customFormat="1">
      <c r="A292" s="1305"/>
      <c r="B292" s="1306"/>
      <c r="C292" s="1255"/>
      <c r="D292" s="1442"/>
      <c r="E292" s="1309"/>
      <c r="F292" s="1443"/>
      <c r="G292" s="1314"/>
      <c r="H292" s="1310"/>
      <c r="I292" s="1311"/>
      <c r="J292" s="1312"/>
      <c r="K292" s="1313"/>
      <c r="L292" s="1313"/>
      <c r="M292" s="1255"/>
    </row>
    <row r="293" spans="1:13" s="1444" customFormat="1">
      <c r="A293" s="1305"/>
      <c r="B293" s="1306"/>
      <c r="C293" s="1255"/>
      <c r="D293" s="1442"/>
      <c r="E293" s="1309"/>
      <c r="F293" s="1443"/>
      <c r="G293" s="1314"/>
      <c r="H293" s="1310"/>
      <c r="I293" s="1311"/>
      <c r="J293" s="1312"/>
      <c r="K293" s="1313"/>
      <c r="L293" s="1313"/>
      <c r="M293" s="1255"/>
    </row>
    <row r="294" spans="1:13" s="1444" customFormat="1">
      <c r="A294" s="1305"/>
      <c r="B294" s="1306"/>
      <c r="C294" s="1255"/>
      <c r="D294" s="1442"/>
      <c r="E294" s="1309"/>
      <c r="F294" s="1443"/>
      <c r="G294" s="1314"/>
      <c r="H294" s="1310"/>
      <c r="I294" s="1311"/>
      <c r="J294" s="1312"/>
      <c r="K294" s="1313"/>
      <c r="L294" s="1313"/>
      <c r="M294" s="1255"/>
    </row>
    <row r="295" spans="1:13" s="1444" customFormat="1">
      <c r="A295" s="1305"/>
      <c r="B295" s="1306"/>
      <c r="C295" s="1255"/>
      <c r="D295" s="1442"/>
      <c r="E295" s="1309"/>
      <c r="F295" s="1443"/>
      <c r="G295" s="1314"/>
      <c r="H295" s="1310"/>
      <c r="I295" s="1311"/>
      <c r="J295" s="1312"/>
      <c r="K295" s="1313"/>
      <c r="L295" s="1313"/>
      <c r="M295" s="1255"/>
    </row>
    <row r="296" spans="1:13" s="1444" customFormat="1">
      <c r="A296" s="1305"/>
      <c r="B296" s="1306"/>
      <c r="C296" s="1255"/>
      <c r="D296" s="1442"/>
      <c r="E296" s="1309"/>
      <c r="F296" s="1443"/>
      <c r="G296" s="1314"/>
      <c r="H296" s="1310"/>
      <c r="I296" s="1311"/>
      <c r="J296" s="1312"/>
      <c r="K296" s="1313"/>
      <c r="L296" s="1313"/>
      <c r="M296" s="1255"/>
    </row>
    <row r="297" spans="1:13" s="1444" customFormat="1">
      <c r="A297" s="1305"/>
      <c r="B297" s="1306"/>
      <c r="C297" s="1255"/>
      <c r="D297" s="1442"/>
      <c r="E297" s="1309"/>
      <c r="F297" s="1443"/>
      <c r="G297" s="1314"/>
      <c r="H297" s="1310"/>
      <c r="I297" s="1311"/>
      <c r="J297" s="1312"/>
      <c r="K297" s="1313"/>
      <c r="L297" s="1313"/>
      <c r="M297" s="1255"/>
    </row>
    <row r="298" spans="1:13" s="1444" customFormat="1">
      <c r="A298" s="1305"/>
      <c r="B298" s="1306"/>
      <c r="C298" s="1255"/>
      <c r="D298" s="1442"/>
      <c r="E298" s="1309"/>
      <c r="F298" s="1443"/>
      <c r="G298" s="1314"/>
      <c r="H298" s="1310"/>
      <c r="I298" s="1311"/>
      <c r="J298" s="1312"/>
      <c r="K298" s="1313"/>
      <c r="L298" s="1313"/>
      <c r="M298" s="1255"/>
    </row>
    <row r="299" spans="1:13" s="1444" customFormat="1">
      <c r="A299" s="1305"/>
      <c r="B299" s="1306"/>
      <c r="C299" s="1255"/>
      <c r="D299" s="1442"/>
      <c r="E299" s="1309"/>
      <c r="F299" s="1443"/>
      <c r="G299" s="1314"/>
      <c r="H299" s="1310"/>
      <c r="I299" s="1311"/>
      <c r="J299" s="1312"/>
      <c r="K299" s="1313"/>
      <c r="L299" s="1313"/>
      <c r="M299" s="1255"/>
    </row>
    <row r="300" spans="1:13" s="1444" customFormat="1">
      <c r="A300" s="1305"/>
      <c r="B300" s="1306"/>
      <c r="C300" s="1255"/>
      <c r="D300" s="1442"/>
      <c r="E300" s="1309"/>
      <c r="F300" s="1443"/>
      <c r="G300" s="1314"/>
      <c r="H300" s="1310"/>
      <c r="I300" s="1311"/>
      <c r="J300" s="1312"/>
      <c r="K300" s="1313"/>
      <c r="L300" s="1313"/>
      <c r="M300" s="1255"/>
    </row>
    <row r="301" spans="1:13" s="1444" customFormat="1">
      <c r="A301" s="1305"/>
      <c r="B301" s="1306"/>
      <c r="C301" s="1255"/>
      <c r="D301" s="1442"/>
      <c r="E301" s="1309"/>
      <c r="F301" s="1443"/>
      <c r="G301" s="1314"/>
      <c r="H301" s="1310"/>
      <c r="I301" s="1311"/>
      <c r="J301" s="1312"/>
      <c r="K301" s="1313"/>
      <c r="L301" s="1313"/>
      <c r="M301" s="1255"/>
    </row>
    <row r="302" spans="1:13" s="1444" customFormat="1">
      <c r="A302" s="1305"/>
      <c r="B302" s="1306"/>
      <c r="C302" s="1255"/>
      <c r="D302" s="1445"/>
      <c r="E302" s="1309"/>
      <c r="F302" s="1309"/>
      <c r="G302" s="1255"/>
      <c r="H302" s="1310"/>
      <c r="I302" s="1311"/>
      <c r="J302" s="1312"/>
      <c r="K302" s="1313"/>
      <c r="L302" s="1313"/>
      <c r="M302" s="1255"/>
    </row>
    <row r="303" spans="1:13" s="1444" customFormat="1">
      <c r="A303" s="1305"/>
      <c r="B303" s="1306"/>
      <c r="C303" s="1255"/>
      <c r="D303" s="1445"/>
      <c r="E303" s="1309"/>
      <c r="F303" s="1309"/>
      <c r="G303" s="1255"/>
      <c r="H303" s="1310"/>
      <c r="I303" s="1311"/>
      <c r="J303" s="1312"/>
      <c r="K303" s="1313"/>
      <c r="L303" s="1313"/>
      <c r="M303" s="1255"/>
    </row>
    <row r="304" spans="1:13" s="1444" customFormat="1">
      <c r="A304" s="1305"/>
      <c r="B304" s="1306"/>
      <c r="C304" s="1255"/>
      <c r="D304" s="1445"/>
      <c r="E304" s="1309"/>
      <c r="F304" s="1309"/>
      <c r="G304" s="1255"/>
      <c r="H304" s="1310"/>
      <c r="I304" s="1311"/>
      <c r="J304" s="1312"/>
      <c r="K304" s="1313"/>
      <c r="L304" s="1313"/>
      <c r="M304" s="1255"/>
    </row>
    <row r="305" spans="1:13" s="1444" customFormat="1">
      <c r="A305" s="1305"/>
      <c r="B305" s="1306"/>
      <c r="C305" s="1255"/>
      <c r="D305" s="1445"/>
      <c r="E305" s="1309"/>
      <c r="F305" s="1309"/>
      <c r="G305" s="1255"/>
      <c r="H305" s="1310"/>
      <c r="I305" s="1311"/>
      <c r="J305" s="1312"/>
      <c r="K305" s="1313"/>
      <c r="L305" s="1313"/>
      <c r="M305" s="1255"/>
    </row>
    <row r="306" spans="1:13" s="1444" customFormat="1">
      <c r="A306" s="1305"/>
      <c r="B306" s="1306"/>
      <c r="C306" s="1255"/>
      <c r="D306" s="1445"/>
      <c r="E306" s="1309"/>
      <c r="F306" s="1309"/>
      <c r="G306" s="1255"/>
      <c r="H306" s="1310"/>
      <c r="I306" s="1311"/>
      <c r="J306" s="1312"/>
      <c r="K306" s="1313"/>
      <c r="L306" s="1313"/>
      <c r="M306" s="1255"/>
    </row>
    <row r="307" spans="1:13" s="1444" customFormat="1">
      <c r="A307" s="1305"/>
      <c r="B307" s="1306"/>
      <c r="C307" s="1255"/>
      <c r="D307" s="1445"/>
      <c r="E307" s="1309"/>
      <c r="F307" s="1309"/>
      <c r="G307" s="1255"/>
      <c r="H307" s="1310"/>
      <c r="I307" s="1311"/>
      <c r="J307" s="1312"/>
      <c r="K307" s="1313"/>
      <c r="L307" s="1313"/>
      <c r="M307" s="1255"/>
    </row>
    <row r="308" spans="1:13" s="1444" customFormat="1">
      <c r="A308" s="1305"/>
      <c r="B308" s="1306"/>
      <c r="C308" s="1255"/>
      <c r="D308" s="1445"/>
      <c r="E308" s="1309"/>
      <c r="F308" s="1309"/>
      <c r="G308" s="1255"/>
      <c r="H308" s="1310"/>
      <c r="I308" s="1311"/>
      <c r="J308" s="1312"/>
      <c r="K308" s="1313"/>
      <c r="L308" s="1313"/>
      <c r="M308" s="1255"/>
    </row>
    <row r="309" spans="1:13" s="1444" customFormat="1">
      <c r="A309" s="1305"/>
      <c r="B309" s="1306"/>
      <c r="C309" s="1255"/>
      <c r="D309" s="1445"/>
      <c r="E309" s="1309"/>
      <c r="F309" s="1309"/>
      <c r="G309" s="1255"/>
      <c r="H309" s="1310"/>
      <c r="I309" s="1311"/>
      <c r="J309" s="1312"/>
      <c r="K309" s="1313"/>
      <c r="L309" s="1313"/>
      <c r="M309" s="1255"/>
    </row>
    <row r="310" spans="1:13" s="1444" customFormat="1">
      <c r="A310" s="1305"/>
      <c r="B310" s="1306"/>
      <c r="C310" s="1255"/>
      <c r="D310" s="1445"/>
      <c r="E310" s="1309"/>
      <c r="F310" s="1309"/>
      <c r="G310" s="1255"/>
      <c r="H310" s="1310"/>
      <c r="I310" s="1311"/>
      <c r="J310" s="1312"/>
      <c r="K310" s="1313"/>
      <c r="L310" s="1313"/>
      <c r="M310" s="1255"/>
    </row>
    <row r="311" spans="1:13" s="1444" customFormat="1">
      <c r="A311" s="1305"/>
      <c r="B311" s="1306"/>
      <c r="C311" s="1255"/>
      <c r="D311" s="1445"/>
      <c r="E311" s="1309"/>
      <c r="F311" s="1309"/>
      <c r="G311" s="1255"/>
      <c r="H311" s="1310"/>
      <c r="I311" s="1311"/>
      <c r="J311" s="1312"/>
      <c r="K311" s="1313"/>
      <c r="L311" s="1313"/>
      <c r="M311" s="1255"/>
    </row>
    <row r="312" spans="1:13" s="1444" customFormat="1">
      <c r="A312" s="1305"/>
      <c r="B312" s="1306"/>
      <c r="C312" s="1255"/>
      <c r="D312" s="1445"/>
      <c r="E312" s="1309"/>
      <c r="F312" s="1309"/>
      <c r="G312" s="1255"/>
      <c r="H312" s="1310"/>
      <c r="I312" s="1311"/>
      <c r="J312" s="1312"/>
      <c r="K312" s="1313"/>
      <c r="L312" s="1313"/>
      <c r="M312" s="1255"/>
    </row>
    <row r="313" spans="1:13" s="1444" customFormat="1">
      <c r="A313" s="1305"/>
      <c r="B313" s="1306"/>
      <c r="C313" s="1255"/>
      <c r="D313" s="1445"/>
      <c r="E313" s="1309"/>
      <c r="F313" s="1309"/>
      <c r="G313" s="1255"/>
      <c r="H313" s="1310"/>
      <c r="I313" s="1311"/>
      <c r="J313" s="1312"/>
      <c r="K313" s="1313"/>
      <c r="L313" s="1313"/>
      <c r="M313" s="1255"/>
    </row>
    <row r="314" spans="1:13" s="1444" customFormat="1">
      <c r="A314" s="1305"/>
      <c r="B314" s="1306"/>
      <c r="C314" s="1255"/>
      <c r="D314" s="1445"/>
      <c r="E314" s="1309"/>
      <c r="F314" s="1309"/>
      <c r="G314" s="1255"/>
      <c r="H314" s="1310"/>
      <c r="I314" s="1311"/>
      <c r="J314" s="1312"/>
      <c r="K314" s="1313"/>
      <c r="L314" s="1313"/>
      <c r="M314" s="1255"/>
    </row>
    <row r="315" spans="1:13" s="1444" customFormat="1">
      <c r="A315" s="1305"/>
      <c r="B315" s="1306"/>
      <c r="C315" s="1255"/>
      <c r="D315" s="1445"/>
      <c r="E315" s="1309"/>
      <c r="F315" s="1309"/>
      <c r="G315" s="1255"/>
      <c r="H315" s="1310"/>
      <c r="I315" s="1311"/>
      <c r="J315" s="1312"/>
      <c r="K315" s="1313"/>
      <c r="L315" s="1313"/>
      <c r="M315" s="1255"/>
    </row>
    <row r="316" spans="1:13" s="1444" customFormat="1">
      <c r="A316" s="1305"/>
      <c r="B316" s="1306"/>
      <c r="C316" s="1255"/>
      <c r="D316" s="1445"/>
      <c r="E316" s="1309"/>
      <c r="F316" s="1309"/>
      <c r="G316" s="1255"/>
      <c r="H316" s="1310"/>
      <c r="I316" s="1311"/>
      <c r="J316" s="1312"/>
      <c r="K316" s="1313"/>
      <c r="L316" s="1313"/>
      <c r="M316" s="1255"/>
    </row>
    <row r="317" spans="1:13" s="1444" customFormat="1">
      <c r="A317" s="1305"/>
      <c r="B317" s="1306"/>
      <c r="C317" s="1255"/>
      <c r="D317" s="1445"/>
      <c r="E317" s="1309"/>
      <c r="F317" s="1309"/>
      <c r="G317" s="1255"/>
      <c r="H317" s="1310"/>
      <c r="I317" s="1311"/>
      <c r="J317" s="1312"/>
      <c r="K317" s="1313"/>
      <c r="L317" s="1313"/>
      <c r="M317" s="1255"/>
    </row>
    <row r="318" spans="1:13" s="1444" customFormat="1">
      <c r="A318" s="1305"/>
      <c r="B318" s="1306"/>
      <c r="C318" s="1255"/>
      <c r="D318" s="1445"/>
      <c r="E318" s="1309"/>
      <c r="F318" s="1309"/>
      <c r="G318" s="1255"/>
      <c r="H318" s="1310"/>
      <c r="I318" s="1311"/>
      <c r="J318" s="1312"/>
      <c r="K318" s="1313"/>
      <c r="L318" s="1313"/>
      <c r="M318" s="1255"/>
    </row>
    <row r="319" spans="1:13" s="1444" customFormat="1">
      <c r="A319" s="1305"/>
      <c r="B319" s="1306"/>
      <c r="C319" s="1255"/>
      <c r="D319" s="1445"/>
      <c r="E319" s="1309"/>
      <c r="F319" s="1309"/>
      <c r="G319" s="1255"/>
      <c r="H319" s="1310"/>
      <c r="I319" s="1311"/>
      <c r="J319" s="1312"/>
      <c r="K319" s="1313"/>
      <c r="L319" s="1313"/>
      <c r="M319" s="1255"/>
    </row>
    <row r="320" spans="1:13" s="1444" customFormat="1">
      <c r="A320" s="1305"/>
      <c r="B320" s="1306"/>
      <c r="C320" s="1255"/>
      <c r="D320" s="1445"/>
      <c r="E320" s="1309"/>
      <c r="F320" s="1309"/>
      <c r="G320" s="1255"/>
      <c r="H320" s="1310"/>
      <c r="I320" s="1311"/>
      <c r="J320" s="1312"/>
      <c r="K320" s="1313"/>
      <c r="L320" s="1313"/>
      <c r="M320" s="1255"/>
    </row>
    <row r="321" spans="1:13" s="1444" customFormat="1">
      <c r="A321" s="1305"/>
      <c r="B321" s="1306"/>
      <c r="C321" s="1255"/>
      <c r="D321" s="1445"/>
      <c r="E321" s="1309"/>
      <c r="F321" s="1309"/>
      <c r="G321" s="1255"/>
      <c r="H321" s="1310"/>
      <c r="I321" s="1311"/>
      <c r="J321" s="1312"/>
      <c r="K321" s="1313"/>
      <c r="L321" s="1313"/>
      <c r="M321" s="1255"/>
    </row>
    <row r="322" spans="1:13" s="1444" customFormat="1">
      <c r="A322" s="1305"/>
      <c r="B322" s="1306"/>
      <c r="C322" s="1255"/>
      <c r="D322" s="1445"/>
      <c r="E322" s="1309"/>
      <c r="F322" s="1309"/>
      <c r="G322" s="1255"/>
      <c r="H322" s="1310"/>
      <c r="I322" s="1311"/>
      <c r="J322" s="1312"/>
      <c r="K322" s="1313"/>
      <c r="L322" s="1313"/>
      <c r="M322" s="1255"/>
    </row>
    <row r="323" spans="1:13" s="1444" customFormat="1">
      <c r="A323" s="1305"/>
      <c r="B323" s="1306"/>
      <c r="C323" s="1255"/>
      <c r="D323" s="1445"/>
      <c r="E323" s="1309"/>
      <c r="F323" s="1309"/>
      <c r="G323" s="1255"/>
      <c r="H323" s="1310"/>
      <c r="I323" s="1311"/>
      <c r="J323" s="1312"/>
      <c r="K323" s="1313"/>
      <c r="L323" s="1313"/>
      <c r="M323" s="1255"/>
    </row>
    <row r="324" spans="1:13" s="1444" customFormat="1">
      <c r="A324" s="1305"/>
      <c r="B324" s="1306"/>
      <c r="C324" s="1255"/>
      <c r="D324" s="1445"/>
      <c r="E324" s="1309"/>
      <c r="F324" s="1309"/>
      <c r="G324" s="1255"/>
      <c r="H324" s="1310"/>
      <c r="I324" s="1311"/>
      <c r="J324" s="1312"/>
      <c r="K324" s="1313"/>
      <c r="L324" s="1313"/>
      <c r="M324" s="1255"/>
    </row>
    <row r="325" spans="1:13" s="1444" customFormat="1">
      <c r="A325" s="1305"/>
      <c r="B325" s="1306"/>
      <c r="C325" s="1255"/>
      <c r="D325" s="1445"/>
      <c r="E325" s="1309"/>
      <c r="F325" s="1309"/>
      <c r="G325" s="1255"/>
      <c r="H325" s="1310"/>
      <c r="I325" s="1311"/>
      <c r="J325" s="1312"/>
      <c r="K325" s="1313"/>
      <c r="L325" s="1313"/>
      <c r="M325" s="1255"/>
    </row>
    <row r="326" spans="1:13" s="1444" customFormat="1">
      <c r="A326" s="1305"/>
      <c r="B326" s="1306"/>
      <c r="C326" s="1255"/>
      <c r="D326" s="1445"/>
      <c r="E326" s="1309"/>
      <c r="F326" s="1309"/>
      <c r="G326" s="1255"/>
      <c r="H326" s="1310"/>
      <c r="I326" s="1311"/>
      <c r="J326" s="1312"/>
      <c r="K326" s="1313"/>
      <c r="L326" s="1313"/>
      <c r="M326" s="1255"/>
    </row>
    <row r="327" spans="1:13" s="1444" customFormat="1">
      <c r="A327" s="1305"/>
      <c r="B327" s="1306"/>
      <c r="C327" s="1255"/>
      <c r="D327" s="1445"/>
      <c r="E327" s="1309"/>
      <c r="F327" s="1309"/>
      <c r="G327" s="1255"/>
      <c r="H327" s="1310"/>
      <c r="I327" s="1311"/>
      <c r="J327" s="1312"/>
      <c r="K327" s="1313"/>
      <c r="L327" s="1313"/>
      <c r="M327" s="1255"/>
    </row>
    <row r="328" spans="1:13" s="1444" customFormat="1">
      <c r="A328" s="1305"/>
      <c r="B328" s="1306"/>
      <c r="C328" s="1255"/>
      <c r="D328" s="1445"/>
      <c r="E328" s="1309"/>
      <c r="F328" s="1309"/>
      <c r="G328" s="1255"/>
      <c r="H328" s="1310"/>
      <c r="I328" s="1311"/>
      <c r="J328" s="1312"/>
      <c r="K328" s="1313"/>
      <c r="L328" s="1313"/>
      <c r="M328" s="1255"/>
    </row>
    <row r="329" spans="1:13" s="1444" customFormat="1">
      <c r="A329" s="1305"/>
      <c r="B329" s="1306"/>
      <c r="C329" s="1255"/>
      <c r="D329" s="1445"/>
      <c r="E329" s="1309"/>
      <c r="F329" s="1309"/>
      <c r="G329" s="1255"/>
      <c r="H329" s="1310"/>
      <c r="I329" s="1311"/>
      <c r="J329" s="1312"/>
      <c r="K329" s="1313"/>
      <c r="L329" s="1313"/>
      <c r="M329" s="1255"/>
    </row>
    <row r="330" spans="1:13" s="1444" customFormat="1">
      <c r="A330" s="1305"/>
      <c r="B330" s="1306"/>
      <c r="C330" s="1255"/>
      <c r="D330" s="1445"/>
      <c r="E330" s="1309"/>
      <c r="F330" s="1309"/>
      <c r="G330" s="1255"/>
      <c r="H330" s="1310"/>
      <c r="I330" s="1311"/>
      <c r="J330" s="1312"/>
      <c r="K330" s="1313"/>
      <c r="L330" s="1313"/>
      <c r="M330" s="1255"/>
    </row>
    <row r="331" spans="1:13" s="1444" customFormat="1">
      <c r="A331" s="1305"/>
      <c r="B331" s="1306"/>
      <c r="C331" s="1255"/>
      <c r="D331" s="1445"/>
      <c r="E331" s="1309"/>
      <c r="F331" s="1309"/>
      <c r="G331" s="1255"/>
      <c r="H331" s="1310"/>
      <c r="I331" s="1311"/>
      <c r="J331" s="1312"/>
      <c r="K331" s="1313"/>
      <c r="L331" s="1313"/>
      <c r="M331" s="1255"/>
    </row>
    <row r="332" spans="1:13" s="1444" customFormat="1">
      <c r="A332" s="1305"/>
      <c r="B332" s="1306"/>
      <c r="C332" s="1255"/>
      <c r="D332" s="1445"/>
      <c r="E332" s="1309"/>
      <c r="F332" s="1309"/>
      <c r="G332" s="1255"/>
      <c r="H332" s="1310"/>
      <c r="I332" s="1311"/>
      <c r="J332" s="1312"/>
      <c r="K332" s="1313"/>
      <c r="L332" s="1313"/>
      <c r="M332" s="1255"/>
    </row>
    <row r="333" spans="1:13" s="1444" customFormat="1">
      <c r="A333" s="1305"/>
      <c r="B333" s="1306"/>
      <c r="C333" s="1255"/>
      <c r="D333" s="1445"/>
      <c r="E333" s="1309"/>
      <c r="F333" s="1309"/>
      <c r="G333" s="1255"/>
      <c r="H333" s="1310"/>
      <c r="I333" s="1311"/>
      <c r="J333" s="1312"/>
      <c r="K333" s="1313"/>
      <c r="L333" s="1313"/>
      <c r="M333" s="1255"/>
    </row>
    <row r="334" spans="1:13" s="1444" customFormat="1">
      <c r="A334" s="1305"/>
      <c r="B334" s="1306"/>
      <c r="C334" s="1255"/>
      <c r="D334" s="1445"/>
      <c r="E334" s="1309"/>
      <c r="F334" s="1309"/>
      <c r="G334" s="1255"/>
      <c r="H334" s="1310"/>
      <c r="I334" s="1311"/>
      <c r="J334" s="1312"/>
      <c r="K334" s="1313"/>
      <c r="L334" s="1313"/>
      <c r="M334" s="1255"/>
    </row>
    <row r="335" spans="1:13" s="1444" customFormat="1">
      <c r="A335" s="1305"/>
      <c r="B335" s="1306"/>
      <c r="C335" s="1255"/>
      <c r="D335" s="1445"/>
      <c r="E335" s="1309"/>
      <c r="F335" s="1309"/>
      <c r="G335" s="1255"/>
      <c r="H335" s="1310"/>
      <c r="I335" s="1311"/>
      <c r="J335" s="1312"/>
      <c r="K335" s="1313"/>
      <c r="L335" s="1313"/>
      <c r="M335" s="1255"/>
    </row>
    <row r="336" spans="1:13" s="1444" customFormat="1">
      <c r="A336" s="1305"/>
      <c r="B336" s="1306"/>
      <c r="C336" s="1255"/>
      <c r="D336" s="1445"/>
      <c r="E336" s="1309"/>
      <c r="F336" s="1309"/>
      <c r="G336" s="1255"/>
      <c r="H336" s="1310"/>
      <c r="I336" s="1311"/>
      <c r="J336" s="1312"/>
      <c r="K336" s="1313"/>
      <c r="L336" s="1313"/>
      <c r="M336" s="1255"/>
    </row>
    <row r="337" spans="1:13" s="1444" customFormat="1">
      <c r="A337" s="1305"/>
      <c r="B337" s="1306"/>
      <c r="C337" s="1255"/>
      <c r="D337" s="1445"/>
      <c r="E337" s="1309"/>
      <c r="F337" s="1309"/>
      <c r="G337" s="1255"/>
      <c r="H337" s="1310"/>
      <c r="I337" s="1311"/>
      <c r="J337" s="1312"/>
      <c r="K337" s="1313"/>
      <c r="L337" s="1313"/>
      <c r="M337" s="1255"/>
    </row>
    <row r="338" spans="1:13" s="1444" customFormat="1">
      <c r="A338" s="1305"/>
      <c r="B338" s="1306"/>
      <c r="C338" s="1255"/>
      <c r="D338" s="1445"/>
      <c r="E338" s="1309"/>
      <c r="F338" s="1309"/>
      <c r="G338" s="1255"/>
      <c r="H338" s="1310"/>
      <c r="I338" s="1311"/>
      <c r="J338" s="1312"/>
      <c r="K338" s="1313"/>
      <c r="L338" s="1313"/>
      <c r="M338" s="1255"/>
    </row>
    <row r="339" spans="1:13" s="1444" customFormat="1">
      <c r="A339" s="1305"/>
      <c r="B339" s="1306"/>
      <c r="C339" s="1255"/>
      <c r="D339" s="1445"/>
      <c r="E339" s="1309"/>
      <c r="F339" s="1309"/>
      <c r="G339" s="1255"/>
      <c r="H339" s="1310"/>
      <c r="I339" s="1311"/>
      <c r="J339" s="1312"/>
      <c r="K339" s="1313"/>
      <c r="L339" s="1313"/>
      <c r="M339" s="1255"/>
    </row>
    <row r="340" spans="1:13" s="1444" customFormat="1">
      <c r="A340" s="1305"/>
      <c r="B340" s="1306"/>
      <c r="C340" s="1255"/>
      <c r="D340" s="1445"/>
      <c r="E340" s="1309"/>
      <c r="F340" s="1309"/>
      <c r="G340" s="1255"/>
      <c r="H340" s="1310"/>
      <c r="I340" s="1311"/>
      <c r="J340" s="1312"/>
      <c r="K340" s="1313"/>
      <c r="L340" s="1313"/>
      <c r="M340" s="1255"/>
    </row>
    <row r="341" spans="1:13" s="1444" customFormat="1">
      <c r="A341" s="1305"/>
      <c r="B341" s="1306"/>
      <c r="C341" s="1255"/>
      <c r="D341" s="1445"/>
      <c r="E341" s="1309"/>
      <c r="F341" s="1309"/>
      <c r="G341" s="1255"/>
      <c r="H341" s="1310"/>
      <c r="I341" s="1311"/>
      <c r="J341" s="1312"/>
      <c r="K341" s="1313"/>
      <c r="L341" s="1313"/>
      <c r="M341" s="1255"/>
    </row>
    <row r="342" spans="1:13" s="1444" customFormat="1">
      <c r="A342" s="1305"/>
      <c r="B342" s="1306"/>
      <c r="C342" s="1255"/>
      <c r="D342" s="1445"/>
      <c r="E342" s="1309"/>
      <c r="F342" s="1309"/>
      <c r="G342" s="1255"/>
      <c r="H342" s="1310"/>
      <c r="I342" s="1311"/>
      <c r="J342" s="1312"/>
      <c r="K342" s="1313"/>
      <c r="L342" s="1313"/>
      <c r="M342" s="1255"/>
    </row>
    <row r="343" spans="1:13" s="1444" customFormat="1">
      <c r="A343" s="1305"/>
      <c r="B343" s="1306"/>
      <c r="C343" s="1255"/>
      <c r="D343" s="1445"/>
      <c r="E343" s="1309"/>
      <c r="F343" s="1309"/>
      <c r="G343" s="1255"/>
      <c r="H343" s="1310"/>
      <c r="I343" s="1311"/>
      <c r="J343" s="1312"/>
      <c r="K343" s="1313"/>
      <c r="L343" s="1313"/>
      <c r="M343" s="1255"/>
    </row>
    <row r="344" spans="1:13" s="1444" customFormat="1">
      <c r="A344" s="1305"/>
      <c r="B344" s="1306"/>
      <c r="C344" s="1255"/>
      <c r="D344" s="1445"/>
      <c r="E344" s="1309"/>
      <c r="F344" s="1309"/>
      <c r="G344" s="1255"/>
      <c r="H344" s="1310"/>
      <c r="I344" s="1311"/>
      <c r="J344" s="1312"/>
      <c r="K344" s="1313"/>
      <c r="L344" s="1313"/>
      <c r="M344" s="1255"/>
    </row>
    <row r="345" spans="1:13" s="1444" customFormat="1">
      <c r="A345" s="1305"/>
      <c r="B345" s="1306"/>
      <c r="C345" s="1255"/>
      <c r="D345" s="1445"/>
      <c r="E345" s="1309"/>
      <c r="F345" s="1309"/>
      <c r="G345" s="1255"/>
      <c r="H345" s="1310"/>
      <c r="I345" s="1311"/>
      <c r="J345" s="1312"/>
      <c r="K345" s="1313"/>
      <c r="L345" s="1313"/>
      <c r="M345" s="1255"/>
    </row>
    <row r="346" spans="1:13" s="1444" customFormat="1">
      <c r="A346" s="1305"/>
      <c r="B346" s="1306"/>
      <c r="C346" s="1255"/>
      <c r="D346" s="1445"/>
      <c r="E346" s="1309"/>
      <c r="F346" s="1309"/>
      <c r="G346" s="1255"/>
      <c r="H346" s="1310"/>
      <c r="I346" s="1311"/>
      <c r="J346" s="1312"/>
      <c r="K346" s="1313"/>
      <c r="L346" s="1313"/>
      <c r="M346" s="1255"/>
    </row>
    <row r="347" spans="1:13" s="1444" customFormat="1">
      <c r="A347" s="1305"/>
      <c r="B347" s="1306"/>
      <c r="C347" s="1255"/>
      <c r="D347" s="1445"/>
      <c r="E347" s="1309"/>
      <c r="F347" s="1309"/>
      <c r="G347" s="1255"/>
      <c r="H347" s="1310"/>
      <c r="I347" s="1311"/>
      <c r="J347" s="1312"/>
      <c r="K347" s="1313"/>
      <c r="L347" s="1313"/>
      <c r="M347" s="1255"/>
    </row>
    <row r="348" spans="1:13" s="1444" customFormat="1">
      <c r="A348" s="1305"/>
      <c r="B348" s="1306"/>
      <c r="C348" s="1255"/>
      <c r="D348" s="1445"/>
      <c r="E348" s="1309"/>
      <c r="F348" s="1309"/>
      <c r="G348" s="1255"/>
      <c r="H348" s="1310"/>
      <c r="I348" s="1311"/>
      <c r="J348" s="1312"/>
      <c r="K348" s="1313"/>
      <c r="L348" s="1313"/>
      <c r="M348" s="1255"/>
    </row>
    <row r="349" spans="1:13" s="1444" customFormat="1">
      <c r="A349" s="1305"/>
      <c r="B349" s="1306"/>
      <c r="C349" s="1255"/>
      <c r="D349" s="1445"/>
      <c r="E349" s="1309"/>
      <c r="F349" s="1309"/>
      <c r="G349" s="1255"/>
      <c r="H349" s="1310"/>
      <c r="I349" s="1311"/>
      <c r="J349" s="1312"/>
      <c r="K349" s="1313"/>
      <c r="L349" s="1313"/>
      <c r="M349" s="1255"/>
    </row>
    <row r="350" spans="1:13" s="1444" customFormat="1">
      <c r="A350" s="1305"/>
      <c r="B350" s="1306"/>
      <c r="C350" s="1255"/>
      <c r="D350" s="1445"/>
      <c r="E350" s="1309"/>
      <c r="F350" s="1309"/>
      <c r="G350" s="1255"/>
      <c r="H350" s="1310"/>
      <c r="I350" s="1311"/>
      <c r="J350" s="1312"/>
      <c r="K350" s="1313"/>
      <c r="L350" s="1313"/>
      <c r="M350" s="1255"/>
    </row>
    <row r="351" spans="1:13" s="1444" customFormat="1">
      <c r="A351" s="1305"/>
      <c r="B351" s="1306"/>
      <c r="C351" s="1255"/>
      <c r="D351" s="1445"/>
      <c r="E351" s="1309"/>
      <c r="F351" s="1309"/>
      <c r="G351" s="1255"/>
      <c r="H351" s="1310"/>
      <c r="I351" s="1311"/>
      <c r="J351" s="1312"/>
      <c r="K351" s="1313"/>
      <c r="L351" s="1313"/>
      <c r="M351" s="1255"/>
    </row>
    <row r="352" spans="1:13" s="1444" customFormat="1">
      <c r="A352" s="1305"/>
      <c r="B352" s="1306"/>
      <c r="C352" s="1255"/>
      <c r="D352" s="1445"/>
      <c r="E352" s="1309"/>
      <c r="F352" s="1309"/>
      <c r="G352" s="1255"/>
      <c r="H352" s="1310"/>
      <c r="I352" s="1311"/>
      <c r="J352" s="1312"/>
      <c r="K352" s="1313"/>
      <c r="L352" s="1313"/>
      <c r="M352" s="1255"/>
    </row>
    <row r="353" spans="1:13" s="1444" customFormat="1">
      <c r="A353" s="1305"/>
      <c r="B353" s="1306"/>
      <c r="C353" s="1255"/>
      <c r="D353" s="1445"/>
      <c r="E353" s="1309"/>
      <c r="F353" s="1309"/>
      <c r="G353" s="1255"/>
      <c r="H353" s="1310"/>
      <c r="I353" s="1311"/>
      <c r="J353" s="1312"/>
      <c r="K353" s="1313"/>
      <c r="L353" s="1313"/>
      <c r="M353" s="1255"/>
    </row>
    <row r="354" spans="1:13" s="1444" customFormat="1">
      <c r="A354" s="1305"/>
      <c r="B354" s="1306"/>
      <c r="C354" s="1255"/>
      <c r="D354" s="1445"/>
      <c r="E354" s="1309"/>
      <c r="F354" s="1309"/>
      <c r="G354" s="1255"/>
      <c r="H354" s="1310"/>
      <c r="I354" s="1311"/>
      <c r="J354" s="1312"/>
      <c r="K354" s="1313"/>
      <c r="L354" s="1313"/>
      <c r="M354" s="1255"/>
    </row>
    <row r="355" spans="1:13" s="1444" customFormat="1">
      <c r="A355" s="1305"/>
      <c r="B355" s="1306"/>
      <c r="C355" s="1255"/>
      <c r="D355" s="1445"/>
      <c r="E355" s="1309"/>
      <c r="F355" s="1309"/>
      <c r="G355" s="1255"/>
      <c r="H355" s="1310"/>
      <c r="I355" s="1311"/>
      <c r="J355" s="1312"/>
      <c r="K355" s="1313"/>
      <c r="L355" s="1313"/>
      <c r="M355" s="1255"/>
    </row>
    <row r="356" spans="1:13" s="1444" customFormat="1">
      <c r="A356" s="1305"/>
      <c r="B356" s="1306"/>
      <c r="C356" s="1255"/>
      <c r="D356" s="1445"/>
      <c r="E356" s="1309"/>
      <c r="F356" s="1309"/>
      <c r="G356" s="1255"/>
      <c r="H356" s="1310"/>
      <c r="I356" s="1311"/>
      <c r="J356" s="1312"/>
      <c r="K356" s="1313"/>
      <c r="L356" s="1313"/>
      <c r="M356" s="1255"/>
    </row>
    <row r="357" spans="1:13" s="1444" customFormat="1">
      <c r="A357" s="1305"/>
      <c r="B357" s="1306"/>
      <c r="C357" s="1255"/>
      <c r="D357" s="1445"/>
      <c r="E357" s="1309"/>
      <c r="F357" s="1309"/>
      <c r="G357" s="1255"/>
      <c r="H357" s="1310"/>
      <c r="I357" s="1311"/>
      <c r="J357" s="1312"/>
      <c r="K357" s="1313"/>
      <c r="L357" s="1313"/>
      <c r="M357" s="1255"/>
    </row>
    <row r="358" spans="1:13" s="1444" customFormat="1">
      <c r="A358" s="1305"/>
      <c r="B358" s="1306"/>
      <c r="C358" s="1255"/>
      <c r="D358" s="1445"/>
      <c r="E358" s="1309"/>
      <c r="F358" s="1309"/>
      <c r="G358" s="1255"/>
      <c r="H358" s="1310"/>
      <c r="I358" s="1311"/>
      <c r="J358" s="1312"/>
      <c r="K358" s="1313"/>
      <c r="L358" s="1313"/>
      <c r="M358" s="1255"/>
    </row>
    <row r="359" spans="1:13" s="1444" customFormat="1">
      <c r="A359" s="1305"/>
      <c r="B359" s="1306"/>
      <c r="C359" s="1255"/>
      <c r="D359" s="1445"/>
      <c r="E359" s="1309"/>
      <c r="F359" s="1309"/>
      <c r="G359" s="1255"/>
      <c r="H359" s="1310"/>
      <c r="I359" s="1311"/>
      <c r="J359" s="1312"/>
      <c r="K359" s="1313"/>
      <c r="L359" s="1313"/>
      <c r="M359" s="1255"/>
    </row>
    <row r="360" spans="1:13" s="1444" customFormat="1">
      <c r="A360" s="1305"/>
      <c r="B360" s="1306"/>
      <c r="C360" s="1255"/>
      <c r="D360" s="1445"/>
      <c r="E360" s="1309"/>
      <c r="F360" s="1309"/>
      <c r="G360" s="1255"/>
      <c r="H360" s="1310"/>
      <c r="I360" s="1311"/>
      <c r="J360" s="1312"/>
      <c r="K360" s="1313"/>
      <c r="L360" s="1313"/>
      <c r="M360" s="1255"/>
    </row>
    <row r="361" spans="1:13" s="1444" customFormat="1">
      <c r="A361" s="1305"/>
      <c r="B361" s="1306"/>
      <c r="C361" s="1255"/>
      <c r="D361" s="1445"/>
      <c r="E361" s="1309"/>
      <c r="F361" s="1309"/>
      <c r="G361" s="1255"/>
      <c r="H361" s="1310"/>
      <c r="I361" s="1311"/>
      <c r="J361" s="1312"/>
      <c r="K361" s="1313"/>
      <c r="L361" s="1313"/>
      <c r="M361" s="1255"/>
    </row>
    <row r="362" spans="1:13" s="1444" customFormat="1">
      <c r="A362" s="1305"/>
      <c r="B362" s="1306"/>
      <c r="C362" s="1255"/>
      <c r="D362" s="1445"/>
      <c r="E362" s="1309"/>
      <c r="F362" s="1309"/>
      <c r="G362" s="1255"/>
      <c r="H362" s="1310"/>
      <c r="I362" s="1311"/>
      <c r="J362" s="1312"/>
      <c r="K362" s="1313"/>
      <c r="L362" s="1313"/>
      <c r="M362" s="1255"/>
    </row>
    <row r="363" spans="1:13" s="1444" customFormat="1">
      <c r="A363" s="1305"/>
      <c r="B363" s="1306"/>
      <c r="C363" s="1255"/>
      <c r="D363" s="1445"/>
      <c r="E363" s="1309"/>
      <c r="F363" s="1309"/>
      <c r="G363" s="1255"/>
      <c r="H363" s="1310"/>
      <c r="I363" s="1311"/>
      <c r="J363" s="1312"/>
      <c r="K363" s="1313"/>
      <c r="L363" s="1313"/>
      <c r="M363" s="1255"/>
    </row>
    <row r="364" spans="1:13" s="1444" customFormat="1">
      <c r="A364" s="1305"/>
      <c r="B364" s="1306"/>
      <c r="C364" s="1255"/>
      <c r="D364" s="1445"/>
      <c r="E364" s="1309"/>
      <c r="F364" s="1309"/>
      <c r="G364" s="1255"/>
      <c r="H364" s="1310"/>
      <c r="I364" s="1311"/>
      <c r="J364" s="1312"/>
      <c r="K364" s="1313"/>
      <c r="L364" s="1313"/>
      <c r="M364" s="1255"/>
    </row>
    <row r="365" spans="1:13" s="1444" customFormat="1">
      <c r="A365" s="1305"/>
      <c r="B365" s="1306"/>
      <c r="C365" s="1255"/>
      <c r="D365" s="1445"/>
      <c r="E365" s="1309"/>
      <c r="F365" s="1309"/>
      <c r="G365" s="1255"/>
      <c r="H365" s="1310"/>
      <c r="I365" s="1311"/>
      <c r="J365" s="1312"/>
      <c r="K365" s="1313"/>
      <c r="L365" s="1313"/>
      <c r="M365" s="1255"/>
    </row>
    <row r="366" spans="1:13" s="1444" customFormat="1">
      <c r="A366" s="1305"/>
      <c r="B366" s="1306"/>
      <c r="C366" s="1255"/>
      <c r="D366" s="1445"/>
      <c r="E366" s="1309"/>
      <c r="F366" s="1309"/>
      <c r="G366" s="1255"/>
      <c r="H366" s="1310"/>
      <c r="I366" s="1311"/>
      <c r="J366" s="1312"/>
      <c r="K366" s="1313"/>
      <c r="L366" s="1313"/>
      <c r="M366" s="1255"/>
    </row>
    <row r="367" spans="1:13" s="1444" customFormat="1">
      <c r="A367" s="1305"/>
      <c r="B367" s="1306"/>
      <c r="C367" s="1255"/>
      <c r="D367" s="1445"/>
      <c r="E367" s="1309"/>
      <c r="F367" s="1309"/>
      <c r="G367" s="1255"/>
      <c r="H367" s="1310"/>
      <c r="I367" s="1311"/>
      <c r="J367" s="1312"/>
      <c r="K367" s="1313"/>
      <c r="L367" s="1313"/>
      <c r="M367" s="1255"/>
    </row>
    <row r="368" spans="1:13" s="1444" customFormat="1">
      <c r="A368" s="1305"/>
      <c r="B368" s="1306"/>
      <c r="C368" s="1255"/>
      <c r="D368" s="1445"/>
      <c r="E368" s="1309"/>
      <c r="F368" s="1309"/>
      <c r="G368" s="1255"/>
      <c r="H368" s="1310"/>
      <c r="I368" s="1311"/>
      <c r="J368" s="1312"/>
      <c r="K368" s="1313"/>
      <c r="L368" s="1313"/>
      <c r="M368" s="1255"/>
    </row>
    <row r="369" spans="1:13" s="1444" customFormat="1">
      <c r="A369" s="1305"/>
      <c r="B369" s="1306"/>
      <c r="C369" s="1255"/>
      <c r="D369" s="1445"/>
      <c r="E369" s="1309"/>
      <c r="F369" s="1309"/>
      <c r="G369" s="1255"/>
      <c r="H369" s="1310"/>
      <c r="I369" s="1311"/>
      <c r="J369" s="1312"/>
      <c r="K369" s="1313"/>
      <c r="L369" s="1313"/>
      <c r="M369" s="1255"/>
    </row>
    <row r="370" spans="1:13" s="1444" customFormat="1">
      <c r="A370" s="1305"/>
      <c r="B370" s="1306"/>
      <c r="C370" s="1255"/>
      <c r="D370" s="1445"/>
      <c r="E370" s="1309"/>
      <c r="F370" s="1309"/>
      <c r="G370" s="1255"/>
      <c r="H370" s="1310"/>
      <c r="I370" s="1311"/>
      <c r="J370" s="1312"/>
      <c r="K370" s="1313"/>
      <c r="L370" s="1313"/>
      <c r="M370" s="1255"/>
    </row>
    <row r="371" spans="1:13" s="1444" customFormat="1">
      <c r="A371" s="1305"/>
      <c r="B371" s="1306"/>
      <c r="C371" s="1255"/>
      <c r="D371" s="1445"/>
      <c r="E371" s="1309"/>
      <c r="F371" s="1309"/>
      <c r="G371" s="1255"/>
      <c r="H371" s="1310"/>
      <c r="I371" s="1311"/>
      <c r="J371" s="1312"/>
      <c r="K371" s="1313"/>
      <c r="L371" s="1313"/>
      <c r="M371" s="1255"/>
    </row>
    <row r="372" spans="1:13" s="1444" customFormat="1">
      <c r="A372" s="1305"/>
      <c r="B372" s="1306"/>
      <c r="C372" s="1255"/>
      <c r="D372" s="1445"/>
      <c r="E372" s="1309"/>
      <c r="F372" s="1309"/>
      <c r="G372" s="1255"/>
      <c r="H372" s="1310"/>
      <c r="I372" s="1311"/>
      <c r="J372" s="1312"/>
      <c r="K372" s="1313"/>
      <c r="L372" s="1313"/>
      <c r="M372" s="1255"/>
    </row>
    <row r="373" spans="1:13" s="1444" customFormat="1">
      <c r="A373" s="1305"/>
      <c r="B373" s="1306"/>
      <c r="C373" s="1255"/>
      <c r="D373" s="1445"/>
      <c r="E373" s="1309"/>
      <c r="F373" s="1309"/>
      <c r="G373" s="1255"/>
      <c r="H373" s="1310"/>
      <c r="I373" s="1311"/>
      <c r="J373" s="1312"/>
      <c r="K373" s="1313"/>
      <c r="L373" s="1313"/>
      <c r="M373" s="1255"/>
    </row>
    <row r="374" spans="1:13" s="1444" customFormat="1">
      <c r="A374" s="1305"/>
      <c r="B374" s="1306"/>
      <c r="C374" s="1255"/>
      <c r="D374" s="1445"/>
      <c r="E374" s="1309"/>
      <c r="F374" s="1309"/>
      <c r="G374" s="1255"/>
      <c r="H374" s="1310"/>
      <c r="I374" s="1311"/>
      <c r="J374" s="1312"/>
      <c r="K374" s="1313"/>
      <c r="L374" s="1313"/>
      <c r="M374" s="1255"/>
    </row>
    <row r="375" spans="1:13" s="1444" customFormat="1">
      <c r="A375" s="1305"/>
      <c r="B375" s="1306"/>
      <c r="C375" s="1255"/>
      <c r="D375" s="1445"/>
      <c r="E375" s="1309"/>
      <c r="F375" s="1309"/>
      <c r="G375" s="1255"/>
      <c r="H375" s="1310"/>
      <c r="I375" s="1311"/>
      <c r="J375" s="1312"/>
      <c r="K375" s="1313"/>
      <c r="L375" s="1313"/>
      <c r="M375" s="1255"/>
    </row>
    <row r="376" spans="1:13" s="1444" customFormat="1">
      <c r="A376" s="1305"/>
      <c r="B376" s="1306"/>
      <c r="C376" s="1255"/>
      <c r="D376" s="1445"/>
      <c r="E376" s="1309"/>
      <c r="F376" s="1309"/>
      <c r="G376" s="1255"/>
      <c r="H376" s="1310"/>
      <c r="I376" s="1311"/>
      <c r="J376" s="1312"/>
      <c r="K376" s="1313"/>
      <c r="L376" s="1313"/>
      <c r="M376" s="1255"/>
    </row>
    <row r="377" spans="1:13" s="1444" customFormat="1">
      <c r="A377" s="1305"/>
      <c r="B377" s="1306"/>
      <c r="C377" s="1255"/>
      <c r="D377" s="1445"/>
      <c r="E377" s="1309"/>
      <c r="F377" s="1309"/>
      <c r="G377" s="1255"/>
      <c r="H377" s="1310"/>
      <c r="I377" s="1311"/>
      <c r="J377" s="1312"/>
      <c r="K377" s="1313"/>
      <c r="L377" s="1313"/>
      <c r="M377" s="1255"/>
    </row>
    <row r="378" spans="1:13" s="1444" customFormat="1">
      <c r="A378" s="1305"/>
      <c r="B378" s="1306"/>
      <c r="C378" s="1255"/>
      <c r="D378" s="1445"/>
      <c r="E378" s="1309"/>
      <c r="F378" s="1309"/>
      <c r="G378" s="1255"/>
      <c r="H378" s="1310"/>
      <c r="I378" s="1311"/>
      <c r="J378" s="1312"/>
      <c r="K378" s="1313"/>
      <c r="L378" s="1313"/>
      <c r="M378" s="1255"/>
    </row>
    <row r="379" spans="1:13" s="1444" customFormat="1">
      <c r="A379" s="1305"/>
      <c r="B379" s="1306"/>
      <c r="C379" s="1255"/>
      <c r="D379" s="1445"/>
      <c r="E379" s="1309"/>
      <c r="F379" s="1309"/>
      <c r="G379" s="1255"/>
      <c r="H379" s="1310"/>
      <c r="I379" s="1311"/>
      <c r="J379" s="1312"/>
      <c r="K379" s="1313"/>
      <c r="L379" s="1313"/>
      <c r="M379" s="1255"/>
    </row>
    <row r="380" spans="1:13" s="1444" customFormat="1">
      <c r="A380" s="1305"/>
      <c r="B380" s="1306"/>
      <c r="C380" s="1255"/>
      <c r="D380" s="1445"/>
      <c r="E380" s="1309"/>
      <c r="F380" s="1309"/>
      <c r="G380" s="1255"/>
      <c r="H380" s="1310"/>
      <c r="I380" s="1311"/>
      <c r="J380" s="1312"/>
      <c r="K380" s="1313"/>
      <c r="L380" s="1313"/>
      <c r="M380" s="1255"/>
    </row>
    <row r="381" spans="1:13" s="1444" customFormat="1">
      <c r="A381" s="1305"/>
      <c r="B381" s="1306"/>
      <c r="C381" s="1255"/>
      <c r="D381" s="1445"/>
      <c r="E381" s="1309"/>
      <c r="F381" s="1309"/>
      <c r="G381" s="1255"/>
      <c r="H381" s="1310"/>
      <c r="I381" s="1311"/>
      <c r="J381" s="1312"/>
      <c r="K381" s="1313"/>
      <c r="L381" s="1313"/>
      <c r="M381" s="1255"/>
    </row>
    <row r="382" spans="1:13" s="1444" customFormat="1">
      <c r="A382" s="1305"/>
      <c r="B382" s="1306"/>
      <c r="C382" s="1255"/>
      <c r="D382" s="1445"/>
      <c r="E382" s="1309"/>
      <c r="F382" s="1309"/>
      <c r="G382" s="1255"/>
      <c r="H382" s="1310"/>
      <c r="I382" s="1311"/>
      <c r="J382" s="1312"/>
      <c r="K382" s="1313"/>
      <c r="L382" s="1313"/>
      <c r="M382" s="1255"/>
    </row>
    <row r="383" spans="1:13" s="1444" customFormat="1">
      <c r="A383" s="1305"/>
      <c r="B383" s="1306"/>
      <c r="C383" s="1255"/>
      <c r="D383" s="1445"/>
      <c r="E383" s="1309"/>
      <c r="F383" s="1309"/>
      <c r="G383" s="1255"/>
      <c r="H383" s="1310"/>
      <c r="I383" s="1311"/>
      <c r="J383" s="1312"/>
      <c r="K383" s="1313"/>
      <c r="L383" s="1313"/>
      <c r="M383" s="1255"/>
    </row>
    <row r="384" spans="1:13" s="1444" customFormat="1">
      <c r="A384" s="1305"/>
      <c r="B384" s="1306"/>
      <c r="C384" s="1255"/>
      <c r="D384" s="1445"/>
      <c r="E384" s="1309"/>
      <c r="F384" s="1309"/>
      <c r="G384" s="1255"/>
      <c r="H384" s="1310"/>
      <c r="I384" s="1311"/>
      <c r="J384" s="1312"/>
      <c r="K384" s="1313"/>
      <c r="L384" s="1313"/>
      <c r="M384" s="1255"/>
    </row>
    <row r="385" spans="1:13" s="1444" customFormat="1">
      <c r="A385" s="1305"/>
      <c r="B385" s="1306"/>
      <c r="C385" s="1255"/>
      <c r="D385" s="1445"/>
      <c r="E385" s="1309"/>
      <c r="F385" s="1309"/>
      <c r="G385" s="1255"/>
      <c r="H385" s="1310"/>
      <c r="I385" s="1311"/>
      <c r="J385" s="1312"/>
      <c r="K385" s="1313"/>
      <c r="L385" s="1313"/>
      <c r="M385" s="1255"/>
    </row>
    <row r="386" spans="1:13" s="1444" customFormat="1">
      <c r="A386" s="1305"/>
      <c r="B386" s="1306"/>
      <c r="C386" s="1255"/>
      <c r="D386" s="1445"/>
      <c r="E386" s="1309"/>
      <c r="F386" s="1309"/>
      <c r="G386" s="1255"/>
      <c r="H386" s="1310"/>
      <c r="I386" s="1311"/>
      <c r="J386" s="1312"/>
      <c r="K386" s="1313"/>
      <c r="L386" s="1313"/>
      <c r="M386" s="1255"/>
    </row>
    <row r="387" spans="1:13" s="1444" customFormat="1">
      <c r="A387" s="1305"/>
      <c r="B387" s="1306"/>
      <c r="C387" s="1255"/>
      <c r="D387" s="1445"/>
      <c r="E387" s="1309"/>
      <c r="F387" s="1309"/>
      <c r="G387" s="1255"/>
      <c r="H387" s="1310"/>
      <c r="I387" s="1311"/>
      <c r="J387" s="1312"/>
      <c r="K387" s="1313"/>
      <c r="L387" s="1313"/>
      <c r="M387" s="1255"/>
    </row>
    <row r="388" spans="1:13" s="1444" customFormat="1">
      <c r="A388" s="1305"/>
      <c r="B388" s="1306"/>
      <c r="C388" s="1255"/>
      <c r="D388" s="1445"/>
      <c r="E388" s="1309"/>
      <c r="F388" s="1309"/>
      <c r="G388" s="1255"/>
      <c r="H388" s="1310"/>
      <c r="I388" s="1311"/>
      <c r="J388" s="1312"/>
      <c r="K388" s="1313"/>
      <c r="L388" s="1313"/>
      <c r="M388" s="1255"/>
    </row>
    <row r="389" spans="1:13" s="1444" customFormat="1">
      <c r="A389" s="1305"/>
      <c r="B389" s="1306"/>
      <c r="C389" s="1255"/>
      <c r="D389" s="1445"/>
      <c r="E389" s="1309"/>
      <c r="F389" s="1309"/>
      <c r="G389" s="1255"/>
      <c r="H389" s="1310"/>
      <c r="I389" s="1311"/>
      <c r="J389" s="1312"/>
      <c r="K389" s="1313"/>
      <c r="L389" s="1313"/>
      <c r="M389" s="1255"/>
    </row>
    <row r="390" spans="1:13" s="1444" customFormat="1">
      <c r="A390" s="1305"/>
      <c r="B390" s="1306"/>
      <c r="C390" s="1255"/>
      <c r="D390" s="1445"/>
      <c r="E390" s="1309"/>
      <c r="F390" s="1309"/>
      <c r="G390" s="1255"/>
      <c r="H390" s="1310"/>
      <c r="I390" s="1311"/>
      <c r="J390" s="1312"/>
      <c r="K390" s="1313"/>
      <c r="L390" s="1313"/>
      <c r="M390" s="1255"/>
    </row>
    <row r="391" spans="1:13" s="1444" customFormat="1">
      <c r="A391" s="1305"/>
      <c r="B391" s="1306"/>
      <c r="C391" s="1255"/>
      <c r="D391" s="1445"/>
      <c r="E391" s="1309"/>
      <c r="F391" s="1309"/>
      <c r="G391" s="1255"/>
      <c r="H391" s="1310"/>
      <c r="I391" s="1311"/>
      <c r="J391" s="1312"/>
      <c r="K391" s="1313"/>
      <c r="L391" s="1313"/>
      <c r="M391" s="1255"/>
    </row>
    <row r="392" spans="1:13" s="1444" customFormat="1">
      <c r="A392" s="1305"/>
      <c r="B392" s="1306"/>
      <c r="C392" s="1255"/>
      <c r="D392" s="1445"/>
      <c r="E392" s="1309"/>
      <c r="F392" s="1309"/>
      <c r="G392" s="1255"/>
      <c r="H392" s="1310"/>
      <c r="I392" s="1311"/>
      <c r="J392" s="1312"/>
      <c r="K392" s="1313"/>
      <c r="L392" s="1313"/>
      <c r="M392" s="1255"/>
    </row>
    <row r="393" spans="1:13" s="1444" customFormat="1">
      <c r="A393" s="1305"/>
      <c r="B393" s="1306"/>
      <c r="C393" s="1255"/>
      <c r="D393" s="1445"/>
      <c r="E393" s="1309"/>
      <c r="F393" s="1309"/>
      <c r="G393" s="1255"/>
      <c r="H393" s="1310"/>
      <c r="I393" s="1311"/>
      <c r="J393" s="1312"/>
      <c r="K393" s="1313"/>
      <c r="L393" s="1313"/>
      <c r="M393" s="1255"/>
    </row>
    <row r="394" spans="1:13" s="1444" customFormat="1">
      <c r="A394" s="1305"/>
      <c r="B394" s="1306"/>
      <c r="C394" s="1255"/>
      <c r="D394" s="1445"/>
      <c r="E394" s="1309"/>
      <c r="F394" s="1309"/>
      <c r="G394" s="1255"/>
      <c r="H394" s="1310"/>
      <c r="I394" s="1311"/>
      <c r="J394" s="1312"/>
      <c r="K394" s="1313"/>
      <c r="L394" s="1313"/>
      <c r="M394" s="1255"/>
    </row>
    <row r="395" spans="1:13" s="1444" customFormat="1">
      <c r="A395" s="1305"/>
      <c r="B395" s="1306"/>
      <c r="C395" s="1255"/>
      <c r="D395" s="1445"/>
      <c r="E395" s="1309"/>
      <c r="F395" s="1309"/>
      <c r="G395" s="1255"/>
      <c r="H395" s="1310"/>
      <c r="I395" s="1311"/>
      <c r="J395" s="1312"/>
      <c r="K395" s="1313"/>
      <c r="L395" s="1313"/>
      <c r="M395" s="1255"/>
    </row>
    <row r="396" spans="1:13" s="1444" customFormat="1">
      <c r="A396" s="1305"/>
      <c r="B396" s="1306"/>
      <c r="C396" s="1255"/>
      <c r="D396" s="1445"/>
      <c r="E396" s="1309"/>
      <c r="F396" s="1309"/>
      <c r="G396" s="1255"/>
      <c r="H396" s="1310"/>
      <c r="I396" s="1311"/>
      <c r="J396" s="1312"/>
      <c r="K396" s="1313"/>
      <c r="L396" s="1313"/>
      <c r="M396" s="1255"/>
    </row>
    <row r="397" spans="1:13" s="1444" customFormat="1">
      <c r="A397" s="1305"/>
      <c r="B397" s="1306"/>
      <c r="C397" s="1255"/>
      <c r="D397" s="1445"/>
      <c r="E397" s="1309"/>
      <c r="F397" s="1309"/>
      <c r="G397" s="1255"/>
      <c r="H397" s="1310"/>
      <c r="I397" s="1311"/>
      <c r="J397" s="1312"/>
      <c r="K397" s="1313"/>
      <c r="L397" s="1313"/>
      <c r="M397" s="1255"/>
    </row>
    <row r="398" spans="1:13" s="1444" customFormat="1">
      <c r="A398" s="1305"/>
      <c r="B398" s="1306"/>
      <c r="C398" s="1255"/>
      <c r="D398" s="1445"/>
      <c r="E398" s="1309"/>
      <c r="F398" s="1309"/>
      <c r="G398" s="1255"/>
      <c r="H398" s="1310"/>
      <c r="I398" s="1311"/>
      <c r="J398" s="1312"/>
      <c r="K398" s="1313"/>
      <c r="L398" s="1313"/>
      <c r="M398" s="1255"/>
    </row>
    <row r="399" spans="1:13" s="1444" customFormat="1">
      <c r="A399" s="1305"/>
      <c r="B399" s="1306"/>
      <c r="C399" s="1255"/>
      <c r="D399" s="1445"/>
      <c r="E399" s="1309"/>
      <c r="F399" s="1309"/>
      <c r="G399" s="1255"/>
      <c r="H399" s="1310"/>
      <c r="I399" s="1311"/>
      <c r="J399" s="1312"/>
      <c r="K399" s="1313"/>
      <c r="L399" s="1313"/>
      <c r="M399" s="1255"/>
    </row>
    <row r="400" spans="1:13" s="1444" customFormat="1">
      <c r="A400" s="1305"/>
      <c r="B400" s="1306"/>
      <c r="C400" s="1255"/>
      <c r="D400" s="1445"/>
      <c r="E400" s="1309"/>
      <c r="F400" s="1309"/>
      <c r="G400" s="1255"/>
      <c r="H400" s="1310"/>
      <c r="I400" s="1311"/>
      <c r="J400" s="1312"/>
      <c r="K400" s="1313"/>
      <c r="L400" s="1313"/>
      <c r="M400" s="1255"/>
    </row>
    <row r="401" spans="1:13" s="1444" customFormat="1">
      <c r="A401" s="1305"/>
      <c r="B401" s="1306"/>
      <c r="C401" s="1255"/>
      <c r="D401" s="1445"/>
      <c r="E401" s="1309"/>
      <c r="F401" s="1309"/>
      <c r="G401" s="1255"/>
      <c r="H401" s="1310"/>
      <c r="I401" s="1311"/>
      <c r="J401" s="1312"/>
      <c r="K401" s="1313"/>
      <c r="L401" s="1313"/>
      <c r="M401" s="1255"/>
    </row>
    <row r="402" spans="1:13" s="1444" customFormat="1">
      <c r="A402" s="1305"/>
      <c r="B402" s="1306"/>
      <c r="C402" s="1255"/>
      <c r="D402" s="1445"/>
      <c r="E402" s="1309"/>
      <c r="F402" s="1309"/>
      <c r="G402" s="1255"/>
      <c r="H402" s="1310"/>
      <c r="I402" s="1311"/>
      <c r="J402" s="1312"/>
      <c r="K402" s="1313"/>
      <c r="L402" s="1313"/>
      <c r="M402" s="1255"/>
    </row>
    <row r="403" spans="1:13" s="1444" customFormat="1">
      <c r="A403" s="1305"/>
      <c r="B403" s="1306"/>
      <c r="C403" s="1255"/>
      <c r="D403" s="1445"/>
      <c r="E403" s="1309"/>
      <c r="F403" s="1309"/>
      <c r="G403" s="1255"/>
      <c r="H403" s="1310"/>
      <c r="I403" s="1311"/>
      <c r="J403" s="1312"/>
      <c r="K403" s="1313"/>
      <c r="L403" s="1313"/>
      <c r="M403" s="1255"/>
    </row>
    <row r="404" spans="1:13" s="1444" customFormat="1">
      <c r="A404" s="1305"/>
      <c r="B404" s="1306"/>
      <c r="C404" s="1255"/>
      <c r="D404" s="1445"/>
      <c r="E404" s="1309"/>
      <c r="F404" s="1309"/>
      <c r="G404" s="1255"/>
      <c r="H404" s="1310"/>
      <c r="I404" s="1311"/>
      <c r="J404" s="1312"/>
      <c r="K404" s="1313"/>
      <c r="L404" s="1313"/>
      <c r="M404" s="1255"/>
    </row>
    <row r="405" spans="1:13" s="1444" customFormat="1">
      <c r="A405" s="1305"/>
      <c r="B405" s="1306"/>
      <c r="C405" s="1255"/>
      <c r="D405" s="1445"/>
      <c r="E405" s="1309"/>
      <c r="F405" s="1309"/>
      <c r="G405" s="1255"/>
      <c r="H405" s="1310"/>
      <c r="I405" s="1311"/>
      <c r="J405" s="1312"/>
      <c r="K405" s="1313"/>
      <c r="L405" s="1313"/>
      <c r="M405" s="1255"/>
    </row>
    <row r="406" spans="1:13" s="1444" customFormat="1">
      <c r="A406" s="1305"/>
      <c r="B406" s="1306"/>
      <c r="C406" s="1255"/>
      <c r="D406" s="1445"/>
      <c r="E406" s="1309"/>
      <c r="F406" s="1309"/>
      <c r="G406" s="1255"/>
      <c r="H406" s="1310"/>
      <c r="I406" s="1311"/>
      <c r="J406" s="1312"/>
      <c r="K406" s="1313"/>
      <c r="L406" s="1313"/>
      <c r="M406" s="1255"/>
    </row>
    <row r="407" spans="1:13" s="1444" customFormat="1">
      <c r="A407" s="1305"/>
      <c r="B407" s="1306"/>
      <c r="C407" s="1255"/>
      <c r="D407" s="1445"/>
      <c r="E407" s="1309"/>
      <c r="F407" s="1309"/>
      <c r="G407" s="1255"/>
      <c r="H407" s="1310"/>
      <c r="I407" s="1311"/>
      <c r="J407" s="1312"/>
      <c r="K407" s="1313"/>
      <c r="L407" s="1313"/>
      <c r="M407" s="1255"/>
    </row>
    <row r="408" spans="1:13" s="1444" customFormat="1">
      <c r="A408" s="1305"/>
      <c r="B408" s="1306"/>
      <c r="C408" s="1255"/>
      <c r="D408" s="1445"/>
      <c r="E408" s="1309"/>
      <c r="F408" s="1309"/>
      <c r="G408" s="1255"/>
      <c r="H408" s="1310"/>
      <c r="I408" s="1311"/>
      <c r="J408" s="1312"/>
      <c r="K408" s="1313"/>
      <c r="L408" s="1313"/>
      <c r="M408" s="1255"/>
    </row>
    <row r="409" spans="1:13" s="1444" customFormat="1">
      <c r="A409" s="1305"/>
      <c r="B409" s="1306"/>
      <c r="C409" s="1255"/>
      <c r="D409" s="1445"/>
      <c r="E409" s="1309"/>
      <c r="F409" s="1309"/>
      <c r="G409" s="1255"/>
      <c r="H409" s="1310"/>
      <c r="I409" s="1311"/>
      <c r="J409" s="1312"/>
      <c r="K409" s="1313"/>
      <c r="L409" s="1313"/>
      <c r="M409" s="1255"/>
    </row>
    <row r="410" spans="1:13" s="1444" customFormat="1">
      <c r="A410" s="1305"/>
      <c r="B410" s="1306"/>
      <c r="C410" s="1255"/>
      <c r="D410" s="1445"/>
      <c r="E410" s="1309"/>
      <c r="F410" s="1309"/>
      <c r="G410" s="1255"/>
      <c r="H410" s="1310"/>
      <c r="I410" s="1311"/>
      <c r="J410" s="1312"/>
      <c r="K410" s="1313"/>
      <c r="L410" s="1313"/>
      <c r="M410" s="1255"/>
    </row>
    <row r="411" spans="1:13" s="1444" customFormat="1">
      <c r="A411" s="1305"/>
      <c r="B411" s="1306"/>
      <c r="C411" s="1255"/>
      <c r="D411" s="1445"/>
      <c r="E411" s="1309"/>
      <c r="F411" s="1309"/>
      <c r="G411" s="1255"/>
      <c r="H411" s="1310"/>
      <c r="I411" s="1311"/>
      <c r="J411" s="1312"/>
      <c r="K411" s="1313"/>
      <c r="L411" s="1313"/>
      <c r="M411" s="1255"/>
    </row>
    <row r="412" spans="1:13" s="1444" customFormat="1">
      <c r="A412" s="1305"/>
      <c r="B412" s="1306"/>
      <c r="C412" s="1255"/>
      <c r="D412" s="1445"/>
      <c r="E412" s="1309"/>
      <c r="F412" s="1309"/>
      <c r="G412" s="1255"/>
      <c r="H412" s="1310"/>
      <c r="I412" s="1311"/>
      <c r="J412" s="1312"/>
      <c r="K412" s="1313"/>
      <c r="L412" s="1313"/>
      <c r="M412" s="1255"/>
    </row>
    <row r="413" spans="1:13" s="1444" customFormat="1">
      <c r="A413" s="1305"/>
      <c r="B413" s="1306"/>
      <c r="C413" s="1255"/>
      <c r="D413" s="1445"/>
      <c r="E413" s="1309"/>
      <c r="F413" s="1309"/>
      <c r="G413" s="1255"/>
      <c r="H413" s="1310"/>
      <c r="I413" s="1311"/>
      <c r="J413" s="1312"/>
      <c r="K413" s="1313"/>
      <c r="L413" s="1313"/>
      <c r="M413" s="1255"/>
    </row>
    <row r="414" spans="1:13" s="1444" customFormat="1">
      <c r="A414" s="1305"/>
      <c r="B414" s="1306"/>
      <c r="C414" s="1255"/>
      <c r="D414" s="1445"/>
      <c r="E414" s="1309"/>
      <c r="F414" s="1309"/>
      <c r="G414" s="1255"/>
      <c r="H414" s="1310"/>
      <c r="I414" s="1311"/>
      <c r="J414" s="1312"/>
      <c r="K414" s="1313"/>
      <c r="L414" s="1313"/>
      <c r="M414" s="1255"/>
    </row>
    <row r="415" spans="1:13" s="1444" customFormat="1">
      <c r="A415" s="1305"/>
      <c r="B415" s="1306"/>
      <c r="C415" s="1255"/>
      <c r="D415" s="1445"/>
      <c r="E415" s="1309"/>
      <c r="F415" s="1309"/>
      <c r="G415" s="1255"/>
      <c r="H415" s="1310"/>
      <c r="I415" s="1311"/>
      <c r="J415" s="1312"/>
      <c r="K415" s="1313"/>
      <c r="L415" s="1313"/>
      <c r="M415" s="1255"/>
    </row>
    <row r="416" spans="1:13" s="1444" customFormat="1">
      <c r="A416" s="1305"/>
      <c r="B416" s="1306"/>
      <c r="C416" s="1255"/>
      <c r="D416" s="1445"/>
      <c r="E416" s="1309"/>
      <c r="F416" s="1309"/>
      <c r="G416" s="1255"/>
      <c r="H416" s="1310"/>
      <c r="I416" s="1311"/>
      <c r="J416" s="1312"/>
      <c r="K416" s="1313"/>
      <c r="L416" s="1313"/>
      <c r="M416" s="1255"/>
    </row>
    <row r="417" spans="1:13" s="1444" customFormat="1">
      <c r="A417" s="1305"/>
      <c r="B417" s="1306"/>
      <c r="C417" s="1255"/>
      <c r="D417" s="1445"/>
      <c r="E417" s="1309"/>
      <c r="F417" s="1309"/>
      <c r="G417" s="1255"/>
      <c r="H417" s="1310"/>
      <c r="I417" s="1311"/>
      <c r="J417" s="1312"/>
      <c r="K417" s="1313"/>
      <c r="L417" s="1313"/>
      <c r="M417" s="1255"/>
    </row>
    <row r="418" spans="1:13" s="1444" customFormat="1">
      <c r="A418" s="1305"/>
      <c r="B418" s="1306"/>
      <c r="C418" s="1255"/>
      <c r="D418" s="1445"/>
      <c r="E418" s="1309"/>
      <c r="F418" s="1309"/>
      <c r="G418" s="1255"/>
      <c r="H418" s="1310"/>
      <c r="I418" s="1311"/>
      <c r="J418" s="1312"/>
      <c r="K418" s="1313"/>
      <c r="L418" s="1313"/>
      <c r="M418" s="1255"/>
    </row>
    <row r="419" spans="1:13" s="1444" customFormat="1">
      <c r="A419" s="1305"/>
      <c r="B419" s="1306"/>
      <c r="C419" s="1255"/>
      <c r="D419" s="1445"/>
      <c r="E419" s="1309"/>
      <c r="F419" s="1309"/>
      <c r="G419" s="1255"/>
      <c r="H419" s="1310"/>
      <c r="I419" s="1311"/>
      <c r="J419" s="1312"/>
      <c r="K419" s="1313"/>
      <c r="L419" s="1313"/>
      <c r="M419" s="1255"/>
    </row>
    <row r="420" spans="1:13" s="1444" customFormat="1">
      <c r="A420" s="1305"/>
      <c r="B420" s="1306"/>
      <c r="C420" s="1255"/>
      <c r="D420" s="1445"/>
      <c r="E420" s="1309"/>
      <c r="F420" s="1309"/>
      <c r="G420" s="1255"/>
      <c r="H420" s="1310"/>
      <c r="I420" s="1311"/>
      <c r="J420" s="1312"/>
      <c r="K420" s="1313"/>
      <c r="L420" s="1313"/>
      <c r="M420" s="1255"/>
    </row>
    <row r="421" spans="1:13" s="1444" customFormat="1">
      <c r="A421" s="1305"/>
      <c r="B421" s="1306"/>
      <c r="C421" s="1255"/>
      <c r="D421" s="1445"/>
      <c r="E421" s="1309"/>
      <c r="F421" s="1309"/>
      <c r="G421" s="1255"/>
      <c r="H421" s="1310"/>
      <c r="I421" s="1311"/>
      <c r="J421" s="1312"/>
      <c r="K421" s="1313"/>
      <c r="L421" s="1313"/>
      <c r="M421" s="1255"/>
    </row>
    <row r="422" spans="1:13" s="1444" customFormat="1">
      <c r="A422" s="1305"/>
      <c r="B422" s="1306"/>
      <c r="C422" s="1255"/>
      <c r="D422" s="1445"/>
      <c r="E422" s="1309"/>
      <c r="F422" s="1309"/>
      <c r="G422" s="1255"/>
      <c r="H422" s="1310"/>
      <c r="I422" s="1311"/>
      <c r="J422" s="1312"/>
      <c r="K422" s="1313"/>
      <c r="L422" s="1313"/>
      <c r="M422" s="1255"/>
    </row>
    <row r="423" spans="1:13" s="1444" customFormat="1">
      <c r="A423" s="1305"/>
      <c r="B423" s="1306"/>
      <c r="C423" s="1255"/>
      <c r="D423" s="1445"/>
      <c r="E423" s="1309"/>
      <c r="F423" s="1309"/>
      <c r="G423" s="1255"/>
      <c r="H423" s="1310"/>
      <c r="I423" s="1311"/>
      <c r="J423" s="1312"/>
      <c r="K423" s="1313"/>
      <c r="L423" s="1313"/>
      <c r="M423" s="1255"/>
    </row>
    <row r="424" spans="1:13" s="1444" customFormat="1">
      <c r="A424" s="1305"/>
      <c r="B424" s="1306"/>
      <c r="C424" s="1255"/>
      <c r="D424" s="1445"/>
      <c r="E424" s="1309"/>
      <c r="F424" s="1309"/>
      <c r="G424" s="1255"/>
      <c r="H424" s="1310"/>
      <c r="I424" s="1311"/>
      <c r="J424" s="1312"/>
      <c r="K424" s="1313"/>
      <c r="L424" s="1313"/>
      <c r="M424" s="1255"/>
    </row>
    <row r="425" spans="1:13" s="1444" customFormat="1">
      <c r="A425" s="1305"/>
      <c r="B425" s="1306"/>
      <c r="C425" s="1255"/>
      <c r="D425" s="1445"/>
      <c r="E425" s="1309"/>
      <c r="F425" s="1309"/>
      <c r="G425" s="1255"/>
      <c r="H425" s="1310"/>
      <c r="I425" s="1311"/>
      <c r="J425" s="1312"/>
      <c r="K425" s="1313"/>
      <c r="L425" s="1313"/>
      <c r="M425" s="1255"/>
    </row>
    <row r="426" spans="1:13" s="1444" customFormat="1">
      <c r="A426" s="1305"/>
      <c r="B426" s="1306"/>
      <c r="C426" s="1255"/>
      <c r="D426" s="1445"/>
      <c r="E426" s="1309"/>
      <c r="F426" s="1309"/>
      <c r="G426" s="1255"/>
      <c r="H426" s="1310"/>
      <c r="I426" s="1311"/>
      <c r="J426" s="1312"/>
      <c r="K426" s="1313"/>
      <c r="L426" s="1313"/>
      <c r="M426" s="1255"/>
    </row>
    <row r="427" spans="1:13" s="1444" customFormat="1">
      <c r="A427" s="1305"/>
      <c r="B427" s="1306"/>
      <c r="C427" s="1255"/>
      <c r="D427" s="1445"/>
      <c r="E427" s="1309"/>
      <c r="F427" s="1309"/>
      <c r="G427" s="1255"/>
      <c r="H427" s="1310"/>
      <c r="I427" s="1311"/>
      <c r="J427" s="1312"/>
      <c r="K427" s="1313"/>
      <c r="L427" s="1313"/>
      <c r="M427" s="1255"/>
    </row>
    <row r="428" spans="1:13" s="1444" customFormat="1">
      <c r="A428" s="1305"/>
      <c r="B428" s="1306"/>
      <c r="C428" s="1255"/>
      <c r="D428" s="1445"/>
      <c r="E428" s="1309"/>
      <c r="F428" s="1309"/>
      <c r="G428" s="1255"/>
      <c r="H428" s="1310"/>
      <c r="I428" s="1311"/>
      <c r="J428" s="1312"/>
      <c r="K428" s="1313"/>
      <c r="L428" s="1313"/>
      <c r="M428" s="1255"/>
    </row>
    <row r="429" spans="1:13" s="1444" customFormat="1">
      <c r="A429" s="1305"/>
      <c r="B429" s="1306"/>
      <c r="C429" s="1255"/>
      <c r="D429" s="1445"/>
      <c r="E429" s="1309"/>
      <c r="F429" s="1309"/>
      <c r="G429" s="1255"/>
      <c r="H429" s="1310"/>
      <c r="I429" s="1311"/>
      <c r="J429" s="1312"/>
      <c r="K429" s="1313"/>
      <c r="L429" s="1313"/>
      <c r="M429" s="1255"/>
    </row>
    <row r="430" spans="1:13" s="1444" customFormat="1">
      <c r="A430" s="1305"/>
      <c r="B430" s="1306"/>
      <c r="C430" s="1255"/>
      <c r="D430" s="1445"/>
      <c r="E430" s="1309"/>
      <c r="F430" s="1309"/>
      <c r="G430" s="1255"/>
      <c r="H430" s="1310"/>
      <c r="I430" s="1311"/>
      <c r="J430" s="1312"/>
      <c r="K430" s="1313"/>
      <c r="L430" s="1313"/>
      <c r="M430" s="1255"/>
    </row>
    <row r="431" spans="1:13" s="1444" customFormat="1">
      <c r="A431" s="1305"/>
      <c r="B431" s="1306"/>
      <c r="C431" s="1255"/>
      <c r="D431" s="1445"/>
      <c r="E431" s="1309"/>
      <c r="F431" s="1309"/>
      <c r="G431" s="1255"/>
      <c r="H431" s="1310"/>
      <c r="I431" s="1311"/>
      <c r="J431" s="1312"/>
      <c r="K431" s="1313"/>
      <c r="L431" s="1313"/>
      <c r="M431" s="1255"/>
    </row>
    <row r="432" spans="1:13" s="1444" customFormat="1">
      <c r="A432" s="1305"/>
      <c r="B432" s="1306"/>
      <c r="C432" s="1255"/>
      <c r="D432" s="1445"/>
      <c r="E432" s="1309"/>
      <c r="F432" s="1309"/>
      <c r="G432" s="1255"/>
      <c r="H432" s="1310"/>
      <c r="I432" s="1311"/>
      <c r="J432" s="1312"/>
      <c r="K432" s="1313"/>
      <c r="L432" s="1313"/>
      <c r="M432" s="1255"/>
    </row>
    <row r="433" spans="1:13" s="1444" customFormat="1">
      <c r="A433" s="1305"/>
      <c r="B433" s="1306"/>
      <c r="C433" s="1255"/>
      <c r="D433" s="1445"/>
      <c r="E433" s="1309"/>
      <c r="F433" s="1309"/>
      <c r="G433" s="1255"/>
      <c r="H433" s="1310"/>
      <c r="I433" s="1311"/>
      <c r="J433" s="1312"/>
      <c r="K433" s="1313"/>
      <c r="L433" s="1313"/>
      <c r="M433" s="1255"/>
    </row>
    <row r="434" spans="1:13" s="1444" customFormat="1">
      <c r="A434" s="1305"/>
      <c r="B434" s="1306"/>
      <c r="C434" s="1255"/>
      <c r="D434" s="1445"/>
      <c r="E434" s="1309"/>
      <c r="F434" s="1309"/>
      <c r="G434" s="1255"/>
      <c r="H434" s="1310"/>
      <c r="I434" s="1311"/>
      <c r="J434" s="1312"/>
      <c r="K434" s="1313"/>
      <c r="L434" s="1313"/>
      <c r="M434" s="1255"/>
    </row>
    <row r="435" spans="1:13" s="1444" customFormat="1">
      <c r="A435" s="1305"/>
      <c r="B435" s="1306"/>
      <c r="C435" s="1255"/>
      <c r="D435" s="1445"/>
      <c r="E435" s="1309"/>
      <c r="F435" s="1309"/>
      <c r="G435" s="1255"/>
      <c r="H435" s="1310"/>
      <c r="I435" s="1311"/>
      <c r="J435" s="1312"/>
      <c r="K435" s="1313"/>
      <c r="L435" s="1313"/>
      <c r="M435" s="1255"/>
    </row>
    <row r="436" spans="1:13" s="1444" customFormat="1">
      <c r="A436" s="1305"/>
      <c r="B436" s="1306"/>
      <c r="C436" s="1255"/>
      <c r="D436" s="1445"/>
      <c r="E436" s="1309"/>
      <c r="F436" s="1309"/>
      <c r="G436" s="1255"/>
      <c r="H436" s="1310"/>
      <c r="I436" s="1311"/>
      <c r="J436" s="1312"/>
      <c r="K436" s="1313"/>
      <c r="L436" s="1313"/>
      <c r="M436" s="1255"/>
    </row>
    <row r="437" spans="1:13" s="1444" customFormat="1">
      <c r="A437" s="1305"/>
      <c r="B437" s="1306"/>
      <c r="C437" s="1255"/>
      <c r="D437" s="1445"/>
      <c r="E437" s="1309"/>
      <c r="F437" s="1309"/>
      <c r="G437" s="1255"/>
      <c r="H437" s="1310"/>
      <c r="I437" s="1311"/>
      <c r="J437" s="1312"/>
      <c r="K437" s="1313"/>
      <c r="L437" s="1313"/>
      <c r="M437" s="1255"/>
    </row>
    <row r="438" spans="1:13" s="1444" customFormat="1">
      <c r="A438" s="1305"/>
      <c r="B438" s="1306"/>
      <c r="C438" s="1255"/>
      <c r="D438" s="1445"/>
      <c r="E438" s="1309"/>
      <c r="F438" s="1309"/>
      <c r="G438" s="1255"/>
      <c r="H438" s="1310"/>
      <c r="I438" s="1311"/>
      <c r="J438" s="1312"/>
      <c r="K438" s="1313"/>
      <c r="L438" s="1313"/>
      <c r="M438" s="1255"/>
    </row>
    <row r="439" spans="1:13" s="1444" customFormat="1">
      <c r="A439" s="1305"/>
      <c r="B439" s="1306"/>
      <c r="C439" s="1255"/>
      <c r="D439" s="1445"/>
      <c r="E439" s="1309"/>
      <c r="F439" s="1309"/>
      <c r="G439" s="1255"/>
      <c r="H439" s="1310"/>
      <c r="I439" s="1311"/>
      <c r="J439" s="1312"/>
      <c r="K439" s="1313"/>
      <c r="L439" s="1313"/>
      <c r="M439" s="1255"/>
    </row>
    <row r="440" spans="1:13" s="1444" customFormat="1">
      <c r="A440" s="1305"/>
      <c r="B440" s="1306"/>
      <c r="C440" s="1255"/>
      <c r="D440" s="1445"/>
      <c r="E440" s="1309"/>
      <c r="F440" s="1309"/>
      <c r="G440" s="1255"/>
      <c r="H440" s="1310"/>
      <c r="I440" s="1311"/>
      <c r="J440" s="1312"/>
      <c r="K440" s="1313"/>
      <c r="L440" s="1313"/>
      <c r="M440" s="1255"/>
    </row>
    <row r="441" spans="1:13" s="1444" customFormat="1">
      <c r="A441" s="1305"/>
      <c r="B441" s="1306"/>
      <c r="C441" s="1255"/>
      <c r="D441" s="1445"/>
      <c r="E441" s="1309"/>
      <c r="F441" s="1309"/>
      <c r="G441" s="1255"/>
      <c r="H441" s="1310"/>
      <c r="I441" s="1311"/>
      <c r="J441" s="1312"/>
      <c r="K441" s="1313"/>
      <c r="L441" s="1313"/>
      <c r="M441" s="1255"/>
    </row>
    <row r="442" spans="1:13" s="1444" customFormat="1">
      <c r="A442" s="1305"/>
      <c r="B442" s="1306"/>
      <c r="C442" s="1255"/>
      <c r="D442" s="1445"/>
      <c r="E442" s="1309"/>
      <c r="F442" s="1309"/>
      <c r="G442" s="1255"/>
      <c r="H442" s="1310"/>
      <c r="I442" s="1311"/>
      <c r="J442" s="1312"/>
      <c r="K442" s="1313"/>
      <c r="L442" s="1313"/>
      <c r="M442" s="1255"/>
    </row>
    <row r="443" spans="1:13" s="1444" customFormat="1">
      <c r="A443" s="1305"/>
      <c r="B443" s="1306"/>
      <c r="C443" s="1255"/>
      <c r="D443" s="1445"/>
      <c r="E443" s="1309"/>
      <c r="F443" s="1309"/>
      <c r="G443" s="1255"/>
      <c r="H443" s="1310"/>
      <c r="I443" s="1311"/>
      <c r="J443" s="1312"/>
      <c r="K443" s="1313"/>
      <c r="L443" s="1313"/>
      <c r="M443" s="1255"/>
    </row>
    <row r="444" spans="1:13" s="1444" customFormat="1">
      <c r="A444" s="1305"/>
      <c r="B444" s="1306"/>
      <c r="C444" s="1255"/>
      <c r="D444" s="1445"/>
      <c r="E444" s="1309"/>
      <c r="F444" s="1309"/>
      <c r="G444" s="1255"/>
      <c r="H444" s="1310"/>
      <c r="I444" s="1311"/>
      <c r="J444" s="1312"/>
      <c r="K444" s="1313"/>
      <c r="L444" s="1313"/>
      <c r="M444" s="1255"/>
    </row>
    <row r="445" spans="1:13" s="1444" customFormat="1">
      <c r="A445" s="1305"/>
      <c r="B445" s="1306"/>
      <c r="C445" s="1255"/>
      <c r="D445" s="1445"/>
      <c r="E445" s="1309"/>
      <c r="F445" s="1309"/>
      <c r="G445" s="1255"/>
      <c r="H445" s="1310"/>
      <c r="I445" s="1311"/>
      <c r="J445" s="1312"/>
      <c r="K445" s="1313"/>
      <c r="L445" s="1313"/>
      <c r="M445" s="1255"/>
    </row>
    <row r="446" spans="1:13" s="1444" customFormat="1">
      <c r="A446" s="1305"/>
      <c r="B446" s="1306"/>
      <c r="C446" s="1255"/>
      <c r="D446" s="1445"/>
      <c r="E446" s="1309"/>
      <c r="F446" s="1309"/>
      <c r="G446" s="1255"/>
      <c r="H446" s="1310"/>
      <c r="I446" s="1311"/>
      <c r="J446" s="1312"/>
      <c r="K446" s="1313"/>
      <c r="L446" s="1313"/>
      <c r="M446" s="1255"/>
    </row>
    <row r="447" spans="1:13" s="1444" customFormat="1">
      <c r="A447" s="1305"/>
      <c r="B447" s="1306"/>
      <c r="C447" s="1255"/>
      <c r="D447" s="1445"/>
      <c r="E447" s="1309"/>
      <c r="F447" s="1309"/>
      <c r="G447" s="1255"/>
      <c r="H447" s="1310"/>
      <c r="I447" s="1311"/>
      <c r="J447" s="1312"/>
      <c r="K447" s="1313"/>
      <c r="L447" s="1313"/>
      <c r="M447" s="1255"/>
    </row>
    <row r="448" spans="1:13" s="1444" customFormat="1">
      <c r="A448" s="1305"/>
      <c r="B448" s="1306"/>
      <c r="C448" s="1255"/>
      <c r="D448" s="1445"/>
      <c r="E448" s="1309"/>
      <c r="F448" s="1309"/>
      <c r="G448" s="1255"/>
      <c r="H448" s="1310"/>
      <c r="I448" s="1311"/>
      <c r="J448" s="1312"/>
      <c r="K448" s="1313"/>
      <c r="L448" s="1313"/>
      <c r="M448" s="1255"/>
    </row>
    <row r="449" spans="1:13" s="1444" customFormat="1">
      <c r="A449" s="1305"/>
      <c r="B449" s="1306"/>
      <c r="C449" s="1255"/>
      <c r="D449" s="1445"/>
      <c r="E449" s="1309"/>
      <c r="F449" s="1309"/>
      <c r="G449" s="1255"/>
      <c r="H449" s="1310"/>
      <c r="I449" s="1311"/>
      <c r="J449" s="1312"/>
      <c r="K449" s="1313"/>
      <c r="L449" s="1313"/>
      <c r="M449" s="1255"/>
    </row>
    <row r="450" spans="1:13" s="1444" customFormat="1">
      <c r="A450" s="1305"/>
      <c r="B450" s="1306"/>
      <c r="C450" s="1255"/>
      <c r="D450" s="1445"/>
      <c r="E450" s="1309"/>
      <c r="F450" s="1309"/>
      <c r="G450" s="1255"/>
      <c r="H450" s="1310"/>
      <c r="I450" s="1311"/>
      <c r="J450" s="1312"/>
      <c r="K450" s="1313"/>
      <c r="L450" s="1313"/>
      <c r="M450" s="1255"/>
    </row>
    <row r="451" spans="1:13" s="1444" customFormat="1">
      <c r="A451" s="1305"/>
      <c r="B451" s="1306"/>
      <c r="C451" s="1255"/>
      <c r="D451" s="1445"/>
      <c r="E451" s="1309"/>
      <c r="F451" s="1309"/>
      <c r="G451" s="1255"/>
      <c r="H451" s="1310"/>
      <c r="I451" s="1311"/>
      <c r="J451" s="1312"/>
      <c r="K451" s="1313"/>
      <c r="L451" s="1313"/>
      <c r="M451" s="1255"/>
    </row>
    <row r="452" spans="1:13" s="1444" customFormat="1">
      <c r="A452" s="1305"/>
      <c r="B452" s="1306"/>
      <c r="C452" s="1255"/>
      <c r="D452" s="1445"/>
      <c r="E452" s="1309"/>
      <c r="F452" s="1309"/>
      <c r="G452" s="1255"/>
      <c r="H452" s="1310"/>
      <c r="I452" s="1311"/>
      <c r="J452" s="1312"/>
      <c r="K452" s="1313"/>
      <c r="L452" s="1313"/>
      <c r="M452" s="1255"/>
    </row>
    <row r="453" spans="1:13" s="1444" customFormat="1">
      <c r="A453" s="1305"/>
      <c r="B453" s="1306"/>
      <c r="C453" s="1255"/>
      <c r="D453" s="1445"/>
      <c r="E453" s="1309"/>
      <c r="F453" s="1309"/>
      <c r="G453" s="1255"/>
      <c r="H453" s="1310"/>
      <c r="I453" s="1311"/>
      <c r="J453" s="1312"/>
      <c r="K453" s="1313"/>
      <c r="L453" s="1313"/>
      <c r="M453" s="1255"/>
    </row>
    <row r="454" spans="1:13" s="1444" customFormat="1">
      <c r="A454" s="1305"/>
      <c r="B454" s="1306"/>
      <c r="C454" s="1255"/>
      <c r="D454" s="1445"/>
      <c r="E454" s="1309"/>
      <c r="F454" s="1309"/>
      <c r="G454" s="1255"/>
      <c r="H454" s="1310"/>
      <c r="I454" s="1311"/>
      <c r="J454" s="1312"/>
      <c r="K454" s="1313"/>
      <c r="L454" s="1313"/>
      <c r="M454" s="1255"/>
    </row>
    <row r="455" spans="1:13" s="1444" customFormat="1">
      <c r="A455" s="1305"/>
      <c r="B455" s="1306"/>
      <c r="C455" s="1255"/>
      <c r="D455" s="1445"/>
      <c r="E455" s="1309"/>
      <c r="F455" s="1309"/>
      <c r="G455" s="1255"/>
      <c r="H455" s="1310"/>
      <c r="I455" s="1311"/>
      <c r="J455" s="1312"/>
      <c r="K455" s="1313"/>
      <c r="L455" s="1313"/>
      <c r="M455" s="1255"/>
    </row>
    <row r="456" spans="1:13" s="1444" customFormat="1">
      <c r="A456" s="1305"/>
      <c r="B456" s="1306"/>
      <c r="C456" s="1255"/>
      <c r="D456" s="1445"/>
      <c r="E456" s="1309"/>
      <c r="F456" s="1309"/>
      <c r="G456" s="1255"/>
      <c r="H456" s="1310"/>
      <c r="I456" s="1311"/>
      <c r="J456" s="1312"/>
      <c r="K456" s="1313"/>
      <c r="L456" s="1313"/>
      <c r="M456" s="1255"/>
    </row>
    <row r="457" spans="1:13" s="1444" customFormat="1">
      <c r="A457" s="1305"/>
      <c r="B457" s="1306"/>
      <c r="C457" s="1255"/>
      <c r="D457" s="1445"/>
      <c r="E457" s="1309"/>
      <c r="F457" s="1309"/>
      <c r="G457" s="1255"/>
      <c r="H457" s="1310"/>
      <c r="I457" s="1311"/>
      <c r="J457" s="1312"/>
      <c r="K457" s="1313"/>
      <c r="L457" s="1313"/>
      <c r="M457" s="1255"/>
    </row>
    <row r="458" spans="1:13" s="1444" customFormat="1">
      <c r="A458" s="1305"/>
      <c r="B458" s="1306"/>
      <c r="C458" s="1255"/>
      <c r="D458" s="1445"/>
      <c r="E458" s="1309"/>
      <c r="F458" s="1309"/>
      <c r="G458" s="1255"/>
      <c r="H458" s="1310"/>
      <c r="I458" s="1311"/>
      <c r="J458" s="1312"/>
      <c r="K458" s="1313"/>
      <c r="L458" s="1313"/>
      <c r="M458" s="1255"/>
    </row>
    <row r="459" spans="1:13" s="1444" customFormat="1">
      <c r="A459" s="1305"/>
      <c r="B459" s="1306"/>
      <c r="C459" s="1255"/>
      <c r="D459" s="1445"/>
      <c r="E459" s="1309"/>
      <c r="F459" s="1309"/>
      <c r="G459" s="1255"/>
      <c r="H459" s="1310"/>
      <c r="I459" s="1311"/>
      <c r="J459" s="1312"/>
      <c r="K459" s="1313"/>
      <c r="L459" s="1313"/>
      <c r="M459" s="1255"/>
    </row>
    <row r="460" spans="1:13" s="1444" customFormat="1">
      <c r="A460" s="1305"/>
      <c r="B460" s="1306"/>
      <c r="C460" s="1255"/>
      <c r="D460" s="1445"/>
      <c r="E460" s="1309"/>
      <c r="F460" s="1309"/>
      <c r="G460" s="1255"/>
      <c r="H460" s="1310"/>
      <c r="I460" s="1311"/>
      <c r="J460" s="1312"/>
      <c r="K460" s="1313"/>
      <c r="L460" s="1313"/>
      <c r="M460" s="1255"/>
    </row>
    <row r="461" spans="1:13" s="1444" customFormat="1">
      <c r="A461" s="1305"/>
      <c r="B461" s="1306"/>
      <c r="C461" s="1255"/>
      <c r="D461" s="1445"/>
      <c r="E461" s="1309"/>
      <c r="F461" s="1309"/>
      <c r="G461" s="1255"/>
      <c r="H461" s="1310"/>
      <c r="I461" s="1311"/>
      <c r="J461" s="1312"/>
      <c r="K461" s="1313"/>
      <c r="L461" s="1313"/>
      <c r="M461" s="1255"/>
    </row>
    <row r="462" spans="1:13" s="1444" customFormat="1">
      <c r="A462" s="1305"/>
      <c r="B462" s="1306"/>
      <c r="C462" s="1255"/>
      <c r="D462" s="1445"/>
      <c r="E462" s="1309"/>
      <c r="F462" s="1309"/>
      <c r="G462" s="1255"/>
      <c r="H462" s="1310"/>
      <c r="I462" s="1311"/>
      <c r="J462" s="1312"/>
      <c r="K462" s="1313"/>
      <c r="L462" s="1313"/>
      <c r="M462" s="1255"/>
    </row>
    <row r="463" spans="1:13" s="1444" customFormat="1">
      <c r="A463" s="1305"/>
      <c r="B463" s="1306"/>
      <c r="C463" s="1255"/>
      <c r="D463" s="1445"/>
      <c r="E463" s="1309"/>
      <c r="F463" s="1309"/>
      <c r="G463" s="1255"/>
      <c r="H463" s="1310"/>
      <c r="I463" s="1311"/>
      <c r="J463" s="1312"/>
      <c r="K463" s="1313"/>
      <c r="L463" s="1313"/>
      <c r="M463" s="1255"/>
    </row>
    <row r="464" spans="1:13" s="1444" customFormat="1">
      <c r="A464" s="1305"/>
      <c r="B464" s="1306"/>
      <c r="C464" s="1255"/>
      <c r="D464" s="1445"/>
      <c r="E464" s="1309"/>
      <c r="F464" s="1309"/>
      <c r="G464" s="1255"/>
      <c r="H464" s="1310"/>
      <c r="I464" s="1311"/>
      <c r="J464" s="1312"/>
      <c r="K464" s="1313"/>
      <c r="L464" s="1313"/>
      <c r="M464" s="1255"/>
    </row>
    <row r="465" spans="1:13" s="1444" customFormat="1">
      <c r="A465" s="1305"/>
      <c r="B465" s="1306"/>
      <c r="C465" s="1255"/>
      <c r="D465" s="1445"/>
      <c r="E465" s="1309"/>
      <c r="F465" s="1309"/>
      <c r="G465" s="1255"/>
      <c r="H465" s="1310"/>
      <c r="I465" s="1311"/>
      <c r="J465" s="1312"/>
      <c r="K465" s="1313"/>
      <c r="L465" s="1313"/>
      <c r="M465" s="1255"/>
    </row>
    <row r="466" spans="1:13" s="1444" customFormat="1">
      <c r="A466" s="1305"/>
      <c r="B466" s="1306"/>
      <c r="C466" s="1255"/>
      <c r="D466" s="1445"/>
      <c r="E466" s="1309"/>
      <c r="F466" s="1309"/>
      <c r="G466" s="1255"/>
      <c r="H466" s="1310"/>
      <c r="I466" s="1311"/>
      <c r="J466" s="1312"/>
      <c r="K466" s="1313"/>
      <c r="L466" s="1313"/>
      <c r="M466" s="1255"/>
    </row>
    <row r="467" spans="1:13" s="1444" customFormat="1">
      <c r="A467" s="1305"/>
      <c r="B467" s="1306"/>
      <c r="C467" s="1255"/>
      <c r="D467" s="1445"/>
      <c r="E467" s="1309"/>
      <c r="F467" s="1309"/>
      <c r="G467" s="1255"/>
      <c r="H467" s="1310"/>
      <c r="I467" s="1311"/>
      <c r="J467" s="1312"/>
      <c r="K467" s="1313"/>
      <c r="L467" s="1313"/>
      <c r="M467" s="1255"/>
    </row>
    <row r="468" spans="1:13" s="1444" customFormat="1">
      <c r="A468" s="1305"/>
      <c r="B468" s="1306"/>
      <c r="C468" s="1255"/>
      <c r="D468" s="1445"/>
      <c r="E468" s="1309"/>
      <c r="F468" s="1309"/>
      <c r="G468" s="1255"/>
      <c r="H468" s="1310"/>
      <c r="I468" s="1311"/>
      <c r="J468" s="1312"/>
      <c r="K468" s="1313"/>
      <c r="L468" s="1313"/>
      <c r="M468" s="1255"/>
    </row>
    <row r="469" spans="1:13" s="1444" customFormat="1">
      <c r="A469" s="1305"/>
      <c r="B469" s="1306"/>
      <c r="C469" s="1255"/>
      <c r="D469" s="1445"/>
      <c r="E469" s="1309"/>
      <c r="F469" s="1309"/>
      <c r="G469" s="1255"/>
      <c r="H469" s="1310"/>
      <c r="I469" s="1311"/>
      <c r="J469" s="1312"/>
      <c r="K469" s="1313"/>
      <c r="L469" s="1313"/>
      <c r="M469" s="1255"/>
    </row>
    <row r="470" spans="1:13" s="1444" customFormat="1">
      <c r="A470" s="1305"/>
      <c r="B470" s="1306"/>
      <c r="C470" s="1255"/>
      <c r="D470" s="1445"/>
      <c r="E470" s="1309"/>
      <c r="F470" s="1309"/>
      <c r="G470" s="1255"/>
      <c r="H470" s="1310"/>
      <c r="I470" s="1311"/>
      <c r="J470" s="1312"/>
      <c r="K470" s="1313"/>
      <c r="L470" s="1313"/>
      <c r="M470" s="1255"/>
    </row>
    <row r="471" spans="1:13" s="1444" customFormat="1">
      <c r="A471" s="1305"/>
      <c r="B471" s="1306"/>
      <c r="C471" s="1255"/>
      <c r="D471" s="1445"/>
      <c r="E471" s="1309"/>
      <c r="F471" s="1309"/>
      <c r="G471" s="1255"/>
      <c r="H471" s="1310"/>
      <c r="I471" s="1311"/>
      <c r="J471" s="1312"/>
      <c r="K471" s="1313"/>
      <c r="L471" s="1313"/>
      <c r="M471" s="1255"/>
    </row>
    <row r="472" spans="1:13" s="1444" customFormat="1">
      <c r="A472" s="1305"/>
      <c r="B472" s="1306"/>
      <c r="C472" s="1255"/>
      <c r="D472" s="1445"/>
      <c r="E472" s="1309"/>
      <c r="F472" s="1309"/>
      <c r="G472" s="1255"/>
      <c r="H472" s="1310"/>
      <c r="I472" s="1311"/>
      <c r="J472" s="1312"/>
      <c r="K472" s="1313"/>
      <c r="L472" s="1313"/>
      <c r="M472" s="1255"/>
    </row>
    <row r="473" spans="1:13" s="1444" customFormat="1">
      <c r="A473" s="1305"/>
      <c r="B473" s="1306"/>
      <c r="C473" s="1255"/>
      <c r="D473" s="1445"/>
      <c r="E473" s="1309"/>
      <c r="F473" s="1309"/>
      <c r="G473" s="1255"/>
      <c r="H473" s="1310"/>
      <c r="I473" s="1311"/>
      <c r="J473" s="1312"/>
      <c r="K473" s="1313"/>
      <c r="L473" s="1313"/>
      <c r="M473" s="1255"/>
    </row>
    <row r="474" spans="1:13" s="1444" customFormat="1">
      <c r="A474" s="1305"/>
      <c r="B474" s="1306"/>
      <c r="C474" s="1255"/>
      <c r="D474" s="1445"/>
      <c r="E474" s="1309"/>
      <c r="F474" s="1309"/>
      <c r="G474" s="1255"/>
      <c r="H474" s="1310"/>
      <c r="I474" s="1311"/>
      <c r="J474" s="1312"/>
      <c r="K474" s="1313"/>
      <c r="L474" s="1313"/>
      <c r="M474" s="1255"/>
    </row>
    <row r="475" spans="1:13" s="1444" customFormat="1">
      <c r="A475" s="1305"/>
      <c r="B475" s="1306"/>
      <c r="C475" s="1255"/>
      <c r="D475" s="1445"/>
      <c r="E475" s="1309"/>
      <c r="F475" s="1309"/>
      <c r="G475" s="1255"/>
      <c r="H475" s="1310"/>
      <c r="I475" s="1311"/>
      <c r="J475" s="1312"/>
      <c r="K475" s="1313"/>
      <c r="L475" s="1313"/>
      <c r="M475" s="1255"/>
    </row>
    <row r="476" spans="1:13" s="1444" customFormat="1">
      <c r="A476" s="1305"/>
      <c r="B476" s="1306"/>
      <c r="C476" s="1255"/>
      <c r="D476" s="1445"/>
      <c r="E476" s="1309"/>
      <c r="F476" s="1309"/>
      <c r="G476" s="1255"/>
      <c r="H476" s="1310"/>
      <c r="I476" s="1311"/>
      <c r="J476" s="1312"/>
      <c r="K476" s="1313"/>
      <c r="L476" s="1313"/>
      <c r="M476" s="1255"/>
    </row>
    <row r="477" spans="1:13" s="1444" customFormat="1">
      <c r="A477" s="1305"/>
      <c r="B477" s="1306"/>
      <c r="C477" s="1255"/>
      <c r="D477" s="1445"/>
      <c r="E477" s="1309"/>
      <c r="F477" s="1309"/>
      <c r="G477" s="1255"/>
      <c r="H477" s="1310"/>
      <c r="I477" s="1311"/>
      <c r="J477" s="1312"/>
      <c r="K477" s="1313"/>
      <c r="L477" s="1313"/>
      <c r="M477" s="1255"/>
    </row>
    <row r="478" spans="1:13" s="1444" customFormat="1">
      <c r="A478" s="1305"/>
      <c r="B478" s="1306"/>
      <c r="C478" s="1255"/>
      <c r="D478" s="1445"/>
      <c r="E478" s="1309"/>
      <c r="F478" s="1309"/>
      <c r="G478" s="1255"/>
      <c r="H478" s="1310"/>
      <c r="I478" s="1311"/>
      <c r="J478" s="1312"/>
      <c r="K478" s="1313"/>
      <c r="L478" s="1313"/>
      <c r="M478" s="1255"/>
    </row>
    <row r="479" spans="1:13" s="1444" customFormat="1">
      <c r="A479" s="1305"/>
      <c r="B479" s="1306"/>
      <c r="C479" s="1255"/>
      <c r="D479" s="1445"/>
      <c r="E479" s="1309"/>
      <c r="F479" s="1309"/>
      <c r="G479" s="1255"/>
      <c r="H479" s="1310"/>
      <c r="I479" s="1311"/>
      <c r="J479" s="1312"/>
      <c r="K479" s="1313"/>
      <c r="L479" s="1313"/>
      <c r="M479" s="1255"/>
    </row>
    <row r="480" spans="1:13" s="1444" customFormat="1">
      <c r="A480" s="1305"/>
      <c r="B480" s="1306"/>
      <c r="C480" s="1255"/>
      <c r="D480" s="1445"/>
      <c r="E480" s="1309"/>
      <c r="F480" s="1309"/>
      <c r="G480" s="1255"/>
      <c r="H480" s="1310"/>
      <c r="I480" s="1311"/>
      <c r="J480" s="1312"/>
      <c r="K480" s="1313"/>
      <c r="L480" s="1313"/>
      <c r="M480" s="1255"/>
    </row>
    <row r="481" spans="1:13" s="1444" customFormat="1">
      <c r="A481" s="1305"/>
      <c r="B481" s="1306"/>
      <c r="C481" s="1255"/>
      <c r="D481" s="1445"/>
      <c r="E481" s="1309"/>
      <c r="F481" s="1309"/>
      <c r="G481" s="1255"/>
      <c r="H481" s="1310"/>
      <c r="I481" s="1311"/>
      <c r="J481" s="1312"/>
      <c r="K481" s="1313"/>
      <c r="L481" s="1313"/>
      <c r="M481" s="1255"/>
    </row>
    <row r="482" spans="1:13" s="1444" customFormat="1">
      <c r="A482" s="1305"/>
      <c r="B482" s="1306"/>
      <c r="C482" s="1255"/>
      <c r="D482" s="1445"/>
      <c r="E482" s="1309"/>
      <c r="F482" s="1309"/>
      <c r="G482" s="1255"/>
      <c r="H482" s="1310"/>
      <c r="I482" s="1311"/>
      <c r="J482" s="1312"/>
      <c r="K482" s="1313"/>
      <c r="L482" s="1313"/>
      <c r="M482" s="1255"/>
    </row>
    <row r="483" spans="1:13" s="1444" customFormat="1">
      <c r="A483" s="1305"/>
      <c r="B483" s="1306"/>
      <c r="C483" s="1255"/>
      <c r="D483" s="1445"/>
      <c r="E483" s="1309"/>
      <c r="F483" s="1309"/>
      <c r="G483" s="1255"/>
      <c r="H483" s="1310"/>
      <c r="I483" s="1311"/>
      <c r="J483" s="1312"/>
      <c r="K483" s="1313"/>
      <c r="L483" s="1313"/>
      <c r="M483" s="1255"/>
    </row>
    <row r="484" spans="1:13" s="1444" customFormat="1">
      <c r="A484" s="1305"/>
      <c r="B484" s="1306"/>
      <c r="C484" s="1255"/>
      <c r="D484" s="1445"/>
      <c r="E484" s="1309"/>
      <c r="F484" s="1309"/>
      <c r="G484" s="1255"/>
      <c r="H484" s="1310"/>
      <c r="I484" s="1311"/>
      <c r="J484" s="1312"/>
      <c r="K484" s="1313"/>
      <c r="L484" s="1313"/>
      <c r="M484" s="1255"/>
    </row>
    <row r="485" spans="1:13" s="1444" customFormat="1">
      <c r="A485" s="1305"/>
      <c r="B485" s="1306"/>
      <c r="C485" s="1255"/>
      <c r="D485" s="1445"/>
      <c r="E485" s="1309"/>
      <c r="F485" s="1309"/>
      <c r="G485" s="1255"/>
      <c r="H485" s="1310"/>
      <c r="I485" s="1311"/>
      <c r="J485" s="1312"/>
      <c r="K485" s="1313"/>
      <c r="L485" s="1313"/>
      <c r="M485" s="1255"/>
    </row>
    <row r="486" spans="1:13" s="1444" customFormat="1">
      <c r="A486" s="1305"/>
      <c r="B486" s="1306"/>
      <c r="C486" s="1255"/>
      <c r="D486" s="1445"/>
      <c r="E486" s="1309"/>
      <c r="F486" s="1309"/>
      <c r="G486" s="1255"/>
      <c r="H486" s="1310"/>
      <c r="I486" s="1311"/>
      <c r="J486" s="1312"/>
      <c r="K486" s="1313"/>
      <c r="L486" s="1313"/>
      <c r="M486" s="1255"/>
    </row>
    <row r="487" spans="1:13" s="1444" customFormat="1">
      <c r="A487" s="1305"/>
      <c r="B487" s="1306"/>
      <c r="C487" s="1255"/>
      <c r="D487" s="1445"/>
      <c r="E487" s="1309"/>
      <c r="F487" s="1309"/>
      <c r="G487" s="1255"/>
      <c r="H487" s="1310"/>
      <c r="I487" s="1311"/>
      <c r="J487" s="1312"/>
      <c r="K487" s="1313"/>
      <c r="L487" s="1313"/>
      <c r="M487" s="1255"/>
    </row>
    <row r="488" spans="1:13" s="1444" customFormat="1">
      <c r="A488" s="1305"/>
      <c r="B488" s="1306"/>
      <c r="C488" s="1255"/>
      <c r="D488" s="1445"/>
      <c r="E488" s="1309"/>
      <c r="F488" s="1309"/>
      <c r="G488" s="1255"/>
      <c r="H488" s="1310"/>
      <c r="I488" s="1311"/>
      <c r="J488" s="1312"/>
      <c r="K488" s="1313"/>
      <c r="L488" s="1313"/>
      <c r="M488" s="1255"/>
    </row>
    <row r="489" spans="1:13" s="1444" customFormat="1">
      <c r="A489" s="1305"/>
      <c r="B489" s="1306"/>
      <c r="C489" s="1255"/>
      <c r="D489" s="1445"/>
      <c r="E489" s="1309"/>
      <c r="F489" s="1309"/>
      <c r="G489" s="1255"/>
      <c r="H489" s="1310"/>
      <c r="I489" s="1311"/>
      <c r="J489" s="1312"/>
      <c r="K489" s="1313"/>
      <c r="L489" s="1313"/>
      <c r="M489" s="1255"/>
    </row>
    <row r="490" spans="1:13" s="1444" customFormat="1">
      <c r="A490" s="1305"/>
      <c r="B490" s="1306"/>
      <c r="C490" s="1255"/>
      <c r="D490" s="1445"/>
      <c r="E490" s="1309"/>
      <c r="F490" s="1309"/>
      <c r="G490" s="1255"/>
      <c r="H490" s="1310"/>
      <c r="I490" s="1311"/>
      <c r="J490" s="1312"/>
      <c r="K490" s="1313"/>
      <c r="L490" s="1313"/>
      <c r="M490" s="1255"/>
    </row>
    <row r="491" spans="1:13" s="1444" customFormat="1">
      <c r="A491" s="1305"/>
      <c r="B491" s="1306"/>
      <c r="C491" s="1255"/>
      <c r="D491" s="1445"/>
      <c r="E491" s="1309"/>
      <c r="F491" s="1309"/>
      <c r="G491" s="1255"/>
      <c r="H491" s="1310"/>
      <c r="I491" s="1311"/>
      <c r="J491" s="1312"/>
      <c r="K491" s="1313"/>
      <c r="L491" s="1313"/>
      <c r="M491" s="1255"/>
    </row>
    <row r="492" spans="1:13" s="1444" customFormat="1">
      <c r="A492" s="1305"/>
      <c r="B492" s="1306"/>
      <c r="C492" s="1255"/>
      <c r="D492" s="1445"/>
      <c r="E492" s="1309"/>
      <c r="F492" s="1309"/>
      <c r="G492" s="1255"/>
      <c r="H492" s="1310"/>
      <c r="I492" s="1311"/>
      <c r="J492" s="1312"/>
      <c r="K492" s="1313"/>
      <c r="L492" s="1313"/>
      <c r="M492" s="1255"/>
    </row>
    <row r="493" spans="1:13" s="1444" customFormat="1">
      <c r="A493" s="1305"/>
      <c r="B493" s="1306"/>
      <c r="C493" s="1255"/>
      <c r="D493" s="1445"/>
      <c r="E493" s="1309"/>
      <c r="F493" s="1309"/>
      <c r="G493" s="1255"/>
      <c r="H493" s="1310"/>
      <c r="I493" s="1311"/>
      <c r="J493" s="1312"/>
      <c r="K493" s="1313"/>
      <c r="L493" s="1313"/>
      <c r="M493" s="1255"/>
    </row>
    <row r="494" spans="1:13" s="1444" customFormat="1">
      <c r="A494" s="1305"/>
      <c r="B494" s="1306"/>
      <c r="C494" s="1255"/>
      <c r="D494" s="1445"/>
      <c r="E494" s="1309"/>
      <c r="F494" s="1309"/>
      <c r="G494" s="1255"/>
      <c r="H494" s="1310"/>
      <c r="I494" s="1311"/>
      <c r="J494" s="1312"/>
      <c r="K494" s="1313"/>
      <c r="L494" s="1313"/>
      <c r="M494" s="1255"/>
    </row>
    <row r="495" spans="1:13" s="1444" customFormat="1">
      <c r="A495" s="1305"/>
      <c r="B495" s="1306"/>
      <c r="C495" s="1255"/>
      <c r="D495" s="1445"/>
      <c r="E495" s="1309"/>
      <c r="F495" s="1309"/>
      <c r="G495" s="1255"/>
      <c r="H495" s="1310"/>
      <c r="I495" s="1311"/>
      <c r="J495" s="1312"/>
      <c r="K495" s="1313"/>
      <c r="L495" s="1313"/>
      <c r="M495" s="1255"/>
    </row>
    <row r="496" spans="1:13" s="1444" customFormat="1">
      <c r="A496" s="1305"/>
      <c r="B496" s="1306"/>
      <c r="C496" s="1255"/>
      <c r="D496" s="1445"/>
      <c r="E496" s="1309"/>
      <c r="F496" s="1309"/>
      <c r="G496" s="1255"/>
      <c r="H496" s="1310"/>
      <c r="I496" s="1311"/>
      <c r="J496" s="1312"/>
      <c r="K496" s="1313"/>
      <c r="L496" s="1313"/>
      <c r="M496" s="1255"/>
    </row>
    <row r="497" spans="1:13" s="1444" customFormat="1">
      <c r="A497" s="1305"/>
      <c r="B497" s="1306"/>
      <c r="C497" s="1255"/>
      <c r="D497" s="1445"/>
      <c r="E497" s="1309"/>
      <c r="F497" s="1309"/>
      <c r="G497" s="1255"/>
      <c r="H497" s="1310"/>
      <c r="I497" s="1311"/>
      <c r="J497" s="1312"/>
      <c r="K497" s="1313"/>
      <c r="L497" s="1313"/>
      <c r="M497" s="1255"/>
    </row>
    <row r="498" spans="1:13" s="1444" customFormat="1">
      <c r="A498" s="1305"/>
      <c r="B498" s="1306"/>
      <c r="C498" s="1255"/>
      <c r="D498" s="1445"/>
      <c r="E498" s="1309"/>
      <c r="F498" s="1309"/>
      <c r="G498" s="1255"/>
      <c r="H498" s="1310"/>
      <c r="I498" s="1311"/>
      <c r="J498" s="1312"/>
      <c r="K498" s="1313"/>
      <c r="L498" s="1313"/>
      <c r="M498" s="1255"/>
    </row>
    <row r="499" spans="1:13" s="1444" customFormat="1">
      <c r="A499" s="1305"/>
      <c r="B499" s="1306"/>
      <c r="C499" s="1255"/>
      <c r="D499" s="1445"/>
      <c r="E499" s="1309"/>
      <c r="F499" s="1309"/>
      <c r="G499" s="1255"/>
      <c r="H499" s="1310"/>
      <c r="I499" s="1311"/>
      <c r="J499" s="1312"/>
      <c r="K499" s="1313"/>
      <c r="L499" s="1313"/>
      <c r="M499" s="1255"/>
    </row>
    <row r="500" spans="1:13" s="1444" customFormat="1">
      <c r="A500" s="1305"/>
      <c r="B500" s="1306"/>
      <c r="C500" s="1255"/>
      <c r="D500" s="1445"/>
      <c r="E500" s="1309"/>
      <c r="F500" s="1309"/>
      <c r="G500" s="1255"/>
      <c r="H500" s="1310"/>
      <c r="I500" s="1311"/>
      <c r="J500" s="1312"/>
      <c r="K500" s="1313"/>
      <c r="L500" s="1313"/>
      <c r="M500" s="1255"/>
    </row>
    <row r="501" spans="1:13" s="1444" customFormat="1">
      <c r="A501" s="1305"/>
      <c r="B501" s="1306"/>
      <c r="C501" s="1255"/>
      <c r="D501" s="1445"/>
      <c r="E501" s="1309"/>
      <c r="F501" s="1309"/>
      <c r="G501" s="1255"/>
      <c r="H501" s="1310"/>
      <c r="I501" s="1311"/>
      <c r="J501" s="1312"/>
      <c r="K501" s="1313"/>
      <c r="L501" s="1313"/>
      <c r="M501" s="1255"/>
    </row>
    <row r="502" spans="1:13" s="1444" customFormat="1">
      <c r="A502" s="1305"/>
      <c r="B502" s="1306"/>
      <c r="C502" s="1255"/>
      <c r="D502" s="1445"/>
      <c r="E502" s="1309"/>
      <c r="F502" s="1309"/>
      <c r="G502" s="1255"/>
      <c r="H502" s="1310"/>
      <c r="I502" s="1311"/>
      <c r="J502" s="1312"/>
      <c r="K502" s="1313"/>
      <c r="L502" s="1313"/>
      <c r="M502" s="1255"/>
    </row>
    <row r="503" spans="1:13" s="1444" customFormat="1">
      <c r="A503" s="1305"/>
      <c r="B503" s="1306"/>
      <c r="C503" s="1255"/>
      <c r="D503" s="1445"/>
      <c r="E503" s="1309"/>
      <c r="F503" s="1309"/>
      <c r="G503" s="1255"/>
      <c r="H503" s="1310"/>
      <c r="I503" s="1311"/>
      <c r="J503" s="1312"/>
      <c r="K503" s="1313"/>
      <c r="L503" s="1313"/>
      <c r="M503" s="1255"/>
    </row>
    <row r="504" spans="1:13" s="1444" customFormat="1">
      <c r="A504" s="1305"/>
      <c r="B504" s="1306"/>
      <c r="C504" s="1255"/>
      <c r="D504" s="1445"/>
      <c r="E504" s="1309"/>
      <c r="F504" s="1309"/>
      <c r="G504" s="1255"/>
      <c r="H504" s="1310"/>
      <c r="I504" s="1311"/>
      <c r="J504" s="1312"/>
      <c r="K504" s="1313"/>
      <c r="L504" s="1313"/>
      <c r="M504" s="1255"/>
    </row>
    <row r="505" spans="1:13" s="1444" customFormat="1">
      <c r="A505" s="1305"/>
      <c r="B505" s="1306"/>
      <c r="C505" s="1255"/>
      <c r="D505" s="1445"/>
      <c r="E505" s="1309"/>
      <c r="F505" s="1309"/>
      <c r="G505" s="1255"/>
      <c r="H505" s="1310"/>
      <c r="I505" s="1311"/>
      <c r="J505" s="1312"/>
      <c r="K505" s="1313"/>
      <c r="L505" s="1313"/>
      <c r="M505" s="1255"/>
    </row>
    <row r="506" spans="1:13" s="1444" customFormat="1">
      <c r="A506" s="1305"/>
      <c r="B506" s="1306"/>
      <c r="C506" s="1255"/>
      <c r="D506" s="1445"/>
      <c r="E506" s="1309"/>
      <c r="F506" s="1309"/>
      <c r="G506" s="1255"/>
      <c r="H506" s="1310"/>
      <c r="I506" s="1311"/>
      <c r="J506" s="1312"/>
      <c r="K506" s="1313"/>
      <c r="L506" s="1313"/>
      <c r="M506" s="1255"/>
    </row>
    <row r="507" spans="1:13" s="1444" customFormat="1">
      <c r="A507" s="1305"/>
      <c r="B507" s="1306"/>
      <c r="C507" s="1255"/>
      <c r="D507" s="1445"/>
      <c r="E507" s="1309"/>
      <c r="F507" s="1309"/>
      <c r="G507" s="1255"/>
      <c r="H507" s="1310"/>
      <c r="I507" s="1311"/>
      <c r="J507" s="1312"/>
      <c r="K507" s="1313"/>
      <c r="L507" s="1313"/>
      <c r="M507" s="1255"/>
    </row>
    <row r="508" spans="1:13" s="1444" customFormat="1">
      <c r="A508" s="1305"/>
      <c r="B508" s="1306"/>
      <c r="C508" s="1255"/>
      <c r="D508" s="1445"/>
      <c r="E508" s="1309"/>
      <c r="F508" s="1309"/>
      <c r="G508" s="1255"/>
      <c r="H508" s="1310"/>
      <c r="I508" s="1311"/>
      <c r="J508" s="1312"/>
      <c r="K508" s="1313"/>
      <c r="L508" s="1313"/>
      <c r="M508" s="1255"/>
    </row>
    <row r="509" spans="1:13" s="1444" customFormat="1">
      <c r="A509" s="1305"/>
      <c r="B509" s="1306"/>
      <c r="C509" s="1255"/>
      <c r="D509" s="1445"/>
      <c r="E509" s="1309"/>
      <c r="F509" s="1309"/>
      <c r="G509" s="1255"/>
      <c r="H509" s="1310"/>
      <c r="I509" s="1311"/>
      <c r="J509" s="1312"/>
      <c r="K509" s="1313"/>
      <c r="L509" s="1313"/>
      <c r="M509" s="1255"/>
    </row>
    <row r="510" spans="1:13" s="1444" customFormat="1">
      <c r="A510" s="1305"/>
      <c r="B510" s="1306"/>
      <c r="C510" s="1255"/>
      <c r="D510" s="1445"/>
      <c r="E510" s="1309"/>
      <c r="F510" s="1309"/>
      <c r="G510" s="1255"/>
      <c r="H510" s="1310"/>
      <c r="I510" s="1311"/>
      <c r="J510" s="1312"/>
      <c r="K510" s="1313"/>
      <c r="L510" s="1313"/>
      <c r="M510" s="1255"/>
    </row>
    <row r="511" spans="1:13" s="1444" customFormat="1">
      <c r="A511" s="1305"/>
      <c r="B511" s="1306"/>
      <c r="C511" s="1255"/>
      <c r="D511" s="1445"/>
      <c r="E511" s="1309"/>
      <c r="F511" s="1309"/>
      <c r="G511" s="1255"/>
      <c r="H511" s="1310"/>
      <c r="I511" s="1311"/>
      <c r="J511" s="1312"/>
      <c r="K511" s="1313"/>
      <c r="L511" s="1313"/>
      <c r="M511" s="1255"/>
    </row>
    <row r="512" spans="1:13" s="1444" customFormat="1">
      <c r="A512" s="1305"/>
      <c r="B512" s="1306"/>
      <c r="C512" s="1255"/>
      <c r="D512" s="1445"/>
      <c r="E512" s="1309"/>
      <c r="F512" s="1309"/>
      <c r="G512" s="1255"/>
      <c r="H512" s="1310"/>
      <c r="I512" s="1311"/>
      <c r="J512" s="1312"/>
      <c r="K512" s="1313"/>
      <c r="L512" s="1313"/>
      <c r="M512" s="1255"/>
    </row>
    <row r="513" spans="1:13" s="1444" customFormat="1">
      <c r="A513" s="1305"/>
      <c r="B513" s="1306"/>
      <c r="C513" s="1255"/>
      <c r="D513" s="1445"/>
      <c r="E513" s="1309"/>
      <c r="F513" s="1309"/>
      <c r="G513" s="1255"/>
      <c r="H513" s="1310"/>
      <c r="I513" s="1311"/>
      <c r="J513" s="1312"/>
      <c r="K513" s="1313"/>
      <c r="L513" s="1313"/>
      <c r="M513" s="1255"/>
    </row>
    <row r="514" spans="1:13" s="1444" customFormat="1">
      <c r="A514" s="1305"/>
      <c r="B514" s="1306"/>
      <c r="C514" s="1255"/>
      <c r="D514" s="1445"/>
      <c r="E514" s="1309"/>
      <c r="F514" s="1309"/>
      <c r="G514" s="1255"/>
      <c r="H514" s="1310"/>
      <c r="I514" s="1311"/>
      <c r="J514" s="1312"/>
      <c r="K514" s="1313"/>
      <c r="L514" s="1313"/>
      <c r="M514" s="1255"/>
    </row>
    <row r="515" spans="1:13" s="1444" customFormat="1">
      <c r="A515" s="1305"/>
      <c r="B515" s="1306"/>
      <c r="C515" s="1255"/>
      <c r="D515" s="1445"/>
      <c r="E515" s="1309"/>
      <c r="F515" s="1309"/>
      <c r="G515" s="1255"/>
      <c r="H515" s="1310"/>
      <c r="I515" s="1311"/>
      <c r="J515" s="1312"/>
      <c r="K515" s="1313"/>
      <c r="L515" s="1313"/>
      <c r="M515" s="1255"/>
    </row>
    <row r="516" spans="1:13" s="1444" customFormat="1">
      <c r="A516" s="1305"/>
      <c r="B516" s="1306"/>
      <c r="C516" s="1255"/>
      <c r="D516" s="1445"/>
      <c r="E516" s="1309"/>
      <c r="F516" s="1309"/>
      <c r="G516" s="1255"/>
      <c r="H516" s="1310"/>
      <c r="I516" s="1311"/>
      <c r="J516" s="1312"/>
      <c r="K516" s="1313"/>
      <c r="L516" s="1313"/>
      <c r="M516" s="1255"/>
    </row>
    <row r="517" spans="1:13" s="1444" customFormat="1">
      <c r="A517" s="1305"/>
      <c r="B517" s="1306"/>
      <c r="C517" s="1255"/>
      <c r="D517" s="1445"/>
      <c r="E517" s="1309"/>
      <c r="F517" s="1309"/>
      <c r="G517" s="1255"/>
      <c r="H517" s="1310"/>
      <c r="I517" s="1311"/>
      <c r="J517" s="1312"/>
      <c r="K517" s="1313"/>
      <c r="L517" s="1313"/>
      <c r="M517" s="1255"/>
    </row>
    <row r="518" spans="1:13" s="1444" customFormat="1">
      <c r="A518" s="1305"/>
      <c r="B518" s="1306"/>
      <c r="C518" s="1255"/>
      <c r="D518" s="1445"/>
      <c r="E518" s="1309"/>
      <c r="F518" s="1309"/>
      <c r="G518" s="1255"/>
      <c r="H518" s="1310"/>
      <c r="I518" s="1311"/>
      <c r="J518" s="1312"/>
      <c r="K518" s="1313"/>
      <c r="L518" s="1313"/>
      <c r="M518" s="1255"/>
    </row>
    <row r="519" spans="1:13" s="1444" customFormat="1">
      <c r="A519" s="1305"/>
      <c r="B519" s="1306"/>
      <c r="C519" s="1255"/>
      <c r="D519" s="1445"/>
      <c r="E519" s="1309"/>
      <c r="F519" s="1309"/>
      <c r="G519" s="1255"/>
      <c r="H519" s="1310"/>
      <c r="I519" s="1311"/>
      <c r="J519" s="1312"/>
      <c r="K519" s="1313"/>
      <c r="L519" s="1313"/>
      <c r="M519" s="1255"/>
    </row>
    <row r="520" spans="1:13" s="1444" customFormat="1">
      <c r="A520" s="1305"/>
      <c r="B520" s="1306"/>
      <c r="C520" s="1255"/>
      <c r="D520" s="1445"/>
      <c r="E520" s="1309"/>
      <c r="F520" s="1309"/>
      <c r="G520" s="1255"/>
      <c r="H520" s="1310"/>
      <c r="I520" s="1311"/>
      <c r="J520" s="1312"/>
      <c r="K520" s="1313"/>
      <c r="L520" s="1313"/>
      <c r="M520" s="1255"/>
    </row>
    <row r="521" spans="1:13" s="1444" customFormat="1">
      <c r="A521" s="1305"/>
      <c r="B521" s="1306"/>
      <c r="C521" s="1255"/>
      <c r="D521" s="1445"/>
      <c r="E521" s="1309"/>
      <c r="F521" s="1309"/>
      <c r="G521" s="1255"/>
      <c r="H521" s="1310"/>
      <c r="I521" s="1311"/>
      <c r="J521" s="1312"/>
      <c r="K521" s="1313"/>
      <c r="L521" s="1313"/>
      <c r="M521" s="1255"/>
    </row>
    <row r="522" spans="1:13" s="1444" customFormat="1">
      <c r="A522" s="1305"/>
      <c r="B522" s="1306"/>
      <c r="C522" s="1255"/>
      <c r="D522" s="1445"/>
      <c r="E522" s="1309"/>
      <c r="F522" s="1309"/>
      <c r="G522" s="1255"/>
      <c r="H522" s="1310"/>
      <c r="I522" s="1311"/>
      <c r="J522" s="1312"/>
      <c r="K522" s="1313"/>
      <c r="L522" s="1313"/>
      <c r="M522" s="1255"/>
    </row>
    <row r="523" spans="1:13" s="1444" customFormat="1">
      <c r="A523" s="1305"/>
      <c r="B523" s="1306"/>
      <c r="C523" s="1255"/>
      <c r="D523" s="1445"/>
      <c r="E523" s="1309"/>
      <c r="F523" s="1309"/>
      <c r="G523" s="1255"/>
      <c r="H523" s="1310"/>
      <c r="I523" s="1311"/>
      <c r="J523" s="1312"/>
      <c r="K523" s="1313"/>
      <c r="L523" s="1313"/>
      <c r="M523" s="1255"/>
    </row>
    <row r="524" spans="1:13" s="1444" customFormat="1">
      <c r="A524" s="1305"/>
      <c r="B524" s="1306"/>
      <c r="C524" s="1255"/>
      <c r="D524" s="1445"/>
      <c r="E524" s="1309"/>
      <c r="F524" s="1309"/>
      <c r="G524" s="1255"/>
      <c r="H524" s="1310"/>
      <c r="I524" s="1311"/>
      <c r="J524" s="1312"/>
      <c r="K524" s="1313"/>
      <c r="L524" s="1313"/>
      <c r="M524" s="1255"/>
    </row>
    <row r="525" spans="1:13" s="1444" customFormat="1">
      <c r="A525" s="1305"/>
      <c r="B525" s="1306"/>
      <c r="C525" s="1255"/>
      <c r="D525" s="1445"/>
      <c r="E525" s="1309"/>
      <c r="F525" s="1309"/>
      <c r="G525" s="1255"/>
      <c r="H525" s="1310"/>
      <c r="I525" s="1311"/>
      <c r="J525" s="1312"/>
      <c r="K525" s="1313"/>
      <c r="L525" s="1313"/>
      <c r="M525" s="1255"/>
    </row>
    <row r="526" spans="1:13" s="1444" customFormat="1">
      <c r="A526" s="1305"/>
      <c r="B526" s="1306"/>
      <c r="C526" s="1255"/>
      <c r="D526" s="1445"/>
      <c r="E526" s="1309"/>
      <c r="F526" s="1309"/>
      <c r="G526" s="1255"/>
      <c r="H526" s="1310"/>
      <c r="I526" s="1311"/>
      <c r="J526" s="1312"/>
      <c r="K526" s="1313"/>
      <c r="L526" s="1313"/>
      <c r="M526" s="1255"/>
    </row>
    <row r="527" spans="1:13" s="1444" customFormat="1">
      <c r="A527" s="1305"/>
      <c r="B527" s="1306"/>
      <c r="C527" s="1255"/>
      <c r="D527" s="1445"/>
      <c r="E527" s="1309"/>
      <c r="F527" s="1309"/>
      <c r="G527" s="1255"/>
      <c r="H527" s="1310"/>
      <c r="I527" s="1311"/>
      <c r="J527" s="1312"/>
      <c r="K527" s="1313"/>
      <c r="L527" s="1313"/>
      <c r="M527" s="1255"/>
    </row>
    <row r="528" spans="1:13" s="1444" customFormat="1">
      <c r="A528" s="1305"/>
      <c r="B528" s="1306"/>
      <c r="C528" s="1255"/>
      <c r="D528" s="1445"/>
      <c r="E528" s="1309"/>
      <c r="F528" s="1309"/>
      <c r="G528" s="1255"/>
      <c r="H528" s="1310"/>
      <c r="I528" s="1311"/>
      <c r="J528" s="1312"/>
      <c r="K528" s="1313"/>
      <c r="L528" s="1313"/>
      <c r="M528" s="1255"/>
    </row>
    <row r="529" spans="1:13" s="1444" customFormat="1">
      <c r="A529" s="1305"/>
      <c r="B529" s="1306"/>
      <c r="C529" s="1255"/>
      <c r="D529" s="1445"/>
      <c r="E529" s="1309"/>
      <c r="F529" s="1309"/>
      <c r="G529" s="1255"/>
      <c r="H529" s="1310"/>
      <c r="I529" s="1311"/>
      <c r="J529" s="1312"/>
      <c r="K529" s="1313"/>
      <c r="L529" s="1313"/>
      <c r="M529" s="1255"/>
    </row>
    <row r="530" spans="1:13" s="1444" customFormat="1">
      <c r="A530" s="1305"/>
      <c r="B530" s="1306"/>
      <c r="C530" s="1255"/>
      <c r="D530" s="1445"/>
      <c r="E530" s="1309"/>
      <c r="F530" s="1309"/>
      <c r="G530" s="1255"/>
      <c r="H530" s="1310"/>
      <c r="I530" s="1311"/>
      <c r="J530" s="1312"/>
      <c r="K530" s="1313"/>
      <c r="L530" s="1313"/>
      <c r="M530" s="1255"/>
    </row>
    <row r="531" spans="1:13" s="1444" customFormat="1">
      <c r="A531" s="1305"/>
      <c r="B531" s="1306"/>
      <c r="C531" s="1255"/>
      <c r="D531" s="1445"/>
      <c r="E531" s="1309"/>
      <c r="F531" s="1309"/>
      <c r="G531" s="1255"/>
      <c r="H531" s="1310"/>
      <c r="I531" s="1311"/>
      <c r="J531" s="1312"/>
      <c r="K531" s="1313"/>
      <c r="L531" s="1313"/>
      <c r="M531" s="1255"/>
    </row>
    <row r="532" spans="1:13" s="1444" customFormat="1">
      <c r="A532" s="1305"/>
      <c r="B532" s="1306"/>
      <c r="C532" s="1255"/>
      <c r="D532" s="1445"/>
      <c r="E532" s="1309"/>
      <c r="F532" s="1309"/>
      <c r="G532" s="1255"/>
      <c r="H532" s="1310"/>
      <c r="I532" s="1311"/>
      <c r="J532" s="1312"/>
      <c r="K532" s="1313"/>
      <c r="L532" s="1313"/>
      <c r="M532" s="1255"/>
    </row>
    <row r="533" spans="1:13" s="1444" customFormat="1">
      <c r="A533" s="1305"/>
      <c r="B533" s="1306"/>
      <c r="C533" s="1255"/>
      <c r="D533" s="1445"/>
      <c r="E533" s="1309"/>
      <c r="F533" s="1309"/>
      <c r="G533" s="1255"/>
      <c r="H533" s="1310"/>
      <c r="I533" s="1311"/>
      <c r="J533" s="1312"/>
      <c r="K533" s="1313"/>
      <c r="L533" s="1313"/>
      <c r="M533" s="1255"/>
    </row>
    <row r="534" spans="1:13" s="1444" customFormat="1">
      <c r="A534" s="1305"/>
      <c r="B534" s="1306"/>
      <c r="C534" s="1255"/>
      <c r="D534" s="1445"/>
      <c r="E534" s="1309"/>
      <c r="F534" s="1309"/>
      <c r="G534" s="1255"/>
      <c r="H534" s="1310"/>
      <c r="I534" s="1311"/>
      <c r="J534" s="1312"/>
      <c r="K534" s="1313"/>
      <c r="L534" s="1313"/>
      <c r="M534" s="1255"/>
    </row>
    <row r="535" spans="1:13" s="1444" customFormat="1">
      <c r="A535" s="1305"/>
      <c r="B535" s="1306"/>
      <c r="C535" s="1255"/>
      <c r="D535" s="1445"/>
      <c r="E535" s="1309"/>
      <c r="F535" s="1309"/>
      <c r="G535" s="1255"/>
      <c r="H535" s="1310"/>
      <c r="I535" s="1311"/>
      <c r="J535" s="1312"/>
      <c r="K535" s="1313"/>
      <c r="L535" s="1313"/>
      <c r="M535" s="1255"/>
    </row>
    <row r="536" spans="1:13" s="1444" customFormat="1">
      <c r="A536" s="1305"/>
      <c r="B536" s="1306"/>
      <c r="C536" s="1255"/>
      <c r="D536" s="1445"/>
      <c r="E536" s="1309"/>
      <c r="F536" s="1309"/>
      <c r="G536" s="1255"/>
      <c r="H536" s="1310"/>
      <c r="I536" s="1311"/>
      <c r="J536" s="1312"/>
      <c r="K536" s="1313"/>
      <c r="L536" s="1313"/>
      <c r="M536" s="1255"/>
    </row>
    <row r="537" spans="1:13" s="1444" customFormat="1">
      <c r="A537" s="1305"/>
      <c r="B537" s="1306"/>
      <c r="C537" s="1255"/>
      <c r="D537" s="1445"/>
      <c r="E537" s="1309"/>
      <c r="F537" s="1309"/>
      <c r="G537" s="1255"/>
      <c r="H537" s="1310"/>
      <c r="I537" s="1311"/>
      <c r="J537" s="1312"/>
      <c r="K537" s="1313"/>
      <c r="L537" s="1313"/>
      <c r="M537" s="1255"/>
    </row>
    <row r="538" spans="1:13" s="1444" customFormat="1">
      <c r="A538" s="1305"/>
      <c r="B538" s="1306"/>
      <c r="C538" s="1255"/>
      <c r="D538" s="1445"/>
      <c r="E538" s="1309"/>
      <c r="F538" s="1309"/>
      <c r="G538" s="1255"/>
      <c r="H538" s="1310"/>
      <c r="I538" s="1311"/>
      <c r="J538" s="1312"/>
      <c r="K538" s="1313"/>
      <c r="L538" s="1313"/>
      <c r="M538" s="1255"/>
    </row>
    <row r="539" spans="1:13" s="1444" customFormat="1">
      <c r="A539" s="1305"/>
      <c r="B539" s="1306"/>
      <c r="C539" s="1255"/>
      <c r="D539" s="1445"/>
      <c r="E539" s="1309"/>
      <c r="F539" s="1309"/>
      <c r="G539" s="1255"/>
      <c r="H539" s="1310"/>
      <c r="I539" s="1311"/>
      <c r="J539" s="1312"/>
      <c r="K539" s="1313"/>
      <c r="L539" s="1313"/>
      <c r="M539" s="1255"/>
    </row>
    <row r="540" spans="1:13" s="1444" customFormat="1">
      <c r="A540" s="1305"/>
      <c r="B540" s="1306"/>
      <c r="C540" s="1255"/>
      <c r="D540" s="1445"/>
      <c r="E540" s="1309"/>
      <c r="F540" s="1309"/>
      <c r="G540" s="1255"/>
      <c r="H540" s="1310"/>
      <c r="I540" s="1311"/>
      <c r="J540" s="1312"/>
      <c r="K540" s="1313"/>
      <c r="L540" s="1313"/>
      <c r="M540" s="1255"/>
    </row>
    <row r="541" spans="1:13" s="1444" customFormat="1">
      <c r="A541" s="1305"/>
      <c r="B541" s="1306"/>
      <c r="C541" s="1255"/>
      <c r="D541" s="1445"/>
      <c r="E541" s="1309"/>
      <c r="F541" s="1309"/>
      <c r="G541" s="1255"/>
      <c r="H541" s="1310"/>
      <c r="I541" s="1311"/>
      <c r="J541" s="1312"/>
      <c r="K541" s="1313"/>
      <c r="L541" s="1313"/>
      <c r="M541" s="1255"/>
    </row>
    <row r="542" spans="1:13" s="1444" customFormat="1">
      <c r="A542" s="1305"/>
      <c r="B542" s="1306"/>
      <c r="C542" s="1255"/>
      <c r="D542" s="1445"/>
      <c r="E542" s="1309"/>
      <c r="F542" s="1309"/>
      <c r="G542" s="1255"/>
      <c r="H542" s="1310"/>
      <c r="I542" s="1311"/>
      <c r="J542" s="1312"/>
      <c r="K542" s="1313"/>
      <c r="L542" s="1313"/>
      <c r="M542" s="1255"/>
    </row>
    <row r="543" spans="1:13" s="1444" customFormat="1">
      <c r="A543" s="1305"/>
      <c r="B543" s="1306"/>
      <c r="C543" s="1255"/>
      <c r="D543" s="1445"/>
      <c r="E543" s="1309"/>
      <c r="F543" s="1309"/>
      <c r="G543" s="1255"/>
      <c r="H543" s="1310"/>
      <c r="I543" s="1311"/>
      <c r="J543" s="1312"/>
      <c r="K543" s="1313"/>
      <c r="L543" s="1313"/>
      <c r="M543" s="1255"/>
    </row>
    <row r="544" spans="1:13" s="1444" customFormat="1">
      <c r="A544" s="1305"/>
      <c r="B544" s="1306"/>
      <c r="C544" s="1255"/>
      <c r="D544" s="1445"/>
      <c r="E544" s="1309"/>
      <c r="F544" s="1309"/>
      <c r="G544" s="1255"/>
      <c r="H544" s="1310"/>
      <c r="I544" s="1311"/>
      <c r="J544" s="1312"/>
      <c r="K544" s="1313"/>
      <c r="L544" s="1313"/>
      <c r="M544" s="1255"/>
    </row>
    <row r="545" spans="1:13" s="1444" customFormat="1">
      <c r="A545" s="1305"/>
      <c r="B545" s="1306"/>
      <c r="C545" s="1255"/>
      <c r="D545" s="1445"/>
      <c r="E545" s="1309"/>
      <c r="F545" s="1309"/>
      <c r="G545" s="1255"/>
      <c r="H545" s="1310"/>
      <c r="I545" s="1311"/>
      <c r="J545" s="1312"/>
      <c r="K545" s="1313"/>
      <c r="L545" s="1313"/>
      <c r="M545" s="1255"/>
    </row>
    <row r="546" spans="1:13" s="1444" customFormat="1">
      <c r="A546" s="1305"/>
      <c r="B546" s="1306"/>
      <c r="C546" s="1255"/>
      <c r="D546" s="1445"/>
      <c r="E546" s="1309"/>
      <c r="F546" s="1309"/>
      <c r="G546" s="1255"/>
      <c r="H546" s="1310"/>
      <c r="I546" s="1311"/>
      <c r="J546" s="1312"/>
      <c r="K546" s="1313"/>
      <c r="L546" s="1313"/>
      <c r="M546" s="1255"/>
    </row>
    <row r="547" spans="1:13" s="1444" customFormat="1">
      <c r="A547" s="1305"/>
      <c r="B547" s="1306"/>
      <c r="C547" s="1255"/>
      <c r="D547" s="1445"/>
      <c r="E547" s="1309"/>
      <c r="F547" s="1309"/>
      <c r="G547" s="1255"/>
      <c r="H547" s="1310"/>
      <c r="I547" s="1311"/>
      <c r="J547" s="1312"/>
      <c r="K547" s="1313"/>
      <c r="L547" s="1313"/>
      <c r="M547" s="1255"/>
    </row>
    <row r="548" spans="1:13" s="1444" customFormat="1">
      <c r="A548" s="1305"/>
      <c r="B548" s="1306"/>
      <c r="C548" s="1255"/>
      <c r="D548" s="1445"/>
      <c r="E548" s="1309"/>
      <c r="F548" s="1309"/>
      <c r="G548" s="1255"/>
      <c r="H548" s="1310"/>
      <c r="I548" s="1311"/>
      <c r="J548" s="1312"/>
      <c r="K548" s="1313"/>
      <c r="L548" s="1313"/>
      <c r="M548" s="1255"/>
    </row>
    <row r="549" spans="1:13" s="1444" customFormat="1">
      <c r="A549" s="1305"/>
      <c r="B549" s="1306"/>
      <c r="C549" s="1255"/>
      <c r="D549" s="1445"/>
      <c r="E549" s="1309"/>
      <c r="F549" s="1309"/>
      <c r="G549" s="1255"/>
      <c r="H549" s="1310"/>
      <c r="I549" s="1311"/>
      <c r="J549" s="1312"/>
      <c r="K549" s="1313"/>
      <c r="L549" s="1313"/>
      <c r="M549" s="1255"/>
    </row>
    <row r="550" spans="1:13" s="1444" customFormat="1">
      <c r="A550" s="1305"/>
      <c r="B550" s="1306"/>
      <c r="C550" s="1255"/>
      <c r="D550" s="1445"/>
      <c r="E550" s="1309"/>
      <c r="F550" s="1309"/>
      <c r="G550" s="1255"/>
      <c r="H550" s="1310"/>
      <c r="I550" s="1311"/>
      <c r="J550" s="1312"/>
      <c r="K550" s="1313"/>
      <c r="L550" s="1313"/>
      <c r="M550" s="1255"/>
    </row>
    <row r="551" spans="1:13" s="1444" customFormat="1">
      <c r="A551" s="1305"/>
      <c r="B551" s="1306"/>
      <c r="C551" s="1255"/>
      <c r="D551" s="1445"/>
      <c r="E551" s="1309"/>
      <c r="F551" s="1309"/>
      <c r="G551" s="1255"/>
      <c r="H551" s="1310"/>
      <c r="I551" s="1311"/>
      <c r="J551" s="1312"/>
      <c r="K551" s="1313"/>
      <c r="L551" s="1313"/>
      <c r="M551" s="1255"/>
    </row>
    <row r="552" spans="1:13" s="1444" customFormat="1">
      <c r="A552" s="1305"/>
      <c r="B552" s="1306"/>
      <c r="C552" s="1255"/>
      <c r="D552" s="1445"/>
      <c r="E552" s="1309"/>
      <c r="F552" s="1309"/>
      <c r="G552" s="1255"/>
      <c r="H552" s="1310"/>
      <c r="I552" s="1311"/>
      <c r="J552" s="1312"/>
      <c r="K552" s="1313"/>
      <c r="L552" s="1313"/>
      <c r="M552" s="1255"/>
    </row>
    <row r="553" spans="1:13" s="1444" customFormat="1">
      <c r="A553" s="1305"/>
      <c r="B553" s="1306"/>
      <c r="C553" s="1255"/>
      <c r="D553" s="1445"/>
      <c r="E553" s="1309"/>
      <c r="F553" s="1309"/>
      <c r="G553" s="1255"/>
      <c r="H553" s="1310"/>
      <c r="I553" s="1311"/>
      <c r="J553" s="1312"/>
      <c r="K553" s="1313"/>
      <c r="L553" s="1313"/>
      <c r="M553" s="1255"/>
    </row>
    <row r="554" spans="1:13" s="1444" customFormat="1">
      <c r="A554" s="1305"/>
      <c r="B554" s="1306"/>
      <c r="C554" s="1255"/>
      <c r="D554" s="1445"/>
      <c r="E554" s="1309"/>
      <c r="F554" s="1309"/>
      <c r="G554" s="1255"/>
      <c r="H554" s="1310"/>
      <c r="I554" s="1311"/>
      <c r="J554" s="1312"/>
      <c r="K554" s="1313"/>
      <c r="L554" s="1313"/>
      <c r="M554" s="1255"/>
    </row>
    <row r="555" spans="1:13" s="1444" customFormat="1">
      <c r="A555" s="1305"/>
      <c r="B555" s="1306"/>
      <c r="C555" s="1255"/>
      <c r="D555" s="1445"/>
      <c r="E555" s="1309"/>
      <c r="F555" s="1309"/>
      <c r="G555" s="1255"/>
      <c r="H555" s="1310"/>
      <c r="I555" s="1311"/>
      <c r="J555" s="1312"/>
      <c r="K555" s="1313"/>
      <c r="L555" s="1313"/>
      <c r="M555" s="1255"/>
    </row>
    <row r="556" spans="1:13" s="1444" customFormat="1">
      <c r="A556" s="1305"/>
      <c r="B556" s="1306"/>
      <c r="C556" s="1255"/>
      <c r="D556" s="1445"/>
      <c r="E556" s="1309"/>
      <c r="F556" s="1309"/>
      <c r="G556" s="1255"/>
      <c r="H556" s="1310"/>
      <c r="I556" s="1311"/>
      <c r="J556" s="1312"/>
      <c r="K556" s="1313"/>
      <c r="L556" s="1313"/>
      <c r="M556" s="1255"/>
    </row>
    <row r="557" spans="1:13" s="1444" customFormat="1">
      <c r="A557" s="1305"/>
      <c r="B557" s="1306"/>
      <c r="C557" s="1255"/>
      <c r="D557" s="1445"/>
      <c r="E557" s="1309"/>
      <c r="F557" s="1309"/>
      <c r="G557" s="1255"/>
      <c r="H557" s="1310"/>
      <c r="I557" s="1311"/>
      <c r="J557" s="1312"/>
      <c r="K557" s="1313"/>
      <c r="L557" s="1313"/>
      <c r="M557" s="1255"/>
    </row>
    <row r="558" spans="1:13" s="1444" customFormat="1">
      <c r="A558" s="1305"/>
      <c r="B558" s="1306"/>
      <c r="C558" s="1255"/>
      <c r="D558" s="1445"/>
      <c r="E558" s="1309"/>
      <c r="F558" s="1309"/>
      <c r="G558" s="1255"/>
      <c r="H558" s="1310"/>
      <c r="I558" s="1311"/>
      <c r="J558" s="1312"/>
      <c r="K558" s="1313"/>
      <c r="L558" s="1313"/>
      <c r="M558" s="1255"/>
    </row>
    <row r="559" spans="1:13" s="1444" customFormat="1">
      <c r="A559" s="1305"/>
      <c r="B559" s="1306"/>
      <c r="C559" s="1255"/>
      <c r="D559" s="1445"/>
      <c r="E559" s="1309"/>
      <c r="F559" s="1309"/>
      <c r="G559" s="1255"/>
      <c r="H559" s="1310"/>
      <c r="I559" s="1311"/>
      <c r="J559" s="1312"/>
      <c r="K559" s="1313"/>
      <c r="L559" s="1313"/>
      <c r="M559" s="1255"/>
    </row>
    <row r="560" spans="1:13" s="1444" customFormat="1">
      <c r="A560" s="1305"/>
      <c r="B560" s="1306"/>
      <c r="C560" s="1255"/>
      <c r="D560" s="1445"/>
      <c r="E560" s="1309"/>
      <c r="F560" s="1309"/>
      <c r="G560" s="1255"/>
      <c r="H560" s="1310"/>
      <c r="I560" s="1311"/>
      <c r="J560" s="1312"/>
      <c r="K560" s="1313"/>
      <c r="L560" s="1313"/>
      <c r="M560" s="1255"/>
    </row>
    <row r="561" spans="1:13" s="1444" customFormat="1">
      <c r="A561" s="1305"/>
      <c r="B561" s="1306"/>
      <c r="C561" s="1255"/>
      <c r="D561" s="1445"/>
      <c r="E561" s="1309"/>
      <c r="F561" s="1309"/>
      <c r="G561" s="1255"/>
      <c r="H561" s="1310"/>
      <c r="I561" s="1311"/>
      <c r="J561" s="1312"/>
      <c r="K561" s="1313"/>
      <c r="L561" s="1313"/>
      <c r="M561" s="1255"/>
    </row>
    <row r="562" spans="1:13" s="1444" customFormat="1">
      <c r="A562" s="1305"/>
      <c r="B562" s="1306"/>
      <c r="C562" s="1255"/>
      <c r="D562" s="1445"/>
      <c r="E562" s="1309"/>
      <c r="F562" s="1309"/>
      <c r="G562" s="1255"/>
      <c r="H562" s="1310"/>
      <c r="I562" s="1311"/>
      <c r="J562" s="1312"/>
      <c r="K562" s="1313"/>
      <c r="L562" s="1313"/>
      <c r="M562" s="1255"/>
    </row>
    <row r="563" spans="1:13" s="1444" customFormat="1">
      <c r="A563" s="1305"/>
      <c r="B563" s="1306"/>
      <c r="C563" s="1255"/>
      <c r="D563" s="1445"/>
      <c r="E563" s="1309"/>
      <c r="F563" s="1309"/>
      <c r="G563" s="1255"/>
      <c r="H563" s="1310"/>
      <c r="I563" s="1311"/>
      <c r="J563" s="1312"/>
      <c r="K563" s="1313"/>
      <c r="L563" s="1313"/>
      <c r="M563" s="1255"/>
    </row>
    <row r="564" spans="1:13" s="1444" customFormat="1">
      <c r="A564" s="1305"/>
      <c r="B564" s="1306"/>
      <c r="C564" s="1255"/>
      <c r="D564" s="1445"/>
      <c r="E564" s="1309"/>
      <c r="F564" s="1309"/>
      <c r="G564" s="1255"/>
      <c r="H564" s="1310"/>
      <c r="I564" s="1311"/>
      <c r="J564" s="1312"/>
      <c r="K564" s="1313"/>
      <c r="L564" s="1313"/>
      <c r="M564" s="1255"/>
    </row>
    <row r="565" spans="1:13" s="1444" customFormat="1">
      <c r="A565" s="1305"/>
      <c r="B565" s="1306"/>
      <c r="C565" s="1255"/>
      <c r="D565" s="1445"/>
      <c r="E565" s="1309"/>
      <c r="F565" s="1309"/>
      <c r="G565" s="1255"/>
      <c r="H565" s="1310"/>
      <c r="I565" s="1311"/>
      <c r="J565" s="1312"/>
      <c r="K565" s="1313"/>
      <c r="L565" s="1313"/>
      <c r="M565" s="1255"/>
    </row>
    <row r="566" spans="1:13" s="1444" customFormat="1">
      <c r="A566" s="1305"/>
      <c r="B566" s="1306"/>
      <c r="C566" s="1255"/>
      <c r="D566" s="1445"/>
      <c r="E566" s="1309"/>
      <c r="F566" s="1309"/>
      <c r="G566" s="1255"/>
      <c r="H566" s="1310"/>
      <c r="I566" s="1311"/>
      <c r="J566" s="1312"/>
      <c r="K566" s="1313"/>
      <c r="L566" s="1313"/>
      <c r="M566" s="1255"/>
    </row>
    <row r="567" spans="1:13" s="1444" customFormat="1">
      <c r="A567" s="1305"/>
      <c r="B567" s="1306"/>
      <c r="C567" s="1255"/>
      <c r="D567" s="1445"/>
      <c r="E567" s="1309"/>
      <c r="F567" s="1309"/>
      <c r="G567" s="1255"/>
      <c r="H567" s="1310"/>
      <c r="I567" s="1311"/>
      <c r="J567" s="1312"/>
      <c r="K567" s="1313"/>
      <c r="L567" s="1313"/>
      <c r="M567" s="1255"/>
    </row>
    <row r="568" spans="1:13" s="1444" customFormat="1">
      <c r="A568" s="1305"/>
      <c r="B568" s="1306"/>
      <c r="C568" s="1255"/>
      <c r="D568" s="1445"/>
      <c r="E568" s="1309"/>
      <c r="F568" s="1309"/>
      <c r="G568" s="1255"/>
      <c r="H568" s="1310"/>
      <c r="I568" s="1311"/>
      <c r="J568" s="1312"/>
      <c r="K568" s="1313"/>
      <c r="L568" s="1313"/>
      <c r="M568" s="1255"/>
    </row>
    <row r="569" spans="1:13" s="1444" customFormat="1">
      <c r="A569" s="1305"/>
      <c r="B569" s="1306"/>
      <c r="C569" s="1255"/>
      <c r="D569" s="1445"/>
      <c r="E569" s="1309"/>
      <c r="F569" s="1309"/>
      <c r="G569" s="1255"/>
      <c r="H569" s="1310"/>
      <c r="I569" s="1311"/>
      <c r="J569" s="1312"/>
      <c r="K569" s="1313"/>
      <c r="L569" s="1313"/>
      <c r="M569" s="1255"/>
    </row>
    <row r="570" spans="1:13" s="1444" customFormat="1">
      <c r="A570" s="1305"/>
      <c r="B570" s="1306"/>
      <c r="C570" s="1255"/>
      <c r="D570" s="1445"/>
      <c r="E570" s="1309"/>
      <c r="F570" s="1309"/>
      <c r="G570" s="1255"/>
      <c r="H570" s="1310"/>
      <c r="I570" s="1311"/>
      <c r="J570" s="1312"/>
      <c r="K570" s="1313"/>
      <c r="L570" s="1313"/>
      <c r="M570" s="1255"/>
    </row>
    <row r="571" spans="1:13" s="1444" customFormat="1">
      <c r="A571" s="1305"/>
      <c r="B571" s="1306"/>
      <c r="C571" s="1255"/>
      <c r="D571" s="1445"/>
      <c r="E571" s="1309"/>
      <c r="F571" s="1309"/>
      <c r="G571" s="1255"/>
      <c r="H571" s="1310"/>
      <c r="I571" s="1311"/>
      <c r="J571" s="1312"/>
      <c r="K571" s="1313"/>
      <c r="L571" s="1313"/>
      <c r="M571" s="1255"/>
    </row>
    <row r="572" spans="1:13" s="1444" customFormat="1">
      <c r="A572" s="1305"/>
      <c r="B572" s="1306"/>
      <c r="C572" s="1255"/>
      <c r="D572" s="1445"/>
      <c r="E572" s="1309"/>
      <c r="F572" s="1309"/>
      <c r="G572" s="1255"/>
      <c r="H572" s="1310"/>
      <c r="I572" s="1311"/>
      <c r="J572" s="1312"/>
      <c r="K572" s="1313"/>
      <c r="L572" s="1313"/>
      <c r="M572" s="1255"/>
    </row>
    <row r="573" spans="1:13" s="1444" customFormat="1">
      <c r="A573" s="1305"/>
      <c r="B573" s="1306"/>
      <c r="C573" s="1255"/>
      <c r="D573" s="1445"/>
      <c r="E573" s="1309"/>
      <c r="F573" s="1309"/>
      <c r="G573" s="1255"/>
      <c r="H573" s="1310"/>
      <c r="I573" s="1311"/>
      <c r="J573" s="1312"/>
      <c r="K573" s="1313"/>
      <c r="L573" s="1313"/>
      <c r="M573" s="1255"/>
    </row>
    <row r="574" spans="1:13" s="1444" customFormat="1">
      <c r="A574" s="1305"/>
      <c r="B574" s="1306"/>
      <c r="C574" s="1255"/>
      <c r="D574" s="1445"/>
      <c r="E574" s="1309"/>
      <c r="F574" s="1309"/>
      <c r="G574" s="1255"/>
      <c r="H574" s="1310"/>
      <c r="I574" s="1311"/>
      <c r="J574" s="1312"/>
      <c r="K574" s="1313"/>
      <c r="L574" s="1313"/>
      <c r="M574" s="1255"/>
    </row>
    <row r="575" spans="1:13" s="1444" customFormat="1">
      <c r="A575" s="1305"/>
      <c r="B575" s="1306"/>
      <c r="C575" s="1255"/>
      <c r="D575" s="1445"/>
      <c r="E575" s="1309"/>
      <c r="F575" s="1309"/>
      <c r="G575" s="1255"/>
      <c r="H575" s="1310"/>
      <c r="I575" s="1311"/>
      <c r="J575" s="1312"/>
      <c r="K575" s="1313"/>
      <c r="L575" s="1313"/>
      <c r="M575" s="1255"/>
    </row>
    <row r="576" spans="1:13" s="1444" customFormat="1">
      <c r="A576" s="1305"/>
      <c r="B576" s="1306"/>
      <c r="C576" s="1255"/>
      <c r="D576" s="1445"/>
      <c r="E576" s="1309"/>
      <c r="F576" s="1309"/>
      <c r="G576" s="1255"/>
      <c r="H576" s="1310"/>
      <c r="I576" s="1311"/>
      <c r="J576" s="1312"/>
      <c r="K576" s="1313"/>
      <c r="L576" s="1313"/>
      <c r="M576" s="1255"/>
    </row>
    <row r="577" spans="1:13" s="1444" customFormat="1">
      <c r="A577" s="1305"/>
      <c r="B577" s="1306"/>
      <c r="C577" s="1255"/>
      <c r="D577" s="1445"/>
      <c r="E577" s="1309"/>
      <c r="F577" s="1309"/>
      <c r="G577" s="1255"/>
      <c r="H577" s="1310"/>
      <c r="I577" s="1311"/>
      <c r="J577" s="1312"/>
      <c r="K577" s="1313"/>
      <c r="L577" s="1313"/>
      <c r="M577" s="1255"/>
    </row>
    <row r="578" spans="1:13" s="1444" customFormat="1">
      <c r="A578" s="1305"/>
      <c r="B578" s="1306"/>
      <c r="C578" s="1255"/>
      <c r="D578" s="1445"/>
      <c r="E578" s="1309"/>
      <c r="F578" s="1309"/>
      <c r="G578" s="1255"/>
      <c r="H578" s="1310"/>
      <c r="I578" s="1311"/>
      <c r="J578" s="1312"/>
      <c r="K578" s="1313"/>
      <c r="L578" s="1313"/>
      <c r="M578" s="1255"/>
    </row>
    <row r="579" spans="1:13" s="1444" customFormat="1">
      <c r="A579" s="1305"/>
      <c r="B579" s="1306"/>
      <c r="C579" s="1255"/>
      <c r="D579" s="1445"/>
      <c r="E579" s="1309"/>
      <c r="F579" s="1309"/>
      <c r="G579" s="1255"/>
      <c r="H579" s="1310"/>
      <c r="I579" s="1311"/>
      <c r="J579" s="1312"/>
      <c r="K579" s="1313"/>
      <c r="L579" s="1313"/>
      <c r="M579" s="1255"/>
    </row>
    <row r="580" spans="1:13" s="1444" customFormat="1">
      <c r="A580" s="1305"/>
      <c r="B580" s="1306"/>
      <c r="C580" s="1255"/>
      <c r="D580" s="1445"/>
      <c r="E580" s="1309"/>
      <c r="F580" s="1309"/>
      <c r="G580" s="1255"/>
      <c r="H580" s="1310"/>
      <c r="I580" s="1311"/>
      <c r="J580" s="1312"/>
      <c r="K580" s="1313"/>
      <c r="L580" s="1313"/>
      <c r="M580" s="1255"/>
    </row>
    <row r="581" spans="1:13" s="1444" customFormat="1">
      <c r="A581" s="1305"/>
      <c r="B581" s="1306"/>
      <c r="C581" s="1255"/>
      <c r="D581" s="1445"/>
      <c r="E581" s="1309"/>
      <c r="F581" s="1309"/>
      <c r="G581" s="1255"/>
      <c r="H581" s="1310"/>
      <c r="I581" s="1311"/>
      <c r="J581" s="1312"/>
      <c r="K581" s="1313"/>
      <c r="L581" s="1313"/>
      <c r="M581" s="1255"/>
    </row>
    <row r="582" spans="1:13" s="1444" customFormat="1">
      <c r="A582" s="1305"/>
      <c r="B582" s="1306"/>
      <c r="C582" s="1255"/>
      <c r="D582" s="1445"/>
      <c r="E582" s="1309"/>
      <c r="F582" s="1309"/>
      <c r="G582" s="1255"/>
      <c r="H582" s="1310"/>
      <c r="I582" s="1311"/>
      <c r="J582" s="1312"/>
      <c r="K582" s="1313"/>
      <c r="L582" s="1313"/>
      <c r="M582" s="1255"/>
    </row>
    <row r="583" spans="1:13" s="1444" customFormat="1">
      <c r="A583" s="1305"/>
      <c r="B583" s="1306"/>
      <c r="C583" s="1255"/>
      <c r="D583" s="1445"/>
      <c r="E583" s="1309"/>
      <c r="F583" s="1309"/>
      <c r="G583" s="1255"/>
      <c r="H583" s="1310"/>
      <c r="I583" s="1311"/>
      <c r="J583" s="1312"/>
      <c r="K583" s="1313"/>
      <c r="L583" s="1313"/>
      <c r="M583" s="1255"/>
    </row>
    <row r="584" spans="1:13" s="1444" customFormat="1">
      <c r="A584" s="1305"/>
      <c r="B584" s="1306"/>
      <c r="C584" s="1255"/>
      <c r="D584" s="1445"/>
      <c r="E584" s="1309"/>
      <c r="F584" s="1309"/>
      <c r="G584" s="1255"/>
      <c r="H584" s="1310"/>
      <c r="I584" s="1311"/>
      <c r="J584" s="1312"/>
      <c r="K584" s="1313"/>
      <c r="L584" s="1313"/>
      <c r="M584" s="1255"/>
    </row>
    <row r="585" spans="1:13" s="1444" customFormat="1">
      <c r="A585" s="1305"/>
      <c r="B585" s="1306"/>
      <c r="C585" s="1255"/>
      <c r="D585" s="1445"/>
      <c r="E585" s="1309"/>
      <c r="F585" s="1309"/>
      <c r="G585" s="1255"/>
      <c r="H585" s="1310"/>
      <c r="I585" s="1311"/>
      <c r="J585" s="1312"/>
      <c r="K585" s="1313"/>
      <c r="L585" s="1313"/>
      <c r="M585" s="1255"/>
    </row>
    <row r="586" spans="1:13" s="1444" customFormat="1">
      <c r="A586" s="1305"/>
      <c r="B586" s="1306"/>
      <c r="C586" s="1255"/>
      <c r="D586" s="1445"/>
      <c r="E586" s="1309"/>
      <c r="F586" s="1309"/>
      <c r="G586" s="1255"/>
      <c r="H586" s="1310"/>
      <c r="I586" s="1311"/>
      <c r="J586" s="1312"/>
      <c r="K586" s="1313"/>
      <c r="L586" s="1313"/>
      <c r="M586" s="1255"/>
    </row>
    <row r="587" spans="1:13" s="1444" customFormat="1">
      <c r="A587" s="1305"/>
      <c r="B587" s="1306"/>
      <c r="C587" s="1255"/>
      <c r="D587" s="1445"/>
      <c r="E587" s="1309"/>
      <c r="F587" s="1309"/>
      <c r="G587" s="1255"/>
      <c r="H587" s="1310"/>
      <c r="I587" s="1311"/>
      <c r="J587" s="1312"/>
      <c r="K587" s="1313"/>
      <c r="L587" s="1313"/>
      <c r="M587" s="1255"/>
    </row>
    <row r="588" spans="1:13" s="1444" customFormat="1">
      <c r="A588" s="1305"/>
      <c r="B588" s="1306"/>
      <c r="C588" s="1255"/>
      <c r="D588" s="1445"/>
      <c r="E588" s="1309"/>
      <c r="F588" s="1309"/>
      <c r="G588" s="1255"/>
      <c r="H588" s="1310"/>
      <c r="I588" s="1311"/>
      <c r="J588" s="1312"/>
      <c r="K588" s="1313"/>
      <c r="L588" s="1313"/>
      <c r="M588" s="1255"/>
    </row>
    <row r="589" spans="1:13" s="1444" customFormat="1">
      <c r="A589" s="1305"/>
      <c r="B589" s="1306"/>
      <c r="C589" s="1255"/>
      <c r="D589" s="1445"/>
      <c r="E589" s="1309"/>
      <c r="F589" s="1309"/>
      <c r="G589" s="1255"/>
      <c r="H589" s="1310"/>
      <c r="I589" s="1311"/>
      <c r="J589" s="1312"/>
      <c r="K589" s="1313"/>
      <c r="L589" s="1313"/>
      <c r="M589" s="1255"/>
    </row>
    <row r="590" spans="1:13" s="1444" customFormat="1">
      <c r="A590" s="1305"/>
      <c r="B590" s="1306"/>
      <c r="C590" s="1255"/>
      <c r="D590" s="1445"/>
      <c r="E590" s="1309"/>
      <c r="F590" s="1309"/>
      <c r="G590" s="1255"/>
      <c r="H590" s="1310"/>
      <c r="I590" s="1311"/>
      <c r="J590" s="1312"/>
      <c r="K590" s="1313"/>
      <c r="L590" s="1313"/>
      <c r="M590" s="1255"/>
    </row>
    <row r="591" spans="1:13" s="1444" customFormat="1">
      <c r="A591" s="1305"/>
      <c r="B591" s="1306"/>
      <c r="C591" s="1255"/>
      <c r="D591" s="1445"/>
      <c r="E591" s="1309"/>
      <c r="F591" s="1309"/>
      <c r="G591" s="1255"/>
      <c r="H591" s="1310"/>
      <c r="I591" s="1311"/>
      <c r="J591" s="1312"/>
      <c r="K591" s="1313"/>
      <c r="L591" s="1313"/>
      <c r="M591" s="1255"/>
    </row>
    <row r="592" spans="1:13" s="1444" customFormat="1">
      <c r="A592" s="1305"/>
      <c r="B592" s="1306"/>
      <c r="C592" s="1255"/>
      <c r="D592" s="1445"/>
      <c r="E592" s="1309"/>
      <c r="F592" s="1309"/>
      <c r="G592" s="1255"/>
      <c r="H592" s="1310"/>
      <c r="I592" s="1311"/>
      <c r="J592" s="1312"/>
      <c r="K592" s="1313"/>
      <c r="L592" s="1313"/>
      <c r="M592" s="1255"/>
    </row>
    <row r="593" spans="1:13" s="1444" customFormat="1">
      <c r="A593" s="1305"/>
      <c r="B593" s="1306"/>
      <c r="C593" s="1255"/>
      <c r="D593" s="1445"/>
      <c r="E593" s="1309"/>
      <c r="F593" s="1309"/>
      <c r="G593" s="1255"/>
      <c r="H593" s="1310"/>
      <c r="I593" s="1311"/>
      <c r="J593" s="1312"/>
      <c r="K593" s="1313"/>
      <c r="L593" s="1313"/>
      <c r="M593" s="1255"/>
    </row>
    <row r="594" spans="1:13" s="1444" customFormat="1">
      <c r="A594" s="1305"/>
      <c r="B594" s="1306"/>
      <c r="C594" s="1255"/>
      <c r="D594" s="1445"/>
      <c r="E594" s="1309"/>
      <c r="F594" s="1309"/>
      <c r="G594" s="1255"/>
      <c r="H594" s="1310"/>
      <c r="I594" s="1311"/>
      <c r="J594" s="1312"/>
      <c r="K594" s="1313"/>
      <c r="L594" s="1313"/>
      <c r="M594" s="1255"/>
    </row>
    <row r="595" spans="1:13" s="1444" customFormat="1">
      <c r="A595" s="1305"/>
      <c r="B595" s="1306"/>
      <c r="C595" s="1255"/>
      <c r="D595" s="1445"/>
      <c r="E595" s="1309"/>
      <c r="F595" s="1309"/>
      <c r="G595" s="1255"/>
      <c r="H595" s="1310"/>
      <c r="I595" s="1311"/>
      <c r="J595" s="1312"/>
      <c r="K595" s="1313"/>
      <c r="L595" s="1313"/>
      <c r="M595" s="1255"/>
    </row>
    <row r="596" spans="1:13" s="1444" customFormat="1">
      <c r="A596" s="1305"/>
      <c r="B596" s="1306"/>
      <c r="C596" s="1255"/>
      <c r="D596" s="1445"/>
      <c r="E596" s="1309"/>
      <c r="F596" s="1309"/>
      <c r="G596" s="1255"/>
      <c r="H596" s="1310"/>
      <c r="I596" s="1311"/>
      <c r="J596" s="1312"/>
      <c r="K596" s="1313"/>
      <c r="L596" s="1313"/>
      <c r="M596" s="1255"/>
    </row>
    <row r="597" spans="1:13" s="1444" customFormat="1">
      <c r="A597" s="1305"/>
      <c r="B597" s="1306"/>
      <c r="C597" s="1255"/>
      <c r="D597" s="1445"/>
      <c r="E597" s="1309"/>
      <c r="F597" s="1309"/>
      <c r="G597" s="1255"/>
      <c r="H597" s="1310"/>
      <c r="I597" s="1311"/>
      <c r="J597" s="1312"/>
      <c r="K597" s="1313"/>
      <c r="L597" s="1313"/>
      <c r="M597" s="1255"/>
    </row>
    <row r="598" spans="1:13" s="1444" customFormat="1">
      <c r="A598" s="1305"/>
      <c r="B598" s="1306"/>
      <c r="C598" s="1255"/>
      <c r="D598" s="1445"/>
      <c r="E598" s="1309"/>
      <c r="F598" s="1309"/>
      <c r="G598" s="1255"/>
      <c r="H598" s="1310"/>
      <c r="I598" s="1311"/>
      <c r="J598" s="1312"/>
      <c r="K598" s="1313"/>
      <c r="L598" s="1313"/>
      <c r="M598" s="1255"/>
    </row>
    <row r="599" spans="1:13" s="1444" customFormat="1">
      <c r="A599" s="1305"/>
      <c r="B599" s="1306"/>
      <c r="C599" s="1255"/>
      <c r="D599" s="1445"/>
      <c r="E599" s="1309"/>
      <c r="F599" s="1309"/>
      <c r="G599" s="1255"/>
      <c r="H599" s="1310"/>
      <c r="I599" s="1311"/>
      <c r="J599" s="1312"/>
      <c r="K599" s="1313"/>
      <c r="L599" s="1313"/>
      <c r="M599" s="1255"/>
    </row>
    <row r="600" spans="1:13" s="1444" customFormat="1">
      <c r="A600" s="1305"/>
      <c r="B600" s="1306"/>
      <c r="C600" s="1255"/>
      <c r="D600" s="1445"/>
      <c r="E600" s="1309"/>
      <c r="F600" s="1309"/>
      <c r="G600" s="1255"/>
      <c r="H600" s="1310"/>
      <c r="I600" s="1311"/>
      <c r="J600" s="1312"/>
      <c r="K600" s="1313"/>
      <c r="L600" s="1313"/>
      <c r="M600" s="1255"/>
    </row>
    <row r="601" spans="1:13" s="1444" customFormat="1">
      <c r="A601" s="1305"/>
      <c r="B601" s="1306"/>
      <c r="C601" s="1255"/>
      <c r="D601" s="1445"/>
      <c r="E601" s="1309"/>
      <c r="F601" s="1309"/>
      <c r="G601" s="1255"/>
      <c r="H601" s="1310"/>
      <c r="I601" s="1311"/>
      <c r="J601" s="1312"/>
      <c r="K601" s="1313"/>
      <c r="L601" s="1313"/>
      <c r="M601" s="1255"/>
    </row>
    <row r="602" spans="1:13" s="1444" customFormat="1">
      <c r="A602" s="1305"/>
      <c r="B602" s="1306"/>
      <c r="C602" s="1255"/>
      <c r="D602" s="1445"/>
      <c r="E602" s="1309"/>
      <c r="F602" s="1309"/>
      <c r="G602" s="1255"/>
      <c r="H602" s="1310"/>
      <c r="I602" s="1311"/>
      <c r="J602" s="1312"/>
      <c r="K602" s="1313"/>
      <c r="L602" s="1313"/>
      <c r="M602" s="1255"/>
    </row>
    <row r="603" spans="1:13" s="1444" customFormat="1">
      <c r="A603" s="1305"/>
      <c r="B603" s="1306"/>
      <c r="C603" s="1255"/>
      <c r="D603" s="1445"/>
      <c r="E603" s="1309"/>
      <c r="F603" s="1309"/>
      <c r="G603" s="1255"/>
      <c r="H603" s="1310"/>
      <c r="I603" s="1311"/>
      <c r="J603" s="1312"/>
      <c r="K603" s="1313"/>
      <c r="L603" s="1313"/>
      <c r="M603" s="1255"/>
    </row>
    <row r="604" spans="1:13" s="1444" customFormat="1">
      <c r="A604" s="1305"/>
      <c r="B604" s="1306"/>
      <c r="C604" s="1255"/>
      <c r="D604" s="1445"/>
      <c r="E604" s="1309"/>
      <c r="F604" s="1309"/>
      <c r="G604" s="1255"/>
      <c r="H604" s="1310"/>
      <c r="I604" s="1311"/>
      <c r="J604" s="1312"/>
      <c r="K604" s="1313"/>
      <c r="L604" s="1313"/>
      <c r="M604" s="1255"/>
    </row>
    <row r="605" spans="1:13" s="1444" customFormat="1">
      <c r="A605" s="1305"/>
      <c r="B605" s="1306"/>
      <c r="C605" s="1255"/>
      <c r="D605" s="1445"/>
      <c r="E605" s="1309"/>
      <c r="F605" s="1309"/>
      <c r="G605" s="1255"/>
      <c r="H605" s="1310"/>
      <c r="I605" s="1311"/>
      <c r="J605" s="1312"/>
      <c r="K605" s="1313"/>
      <c r="L605" s="1313"/>
      <c r="M605" s="1255"/>
    </row>
    <row r="606" spans="1:13" s="1444" customFormat="1">
      <c r="A606" s="1305"/>
      <c r="B606" s="1306"/>
      <c r="C606" s="1255"/>
      <c r="D606" s="1445"/>
      <c r="E606" s="1309"/>
      <c r="F606" s="1309"/>
      <c r="G606" s="1255"/>
      <c r="H606" s="1310"/>
      <c r="I606" s="1311"/>
      <c r="J606" s="1312"/>
      <c r="K606" s="1313"/>
      <c r="L606" s="1313"/>
      <c r="M606" s="1255"/>
    </row>
    <row r="607" spans="1:13" s="1444" customFormat="1">
      <c r="A607" s="1305"/>
      <c r="B607" s="1306"/>
      <c r="C607" s="1255"/>
      <c r="D607" s="1445"/>
      <c r="E607" s="1309"/>
      <c r="F607" s="1309"/>
      <c r="G607" s="1255"/>
      <c r="H607" s="1310"/>
      <c r="I607" s="1311"/>
      <c r="J607" s="1312"/>
      <c r="K607" s="1313"/>
      <c r="L607" s="1313"/>
      <c r="M607" s="1255"/>
    </row>
    <row r="608" spans="1:13" s="1444" customFormat="1">
      <c r="A608" s="1305"/>
      <c r="B608" s="1306"/>
      <c r="C608" s="1255"/>
      <c r="D608" s="1445"/>
      <c r="E608" s="1309"/>
      <c r="F608" s="1309"/>
      <c r="G608" s="1255"/>
      <c r="H608" s="1310"/>
      <c r="I608" s="1311"/>
      <c r="J608" s="1312"/>
      <c r="K608" s="1313"/>
      <c r="L608" s="1313"/>
      <c r="M608" s="1255"/>
    </row>
    <row r="609" spans="1:13" s="1444" customFormat="1">
      <c r="A609" s="1305"/>
      <c r="B609" s="1306"/>
      <c r="C609" s="1255"/>
      <c r="D609" s="1445"/>
      <c r="E609" s="1309"/>
      <c r="F609" s="1309"/>
      <c r="G609" s="1255"/>
      <c r="H609" s="1310"/>
      <c r="I609" s="1311"/>
      <c r="J609" s="1312"/>
      <c r="K609" s="1313"/>
      <c r="L609" s="1313"/>
      <c r="M609" s="1255"/>
    </row>
    <row r="610" spans="1:13" s="1444" customFormat="1">
      <c r="A610" s="1305"/>
      <c r="B610" s="1306"/>
      <c r="C610" s="1255"/>
      <c r="D610" s="1445"/>
      <c r="E610" s="1309"/>
      <c r="F610" s="1309"/>
      <c r="G610" s="1255"/>
      <c r="H610" s="1310"/>
      <c r="I610" s="1311"/>
      <c r="J610" s="1312"/>
      <c r="K610" s="1313"/>
      <c r="L610" s="1313"/>
      <c r="M610" s="1255"/>
    </row>
    <row r="611" spans="1:13" s="1444" customFormat="1">
      <c r="A611" s="1305"/>
      <c r="B611" s="1306"/>
      <c r="C611" s="1255"/>
      <c r="D611" s="1445"/>
      <c r="E611" s="1309"/>
      <c r="F611" s="1309"/>
      <c r="G611" s="1255"/>
      <c r="H611" s="1310"/>
      <c r="I611" s="1311"/>
      <c r="J611" s="1312"/>
      <c r="K611" s="1313"/>
      <c r="L611" s="1313"/>
      <c r="M611" s="1255"/>
    </row>
    <row r="612" spans="1:13" s="1444" customFormat="1">
      <c r="A612" s="1305"/>
      <c r="B612" s="1306"/>
      <c r="C612" s="1255"/>
      <c r="D612" s="1445"/>
      <c r="E612" s="1309"/>
      <c r="F612" s="1309"/>
      <c r="G612" s="1255"/>
      <c r="H612" s="1310"/>
      <c r="I612" s="1311"/>
      <c r="J612" s="1312"/>
      <c r="K612" s="1313"/>
      <c r="L612" s="1313"/>
      <c r="M612" s="1255"/>
    </row>
    <row r="613" spans="1:13" s="1444" customFormat="1">
      <c r="A613" s="1305"/>
      <c r="B613" s="1306"/>
      <c r="C613" s="1255"/>
      <c r="D613" s="1445"/>
      <c r="E613" s="1309"/>
      <c r="F613" s="1309"/>
      <c r="G613" s="1255"/>
      <c r="H613" s="1310"/>
      <c r="I613" s="1311"/>
      <c r="J613" s="1312"/>
      <c r="K613" s="1313"/>
      <c r="L613" s="1313"/>
      <c r="M613" s="1255"/>
    </row>
    <row r="614" spans="1:13" s="1444" customFormat="1">
      <c r="A614" s="1305"/>
      <c r="B614" s="1306"/>
      <c r="C614" s="1255"/>
      <c r="D614" s="1445"/>
      <c r="E614" s="1309"/>
      <c r="F614" s="1309"/>
      <c r="G614" s="1255"/>
      <c r="H614" s="1310"/>
      <c r="I614" s="1311"/>
      <c r="J614" s="1312"/>
      <c r="K614" s="1313"/>
      <c r="L614" s="1313"/>
      <c r="M614" s="1255"/>
    </row>
    <row r="615" spans="1:13" s="1444" customFormat="1">
      <c r="A615" s="1305"/>
      <c r="B615" s="1306"/>
      <c r="C615" s="1255"/>
      <c r="D615" s="1445"/>
      <c r="E615" s="1309"/>
      <c r="F615" s="1309"/>
      <c r="G615" s="1255"/>
      <c r="H615" s="1310"/>
      <c r="I615" s="1311"/>
      <c r="J615" s="1312"/>
      <c r="K615" s="1313"/>
      <c r="L615" s="1313"/>
      <c r="M615" s="1255"/>
    </row>
    <row r="616" spans="1:13" s="1444" customFormat="1">
      <c r="A616" s="1305"/>
      <c r="B616" s="1306"/>
      <c r="C616" s="1255"/>
      <c r="D616" s="1445"/>
      <c r="E616" s="1309"/>
      <c r="F616" s="1309"/>
      <c r="G616" s="1255"/>
      <c r="H616" s="1310"/>
      <c r="I616" s="1311"/>
      <c r="J616" s="1312"/>
      <c r="K616" s="1313"/>
      <c r="L616" s="1313"/>
      <c r="M616" s="1255"/>
    </row>
    <row r="617" spans="1:13" s="1444" customFormat="1">
      <c r="A617" s="1305"/>
      <c r="B617" s="1306"/>
      <c r="C617" s="1255"/>
      <c r="D617" s="1445"/>
      <c r="E617" s="1309"/>
      <c r="F617" s="1309"/>
      <c r="G617" s="1255"/>
      <c r="H617" s="1310"/>
      <c r="I617" s="1311"/>
      <c r="J617" s="1312"/>
      <c r="K617" s="1313"/>
      <c r="L617" s="1313"/>
      <c r="M617" s="1255"/>
    </row>
    <row r="618" spans="1:13" s="1444" customFormat="1">
      <c r="A618" s="1305"/>
      <c r="B618" s="1306"/>
      <c r="C618" s="1255"/>
      <c r="D618" s="1445"/>
      <c r="E618" s="1309"/>
      <c r="F618" s="1309"/>
      <c r="G618" s="1255"/>
      <c r="H618" s="1310"/>
      <c r="I618" s="1311"/>
      <c r="J618" s="1312"/>
      <c r="K618" s="1313"/>
      <c r="L618" s="1313"/>
      <c r="M618" s="1255"/>
    </row>
    <row r="619" spans="1:13" s="1444" customFormat="1">
      <c r="A619" s="1305"/>
      <c r="B619" s="1306"/>
      <c r="C619" s="1255"/>
      <c r="D619" s="1445"/>
      <c r="E619" s="1309"/>
      <c r="F619" s="1309"/>
      <c r="G619" s="1255"/>
      <c r="H619" s="1310"/>
      <c r="I619" s="1311"/>
      <c r="J619" s="1312"/>
      <c r="K619" s="1313"/>
      <c r="L619" s="1313"/>
      <c r="M619" s="1255"/>
    </row>
    <row r="620" spans="1:13" s="1444" customFormat="1">
      <c r="A620" s="1305"/>
      <c r="B620" s="1306"/>
      <c r="C620" s="1255"/>
      <c r="D620" s="1445"/>
      <c r="E620" s="1309"/>
      <c r="F620" s="1309"/>
      <c r="G620" s="1255"/>
      <c r="H620" s="1310"/>
      <c r="I620" s="1311"/>
      <c r="J620" s="1312"/>
      <c r="K620" s="1313"/>
      <c r="L620" s="1313"/>
      <c r="M620" s="1255"/>
    </row>
    <row r="621" spans="1:13" s="1444" customFormat="1">
      <c r="A621" s="1305"/>
      <c r="B621" s="1306"/>
      <c r="C621" s="1255"/>
      <c r="D621" s="1445"/>
      <c r="E621" s="1309"/>
      <c r="F621" s="1309"/>
      <c r="G621" s="1255"/>
      <c r="H621" s="1310"/>
      <c r="I621" s="1311"/>
      <c r="J621" s="1312"/>
      <c r="K621" s="1313"/>
      <c r="L621" s="1313"/>
      <c r="M621" s="1255"/>
    </row>
    <row r="622" spans="1:13" s="1444" customFormat="1">
      <c r="A622" s="1305"/>
      <c r="B622" s="1306"/>
      <c r="C622" s="1255"/>
      <c r="D622" s="1445"/>
      <c r="E622" s="1309"/>
      <c r="F622" s="1309"/>
      <c r="G622" s="1255"/>
      <c r="H622" s="1310"/>
      <c r="I622" s="1311"/>
      <c r="J622" s="1312"/>
      <c r="K622" s="1313"/>
      <c r="L622" s="1313"/>
      <c r="M622" s="1255"/>
    </row>
    <row r="623" spans="1:13" s="1444" customFormat="1">
      <c r="A623" s="1305"/>
      <c r="B623" s="1306"/>
      <c r="C623" s="1255"/>
      <c r="D623" s="1445"/>
      <c r="E623" s="1309"/>
      <c r="F623" s="1309"/>
      <c r="G623" s="1255"/>
      <c r="H623" s="1310"/>
      <c r="I623" s="1311"/>
      <c r="J623" s="1312"/>
      <c r="K623" s="1313"/>
      <c r="L623" s="1313"/>
      <c r="M623" s="1255"/>
    </row>
    <row r="624" spans="1:13" s="1444" customFormat="1">
      <c r="A624" s="1305"/>
      <c r="B624" s="1306"/>
      <c r="C624" s="1255"/>
      <c r="D624" s="1445"/>
      <c r="E624" s="1309"/>
      <c r="F624" s="1309"/>
      <c r="G624" s="1255"/>
      <c r="H624" s="1310"/>
      <c r="I624" s="1311"/>
      <c r="J624" s="1312"/>
      <c r="K624" s="1313"/>
      <c r="L624" s="1313"/>
      <c r="M624" s="1255"/>
    </row>
    <row r="625" spans="1:13" s="1444" customFormat="1">
      <c r="A625" s="1305"/>
      <c r="B625" s="1306"/>
      <c r="C625" s="1255"/>
      <c r="D625" s="1445"/>
      <c r="E625" s="1309"/>
      <c r="F625" s="1309"/>
      <c r="G625" s="1255"/>
      <c r="H625" s="1310"/>
      <c r="I625" s="1311"/>
      <c r="J625" s="1312"/>
      <c r="K625" s="1313"/>
      <c r="L625" s="1313"/>
      <c r="M625" s="1255"/>
    </row>
    <row r="626" spans="1:13" s="1444" customFormat="1">
      <c r="A626" s="1305"/>
      <c r="B626" s="1306"/>
      <c r="C626" s="1255"/>
      <c r="D626" s="1445"/>
      <c r="E626" s="1309"/>
      <c r="F626" s="1309"/>
      <c r="G626" s="1255"/>
      <c r="H626" s="1310"/>
      <c r="I626" s="1311"/>
      <c r="J626" s="1312"/>
      <c r="K626" s="1313"/>
      <c r="L626" s="1313"/>
      <c r="M626" s="1255"/>
    </row>
    <row r="627" spans="1:13" s="1444" customFormat="1">
      <c r="A627" s="1305"/>
      <c r="B627" s="1306"/>
      <c r="C627" s="1255"/>
      <c r="D627" s="1445"/>
      <c r="E627" s="1309"/>
      <c r="F627" s="1309"/>
      <c r="G627" s="1255"/>
      <c r="H627" s="1310"/>
      <c r="I627" s="1311"/>
      <c r="J627" s="1312"/>
      <c r="K627" s="1313"/>
      <c r="L627" s="1313"/>
      <c r="M627" s="1255"/>
    </row>
    <row r="628" spans="1:13" s="1444" customFormat="1">
      <c r="A628" s="1305"/>
      <c r="B628" s="1306"/>
      <c r="C628" s="1255"/>
      <c r="D628" s="1445"/>
      <c r="E628" s="1309"/>
      <c r="F628" s="1309"/>
      <c r="G628" s="1255"/>
      <c r="H628" s="1310"/>
      <c r="I628" s="1311"/>
      <c r="J628" s="1312"/>
      <c r="K628" s="1313"/>
      <c r="L628" s="1313"/>
      <c r="M628" s="1255"/>
    </row>
    <row r="629" spans="1:13" s="1444" customFormat="1">
      <c r="A629" s="1305"/>
      <c r="B629" s="1306"/>
      <c r="C629" s="1255"/>
      <c r="D629" s="1445"/>
      <c r="E629" s="1309"/>
      <c r="F629" s="1309"/>
      <c r="G629" s="1255"/>
      <c r="H629" s="1310"/>
      <c r="I629" s="1311"/>
      <c r="J629" s="1312"/>
      <c r="K629" s="1313"/>
      <c r="L629" s="1313"/>
      <c r="M629" s="1255"/>
    </row>
    <row r="630" spans="1:13" s="1444" customFormat="1">
      <c r="A630" s="1305"/>
      <c r="B630" s="1306"/>
      <c r="C630" s="1255"/>
      <c r="D630" s="1445"/>
      <c r="E630" s="1309"/>
      <c r="F630" s="1309"/>
      <c r="G630" s="1255"/>
      <c r="H630" s="1310"/>
      <c r="I630" s="1311"/>
      <c r="J630" s="1312"/>
      <c r="K630" s="1313"/>
      <c r="L630" s="1313"/>
      <c r="M630" s="1255"/>
    </row>
    <row r="631" spans="1:13" s="1444" customFormat="1">
      <c r="A631" s="1305"/>
      <c r="B631" s="1306"/>
      <c r="C631" s="1255"/>
      <c r="D631" s="1445"/>
      <c r="E631" s="1309"/>
      <c r="F631" s="1309"/>
      <c r="G631" s="1255"/>
      <c r="H631" s="1310"/>
      <c r="I631" s="1311"/>
      <c r="J631" s="1312"/>
      <c r="K631" s="1313"/>
      <c r="L631" s="1313"/>
      <c r="M631" s="1255"/>
    </row>
    <row r="632" spans="1:13" s="1444" customFormat="1">
      <c r="A632" s="1305"/>
      <c r="B632" s="1306"/>
      <c r="C632" s="1255"/>
      <c r="D632" s="1445"/>
      <c r="E632" s="1309"/>
      <c r="F632" s="1309"/>
      <c r="G632" s="1255"/>
      <c r="H632" s="1310"/>
      <c r="I632" s="1311"/>
      <c r="J632" s="1312"/>
      <c r="K632" s="1313"/>
      <c r="L632" s="1313"/>
      <c r="M632" s="1255"/>
    </row>
    <row r="633" spans="1:13" s="1444" customFormat="1">
      <c r="A633" s="1305"/>
      <c r="B633" s="1306"/>
      <c r="C633" s="1255"/>
      <c r="D633" s="1445"/>
      <c r="E633" s="1309"/>
      <c r="F633" s="1309"/>
      <c r="G633" s="1255"/>
      <c r="H633" s="1310"/>
      <c r="I633" s="1311"/>
      <c r="J633" s="1312"/>
      <c r="K633" s="1313"/>
      <c r="L633" s="1313"/>
      <c r="M633" s="1255"/>
    </row>
    <row r="634" spans="1:13" s="1444" customFormat="1">
      <c r="A634" s="1305"/>
      <c r="B634" s="1306"/>
      <c r="C634" s="1255"/>
      <c r="D634" s="1445"/>
      <c r="E634" s="1309"/>
      <c r="F634" s="1309"/>
      <c r="G634" s="1255"/>
      <c r="H634" s="1310"/>
      <c r="I634" s="1311"/>
      <c r="J634" s="1312"/>
      <c r="K634" s="1313"/>
      <c r="L634" s="1313"/>
      <c r="M634" s="1255"/>
    </row>
    <row r="635" spans="1:13" s="1444" customFormat="1">
      <c r="A635" s="1305"/>
      <c r="B635" s="1306"/>
      <c r="C635" s="1255"/>
      <c r="D635" s="1445"/>
      <c r="E635" s="1309"/>
      <c r="F635" s="1309"/>
      <c r="G635" s="1255"/>
      <c r="H635" s="1310"/>
      <c r="I635" s="1311"/>
      <c r="J635" s="1312"/>
      <c r="K635" s="1313"/>
      <c r="L635" s="1313"/>
      <c r="M635" s="1255"/>
    </row>
    <row r="636" spans="1:13" s="1444" customFormat="1">
      <c r="A636" s="1305"/>
      <c r="B636" s="1306"/>
      <c r="C636" s="1255"/>
      <c r="D636" s="1445"/>
      <c r="E636" s="1309"/>
      <c r="F636" s="1309"/>
      <c r="G636" s="1255"/>
      <c r="H636" s="1310"/>
      <c r="I636" s="1311"/>
      <c r="J636" s="1312"/>
      <c r="K636" s="1313"/>
      <c r="L636" s="1313"/>
      <c r="M636" s="1255"/>
    </row>
    <row r="637" spans="1:13" s="1444" customFormat="1">
      <c r="A637" s="1305"/>
      <c r="B637" s="1306"/>
      <c r="C637" s="1255"/>
      <c r="D637" s="1445"/>
      <c r="E637" s="1309"/>
      <c r="F637" s="1309"/>
      <c r="G637" s="1255"/>
      <c r="H637" s="1310"/>
      <c r="I637" s="1311"/>
      <c r="J637" s="1312"/>
      <c r="K637" s="1313"/>
      <c r="L637" s="1313"/>
      <c r="M637" s="1255"/>
    </row>
    <row r="638" spans="1:13" s="1444" customFormat="1">
      <c r="A638" s="1305"/>
      <c r="B638" s="1306"/>
      <c r="C638" s="1255"/>
      <c r="D638" s="1445"/>
      <c r="E638" s="1309"/>
      <c r="F638" s="1309"/>
      <c r="G638" s="1255"/>
      <c r="H638" s="1310"/>
      <c r="I638" s="1311"/>
      <c r="J638" s="1312"/>
      <c r="K638" s="1313"/>
      <c r="L638" s="1313"/>
      <c r="M638" s="1255"/>
    </row>
    <row r="639" spans="1:13" s="1444" customFormat="1">
      <c r="A639" s="1305"/>
      <c r="B639" s="1306"/>
      <c r="C639" s="1255"/>
      <c r="D639" s="1445"/>
      <c r="E639" s="1309"/>
      <c r="F639" s="1309"/>
      <c r="G639" s="1255"/>
      <c r="H639" s="1310"/>
      <c r="I639" s="1311"/>
      <c r="J639" s="1312"/>
      <c r="K639" s="1313"/>
      <c r="L639" s="1313"/>
      <c r="M639" s="1255"/>
    </row>
    <row r="640" spans="1:13" s="1444" customFormat="1">
      <c r="A640" s="1305"/>
      <c r="B640" s="1306"/>
      <c r="C640" s="1255"/>
      <c r="D640" s="1445"/>
      <c r="E640" s="1309"/>
      <c r="F640" s="1309"/>
      <c r="G640" s="1255"/>
      <c r="H640" s="1310"/>
      <c r="I640" s="1311"/>
      <c r="J640" s="1312"/>
      <c r="K640" s="1313"/>
      <c r="L640" s="1313"/>
      <c r="M640" s="1255"/>
    </row>
    <row r="641" spans="1:13" s="1444" customFormat="1">
      <c r="A641" s="1305"/>
      <c r="B641" s="1306"/>
      <c r="C641" s="1255"/>
      <c r="D641" s="1445"/>
      <c r="E641" s="1309"/>
      <c r="F641" s="1309"/>
      <c r="G641" s="1255"/>
      <c r="H641" s="1310"/>
      <c r="I641" s="1311"/>
      <c r="J641" s="1312"/>
      <c r="K641" s="1313"/>
      <c r="L641" s="1313"/>
      <c r="M641" s="1255"/>
    </row>
    <row r="642" spans="1:13" s="1444" customFormat="1">
      <c r="A642" s="1305"/>
      <c r="B642" s="1306"/>
      <c r="C642" s="1255"/>
      <c r="D642" s="1445"/>
      <c r="E642" s="1309"/>
      <c r="F642" s="1309"/>
      <c r="G642" s="1255"/>
      <c r="H642" s="1310"/>
      <c r="I642" s="1311"/>
      <c r="J642" s="1312"/>
      <c r="K642" s="1313"/>
      <c r="L642" s="1313"/>
      <c r="M642" s="1255"/>
    </row>
    <row r="643" spans="1:13" s="1444" customFormat="1">
      <c r="A643" s="1305"/>
      <c r="B643" s="1306"/>
      <c r="C643" s="1255"/>
      <c r="D643" s="1445"/>
      <c r="E643" s="1309"/>
      <c r="F643" s="1309"/>
      <c r="G643" s="1255"/>
      <c r="H643" s="1310"/>
      <c r="I643" s="1311"/>
      <c r="J643" s="1312"/>
      <c r="K643" s="1313"/>
      <c r="L643" s="1313"/>
      <c r="M643" s="1255"/>
    </row>
    <row r="644" spans="1:13" s="1444" customFormat="1">
      <c r="A644" s="1305"/>
      <c r="B644" s="1306"/>
      <c r="C644" s="1255"/>
      <c r="D644" s="1445"/>
      <c r="E644" s="1309"/>
      <c r="F644" s="1309"/>
      <c r="G644" s="1255"/>
      <c r="H644" s="1310"/>
      <c r="I644" s="1311"/>
      <c r="J644" s="1312"/>
      <c r="K644" s="1313"/>
      <c r="L644" s="1313"/>
      <c r="M644" s="1255"/>
    </row>
    <row r="645" spans="1:13" s="1444" customFormat="1">
      <c r="A645" s="1305"/>
      <c r="B645" s="1306"/>
      <c r="C645" s="1255"/>
      <c r="D645" s="1445"/>
      <c r="E645" s="1309"/>
      <c r="F645" s="1309"/>
      <c r="G645" s="1255"/>
      <c r="H645" s="1310"/>
      <c r="I645" s="1311"/>
      <c r="J645" s="1312"/>
      <c r="K645" s="1313"/>
      <c r="L645" s="1313"/>
      <c r="M645" s="1255"/>
    </row>
    <row r="646" spans="1:13" s="1444" customFormat="1">
      <c r="A646" s="1305"/>
      <c r="B646" s="1306"/>
      <c r="C646" s="1255"/>
      <c r="D646" s="1445"/>
      <c r="E646" s="1309"/>
      <c r="F646" s="1309"/>
      <c r="G646" s="1255"/>
      <c r="H646" s="1310"/>
      <c r="I646" s="1311"/>
      <c r="J646" s="1312"/>
      <c r="K646" s="1313"/>
      <c r="L646" s="1313"/>
      <c r="M646" s="1255"/>
    </row>
    <row r="647" spans="1:13" s="1444" customFormat="1">
      <c r="A647" s="1305"/>
      <c r="B647" s="1306"/>
      <c r="C647" s="1255"/>
      <c r="D647" s="1445"/>
      <c r="E647" s="1309"/>
      <c r="F647" s="1309"/>
      <c r="G647" s="1255"/>
      <c r="H647" s="1310"/>
      <c r="I647" s="1311"/>
      <c r="J647" s="1312"/>
      <c r="K647" s="1313"/>
      <c r="L647" s="1313"/>
      <c r="M647" s="1255"/>
    </row>
    <row r="648" spans="1:13" s="1444" customFormat="1">
      <c r="A648" s="1305"/>
      <c r="B648" s="1306"/>
      <c r="C648" s="1255"/>
      <c r="D648" s="1445"/>
      <c r="E648" s="1309"/>
      <c r="F648" s="1309"/>
      <c r="G648" s="1255"/>
      <c r="H648" s="1310"/>
      <c r="I648" s="1311"/>
      <c r="J648" s="1312"/>
      <c r="K648" s="1313"/>
      <c r="L648" s="1313"/>
      <c r="M648" s="1255"/>
    </row>
    <row r="649" spans="1:13" s="1444" customFormat="1">
      <c r="A649" s="1305"/>
      <c r="B649" s="1306"/>
      <c r="C649" s="1255"/>
      <c r="D649" s="1445"/>
      <c r="E649" s="1309"/>
      <c r="F649" s="1309"/>
      <c r="G649" s="1255"/>
      <c r="H649" s="1310"/>
      <c r="I649" s="1311"/>
      <c r="J649" s="1312"/>
      <c r="K649" s="1313"/>
      <c r="L649" s="1313"/>
      <c r="M649" s="1255"/>
    </row>
    <row r="650" spans="1:13" s="1444" customFormat="1">
      <c r="A650" s="1305"/>
      <c r="B650" s="1306"/>
      <c r="C650" s="1255"/>
      <c r="D650" s="1445"/>
      <c r="E650" s="1309"/>
      <c r="F650" s="1309"/>
      <c r="G650" s="1255"/>
      <c r="H650" s="1310"/>
      <c r="I650" s="1311"/>
      <c r="J650" s="1312"/>
      <c r="K650" s="1313"/>
      <c r="L650" s="1313"/>
      <c r="M650" s="1255"/>
    </row>
    <row r="651" spans="1:13" s="1444" customFormat="1">
      <c r="A651" s="1305"/>
      <c r="B651" s="1306"/>
      <c r="C651" s="1255"/>
      <c r="D651" s="1445"/>
      <c r="E651" s="1309"/>
      <c r="F651" s="1309"/>
      <c r="G651" s="1255"/>
      <c r="H651" s="1310"/>
      <c r="I651" s="1311"/>
      <c r="J651" s="1312"/>
      <c r="K651" s="1313"/>
      <c r="L651" s="1313"/>
      <c r="M651" s="1255"/>
    </row>
    <row r="652" spans="1:13" s="1444" customFormat="1">
      <c r="A652" s="1305"/>
      <c r="B652" s="1306"/>
      <c r="C652" s="1255"/>
      <c r="D652" s="1445"/>
      <c r="E652" s="1309"/>
      <c r="F652" s="1309"/>
      <c r="G652" s="1255"/>
      <c r="H652" s="1310"/>
      <c r="I652" s="1311"/>
      <c r="J652" s="1312"/>
      <c r="K652" s="1313"/>
      <c r="L652" s="1313"/>
      <c r="M652" s="1255"/>
    </row>
    <row r="653" spans="1:13" s="1444" customFormat="1">
      <c r="A653" s="1305"/>
      <c r="B653" s="1306"/>
      <c r="C653" s="1255"/>
      <c r="D653" s="1445"/>
      <c r="E653" s="1309"/>
      <c r="F653" s="1309"/>
      <c r="G653" s="1255"/>
      <c r="H653" s="1310"/>
      <c r="I653" s="1311"/>
      <c r="J653" s="1312"/>
      <c r="K653" s="1313"/>
      <c r="L653" s="1313"/>
      <c r="M653" s="1255"/>
    </row>
    <row r="654" spans="1:13" s="1444" customFormat="1">
      <c r="A654" s="1305"/>
      <c r="B654" s="1306"/>
      <c r="C654" s="1255"/>
      <c r="D654" s="1445"/>
      <c r="E654" s="1309"/>
      <c r="F654" s="1309"/>
      <c r="G654" s="1255"/>
      <c r="H654" s="1310"/>
      <c r="I654" s="1311"/>
      <c r="J654" s="1312"/>
      <c r="K654" s="1313"/>
      <c r="L654" s="1313"/>
      <c r="M654" s="1255"/>
    </row>
    <row r="655" spans="1:13" s="1444" customFormat="1">
      <c r="A655" s="1305"/>
      <c r="B655" s="1306"/>
      <c r="C655" s="1255"/>
      <c r="D655" s="1445"/>
      <c r="E655" s="1309"/>
      <c r="F655" s="1309"/>
      <c r="G655" s="1255"/>
      <c r="H655" s="1310"/>
      <c r="I655" s="1311"/>
      <c r="J655" s="1312"/>
      <c r="K655" s="1313"/>
      <c r="L655" s="1313"/>
      <c r="M655" s="1255"/>
    </row>
    <row r="656" spans="1:13" s="1444" customFormat="1">
      <c r="A656" s="1305"/>
      <c r="B656" s="1306"/>
      <c r="C656" s="1255"/>
      <c r="D656" s="1445"/>
      <c r="E656" s="1309"/>
      <c r="F656" s="1309"/>
      <c r="G656" s="1255"/>
      <c r="H656" s="1310"/>
      <c r="I656" s="1311"/>
      <c r="J656" s="1312"/>
      <c r="K656" s="1313"/>
      <c r="L656" s="1313"/>
      <c r="M656" s="1255"/>
    </row>
    <row r="657" spans="1:13" s="1444" customFormat="1">
      <c r="A657" s="1305"/>
      <c r="B657" s="1306"/>
      <c r="C657" s="1255"/>
      <c r="D657" s="1445"/>
      <c r="E657" s="1309"/>
      <c r="F657" s="1309"/>
      <c r="G657" s="1255"/>
      <c r="H657" s="1310"/>
      <c r="I657" s="1311"/>
      <c r="J657" s="1312"/>
      <c r="K657" s="1313"/>
      <c r="L657" s="1313"/>
      <c r="M657" s="1255"/>
    </row>
    <row r="658" spans="1:13" s="1444" customFormat="1">
      <c r="A658" s="1305"/>
      <c r="B658" s="1306"/>
      <c r="C658" s="1255"/>
      <c r="D658" s="1445"/>
      <c r="E658" s="1309"/>
      <c r="F658" s="1309"/>
      <c r="G658" s="1255"/>
      <c r="H658" s="1310"/>
      <c r="I658" s="1311"/>
      <c r="J658" s="1312"/>
      <c r="K658" s="1313"/>
      <c r="L658" s="1313"/>
      <c r="M658" s="1255"/>
    </row>
    <row r="659" spans="1:13" s="1444" customFormat="1">
      <c r="A659" s="1305"/>
      <c r="B659" s="1306"/>
      <c r="C659" s="1255"/>
      <c r="D659" s="1445"/>
      <c r="E659" s="1309"/>
      <c r="F659" s="1309"/>
      <c r="G659" s="1255"/>
      <c r="H659" s="1310"/>
      <c r="I659" s="1311"/>
      <c r="J659" s="1312"/>
      <c r="K659" s="1313"/>
      <c r="L659" s="1313"/>
      <c r="M659" s="1255"/>
    </row>
    <row r="660" spans="1:13" s="1444" customFormat="1">
      <c r="A660" s="1305"/>
      <c r="B660" s="1306"/>
      <c r="C660" s="1255"/>
      <c r="D660" s="1445"/>
      <c r="E660" s="1309"/>
      <c r="F660" s="1309"/>
      <c r="G660" s="1255"/>
      <c r="H660" s="1310"/>
      <c r="I660" s="1311"/>
      <c r="J660" s="1312"/>
      <c r="K660" s="1313"/>
      <c r="L660" s="1313"/>
      <c r="M660" s="1255"/>
    </row>
    <row r="661" spans="1:13" s="1444" customFormat="1">
      <c r="A661" s="1305"/>
      <c r="B661" s="1306"/>
      <c r="C661" s="1255"/>
      <c r="D661" s="1445"/>
      <c r="E661" s="1309"/>
      <c r="F661" s="1309"/>
      <c r="G661" s="1255"/>
      <c r="H661" s="1310"/>
      <c r="I661" s="1311"/>
      <c r="J661" s="1312"/>
      <c r="K661" s="1313"/>
      <c r="L661" s="1313"/>
      <c r="M661" s="1255"/>
    </row>
    <row r="662" spans="1:13" s="1444" customFormat="1">
      <c r="A662" s="1305"/>
      <c r="B662" s="1306"/>
      <c r="C662" s="1255"/>
      <c r="D662" s="1445"/>
      <c r="E662" s="1309"/>
      <c r="F662" s="1309"/>
      <c r="G662" s="1255"/>
      <c r="H662" s="1310"/>
      <c r="I662" s="1311"/>
      <c r="J662" s="1312"/>
      <c r="K662" s="1313"/>
      <c r="L662" s="1313"/>
      <c r="M662" s="1255"/>
    </row>
    <row r="663" spans="1:13" s="1444" customFormat="1">
      <c r="A663" s="1305"/>
      <c r="B663" s="1306"/>
      <c r="C663" s="1255"/>
      <c r="D663" s="1445"/>
      <c r="E663" s="1309"/>
      <c r="F663" s="1309"/>
      <c r="G663" s="1255"/>
      <c r="H663" s="1310"/>
      <c r="I663" s="1311"/>
      <c r="J663" s="1312"/>
      <c r="K663" s="1313"/>
      <c r="L663" s="1313"/>
      <c r="M663" s="1255"/>
    </row>
    <row r="664" spans="1:13" s="1444" customFormat="1">
      <c r="A664" s="1305"/>
      <c r="B664" s="1306"/>
      <c r="C664" s="1255"/>
      <c r="D664" s="1445"/>
      <c r="E664" s="1309"/>
      <c r="F664" s="1309"/>
      <c r="G664" s="1255"/>
      <c r="H664" s="1310"/>
      <c r="I664" s="1311"/>
      <c r="J664" s="1312"/>
      <c r="K664" s="1313"/>
      <c r="L664" s="1313"/>
      <c r="M664" s="1255"/>
    </row>
    <row r="665" spans="1:13" s="1444" customFormat="1">
      <c r="A665" s="1305"/>
      <c r="B665" s="1306"/>
      <c r="C665" s="1255"/>
      <c r="D665" s="1445"/>
      <c r="E665" s="1309"/>
      <c r="F665" s="1309"/>
      <c r="G665" s="1255"/>
      <c r="H665" s="1310"/>
      <c r="I665" s="1311"/>
      <c r="J665" s="1312"/>
      <c r="K665" s="1313"/>
      <c r="L665" s="1313"/>
      <c r="M665" s="1255"/>
    </row>
    <row r="666" spans="1:13" s="1444" customFormat="1">
      <c r="A666" s="1305"/>
      <c r="B666" s="1306"/>
      <c r="C666" s="1255"/>
      <c r="D666" s="1445"/>
      <c r="E666" s="1309"/>
      <c r="F666" s="1309"/>
      <c r="G666" s="1255"/>
      <c r="H666" s="1310"/>
      <c r="I666" s="1311"/>
      <c r="J666" s="1312"/>
      <c r="K666" s="1313"/>
      <c r="L666" s="1313"/>
      <c r="M666" s="1255"/>
    </row>
    <row r="667" spans="1:13" s="1444" customFormat="1">
      <c r="A667" s="1305"/>
      <c r="B667" s="1306"/>
      <c r="C667" s="1255"/>
      <c r="D667" s="1445"/>
      <c r="E667" s="1309"/>
      <c r="F667" s="1309"/>
      <c r="G667" s="1255"/>
      <c r="H667" s="1310"/>
      <c r="I667" s="1311"/>
      <c r="J667" s="1312"/>
      <c r="K667" s="1313"/>
      <c r="L667" s="1313"/>
      <c r="M667" s="1255"/>
    </row>
    <row r="668" spans="1:13" s="1444" customFormat="1">
      <c r="A668" s="1305"/>
      <c r="B668" s="1306"/>
      <c r="C668" s="1255"/>
      <c r="D668" s="1445"/>
      <c r="E668" s="1309"/>
      <c r="F668" s="1309"/>
      <c r="G668" s="1255"/>
      <c r="H668" s="1310"/>
      <c r="I668" s="1311"/>
      <c r="J668" s="1312"/>
      <c r="K668" s="1313"/>
      <c r="L668" s="1313"/>
      <c r="M668" s="1255"/>
    </row>
    <row r="669" spans="1:13" s="1444" customFormat="1">
      <c r="A669" s="1305"/>
      <c r="B669" s="1306"/>
      <c r="C669" s="1255"/>
      <c r="D669" s="1445"/>
      <c r="E669" s="1309"/>
      <c r="F669" s="1309"/>
      <c r="G669" s="1255"/>
      <c r="H669" s="1310"/>
      <c r="I669" s="1311"/>
      <c r="J669" s="1312"/>
      <c r="K669" s="1313"/>
      <c r="L669" s="1313"/>
      <c r="M669" s="1255"/>
    </row>
    <row r="670" spans="1:13" s="1444" customFormat="1">
      <c r="A670" s="1305"/>
      <c r="B670" s="1306"/>
      <c r="C670" s="1255"/>
      <c r="D670" s="1445"/>
      <c r="E670" s="1309"/>
      <c r="F670" s="1309"/>
      <c r="G670" s="1255"/>
      <c r="H670" s="1310"/>
      <c r="I670" s="1311"/>
      <c r="J670" s="1312"/>
      <c r="K670" s="1313"/>
      <c r="L670" s="1313"/>
      <c r="M670" s="1255"/>
    </row>
    <row r="671" spans="1:13" s="1444" customFormat="1">
      <c r="A671" s="1305"/>
      <c r="B671" s="1306"/>
      <c r="C671" s="1255"/>
      <c r="D671" s="1445"/>
      <c r="E671" s="1309"/>
      <c r="F671" s="1309"/>
      <c r="G671" s="1255"/>
      <c r="H671" s="1310"/>
      <c r="I671" s="1311"/>
      <c r="J671" s="1312"/>
      <c r="K671" s="1313"/>
      <c r="L671" s="1313"/>
      <c r="M671" s="1255"/>
    </row>
    <row r="672" spans="1:13" s="1444" customFormat="1">
      <c r="A672" s="1305"/>
      <c r="B672" s="1306"/>
      <c r="C672" s="1255"/>
      <c r="D672" s="1445"/>
      <c r="E672" s="1309"/>
      <c r="F672" s="1309"/>
      <c r="G672" s="1255"/>
      <c r="H672" s="1310"/>
      <c r="I672" s="1311"/>
      <c r="J672" s="1312"/>
      <c r="K672" s="1313"/>
      <c r="L672" s="1313"/>
      <c r="M672" s="1255"/>
    </row>
    <row r="673" spans="1:13" s="1444" customFormat="1">
      <c r="A673" s="1305"/>
      <c r="B673" s="1306"/>
      <c r="C673" s="1255"/>
      <c r="D673" s="1445"/>
      <c r="E673" s="1309"/>
      <c r="F673" s="1309"/>
      <c r="G673" s="1255"/>
      <c r="H673" s="1310"/>
      <c r="I673" s="1311"/>
      <c r="J673" s="1312"/>
      <c r="K673" s="1313"/>
      <c r="L673" s="1313"/>
      <c r="M673" s="1255"/>
    </row>
    <row r="674" spans="1:13" s="1444" customFormat="1">
      <c r="A674" s="1305"/>
      <c r="B674" s="1306"/>
      <c r="C674" s="1255"/>
      <c r="D674" s="1445"/>
      <c r="E674" s="1309"/>
      <c r="F674" s="1309"/>
      <c r="G674" s="1255"/>
      <c r="H674" s="1310"/>
      <c r="I674" s="1311"/>
      <c r="J674" s="1312"/>
      <c r="K674" s="1313"/>
      <c r="L674" s="1313"/>
      <c r="M674" s="1255"/>
    </row>
    <row r="675" spans="1:13" s="1444" customFormat="1">
      <c r="A675" s="1305"/>
      <c r="B675" s="1306"/>
      <c r="C675" s="1255"/>
      <c r="D675" s="1445"/>
      <c r="E675" s="1309"/>
      <c r="F675" s="1309"/>
      <c r="G675" s="1255"/>
      <c r="H675" s="1310"/>
      <c r="I675" s="1311"/>
      <c r="J675" s="1312"/>
      <c r="K675" s="1313"/>
      <c r="L675" s="1313"/>
      <c r="M675" s="1255"/>
    </row>
    <row r="676" spans="1:13" s="1444" customFormat="1">
      <c r="A676" s="1305"/>
      <c r="B676" s="1306"/>
      <c r="C676" s="1255"/>
      <c r="D676" s="1445"/>
      <c r="E676" s="1309"/>
      <c r="F676" s="1309"/>
      <c r="G676" s="1255"/>
      <c r="H676" s="1310"/>
      <c r="I676" s="1311"/>
      <c r="J676" s="1312"/>
      <c r="K676" s="1313"/>
      <c r="L676" s="1313"/>
      <c r="M676" s="1255"/>
    </row>
    <row r="677" spans="1:13" s="1444" customFormat="1">
      <c r="A677" s="1305"/>
      <c r="B677" s="1306"/>
      <c r="C677" s="1255"/>
      <c r="D677" s="1445"/>
      <c r="E677" s="1309"/>
      <c r="F677" s="1309"/>
      <c r="G677" s="1255"/>
      <c r="H677" s="1310"/>
      <c r="I677" s="1311"/>
      <c r="J677" s="1312"/>
      <c r="K677" s="1313"/>
      <c r="L677" s="1313"/>
      <c r="M677" s="1255"/>
    </row>
    <row r="678" spans="1:13" s="1444" customFormat="1">
      <c r="A678" s="1305"/>
      <c r="B678" s="1306"/>
      <c r="C678" s="1255"/>
      <c r="D678" s="1445"/>
      <c r="E678" s="1309"/>
      <c r="F678" s="1309"/>
      <c r="G678" s="1255"/>
      <c r="H678" s="1310"/>
      <c r="I678" s="1311"/>
      <c r="J678" s="1312"/>
      <c r="K678" s="1313"/>
      <c r="L678" s="1313"/>
      <c r="M678" s="1255"/>
    </row>
    <row r="679" spans="1:13" s="1444" customFormat="1">
      <c r="A679" s="1305"/>
      <c r="B679" s="1306"/>
      <c r="C679" s="1255"/>
      <c r="D679" s="1445"/>
      <c r="E679" s="1309"/>
      <c r="F679" s="1309"/>
      <c r="G679" s="1255"/>
      <c r="H679" s="1310"/>
      <c r="I679" s="1311"/>
      <c r="J679" s="1312"/>
      <c r="K679" s="1313"/>
      <c r="L679" s="1313"/>
      <c r="M679" s="1255"/>
    </row>
    <row r="680" spans="1:13" s="1444" customFormat="1">
      <c r="A680" s="1305"/>
      <c r="B680" s="1306"/>
      <c r="C680" s="1255"/>
      <c r="D680" s="1445"/>
      <c r="E680" s="1309"/>
      <c r="F680" s="1309"/>
      <c r="G680" s="1255"/>
      <c r="H680" s="1310"/>
      <c r="I680" s="1311"/>
      <c r="J680" s="1312"/>
      <c r="K680" s="1313"/>
      <c r="L680" s="1313"/>
      <c r="M680" s="1255"/>
    </row>
    <row r="681" spans="1:13" s="1444" customFormat="1">
      <c r="A681" s="1305"/>
      <c r="B681" s="1306"/>
      <c r="C681" s="1255"/>
      <c r="D681" s="1445"/>
      <c r="E681" s="1309"/>
      <c r="F681" s="1309"/>
      <c r="G681" s="1255"/>
      <c r="H681" s="1310"/>
      <c r="I681" s="1311"/>
      <c r="J681" s="1312"/>
      <c r="K681" s="1313"/>
      <c r="L681" s="1313"/>
      <c r="M681" s="1255"/>
    </row>
    <row r="682" spans="1:13" s="1444" customFormat="1">
      <c r="A682" s="1305"/>
      <c r="B682" s="1306"/>
      <c r="C682" s="1255"/>
      <c r="D682" s="1445"/>
      <c r="E682" s="1309"/>
      <c r="F682" s="1309"/>
      <c r="G682" s="1255"/>
      <c r="H682" s="1310"/>
      <c r="I682" s="1311"/>
      <c r="J682" s="1312"/>
      <c r="K682" s="1313"/>
      <c r="L682" s="1313"/>
      <c r="M682" s="1255"/>
    </row>
    <row r="683" spans="1:13" s="1444" customFormat="1">
      <c r="A683" s="1305"/>
      <c r="B683" s="1306"/>
      <c r="C683" s="1255"/>
      <c r="D683" s="1445"/>
      <c r="E683" s="1309"/>
      <c r="F683" s="1309"/>
      <c r="G683" s="1255"/>
      <c r="H683" s="1310"/>
      <c r="I683" s="1311"/>
      <c r="J683" s="1312"/>
      <c r="K683" s="1313"/>
      <c r="L683" s="1313"/>
      <c r="M683" s="1255"/>
    </row>
    <row r="684" spans="1:13" s="1444" customFormat="1">
      <c r="A684" s="1305"/>
      <c r="B684" s="1306"/>
      <c r="C684" s="1255"/>
      <c r="D684" s="1445"/>
      <c r="E684" s="1309"/>
      <c r="F684" s="1309"/>
      <c r="G684" s="1255"/>
      <c r="H684" s="1310"/>
      <c r="I684" s="1311"/>
      <c r="J684" s="1312"/>
      <c r="K684" s="1313"/>
      <c r="L684" s="1313"/>
      <c r="M684" s="1255"/>
    </row>
    <row r="685" spans="1:13" s="1444" customFormat="1">
      <c r="A685" s="1305"/>
      <c r="B685" s="1306"/>
      <c r="C685" s="1255"/>
      <c r="D685" s="1445"/>
      <c r="E685" s="1309"/>
      <c r="F685" s="1309"/>
      <c r="G685" s="1255"/>
      <c r="H685" s="1310"/>
      <c r="I685" s="1311"/>
      <c r="J685" s="1312"/>
      <c r="K685" s="1313"/>
      <c r="L685" s="1313"/>
      <c r="M685" s="1255"/>
    </row>
    <row r="686" spans="1:13" s="1444" customFormat="1">
      <c r="A686" s="1305"/>
      <c r="B686" s="1306"/>
      <c r="C686" s="1255"/>
      <c r="D686" s="1445"/>
      <c r="E686" s="1309"/>
      <c r="F686" s="1309"/>
      <c r="G686" s="1255"/>
      <c r="H686" s="1310"/>
      <c r="I686" s="1311"/>
      <c r="J686" s="1312"/>
      <c r="K686" s="1313"/>
      <c r="L686" s="1313"/>
      <c r="M686" s="1255"/>
    </row>
    <row r="687" spans="1:13" s="1444" customFormat="1">
      <c r="A687" s="1305"/>
      <c r="B687" s="1306"/>
      <c r="C687" s="1255"/>
      <c r="D687" s="1445"/>
      <c r="E687" s="1309"/>
      <c r="F687" s="1309"/>
      <c r="G687" s="1255"/>
      <c r="H687" s="1310"/>
      <c r="I687" s="1311"/>
      <c r="J687" s="1312"/>
      <c r="K687" s="1313"/>
      <c r="L687" s="1313"/>
      <c r="M687" s="1255"/>
    </row>
    <row r="688" spans="1:13" s="1444" customFormat="1">
      <c r="A688" s="1305"/>
      <c r="B688" s="1306"/>
      <c r="C688" s="1255"/>
      <c r="D688" s="1445"/>
      <c r="E688" s="1309"/>
      <c r="F688" s="1309"/>
      <c r="G688" s="1255"/>
      <c r="H688" s="1310"/>
      <c r="I688" s="1311"/>
      <c r="J688" s="1312"/>
      <c r="K688" s="1313"/>
      <c r="L688" s="1313"/>
      <c r="M688" s="1255"/>
    </row>
    <row r="689" spans="1:13" s="1444" customFormat="1">
      <c r="A689" s="1305"/>
      <c r="B689" s="1306"/>
      <c r="C689" s="1255"/>
      <c r="D689" s="1445"/>
      <c r="E689" s="1309"/>
      <c r="F689" s="1309"/>
      <c r="G689" s="1255"/>
      <c r="H689" s="1310"/>
      <c r="I689" s="1311"/>
      <c r="J689" s="1312"/>
      <c r="K689" s="1313"/>
      <c r="L689" s="1313"/>
      <c r="M689" s="1255"/>
    </row>
    <row r="690" spans="1:13" s="1444" customFormat="1">
      <c r="A690" s="1305"/>
      <c r="B690" s="1306"/>
      <c r="C690" s="1255"/>
      <c r="D690" s="1445"/>
      <c r="E690" s="1309"/>
      <c r="F690" s="1309"/>
      <c r="G690" s="1255"/>
      <c r="H690" s="1310"/>
      <c r="I690" s="1311"/>
      <c r="J690" s="1312"/>
      <c r="K690" s="1313"/>
      <c r="L690" s="1313"/>
      <c r="M690" s="1255"/>
    </row>
    <row r="691" spans="1:13" s="1444" customFormat="1">
      <c r="A691" s="1305"/>
      <c r="B691" s="1306"/>
      <c r="C691" s="1255"/>
      <c r="D691" s="1445"/>
      <c r="E691" s="1309"/>
      <c r="F691" s="1309"/>
      <c r="G691" s="1255"/>
      <c r="H691" s="1310"/>
      <c r="I691" s="1311"/>
      <c r="J691" s="1312"/>
      <c r="K691" s="1313"/>
      <c r="L691" s="1313"/>
      <c r="M691" s="1255"/>
    </row>
    <row r="692" spans="1:13" s="1444" customFormat="1">
      <c r="A692" s="1305"/>
      <c r="B692" s="1306"/>
      <c r="C692" s="1255"/>
      <c r="D692" s="1445"/>
      <c r="E692" s="1309"/>
      <c r="F692" s="1309"/>
      <c r="G692" s="1255"/>
      <c r="H692" s="1310"/>
      <c r="I692" s="1311"/>
      <c r="J692" s="1312"/>
      <c r="K692" s="1313"/>
      <c r="L692" s="1313"/>
      <c r="M692" s="1255"/>
    </row>
    <row r="693" spans="1:13" s="1444" customFormat="1">
      <c r="A693" s="1305"/>
      <c r="B693" s="1306"/>
      <c r="C693" s="1255"/>
      <c r="D693" s="1445"/>
      <c r="E693" s="1309"/>
      <c r="F693" s="1309"/>
      <c r="G693" s="1255"/>
      <c r="H693" s="1310"/>
      <c r="I693" s="1311"/>
      <c r="J693" s="1312"/>
      <c r="K693" s="1313"/>
      <c r="L693" s="1313"/>
      <c r="M693" s="1255"/>
    </row>
    <row r="694" spans="1:13" s="1444" customFormat="1">
      <c r="A694" s="1305"/>
      <c r="B694" s="1306"/>
      <c r="C694" s="1255"/>
      <c r="D694" s="1445"/>
      <c r="E694" s="1309"/>
      <c r="F694" s="1309"/>
      <c r="G694" s="1255"/>
      <c r="H694" s="1310"/>
      <c r="I694" s="1311"/>
      <c r="J694" s="1312"/>
      <c r="K694" s="1313"/>
      <c r="L694" s="1313"/>
      <c r="M694" s="1255"/>
    </row>
    <row r="695" spans="1:13" s="1444" customFormat="1">
      <c r="A695" s="1305"/>
      <c r="B695" s="1306"/>
      <c r="C695" s="1255"/>
      <c r="D695" s="1445"/>
      <c r="E695" s="1309"/>
      <c r="F695" s="1309"/>
      <c r="G695" s="1255"/>
      <c r="H695" s="1310"/>
      <c r="I695" s="1311"/>
      <c r="J695" s="1312"/>
      <c r="K695" s="1313"/>
      <c r="L695" s="1313"/>
      <c r="M695" s="1255"/>
    </row>
    <row r="696" spans="1:13" s="1444" customFormat="1">
      <c r="A696" s="1305"/>
      <c r="B696" s="1306"/>
      <c r="C696" s="1255"/>
      <c r="D696" s="1445"/>
      <c r="E696" s="1309"/>
      <c r="F696" s="1309"/>
      <c r="G696" s="1255"/>
      <c r="H696" s="1310"/>
      <c r="I696" s="1311"/>
      <c r="J696" s="1312"/>
      <c r="K696" s="1313"/>
      <c r="L696" s="1313"/>
      <c r="M696" s="1255"/>
    </row>
    <row r="697" spans="1:13" s="1444" customFormat="1">
      <c r="A697" s="1305"/>
      <c r="B697" s="1306"/>
      <c r="C697" s="1255"/>
      <c r="D697" s="1445"/>
      <c r="E697" s="1309"/>
      <c r="F697" s="1309"/>
      <c r="G697" s="1255"/>
      <c r="H697" s="1310"/>
      <c r="I697" s="1311"/>
      <c r="J697" s="1312"/>
      <c r="K697" s="1313"/>
      <c r="L697" s="1313"/>
      <c r="M697" s="1255"/>
    </row>
    <row r="698" spans="1:13" s="1444" customFormat="1">
      <c r="A698" s="1305"/>
      <c r="B698" s="1306"/>
      <c r="C698" s="1255"/>
      <c r="D698" s="1445"/>
      <c r="E698" s="1309"/>
      <c r="F698" s="1309"/>
      <c r="G698" s="1255"/>
      <c r="H698" s="1310"/>
      <c r="I698" s="1311"/>
      <c r="J698" s="1312"/>
      <c r="K698" s="1313"/>
      <c r="L698" s="1313"/>
      <c r="M698" s="1255"/>
    </row>
    <row r="699" spans="1:13" s="1444" customFormat="1">
      <c r="A699" s="1305"/>
      <c r="B699" s="1306"/>
      <c r="C699" s="1255"/>
      <c r="D699" s="1445"/>
      <c r="E699" s="1309"/>
      <c r="F699" s="1309"/>
      <c r="G699" s="1255"/>
      <c r="H699" s="1310"/>
      <c r="I699" s="1311"/>
      <c r="J699" s="1312"/>
      <c r="K699" s="1313"/>
      <c r="L699" s="1313"/>
      <c r="M699" s="1255"/>
    </row>
    <row r="700" spans="1:13" s="1444" customFormat="1">
      <c r="A700" s="1305"/>
      <c r="B700" s="1306"/>
      <c r="C700" s="1255"/>
      <c r="D700" s="1445"/>
      <c r="E700" s="1309"/>
      <c r="F700" s="1309"/>
      <c r="G700" s="1255"/>
      <c r="H700" s="1310"/>
      <c r="I700" s="1311"/>
      <c r="J700" s="1312"/>
      <c r="K700" s="1313"/>
      <c r="L700" s="1313"/>
      <c r="M700" s="1255"/>
    </row>
    <row r="701" spans="1:13" s="1444" customFormat="1">
      <c r="A701" s="1305"/>
      <c r="B701" s="1306"/>
      <c r="C701" s="1255"/>
      <c r="D701" s="1445"/>
      <c r="E701" s="1309"/>
      <c r="F701" s="1309"/>
      <c r="G701" s="1255"/>
      <c r="H701" s="1310"/>
      <c r="I701" s="1311"/>
      <c r="J701" s="1312"/>
      <c r="K701" s="1313"/>
      <c r="L701" s="1313"/>
      <c r="M701" s="1255"/>
    </row>
    <row r="702" spans="1:13" s="1444" customFormat="1">
      <c r="A702" s="1305"/>
      <c r="B702" s="1306"/>
      <c r="C702" s="1255"/>
      <c r="D702" s="1445"/>
      <c r="E702" s="1309"/>
      <c r="F702" s="1309"/>
      <c r="G702" s="1255"/>
      <c r="H702" s="1310"/>
      <c r="I702" s="1311"/>
      <c r="J702" s="1312"/>
      <c r="K702" s="1313"/>
      <c r="L702" s="1313"/>
      <c r="M702" s="1255"/>
    </row>
    <row r="703" spans="1:13" s="1444" customFormat="1">
      <c r="A703" s="1305"/>
      <c r="B703" s="1306"/>
      <c r="C703" s="1255"/>
      <c r="D703" s="1445"/>
      <c r="E703" s="1309"/>
      <c r="F703" s="1309"/>
      <c r="G703" s="1255"/>
      <c r="H703" s="1310"/>
      <c r="I703" s="1311"/>
      <c r="J703" s="1312"/>
      <c r="K703" s="1313"/>
      <c r="L703" s="1313"/>
      <c r="M703" s="1255"/>
    </row>
    <row r="704" spans="1:13" s="1444" customFormat="1">
      <c r="A704" s="1305"/>
      <c r="B704" s="1306"/>
      <c r="C704" s="1255"/>
      <c r="D704" s="1445"/>
      <c r="E704" s="1309"/>
      <c r="F704" s="1309"/>
      <c r="G704" s="1255"/>
      <c r="H704" s="1310"/>
      <c r="I704" s="1311"/>
      <c r="J704" s="1312"/>
      <c r="K704" s="1313"/>
      <c r="L704" s="1313"/>
      <c r="M704" s="1255"/>
    </row>
    <row r="705" spans="1:13" s="1444" customFormat="1">
      <c r="A705" s="1305"/>
      <c r="B705" s="1306"/>
      <c r="C705" s="1255"/>
      <c r="D705" s="1445"/>
      <c r="E705" s="1309"/>
      <c r="F705" s="1309"/>
      <c r="G705" s="1255"/>
      <c r="H705" s="1310"/>
      <c r="I705" s="1311"/>
      <c r="J705" s="1312"/>
      <c r="K705" s="1313"/>
      <c r="L705" s="1313"/>
      <c r="M705" s="1255"/>
    </row>
    <row r="706" spans="1:13" s="1444" customFormat="1">
      <c r="A706" s="1305"/>
      <c r="B706" s="1306"/>
      <c r="C706" s="1255"/>
      <c r="D706" s="1445"/>
      <c r="E706" s="1309"/>
      <c r="F706" s="1309"/>
      <c r="G706" s="1255"/>
      <c r="H706" s="1310"/>
      <c r="I706" s="1311"/>
      <c r="J706" s="1312"/>
      <c r="K706" s="1313"/>
      <c r="L706" s="1313"/>
      <c r="M706" s="1255"/>
    </row>
    <row r="707" spans="1:13" s="1444" customFormat="1">
      <c r="A707" s="1305"/>
      <c r="B707" s="1306"/>
      <c r="C707" s="1255"/>
      <c r="D707" s="1445"/>
      <c r="E707" s="1309"/>
      <c r="F707" s="1309"/>
      <c r="G707" s="1255"/>
      <c r="H707" s="1310"/>
      <c r="I707" s="1311"/>
      <c r="J707" s="1312"/>
      <c r="K707" s="1313"/>
      <c r="L707" s="1313"/>
      <c r="M707" s="1255"/>
    </row>
    <row r="708" spans="1:13" s="1444" customFormat="1">
      <c r="A708" s="1305"/>
      <c r="B708" s="1306"/>
      <c r="C708" s="1255"/>
      <c r="D708" s="1445"/>
      <c r="E708" s="1309"/>
      <c r="F708" s="1309"/>
      <c r="G708" s="1255"/>
      <c r="H708" s="1310"/>
      <c r="I708" s="1311"/>
      <c r="J708" s="1312"/>
      <c r="K708" s="1313"/>
      <c r="L708" s="1313"/>
      <c r="M708" s="1255"/>
    </row>
    <row r="709" spans="1:13" s="1444" customFormat="1">
      <c r="A709" s="1305"/>
      <c r="B709" s="1306"/>
      <c r="C709" s="1255"/>
      <c r="D709" s="1445"/>
      <c r="E709" s="1309"/>
      <c r="F709" s="1309"/>
      <c r="G709" s="1255"/>
      <c r="H709" s="1310"/>
      <c r="I709" s="1311"/>
      <c r="J709" s="1312"/>
      <c r="K709" s="1313"/>
      <c r="L709" s="1313"/>
      <c r="M709" s="1255"/>
    </row>
    <row r="710" spans="1:13" s="1444" customFormat="1">
      <c r="A710" s="1305"/>
      <c r="B710" s="1306"/>
      <c r="C710" s="1255"/>
      <c r="D710" s="1445"/>
      <c r="E710" s="1309"/>
      <c r="F710" s="1309"/>
      <c r="G710" s="1255"/>
      <c r="H710" s="1310"/>
      <c r="I710" s="1311"/>
      <c r="J710" s="1312"/>
      <c r="K710" s="1313"/>
      <c r="L710" s="1313"/>
      <c r="M710" s="1255"/>
    </row>
    <row r="711" spans="1:13" s="1444" customFormat="1">
      <c r="A711" s="1305"/>
      <c r="B711" s="1306"/>
      <c r="C711" s="1255"/>
      <c r="D711" s="1445"/>
      <c r="E711" s="1309"/>
      <c r="F711" s="1309"/>
      <c r="G711" s="1255"/>
      <c r="H711" s="1310"/>
      <c r="I711" s="1311"/>
      <c r="J711" s="1312"/>
      <c r="K711" s="1313"/>
      <c r="L711" s="1313"/>
      <c r="M711" s="1255"/>
    </row>
    <row r="712" spans="1:13" s="1444" customFormat="1">
      <c r="A712" s="1305"/>
      <c r="B712" s="1306"/>
      <c r="C712" s="1255"/>
      <c r="D712" s="1445"/>
      <c r="E712" s="1309"/>
      <c r="F712" s="1309"/>
      <c r="G712" s="1255"/>
      <c r="H712" s="1310"/>
      <c r="I712" s="1311"/>
      <c r="J712" s="1312"/>
      <c r="K712" s="1313"/>
      <c r="L712" s="1313"/>
      <c r="M712" s="1255"/>
    </row>
    <row r="713" spans="1:13" s="1444" customFormat="1">
      <c r="A713" s="1305"/>
      <c r="B713" s="1306"/>
      <c r="C713" s="1255"/>
      <c r="D713" s="1445"/>
      <c r="E713" s="1309"/>
      <c r="F713" s="1309"/>
      <c r="G713" s="1255"/>
      <c r="H713" s="1310"/>
      <c r="I713" s="1311"/>
      <c r="J713" s="1312"/>
      <c r="K713" s="1313"/>
      <c r="L713" s="1313"/>
      <c r="M713" s="1255"/>
    </row>
    <row r="714" spans="1:13" s="1444" customFormat="1">
      <c r="A714" s="1305"/>
      <c r="B714" s="1306"/>
      <c r="C714" s="1255"/>
      <c r="D714" s="1445"/>
      <c r="E714" s="1309"/>
      <c r="F714" s="1309"/>
      <c r="G714" s="1255"/>
      <c r="H714" s="1310"/>
      <c r="I714" s="1311"/>
      <c r="J714" s="1312"/>
      <c r="K714" s="1313"/>
      <c r="L714" s="1313"/>
      <c r="M714" s="1255"/>
    </row>
    <row r="715" spans="1:13" s="1444" customFormat="1">
      <c r="A715" s="1305"/>
      <c r="B715" s="1306"/>
      <c r="C715" s="1255"/>
      <c r="D715" s="1445"/>
      <c r="E715" s="1309"/>
      <c r="F715" s="1309"/>
      <c r="G715" s="1255"/>
      <c r="H715" s="1310"/>
      <c r="I715" s="1311"/>
      <c r="J715" s="1312"/>
      <c r="K715" s="1313"/>
      <c r="L715" s="1313"/>
      <c r="M715" s="1255"/>
    </row>
    <row r="716" spans="1:13" s="1444" customFormat="1">
      <c r="A716" s="1305"/>
      <c r="B716" s="1306"/>
      <c r="C716" s="1255"/>
      <c r="D716" s="1445"/>
      <c r="E716" s="1309"/>
      <c r="F716" s="1309"/>
      <c r="G716" s="1255"/>
      <c r="H716" s="1310"/>
      <c r="I716" s="1311"/>
      <c r="J716" s="1312"/>
      <c r="K716" s="1313"/>
      <c r="L716" s="1313"/>
      <c r="M716" s="1255"/>
    </row>
    <row r="717" spans="1:13" s="1444" customFormat="1">
      <c r="A717" s="1305"/>
      <c r="B717" s="1306"/>
      <c r="C717" s="1255"/>
      <c r="D717" s="1445"/>
      <c r="E717" s="1309"/>
      <c r="F717" s="1309"/>
      <c r="G717" s="1255"/>
      <c r="H717" s="1310"/>
      <c r="I717" s="1311"/>
      <c r="J717" s="1312"/>
      <c r="K717" s="1313"/>
      <c r="L717" s="1313"/>
      <c r="M717" s="1255"/>
    </row>
    <row r="718" spans="1:13" s="1444" customFormat="1">
      <c r="A718" s="1305"/>
      <c r="B718" s="1306"/>
      <c r="C718" s="1255"/>
      <c r="D718" s="1445"/>
      <c r="E718" s="1309"/>
      <c r="F718" s="1309"/>
      <c r="G718" s="1255"/>
      <c r="H718" s="1310"/>
      <c r="I718" s="1311"/>
      <c r="J718" s="1312"/>
      <c r="K718" s="1313"/>
      <c r="L718" s="1313"/>
      <c r="M718" s="1255"/>
    </row>
    <row r="719" spans="1:13" s="1444" customFormat="1">
      <c r="A719" s="1305"/>
      <c r="B719" s="1306"/>
      <c r="C719" s="1255"/>
      <c r="D719" s="1445"/>
      <c r="E719" s="1309"/>
      <c r="F719" s="1309"/>
      <c r="G719" s="1255"/>
      <c r="H719" s="1310"/>
      <c r="I719" s="1311"/>
      <c r="J719" s="1312"/>
      <c r="K719" s="1313"/>
      <c r="L719" s="1313"/>
      <c r="M719" s="1255"/>
    </row>
    <row r="720" spans="1:13" s="1444" customFormat="1">
      <c r="A720" s="1305"/>
      <c r="B720" s="1306"/>
      <c r="C720" s="1255"/>
      <c r="D720" s="1445"/>
      <c r="E720" s="1309"/>
      <c r="F720" s="1309"/>
      <c r="G720" s="1255"/>
      <c r="H720" s="1310"/>
      <c r="I720" s="1311"/>
      <c r="J720" s="1312"/>
      <c r="K720" s="1313"/>
      <c r="L720" s="1313"/>
      <c r="M720" s="1255"/>
    </row>
    <row r="721" spans="1:13" s="1444" customFormat="1">
      <c r="A721" s="1305"/>
      <c r="B721" s="1306"/>
      <c r="C721" s="1255"/>
      <c r="D721" s="1445"/>
      <c r="E721" s="1309"/>
      <c r="F721" s="1309"/>
      <c r="G721" s="1255"/>
      <c r="H721" s="1310"/>
      <c r="I721" s="1311"/>
      <c r="J721" s="1312"/>
      <c r="K721" s="1313"/>
      <c r="L721" s="1313"/>
      <c r="M721" s="1255"/>
    </row>
    <row r="722" spans="1:13" s="1444" customFormat="1">
      <c r="A722" s="1305"/>
      <c r="B722" s="1306"/>
      <c r="C722" s="1255"/>
      <c r="D722" s="1445"/>
      <c r="E722" s="1309"/>
      <c r="F722" s="1309"/>
      <c r="G722" s="1255"/>
      <c r="H722" s="1310"/>
      <c r="I722" s="1311"/>
      <c r="J722" s="1312"/>
      <c r="K722" s="1313"/>
      <c r="L722" s="1313"/>
      <c r="M722" s="1255"/>
    </row>
    <row r="723" spans="1:13" s="1444" customFormat="1">
      <c r="A723" s="1305"/>
      <c r="B723" s="1306"/>
      <c r="C723" s="1255"/>
      <c r="D723" s="1445"/>
      <c r="E723" s="1309"/>
      <c r="F723" s="1309"/>
      <c r="G723" s="1255"/>
      <c r="H723" s="1310"/>
      <c r="I723" s="1311"/>
      <c r="J723" s="1312"/>
      <c r="K723" s="1313"/>
      <c r="L723" s="1313"/>
      <c r="M723" s="1255"/>
    </row>
    <row r="724" spans="1:13" s="1444" customFormat="1">
      <c r="A724" s="1305"/>
      <c r="B724" s="1306"/>
      <c r="C724" s="1255"/>
      <c r="D724" s="1445"/>
      <c r="E724" s="1309"/>
      <c r="F724" s="1309"/>
      <c r="G724" s="1255"/>
      <c r="H724" s="1310"/>
      <c r="I724" s="1311"/>
      <c r="J724" s="1312"/>
      <c r="K724" s="1313"/>
      <c r="L724" s="1313"/>
      <c r="M724" s="1255"/>
    </row>
    <row r="725" spans="1:13" s="1444" customFormat="1">
      <c r="A725" s="1305"/>
      <c r="B725" s="1306"/>
      <c r="C725" s="1255"/>
      <c r="D725" s="1445"/>
      <c r="E725" s="1309"/>
      <c r="F725" s="1309"/>
      <c r="G725" s="1255"/>
      <c r="H725" s="1310"/>
      <c r="I725" s="1311"/>
      <c r="J725" s="1312"/>
      <c r="K725" s="1313"/>
      <c r="L725" s="1313"/>
      <c r="M725" s="1255"/>
    </row>
    <row r="726" spans="1:13" s="1444" customFormat="1">
      <c r="A726" s="1305"/>
      <c r="B726" s="1306"/>
      <c r="C726" s="1255"/>
      <c r="D726" s="1445"/>
      <c r="E726" s="1309"/>
      <c r="F726" s="1309"/>
      <c r="G726" s="1255"/>
      <c r="H726" s="1310"/>
      <c r="I726" s="1311"/>
      <c r="J726" s="1312"/>
      <c r="K726" s="1313"/>
      <c r="L726" s="1313"/>
      <c r="M726" s="1255"/>
    </row>
    <row r="727" spans="1:13" s="1444" customFormat="1">
      <c r="A727" s="1305"/>
      <c r="B727" s="1306"/>
      <c r="C727" s="1255"/>
      <c r="D727" s="1445"/>
      <c r="E727" s="1309"/>
      <c r="F727" s="1309"/>
      <c r="G727" s="1255"/>
      <c r="H727" s="1310"/>
      <c r="I727" s="1311"/>
      <c r="J727" s="1312"/>
      <c r="K727" s="1313"/>
      <c r="L727" s="1313"/>
      <c r="M727" s="1255"/>
    </row>
    <row r="728" spans="1:13" s="1444" customFormat="1">
      <c r="A728" s="1305"/>
      <c r="B728" s="1306"/>
      <c r="C728" s="1255"/>
      <c r="D728" s="1445"/>
      <c r="E728" s="1309"/>
      <c r="F728" s="1309"/>
      <c r="G728" s="1255"/>
      <c r="H728" s="1310"/>
      <c r="I728" s="1311"/>
      <c r="J728" s="1312"/>
      <c r="K728" s="1313"/>
      <c r="L728" s="1313"/>
      <c r="M728" s="1255"/>
    </row>
    <row r="729" spans="1:13" s="1444" customFormat="1">
      <c r="A729" s="1305"/>
      <c r="B729" s="1306"/>
      <c r="C729" s="1255"/>
      <c r="D729" s="1445"/>
      <c r="E729" s="1309"/>
      <c r="F729" s="1309"/>
      <c r="G729" s="1255"/>
      <c r="H729" s="1310"/>
      <c r="I729" s="1311"/>
      <c r="J729" s="1312"/>
      <c r="K729" s="1313"/>
      <c r="L729" s="1313"/>
      <c r="M729" s="1255"/>
    </row>
    <row r="730" spans="1:13" s="1444" customFormat="1">
      <c r="A730" s="1305"/>
      <c r="B730" s="1306"/>
      <c r="C730" s="1255"/>
      <c r="D730" s="1445"/>
      <c r="E730" s="1309"/>
      <c r="F730" s="1309"/>
      <c r="G730" s="1255"/>
      <c r="H730" s="1310"/>
      <c r="I730" s="1311"/>
      <c r="J730" s="1312"/>
      <c r="K730" s="1313"/>
      <c r="L730" s="1313"/>
      <c r="M730" s="1255"/>
    </row>
    <row r="731" spans="1:13" s="1444" customFormat="1">
      <c r="A731" s="1305"/>
      <c r="B731" s="1306"/>
      <c r="C731" s="1255"/>
      <c r="D731" s="1445"/>
      <c r="E731" s="1309"/>
      <c r="F731" s="1309"/>
      <c r="G731" s="1255"/>
      <c r="H731" s="1310"/>
      <c r="I731" s="1311"/>
      <c r="J731" s="1312"/>
      <c r="K731" s="1313"/>
      <c r="L731" s="1313"/>
      <c r="M731" s="1255"/>
    </row>
    <row r="732" spans="1:13" s="1444" customFormat="1">
      <c r="A732" s="1305"/>
      <c r="B732" s="1306"/>
      <c r="C732" s="1255"/>
      <c r="D732" s="1445"/>
      <c r="E732" s="1309"/>
      <c r="F732" s="1309"/>
      <c r="G732" s="1255"/>
      <c r="H732" s="1310"/>
      <c r="I732" s="1311"/>
      <c r="J732" s="1312"/>
      <c r="K732" s="1313"/>
      <c r="L732" s="1313"/>
      <c r="M732" s="1255"/>
    </row>
    <row r="733" spans="1:13" s="1444" customFormat="1">
      <c r="A733" s="1305"/>
      <c r="B733" s="1306"/>
      <c r="C733" s="1255"/>
      <c r="D733" s="1445"/>
      <c r="E733" s="1309"/>
      <c r="F733" s="1309"/>
      <c r="G733" s="1255"/>
      <c r="H733" s="1310"/>
      <c r="I733" s="1311"/>
      <c r="J733" s="1312"/>
      <c r="K733" s="1313"/>
      <c r="L733" s="1313"/>
      <c r="M733" s="1255"/>
    </row>
    <row r="734" spans="1:13" s="1444" customFormat="1">
      <c r="A734" s="1305"/>
      <c r="B734" s="1306"/>
      <c r="C734" s="1255"/>
      <c r="D734" s="1445"/>
      <c r="E734" s="1309"/>
      <c r="F734" s="1309"/>
      <c r="G734" s="1255"/>
      <c r="H734" s="1310"/>
      <c r="I734" s="1311"/>
      <c r="J734" s="1312"/>
      <c r="K734" s="1313"/>
      <c r="L734" s="1313"/>
      <c r="M734" s="1255"/>
    </row>
    <row r="735" spans="1:13" s="1444" customFormat="1">
      <c r="A735" s="1305"/>
      <c r="B735" s="1306"/>
      <c r="C735" s="1255"/>
      <c r="D735" s="1445"/>
      <c r="E735" s="1309"/>
      <c r="F735" s="1309"/>
      <c r="G735" s="1255"/>
      <c r="H735" s="1310"/>
      <c r="I735" s="1311"/>
      <c r="J735" s="1312"/>
      <c r="K735" s="1313"/>
      <c r="L735" s="1313"/>
      <c r="M735" s="1255"/>
    </row>
    <row r="736" spans="1:13" s="1444" customFormat="1">
      <c r="A736" s="1305"/>
      <c r="B736" s="1306"/>
      <c r="C736" s="1255"/>
      <c r="D736" s="1445"/>
      <c r="E736" s="1309"/>
      <c r="F736" s="1309"/>
      <c r="G736" s="1255"/>
      <c r="H736" s="1310"/>
      <c r="I736" s="1311"/>
      <c r="J736" s="1312"/>
      <c r="K736" s="1313"/>
      <c r="L736" s="1313"/>
      <c r="M736" s="1255"/>
    </row>
    <row r="737" spans="1:13" s="1444" customFormat="1">
      <c r="A737" s="1305"/>
      <c r="B737" s="1306"/>
      <c r="C737" s="1255"/>
      <c r="D737" s="1445"/>
      <c r="E737" s="1309"/>
      <c r="F737" s="1309"/>
      <c r="G737" s="1255"/>
      <c r="H737" s="1310"/>
      <c r="I737" s="1311"/>
      <c r="J737" s="1312"/>
      <c r="K737" s="1313"/>
      <c r="L737" s="1313"/>
      <c r="M737" s="1255"/>
    </row>
    <row r="738" spans="1:13" s="1444" customFormat="1">
      <c r="A738" s="1305"/>
      <c r="B738" s="1306"/>
      <c r="C738" s="1255"/>
      <c r="D738" s="1445"/>
      <c r="E738" s="1309"/>
      <c r="F738" s="1309"/>
      <c r="G738" s="1255"/>
      <c r="H738" s="1310"/>
      <c r="I738" s="1311"/>
      <c r="J738" s="1312"/>
      <c r="K738" s="1313"/>
      <c r="L738" s="1313"/>
      <c r="M738" s="1255"/>
    </row>
    <row r="739" spans="1:13" s="1444" customFormat="1">
      <c r="A739" s="1305"/>
      <c r="B739" s="1306"/>
      <c r="C739" s="1255"/>
      <c r="D739" s="1445"/>
      <c r="E739" s="1309"/>
      <c r="F739" s="1309"/>
      <c r="G739" s="1255"/>
      <c r="H739" s="1310"/>
      <c r="I739" s="1311"/>
      <c r="J739" s="1312"/>
      <c r="K739" s="1313"/>
      <c r="L739" s="1313"/>
      <c r="M739" s="1255"/>
    </row>
    <row r="740" spans="1:13" s="1444" customFormat="1">
      <c r="A740" s="1305"/>
      <c r="B740" s="1306"/>
      <c r="C740" s="1255"/>
      <c r="D740" s="1445"/>
      <c r="E740" s="1309"/>
      <c r="F740" s="1309"/>
      <c r="G740" s="1255"/>
      <c r="H740" s="1310"/>
      <c r="I740" s="1311"/>
      <c r="J740" s="1312"/>
      <c r="K740" s="1313"/>
      <c r="L740" s="1313"/>
      <c r="M740" s="1255"/>
    </row>
    <row r="741" spans="1:13" s="1444" customFormat="1">
      <c r="A741" s="1305"/>
      <c r="B741" s="1306"/>
      <c r="C741" s="1255"/>
      <c r="D741" s="1445"/>
      <c r="E741" s="1309"/>
      <c r="F741" s="1309"/>
      <c r="G741" s="1255"/>
      <c r="H741" s="1310"/>
      <c r="I741" s="1311"/>
      <c r="J741" s="1312"/>
      <c r="K741" s="1313"/>
      <c r="L741" s="1313"/>
      <c r="M741" s="1255"/>
    </row>
    <row r="742" spans="1:13" s="1444" customFormat="1">
      <c r="A742" s="1305"/>
      <c r="B742" s="1306"/>
      <c r="C742" s="1255"/>
      <c r="D742" s="1445"/>
      <c r="E742" s="1309"/>
      <c r="F742" s="1309"/>
      <c r="G742" s="1255"/>
      <c r="H742" s="1310"/>
      <c r="I742" s="1311"/>
      <c r="J742" s="1312"/>
      <c r="K742" s="1313"/>
      <c r="L742" s="1313"/>
      <c r="M742" s="1255"/>
    </row>
    <row r="743" spans="1:13" s="1444" customFormat="1">
      <c r="A743" s="1305"/>
      <c r="B743" s="1306"/>
      <c r="C743" s="1255"/>
      <c r="D743" s="1445"/>
      <c r="E743" s="1309"/>
      <c r="F743" s="1309"/>
      <c r="G743" s="1255"/>
      <c r="H743" s="1310"/>
      <c r="I743" s="1311"/>
      <c r="J743" s="1312"/>
      <c r="K743" s="1313"/>
      <c r="L743" s="1313"/>
      <c r="M743" s="1255"/>
    </row>
    <row r="744" spans="1:13" s="1444" customFormat="1">
      <c r="A744" s="1305"/>
      <c r="B744" s="1306"/>
      <c r="C744" s="1255"/>
      <c r="D744" s="1445"/>
      <c r="E744" s="1309"/>
      <c r="F744" s="1309"/>
      <c r="G744" s="1255"/>
      <c r="H744" s="1310"/>
      <c r="I744" s="1311"/>
      <c r="J744" s="1312"/>
      <c r="K744" s="1313"/>
      <c r="L744" s="1313"/>
      <c r="M744" s="1255"/>
    </row>
    <row r="745" spans="1:13" s="1444" customFormat="1">
      <c r="A745" s="1305"/>
      <c r="B745" s="1306"/>
      <c r="C745" s="1255"/>
      <c r="D745" s="1445"/>
      <c r="E745" s="1309"/>
      <c r="F745" s="1309"/>
      <c r="G745" s="1255"/>
      <c r="H745" s="1310"/>
      <c r="I745" s="1311"/>
      <c r="J745" s="1312"/>
      <c r="K745" s="1313"/>
      <c r="L745" s="1313"/>
      <c r="M745" s="1255"/>
    </row>
    <row r="746" spans="1:13" s="1444" customFormat="1">
      <c r="A746" s="1305"/>
      <c r="B746" s="1306"/>
      <c r="C746" s="1255"/>
      <c r="D746" s="1445"/>
      <c r="E746" s="1309"/>
      <c r="F746" s="1309"/>
      <c r="G746" s="1255"/>
      <c r="H746" s="1310"/>
      <c r="I746" s="1311"/>
      <c r="J746" s="1312"/>
      <c r="K746" s="1313"/>
      <c r="L746" s="1313"/>
      <c r="M746" s="1255"/>
    </row>
    <row r="747" spans="1:13" s="1444" customFormat="1">
      <c r="A747" s="1305"/>
      <c r="B747" s="1306"/>
      <c r="C747" s="1255"/>
      <c r="D747" s="1445"/>
      <c r="E747" s="1309"/>
      <c r="F747" s="1309"/>
      <c r="G747" s="1255"/>
      <c r="H747" s="1310"/>
      <c r="I747" s="1311"/>
      <c r="J747" s="1312"/>
      <c r="K747" s="1313"/>
      <c r="L747" s="1313"/>
      <c r="M747" s="1255"/>
    </row>
    <row r="748" spans="1:13" s="1444" customFormat="1">
      <c r="A748" s="1305"/>
      <c r="B748" s="1306"/>
      <c r="C748" s="1255"/>
      <c r="D748" s="1445"/>
      <c r="E748" s="1309"/>
      <c r="F748" s="1309"/>
      <c r="G748" s="1255"/>
      <c r="H748" s="1310"/>
      <c r="I748" s="1311"/>
      <c r="J748" s="1312"/>
      <c r="K748" s="1313"/>
      <c r="L748" s="1313"/>
      <c r="M748" s="1255"/>
    </row>
    <row r="749" spans="1:13" s="1444" customFormat="1">
      <c r="A749" s="1305"/>
      <c r="B749" s="1306"/>
      <c r="C749" s="1255"/>
      <c r="D749" s="1445"/>
      <c r="E749" s="1309"/>
      <c r="F749" s="1309"/>
      <c r="G749" s="1255"/>
      <c r="H749" s="1310"/>
      <c r="I749" s="1311"/>
      <c r="J749" s="1312"/>
      <c r="K749" s="1313"/>
      <c r="L749" s="1313"/>
      <c r="M749" s="1255"/>
    </row>
    <row r="750" spans="1:13" s="1444" customFormat="1">
      <c r="A750" s="1305"/>
      <c r="B750" s="1306"/>
      <c r="C750" s="1255"/>
      <c r="D750" s="1445"/>
      <c r="E750" s="1309"/>
      <c r="F750" s="1309"/>
      <c r="G750" s="1255"/>
      <c r="H750" s="1310"/>
      <c r="I750" s="1311"/>
      <c r="J750" s="1312"/>
      <c r="K750" s="1313"/>
      <c r="L750" s="1313"/>
      <c r="M750" s="1255"/>
    </row>
    <row r="751" spans="1:13" s="1444" customFormat="1">
      <c r="A751" s="1305"/>
      <c r="B751" s="1306"/>
      <c r="C751" s="1255"/>
      <c r="D751" s="1445"/>
      <c r="E751" s="1309"/>
      <c r="F751" s="1309"/>
      <c r="G751" s="1255"/>
      <c r="H751" s="1310"/>
      <c r="I751" s="1311"/>
      <c r="J751" s="1312"/>
      <c r="K751" s="1313"/>
      <c r="L751" s="1313"/>
      <c r="M751" s="1255"/>
    </row>
    <row r="752" spans="1:13" s="1444" customFormat="1">
      <c r="A752" s="1305"/>
      <c r="B752" s="1306"/>
      <c r="C752" s="1255"/>
      <c r="D752" s="1445"/>
      <c r="E752" s="1309"/>
      <c r="F752" s="1309"/>
      <c r="G752" s="1255"/>
      <c r="H752" s="1310"/>
      <c r="I752" s="1311"/>
      <c r="J752" s="1312"/>
      <c r="K752" s="1313"/>
      <c r="L752" s="1313"/>
      <c r="M752" s="1255"/>
    </row>
    <row r="753" spans="1:13" s="1444" customFormat="1">
      <c r="A753" s="1305"/>
      <c r="B753" s="1306"/>
      <c r="C753" s="1255"/>
      <c r="D753" s="1445"/>
      <c r="E753" s="1309"/>
      <c r="F753" s="1309"/>
      <c r="G753" s="1255"/>
      <c r="H753" s="1310"/>
      <c r="I753" s="1311"/>
      <c r="J753" s="1312"/>
      <c r="K753" s="1313"/>
      <c r="L753" s="1313"/>
      <c r="M753" s="1255"/>
    </row>
    <row r="754" spans="1:13" s="1444" customFormat="1">
      <c r="A754" s="1305"/>
      <c r="B754" s="1306"/>
      <c r="C754" s="1255"/>
      <c r="D754" s="1445"/>
      <c r="E754" s="1309"/>
      <c r="F754" s="1309"/>
      <c r="G754" s="1255"/>
      <c r="H754" s="1310"/>
      <c r="I754" s="1311"/>
      <c r="J754" s="1312"/>
      <c r="K754" s="1313"/>
      <c r="L754" s="1313"/>
      <c r="M754" s="1255"/>
    </row>
    <row r="755" spans="1:13" s="1444" customFormat="1">
      <c r="A755" s="1305"/>
      <c r="B755" s="1306"/>
      <c r="C755" s="1255"/>
      <c r="D755" s="1445"/>
      <c r="E755" s="1309"/>
      <c r="F755" s="1309"/>
      <c r="G755" s="1255"/>
      <c r="H755" s="1310"/>
      <c r="I755" s="1311"/>
      <c r="J755" s="1312"/>
      <c r="K755" s="1313"/>
      <c r="L755" s="1313"/>
      <c r="M755" s="1255"/>
    </row>
    <row r="756" spans="1:13" s="1444" customFormat="1">
      <c r="A756" s="1305"/>
      <c r="B756" s="1306"/>
      <c r="C756" s="1255"/>
      <c r="D756" s="1445"/>
      <c r="E756" s="1309"/>
      <c r="F756" s="1309"/>
      <c r="G756" s="1255"/>
      <c r="H756" s="1310"/>
      <c r="I756" s="1311"/>
      <c r="J756" s="1312"/>
      <c r="K756" s="1313"/>
      <c r="L756" s="1313"/>
      <c r="M756" s="1255"/>
    </row>
    <row r="757" spans="1:13" s="1444" customFormat="1">
      <c r="A757" s="1305"/>
      <c r="B757" s="1306"/>
      <c r="C757" s="1255"/>
      <c r="D757" s="1445"/>
      <c r="E757" s="1309"/>
      <c r="F757" s="1309"/>
      <c r="G757" s="1255"/>
      <c r="H757" s="1310"/>
      <c r="I757" s="1311"/>
      <c r="J757" s="1312"/>
      <c r="K757" s="1313"/>
      <c r="L757" s="1313"/>
      <c r="M757" s="1255"/>
    </row>
    <row r="758" spans="1:13" s="1444" customFormat="1">
      <c r="A758" s="1305"/>
      <c r="B758" s="1306"/>
      <c r="C758" s="1255"/>
      <c r="D758" s="1445"/>
      <c r="E758" s="1309"/>
      <c r="F758" s="1309"/>
      <c r="G758" s="1255"/>
      <c r="H758" s="1310"/>
      <c r="I758" s="1311"/>
      <c r="J758" s="1312"/>
      <c r="K758" s="1313"/>
      <c r="L758" s="1313"/>
      <c r="M758" s="1255"/>
    </row>
    <row r="759" spans="1:13" s="1444" customFormat="1">
      <c r="A759" s="1305"/>
      <c r="B759" s="1306"/>
      <c r="C759" s="1255"/>
      <c r="D759" s="1445"/>
      <c r="E759" s="1309"/>
      <c r="F759" s="1309"/>
      <c r="G759" s="1255"/>
      <c r="H759" s="1310"/>
      <c r="I759" s="1311"/>
      <c r="J759" s="1312"/>
      <c r="K759" s="1313"/>
      <c r="L759" s="1313"/>
      <c r="M759" s="1255"/>
    </row>
    <row r="760" spans="1:13" s="1444" customFormat="1">
      <c r="A760" s="1305"/>
      <c r="B760" s="1306"/>
      <c r="C760" s="1255"/>
      <c r="D760" s="1445"/>
      <c r="E760" s="1309"/>
      <c r="F760" s="1309"/>
      <c r="G760" s="1255"/>
      <c r="H760" s="1310"/>
      <c r="I760" s="1311"/>
      <c r="J760" s="1312"/>
      <c r="K760" s="1313"/>
      <c r="L760" s="1313"/>
      <c r="M760" s="1255"/>
    </row>
    <row r="761" spans="1:13" s="1444" customFormat="1">
      <c r="A761" s="1305"/>
      <c r="B761" s="1306"/>
      <c r="C761" s="1255"/>
      <c r="D761" s="1445"/>
      <c r="E761" s="1309"/>
      <c r="F761" s="1309"/>
      <c r="G761" s="1255"/>
      <c r="H761" s="1310"/>
      <c r="I761" s="1311"/>
      <c r="J761" s="1312"/>
      <c r="K761" s="1313"/>
      <c r="L761" s="1313"/>
      <c r="M761" s="1255"/>
    </row>
    <row r="762" spans="1:13" s="1444" customFormat="1">
      <c r="A762" s="1305"/>
      <c r="B762" s="1306"/>
      <c r="C762" s="1255"/>
      <c r="D762" s="1445"/>
      <c r="E762" s="1309"/>
      <c r="F762" s="1309"/>
      <c r="G762" s="1255"/>
      <c r="H762" s="1310"/>
      <c r="I762" s="1311"/>
      <c r="J762" s="1312"/>
      <c r="K762" s="1313"/>
      <c r="L762" s="1313"/>
      <c r="M762" s="1255"/>
    </row>
    <row r="763" spans="1:13" s="1444" customFormat="1">
      <c r="A763" s="1305"/>
      <c r="B763" s="1306"/>
      <c r="C763" s="1255"/>
      <c r="D763" s="1445"/>
      <c r="E763" s="1309"/>
      <c r="F763" s="1309"/>
      <c r="G763" s="1255"/>
      <c r="H763" s="1310"/>
      <c r="I763" s="1311"/>
      <c r="J763" s="1312"/>
      <c r="K763" s="1313"/>
      <c r="L763" s="1313"/>
      <c r="M763" s="1255"/>
    </row>
    <row r="764" spans="1:13" s="1444" customFormat="1">
      <c r="A764" s="1305"/>
      <c r="B764" s="1306"/>
      <c r="C764" s="1255"/>
      <c r="D764" s="1445"/>
      <c r="E764" s="1309"/>
      <c r="F764" s="1309"/>
      <c r="G764" s="1255"/>
      <c r="H764" s="1310"/>
      <c r="I764" s="1311"/>
      <c r="J764" s="1312"/>
      <c r="K764" s="1313"/>
      <c r="L764" s="1313"/>
      <c r="M764" s="1255"/>
    </row>
    <row r="765" spans="1:13" s="1444" customFormat="1">
      <c r="A765" s="1305"/>
      <c r="B765" s="1306"/>
      <c r="C765" s="1255"/>
      <c r="D765" s="1445"/>
      <c r="E765" s="1309"/>
      <c r="F765" s="1309"/>
      <c r="G765" s="1255"/>
      <c r="H765" s="1310"/>
      <c r="I765" s="1311"/>
      <c r="J765" s="1312"/>
      <c r="K765" s="1313"/>
      <c r="L765" s="1313"/>
      <c r="M765" s="1255"/>
    </row>
    <row r="766" spans="1:13" s="1444" customFormat="1">
      <c r="A766" s="1305"/>
      <c r="B766" s="1306"/>
      <c r="C766" s="1255"/>
      <c r="D766" s="1445"/>
      <c r="E766" s="1309"/>
      <c r="F766" s="1309"/>
      <c r="G766" s="1255"/>
      <c r="H766" s="1310"/>
      <c r="I766" s="1311"/>
      <c r="J766" s="1312"/>
      <c r="K766" s="1313"/>
      <c r="L766" s="1313"/>
      <c r="M766" s="1255"/>
    </row>
    <row r="767" spans="1:13" s="1444" customFormat="1">
      <c r="A767" s="1305"/>
      <c r="B767" s="1306"/>
      <c r="C767" s="1255"/>
      <c r="D767" s="1445"/>
      <c r="E767" s="1309"/>
      <c r="F767" s="1309"/>
      <c r="G767" s="1255"/>
      <c r="H767" s="1310"/>
      <c r="I767" s="1311"/>
      <c r="J767" s="1312"/>
      <c r="K767" s="1313"/>
      <c r="L767" s="1313"/>
      <c r="M767" s="1255"/>
    </row>
    <row r="768" spans="1:13" s="1444" customFormat="1">
      <c r="A768" s="1305"/>
      <c r="B768" s="1306"/>
      <c r="C768" s="1255"/>
      <c r="D768" s="1445"/>
      <c r="E768" s="1309"/>
      <c r="F768" s="1309"/>
      <c r="G768" s="1255"/>
      <c r="H768" s="1310"/>
      <c r="I768" s="1311"/>
      <c r="J768" s="1312"/>
      <c r="K768" s="1313"/>
      <c r="L768" s="1313"/>
      <c r="M768" s="1255"/>
    </row>
    <row r="769" spans="1:13" s="1444" customFormat="1">
      <c r="A769" s="1305"/>
      <c r="B769" s="1306"/>
      <c r="C769" s="1255"/>
      <c r="D769" s="1445"/>
      <c r="E769" s="1309"/>
      <c r="F769" s="1309"/>
      <c r="G769" s="1255"/>
      <c r="H769" s="1310"/>
      <c r="I769" s="1311"/>
      <c r="J769" s="1312"/>
      <c r="K769" s="1313"/>
      <c r="L769" s="1313"/>
      <c r="M769" s="1255"/>
    </row>
    <row r="770" spans="1:13" s="1444" customFormat="1">
      <c r="A770" s="1305"/>
      <c r="B770" s="1306"/>
      <c r="C770" s="1255"/>
      <c r="D770" s="1445"/>
      <c r="E770" s="1309"/>
      <c r="F770" s="1309"/>
      <c r="G770" s="1255"/>
      <c r="H770" s="1310"/>
      <c r="I770" s="1311"/>
      <c r="J770" s="1312"/>
      <c r="K770" s="1313"/>
      <c r="L770" s="1313"/>
      <c r="M770" s="1255"/>
    </row>
    <row r="771" spans="1:13" s="1444" customFormat="1">
      <c r="A771" s="1305"/>
      <c r="B771" s="1306"/>
      <c r="C771" s="1255"/>
      <c r="D771" s="1445"/>
      <c r="E771" s="1309"/>
      <c r="F771" s="1309"/>
      <c r="G771" s="1255"/>
      <c r="H771" s="1310"/>
      <c r="I771" s="1311"/>
      <c r="J771" s="1312"/>
      <c r="K771" s="1313"/>
      <c r="L771" s="1313"/>
      <c r="M771" s="1255"/>
    </row>
    <row r="772" spans="1:13" s="1444" customFormat="1">
      <c r="A772" s="1305"/>
      <c r="B772" s="1306"/>
      <c r="C772" s="1255"/>
      <c r="D772" s="1445"/>
      <c r="E772" s="1309"/>
      <c r="F772" s="1309"/>
      <c r="G772" s="1255"/>
      <c r="H772" s="1310"/>
      <c r="I772" s="1311"/>
      <c r="J772" s="1312"/>
      <c r="K772" s="1313"/>
      <c r="L772" s="1313"/>
      <c r="M772" s="1255"/>
    </row>
    <row r="773" spans="1:13" s="1444" customFormat="1">
      <c r="A773" s="1305"/>
      <c r="B773" s="1306"/>
      <c r="C773" s="1255"/>
      <c r="D773" s="1445"/>
      <c r="E773" s="1309"/>
      <c r="F773" s="1309"/>
      <c r="G773" s="1255"/>
      <c r="H773" s="1310"/>
      <c r="I773" s="1311"/>
      <c r="J773" s="1312"/>
      <c r="K773" s="1313"/>
      <c r="L773" s="1313"/>
      <c r="M773" s="1255"/>
    </row>
    <row r="774" spans="1:13" s="1444" customFormat="1">
      <c r="A774" s="1305"/>
      <c r="B774" s="1306"/>
      <c r="C774" s="1255"/>
      <c r="D774" s="1445"/>
      <c r="E774" s="1309"/>
      <c r="F774" s="1309"/>
      <c r="G774" s="1255"/>
      <c r="H774" s="1310"/>
      <c r="I774" s="1311"/>
      <c r="J774" s="1312"/>
      <c r="K774" s="1313"/>
      <c r="L774" s="1313"/>
      <c r="M774" s="1255"/>
    </row>
    <row r="775" spans="1:13" s="1444" customFormat="1">
      <c r="A775" s="1305"/>
      <c r="B775" s="1306"/>
      <c r="C775" s="1255"/>
      <c r="D775" s="1445"/>
      <c r="E775" s="1309"/>
      <c r="F775" s="1309"/>
      <c r="G775" s="1255"/>
      <c r="H775" s="1310"/>
      <c r="I775" s="1311"/>
      <c r="J775" s="1312"/>
      <c r="K775" s="1313"/>
      <c r="L775" s="1313"/>
      <c r="M775" s="1255"/>
    </row>
    <row r="776" spans="1:13" s="1444" customFormat="1">
      <c r="A776" s="1305"/>
      <c r="B776" s="1306"/>
      <c r="C776" s="1255"/>
      <c r="D776" s="1445"/>
      <c r="E776" s="1309"/>
      <c r="F776" s="1309"/>
      <c r="G776" s="1255"/>
      <c r="H776" s="1310"/>
      <c r="I776" s="1311"/>
      <c r="J776" s="1312"/>
      <c r="K776" s="1313"/>
      <c r="L776" s="1313"/>
      <c r="M776" s="1255"/>
    </row>
    <row r="777" spans="1:13" s="1444" customFormat="1">
      <c r="A777" s="1305"/>
      <c r="B777" s="1306"/>
      <c r="C777" s="1255"/>
      <c r="D777" s="1445"/>
      <c r="E777" s="1309"/>
      <c r="F777" s="1309"/>
      <c r="G777" s="1255"/>
      <c r="H777" s="1310"/>
      <c r="I777" s="1311"/>
      <c r="J777" s="1312"/>
      <c r="K777" s="1313"/>
      <c r="L777" s="1313"/>
      <c r="M777" s="1255"/>
    </row>
    <row r="778" spans="1:13" s="1444" customFormat="1">
      <c r="A778" s="1305"/>
      <c r="B778" s="1306"/>
      <c r="C778" s="1255"/>
      <c r="D778" s="1445"/>
      <c r="E778" s="1309"/>
      <c r="F778" s="1309"/>
      <c r="G778" s="1255"/>
      <c r="H778" s="1310"/>
      <c r="I778" s="1311"/>
      <c r="J778" s="1312"/>
      <c r="K778" s="1313"/>
      <c r="L778" s="1313"/>
      <c r="M778" s="1255"/>
    </row>
    <row r="779" spans="1:13" s="1444" customFormat="1">
      <c r="A779" s="1305"/>
      <c r="B779" s="1306"/>
      <c r="C779" s="1255"/>
      <c r="D779" s="1445"/>
      <c r="E779" s="1309"/>
      <c r="F779" s="1309"/>
      <c r="G779" s="1255"/>
      <c r="H779" s="1310"/>
      <c r="I779" s="1311"/>
      <c r="J779" s="1312"/>
      <c r="K779" s="1313"/>
      <c r="L779" s="1313"/>
      <c r="M779" s="1255"/>
    </row>
    <row r="780" spans="1:13" s="1444" customFormat="1">
      <c r="A780" s="1305"/>
      <c r="B780" s="1306"/>
      <c r="C780" s="1255"/>
      <c r="D780" s="1445"/>
      <c r="E780" s="1309"/>
      <c r="F780" s="1309"/>
      <c r="G780" s="1255"/>
      <c r="H780" s="1310"/>
      <c r="I780" s="1311"/>
      <c r="J780" s="1312"/>
      <c r="K780" s="1313"/>
      <c r="L780" s="1313"/>
      <c r="M780" s="1255"/>
    </row>
    <row r="781" spans="1:13" s="1444" customFormat="1">
      <c r="A781" s="1305"/>
      <c r="B781" s="1306"/>
      <c r="C781" s="1255"/>
      <c r="D781" s="1445"/>
      <c r="E781" s="1309"/>
      <c r="F781" s="1309"/>
      <c r="G781" s="1255"/>
      <c r="H781" s="1310"/>
      <c r="I781" s="1311"/>
      <c r="J781" s="1312"/>
      <c r="K781" s="1313"/>
      <c r="L781" s="1313"/>
      <c r="M781" s="1255"/>
    </row>
    <row r="782" spans="1:13" s="1444" customFormat="1">
      <c r="A782" s="1305"/>
      <c r="B782" s="1306"/>
      <c r="C782" s="1255"/>
      <c r="D782" s="1445"/>
      <c r="E782" s="1309"/>
      <c r="F782" s="1309"/>
      <c r="G782" s="1255"/>
      <c r="H782" s="1310"/>
      <c r="I782" s="1311"/>
      <c r="J782" s="1312"/>
      <c r="K782" s="1313"/>
      <c r="L782" s="1313"/>
      <c r="M782" s="1255"/>
    </row>
    <row r="783" spans="1:13" s="1444" customFormat="1">
      <c r="A783" s="1305"/>
      <c r="B783" s="1306"/>
      <c r="C783" s="1255"/>
      <c r="D783" s="1445"/>
      <c r="E783" s="1309"/>
      <c r="F783" s="1309"/>
      <c r="G783" s="1255"/>
      <c r="H783" s="1310"/>
      <c r="I783" s="1311"/>
      <c r="J783" s="1312"/>
      <c r="K783" s="1313"/>
      <c r="L783" s="1313"/>
      <c r="M783" s="1255"/>
    </row>
    <row r="784" spans="1:13" s="1444" customFormat="1">
      <c r="A784" s="1305"/>
      <c r="B784" s="1306"/>
      <c r="C784" s="1255"/>
      <c r="D784" s="1445"/>
      <c r="E784" s="1309"/>
      <c r="F784" s="1309"/>
      <c r="G784" s="1255"/>
      <c r="H784" s="1310"/>
      <c r="I784" s="1311"/>
      <c r="J784" s="1312"/>
      <c r="K784" s="1313"/>
      <c r="L784" s="1313"/>
      <c r="M784" s="1255"/>
    </row>
    <row r="785" spans="1:13" s="1444" customFormat="1">
      <c r="A785" s="1305"/>
      <c r="B785" s="1306"/>
      <c r="C785" s="1255"/>
      <c r="D785" s="1445"/>
      <c r="E785" s="1309"/>
      <c r="F785" s="1309"/>
      <c r="G785" s="1255"/>
      <c r="H785" s="1310"/>
      <c r="I785" s="1311"/>
      <c r="J785" s="1312"/>
      <c r="K785" s="1313"/>
      <c r="L785" s="1313"/>
      <c r="M785" s="1255"/>
    </row>
    <row r="786" spans="1:13" s="1444" customFormat="1">
      <c r="A786" s="1305"/>
      <c r="B786" s="1306"/>
      <c r="C786" s="1255"/>
      <c r="D786" s="1445"/>
      <c r="E786" s="1309"/>
      <c r="F786" s="1309"/>
      <c r="G786" s="1255"/>
      <c r="H786" s="1310"/>
      <c r="I786" s="1311"/>
      <c r="J786" s="1312"/>
      <c r="K786" s="1313"/>
      <c r="L786" s="1313"/>
      <c r="M786" s="1255"/>
    </row>
    <row r="787" spans="1:13" s="1444" customFormat="1">
      <c r="A787" s="1305"/>
      <c r="B787" s="1306"/>
      <c r="C787" s="1255"/>
      <c r="D787" s="1445"/>
      <c r="E787" s="1309"/>
      <c r="F787" s="1309"/>
      <c r="G787" s="1255"/>
      <c r="H787" s="1310"/>
      <c r="I787" s="1311"/>
      <c r="J787" s="1312"/>
      <c r="K787" s="1313"/>
      <c r="L787" s="1313"/>
      <c r="M787" s="1255"/>
    </row>
    <row r="788" spans="1:13" s="1444" customFormat="1">
      <c r="A788" s="1305"/>
      <c r="B788" s="1306"/>
      <c r="C788" s="1255"/>
      <c r="D788" s="1445"/>
      <c r="E788" s="1309"/>
      <c r="F788" s="1309"/>
      <c r="G788" s="1255"/>
      <c r="H788" s="1310"/>
      <c r="I788" s="1311"/>
      <c r="J788" s="1312"/>
      <c r="K788" s="1313"/>
      <c r="L788" s="1313"/>
      <c r="M788" s="1255"/>
    </row>
    <row r="789" spans="1:13" s="1444" customFormat="1">
      <c r="A789" s="1305"/>
      <c r="B789" s="1306"/>
      <c r="C789" s="1255"/>
      <c r="D789" s="1445"/>
      <c r="E789" s="1309"/>
      <c r="F789" s="1309"/>
      <c r="G789" s="1255"/>
      <c r="H789" s="1310"/>
      <c r="I789" s="1311"/>
      <c r="J789" s="1312"/>
      <c r="K789" s="1313"/>
      <c r="L789" s="1313"/>
      <c r="M789" s="1255"/>
    </row>
    <row r="790" spans="1:13" s="1444" customFormat="1">
      <c r="A790" s="1305"/>
      <c r="B790" s="1306"/>
      <c r="C790" s="1255"/>
      <c r="D790" s="1445"/>
      <c r="E790" s="1309"/>
      <c r="F790" s="1309"/>
      <c r="G790" s="1255"/>
      <c r="H790" s="1310"/>
      <c r="I790" s="1311"/>
      <c r="J790" s="1312"/>
      <c r="K790" s="1313"/>
      <c r="L790" s="1313"/>
      <c r="M790" s="1255"/>
    </row>
    <row r="791" spans="1:13" s="1444" customFormat="1">
      <c r="A791" s="1305"/>
      <c r="B791" s="1306"/>
      <c r="C791" s="1255"/>
      <c r="D791" s="1445"/>
      <c r="E791" s="1309"/>
      <c r="F791" s="1309"/>
      <c r="G791" s="1255"/>
      <c r="H791" s="1310"/>
      <c r="I791" s="1311"/>
      <c r="J791" s="1312"/>
      <c r="K791" s="1313"/>
      <c r="L791" s="1313"/>
      <c r="M791" s="1255"/>
    </row>
    <row r="792" spans="1:13" s="1444" customFormat="1">
      <c r="A792" s="1305"/>
      <c r="B792" s="1306"/>
      <c r="C792" s="1255"/>
      <c r="D792" s="1445"/>
      <c r="E792" s="1309"/>
      <c r="F792" s="1309"/>
      <c r="G792" s="1255"/>
      <c r="H792" s="1310"/>
      <c r="I792" s="1311"/>
      <c r="J792" s="1312"/>
      <c r="K792" s="1313"/>
      <c r="L792" s="1313"/>
      <c r="M792" s="1255"/>
    </row>
    <row r="793" spans="1:13" s="1444" customFormat="1">
      <c r="A793" s="1305"/>
      <c r="B793" s="1306"/>
      <c r="C793" s="1255"/>
      <c r="D793" s="1445"/>
      <c r="E793" s="1309"/>
      <c r="F793" s="1309"/>
      <c r="G793" s="1255"/>
      <c r="H793" s="1310"/>
      <c r="I793" s="1311"/>
      <c r="J793" s="1312"/>
      <c r="K793" s="1313"/>
      <c r="L793" s="1313"/>
      <c r="M793" s="1255"/>
    </row>
    <row r="794" spans="1:13" s="1444" customFormat="1">
      <c r="A794" s="1305"/>
      <c r="B794" s="1306"/>
      <c r="C794" s="1255"/>
      <c r="D794" s="1445"/>
      <c r="E794" s="1309"/>
      <c r="F794" s="1309"/>
      <c r="G794" s="1255"/>
      <c r="H794" s="1310"/>
      <c r="I794" s="1311"/>
      <c r="J794" s="1312"/>
      <c r="K794" s="1313"/>
      <c r="L794" s="1313"/>
      <c r="M794" s="1255"/>
    </row>
    <row r="795" spans="1:13" s="1444" customFormat="1">
      <c r="A795" s="1305"/>
      <c r="B795" s="1306"/>
      <c r="C795" s="1255"/>
      <c r="D795" s="1445"/>
      <c r="E795" s="1309"/>
      <c r="F795" s="1309"/>
      <c r="G795" s="1255"/>
      <c r="H795" s="1310"/>
      <c r="I795" s="1311"/>
      <c r="J795" s="1312"/>
      <c r="K795" s="1313"/>
      <c r="L795" s="1313"/>
      <c r="M795" s="1255"/>
    </row>
    <row r="796" spans="1:13" s="1444" customFormat="1">
      <c r="A796" s="1305"/>
      <c r="B796" s="1306"/>
      <c r="C796" s="1255"/>
      <c r="D796" s="1445"/>
      <c r="E796" s="1309"/>
      <c r="F796" s="1309"/>
      <c r="G796" s="1255"/>
      <c r="H796" s="1310"/>
      <c r="I796" s="1311"/>
      <c r="J796" s="1312"/>
      <c r="K796" s="1313"/>
      <c r="L796" s="1313"/>
      <c r="M796" s="1255"/>
    </row>
    <row r="797" spans="1:13" s="1444" customFormat="1">
      <c r="A797" s="1305"/>
      <c r="B797" s="1306"/>
      <c r="C797" s="1255"/>
      <c r="D797" s="1445"/>
      <c r="E797" s="1309"/>
      <c r="F797" s="1309"/>
      <c r="G797" s="1255"/>
      <c r="H797" s="1310"/>
      <c r="I797" s="1311"/>
      <c r="J797" s="1312"/>
      <c r="K797" s="1313"/>
      <c r="L797" s="1313"/>
      <c r="M797" s="1255"/>
    </row>
    <row r="798" spans="1:13" s="1444" customFormat="1">
      <c r="A798" s="1305"/>
      <c r="B798" s="1306"/>
      <c r="C798" s="1255"/>
      <c r="D798" s="1445"/>
      <c r="E798" s="1309"/>
      <c r="F798" s="1309"/>
      <c r="G798" s="1255"/>
      <c r="H798" s="1310"/>
      <c r="I798" s="1311"/>
      <c r="J798" s="1312"/>
      <c r="K798" s="1313"/>
      <c r="L798" s="1313"/>
      <c r="M798" s="1255"/>
    </row>
    <row r="799" spans="1:13" s="1444" customFormat="1">
      <c r="A799" s="1305"/>
      <c r="B799" s="1306"/>
      <c r="C799" s="1255"/>
      <c r="D799" s="1445"/>
      <c r="E799" s="1309"/>
      <c r="F799" s="1309"/>
      <c r="G799" s="1255"/>
      <c r="H799" s="1310"/>
      <c r="I799" s="1311"/>
      <c r="J799" s="1312"/>
      <c r="K799" s="1313"/>
      <c r="L799" s="1313"/>
      <c r="M799" s="1255"/>
    </row>
    <row r="800" spans="1:13" s="1444" customFormat="1">
      <c r="A800" s="1305"/>
      <c r="B800" s="1306"/>
      <c r="C800" s="1255"/>
      <c r="D800" s="1445"/>
      <c r="E800" s="1309"/>
      <c r="F800" s="1309"/>
      <c r="G800" s="1255"/>
      <c r="H800" s="1310"/>
      <c r="I800" s="1311"/>
      <c r="J800" s="1312"/>
      <c r="K800" s="1313"/>
      <c r="L800" s="1313"/>
      <c r="M800" s="1255"/>
    </row>
    <row r="801" spans="1:13" s="1444" customFormat="1">
      <c r="A801" s="1305"/>
      <c r="B801" s="1306"/>
      <c r="C801" s="1255"/>
      <c r="D801" s="1445"/>
      <c r="E801" s="1309"/>
      <c r="F801" s="1309"/>
      <c r="G801" s="1255"/>
      <c r="H801" s="1310"/>
      <c r="I801" s="1311"/>
      <c r="J801" s="1312"/>
      <c r="K801" s="1313"/>
      <c r="L801" s="1313"/>
      <c r="M801" s="1255"/>
    </row>
    <row r="802" spans="1:13" s="1444" customFormat="1">
      <c r="A802" s="1305"/>
      <c r="B802" s="1306"/>
      <c r="C802" s="1255"/>
      <c r="D802" s="1445"/>
      <c r="E802" s="1309"/>
      <c r="F802" s="1309"/>
      <c r="G802" s="1255"/>
      <c r="H802" s="1310"/>
      <c r="I802" s="1311"/>
      <c r="J802" s="1312"/>
      <c r="K802" s="1313"/>
      <c r="L802" s="1313"/>
      <c r="M802" s="1255"/>
    </row>
    <row r="803" spans="1:13" s="1444" customFormat="1">
      <c r="A803" s="1305"/>
      <c r="B803" s="1306"/>
      <c r="C803" s="1255"/>
      <c r="D803" s="1445"/>
      <c r="E803" s="1309"/>
      <c r="F803" s="1309"/>
      <c r="G803" s="1255"/>
      <c r="H803" s="1310"/>
      <c r="I803" s="1311"/>
      <c r="J803" s="1312"/>
      <c r="K803" s="1313"/>
      <c r="L803" s="1313"/>
      <c r="M803" s="1255"/>
    </row>
    <row r="804" spans="1:13" s="1444" customFormat="1">
      <c r="A804" s="1305"/>
      <c r="B804" s="1306"/>
      <c r="C804" s="1255"/>
      <c r="D804" s="1445"/>
      <c r="E804" s="1309"/>
      <c r="F804" s="1309"/>
      <c r="G804" s="1255"/>
      <c r="H804" s="1310"/>
      <c r="I804" s="1311"/>
      <c r="J804" s="1312"/>
      <c r="K804" s="1313"/>
      <c r="L804" s="1313"/>
      <c r="M804" s="1255"/>
    </row>
    <row r="805" spans="1:13" s="1444" customFormat="1">
      <c r="A805" s="1305"/>
      <c r="B805" s="1306"/>
      <c r="C805" s="1255"/>
      <c r="D805" s="1445"/>
      <c r="E805" s="1309"/>
      <c r="F805" s="1309"/>
      <c r="G805" s="1255"/>
      <c r="H805" s="1310"/>
      <c r="I805" s="1311"/>
      <c r="J805" s="1312"/>
      <c r="K805" s="1313"/>
      <c r="L805" s="1313"/>
      <c r="M805" s="1255"/>
    </row>
    <row r="806" spans="1:13" s="1444" customFormat="1">
      <c r="A806" s="1305"/>
      <c r="B806" s="1306"/>
      <c r="C806" s="1255"/>
      <c r="D806" s="1445"/>
      <c r="E806" s="1309"/>
      <c r="F806" s="1309"/>
      <c r="G806" s="1255"/>
      <c r="H806" s="1310"/>
      <c r="I806" s="1311"/>
      <c r="J806" s="1312"/>
      <c r="K806" s="1313"/>
      <c r="L806" s="1313"/>
      <c r="M806" s="1255"/>
    </row>
    <row r="807" spans="1:13" s="1444" customFormat="1">
      <c r="A807" s="1305"/>
      <c r="B807" s="1306"/>
      <c r="C807" s="1255"/>
      <c r="D807" s="1445"/>
      <c r="E807" s="1309"/>
      <c r="F807" s="1309"/>
      <c r="G807" s="1255"/>
      <c r="H807" s="1310"/>
      <c r="I807" s="1311"/>
      <c r="J807" s="1312"/>
      <c r="K807" s="1313"/>
      <c r="L807" s="1313"/>
      <c r="M807" s="1255"/>
    </row>
    <row r="808" spans="1:13" s="1444" customFormat="1">
      <c r="A808" s="1305"/>
      <c r="B808" s="1306"/>
      <c r="C808" s="1255"/>
      <c r="D808" s="1445"/>
      <c r="E808" s="1309"/>
      <c r="F808" s="1309"/>
      <c r="G808" s="1255"/>
      <c r="H808" s="1310"/>
      <c r="I808" s="1311"/>
      <c r="J808" s="1312"/>
      <c r="K808" s="1313"/>
      <c r="L808" s="1313"/>
      <c r="M808" s="1255"/>
    </row>
    <row r="809" spans="1:13" s="1444" customFormat="1">
      <c r="A809" s="1305"/>
      <c r="B809" s="1306"/>
      <c r="C809" s="1255"/>
      <c r="D809" s="1445"/>
      <c r="E809" s="1309"/>
      <c r="F809" s="1309"/>
      <c r="G809" s="1255"/>
      <c r="H809" s="1310"/>
      <c r="I809" s="1311"/>
      <c r="J809" s="1312"/>
      <c r="K809" s="1313"/>
      <c r="L809" s="1313"/>
      <c r="M809" s="1255"/>
    </row>
    <row r="810" spans="1:13" s="1444" customFormat="1">
      <c r="A810" s="1305"/>
      <c r="B810" s="1306"/>
      <c r="C810" s="1255"/>
      <c r="D810" s="1445"/>
      <c r="E810" s="1309"/>
      <c r="F810" s="1309"/>
      <c r="G810" s="1255"/>
      <c r="H810" s="1310"/>
      <c r="I810" s="1311"/>
      <c r="J810" s="1312"/>
      <c r="K810" s="1313"/>
      <c r="L810" s="1313"/>
      <c r="M810" s="1255"/>
    </row>
    <row r="811" spans="1:13" s="1444" customFormat="1">
      <c r="A811" s="1305"/>
      <c r="B811" s="1306"/>
      <c r="C811" s="1255"/>
      <c r="D811" s="1445"/>
      <c r="E811" s="1309"/>
      <c r="F811" s="1309"/>
      <c r="G811" s="1255"/>
      <c r="H811" s="1310"/>
      <c r="I811" s="1311"/>
      <c r="J811" s="1312"/>
      <c r="K811" s="1313"/>
      <c r="L811" s="1313"/>
      <c r="M811" s="1255"/>
    </row>
    <row r="812" spans="1:13" s="1444" customFormat="1">
      <c r="A812" s="1305"/>
      <c r="B812" s="1306"/>
      <c r="C812" s="1255"/>
      <c r="D812" s="1445"/>
      <c r="E812" s="1309"/>
      <c r="F812" s="1309"/>
      <c r="G812" s="1255"/>
      <c r="H812" s="1310"/>
      <c r="I812" s="1311"/>
      <c r="J812" s="1312"/>
      <c r="K812" s="1313"/>
      <c r="L812" s="1313"/>
      <c r="M812" s="1255"/>
    </row>
    <row r="813" spans="1:13" s="1444" customFormat="1">
      <c r="A813" s="1305"/>
      <c r="B813" s="1306"/>
      <c r="C813" s="1255"/>
      <c r="D813" s="1445"/>
      <c r="E813" s="1309"/>
      <c r="F813" s="1309"/>
      <c r="G813" s="1255"/>
      <c r="H813" s="1310"/>
      <c r="I813" s="1311"/>
      <c r="J813" s="1312"/>
      <c r="K813" s="1313"/>
      <c r="L813" s="1313"/>
      <c r="M813" s="1255"/>
    </row>
    <row r="814" spans="1:13" s="1444" customFormat="1">
      <c r="A814" s="1305"/>
      <c r="B814" s="1306"/>
      <c r="C814" s="1255"/>
      <c r="D814" s="1445"/>
      <c r="E814" s="1309"/>
      <c r="F814" s="1309"/>
      <c r="G814" s="1255"/>
      <c r="H814" s="1310"/>
      <c r="I814" s="1311"/>
      <c r="J814" s="1312"/>
      <c r="K814" s="1313"/>
      <c r="L814" s="1313"/>
      <c r="M814" s="1255"/>
    </row>
    <row r="815" spans="1:13" s="1444" customFormat="1">
      <c r="A815" s="1305"/>
      <c r="B815" s="1306"/>
      <c r="C815" s="1255"/>
      <c r="D815" s="1445"/>
      <c r="E815" s="1309"/>
      <c r="F815" s="1309"/>
      <c r="G815" s="1255"/>
      <c r="H815" s="1310"/>
      <c r="I815" s="1311"/>
      <c r="J815" s="1312"/>
      <c r="K815" s="1313"/>
      <c r="L815" s="1313"/>
      <c r="M815" s="1255"/>
    </row>
    <row r="816" spans="1:13" s="1444" customFormat="1">
      <c r="A816" s="1305"/>
      <c r="B816" s="1306"/>
      <c r="C816" s="1255"/>
      <c r="D816" s="1445"/>
      <c r="E816" s="1309"/>
      <c r="F816" s="1309"/>
      <c r="G816" s="1255"/>
      <c r="H816" s="1310"/>
      <c r="I816" s="1311"/>
      <c r="J816" s="1312"/>
      <c r="K816" s="1313"/>
      <c r="L816" s="1313"/>
      <c r="M816" s="1255"/>
    </row>
    <row r="817" spans="1:13" s="1444" customFormat="1">
      <c r="A817" s="1305"/>
      <c r="B817" s="1306"/>
      <c r="C817" s="1255"/>
      <c r="D817" s="1445"/>
      <c r="E817" s="1309"/>
      <c r="F817" s="1309"/>
      <c r="G817" s="1255"/>
      <c r="H817" s="1310"/>
      <c r="I817" s="1311"/>
      <c r="J817" s="1312"/>
      <c r="K817" s="1313"/>
      <c r="L817" s="1313"/>
      <c r="M817" s="1255"/>
    </row>
    <row r="818" spans="1:13" s="1444" customFormat="1">
      <c r="A818" s="1305"/>
      <c r="B818" s="1306"/>
      <c r="C818" s="1255"/>
      <c r="D818" s="1445"/>
      <c r="E818" s="1309"/>
      <c r="F818" s="1309"/>
      <c r="G818" s="1255"/>
      <c r="H818" s="1310"/>
      <c r="I818" s="1311"/>
      <c r="J818" s="1312"/>
      <c r="K818" s="1313"/>
      <c r="L818" s="1313"/>
      <c r="M818" s="1255"/>
    </row>
    <row r="819" spans="1:13" s="1444" customFormat="1">
      <c r="A819" s="1305"/>
      <c r="B819" s="1306"/>
      <c r="C819" s="1255"/>
      <c r="D819" s="1445"/>
      <c r="E819" s="1309"/>
      <c r="F819" s="1309"/>
      <c r="G819" s="1255"/>
      <c r="H819" s="1310"/>
      <c r="I819" s="1311"/>
      <c r="J819" s="1312"/>
      <c r="K819" s="1313"/>
      <c r="L819" s="1313"/>
      <c r="M819" s="1255"/>
    </row>
    <row r="820" spans="1:13" s="1444" customFormat="1">
      <c r="A820" s="1305"/>
      <c r="B820" s="1306"/>
      <c r="C820" s="1255"/>
      <c r="D820" s="1445"/>
      <c r="E820" s="1309"/>
      <c r="F820" s="1309"/>
      <c r="G820" s="1255"/>
      <c r="H820" s="1310"/>
      <c r="I820" s="1311"/>
      <c r="J820" s="1312"/>
      <c r="K820" s="1313"/>
      <c r="L820" s="1313"/>
      <c r="M820" s="1255"/>
    </row>
    <row r="821" spans="1:13" s="1444" customFormat="1">
      <c r="A821" s="1305"/>
      <c r="B821" s="1306"/>
      <c r="C821" s="1255"/>
      <c r="D821" s="1445"/>
      <c r="E821" s="1309"/>
      <c r="F821" s="1309"/>
      <c r="G821" s="1255"/>
      <c r="H821" s="1310"/>
      <c r="I821" s="1311"/>
      <c r="J821" s="1312"/>
      <c r="K821" s="1313"/>
      <c r="L821" s="1313"/>
      <c r="M821" s="1255"/>
    </row>
    <row r="822" spans="1:13" s="1444" customFormat="1">
      <c r="A822" s="1305"/>
      <c r="B822" s="1306"/>
      <c r="C822" s="1255"/>
      <c r="D822" s="1445"/>
      <c r="E822" s="1309"/>
      <c r="F822" s="1309"/>
      <c r="G822" s="1255"/>
      <c r="H822" s="1310"/>
      <c r="I822" s="1311"/>
      <c r="J822" s="1312"/>
      <c r="K822" s="1313"/>
      <c r="L822" s="1313"/>
      <c r="M822" s="1255"/>
    </row>
    <row r="823" spans="1:13" s="1444" customFormat="1">
      <c r="A823" s="1305"/>
      <c r="B823" s="1306"/>
      <c r="C823" s="1255"/>
      <c r="D823" s="1445"/>
      <c r="E823" s="1309"/>
      <c r="F823" s="1309"/>
      <c r="G823" s="1255"/>
      <c r="H823" s="1310"/>
      <c r="I823" s="1311"/>
      <c r="J823" s="1312"/>
      <c r="K823" s="1313"/>
      <c r="L823" s="1313"/>
      <c r="M823" s="1255"/>
    </row>
    <row r="824" spans="1:13" s="1444" customFormat="1">
      <c r="A824" s="1305"/>
      <c r="B824" s="1306"/>
      <c r="C824" s="1255"/>
      <c r="D824" s="1445"/>
      <c r="E824" s="1309"/>
      <c r="F824" s="1309"/>
      <c r="G824" s="1255"/>
      <c r="H824" s="1310"/>
      <c r="I824" s="1311"/>
      <c r="J824" s="1312"/>
      <c r="K824" s="1313"/>
      <c r="L824" s="1313"/>
      <c r="M824" s="1255"/>
    </row>
    <row r="825" spans="1:13" s="1444" customFormat="1">
      <c r="A825" s="1305"/>
      <c r="B825" s="1306"/>
      <c r="C825" s="1255"/>
      <c r="D825" s="1445"/>
      <c r="E825" s="1309"/>
      <c r="F825" s="1309"/>
      <c r="G825" s="1255"/>
      <c r="H825" s="1310"/>
      <c r="I825" s="1311"/>
      <c r="J825" s="1312"/>
      <c r="K825" s="1313"/>
      <c r="L825" s="1313"/>
      <c r="M825" s="1255"/>
    </row>
    <row r="826" spans="1:13" s="1444" customFormat="1">
      <c r="A826" s="1305"/>
      <c r="B826" s="1306"/>
      <c r="C826" s="1255"/>
      <c r="D826" s="1445"/>
      <c r="E826" s="1309"/>
      <c r="F826" s="1309"/>
      <c r="G826" s="1255"/>
      <c r="H826" s="1310"/>
      <c r="I826" s="1311"/>
      <c r="J826" s="1312"/>
      <c r="K826" s="1313"/>
      <c r="L826" s="1313"/>
      <c r="M826" s="1255"/>
    </row>
    <row r="827" spans="1:13" s="1444" customFormat="1">
      <c r="A827" s="1305"/>
      <c r="B827" s="1306"/>
      <c r="C827" s="1255"/>
      <c r="D827" s="1445"/>
      <c r="E827" s="1309"/>
      <c r="F827" s="1309"/>
      <c r="G827" s="1255"/>
      <c r="H827" s="1310"/>
      <c r="I827" s="1311"/>
      <c r="J827" s="1312"/>
      <c r="K827" s="1313"/>
      <c r="L827" s="1313"/>
      <c r="M827" s="1255"/>
    </row>
    <row r="828" spans="1:13" s="1444" customFormat="1">
      <c r="A828" s="1305"/>
      <c r="B828" s="1306"/>
      <c r="C828" s="1255"/>
      <c r="D828" s="1445"/>
      <c r="E828" s="1309"/>
      <c r="F828" s="1309"/>
      <c r="G828" s="1255"/>
      <c r="H828" s="1310"/>
      <c r="I828" s="1311"/>
      <c r="J828" s="1312"/>
      <c r="K828" s="1313"/>
      <c r="L828" s="1313"/>
      <c r="M828" s="1255"/>
    </row>
    <row r="829" spans="1:13" s="1444" customFormat="1">
      <c r="A829" s="1305"/>
      <c r="B829" s="1306"/>
      <c r="C829" s="1255"/>
      <c r="D829" s="1445"/>
      <c r="E829" s="1309"/>
      <c r="F829" s="1309"/>
      <c r="G829" s="1255"/>
      <c r="H829" s="1310"/>
      <c r="I829" s="1311"/>
      <c r="J829" s="1312"/>
      <c r="K829" s="1313"/>
      <c r="L829" s="1313"/>
      <c r="M829" s="1255"/>
    </row>
    <row r="830" spans="1:13" s="1444" customFormat="1">
      <c r="A830" s="1305"/>
      <c r="B830" s="1306"/>
      <c r="C830" s="1255"/>
      <c r="D830" s="1445"/>
      <c r="E830" s="1309"/>
      <c r="F830" s="1309"/>
      <c r="G830" s="1255"/>
      <c r="H830" s="1310"/>
      <c r="I830" s="1311"/>
      <c r="J830" s="1312"/>
      <c r="K830" s="1313"/>
      <c r="L830" s="1313"/>
      <c r="M830" s="1255"/>
    </row>
    <row r="831" spans="1:13" s="1444" customFormat="1">
      <c r="A831" s="1305"/>
      <c r="B831" s="1306"/>
      <c r="C831" s="1255"/>
      <c r="D831" s="1445"/>
      <c r="E831" s="1309"/>
      <c r="F831" s="1309"/>
      <c r="G831" s="1255"/>
      <c r="H831" s="1310"/>
      <c r="I831" s="1311"/>
      <c r="J831" s="1312"/>
      <c r="K831" s="1313"/>
      <c r="L831" s="1313"/>
      <c r="M831" s="1255"/>
    </row>
    <row r="832" spans="1:13" s="1444" customFormat="1">
      <c r="A832" s="1305"/>
      <c r="B832" s="1306"/>
      <c r="C832" s="1255"/>
      <c r="D832" s="1445"/>
      <c r="E832" s="1309"/>
      <c r="F832" s="1309"/>
      <c r="G832" s="1255"/>
      <c r="H832" s="1310"/>
      <c r="I832" s="1311"/>
      <c r="J832" s="1312"/>
      <c r="K832" s="1313"/>
      <c r="L832" s="1313"/>
      <c r="M832" s="1255"/>
    </row>
    <row r="833" spans="1:13" s="1444" customFormat="1">
      <c r="A833" s="1305"/>
      <c r="B833" s="1306"/>
      <c r="C833" s="1255"/>
      <c r="D833" s="1445"/>
      <c r="E833" s="1309"/>
      <c r="F833" s="1309"/>
      <c r="G833" s="1255"/>
      <c r="H833" s="1310"/>
      <c r="I833" s="1311"/>
      <c r="J833" s="1312"/>
      <c r="K833" s="1313"/>
      <c r="L833" s="1313"/>
      <c r="M833" s="1255"/>
    </row>
    <row r="834" spans="1:13" s="1444" customFormat="1">
      <c r="A834" s="1305"/>
      <c r="B834" s="1306"/>
      <c r="C834" s="1255"/>
      <c r="D834" s="1445"/>
      <c r="E834" s="1309"/>
      <c r="F834" s="1309"/>
      <c r="G834" s="1255"/>
      <c r="H834" s="1310"/>
      <c r="I834" s="1311"/>
      <c r="J834" s="1312"/>
      <c r="K834" s="1313"/>
      <c r="L834" s="1313"/>
      <c r="M834" s="1255"/>
    </row>
    <row r="835" spans="1:13" s="1444" customFormat="1">
      <c r="A835" s="1305"/>
      <c r="B835" s="1306"/>
      <c r="C835" s="1255"/>
      <c r="D835" s="1445"/>
      <c r="E835" s="1309"/>
      <c r="F835" s="1309"/>
      <c r="G835" s="1255"/>
      <c r="H835" s="1310"/>
      <c r="I835" s="1311"/>
      <c r="J835" s="1312"/>
      <c r="K835" s="1313"/>
      <c r="L835" s="1313"/>
      <c r="M835" s="1255"/>
    </row>
    <row r="836" spans="1:13" s="1444" customFormat="1">
      <c r="A836" s="1305"/>
      <c r="B836" s="1306"/>
      <c r="C836" s="1255"/>
      <c r="D836" s="1445"/>
      <c r="E836" s="1309"/>
      <c r="F836" s="1309"/>
      <c r="G836" s="1255"/>
      <c r="H836" s="1310"/>
      <c r="I836" s="1311"/>
      <c r="J836" s="1312"/>
      <c r="K836" s="1313"/>
      <c r="L836" s="1313"/>
      <c r="M836" s="1255"/>
    </row>
    <row r="837" spans="1:13" s="1444" customFormat="1">
      <c r="A837" s="1305"/>
      <c r="B837" s="1306"/>
      <c r="C837" s="1255"/>
      <c r="D837" s="1445"/>
      <c r="E837" s="1309"/>
      <c r="F837" s="1309"/>
      <c r="G837" s="1255"/>
      <c r="H837" s="1310"/>
      <c r="I837" s="1311"/>
      <c r="J837" s="1312"/>
      <c r="K837" s="1313"/>
      <c r="L837" s="1313"/>
      <c r="M837" s="1255"/>
    </row>
    <row r="838" spans="1:13" s="1444" customFormat="1">
      <c r="A838" s="1305"/>
      <c r="B838" s="1306"/>
      <c r="C838" s="1255"/>
      <c r="D838" s="1445"/>
      <c r="E838" s="1309"/>
      <c r="F838" s="1309"/>
      <c r="G838" s="1255"/>
      <c r="H838" s="1310"/>
      <c r="I838" s="1311"/>
      <c r="J838" s="1312"/>
      <c r="K838" s="1313"/>
      <c r="L838" s="1313"/>
      <c r="M838" s="1255"/>
    </row>
    <row r="839" spans="1:13" s="1444" customFormat="1">
      <c r="A839" s="1305"/>
      <c r="B839" s="1306"/>
      <c r="C839" s="1255"/>
      <c r="D839" s="1445"/>
      <c r="E839" s="1309"/>
      <c r="F839" s="1309"/>
      <c r="G839" s="1255"/>
      <c r="H839" s="1310"/>
      <c r="I839" s="1311"/>
      <c r="J839" s="1312"/>
      <c r="K839" s="1313"/>
      <c r="L839" s="1313"/>
      <c r="M839" s="1255"/>
    </row>
    <row r="840" spans="1:13" s="1444" customFormat="1">
      <c r="A840" s="1305"/>
      <c r="B840" s="1306"/>
      <c r="C840" s="1255"/>
      <c r="D840" s="1445"/>
      <c r="E840" s="1309"/>
      <c r="F840" s="1309"/>
      <c r="G840" s="1255"/>
      <c r="H840" s="1310"/>
      <c r="I840" s="1311"/>
      <c r="J840" s="1312"/>
      <c r="K840" s="1313"/>
      <c r="L840" s="1313"/>
      <c r="M840" s="1255"/>
    </row>
    <row r="841" spans="1:13" s="1444" customFormat="1">
      <c r="A841" s="1305"/>
      <c r="B841" s="1306"/>
      <c r="C841" s="1255"/>
      <c r="D841" s="1445"/>
      <c r="E841" s="1309"/>
      <c r="F841" s="1309"/>
      <c r="G841" s="1255"/>
      <c r="H841" s="1310"/>
      <c r="I841" s="1311"/>
      <c r="J841" s="1312"/>
      <c r="K841" s="1313"/>
      <c r="L841" s="1313"/>
      <c r="M841" s="1255"/>
    </row>
    <row r="842" spans="1:13" s="1444" customFormat="1">
      <c r="A842" s="1305"/>
      <c r="B842" s="1306"/>
      <c r="C842" s="1255"/>
      <c r="D842" s="1445"/>
      <c r="E842" s="1309"/>
      <c r="F842" s="1309"/>
      <c r="G842" s="1255"/>
      <c r="H842" s="1310"/>
      <c r="I842" s="1311"/>
      <c r="J842" s="1312"/>
      <c r="K842" s="1313"/>
      <c r="L842" s="1313"/>
      <c r="M842" s="1255"/>
    </row>
    <row r="843" spans="1:13" s="1444" customFormat="1">
      <c r="A843" s="1305"/>
      <c r="B843" s="1306"/>
      <c r="C843" s="1255"/>
      <c r="D843" s="1445"/>
      <c r="E843" s="1309"/>
      <c r="F843" s="1309"/>
      <c r="G843" s="1255"/>
      <c r="H843" s="1310"/>
      <c r="I843" s="1311"/>
      <c r="J843" s="1312"/>
      <c r="K843" s="1313"/>
      <c r="L843" s="1313"/>
      <c r="M843" s="1255"/>
    </row>
    <row r="844" spans="1:13" s="1444" customFormat="1">
      <c r="A844" s="1305"/>
      <c r="B844" s="1306"/>
      <c r="C844" s="1255"/>
      <c r="D844" s="1445"/>
      <c r="E844" s="1309"/>
      <c r="F844" s="1309"/>
      <c r="G844" s="1255"/>
      <c r="H844" s="1310"/>
      <c r="I844" s="1311"/>
      <c r="J844" s="1312"/>
      <c r="K844" s="1313"/>
      <c r="L844" s="1313"/>
      <c r="M844" s="1255"/>
    </row>
    <row r="845" spans="1:13" s="1444" customFormat="1">
      <c r="A845" s="1305"/>
      <c r="B845" s="1306"/>
      <c r="C845" s="1255"/>
      <c r="D845" s="1445"/>
      <c r="E845" s="1309"/>
      <c r="F845" s="1309"/>
      <c r="G845" s="1255"/>
      <c r="H845" s="1310"/>
      <c r="I845" s="1311"/>
      <c r="J845" s="1312"/>
      <c r="K845" s="1313"/>
      <c r="L845" s="1313"/>
      <c r="M845" s="1255"/>
    </row>
    <row r="846" spans="1:13" s="1444" customFormat="1">
      <c r="A846" s="1305"/>
      <c r="B846" s="1306"/>
      <c r="C846" s="1255"/>
      <c r="D846" s="1445"/>
      <c r="E846" s="1309"/>
      <c r="F846" s="1309"/>
      <c r="G846" s="1255"/>
      <c r="H846" s="1310"/>
      <c r="I846" s="1311"/>
      <c r="J846" s="1312"/>
      <c r="K846" s="1313"/>
      <c r="L846" s="1313"/>
      <c r="M846" s="1255"/>
    </row>
    <row r="847" spans="1:13" s="1444" customFormat="1">
      <c r="A847" s="1305"/>
      <c r="B847" s="1306"/>
      <c r="C847" s="1255"/>
      <c r="D847" s="1445"/>
      <c r="E847" s="1309"/>
      <c r="F847" s="1309"/>
      <c r="G847" s="1255"/>
      <c r="H847" s="1310"/>
      <c r="I847" s="1311"/>
      <c r="J847" s="1312"/>
      <c r="K847" s="1313"/>
      <c r="L847" s="1313"/>
      <c r="M847" s="1255"/>
    </row>
    <row r="848" spans="1:13" s="1444" customFormat="1">
      <c r="A848" s="1305"/>
      <c r="B848" s="1306"/>
      <c r="C848" s="1255"/>
      <c r="D848" s="1445"/>
      <c r="E848" s="1309"/>
      <c r="F848" s="1309"/>
      <c r="G848" s="1255"/>
      <c r="H848" s="1310"/>
      <c r="I848" s="1311"/>
      <c r="J848" s="1312"/>
      <c r="K848" s="1313"/>
      <c r="L848" s="1313"/>
      <c r="M848" s="1255"/>
    </row>
    <row r="849" spans="1:13" s="1444" customFormat="1">
      <c r="A849" s="1305"/>
      <c r="B849" s="1306"/>
      <c r="C849" s="1255"/>
      <c r="D849" s="1445"/>
      <c r="E849" s="1309"/>
      <c r="F849" s="1309"/>
      <c r="G849" s="1255"/>
      <c r="H849" s="1310"/>
      <c r="I849" s="1311"/>
      <c r="J849" s="1312"/>
      <c r="K849" s="1313"/>
      <c r="L849" s="1313"/>
      <c r="M849" s="1255"/>
    </row>
    <row r="850" spans="1:13" s="1444" customFormat="1">
      <c r="A850" s="1305"/>
      <c r="B850" s="1306"/>
      <c r="C850" s="1255"/>
      <c r="D850" s="1445"/>
      <c r="E850" s="1309"/>
      <c r="F850" s="1309"/>
      <c r="G850" s="1255"/>
      <c r="H850" s="1310"/>
      <c r="I850" s="1311"/>
      <c r="J850" s="1312"/>
      <c r="K850" s="1313"/>
      <c r="L850" s="1313"/>
      <c r="M850" s="1255"/>
    </row>
    <row r="851" spans="1:13" s="1444" customFormat="1">
      <c r="A851" s="1305"/>
      <c r="B851" s="1306"/>
      <c r="C851" s="1255"/>
      <c r="D851" s="1445"/>
      <c r="E851" s="1309"/>
      <c r="F851" s="1309"/>
      <c r="G851" s="1255"/>
      <c r="H851" s="1310"/>
      <c r="I851" s="1311"/>
      <c r="J851" s="1312"/>
      <c r="K851" s="1313"/>
      <c r="L851" s="1313"/>
      <c r="M851" s="1255"/>
    </row>
    <row r="852" spans="1:13" s="1444" customFormat="1">
      <c r="A852" s="1305"/>
      <c r="B852" s="1306"/>
      <c r="C852" s="1255"/>
      <c r="D852" s="1445"/>
      <c r="E852" s="1309"/>
      <c r="F852" s="1309"/>
      <c r="G852" s="1255"/>
      <c r="H852" s="1310"/>
      <c r="I852" s="1311"/>
      <c r="J852" s="1312"/>
      <c r="K852" s="1313"/>
      <c r="L852" s="1313"/>
      <c r="M852" s="1255"/>
    </row>
    <row r="853" spans="1:13" s="1444" customFormat="1">
      <c r="A853" s="1305"/>
      <c r="B853" s="1306"/>
      <c r="C853" s="1255"/>
      <c r="D853" s="1445"/>
      <c r="E853" s="1309"/>
      <c r="F853" s="1309"/>
      <c r="G853" s="1255"/>
      <c r="H853" s="1310"/>
      <c r="I853" s="1311"/>
      <c r="J853" s="1312"/>
      <c r="K853" s="1313"/>
      <c r="L853" s="1313"/>
      <c r="M853" s="1255"/>
    </row>
    <row r="854" spans="1:13" s="1444" customFormat="1">
      <c r="A854" s="1305"/>
      <c r="B854" s="1306"/>
      <c r="C854" s="1255"/>
      <c r="D854" s="1445"/>
      <c r="E854" s="1309"/>
      <c r="F854" s="1309"/>
      <c r="G854" s="1255"/>
      <c r="H854" s="1310"/>
      <c r="I854" s="1311"/>
      <c r="J854" s="1312"/>
      <c r="K854" s="1313"/>
      <c r="L854" s="1313"/>
      <c r="M854" s="1255"/>
    </row>
    <row r="855" spans="1:13" s="1444" customFormat="1">
      <c r="A855" s="1305"/>
      <c r="B855" s="1306"/>
      <c r="C855" s="1255"/>
      <c r="D855" s="1445"/>
      <c r="E855" s="1309"/>
      <c r="F855" s="1309"/>
      <c r="G855" s="1255"/>
      <c r="H855" s="1310"/>
      <c r="I855" s="1311"/>
      <c r="J855" s="1312"/>
      <c r="K855" s="1313"/>
      <c r="L855" s="1313"/>
      <c r="M855" s="1255"/>
    </row>
    <row r="856" spans="1:13" s="1444" customFormat="1">
      <c r="A856" s="1305"/>
      <c r="B856" s="1306"/>
      <c r="C856" s="1255"/>
      <c r="D856" s="1445"/>
      <c r="E856" s="1309"/>
      <c r="F856" s="1309"/>
      <c r="G856" s="1255"/>
      <c r="H856" s="1310"/>
      <c r="I856" s="1311"/>
      <c r="J856" s="1312"/>
      <c r="K856" s="1313"/>
      <c r="L856" s="1313"/>
      <c r="M856" s="1255"/>
    </row>
    <row r="857" spans="1:13" s="1444" customFormat="1">
      <c r="A857" s="1305"/>
      <c r="B857" s="1306"/>
      <c r="C857" s="1255"/>
      <c r="D857" s="1445"/>
      <c r="E857" s="1309"/>
      <c r="F857" s="1309"/>
      <c r="G857" s="1255"/>
      <c r="H857" s="1310"/>
      <c r="I857" s="1311"/>
      <c r="J857" s="1312"/>
      <c r="K857" s="1313"/>
      <c r="L857" s="1313"/>
      <c r="M857" s="1255"/>
    </row>
    <row r="858" spans="1:13" s="1444" customFormat="1">
      <c r="A858" s="1305"/>
      <c r="B858" s="1306"/>
      <c r="C858" s="1255"/>
      <c r="D858" s="1445"/>
      <c r="E858" s="1309"/>
      <c r="F858" s="1309"/>
      <c r="G858" s="1255"/>
      <c r="H858" s="1310"/>
      <c r="I858" s="1311"/>
      <c r="J858" s="1312"/>
      <c r="K858" s="1313"/>
      <c r="L858" s="1313"/>
      <c r="M858" s="1255"/>
    </row>
    <row r="859" spans="1:13" s="1444" customFormat="1">
      <c r="A859" s="1305"/>
      <c r="B859" s="1306"/>
      <c r="C859" s="1255"/>
      <c r="D859" s="1445"/>
      <c r="E859" s="1309"/>
      <c r="F859" s="1309"/>
      <c r="G859" s="1255"/>
      <c r="H859" s="1310"/>
      <c r="I859" s="1311"/>
      <c r="J859" s="1312"/>
      <c r="K859" s="1313"/>
      <c r="L859" s="1313"/>
      <c r="M859" s="1255"/>
    </row>
    <row r="860" spans="1:13" s="1444" customFormat="1">
      <c r="A860" s="1305"/>
      <c r="B860" s="1306"/>
      <c r="C860" s="1255"/>
      <c r="D860" s="1445"/>
      <c r="E860" s="1309"/>
      <c r="F860" s="1309"/>
      <c r="G860" s="1255"/>
      <c r="H860" s="1310"/>
      <c r="I860" s="1311"/>
      <c r="J860" s="1312"/>
      <c r="K860" s="1313"/>
      <c r="L860" s="1313"/>
      <c r="M860" s="1255"/>
    </row>
    <row r="861" spans="1:13" s="1444" customFormat="1">
      <c r="A861" s="1305"/>
      <c r="B861" s="1306"/>
      <c r="C861" s="1255"/>
      <c r="D861" s="1445"/>
      <c r="E861" s="1309"/>
      <c r="F861" s="1309"/>
      <c r="G861" s="1255"/>
      <c r="H861" s="1310"/>
      <c r="I861" s="1311"/>
      <c r="J861" s="1312"/>
      <c r="K861" s="1313"/>
      <c r="L861" s="1313"/>
      <c r="M861" s="1255"/>
    </row>
    <row r="862" spans="1:13" s="1444" customFormat="1">
      <c r="A862" s="1305"/>
      <c r="B862" s="1306"/>
      <c r="C862" s="1255"/>
      <c r="D862" s="1445"/>
      <c r="E862" s="1309"/>
      <c r="F862" s="1309"/>
      <c r="G862" s="1255"/>
      <c r="H862" s="1310"/>
      <c r="I862" s="1311"/>
      <c r="J862" s="1312"/>
      <c r="K862" s="1313"/>
      <c r="L862" s="1313"/>
      <c r="M862" s="1255"/>
    </row>
    <row r="863" spans="1:13" s="1444" customFormat="1">
      <c r="A863" s="1305"/>
      <c r="B863" s="1306"/>
      <c r="C863" s="1255"/>
      <c r="D863" s="1445"/>
      <c r="E863" s="1309"/>
      <c r="F863" s="1309"/>
      <c r="G863" s="1255"/>
      <c r="H863" s="1310"/>
      <c r="I863" s="1311"/>
      <c r="J863" s="1312"/>
      <c r="K863" s="1313"/>
      <c r="L863" s="1313"/>
      <c r="M863" s="1255"/>
    </row>
    <row r="864" spans="1:13" s="1444" customFormat="1">
      <c r="A864" s="1305"/>
      <c r="B864" s="1306"/>
      <c r="C864" s="1255"/>
      <c r="D864" s="1445"/>
      <c r="E864" s="1309"/>
      <c r="F864" s="1309"/>
      <c r="G864" s="1255"/>
      <c r="H864" s="1310"/>
      <c r="I864" s="1311"/>
      <c r="J864" s="1312"/>
      <c r="K864" s="1313"/>
      <c r="L864" s="1313"/>
      <c r="M864" s="1255"/>
    </row>
    <row r="865" spans="1:13" s="1444" customFormat="1">
      <c r="A865" s="1305"/>
      <c r="B865" s="1306"/>
      <c r="C865" s="1255"/>
      <c r="D865" s="1445"/>
      <c r="E865" s="1309"/>
      <c r="F865" s="1309"/>
      <c r="G865" s="1255"/>
      <c r="H865" s="1310"/>
      <c r="I865" s="1311"/>
      <c r="J865" s="1312"/>
      <c r="K865" s="1313"/>
      <c r="L865" s="1313"/>
      <c r="M865" s="1255"/>
    </row>
    <row r="866" spans="1:13" s="1444" customFormat="1">
      <c r="A866" s="1305"/>
      <c r="B866" s="1306"/>
      <c r="C866" s="1255"/>
      <c r="D866" s="1445"/>
      <c r="E866" s="1309"/>
      <c r="F866" s="1309"/>
      <c r="G866" s="1255"/>
      <c r="H866" s="1310"/>
      <c r="I866" s="1311"/>
      <c r="J866" s="1312"/>
      <c r="K866" s="1313"/>
      <c r="L866" s="1313"/>
      <c r="M866" s="1255"/>
    </row>
    <row r="867" spans="1:13" s="1444" customFormat="1">
      <c r="A867" s="1305"/>
      <c r="B867" s="1306"/>
      <c r="C867" s="1255"/>
      <c r="D867" s="1445"/>
      <c r="E867" s="1309"/>
      <c r="F867" s="1309"/>
      <c r="G867" s="1255"/>
      <c r="H867" s="1310"/>
      <c r="I867" s="1311"/>
      <c r="J867" s="1312"/>
      <c r="K867" s="1313"/>
      <c r="L867" s="1313"/>
      <c r="M867" s="1255"/>
    </row>
    <row r="868" spans="1:13" s="1444" customFormat="1">
      <c r="A868" s="1305"/>
      <c r="B868" s="1306"/>
      <c r="C868" s="1255"/>
      <c r="D868" s="1445"/>
      <c r="E868" s="1309"/>
      <c r="F868" s="1309"/>
      <c r="G868" s="1255"/>
      <c r="H868" s="1310"/>
      <c r="I868" s="1311"/>
      <c r="J868" s="1312"/>
      <c r="K868" s="1313"/>
      <c r="L868" s="1313"/>
      <c r="M868" s="1255"/>
    </row>
    <row r="869" spans="1:13" s="1444" customFormat="1">
      <c r="A869" s="1305"/>
      <c r="B869" s="1306"/>
      <c r="C869" s="1255"/>
      <c r="D869" s="1445"/>
      <c r="E869" s="1309"/>
      <c r="F869" s="1309"/>
      <c r="G869" s="1255"/>
      <c r="H869" s="1310"/>
      <c r="I869" s="1311"/>
      <c r="J869" s="1312"/>
      <c r="K869" s="1313"/>
      <c r="L869" s="1313"/>
      <c r="M869" s="1255"/>
    </row>
    <row r="870" spans="1:13" s="1444" customFormat="1">
      <c r="A870" s="1305"/>
      <c r="B870" s="1306"/>
      <c r="C870" s="1255"/>
      <c r="D870" s="1445"/>
      <c r="E870" s="1309"/>
      <c r="F870" s="1309"/>
      <c r="G870" s="1255"/>
      <c r="H870" s="1310"/>
      <c r="I870" s="1311"/>
      <c r="J870" s="1312"/>
      <c r="K870" s="1313"/>
      <c r="L870" s="1313"/>
      <c r="M870" s="1255"/>
    </row>
    <row r="871" spans="1:13" s="1444" customFormat="1">
      <c r="A871" s="1305"/>
      <c r="B871" s="1306"/>
      <c r="C871" s="1255"/>
      <c r="D871" s="1445"/>
      <c r="E871" s="1309"/>
      <c r="F871" s="1309"/>
      <c r="G871" s="1255"/>
      <c r="H871" s="1310"/>
      <c r="I871" s="1311"/>
      <c r="J871" s="1312"/>
      <c r="K871" s="1313"/>
      <c r="L871" s="1313"/>
      <c r="M871" s="1255"/>
    </row>
    <row r="872" spans="1:13" s="1444" customFormat="1">
      <c r="A872" s="1305"/>
      <c r="B872" s="1306"/>
      <c r="C872" s="1255"/>
      <c r="D872" s="1445"/>
      <c r="E872" s="1309"/>
      <c r="F872" s="1309"/>
      <c r="G872" s="1255"/>
      <c r="H872" s="1310"/>
      <c r="I872" s="1311"/>
      <c r="J872" s="1312"/>
      <c r="K872" s="1313"/>
      <c r="L872" s="1313"/>
      <c r="M872" s="1255"/>
    </row>
    <row r="873" spans="1:13" s="1444" customFormat="1">
      <c r="A873" s="1305"/>
      <c r="B873" s="1306"/>
      <c r="C873" s="1255"/>
      <c r="D873" s="1445"/>
      <c r="E873" s="1309"/>
      <c r="F873" s="1309"/>
      <c r="G873" s="1255"/>
      <c r="H873" s="1310"/>
      <c r="I873" s="1311"/>
      <c r="J873" s="1312"/>
      <c r="K873" s="1313"/>
      <c r="L873" s="1313"/>
      <c r="M873" s="1255"/>
    </row>
    <row r="874" spans="1:13" s="1444" customFormat="1">
      <c r="A874" s="1305"/>
      <c r="B874" s="1306"/>
      <c r="C874" s="1255"/>
      <c r="D874" s="1445"/>
      <c r="E874" s="1309"/>
      <c r="F874" s="1309"/>
      <c r="G874" s="1255"/>
      <c r="H874" s="1310"/>
      <c r="I874" s="1311"/>
      <c r="J874" s="1312"/>
      <c r="K874" s="1313"/>
      <c r="L874" s="1313"/>
      <c r="M874" s="1255"/>
    </row>
    <row r="875" spans="1:13" s="1444" customFormat="1">
      <c r="A875" s="1305"/>
      <c r="B875" s="1306"/>
      <c r="C875" s="1255"/>
      <c r="D875" s="1445"/>
      <c r="E875" s="1309"/>
      <c r="F875" s="1309"/>
      <c r="G875" s="1255"/>
      <c r="H875" s="1310"/>
      <c r="I875" s="1311"/>
      <c r="J875" s="1312"/>
      <c r="K875" s="1313"/>
      <c r="L875" s="1313"/>
      <c r="M875" s="1255"/>
    </row>
    <row r="876" spans="1:13" s="1444" customFormat="1">
      <c r="A876" s="1305"/>
      <c r="B876" s="1306"/>
      <c r="C876" s="1255"/>
      <c r="D876" s="1445"/>
      <c r="E876" s="1309"/>
      <c r="F876" s="1309"/>
      <c r="G876" s="1255"/>
      <c r="H876" s="1310"/>
      <c r="I876" s="1311"/>
      <c r="J876" s="1312"/>
      <c r="K876" s="1313"/>
      <c r="L876" s="1313"/>
      <c r="M876" s="1255"/>
    </row>
    <row r="877" spans="1:13" s="1444" customFormat="1">
      <c r="A877" s="1305"/>
      <c r="B877" s="1306"/>
      <c r="C877" s="1255"/>
      <c r="D877" s="1445"/>
      <c r="E877" s="1309"/>
      <c r="F877" s="1309"/>
      <c r="G877" s="1255"/>
      <c r="H877" s="1310"/>
      <c r="I877" s="1311"/>
      <c r="J877" s="1312"/>
      <c r="K877" s="1313"/>
      <c r="L877" s="1313"/>
      <c r="M877" s="1255"/>
    </row>
    <row r="878" spans="1:13" s="1444" customFormat="1">
      <c r="A878" s="1305"/>
      <c r="B878" s="1306"/>
      <c r="C878" s="1255"/>
      <c r="D878" s="1445"/>
      <c r="E878" s="1309"/>
      <c r="F878" s="1309"/>
      <c r="G878" s="1255"/>
      <c r="H878" s="1310"/>
      <c r="I878" s="1311"/>
      <c r="J878" s="1312"/>
      <c r="K878" s="1313"/>
      <c r="L878" s="1313"/>
      <c r="M878" s="1255"/>
    </row>
    <row r="879" spans="1:13" s="1444" customFormat="1">
      <c r="A879" s="1305"/>
      <c r="B879" s="1306"/>
      <c r="C879" s="1255"/>
      <c r="D879" s="1445"/>
      <c r="E879" s="1309"/>
      <c r="F879" s="1309"/>
      <c r="G879" s="1255"/>
      <c r="H879" s="1310"/>
      <c r="I879" s="1311"/>
      <c r="J879" s="1312"/>
      <c r="K879" s="1313"/>
      <c r="L879" s="1313"/>
      <c r="M879" s="1255"/>
    </row>
    <row r="880" spans="1:13" s="1444" customFormat="1">
      <c r="A880" s="1305"/>
      <c r="B880" s="1306"/>
      <c r="C880" s="1255"/>
      <c r="D880" s="1445"/>
      <c r="E880" s="1309"/>
      <c r="F880" s="1309"/>
      <c r="G880" s="1255"/>
      <c r="H880" s="1310"/>
      <c r="I880" s="1311"/>
      <c r="J880" s="1312"/>
      <c r="K880" s="1313"/>
      <c r="L880" s="1313"/>
      <c r="M880" s="1255"/>
    </row>
    <row r="881" spans="1:13" s="1444" customFormat="1">
      <c r="A881" s="1305"/>
      <c r="B881" s="1306"/>
      <c r="C881" s="1255"/>
      <c r="D881" s="1445"/>
      <c r="E881" s="1309"/>
      <c r="F881" s="1309"/>
      <c r="G881" s="1255"/>
      <c r="H881" s="1310"/>
      <c r="I881" s="1311"/>
      <c r="J881" s="1312"/>
      <c r="K881" s="1313"/>
      <c r="L881" s="1313"/>
      <c r="M881" s="1255"/>
    </row>
    <row r="882" spans="1:13" s="1444" customFormat="1">
      <c r="A882" s="1305"/>
      <c r="B882" s="1306"/>
      <c r="C882" s="1255"/>
      <c r="D882" s="1445"/>
      <c r="E882" s="1309"/>
      <c r="F882" s="1309"/>
      <c r="G882" s="1255"/>
      <c r="H882" s="1310"/>
      <c r="I882" s="1311"/>
      <c r="J882" s="1312"/>
      <c r="K882" s="1313"/>
      <c r="L882" s="1313"/>
      <c r="M882" s="1255"/>
    </row>
    <row r="883" spans="1:13" s="1444" customFormat="1">
      <c r="A883" s="1305"/>
      <c r="B883" s="1306"/>
      <c r="C883" s="1255"/>
      <c r="D883" s="1445"/>
      <c r="E883" s="1309"/>
      <c r="F883" s="1309"/>
      <c r="G883" s="1255"/>
      <c r="H883" s="1310"/>
      <c r="I883" s="1311"/>
      <c r="J883" s="1312"/>
      <c r="K883" s="1313"/>
      <c r="L883" s="1313"/>
      <c r="M883" s="1255"/>
    </row>
    <row r="884" spans="1:13" s="1444" customFormat="1">
      <c r="A884" s="1305"/>
      <c r="B884" s="1306"/>
      <c r="C884" s="1255"/>
      <c r="D884" s="1445"/>
      <c r="E884" s="1309"/>
      <c r="F884" s="1309"/>
      <c r="G884" s="1255"/>
      <c r="H884" s="1310"/>
      <c r="I884" s="1311"/>
      <c r="J884" s="1312"/>
      <c r="K884" s="1313"/>
      <c r="L884" s="1313"/>
      <c r="M884" s="1255"/>
    </row>
    <row r="885" spans="1:13" s="1444" customFormat="1">
      <c r="A885" s="1305"/>
      <c r="B885" s="1306"/>
      <c r="C885" s="1255"/>
      <c r="D885" s="1445"/>
      <c r="E885" s="1309"/>
      <c r="F885" s="1309"/>
      <c r="G885" s="1255"/>
      <c r="H885" s="1310"/>
      <c r="I885" s="1311"/>
      <c r="J885" s="1312"/>
      <c r="K885" s="1313"/>
      <c r="L885" s="1313"/>
      <c r="M885" s="1255"/>
    </row>
    <row r="886" spans="1:13" s="1444" customFormat="1">
      <c r="A886" s="1305"/>
      <c r="B886" s="1306"/>
      <c r="C886" s="1255"/>
      <c r="D886" s="1445"/>
      <c r="E886" s="1309"/>
      <c r="F886" s="1309"/>
      <c r="G886" s="1255"/>
      <c r="H886" s="1310"/>
      <c r="I886" s="1311"/>
      <c r="J886" s="1312"/>
      <c r="K886" s="1313"/>
      <c r="L886" s="1313"/>
      <c r="M886" s="1255"/>
    </row>
    <row r="887" spans="1:13" s="1444" customFormat="1">
      <c r="A887" s="1305"/>
      <c r="B887" s="1306"/>
      <c r="C887" s="1255"/>
      <c r="D887" s="1445"/>
      <c r="E887" s="1309"/>
      <c r="F887" s="1309"/>
      <c r="G887" s="1255"/>
      <c r="H887" s="1310"/>
      <c r="I887" s="1311"/>
      <c r="J887" s="1312"/>
      <c r="K887" s="1313"/>
      <c r="L887" s="1313"/>
      <c r="M887" s="1255"/>
    </row>
    <row r="888" spans="1:13" s="1444" customFormat="1">
      <c r="A888" s="1305"/>
      <c r="B888" s="1306"/>
      <c r="C888" s="1255"/>
      <c r="D888" s="1445"/>
      <c r="E888" s="1309"/>
      <c r="F888" s="1309"/>
      <c r="G888" s="1255"/>
      <c r="H888" s="1310"/>
      <c r="I888" s="1311"/>
      <c r="J888" s="1312"/>
      <c r="K888" s="1313"/>
      <c r="L888" s="1313"/>
      <c r="M888" s="1255"/>
    </row>
    <row r="889" spans="1:13" s="1444" customFormat="1">
      <c r="A889" s="1305"/>
      <c r="B889" s="1306"/>
      <c r="C889" s="1255"/>
      <c r="D889" s="1445"/>
      <c r="E889" s="1309"/>
      <c r="F889" s="1309"/>
      <c r="G889" s="1255"/>
      <c r="H889" s="1310"/>
      <c r="I889" s="1311"/>
      <c r="J889" s="1312"/>
      <c r="K889" s="1313"/>
      <c r="L889" s="1313"/>
      <c r="M889" s="1255"/>
    </row>
    <row r="890" spans="1:13" s="1444" customFormat="1">
      <c r="A890" s="1305"/>
      <c r="B890" s="1306"/>
      <c r="C890" s="1255"/>
      <c r="D890" s="1445"/>
      <c r="E890" s="1309"/>
      <c r="F890" s="1309"/>
      <c r="G890" s="1255"/>
      <c r="H890" s="1310"/>
      <c r="I890" s="1311"/>
      <c r="J890" s="1312"/>
      <c r="K890" s="1313"/>
      <c r="L890" s="1313"/>
      <c r="M890" s="1255"/>
    </row>
    <row r="891" spans="1:13" s="1444" customFormat="1">
      <c r="A891" s="1305"/>
      <c r="B891" s="1306"/>
      <c r="C891" s="1255"/>
      <c r="D891" s="1445"/>
      <c r="E891" s="1309"/>
      <c r="F891" s="1309"/>
      <c r="G891" s="1255"/>
      <c r="H891" s="1310"/>
      <c r="I891" s="1311"/>
      <c r="J891" s="1312"/>
      <c r="K891" s="1313"/>
      <c r="L891" s="1313"/>
      <c r="M891" s="1255"/>
    </row>
    <row r="892" spans="1:13" s="1444" customFormat="1">
      <c r="A892" s="1305"/>
      <c r="B892" s="1306"/>
      <c r="C892" s="1255"/>
      <c r="D892" s="1445"/>
      <c r="E892" s="1309"/>
      <c r="F892" s="1309"/>
      <c r="G892" s="1255"/>
      <c r="H892" s="1310"/>
      <c r="I892" s="1311"/>
      <c r="J892" s="1312"/>
      <c r="K892" s="1313"/>
      <c r="L892" s="1313"/>
      <c r="M892" s="1255"/>
    </row>
    <row r="893" spans="1:13" s="1444" customFormat="1">
      <c r="A893" s="1305"/>
      <c r="B893" s="1306"/>
      <c r="C893" s="1255"/>
      <c r="D893" s="1445"/>
      <c r="E893" s="1309"/>
      <c r="F893" s="1309"/>
      <c r="G893" s="1255"/>
      <c r="H893" s="1310"/>
      <c r="I893" s="1311"/>
      <c r="J893" s="1312"/>
      <c r="K893" s="1313"/>
      <c r="L893" s="1313"/>
      <c r="M893" s="1255"/>
    </row>
    <row r="894" spans="1:13" s="1444" customFormat="1">
      <c r="A894" s="1305"/>
      <c r="B894" s="1306"/>
      <c r="C894" s="1255"/>
      <c r="D894" s="1445"/>
      <c r="E894" s="1309"/>
      <c r="F894" s="1309"/>
      <c r="G894" s="1255"/>
      <c r="H894" s="1310"/>
      <c r="I894" s="1311"/>
      <c r="J894" s="1312"/>
      <c r="K894" s="1313"/>
      <c r="L894" s="1313"/>
      <c r="M894" s="1255"/>
    </row>
    <row r="895" spans="1:13" s="1444" customFormat="1">
      <c r="A895" s="1305"/>
      <c r="B895" s="1306"/>
      <c r="C895" s="1255"/>
      <c r="D895" s="1445"/>
      <c r="E895" s="1309"/>
      <c r="F895" s="1309"/>
      <c r="G895" s="1255"/>
      <c r="H895" s="1310"/>
      <c r="I895" s="1311"/>
      <c r="J895" s="1312"/>
      <c r="K895" s="1313"/>
      <c r="L895" s="1313"/>
      <c r="M895" s="1255"/>
    </row>
    <row r="896" spans="1:13" s="1444" customFormat="1">
      <c r="A896" s="1305"/>
      <c r="B896" s="1306"/>
      <c r="C896" s="1255"/>
      <c r="D896" s="1445"/>
      <c r="E896" s="1309"/>
      <c r="F896" s="1309"/>
      <c r="G896" s="1255"/>
      <c r="H896" s="1310"/>
      <c r="I896" s="1311"/>
      <c r="J896" s="1312"/>
      <c r="K896" s="1313"/>
      <c r="L896" s="1313"/>
      <c r="M896" s="1255"/>
    </row>
    <row r="897" spans="1:13" s="1444" customFormat="1">
      <c r="A897" s="1305"/>
      <c r="B897" s="1306"/>
      <c r="C897" s="1255"/>
      <c r="D897" s="1445"/>
      <c r="E897" s="1309"/>
      <c r="F897" s="1309"/>
      <c r="G897" s="1255"/>
      <c r="H897" s="1310"/>
      <c r="I897" s="1311"/>
      <c r="J897" s="1312"/>
      <c r="K897" s="1313"/>
      <c r="L897" s="1313"/>
      <c r="M897" s="1255"/>
    </row>
    <row r="898" spans="1:13" s="1444" customFormat="1">
      <c r="A898" s="1305"/>
      <c r="B898" s="1306"/>
      <c r="C898" s="1255"/>
      <c r="D898" s="1445"/>
      <c r="E898" s="1309"/>
      <c r="F898" s="1309"/>
      <c r="G898" s="1255"/>
      <c r="H898" s="1310"/>
      <c r="I898" s="1311"/>
      <c r="J898" s="1312"/>
      <c r="K898" s="1313"/>
      <c r="L898" s="1313"/>
      <c r="M898" s="1255"/>
    </row>
    <row r="899" spans="1:13" s="1444" customFormat="1">
      <c r="A899" s="1305"/>
      <c r="B899" s="1306"/>
      <c r="C899" s="1255"/>
      <c r="D899" s="1445"/>
      <c r="E899" s="1309"/>
      <c r="F899" s="1309"/>
      <c r="G899" s="1255"/>
      <c r="H899" s="1310"/>
      <c r="I899" s="1311"/>
      <c r="J899" s="1312"/>
      <c r="K899" s="1313"/>
      <c r="L899" s="1313"/>
      <c r="M899" s="1255"/>
    </row>
    <row r="900" spans="1:13" s="1444" customFormat="1">
      <c r="A900" s="1305"/>
      <c r="B900" s="1306"/>
      <c r="C900" s="1255"/>
      <c r="D900" s="1445"/>
      <c r="E900" s="1309"/>
      <c r="F900" s="1309"/>
      <c r="G900" s="1255"/>
      <c r="H900" s="1310"/>
      <c r="I900" s="1311"/>
      <c r="J900" s="1312"/>
      <c r="K900" s="1313"/>
      <c r="L900" s="1313"/>
      <c r="M900" s="1255"/>
    </row>
    <row r="901" spans="1:13" s="1444" customFormat="1">
      <c r="A901" s="1305"/>
      <c r="B901" s="1306"/>
      <c r="C901" s="1255"/>
      <c r="D901" s="1445"/>
      <c r="E901" s="1309"/>
      <c r="F901" s="1309"/>
      <c r="G901" s="1255"/>
      <c r="H901" s="1310"/>
      <c r="I901" s="1311"/>
      <c r="J901" s="1312"/>
      <c r="K901" s="1313"/>
      <c r="L901" s="1313"/>
      <c r="M901" s="1255"/>
    </row>
    <row r="902" spans="1:13" s="1444" customFormat="1">
      <c r="A902" s="1305"/>
      <c r="B902" s="1306"/>
      <c r="C902" s="1255"/>
      <c r="D902" s="1445"/>
      <c r="E902" s="1309"/>
      <c r="F902" s="1309"/>
      <c r="G902" s="1255"/>
      <c r="H902" s="1310"/>
      <c r="I902" s="1311"/>
      <c r="J902" s="1312"/>
      <c r="K902" s="1313"/>
      <c r="L902" s="1313"/>
      <c r="M902" s="1255"/>
    </row>
    <row r="903" spans="1:13" s="1444" customFormat="1">
      <c r="A903" s="1305"/>
      <c r="B903" s="1306"/>
      <c r="C903" s="1255"/>
      <c r="D903" s="1445"/>
      <c r="E903" s="1309"/>
      <c r="F903" s="1309"/>
      <c r="G903" s="1255"/>
      <c r="H903" s="1310"/>
      <c r="I903" s="1311"/>
      <c r="J903" s="1312"/>
      <c r="K903" s="1313"/>
      <c r="L903" s="1313"/>
      <c r="M903" s="1255"/>
    </row>
    <row r="904" spans="1:13" s="1444" customFormat="1">
      <c r="A904" s="1305"/>
      <c r="B904" s="1306"/>
      <c r="C904" s="1255"/>
      <c r="D904" s="1445"/>
      <c r="E904" s="1309"/>
      <c r="F904" s="1309"/>
      <c r="G904" s="1255"/>
      <c r="H904" s="1310"/>
      <c r="I904" s="1311"/>
      <c r="J904" s="1312"/>
      <c r="K904" s="1313"/>
      <c r="L904" s="1313"/>
      <c r="M904" s="1255"/>
    </row>
    <row r="905" spans="1:13" s="1444" customFormat="1">
      <c r="A905" s="1305"/>
      <c r="B905" s="1306"/>
      <c r="C905" s="1255"/>
      <c r="D905" s="1445"/>
      <c r="E905" s="1309"/>
      <c r="F905" s="1309"/>
      <c r="G905" s="1255"/>
      <c r="H905" s="1310"/>
      <c r="I905" s="1311"/>
      <c r="J905" s="1312"/>
      <c r="K905" s="1313"/>
      <c r="L905" s="1313"/>
      <c r="M905" s="1255"/>
    </row>
    <row r="906" spans="1:13" s="1444" customFormat="1">
      <c r="A906" s="1305"/>
      <c r="B906" s="1306"/>
      <c r="C906" s="1255"/>
      <c r="D906" s="1445"/>
      <c r="E906" s="1309"/>
      <c r="F906" s="1309"/>
      <c r="G906" s="1255"/>
      <c r="H906" s="1310"/>
      <c r="I906" s="1311"/>
      <c r="J906" s="1312"/>
      <c r="K906" s="1313"/>
      <c r="L906" s="1313"/>
      <c r="M906" s="1255"/>
    </row>
    <row r="907" spans="1:13" s="1444" customFormat="1">
      <c r="A907" s="1305"/>
      <c r="B907" s="1306"/>
      <c r="C907" s="1255"/>
      <c r="D907" s="1445"/>
      <c r="E907" s="1309"/>
      <c r="F907" s="1309"/>
      <c r="G907" s="1255"/>
      <c r="H907" s="1310"/>
      <c r="I907" s="1311"/>
      <c r="J907" s="1312"/>
      <c r="K907" s="1313"/>
      <c r="L907" s="1313"/>
      <c r="M907" s="1255"/>
    </row>
    <row r="908" spans="1:13" s="1444" customFormat="1">
      <c r="A908" s="1305"/>
      <c r="B908" s="1306"/>
      <c r="C908" s="1255"/>
      <c r="D908" s="1445"/>
      <c r="E908" s="1309"/>
      <c r="F908" s="1309"/>
      <c r="G908" s="1255"/>
      <c r="H908" s="1310"/>
      <c r="I908" s="1311"/>
      <c r="J908" s="1312"/>
      <c r="K908" s="1313"/>
      <c r="L908" s="1313"/>
      <c r="M908" s="1255"/>
    </row>
    <row r="909" spans="1:13" s="1444" customFormat="1">
      <c r="A909" s="1305"/>
      <c r="B909" s="1306"/>
      <c r="C909" s="1255"/>
      <c r="D909" s="1445"/>
      <c r="E909" s="1309"/>
      <c r="F909" s="1309"/>
      <c r="G909" s="1255"/>
      <c r="H909" s="1310"/>
      <c r="I909" s="1311"/>
      <c r="J909" s="1312"/>
      <c r="K909" s="1313"/>
      <c r="L909" s="1313"/>
      <c r="M909" s="1255"/>
    </row>
    <row r="910" spans="1:13" s="1444" customFormat="1">
      <c r="A910" s="1305"/>
      <c r="B910" s="1306"/>
      <c r="C910" s="1255"/>
      <c r="D910" s="1445"/>
      <c r="E910" s="1309"/>
      <c r="F910" s="1309"/>
      <c r="G910" s="1255"/>
      <c r="H910" s="1310"/>
      <c r="I910" s="1311"/>
      <c r="J910" s="1312"/>
      <c r="K910" s="1313"/>
      <c r="L910" s="1313"/>
      <c r="M910" s="1255"/>
    </row>
    <row r="911" spans="1:13" s="1444" customFormat="1">
      <c r="A911" s="1305"/>
      <c r="B911" s="1306"/>
      <c r="C911" s="1255"/>
      <c r="D911" s="1445"/>
      <c r="E911" s="1309"/>
      <c r="F911" s="1309"/>
      <c r="G911" s="1255"/>
      <c r="H911" s="1310"/>
      <c r="I911" s="1311"/>
      <c r="J911" s="1312"/>
      <c r="K911" s="1313"/>
      <c r="L911" s="1313"/>
      <c r="M911" s="1255"/>
    </row>
    <row r="912" spans="1:13" s="1444" customFormat="1">
      <c r="A912" s="1305"/>
      <c r="B912" s="1306"/>
      <c r="C912" s="1255"/>
      <c r="D912" s="1445"/>
      <c r="E912" s="1309"/>
      <c r="F912" s="1309"/>
      <c r="G912" s="1255"/>
      <c r="H912" s="1310"/>
      <c r="I912" s="1311"/>
      <c r="J912" s="1312"/>
      <c r="K912" s="1313"/>
      <c r="L912" s="1313"/>
      <c r="M912" s="1255"/>
    </row>
    <row r="913" spans="1:13" s="1444" customFormat="1">
      <c r="A913" s="1305"/>
      <c r="B913" s="1306"/>
      <c r="C913" s="1255"/>
      <c r="D913" s="1445"/>
      <c r="E913" s="1309"/>
      <c r="F913" s="1309"/>
      <c r="G913" s="1255"/>
      <c r="H913" s="1310"/>
      <c r="I913" s="1311"/>
      <c r="J913" s="1312"/>
      <c r="K913" s="1313"/>
      <c r="L913" s="1313"/>
      <c r="M913" s="1255"/>
    </row>
    <row r="914" spans="1:13" s="1444" customFormat="1">
      <c r="A914" s="1305"/>
      <c r="B914" s="1306"/>
      <c r="C914" s="1255"/>
      <c r="D914" s="1445"/>
      <c r="E914" s="1309"/>
      <c r="F914" s="1309"/>
      <c r="G914" s="1255"/>
      <c r="H914" s="1310"/>
      <c r="I914" s="1311"/>
      <c r="J914" s="1312"/>
      <c r="K914" s="1313"/>
      <c r="L914" s="1313"/>
      <c r="M914" s="1255"/>
    </row>
    <row r="915" spans="1:13" s="1444" customFormat="1">
      <c r="A915" s="1305"/>
      <c r="B915" s="1306"/>
      <c r="C915" s="1255"/>
      <c r="D915" s="1445"/>
      <c r="E915" s="1309"/>
      <c r="F915" s="1309"/>
      <c r="G915" s="1255"/>
      <c r="H915" s="1310"/>
      <c r="I915" s="1311"/>
      <c r="J915" s="1312"/>
      <c r="K915" s="1313"/>
      <c r="L915" s="1313"/>
      <c r="M915" s="1255"/>
    </row>
    <row r="916" spans="1:13" s="1444" customFormat="1">
      <c r="A916" s="1305"/>
      <c r="B916" s="1306"/>
      <c r="C916" s="1255"/>
      <c r="D916" s="1445"/>
      <c r="E916" s="1309"/>
      <c r="F916" s="1309"/>
      <c r="G916" s="1255"/>
      <c r="H916" s="1310"/>
      <c r="I916" s="1311"/>
      <c r="J916" s="1312"/>
      <c r="K916" s="1313"/>
      <c r="L916" s="1313"/>
      <c r="M916" s="1255"/>
    </row>
    <row r="917" spans="1:13" s="1444" customFormat="1">
      <c r="A917" s="1305"/>
      <c r="B917" s="1306"/>
      <c r="C917" s="1255"/>
      <c r="D917" s="1445"/>
      <c r="E917" s="1309"/>
      <c r="F917" s="1309"/>
      <c r="G917" s="1255"/>
      <c r="H917" s="1310"/>
      <c r="I917" s="1311"/>
      <c r="J917" s="1312"/>
      <c r="K917" s="1313"/>
      <c r="L917" s="1313"/>
      <c r="M917" s="1255"/>
    </row>
    <row r="918" spans="1:13" s="1444" customFormat="1">
      <c r="A918" s="1305"/>
      <c r="B918" s="1306"/>
      <c r="C918" s="1255"/>
      <c r="D918" s="1445"/>
      <c r="E918" s="1309"/>
      <c r="F918" s="1309"/>
      <c r="G918" s="1255"/>
      <c r="H918" s="1310"/>
      <c r="I918" s="1311"/>
      <c r="J918" s="1312"/>
      <c r="K918" s="1313"/>
      <c r="L918" s="1313"/>
      <c r="M918" s="1255"/>
    </row>
    <row r="919" spans="1:13" s="1444" customFormat="1">
      <c r="A919" s="1305"/>
      <c r="B919" s="1306"/>
      <c r="C919" s="1255"/>
      <c r="D919" s="1445"/>
      <c r="E919" s="1309"/>
      <c r="F919" s="1309"/>
      <c r="G919" s="1255"/>
      <c r="H919" s="1310"/>
      <c r="I919" s="1311"/>
      <c r="J919" s="1312"/>
      <c r="K919" s="1313"/>
      <c r="L919" s="1313"/>
      <c r="M919" s="1255"/>
    </row>
    <row r="920" spans="1:13" s="1444" customFormat="1">
      <c r="A920" s="1305"/>
      <c r="B920" s="1306"/>
      <c r="C920" s="1255"/>
      <c r="D920" s="1445"/>
      <c r="E920" s="1309"/>
      <c r="F920" s="1309"/>
      <c r="G920" s="1255"/>
      <c r="H920" s="1310"/>
      <c r="I920" s="1311"/>
      <c r="J920" s="1312"/>
      <c r="K920" s="1313"/>
      <c r="L920" s="1313"/>
      <c r="M920" s="1255"/>
    </row>
    <row r="921" spans="1:13" s="1444" customFormat="1">
      <c r="A921" s="1305"/>
      <c r="B921" s="1306"/>
      <c r="C921" s="1255"/>
      <c r="D921" s="1445"/>
      <c r="E921" s="1309"/>
      <c r="F921" s="1309"/>
      <c r="G921" s="1255"/>
      <c r="H921" s="1310"/>
      <c r="I921" s="1311"/>
      <c r="J921" s="1312"/>
      <c r="K921" s="1313"/>
      <c r="L921" s="1313"/>
      <c r="M921" s="1255"/>
    </row>
    <row r="922" spans="1:13" s="1444" customFormat="1">
      <c r="A922" s="1305"/>
      <c r="B922" s="1306"/>
      <c r="C922" s="1255"/>
      <c r="D922" s="1445"/>
      <c r="E922" s="1309"/>
      <c r="F922" s="1309"/>
      <c r="G922" s="1255"/>
      <c r="H922" s="1310"/>
      <c r="I922" s="1311"/>
      <c r="J922" s="1312"/>
      <c r="K922" s="1313"/>
      <c r="L922" s="1313"/>
      <c r="M922" s="1255"/>
    </row>
    <row r="923" spans="1:13" s="1444" customFormat="1">
      <c r="A923" s="1305"/>
      <c r="B923" s="1306"/>
      <c r="C923" s="1255"/>
      <c r="D923" s="1445"/>
      <c r="E923" s="1309"/>
      <c r="F923" s="1309"/>
      <c r="G923" s="1255"/>
      <c r="H923" s="1310"/>
      <c r="I923" s="1311"/>
      <c r="J923" s="1312"/>
      <c r="K923" s="1313"/>
      <c r="L923" s="1313"/>
      <c r="M923" s="1255"/>
    </row>
    <row r="924" spans="1:13" s="1444" customFormat="1">
      <c r="A924" s="1305"/>
      <c r="B924" s="1306"/>
      <c r="C924" s="1255"/>
      <c r="D924" s="1445"/>
      <c r="E924" s="1309"/>
      <c r="F924" s="1309"/>
      <c r="G924" s="1255"/>
      <c r="H924" s="1310"/>
      <c r="I924" s="1311"/>
      <c r="J924" s="1312"/>
      <c r="K924" s="1313"/>
      <c r="L924" s="1313"/>
      <c r="M924" s="1255"/>
    </row>
    <row r="925" spans="1:13" s="1444" customFormat="1">
      <c r="A925" s="1305"/>
      <c r="B925" s="1306"/>
      <c r="C925" s="1255"/>
      <c r="D925" s="1445"/>
      <c r="E925" s="1309"/>
      <c r="F925" s="1309"/>
      <c r="G925" s="1255"/>
      <c r="H925" s="1310"/>
      <c r="I925" s="1311"/>
      <c r="J925" s="1312"/>
      <c r="K925" s="1313"/>
      <c r="L925" s="1313"/>
      <c r="M925" s="1255"/>
    </row>
    <row r="926" spans="1:13" s="1444" customFormat="1">
      <c r="A926" s="1305"/>
      <c r="B926" s="1306"/>
      <c r="C926" s="1255"/>
      <c r="D926" s="1445"/>
      <c r="E926" s="1309"/>
      <c r="F926" s="1309"/>
      <c r="G926" s="1255"/>
      <c r="H926" s="1310"/>
      <c r="I926" s="1311"/>
      <c r="J926" s="1312"/>
      <c r="K926" s="1313"/>
      <c r="L926" s="1313"/>
      <c r="M926" s="1255"/>
    </row>
    <row r="927" spans="1:13" s="1444" customFormat="1">
      <c r="A927" s="1305"/>
      <c r="B927" s="1306"/>
      <c r="C927" s="1255"/>
      <c r="D927" s="1445"/>
      <c r="E927" s="1309"/>
      <c r="F927" s="1309"/>
      <c r="G927" s="1255"/>
      <c r="H927" s="1310"/>
      <c r="I927" s="1311"/>
      <c r="J927" s="1312"/>
      <c r="K927" s="1313"/>
      <c r="L927" s="1313"/>
      <c r="M927" s="1255"/>
    </row>
    <row r="928" spans="1:13" s="1444" customFormat="1">
      <c r="A928" s="1305"/>
      <c r="B928" s="1306"/>
      <c r="C928" s="1255"/>
      <c r="D928" s="1445"/>
      <c r="E928" s="1309"/>
      <c r="F928" s="1309"/>
      <c r="G928" s="1255"/>
      <c r="H928" s="1310"/>
      <c r="I928" s="1311"/>
      <c r="J928" s="1312"/>
      <c r="K928" s="1313"/>
      <c r="L928" s="1313"/>
      <c r="M928" s="1255"/>
    </row>
    <row r="929" spans="1:13" s="1444" customFormat="1">
      <c r="A929" s="1305"/>
      <c r="B929" s="1306"/>
      <c r="C929" s="1255"/>
      <c r="D929" s="1445"/>
      <c r="E929" s="1309"/>
      <c r="F929" s="1309"/>
      <c r="G929" s="1255"/>
      <c r="H929" s="1310"/>
      <c r="I929" s="1311"/>
      <c r="J929" s="1312"/>
      <c r="K929" s="1313"/>
      <c r="L929" s="1313"/>
      <c r="M929" s="1255"/>
    </row>
    <row r="930" spans="1:13" s="1444" customFormat="1">
      <c r="A930" s="1305"/>
      <c r="B930" s="1306"/>
      <c r="C930" s="1255"/>
      <c r="D930" s="1445"/>
      <c r="E930" s="1309"/>
      <c r="F930" s="1309"/>
      <c r="G930" s="1255"/>
      <c r="H930" s="1310"/>
      <c r="I930" s="1311"/>
      <c r="J930" s="1312"/>
      <c r="K930" s="1313"/>
      <c r="L930" s="1313"/>
      <c r="M930" s="1255"/>
    </row>
    <row r="931" spans="1:13" s="1444" customFormat="1">
      <c r="A931" s="1305"/>
      <c r="B931" s="1306"/>
      <c r="C931" s="1255"/>
      <c r="D931" s="1445"/>
      <c r="E931" s="1309"/>
      <c r="F931" s="1309"/>
      <c r="G931" s="1255"/>
      <c r="H931" s="1310"/>
      <c r="I931" s="1311"/>
      <c r="J931" s="1312"/>
      <c r="K931" s="1313"/>
      <c r="L931" s="1313"/>
      <c r="M931" s="1255"/>
    </row>
    <row r="932" spans="1:13" s="1444" customFormat="1">
      <c r="A932" s="1305"/>
      <c r="B932" s="1306"/>
      <c r="C932" s="1255"/>
      <c r="D932" s="1445"/>
      <c r="E932" s="1309"/>
      <c r="F932" s="1309"/>
      <c r="G932" s="1255"/>
      <c r="H932" s="1310"/>
      <c r="I932" s="1311"/>
      <c r="J932" s="1312"/>
      <c r="K932" s="1313"/>
      <c r="L932" s="1313"/>
      <c r="M932" s="1255"/>
    </row>
    <row r="933" spans="1:13" s="1444" customFormat="1">
      <c r="A933" s="1305"/>
      <c r="B933" s="1306"/>
      <c r="C933" s="1255"/>
      <c r="D933" s="1445"/>
      <c r="E933" s="1309"/>
      <c r="F933" s="1309"/>
      <c r="G933" s="1255"/>
      <c r="H933" s="1310"/>
      <c r="I933" s="1311"/>
      <c r="J933" s="1312"/>
      <c r="K933" s="1313"/>
      <c r="L933" s="1313"/>
      <c r="M933" s="1255"/>
    </row>
    <row r="934" spans="1:13" s="1444" customFormat="1">
      <c r="A934" s="1305"/>
      <c r="B934" s="1306"/>
      <c r="C934" s="1255"/>
      <c r="D934" s="1445"/>
      <c r="E934" s="1309"/>
      <c r="F934" s="1309"/>
      <c r="G934" s="1255"/>
      <c r="H934" s="1310"/>
      <c r="I934" s="1311"/>
      <c r="J934" s="1312"/>
      <c r="K934" s="1313"/>
      <c r="L934" s="1313"/>
      <c r="M934" s="1255"/>
    </row>
    <row r="935" spans="1:13" s="1444" customFormat="1">
      <c r="A935" s="1305"/>
      <c r="B935" s="1306"/>
      <c r="C935" s="1255"/>
      <c r="D935" s="1445"/>
      <c r="E935" s="1309"/>
      <c r="F935" s="1309"/>
      <c r="G935" s="1255"/>
      <c r="H935" s="1310"/>
      <c r="I935" s="1311"/>
      <c r="J935" s="1312"/>
      <c r="K935" s="1313"/>
      <c r="L935" s="1313"/>
      <c r="M935" s="1255"/>
    </row>
    <row r="936" spans="1:13" s="1444" customFormat="1">
      <c r="A936" s="1305"/>
      <c r="B936" s="1306"/>
      <c r="C936" s="1255"/>
      <c r="D936" s="1445"/>
      <c r="E936" s="1309"/>
      <c r="F936" s="1309"/>
      <c r="G936" s="1255"/>
      <c r="H936" s="1310"/>
      <c r="I936" s="1311"/>
      <c r="J936" s="1312"/>
      <c r="K936" s="1313"/>
      <c r="L936" s="1313"/>
      <c r="M936" s="1255"/>
    </row>
    <row r="937" spans="1:13" s="1444" customFormat="1">
      <c r="A937" s="1305"/>
      <c r="B937" s="1306"/>
      <c r="C937" s="1255"/>
      <c r="D937" s="1445"/>
      <c r="E937" s="1309"/>
      <c r="F937" s="1309"/>
      <c r="G937" s="1255"/>
      <c r="H937" s="1310"/>
      <c r="I937" s="1311"/>
      <c r="J937" s="1312"/>
      <c r="K937" s="1313"/>
      <c r="L937" s="1313"/>
      <c r="M937" s="1255"/>
    </row>
    <row r="938" spans="1:13" s="1444" customFormat="1">
      <c r="A938" s="1305"/>
      <c r="B938" s="1306"/>
      <c r="C938" s="1255"/>
      <c r="D938" s="1445"/>
      <c r="E938" s="1309"/>
      <c r="F938" s="1309"/>
      <c r="G938" s="1255"/>
      <c r="H938" s="1310"/>
      <c r="I938" s="1311"/>
      <c r="J938" s="1312"/>
      <c r="K938" s="1313"/>
      <c r="L938" s="1313"/>
      <c r="M938" s="1255"/>
    </row>
    <row r="939" spans="1:13" s="1444" customFormat="1">
      <c r="A939" s="1305"/>
      <c r="B939" s="1306"/>
      <c r="C939" s="1255"/>
      <c r="D939" s="1445"/>
      <c r="E939" s="1309"/>
      <c r="F939" s="1309"/>
      <c r="G939" s="1255"/>
      <c r="H939" s="1310"/>
      <c r="I939" s="1311"/>
      <c r="J939" s="1312"/>
      <c r="K939" s="1313"/>
      <c r="L939" s="1313"/>
      <c r="M939" s="1255"/>
    </row>
    <row r="940" spans="1:13" s="1444" customFormat="1">
      <c r="A940" s="1305"/>
      <c r="B940" s="1306"/>
      <c r="C940" s="1255"/>
      <c r="D940" s="1445"/>
      <c r="E940" s="1309"/>
      <c r="F940" s="1309"/>
      <c r="G940" s="1255"/>
      <c r="H940" s="1310"/>
      <c r="I940" s="1311"/>
      <c r="J940" s="1312"/>
      <c r="K940" s="1313"/>
      <c r="L940" s="1313"/>
      <c r="M940" s="1255"/>
    </row>
    <row r="941" spans="1:13" s="1444" customFormat="1">
      <c r="A941" s="1305"/>
      <c r="B941" s="1306"/>
      <c r="C941" s="1255"/>
      <c r="D941" s="1445"/>
      <c r="E941" s="1309"/>
      <c r="F941" s="1309"/>
      <c r="G941" s="1255"/>
      <c r="H941" s="1310"/>
      <c r="I941" s="1311"/>
      <c r="J941" s="1312"/>
      <c r="K941" s="1313"/>
      <c r="L941" s="1313"/>
      <c r="M941" s="1255"/>
    </row>
    <row r="942" spans="1:13" s="1444" customFormat="1">
      <c r="A942" s="1305"/>
      <c r="B942" s="1306"/>
      <c r="C942" s="1255"/>
      <c r="D942" s="1445"/>
      <c r="E942" s="1309"/>
      <c r="F942" s="1309"/>
      <c r="G942" s="1255"/>
      <c r="H942" s="1310"/>
      <c r="I942" s="1311"/>
      <c r="J942" s="1312"/>
      <c r="K942" s="1313"/>
      <c r="L942" s="1313"/>
      <c r="M942" s="1255"/>
    </row>
    <row r="943" spans="1:13" s="1444" customFormat="1">
      <c r="A943" s="1305"/>
      <c r="B943" s="1306"/>
      <c r="C943" s="1255"/>
      <c r="D943" s="1445"/>
      <c r="E943" s="1309"/>
      <c r="F943" s="1309"/>
      <c r="G943" s="1255"/>
      <c r="H943" s="1310"/>
      <c r="I943" s="1311"/>
      <c r="J943" s="1312"/>
      <c r="K943" s="1313"/>
      <c r="L943" s="1313"/>
      <c r="M943" s="1255"/>
    </row>
    <row r="944" spans="1:13" s="1444" customFormat="1">
      <c r="A944" s="1305"/>
      <c r="B944" s="1306"/>
      <c r="C944" s="1255"/>
      <c r="D944" s="1445"/>
      <c r="E944" s="1309"/>
      <c r="F944" s="1309"/>
      <c r="G944" s="1255"/>
      <c r="H944" s="1310"/>
      <c r="I944" s="1311"/>
      <c r="J944" s="1312"/>
      <c r="K944" s="1313"/>
      <c r="L944" s="1313"/>
      <c r="M944" s="1255"/>
    </row>
    <row r="945" spans="1:13" s="1444" customFormat="1">
      <c r="A945" s="1305"/>
      <c r="B945" s="1306"/>
      <c r="C945" s="1255"/>
      <c r="D945" s="1445"/>
      <c r="E945" s="1309"/>
      <c r="F945" s="1309"/>
      <c r="G945" s="1255"/>
      <c r="H945" s="1310"/>
      <c r="I945" s="1311"/>
      <c r="J945" s="1312"/>
      <c r="K945" s="1313"/>
      <c r="L945" s="1313"/>
      <c r="M945" s="1255"/>
    </row>
    <row r="946" spans="1:13" s="1444" customFormat="1">
      <c r="A946" s="1305"/>
      <c r="B946" s="1306"/>
      <c r="C946" s="1255"/>
      <c r="D946" s="1445"/>
      <c r="E946" s="1309"/>
      <c r="F946" s="1309"/>
      <c r="G946" s="1255"/>
      <c r="H946" s="1310"/>
      <c r="I946" s="1311"/>
      <c r="J946" s="1312"/>
      <c r="K946" s="1313"/>
      <c r="L946" s="1313"/>
      <c r="M946" s="1255"/>
    </row>
    <row r="947" spans="1:13" s="1444" customFormat="1">
      <c r="A947" s="1305"/>
      <c r="B947" s="1306"/>
      <c r="C947" s="1255"/>
      <c r="D947" s="1445"/>
      <c r="E947" s="1309"/>
      <c r="F947" s="1309"/>
      <c r="G947" s="1255"/>
      <c r="H947" s="1310"/>
      <c r="I947" s="1311"/>
      <c r="J947" s="1312"/>
      <c r="K947" s="1313"/>
      <c r="L947" s="1313"/>
      <c r="M947" s="1255"/>
    </row>
    <row r="948" spans="1:13" s="1444" customFormat="1">
      <c r="A948" s="1305"/>
      <c r="B948" s="1306"/>
      <c r="C948" s="1255"/>
      <c r="D948" s="1445"/>
      <c r="E948" s="1309"/>
      <c r="F948" s="1309"/>
      <c r="G948" s="1255"/>
      <c r="H948" s="1310"/>
      <c r="I948" s="1311"/>
      <c r="J948" s="1312"/>
      <c r="K948" s="1313"/>
      <c r="L948" s="1313"/>
      <c r="M948" s="1255"/>
    </row>
    <row r="949" spans="1:13" s="1444" customFormat="1">
      <c r="A949" s="1305"/>
      <c r="B949" s="1306"/>
      <c r="C949" s="1255"/>
      <c r="D949" s="1445"/>
      <c r="E949" s="1309"/>
      <c r="F949" s="1309"/>
      <c r="G949" s="1255"/>
      <c r="H949" s="1310"/>
      <c r="I949" s="1311"/>
      <c r="J949" s="1312"/>
      <c r="K949" s="1313"/>
      <c r="L949" s="1313"/>
      <c r="M949" s="1255"/>
    </row>
    <row r="950" spans="1:13" s="1444" customFormat="1">
      <c r="A950" s="1305"/>
      <c r="B950" s="1306"/>
      <c r="C950" s="1255"/>
      <c r="D950" s="1445"/>
      <c r="E950" s="1309"/>
      <c r="F950" s="1309"/>
      <c r="G950" s="1255"/>
      <c r="H950" s="1310"/>
      <c r="I950" s="1311"/>
      <c r="J950" s="1312"/>
      <c r="K950" s="1313"/>
      <c r="L950" s="1313"/>
      <c r="M950" s="1255"/>
    </row>
    <row r="951" spans="1:13" s="1444" customFormat="1">
      <c r="A951" s="1305"/>
      <c r="B951" s="1306"/>
      <c r="C951" s="1255"/>
      <c r="D951" s="1445"/>
      <c r="E951" s="1309"/>
      <c r="F951" s="1309"/>
      <c r="G951" s="1255"/>
      <c r="H951" s="1310"/>
      <c r="I951" s="1311"/>
      <c r="J951" s="1312"/>
      <c r="K951" s="1313"/>
      <c r="L951" s="1313"/>
      <c r="M951" s="1255"/>
    </row>
    <row r="952" spans="1:13" s="1444" customFormat="1">
      <c r="A952" s="1305"/>
      <c r="B952" s="1306"/>
      <c r="C952" s="1255"/>
      <c r="D952" s="1445"/>
      <c r="E952" s="1309"/>
      <c r="F952" s="1309"/>
      <c r="G952" s="1255"/>
      <c r="H952" s="1310"/>
      <c r="I952" s="1311"/>
      <c r="J952" s="1312"/>
      <c r="K952" s="1313"/>
      <c r="L952" s="1313"/>
      <c r="M952" s="1255"/>
    </row>
    <row r="953" spans="1:13" s="1444" customFormat="1">
      <c r="A953" s="1305"/>
      <c r="B953" s="1306"/>
      <c r="C953" s="1255"/>
      <c r="D953" s="1445"/>
      <c r="E953" s="1309"/>
      <c r="F953" s="1309"/>
      <c r="G953" s="1255"/>
      <c r="H953" s="1310"/>
      <c r="I953" s="1311"/>
      <c r="J953" s="1312"/>
      <c r="K953" s="1313"/>
      <c r="L953" s="1313"/>
      <c r="M953" s="1255"/>
    </row>
    <row r="954" spans="1:13" s="1444" customFormat="1">
      <c r="A954" s="1305"/>
      <c r="B954" s="1306"/>
      <c r="C954" s="1255"/>
      <c r="D954" s="1445"/>
      <c r="E954" s="1309"/>
      <c r="F954" s="1309"/>
      <c r="G954" s="1255"/>
      <c r="H954" s="1310"/>
      <c r="I954" s="1311"/>
      <c r="J954" s="1312"/>
      <c r="K954" s="1313"/>
      <c r="L954" s="1313"/>
      <c r="M954" s="1255"/>
    </row>
    <row r="955" spans="1:13" s="1444" customFormat="1">
      <c r="A955" s="1305"/>
      <c r="B955" s="1306"/>
      <c r="C955" s="1255"/>
      <c r="D955" s="1445"/>
      <c r="E955" s="1309"/>
      <c r="F955" s="1309"/>
      <c r="G955" s="1255"/>
      <c r="H955" s="1310"/>
      <c r="I955" s="1311"/>
      <c r="J955" s="1312"/>
      <c r="K955" s="1313"/>
      <c r="L955" s="1313"/>
      <c r="M955" s="1255"/>
    </row>
    <row r="956" spans="1:13" s="1444" customFormat="1">
      <c r="A956" s="1305"/>
      <c r="B956" s="1306"/>
      <c r="C956" s="1255"/>
      <c r="D956" s="1445"/>
      <c r="E956" s="1309"/>
      <c r="F956" s="1309"/>
      <c r="G956" s="1255"/>
      <c r="H956" s="1310"/>
      <c r="I956" s="1311"/>
      <c r="J956" s="1312"/>
      <c r="K956" s="1313"/>
      <c r="L956" s="1313"/>
      <c r="M956" s="1255"/>
    </row>
    <row r="957" spans="1:13" s="1444" customFormat="1">
      <c r="A957" s="1305"/>
      <c r="B957" s="1306"/>
      <c r="C957" s="1255"/>
      <c r="D957" s="1445"/>
      <c r="E957" s="1309"/>
      <c r="F957" s="1309"/>
      <c r="G957" s="1255"/>
      <c r="H957" s="1310"/>
      <c r="I957" s="1311"/>
      <c r="J957" s="1312"/>
      <c r="K957" s="1313"/>
      <c r="L957" s="1313"/>
      <c r="M957" s="1255"/>
    </row>
    <row r="958" spans="1:13" s="1444" customFormat="1">
      <c r="A958" s="1305"/>
      <c r="B958" s="1306"/>
      <c r="C958" s="1255"/>
      <c r="D958" s="1445"/>
      <c r="E958" s="1309"/>
      <c r="F958" s="1309"/>
      <c r="G958" s="1255"/>
      <c r="H958" s="1310"/>
      <c r="I958" s="1311"/>
      <c r="J958" s="1312"/>
      <c r="K958" s="1313"/>
      <c r="L958" s="1313"/>
      <c r="M958" s="1255"/>
    </row>
    <row r="959" spans="1:13" s="1444" customFormat="1">
      <c r="A959" s="1305"/>
      <c r="B959" s="1306"/>
      <c r="C959" s="1255"/>
      <c r="D959" s="1445"/>
      <c r="E959" s="1309"/>
      <c r="F959" s="1309"/>
      <c r="G959" s="1255"/>
      <c r="H959" s="1310"/>
      <c r="I959" s="1311"/>
      <c r="J959" s="1312"/>
      <c r="K959" s="1313"/>
      <c r="L959" s="1313"/>
      <c r="M959" s="1255"/>
    </row>
    <row r="960" spans="1:13" s="1444" customFormat="1">
      <c r="A960" s="1305"/>
      <c r="B960" s="1306"/>
      <c r="C960" s="1255"/>
      <c r="D960" s="1445"/>
      <c r="E960" s="1309"/>
      <c r="F960" s="1309"/>
      <c r="G960" s="1255"/>
      <c r="H960" s="1310"/>
      <c r="I960" s="1311"/>
      <c r="J960" s="1312"/>
      <c r="K960" s="1313"/>
      <c r="L960" s="1313"/>
      <c r="M960" s="1255"/>
    </row>
    <row r="961" spans="1:13" s="1444" customFormat="1">
      <c r="A961" s="1305"/>
      <c r="B961" s="1306"/>
      <c r="C961" s="1255"/>
      <c r="D961" s="1445"/>
      <c r="E961" s="1309"/>
      <c r="F961" s="1309"/>
      <c r="G961" s="1255"/>
      <c r="H961" s="1310"/>
      <c r="I961" s="1311"/>
      <c r="J961" s="1312"/>
      <c r="K961" s="1313"/>
      <c r="L961" s="1313"/>
      <c r="M961" s="1255"/>
    </row>
    <row r="962" spans="1:13" s="1444" customFormat="1">
      <c r="A962" s="1305"/>
      <c r="B962" s="1306"/>
      <c r="C962" s="1255"/>
      <c r="D962" s="1445"/>
      <c r="E962" s="1309"/>
      <c r="F962" s="1309"/>
      <c r="G962" s="1255"/>
      <c r="H962" s="1310"/>
      <c r="I962" s="1311"/>
      <c r="J962" s="1312"/>
      <c r="K962" s="1313"/>
      <c r="L962" s="1313"/>
      <c r="M962" s="1255"/>
    </row>
    <row r="963" spans="1:13" s="1444" customFormat="1">
      <c r="A963" s="1305"/>
      <c r="B963" s="1306"/>
      <c r="C963" s="1255"/>
      <c r="D963" s="1445"/>
      <c r="E963" s="1309"/>
      <c r="F963" s="1309"/>
      <c r="G963" s="1255"/>
      <c r="H963" s="1310"/>
      <c r="I963" s="1311"/>
      <c r="J963" s="1312"/>
      <c r="K963" s="1313"/>
      <c r="L963" s="1313"/>
      <c r="M963" s="1255"/>
    </row>
    <row r="964" spans="1:13" s="1444" customFormat="1">
      <c r="A964" s="1305"/>
      <c r="B964" s="1306"/>
      <c r="C964" s="1255"/>
      <c r="D964" s="1445"/>
      <c r="E964" s="1309"/>
      <c r="F964" s="1309"/>
      <c r="G964" s="1255"/>
      <c r="H964" s="1310"/>
      <c r="I964" s="1311"/>
      <c r="J964" s="1312"/>
      <c r="K964" s="1313"/>
      <c r="L964" s="1313"/>
      <c r="M964" s="1255"/>
    </row>
    <row r="965" spans="1:13" s="1444" customFormat="1">
      <c r="A965" s="1305"/>
      <c r="B965" s="1306"/>
      <c r="C965" s="1255"/>
      <c r="D965" s="1445"/>
      <c r="E965" s="1309"/>
      <c r="F965" s="1309"/>
      <c r="G965" s="1255"/>
      <c r="H965" s="1310"/>
      <c r="I965" s="1311"/>
      <c r="J965" s="1312"/>
      <c r="K965" s="1313"/>
      <c r="L965" s="1313"/>
      <c r="M965" s="1255"/>
    </row>
    <row r="966" spans="1:13" s="1444" customFormat="1">
      <c r="A966" s="1305"/>
      <c r="B966" s="1306"/>
      <c r="C966" s="1255"/>
      <c r="D966" s="1445"/>
      <c r="E966" s="1309"/>
      <c r="F966" s="1309"/>
      <c r="G966" s="1255"/>
      <c r="H966" s="1310"/>
      <c r="I966" s="1311"/>
      <c r="J966" s="1312"/>
      <c r="K966" s="1313"/>
      <c r="L966" s="1313"/>
      <c r="M966" s="1255"/>
    </row>
    <row r="967" spans="1:13" s="1444" customFormat="1">
      <c r="A967" s="1305"/>
      <c r="B967" s="1306"/>
      <c r="C967" s="1255"/>
      <c r="D967" s="1445"/>
      <c r="E967" s="1309"/>
      <c r="F967" s="1309"/>
      <c r="G967" s="1255"/>
      <c r="H967" s="1310"/>
      <c r="I967" s="1311"/>
      <c r="J967" s="1312"/>
      <c r="K967" s="1313"/>
      <c r="L967" s="1313"/>
      <c r="M967" s="1255"/>
    </row>
    <row r="968" spans="1:13" s="1444" customFormat="1">
      <c r="A968" s="1305"/>
      <c r="B968" s="1306"/>
      <c r="C968" s="1255"/>
      <c r="D968" s="1445"/>
      <c r="E968" s="1309"/>
      <c r="F968" s="1309"/>
      <c r="G968" s="1255"/>
      <c r="H968" s="1310"/>
      <c r="I968" s="1311"/>
      <c r="J968" s="1312"/>
      <c r="K968" s="1313"/>
      <c r="L968" s="1313"/>
      <c r="M968" s="1255"/>
    </row>
    <row r="969" spans="1:13" s="1444" customFormat="1">
      <c r="A969" s="1305"/>
      <c r="B969" s="1306"/>
      <c r="C969" s="1255"/>
      <c r="D969" s="1445"/>
      <c r="E969" s="1309"/>
      <c r="F969" s="1309"/>
      <c r="G969" s="1255"/>
      <c r="H969" s="1310"/>
      <c r="I969" s="1311"/>
      <c r="J969" s="1312"/>
      <c r="K969" s="1313"/>
      <c r="L969" s="1313"/>
      <c r="M969" s="1255"/>
    </row>
    <row r="970" spans="1:13" s="1444" customFormat="1">
      <c r="A970" s="1305"/>
      <c r="B970" s="1306"/>
      <c r="C970" s="1255"/>
      <c r="D970" s="1445"/>
      <c r="E970" s="1309"/>
      <c r="F970" s="1309"/>
      <c r="G970" s="1255"/>
      <c r="H970" s="1310"/>
      <c r="I970" s="1311"/>
      <c r="J970" s="1312"/>
      <c r="K970" s="1313"/>
      <c r="L970" s="1313"/>
      <c r="M970" s="1255"/>
    </row>
    <row r="971" spans="1:13" s="1444" customFormat="1">
      <c r="A971" s="1305"/>
      <c r="B971" s="1306"/>
      <c r="C971" s="1255"/>
      <c r="D971" s="1445"/>
      <c r="E971" s="1309"/>
      <c r="F971" s="1309"/>
      <c r="G971" s="1255"/>
      <c r="H971" s="1310"/>
      <c r="I971" s="1311"/>
      <c r="J971" s="1312"/>
      <c r="K971" s="1313"/>
      <c r="L971" s="1313"/>
      <c r="M971" s="1255"/>
    </row>
    <row r="972" spans="1:13" s="1444" customFormat="1">
      <c r="A972" s="1305"/>
      <c r="B972" s="1306"/>
      <c r="C972" s="1255"/>
      <c r="D972" s="1445"/>
      <c r="E972" s="1309"/>
      <c r="F972" s="1309"/>
      <c r="G972" s="1255"/>
      <c r="H972" s="1310"/>
      <c r="I972" s="1311"/>
      <c r="J972" s="1312"/>
      <c r="K972" s="1313"/>
      <c r="L972" s="1313"/>
      <c r="M972" s="1255"/>
    </row>
    <row r="973" spans="1:13" s="1444" customFormat="1">
      <c r="A973" s="1305"/>
      <c r="B973" s="1306"/>
      <c r="C973" s="1255"/>
      <c r="D973" s="1445"/>
      <c r="E973" s="1309"/>
      <c r="F973" s="1309"/>
      <c r="G973" s="1255"/>
      <c r="H973" s="1310"/>
      <c r="I973" s="1311"/>
      <c r="J973" s="1312"/>
      <c r="K973" s="1313"/>
      <c r="L973" s="1313"/>
      <c r="M973" s="1255"/>
    </row>
    <row r="974" spans="1:13" s="1444" customFormat="1">
      <c r="A974" s="1305"/>
      <c r="B974" s="1306"/>
      <c r="C974" s="1255"/>
      <c r="D974" s="1445"/>
      <c r="E974" s="1309"/>
      <c r="F974" s="1309"/>
      <c r="G974" s="1255"/>
      <c r="H974" s="1310"/>
      <c r="I974" s="1311"/>
      <c r="J974" s="1312"/>
      <c r="K974" s="1313"/>
      <c r="L974" s="1313"/>
      <c r="M974" s="1255"/>
    </row>
    <row r="975" spans="1:13" s="1444" customFormat="1">
      <c r="A975" s="1305"/>
      <c r="B975" s="1306"/>
      <c r="C975" s="1255"/>
      <c r="D975" s="1445"/>
      <c r="E975" s="1309"/>
      <c r="F975" s="1309"/>
      <c r="G975" s="1255"/>
      <c r="H975" s="1310"/>
      <c r="I975" s="1311"/>
      <c r="J975" s="1312"/>
      <c r="K975" s="1313"/>
      <c r="L975" s="1313"/>
      <c r="M975" s="1255"/>
    </row>
    <row r="976" spans="1:13" s="1444" customFormat="1">
      <c r="A976" s="1305"/>
      <c r="B976" s="1306"/>
      <c r="C976" s="1255"/>
      <c r="D976" s="1445"/>
      <c r="E976" s="1309"/>
      <c r="F976" s="1309"/>
      <c r="G976" s="1255"/>
      <c r="H976" s="1310"/>
      <c r="I976" s="1311"/>
      <c r="J976" s="1312"/>
      <c r="K976" s="1313"/>
      <c r="L976" s="1313"/>
      <c r="M976" s="1255"/>
    </row>
    <row r="977" spans="1:13" s="1444" customFormat="1">
      <c r="A977" s="1305"/>
      <c r="B977" s="1306"/>
      <c r="C977" s="1255"/>
      <c r="D977" s="1445"/>
      <c r="E977" s="1309"/>
      <c r="F977" s="1309"/>
      <c r="G977" s="1255"/>
      <c r="H977" s="1310"/>
      <c r="I977" s="1311"/>
      <c r="J977" s="1312"/>
      <c r="K977" s="1313"/>
      <c r="L977" s="1313"/>
      <c r="M977" s="1255"/>
    </row>
    <row r="978" spans="1:13" s="1444" customFormat="1">
      <c r="A978" s="1305"/>
      <c r="B978" s="1306"/>
      <c r="C978" s="1255"/>
      <c r="D978" s="1445"/>
      <c r="E978" s="1309"/>
      <c r="F978" s="1309"/>
      <c r="G978" s="1255"/>
      <c r="H978" s="1310"/>
      <c r="I978" s="1311"/>
      <c r="J978" s="1312"/>
      <c r="K978" s="1313"/>
      <c r="L978" s="1313"/>
      <c r="M978" s="1255"/>
    </row>
    <row r="979" spans="1:13" s="1444" customFormat="1">
      <c r="A979" s="1305"/>
      <c r="B979" s="1306"/>
      <c r="C979" s="1255"/>
      <c r="D979" s="1445"/>
      <c r="E979" s="1309"/>
      <c r="F979" s="1309"/>
      <c r="G979" s="1255"/>
      <c r="H979" s="1310"/>
      <c r="I979" s="1311"/>
      <c r="J979" s="1312"/>
      <c r="K979" s="1313"/>
      <c r="L979" s="1313"/>
      <c r="M979" s="1255"/>
    </row>
    <row r="980" spans="1:13" s="1444" customFormat="1">
      <c r="A980" s="1305"/>
      <c r="B980" s="1306"/>
      <c r="C980" s="1255"/>
      <c r="D980" s="1445"/>
      <c r="E980" s="1309"/>
      <c r="F980" s="1309"/>
      <c r="G980" s="1255"/>
      <c r="H980" s="1310"/>
      <c r="I980" s="1311"/>
      <c r="J980" s="1312"/>
      <c r="K980" s="1313"/>
      <c r="L980" s="1313"/>
      <c r="M980" s="1255"/>
    </row>
    <row r="981" spans="1:13" s="1444" customFormat="1">
      <c r="A981" s="1305"/>
      <c r="B981" s="1306"/>
      <c r="C981" s="1255"/>
      <c r="D981" s="1445"/>
      <c r="E981" s="1309"/>
      <c r="F981" s="1309"/>
      <c r="G981" s="1255"/>
      <c r="H981" s="1310"/>
      <c r="I981" s="1311"/>
      <c r="J981" s="1312"/>
      <c r="K981" s="1313"/>
      <c r="L981" s="1313"/>
      <c r="M981" s="1255"/>
    </row>
    <row r="982" spans="1:13" s="1444" customFormat="1">
      <c r="A982" s="1305"/>
      <c r="B982" s="1306"/>
      <c r="C982" s="1255"/>
      <c r="D982" s="1445"/>
      <c r="E982" s="1309"/>
      <c r="F982" s="1309"/>
      <c r="G982" s="1255"/>
      <c r="H982" s="1310"/>
      <c r="I982" s="1311"/>
      <c r="J982" s="1312"/>
      <c r="K982" s="1313"/>
      <c r="L982" s="1313"/>
      <c r="M982" s="1255"/>
    </row>
    <row r="983" spans="1:13" s="1444" customFormat="1">
      <c r="A983" s="1305"/>
      <c r="B983" s="1306"/>
      <c r="C983" s="1255"/>
      <c r="D983" s="1445"/>
      <c r="E983" s="1309"/>
      <c r="F983" s="1309"/>
      <c r="G983" s="1255"/>
      <c r="H983" s="1310"/>
      <c r="I983" s="1311"/>
      <c r="J983" s="1312"/>
      <c r="K983" s="1313"/>
      <c r="L983" s="1313"/>
      <c r="M983" s="1255"/>
    </row>
    <row r="984" spans="1:13" s="1444" customFormat="1">
      <c r="A984" s="1305"/>
      <c r="B984" s="1306"/>
      <c r="C984" s="1255"/>
      <c r="D984" s="1445"/>
      <c r="E984" s="1309"/>
      <c r="F984" s="1309"/>
      <c r="G984" s="1255"/>
      <c r="H984" s="1310"/>
      <c r="I984" s="1311"/>
      <c r="J984" s="1312"/>
      <c r="K984" s="1313"/>
      <c r="L984" s="1313"/>
      <c r="M984" s="1255"/>
    </row>
    <row r="985" spans="1:13" s="1444" customFormat="1">
      <c r="A985" s="1305"/>
      <c r="B985" s="1306"/>
      <c r="C985" s="1255"/>
      <c r="D985" s="1445"/>
      <c r="E985" s="1309"/>
      <c r="F985" s="1309"/>
      <c r="G985" s="1255"/>
      <c r="H985" s="1310"/>
      <c r="I985" s="1311"/>
      <c r="J985" s="1312"/>
      <c r="K985" s="1313"/>
      <c r="L985" s="1313"/>
      <c r="M985" s="1255"/>
    </row>
    <row r="986" spans="1:13" s="1444" customFormat="1">
      <c r="A986" s="1305"/>
      <c r="B986" s="1306"/>
      <c r="C986" s="1255"/>
      <c r="D986" s="1445"/>
      <c r="E986" s="1309"/>
      <c r="F986" s="1309"/>
      <c r="G986" s="1255"/>
      <c r="H986" s="1310"/>
      <c r="I986" s="1311"/>
      <c r="J986" s="1312"/>
      <c r="K986" s="1313"/>
      <c r="L986" s="1313"/>
      <c r="M986" s="1255"/>
    </row>
    <row r="987" spans="1:13" s="1444" customFormat="1">
      <c r="A987" s="1305"/>
      <c r="B987" s="1306"/>
      <c r="C987" s="1255"/>
      <c r="D987" s="1445"/>
      <c r="E987" s="1309"/>
      <c r="F987" s="1309"/>
      <c r="G987" s="1255"/>
      <c r="H987" s="1310"/>
      <c r="I987" s="1311"/>
      <c r="J987" s="1312"/>
      <c r="K987" s="1313"/>
      <c r="L987" s="1313"/>
      <c r="M987" s="1255"/>
    </row>
    <row r="988" spans="1:13" s="1444" customFormat="1">
      <c r="A988" s="1305"/>
      <c r="B988" s="1306"/>
      <c r="C988" s="1255"/>
      <c r="D988" s="1445"/>
      <c r="E988" s="1309"/>
      <c r="F988" s="1309"/>
      <c r="G988" s="1255"/>
      <c r="H988" s="1310"/>
      <c r="I988" s="1311"/>
      <c r="J988" s="1312"/>
      <c r="K988" s="1313"/>
      <c r="L988" s="1313"/>
      <c r="M988" s="1255"/>
    </row>
    <row r="989" spans="1:13" s="1444" customFormat="1">
      <c r="A989" s="1305"/>
      <c r="B989" s="1306"/>
      <c r="C989" s="1255"/>
      <c r="D989" s="1445"/>
      <c r="E989" s="1309"/>
      <c r="F989" s="1309"/>
      <c r="G989" s="1255"/>
      <c r="H989" s="1310"/>
      <c r="I989" s="1311"/>
      <c r="J989" s="1312"/>
      <c r="K989" s="1313"/>
      <c r="L989" s="1313"/>
      <c r="M989" s="1255"/>
    </row>
    <row r="990" spans="1:13" s="1444" customFormat="1">
      <c r="A990" s="1305"/>
      <c r="B990" s="1306"/>
      <c r="C990" s="1255"/>
      <c r="D990" s="1445"/>
      <c r="E990" s="1309"/>
      <c r="F990" s="1309"/>
      <c r="G990" s="1255"/>
      <c r="H990" s="1310"/>
      <c r="I990" s="1311"/>
      <c r="J990" s="1312"/>
      <c r="K990" s="1313"/>
      <c r="L990" s="1313"/>
      <c r="M990" s="1255"/>
    </row>
    <row r="991" spans="1:13" s="1444" customFormat="1">
      <c r="A991" s="1305"/>
      <c r="B991" s="1306"/>
      <c r="C991" s="1255"/>
      <c r="D991" s="1445"/>
      <c r="E991" s="1446"/>
      <c r="F991" s="1309"/>
      <c r="G991" s="1255"/>
      <c r="H991" s="1310"/>
      <c r="I991" s="1311"/>
      <c r="J991" s="1312"/>
      <c r="K991" s="1313"/>
      <c r="L991" s="1313"/>
      <c r="M991" s="1255"/>
    </row>
    <row r="992" spans="1:13" s="1444" customFormat="1">
      <c r="A992" s="1305"/>
      <c r="B992" s="1306"/>
      <c r="C992" s="1255"/>
      <c r="D992" s="1445"/>
      <c r="E992" s="1446"/>
      <c r="F992" s="1309"/>
      <c r="G992" s="1255"/>
      <c r="H992" s="1310"/>
      <c r="I992" s="1311"/>
      <c r="J992" s="1312"/>
      <c r="K992" s="1313"/>
      <c r="L992" s="1313"/>
      <c r="M992" s="1255"/>
    </row>
    <row r="993" spans="1:13" s="1444" customFormat="1">
      <c r="A993" s="1305"/>
      <c r="B993" s="1306"/>
      <c r="C993" s="1255"/>
      <c r="D993" s="1445"/>
      <c r="E993" s="1446"/>
      <c r="F993" s="1309"/>
      <c r="G993" s="1255"/>
      <c r="H993" s="1310"/>
      <c r="I993" s="1311"/>
      <c r="J993" s="1312"/>
      <c r="K993" s="1313"/>
      <c r="L993" s="1313"/>
      <c r="M993" s="1255"/>
    </row>
    <row r="994" spans="1:13" s="1444" customFormat="1">
      <c r="A994" s="1305"/>
      <c r="B994" s="1306"/>
      <c r="C994" s="1255"/>
      <c r="D994" s="1445"/>
      <c r="E994" s="1446"/>
      <c r="F994" s="1309"/>
      <c r="G994" s="1255"/>
      <c r="H994" s="1310"/>
      <c r="I994" s="1311"/>
      <c r="J994" s="1312"/>
      <c r="K994" s="1313"/>
      <c r="L994" s="1313"/>
      <c r="M994" s="1255"/>
    </row>
    <row r="995" spans="1:13" s="1444" customFormat="1">
      <c r="A995" s="1305"/>
      <c r="B995" s="1306"/>
      <c r="C995" s="1255"/>
      <c r="D995" s="1445"/>
      <c r="E995" s="1446"/>
      <c r="F995" s="1309"/>
      <c r="G995" s="1255"/>
      <c r="H995" s="1310"/>
      <c r="I995" s="1311"/>
      <c r="J995" s="1312"/>
      <c r="K995" s="1313"/>
      <c r="L995" s="1313"/>
      <c r="M995" s="1255"/>
    </row>
    <row r="996" spans="1:13" s="1444" customFormat="1">
      <c r="A996" s="1305"/>
      <c r="B996" s="1306"/>
      <c r="C996" s="1255"/>
      <c r="D996" s="1445"/>
      <c r="E996" s="1446"/>
      <c r="F996" s="1309"/>
      <c r="G996" s="1255"/>
      <c r="H996" s="1310"/>
      <c r="I996" s="1311"/>
      <c r="J996" s="1312"/>
      <c r="K996" s="1313"/>
      <c r="L996" s="1313"/>
      <c r="M996" s="1255"/>
    </row>
    <row r="997" spans="1:13" s="1444" customFormat="1">
      <c r="A997" s="1305"/>
      <c r="B997" s="1306"/>
      <c r="C997" s="1255"/>
      <c r="D997" s="1445"/>
      <c r="E997" s="1446"/>
      <c r="F997" s="1309"/>
      <c r="G997" s="1255"/>
      <c r="H997" s="1310"/>
      <c r="I997" s="1311"/>
      <c r="J997" s="1312"/>
      <c r="K997" s="1313"/>
      <c r="L997" s="1313"/>
      <c r="M997" s="1255"/>
    </row>
    <row r="998" spans="1:13" s="1444" customFormat="1">
      <c r="A998" s="1305"/>
      <c r="B998" s="1306"/>
      <c r="C998" s="1255"/>
      <c r="D998" s="1445"/>
      <c r="E998" s="1446"/>
      <c r="F998" s="1309"/>
      <c r="G998" s="1255"/>
      <c r="H998" s="1310"/>
      <c r="I998" s="1311"/>
      <c r="J998" s="1312"/>
      <c r="K998" s="1313"/>
      <c r="L998" s="1313"/>
      <c r="M998" s="1255"/>
    </row>
    <row r="999" spans="1:13" s="1444" customFormat="1">
      <c r="A999" s="1305"/>
      <c r="B999" s="1306"/>
      <c r="C999" s="1255"/>
      <c r="D999" s="1445"/>
      <c r="E999" s="1446"/>
      <c r="F999" s="1309"/>
      <c r="G999" s="1255"/>
      <c r="H999" s="1310"/>
      <c r="I999" s="1311"/>
      <c r="J999" s="1312"/>
      <c r="K999" s="1313"/>
      <c r="L999" s="1313"/>
      <c r="M999" s="1255"/>
    </row>
    <row r="1000" spans="1:13" s="1444" customFormat="1">
      <c r="A1000" s="1305"/>
      <c r="B1000" s="1306"/>
      <c r="C1000" s="1255"/>
      <c r="D1000" s="1445"/>
      <c r="E1000" s="1446"/>
      <c r="F1000" s="1309"/>
      <c r="G1000" s="1255"/>
      <c r="H1000" s="1310"/>
      <c r="I1000" s="1311"/>
      <c r="J1000" s="1312"/>
      <c r="K1000" s="1313"/>
      <c r="L1000" s="1313"/>
      <c r="M1000" s="1255"/>
    </row>
    <row r="1001" spans="1:13" s="1444" customFormat="1">
      <c r="A1001" s="1305"/>
      <c r="B1001" s="1306"/>
      <c r="C1001" s="1255"/>
      <c r="D1001" s="1445"/>
      <c r="E1001" s="1446"/>
      <c r="F1001" s="1309"/>
      <c r="G1001" s="1255"/>
      <c r="H1001" s="1310"/>
      <c r="I1001" s="1311"/>
      <c r="J1001" s="1312"/>
      <c r="K1001" s="1313"/>
      <c r="L1001" s="1313"/>
      <c r="M1001" s="1255"/>
    </row>
    <row r="1002" spans="1:13" s="1444" customFormat="1">
      <c r="A1002" s="1305"/>
      <c r="B1002" s="1306"/>
      <c r="C1002" s="1255"/>
      <c r="D1002" s="1445"/>
      <c r="E1002" s="1446"/>
      <c r="F1002" s="1309"/>
      <c r="G1002" s="1255"/>
      <c r="H1002" s="1310"/>
      <c r="I1002" s="1311"/>
      <c r="J1002" s="1312"/>
      <c r="K1002" s="1313"/>
      <c r="L1002" s="1313"/>
      <c r="M1002" s="1255"/>
    </row>
    <row r="1003" spans="1:13" s="1444" customFormat="1">
      <c r="A1003" s="1305"/>
      <c r="B1003" s="1306"/>
      <c r="C1003" s="1255"/>
      <c r="D1003" s="1445"/>
      <c r="E1003" s="1446"/>
      <c r="F1003" s="1309"/>
      <c r="G1003" s="1255"/>
      <c r="H1003" s="1310"/>
      <c r="I1003" s="1311"/>
      <c r="J1003" s="1312"/>
      <c r="K1003" s="1313"/>
      <c r="L1003" s="1313"/>
      <c r="M1003" s="1255"/>
    </row>
    <row r="1004" spans="1:13" s="1444" customFormat="1">
      <c r="A1004" s="1305"/>
      <c r="B1004" s="1306"/>
      <c r="C1004" s="1255"/>
      <c r="D1004" s="1445"/>
      <c r="E1004" s="1446"/>
      <c r="F1004" s="1309"/>
      <c r="G1004" s="1255"/>
      <c r="H1004" s="1310"/>
      <c r="I1004" s="1311"/>
      <c r="J1004" s="1312"/>
      <c r="K1004" s="1313"/>
      <c r="L1004" s="1313"/>
      <c r="M1004" s="1255"/>
    </row>
    <row r="1005" spans="1:13" s="1444" customFormat="1">
      <c r="A1005" s="1305"/>
      <c r="B1005" s="1306"/>
      <c r="C1005" s="1255"/>
      <c r="D1005" s="1445"/>
      <c r="E1005" s="1446"/>
      <c r="F1005" s="1309"/>
      <c r="G1005" s="1255"/>
      <c r="H1005" s="1310"/>
      <c r="I1005" s="1311"/>
      <c r="J1005" s="1312"/>
      <c r="K1005" s="1313"/>
      <c r="L1005" s="1313"/>
      <c r="M1005" s="1255"/>
    </row>
    <row r="1006" spans="1:13" s="1444" customFormat="1">
      <c r="A1006" s="1305"/>
      <c r="B1006" s="1306"/>
      <c r="C1006" s="1255"/>
      <c r="D1006" s="1445"/>
      <c r="E1006" s="1446"/>
      <c r="F1006" s="1309"/>
      <c r="G1006" s="1255"/>
      <c r="H1006" s="1310"/>
      <c r="I1006" s="1311"/>
      <c r="J1006" s="1312"/>
      <c r="K1006" s="1313"/>
      <c r="L1006" s="1313"/>
      <c r="M1006" s="1255"/>
    </row>
    <row r="1007" spans="1:13" s="1444" customFormat="1">
      <c r="A1007" s="1305"/>
      <c r="B1007" s="1306"/>
      <c r="C1007" s="1255"/>
      <c r="D1007" s="1445"/>
      <c r="E1007" s="1446"/>
      <c r="F1007" s="1309"/>
      <c r="G1007" s="1255"/>
      <c r="H1007" s="1310"/>
      <c r="I1007" s="1311"/>
      <c r="J1007" s="1312"/>
      <c r="K1007" s="1313"/>
      <c r="L1007" s="1313"/>
      <c r="M1007" s="1255"/>
    </row>
    <row r="1008" spans="1:13" s="1444" customFormat="1">
      <c r="A1008" s="1305"/>
      <c r="B1008" s="1306"/>
      <c r="C1008" s="1255"/>
      <c r="D1008" s="1445"/>
      <c r="E1008" s="1446"/>
      <c r="F1008" s="1309"/>
      <c r="G1008" s="1255"/>
      <c r="H1008" s="1310"/>
      <c r="I1008" s="1311"/>
      <c r="J1008" s="1312"/>
      <c r="K1008" s="1313"/>
      <c r="L1008" s="1313"/>
      <c r="M1008" s="1255"/>
    </row>
    <row r="1009" spans="1:13" s="1444" customFormat="1">
      <c r="A1009" s="1305"/>
      <c r="B1009" s="1306"/>
      <c r="C1009" s="1255"/>
      <c r="D1009" s="1445"/>
      <c r="E1009" s="1446"/>
      <c r="F1009" s="1309"/>
      <c r="G1009" s="1255"/>
      <c r="H1009" s="1310"/>
      <c r="I1009" s="1311"/>
      <c r="J1009" s="1312"/>
      <c r="K1009" s="1313"/>
      <c r="L1009" s="1313"/>
      <c r="M1009" s="1255"/>
    </row>
    <row r="1010" spans="1:13" s="1444" customFormat="1">
      <c r="A1010" s="1305"/>
      <c r="B1010" s="1306"/>
      <c r="C1010" s="1255"/>
      <c r="D1010" s="1445"/>
      <c r="E1010" s="1446"/>
      <c r="F1010" s="1309"/>
      <c r="G1010" s="1255"/>
      <c r="H1010" s="1310"/>
      <c r="I1010" s="1311"/>
      <c r="J1010" s="1312"/>
      <c r="K1010" s="1313"/>
      <c r="L1010" s="1313"/>
      <c r="M1010" s="1255"/>
    </row>
    <row r="1011" spans="1:13" s="1444" customFormat="1">
      <c r="A1011" s="1305"/>
      <c r="B1011" s="1306"/>
      <c r="C1011" s="1255"/>
      <c r="D1011" s="1445"/>
      <c r="E1011" s="1446"/>
      <c r="F1011" s="1309"/>
      <c r="G1011" s="1255"/>
      <c r="H1011" s="1310"/>
      <c r="I1011" s="1311"/>
      <c r="J1011" s="1312"/>
      <c r="K1011" s="1313"/>
      <c r="L1011" s="1313"/>
      <c r="M1011" s="1255"/>
    </row>
    <row r="1012" spans="1:13" s="1444" customFormat="1">
      <c r="A1012" s="1305"/>
      <c r="B1012" s="1306"/>
      <c r="C1012" s="1255"/>
      <c r="D1012" s="1445"/>
      <c r="E1012" s="1446"/>
      <c r="F1012" s="1309"/>
      <c r="G1012" s="1255"/>
      <c r="H1012" s="1310"/>
      <c r="I1012" s="1311"/>
      <c r="J1012" s="1312"/>
      <c r="K1012" s="1313"/>
      <c r="L1012" s="1313"/>
      <c r="M1012" s="1255"/>
    </row>
    <row r="1013" spans="1:13" s="1444" customFormat="1">
      <c r="A1013" s="1305"/>
      <c r="B1013" s="1306"/>
      <c r="C1013" s="1255"/>
      <c r="D1013" s="1445"/>
      <c r="E1013" s="1446"/>
      <c r="F1013" s="1309"/>
      <c r="G1013" s="1255"/>
      <c r="H1013" s="1310"/>
      <c r="I1013" s="1311"/>
      <c r="J1013" s="1312"/>
      <c r="K1013" s="1313"/>
      <c r="L1013" s="1313"/>
      <c r="M1013" s="1255"/>
    </row>
    <row r="1014" spans="1:13" s="1444" customFormat="1">
      <c r="A1014" s="1305"/>
      <c r="B1014" s="1306"/>
      <c r="C1014" s="1255"/>
      <c r="D1014" s="1445"/>
      <c r="E1014" s="1446"/>
      <c r="F1014" s="1309"/>
      <c r="G1014" s="1255"/>
      <c r="H1014" s="1310"/>
      <c r="I1014" s="1311"/>
      <c r="J1014" s="1312"/>
      <c r="K1014" s="1313"/>
      <c r="L1014" s="1313"/>
      <c r="M1014" s="1255"/>
    </row>
    <row r="1015" spans="1:13" s="1444" customFormat="1">
      <c r="A1015" s="1305"/>
      <c r="B1015" s="1306"/>
      <c r="C1015" s="1255"/>
      <c r="D1015" s="1445"/>
      <c r="E1015" s="1446"/>
      <c r="F1015" s="1309"/>
      <c r="G1015" s="1255"/>
      <c r="H1015" s="1310"/>
      <c r="I1015" s="1311"/>
      <c r="J1015" s="1312"/>
      <c r="K1015" s="1313"/>
      <c r="L1015" s="1313"/>
      <c r="M1015" s="1255"/>
    </row>
    <row r="1016" spans="1:13" s="1444" customFormat="1">
      <c r="A1016" s="1305"/>
      <c r="B1016" s="1306"/>
      <c r="C1016" s="1255"/>
      <c r="D1016" s="1445"/>
      <c r="E1016" s="1446"/>
      <c r="F1016" s="1309"/>
      <c r="G1016" s="1255"/>
      <c r="H1016" s="1310"/>
      <c r="I1016" s="1311"/>
      <c r="J1016" s="1312"/>
      <c r="K1016" s="1313"/>
      <c r="L1016" s="1313"/>
      <c r="M1016" s="1255"/>
    </row>
    <row r="1017" spans="1:13" s="1444" customFormat="1">
      <c r="A1017" s="1305"/>
      <c r="B1017" s="1306"/>
      <c r="C1017" s="1255"/>
      <c r="D1017" s="1445"/>
      <c r="E1017" s="1446"/>
      <c r="F1017" s="1309"/>
      <c r="G1017" s="1255"/>
      <c r="H1017" s="1310"/>
      <c r="I1017" s="1311"/>
      <c r="J1017" s="1312"/>
      <c r="K1017" s="1313"/>
      <c r="L1017" s="1313"/>
      <c r="M1017" s="1255"/>
    </row>
    <row r="1018" spans="1:13" s="1444" customFormat="1">
      <c r="A1018" s="1305"/>
      <c r="B1018" s="1306"/>
      <c r="C1018" s="1255"/>
      <c r="D1018" s="1445"/>
      <c r="E1018" s="1446"/>
      <c r="F1018" s="1309"/>
      <c r="G1018" s="1255"/>
      <c r="H1018" s="1310"/>
      <c r="I1018" s="1311"/>
      <c r="J1018" s="1312"/>
      <c r="K1018" s="1313"/>
      <c r="L1018" s="1313"/>
      <c r="M1018" s="1255"/>
    </row>
    <row r="1019" spans="1:13" s="1444" customFormat="1">
      <c r="A1019" s="1305"/>
      <c r="B1019" s="1306"/>
      <c r="C1019" s="1255"/>
      <c r="D1019" s="1445"/>
      <c r="E1019" s="1446"/>
      <c r="F1019" s="1309"/>
      <c r="G1019" s="1255"/>
      <c r="H1019" s="1310"/>
      <c r="I1019" s="1311"/>
      <c r="J1019" s="1312"/>
      <c r="K1019" s="1313"/>
      <c r="L1019" s="1313"/>
      <c r="M1019" s="1255"/>
    </row>
    <row r="1020" spans="1:13" s="1444" customFormat="1">
      <c r="A1020" s="1305"/>
      <c r="B1020" s="1306"/>
      <c r="C1020" s="1255"/>
      <c r="D1020" s="1445"/>
      <c r="E1020" s="1446"/>
      <c r="F1020" s="1309"/>
      <c r="G1020" s="1255"/>
      <c r="H1020" s="1310"/>
      <c r="I1020" s="1311"/>
      <c r="J1020" s="1312"/>
      <c r="K1020" s="1313"/>
      <c r="L1020" s="1313"/>
      <c r="M1020" s="1255"/>
    </row>
    <row r="1021" spans="1:13" s="1444" customFormat="1">
      <c r="A1021" s="1305"/>
      <c r="B1021" s="1306"/>
      <c r="C1021" s="1255"/>
      <c r="D1021" s="1445"/>
      <c r="E1021" s="1446"/>
      <c r="F1021" s="1309"/>
      <c r="G1021" s="1255"/>
      <c r="H1021" s="1310"/>
      <c r="I1021" s="1311"/>
      <c r="J1021" s="1312"/>
      <c r="K1021" s="1313"/>
      <c r="L1021" s="1313"/>
      <c r="M1021" s="1255"/>
    </row>
    <row r="1022" spans="1:13" s="1444" customFormat="1">
      <c r="A1022" s="1305"/>
      <c r="B1022" s="1306"/>
      <c r="C1022" s="1255"/>
      <c r="D1022" s="1445"/>
      <c r="E1022" s="1446"/>
      <c r="F1022" s="1309"/>
      <c r="G1022" s="1255"/>
      <c r="H1022" s="1310"/>
      <c r="I1022" s="1311"/>
      <c r="J1022" s="1312"/>
      <c r="K1022" s="1313"/>
      <c r="L1022" s="1313"/>
      <c r="M1022" s="1255"/>
    </row>
    <row r="1023" spans="1:13" s="1444" customFormat="1">
      <c r="A1023" s="1305"/>
      <c r="B1023" s="1306"/>
      <c r="C1023" s="1255"/>
      <c r="D1023" s="1445"/>
      <c r="E1023" s="1446"/>
      <c r="F1023" s="1309"/>
      <c r="G1023" s="1255"/>
      <c r="H1023" s="1310"/>
      <c r="I1023" s="1311"/>
      <c r="J1023" s="1312"/>
      <c r="K1023" s="1313"/>
      <c r="L1023" s="1313"/>
      <c r="M1023" s="1255"/>
    </row>
    <row r="1024" spans="1:13" s="1444" customFormat="1">
      <c r="A1024" s="1305"/>
      <c r="B1024" s="1306"/>
      <c r="C1024" s="1255"/>
      <c r="D1024" s="1445"/>
      <c r="E1024" s="1446"/>
      <c r="F1024" s="1309"/>
      <c r="G1024" s="1255"/>
      <c r="H1024" s="1310"/>
      <c r="I1024" s="1311"/>
      <c r="J1024" s="1312"/>
      <c r="K1024" s="1313"/>
      <c r="L1024" s="1313"/>
      <c r="M1024" s="1255"/>
    </row>
    <row r="1025" spans="1:13" s="1444" customFormat="1">
      <c r="A1025" s="1305"/>
      <c r="B1025" s="1306"/>
      <c r="C1025" s="1255"/>
      <c r="D1025" s="1445"/>
      <c r="E1025" s="1446"/>
      <c r="F1025" s="1309"/>
      <c r="G1025" s="1255"/>
      <c r="H1025" s="1310"/>
      <c r="I1025" s="1311"/>
      <c r="J1025" s="1312"/>
      <c r="K1025" s="1313"/>
      <c r="L1025" s="1313"/>
      <c r="M1025" s="1255"/>
    </row>
    <row r="1026" spans="1:13" s="1444" customFormat="1">
      <c r="A1026" s="1305"/>
      <c r="B1026" s="1306"/>
      <c r="C1026" s="1255"/>
      <c r="D1026" s="1445"/>
      <c r="E1026" s="1446"/>
      <c r="F1026" s="1309"/>
      <c r="G1026" s="1255"/>
      <c r="H1026" s="1310"/>
      <c r="I1026" s="1311"/>
      <c r="J1026" s="1312"/>
      <c r="K1026" s="1313"/>
      <c r="L1026" s="1313"/>
      <c r="M1026" s="1255"/>
    </row>
    <row r="1027" spans="1:13" s="1444" customFormat="1">
      <c r="A1027" s="1305"/>
      <c r="B1027" s="1306"/>
      <c r="C1027" s="1255"/>
      <c r="D1027" s="1445"/>
      <c r="E1027" s="1446"/>
      <c r="F1027" s="1309"/>
      <c r="G1027" s="1255"/>
      <c r="H1027" s="1310"/>
      <c r="I1027" s="1311"/>
      <c r="J1027" s="1312"/>
      <c r="K1027" s="1313"/>
      <c r="L1027" s="1313"/>
      <c r="M1027" s="1255"/>
    </row>
    <row r="1028" spans="1:13" s="1444" customFormat="1">
      <c r="A1028" s="1305"/>
      <c r="B1028" s="1306"/>
      <c r="C1028" s="1255"/>
      <c r="D1028" s="1445"/>
      <c r="E1028" s="1446"/>
      <c r="F1028" s="1309"/>
      <c r="G1028" s="1255"/>
      <c r="H1028" s="1310"/>
      <c r="I1028" s="1311"/>
      <c r="J1028" s="1312"/>
      <c r="K1028" s="1313"/>
      <c r="L1028" s="1313"/>
      <c r="M1028" s="1255"/>
    </row>
    <row r="1029" spans="1:13" s="1444" customFormat="1">
      <c r="A1029" s="1305"/>
      <c r="B1029" s="1306"/>
      <c r="C1029" s="1255"/>
      <c r="D1029" s="1445"/>
      <c r="E1029" s="1446"/>
      <c r="F1029" s="1309"/>
      <c r="G1029" s="1255"/>
      <c r="H1029" s="1310"/>
      <c r="I1029" s="1311"/>
      <c r="J1029" s="1312"/>
      <c r="K1029" s="1313"/>
      <c r="L1029" s="1313"/>
      <c r="M1029" s="1255"/>
    </row>
    <row r="1030" spans="1:13" s="1444" customFormat="1">
      <c r="A1030" s="1305"/>
      <c r="B1030" s="1306"/>
      <c r="C1030" s="1255"/>
      <c r="D1030" s="1445"/>
      <c r="E1030" s="1446"/>
      <c r="F1030" s="1309"/>
      <c r="G1030" s="1255"/>
      <c r="H1030" s="1310"/>
      <c r="I1030" s="1311"/>
      <c r="J1030" s="1312"/>
      <c r="K1030" s="1313"/>
      <c r="L1030" s="1313"/>
      <c r="M1030" s="1255"/>
    </row>
    <row r="1031" spans="1:13" s="1444" customFormat="1">
      <c r="A1031" s="1305"/>
      <c r="B1031" s="1306"/>
      <c r="C1031" s="1255"/>
      <c r="D1031" s="1445"/>
      <c r="E1031" s="1446"/>
      <c r="F1031" s="1309"/>
      <c r="G1031" s="1255"/>
      <c r="H1031" s="1310"/>
      <c r="I1031" s="1311"/>
      <c r="J1031" s="1312"/>
      <c r="K1031" s="1313"/>
      <c r="L1031" s="1313"/>
      <c r="M1031" s="1255"/>
    </row>
    <row r="1032" spans="1:13" s="1444" customFormat="1">
      <c r="A1032" s="1305"/>
      <c r="B1032" s="1306"/>
      <c r="C1032" s="1255"/>
      <c r="D1032" s="1445"/>
      <c r="E1032" s="1446"/>
      <c r="F1032" s="1309"/>
      <c r="G1032" s="1255"/>
      <c r="H1032" s="1310"/>
      <c r="I1032" s="1311"/>
      <c r="J1032" s="1312"/>
      <c r="K1032" s="1313"/>
      <c r="L1032" s="1313"/>
      <c r="M1032" s="1255"/>
    </row>
    <row r="1033" spans="1:13" s="1444" customFormat="1">
      <c r="A1033" s="1305"/>
      <c r="B1033" s="1306"/>
      <c r="C1033" s="1255"/>
      <c r="D1033" s="1445"/>
      <c r="E1033" s="1446"/>
      <c r="F1033" s="1309"/>
      <c r="G1033" s="1255"/>
      <c r="H1033" s="1310"/>
      <c r="I1033" s="1311"/>
      <c r="J1033" s="1312"/>
      <c r="K1033" s="1313"/>
      <c r="L1033" s="1313"/>
      <c r="M1033" s="1255"/>
    </row>
    <row r="1034" spans="1:13" s="1444" customFormat="1">
      <c r="A1034" s="1305"/>
      <c r="B1034" s="1306"/>
      <c r="C1034" s="1255"/>
      <c r="D1034" s="1445"/>
      <c r="E1034" s="1446"/>
      <c r="F1034" s="1309"/>
      <c r="G1034" s="1255"/>
      <c r="H1034" s="1310"/>
      <c r="I1034" s="1311"/>
      <c r="J1034" s="1312"/>
      <c r="K1034" s="1313"/>
      <c r="L1034" s="1313"/>
      <c r="M1034" s="1255"/>
    </row>
    <row r="1035" spans="1:13" s="1444" customFormat="1">
      <c r="A1035" s="1305"/>
      <c r="B1035" s="1306"/>
      <c r="C1035" s="1255"/>
      <c r="D1035" s="1445"/>
      <c r="E1035" s="1446"/>
      <c r="F1035" s="1309"/>
      <c r="G1035" s="1255"/>
      <c r="H1035" s="1310"/>
      <c r="I1035" s="1311"/>
      <c r="J1035" s="1312"/>
      <c r="K1035" s="1313"/>
      <c r="L1035" s="1313"/>
      <c r="M1035" s="1255"/>
    </row>
    <row r="1036" spans="1:13" s="1444" customFormat="1">
      <c r="A1036" s="1305"/>
      <c r="B1036" s="1306"/>
      <c r="C1036" s="1255"/>
      <c r="D1036" s="1445"/>
      <c r="E1036" s="1446"/>
      <c r="F1036" s="1309"/>
      <c r="G1036" s="1255"/>
      <c r="H1036" s="1310"/>
      <c r="I1036" s="1311"/>
      <c r="J1036" s="1312"/>
      <c r="K1036" s="1313"/>
      <c r="L1036" s="1313"/>
      <c r="M1036" s="1255"/>
    </row>
    <row r="1037" spans="1:13" s="1444" customFormat="1">
      <c r="A1037" s="1305"/>
      <c r="B1037" s="1306"/>
      <c r="C1037" s="1255"/>
      <c r="D1037" s="1445"/>
      <c r="E1037" s="1446"/>
      <c r="F1037" s="1309"/>
      <c r="G1037" s="1255"/>
      <c r="H1037" s="1310"/>
      <c r="I1037" s="1311"/>
      <c r="J1037" s="1312"/>
      <c r="K1037" s="1313"/>
      <c r="L1037" s="1313"/>
      <c r="M1037" s="1255"/>
    </row>
    <row r="1038" spans="1:13" s="1444" customFormat="1">
      <c r="A1038" s="1305"/>
      <c r="B1038" s="1306"/>
      <c r="C1038" s="1255"/>
      <c r="D1038" s="1445"/>
      <c r="E1038" s="1446"/>
      <c r="F1038" s="1309"/>
      <c r="G1038" s="1255"/>
      <c r="H1038" s="1310"/>
      <c r="I1038" s="1311"/>
      <c r="J1038" s="1312"/>
      <c r="K1038" s="1313"/>
      <c r="L1038" s="1313"/>
      <c r="M1038" s="1255"/>
    </row>
    <row r="1039" spans="1:13" s="1444" customFormat="1">
      <c r="A1039" s="1305"/>
      <c r="B1039" s="1306"/>
      <c r="C1039" s="1255"/>
      <c r="D1039" s="1445"/>
      <c r="E1039" s="1446"/>
      <c r="F1039" s="1309"/>
      <c r="G1039" s="1255"/>
      <c r="H1039" s="1310"/>
      <c r="I1039" s="1311"/>
      <c r="J1039" s="1312"/>
      <c r="K1039" s="1313"/>
      <c r="L1039" s="1313"/>
      <c r="M1039" s="1255"/>
    </row>
    <row r="1040" spans="1:13" s="1444" customFormat="1">
      <c r="A1040" s="1305"/>
      <c r="B1040" s="1306"/>
      <c r="C1040" s="1255"/>
      <c r="D1040" s="1445"/>
      <c r="E1040" s="1446"/>
      <c r="F1040" s="1309"/>
      <c r="G1040" s="1255"/>
      <c r="H1040" s="1310"/>
      <c r="I1040" s="1311"/>
      <c r="J1040" s="1312"/>
      <c r="K1040" s="1313"/>
      <c r="L1040" s="1313"/>
      <c r="M1040" s="1255"/>
    </row>
    <row r="1041" spans="1:13" s="1444" customFormat="1">
      <c r="A1041" s="1305"/>
      <c r="B1041" s="1306"/>
      <c r="C1041" s="1255"/>
      <c r="D1041" s="1445"/>
      <c r="E1041" s="1446"/>
      <c r="F1041" s="1309"/>
      <c r="G1041" s="1255"/>
      <c r="H1041" s="1310"/>
      <c r="I1041" s="1311"/>
      <c r="J1041" s="1312"/>
      <c r="K1041" s="1313"/>
      <c r="L1041" s="1313"/>
      <c r="M1041" s="1255"/>
    </row>
    <row r="1042" spans="1:13" s="1444" customFormat="1">
      <c r="A1042" s="1305"/>
      <c r="B1042" s="1306"/>
      <c r="C1042" s="1255"/>
      <c r="D1042" s="1445"/>
      <c r="E1042" s="1446"/>
      <c r="F1042" s="1309"/>
      <c r="G1042" s="1255"/>
      <c r="H1042" s="1310"/>
      <c r="I1042" s="1311"/>
      <c r="J1042" s="1312"/>
      <c r="K1042" s="1313"/>
      <c r="L1042" s="1313"/>
      <c r="M1042" s="1255"/>
    </row>
    <row r="1043" spans="1:13" s="1444" customFormat="1">
      <c r="A1043" s="1305"/>
      <c r="B1043" s="1306"/>
      <c r="C1043" s="1255"/>
      <c r="D1043" s="1445"/>
      <c r="E1043" s="1446"/>
      <c r="F1043" s="1309"/>
      <c r="G1043" s="1255"/>
      <c r="H1043" s="1310"/>
      <c r="I1043" s="1311"/>
      <c r="J1043" s="1312"/>
      <c r="K1043" s="1313"/>
      <c r="L1043" s="1313"/>
      <c r="M1043" s="1255"/>
    </row>
    <row r="1044" spans="1:13" s="1444" customFormat="1">
      <c r="A1044" s="1305"/>
      <c r="B1044" s="1306"/>
      <c r="C1044" s="1255"/>
      <c r="D1044" s="1445"/>
      <c r="E1044" s="1446"/>
      <c r="F1044" s="1309"/>
      <c r="G1044" s="1255"/>
      <c r="H1044" s="1310"/>
      <c r="I1044" s="1311"/>
      <c r="J1044" s="1312"/>
      <c r="K1044" s="1313"/>
      <c r="L1044" s="1313"/>
      <c r="M1044" s="1255"/>
    </row>
    <row r="1045" spans="1:13" s="1444" customFormat="1">
      <c r="A1045" s="1305"/>
      <c r="B1045" s="1306"/>
      <c r="C1045" s="1255"/>
      <c r="D1045" s="1445"/>
      <c r="E1045" s="1446"/>
      <c r="F1045" s="1309"/>
      <c r="G1045" s="1255"/>
      <c r="H1045" s="1310"/>
      <c r="I1045" s="1311"/>
      <c r="J1045" s="1312"/>
      <c r="K1045" s="1313"/>
      <c r="L1045" s="1313"/>
      <c r="M1045" s="1255"/>
    </row>
    <row r="1046" spans="1:13" s="1444" customFormat="1">
      <c r="A1046" s="1305"/>
      <c r="B1046" s="1306"/>
      <c r="C1046" s="1255"/>
      <c r="D1046" s="1445"/>
      <c r="E1046" s="1446"/>
      <c r="F1046" s="1309"/>
      <c r="G1046" s="1255"/>
      <c r="H1046" s="1310"/>
      <c r="I1046" s="1311"/>
      <c r="J1046" s="1312"/>
      <c r="K1046" s="1313"/>
      <c r="L1046" s="1313"/>
      <c r="M1046" s="1255"/>
    </row>
    <row r="1047" spans="1:13" s="1444" customFormat="1">
      <c r="A1047" s="1305"/>
      <c r="B1047" s="1306"/>
      <c r="C1047" s="1255"/>
      <c r="D1047" s="1445"/>
      <c r="E1047" s="1446"/>
      <c r="F1047" s="1309"/>
      <c r="G1047" s="1255"/>
      <c r="H1047" s="1310"/>
      <c r="I1047" s="1311"/>
      <c r="J1047" s="1312"/>
      <c r="K1047" s="1313"/>
      <c r="L1047" s="1313"/>
      <c r="M1047" s="1255"/>
    </row>
    <row r="1048" spans="1:13" s="1444" customFormat="1">
      <c r="A1048" s="1305"/>
      <c r="B1048" s="1306"/>
      <c r="C1048" s="1255"/>
      <c r="D1048" s="1445"/>
      <c r="E1048" s="1446"/>
      <c r="F1048" s="1309"/>
      <c r="G1048" s="1255"/>
      <c r="H1048" s="1310"/>
      <c r="I1048" s="1311"/>
      <c r="J1048" s="1312"/>
      <c r="K1048" s="1313"/>
      <c r="L1048" s="1313"/>
      <c r="M1048" s="1255"/>
    </row>
    <row r="1049" spans="1:13" s="1444" customFormat="1">
      <c r="A1049" s="1305"/>
      <c r="B1049" s="1306"/>
      <c r="C1049" s="1255"/>
      <c r="D1049" s="1445"/>
      <c r="E1049" s="1446"/>
      <c r="F1049" s="1309"/>
      <c r="G1049" s="1255"/>
      <c r="H1049" s="1310"/>
      <c r="I1049" s="1311"/>
      <c r="J1049" s="1312"/>
      <c r="K1049" s="1313"/>
      <c r="L1049" s="1313"/>
      <c r="M1049" s="1255"/>
    </row>
    <row r="1050" spans="1:13" s="1444" customFormat="1">
      <c r="A1050" s="1305"/>
      <c r="B1050" s="1306"/>
      <c r="C1050" s="1255"/>
      <c r="D1050" s="1445"/>
      <c r="E1050" s="1446"/>
      <c r="F1050" s="1309"/>
      <c r="G1050" s="1255"/>
      <c r="H1050" s="1310"/>
      <c r="I1050" s="1311"/>
      <c r="J1050" s="1312"/>
      <c r="K1050" s="1313"/>
      <c r="L1050" s="1313"/>
      <c r="M1050" s="1255"/>
    </row>
    <row r="1051" spans="1:13" s="1444" customFormat="1">
      <c r="A1051" s="1305"/>
      <c r="B1051" s="1306"/>
      <c r="C1051" s="1255"/>
      <c r="D1051" s="1445"/>
      <c r="E1051" s="1446"/>
      <c r="F1051" s="1309"/>
      <c r="G1051" s="1255"/>
      <c r="H1051" s="1310"/>
      <c r="I1051" s="1311"/>
      <c r="J1051" s="1312"/>
      <c r="K1051" s="1313"/>
      <c r="L1051" s="1313"/>
      <c r="M1051" s="1255"/>
    </row>
    <row r="1052" spans="1:13" s="1444" customFormat="1">
      <c r="A1052" s="1305"/>
      <c r="B1052" s="1306"/>
      <c r="C1052" s="1255"/>
      <c r="D1052" s="1445"/>
      <c r="E1052" s="1446"/>
      <c r="F1052" s="1309"/>
      <c r="G1052" s="1255"/>
      <c r="H1052" s="1310"/>
      <c r="I1052" s="1311"/>
      <c r="J1052" s="1312"/>
      <c r="K1052" s="1313"/>
      <c r="L1052" s="1313"/>
      <c r="M1052" s="1255"/>
    </row>
    <row r="1053" spans="1:13" s="1444" customFormat="1">
      <c r="A1053" s="1305"/>
      <c r="B1053" s="1306"/>
      <c r="C1053" s="1255"/>
      <c r="D1053" s="1445"/>
      <c r="E1053" s="1446"/>
      <c r="F1053" s="1309"/>
      <c r="G1053" s="1255"/>
      <c r="H1053" s="1310"/>
      <c r="I1053" s="1311"/>
      <c r="J1053" s="1312"/>
      <c r="K1053" s="1313"/>
      <c r="L1053" s="1313"/>
      <c r="M1053" s="1255"/>
    </row>
    <row r="1054" spans="1:13" s="1444" customFormat="1">
      <c r="A1054" s="1305"/>
      <c r="B1054" s="1306"/>
      <c r="C1054" s="1255"/>
      <c r="D1054" s="1445"/>
      <c r="E1054" s="1446"/>
      <c r="F1054" s="1309"/>
      <c r="G1054" s="1255"/>
      <c r="H1054" s="1310"/>
      <c r="I1054" s="1311"/>
      <c r="J1054" s="1312"/>
      <c r="K1054" s="1313"/>
      <c r="L1054" s="1313"/>
      <c r="M1054" s="1255"/>
    </row>
    <row r="1055" spans="1:13" s="1444" customFormat="1">
      <c r="A1055" s="1305"/>
      <c r="B1055" s="1306"/>
      <c r="C1055" s="1255"/>
      <c r="D1055" s="1445"/>
      <c r="E1055" s="1446"/>
      <c r="F1055" s="1309"/>
      <c r="G1055" s="1255"/>
      <c r="H1055" s="1310"/>
      <c r="I1055" s="1311"/>
      <c r="J1055" s="1312"/>
      <c r="K1055" s="1313"/>
      <c r="L1055" s="1313"/>
      <c r="M1055" s="1255"/>
    </row>
    <row r="1056" spans="1:13" s="1444" customFormat="1">
      <c r="A1056" s="1305"/>
      <c r="B1056" s="1306"/>
      <c r="C1056" s="1255"/>
      <c r="D1056" s="1445"/>
      <c r="E1056" s="1446"/>
      <c r="F1056" s="1309"/>
      <c r="G1056" s="1255"/>
      <c r="H1056" s="1310"/>
      <c r="I1056" s="1311"/>
      <c r="J1056" s="1312"/>
      <c r="K1056" s="1313"/>
      <c r="L1056" s="1313"/>
      <c r="M1056" s="1255"/>
    </row>
    <row r="1057" spans="1:13" s="1444" customFormat="1">
      <c r="A1057" s="1305"/>
      <c r="B1057" s="1306"/>
      <c r="C1057" s="1255"/>
      <c r="D1057" s="1445"/>
      <c r="E1057" s="1446"/>
      <c r="F1057" s="1309"/>
      <c r="G1057" s="1255"/>
      <c r="H1057" s="1310"/>
      <c r="I1057" s="1311"/>
      <c r="J1057" s="1312"/>
      <c r="K1057" s="1313"/>
      <c r="L1057" s="1313"/>
      <c r="M1057" s="1255"/>
    </row>
    <row r="1058" spans="1:13" s="1444" customFormat="1">
      <c r="A1058" s="1305"/>
      <c r="B1058" s="1306"/>
      <c r="C1058" s="1255"/>
      <c r="D1058" s="1445"/>
      <c r="E1058" s="1446"/>
      <c r="F1058" s="1309"/>
      <c r="G1058" s="1255"/>
      <c r="H1058" s="1310"/>
      <c r="I1058" s="1311"/>
      <c r="J1058" s="1312"/>
      <c r="K1058" s="1313"/>
      <c r="L1058" s="1313"/>
      <c r="M1058" s="1255"/>
    </row>
    <row r="1059" spans="1:13" s="1444" customFormat="1">
      <c r="A1059" s="1305"/>
      <c r="B1059" s="1306"/>
      <c r="C1059" s="1255"/>
      <c r="D1059" s="1445"/>
      <c r="E1059" s="1446"/>
      <c r="F1059" s="1309"/>
      <c r="G1059" s="1255"/>
      <c r="H1059" s="1310"/>
      <c r="I1059" s="1311"/>
      <c r="J1059" s="1312"/>
      <c r="K1059" s="1313"/>
      <c r="L1059" s="1313"/>
      <c r="M1059" s="1255"/>
    </row>
    <row r="1060" spans="1:13" s="1444" customFormat="1">
      <c r="A1060" s="1305"/>
      <c r="B1060" s="1306"/>
      <c r="C1060" s="1255"/>
      <c r="D1060" s="1445"/>
      <c r="E1060" s="1446"/>
      <c r="F1060" s="1309"/>
      <c r="G1060" s="1255"/>
      <c r="H1060" s="1310"/>
      <c r="I1060" s="1311"/>
      <c r="J1060" s="1312"/>
      <c r="K1060" s="1313"/>
      <c r="L1060" s="1313"/>
      <c r="M1060" s="1255"/>
    </row>
    <row r="1061" spans="1:13" s="1444" customFormat="1">
      <c r="A1061" s="1305"/>
      <c r="B1061" s="1306"/>
      <c r="C1061" s="1255"/>
      <c r="D1061" s="1445"/>
      <c r="E1061" s="1446"/>
      <c r="F1061" s="1309"/>
      <c r="G1061" s="1255"/>
      <c r="H1061" s="1310"/>
      <c r="I1061" s="1311"/>
      <c r="J1061" s="1312"/>
      <c r="K1061" s="1313"/>
      <c r="L1061" s="1313"/>
      <c r="M1061" s="1255"/>
    </row>
    <row r="1062" spans="1:13" s="1444" customFormat="1">
      <c r="A1062" s="1305"/>
      <c r="B1062" s="1306"/>
      <c r="C1062" s="1255"/>
      <c r="D1062" s="1445"/>
      <c r="E1062" s="1446"/>
      <c r="F1062" s="1309"/>
      <c r="G1062" s="1255"/>
      <c r="H1062" s="1310"/>
      <c r="I1062" s="1311"/>
      <c r="J1062" s="1312"/>
      <c r="K1062" s="1313"/>
      <c r="L1062" s="1313"/>
      <c r="M1062" s="1255"/>
    </row>
    <row r="1063" spans="1:13" s="1444" customFormat="1">
      <c r="A1063" s="1305"/>
      <c r="B1063" s="1306"/>
      <c r="C1063" s="1255"/>
      <c r="D1063" s="1445"/>
      <c r="E1063" s="1446"/>
      <c r="F1063" s="1309"/>
      <c r="G1063" s="1255"/>
      <c r="H1063" s="1310"/>
      <c r="I1063" s="1311"/>
      <c r="J1063" s="1312"/>
      <c r="K1063" s="1313"/>
      <c r="L1063" s="1313"/>
      <c r="M1063" s="1255"/>
    </row>
    <row r="1064" spans="1:13" s="1444" customFormat="1">
      <c r="A1064" s="1305"/>
      <c r="B1064" s="1306"/>
      <c r="C1064" s="1255"/>
      <c r="D1064" s="1445"/>
      <c r="E1064" s="1446"/>
      <c r="F1064" s="1309"/>
      <c r="G1064" s="1255"/>
      <c r="H1064" s="1310"/>
      <c r="I1064" s="1311"/>
      <c r="J1064" s="1312"/>
      <c r="K1064" s="1313"/>
      <c r="L1064" s="1313"/>
      <c r="M1064" s="1255"/>
    </row>
    <row r="1065" spans="1:13" s="1444" customFormat="1">
      <c r="A1065" s="1305"/>
      <c r="B1065" s="1306"/>
      <c r="C1065" s="1255"/>
      <c r="D1065" s="1445"/>
      <c r="E1065" s="1446"/>
      <c r="F1065" s="1309"/>
      <c r="G1065" s="1255"/>
      <c r="H1065" s="1310"/>
      <c r="I1065" s="1311"/>
      <c r="J1065" s="1312"/>
      <c r="K1065" s="1313"/>
      <c r="L1065" s="1313"/>
      <c r="M1065" s="1255"/>
    </row>
    <row r="1066" spans="1:13" s="1444" customFormat="1">
      <c r="A1066" s="1305"/>
      <c r="B1066" s="1306"/>
      <c r="C1066" s="1255"/>
      <c r="D1066" s="1445"/>
      <c r="E1066" s="1446"/>
      <c r="F1066" s="1309"/>
      <c r="G1066" s="1255"/>
      <c r="H1066" s="1310"/>
      <c r="I1066" s="1311"/>
      <c r="J1066" s="1312"/>
      <c r="K1066" s="1313"/>
      <c r="L1066" s="1313"/>
      <c r="M1066" s="1255"/>
    </row>
    <row r="1067" spans="1:13" s="1444" customFormat="1">
      <c r="A1067" s="1305"/>
      <c r="B1067" s="1306"/>
      <c r="C1067" s="1255"/>
      <c r="D1067" s="1445"/>
      <c r="E1067" s="1446"/>
      <c r="F1067" s="1309"/>
      <c r="G1067" s="1255"/>
      <c r="H1067" s="1310"/>
      <c r="I1067" s="1311"/>
      <c r="J1067" s="1312"/>
      <c r="K1067" s="1313"/>
      <c r="L1067" s="1313"/>
      <c r="M1067" s="1255"/>
    </row>
    <row r="1068" spans="1:13" s="1444" customFormat="1">
      <c r="A1068" s="1305"/>
      <c r="B1068" s="1306"/>
      <c r="C1068" s="1255"/>
      <c r="D1068" s="1445"/>
      <c r="E1068" s="1446"/>
      <c r="F1068" s="1309"/>
      <c r="G1068" s="1255"/>
      <c r="H1068" s="1310"/>
      <c r="I1068" s="1311"/>
      <c r="J1068" s="1312"/>
      <c r="K1068" s="1313"/>
      <c r="L1068" s="1313"/>
      <c r="M1068" s="1255"/>
    </row>
    <row r="1069" spans="1:13" s="1444" customFormat="1">
      <c r="A1069" s="1305"/>
      <c r="B1069" s="1306"/>
      <c r="C1069" s="1255"/>
      <c r="D1069" s="1445"/>
      <c r="E1069" s="1446"/>
      <c r="F1069" s="1309"/>
      <c r="G1069" s="1255"/>
      <c r="H1069" s="1310"/>
      <c r="I1069" s="1311"/>
      <c r="J1069" s="1312"/>
      <c r="K1069" s="1313"/>
      <c r="L1069" s="1313"/>
      <c r="M1069" s="1255"/>
    </row>
    <row r="1070" spans="1:13" s="1444" customFormat="1">
      <c r="A1070" s="1305"/>
      <c r="B1070" s="1306"/>
      <c r="C1070" s="1255"/>
      <c r="D1070" s="1445"/>
      <c r="E1070" s="1446"/>
      <c r="F1070" s="1309"/>
      <c r="G1070" s="1255"/>
      <c r="H1070" s="1310"/>
      <c r="I1070" s="1311"/>
      <c r="J1070" s="1312"/>
      <c r="K1070" s="1313"/>
      <c r="L1070" s="1313"/>
      <c r="M1070" s="1255"/>
    </row>
    <row r="1071" spans="1:13" s="1444" customFormat="1">
      <c r="A1071" s="1305"/>
      <c r="B1071" s="1306"/>
      <c r="C1071" s="1255"/>
      <c r="D1071" s="1445"/>
      <c r="E1071" s="1446"/>
      <c r="F1071" s="1309"/>
      <c r="G1071" s="1255"/>
      <c r="H1071" s="1310"/>
      <c r="I1071" s="1311"/>
      <c r="J1071" s="1312"/>
      <c r="K1071" s="1313"/>
      <c r="L1071" s="1313"/>
      <c r="M1071" s="1255"/>
    </row>
    <row r="1072" spans="1:13" s="1444" customFormat="1">
      <c r="A1072" s="1305"/>
      <c r="B1072" s="1306"/>
      <c r="C1072" s="1255"/>
      <c r="D1072" s="1445"/>
      <c r="E1072" s="1446"/>
      <c r="F1072" s="1309"/>
      <c r="G1072" s="1255"/>
      <c r="H1072" s="1310"/>
      <c r="I1072" s="1311"/>
      <c r="J1072" s="1312"/>
      <c r="K1072" s="1313"/>
      <c r="L1072" s="1313"/>
      <c r="M1072" s="1255"/>
    </row>
    <row r="1073" spans="1:13" s="1444" customFormat="1">
      <c r="A1073" s="1305"/>
      <c r="B1073" s="1306"/>
      <c r="C1073" s="1255"/>
      <c r="D1073" s="1445"/>
      <c r="E1073" s="1446"/>
      <c r="F1073" s="1309"/>
      <c r="G1073" s="1255"/>
      <c r="H1073" s="1310"/>
      <c r="I1073" s="1311"/>
      <c r="J1073" s="1312"/>
      <c r="K1073" s="1313"/>
      <c r="L1073" s="1313"/>
      <c r="M1073" s="1255"/>
    </row>
    <row r="1074" spans="1:13" s="1444" customFormat="1">
      <c r="A1074" s="1305"/>
      <c r="B1074" s="1306"/>
      <c r="C1074" s="1255"/>
      <c r="D1074" s="1445"/>
      <c r="E1074" s="1446"/>
      <c r="F1074" s="1309"/>
      <c r="G1074" s="1255"/>
      <c r="H1074" s="1310"/>
      <c r="I1074" s="1311"/>
      <c r="J1074" s="1312"/>
      <c r="K1074" s="1313"/>
      <c r="L1074" s="1313"/>
      <c r="M1074" s="1255"/>
    </row>
    <row r="1075" spans="1:13" s="1444" customFormat="1">
      <c r="A1075" s="1305"/>
      <c r="B1075" s="1306"/>
      <c r="C1075" s="1255"/>
      <c r="D1075" s="1445"/>
      <c r="E1075" s="1446"/>
      <c r="F1075" s="1309"/>
      <c r="G1075" s="1255"/>
      <c r="H1075" s="1310"/>
      <c r="I1075" s="1311"/>
      <c r="J1075" s="1312"/>
      <c r="K1075" s="1313"/>
      <c r="L1075" s="1313"/>
      <c r="M1075" s="1255"/>
    </row>
    <row r="1076" spans="1:13" s="1444" customFormat="1">
      <c r="A1076" s="1305"/>
      <c r="B1076" s="1306"/>
      <c r="C1076" s="1255"/>
      <c r="D1076" s="1445"/>
      <c r="E1076" s="1446"/>
      <c r="F1076" s="1309"/>
      <c r="G1076" s="1255"/>
      <c r="H1076" s="1310"/>
      <c r="I1076" s="1311"/>
      <c r="J1076" s="1312"/>
      <c r="K1076" s="1313"/>
      <c r="L1076" s="1313"/>
      <c r="M1076" s="1255"/>
    </row>
    <row r="1077" spans="1:13" s="1444" customFormat="1">
      <c r="A1077" s="1305"/>
      <c r="B1077" s="1306"/>
      <c r="C1077" s="1255"/>
      <c r="D1077" s="1445"/>
      <c r="E1077" s="1446"/>
      <c r="F1077" s="1309"/>
      <c r="G1077" s="1255"/>
      <c r="H1077" s="1310"/>
      <c r="I1077" s="1311"/>
      <c r="J1077" s="1312"/>
      <c r="K1077" s="1313"/>
      <c r="L1077" s="1313"/>
      <c r="M1077" s="1255"/>
    </row>
    <row r="1078" spans="1:13" s="1444" customFormat="1">
      <c r="A1078" s="1305"/>
      <c r="B1078" s="1306"/>
      <c r="C1078" s="1255"/>
      <c r="D1078" s="1445"/>
      <c r="E1078" s="1446"/>
      <c r="F1078" s="1309"/>
      <c r="G1078" s="1255"/>
      <c r="H1078" s="1310"/>
      <c r="I1078" s="1311"/>
      <c r="J1078" s="1312"/>
      <c r="K1078" s="1313"/>
      <c r="L1078" s="1313"/>
      <c r="M1078" s="1255"/>
    </row>
    <row r="1079" spans="1:13" s="1444" customFormat="1">
      <c r="A1079" s="1305"/>
      <c r="B1079" s="1306"/>
      <c r="C1079" s="1255"/>
      <c r="D1079" s="1445"/>
      <c r="E1079" s="1446"/>
      <c r="F1079" s="1309"/>
      <c r="G1079" s="1255"/>
      <c r="H1079" s="1310"/>
      <c r="I1079" s="1311"/>
      <c r="J1079" s="1312"/>
      <c r="K1079" s="1313"/>
      <c r="L1079" s="1313"/>
      <c r="M1079" s="1255"/>
    </row>
    <row r="1080" spans="1:13" s="1444" customFormat="1">
      <c r="A1080" s="1305"/>
      <c r="B1080" s="1306"/>
      <c r="C1080" s="1255"/>
      <c r="D1080" s="1445"/>
      <c r="E1080" s="1446"/>
      <c r="F1080" s="1309"/>
      <c r="G1080" s="1255"/>
      <c r="H1080" s="1310"/>
      <c r="I1080" s="1311"/>
      <c r="J1080" s="1312"/>
      <c r="K1080" s="1313"/>
      <c r="L1080" s="1313"/>
      <c r="M1080" s="1255"/>
    </row>
    <row r="1081" spans="1:13" s="1444" customFormat="1">
      <c r="A1081" s="1305"/>
      <c r="B1081" s="1306"/>
      <c r="C1081" s="1255"/>
      <c r="D1081" s="1445"/>
      <c r="E1081" s="1446"/>
      <c r="F1081" s="1309"/>
      <c r="G1081" s="1255"/>
      <c r="H1081" s="1310"/>
      <c r="I1081" s="1311"/>
      <c r="J1081" s="1312"/>
      <c r="K1081" s="1313"/>
      <c r="L1081" s="1313"/>
      <c r="M1081" s="1255"/>
    </row>
    <row r="1082" spans="1:13" s="1444" customFormat="1">
      <c r="A1082" s="1305"/>
      <c r="B1082" s="1306"/>
      <c r="C1082" s="1255"/>
      <c r="D1082" s="1445"/>
      <c r="E1082" s="1446"/>
      <c r="F1082" s="1309"/>
      <c r="G1082" s="1255"/>
      <c r="H1082" s="1310"/>
      <c r="I1082" s="1311"/>
      <c r="J1082" s="1312"/>
      <c r="K1082" s="1313"/>
      <c r="L1082" s="1313"/>
      <c r="M1082" s="1255"/>
    </row>
    <row r="1083" spans="1:13" s="1444" customFormat="1">
      <c r="A1083" s="1305"/>
      <c r="B1083" s="1306"/>
      <c r="C1083" s="1255"/>
      <c r="D1083" s="1445"/>
      <c r="E1083" s="1446"/>
      <c r="F1083" s="1309"/>
      <c r="G1083" s="1255"/>
      <c r="H1083" s="1310"/>
      <c r="I1083" s="1311"/>
      <c r="J1083" s="1312"/>
      <c r="K1083" s="1313"/>
      <c r="L1083" s="1313"/>
      <c r="M1083" s="1255"/>
    </row>
    <row r="1084" spans="1:13" s="1444" customFormat="1">
      <c r="A1084" s="1305"/>
      <c r="B1084" s="1306"/>
      <c r="C1084" s="1255"/>
      <c r="D1084" s="1445"/>
      <c r="E1084" s="1446"/>
      <c r="F1084" s="1309"/>
      <c r="G1084" s="1255"/>
      <c r="H1084" s="1310"/>
      <c r="I1084" s="1311"/>
      <c r="J1084" s="1312"/>
      <c r="K1084" s="1313"/>
      <c r="L1084" s="1313"/>
      <c r="M1084" s="1255"/>
    </row>
    <row r="1085" spans="1:13" s="1444" customFormat="1">
      <c r="A1085" s="1305"/>
      <c r="B1085" s="1306"/>
      <c r="C1085" s="1255"/>
      <c r="D1085" s="1445"/>
      <c r="E1085" s="1446"/>
      <c r="F1085" s="1309"/>
      <c r="G1085" s="1255"/>
      <c r="H1085" s="1310"/>
      <c r="I1085" s="1311"/>
      <c r="J1085" s="1312"/>
      <c r="K1085" s="1313"/>
      <c r="L1085" s="1313"/>
      <c r="M1085" s="1255"/>
    </row>
    <row r="1086" spans="1:13" s="1444" customFormat="1">
      <c r="A1086" s="1305"/>
      <c r="B1086" s="1306"/>
      <c r="C1086" s="1255"/>
      <c r="D1086" s="1445"/>
      <c r="E1086" s="1446"/>
      <c r="F1086" s="1309"/>
      <c r="G1086" s="1255"/>
      <c r="H1086" s="1310"/>
      <c r="I1086" s="1311"/>
      <c r="J1086" s="1312"/>
      <c r="K1086" s="1313"/>
      <c r="L1086" s="1313"/>
      <c r="M1086" s="1255"/>
    </row>
    <row r="1087" spans="1:13" s="1444" customFormat="1">
      <c r="A1087" s="1305"/>
      <c r="B1087" s="1306"/>
      <c r="C1087" s="1255"/>
      <c r="D1087" s="1445"/>
      <c r="E1087" s="1446"/>
      <c r="F1087" s="1309"/>
      <c r="G1087" s="1255"/>
      <c r="H1087" s="1310"/>
      <c r="I1087" s="1311"/>
      <c r="J1087" s="1312"/>
      <c r="K1087" s="1313"/>
      <c r="L1087" s="1313"/>
      <c r="M1087" s="1255"/>
    </row>
    <row r="1088" spans="1:13" s="1444" customFormat="1">
      <c r="A1088" s="1305"/>
      <c r="B1088" s="1306"/>
      <c r="C1088" s="1255"/>
      <c r="D1088" s="1445"/>
      <c r="E1088" s="1446"/>
      <c r="F1088" s="1309"/>
      <c r="G1088" s="1255"/>
      <c r="H1088" s="1310"/>
      <c r="I1088" s="1311"/>
      <c r="J1088" s="1312"/>
      <c r="K1088" s="1313"/>
      <c r="L1088" s="1313"/>
      <c r="M1088" s="1255"/>
    </row>
    <row r="1089" spans="1:13" s="1444" customFormat="1">
      <c r="A1089" s="1305"/>
      <c r="B1089" s="1306"/>
      <c r="C1089" s="1255"/>
      <c r="D1089" s="1445"/>
      <c r="E1089" s="1446"/>
      <c r="F1089" s="1309"/>
      <c r="G1089" s="1255"/>
      <c r="H1089" s="1310"/>
      <c r="I1089" s="1311"/>
      <c r="J1089" s="1312"/>
      <c r="K1089" s="1313"/>
      <c r="L1089" s="1313"/>
      <c r="M1089" s="1255"/>
    </row>
    <row r="1090" spans="1:13" s="1444" customFormat="1">
      <c r="A1090" s="1305"/>
      <c r="B1090" s="1306"/>
      <c r="C1090" s="1255"/>
      <c r="D1090" s="1445"/>
      <c r="E1090" s="1446"/>
      <c r="F1090" s="1309"/>
      <c r="G1090" s="1255"/>
      <c r="H1090" s="1310"/>
      <c r="I1090" s="1311"/>
      <c r="J1090" s="1312"/>
      <c r="K1090" s="1313"/>
      <c r="L1090" s="1313"/>
      <c r="M1090" s="1255"/>
    </row>
    <row r="1091" spans="1:13" s="1444" customFormat="1">
      <c r="A1091" s="1305"/>
      <c r="B1091" s="1306"/>
      <c r="C1091" s="1255"/>
      <c r="D1091" s="1445"/>
      <c r="E1091" s="1446"/>
      <c r="F1091" s="1309"/>
      <c r="G1091" s="1255"/>
      <c r="H1091" s="1310"/>
      <c r="I1091" s="1311"/>
      <c r="J1091" s="1312"/>
      <c r="K1091" s="1313"/>
      <c r="L1091" s="1313"/>
      <c r="M1091" s="1255"/>
    </row>
    <row r="1092" spans="1:13" s="1444" customFormat="1">
      <c r="A1092" s="1305"/>
      <c r="B1092" s="1306"/>
      <c r="C1092" s="1255"/>
      <c r="D1092" s="1445"/>
      <c r="E1092" s="1446"/>
      <c r="F1092" s="1309"/>
      <c r="G1092" s="1255"/>
      <c r="H1092" s="1310"/>
      <c r="I1092" s="1311"/>
      <c r="J1092" s="1312"/>
      <c r="K1092" s="1313"/>
      <c r="L1092" s="1313"/>
      <c r="M1092" s="1255"/>
    </row>
    <row r="1093" spans="1:13" s="1444" customFormat="1">
      <c r="A1093" s="1305"/>
      <c r="B1093" s="1306"/>
      <c r="C1093" s="1255"/>
      <c r="D1093" s="1445"/>
      <c r="E1093" s="1446"/>
      <c r="F1093" s="1309"/>
      <c r="G1093" s="1255"/>
      <c r="H1093" s="1310"/>
      <c r="I1093" s="1311"/>
      <c r="J1093" s="1312"/>
      <c r="K1093" s="1313"/>
      <c r="L1093" s="1313"/>
      <c r="M1093" s="1255"/>
    </row>
    <row r="1094" spans="1:13" s="1444" customFormat="1">
      <c r="A1094" s="1305"/>
      <c r="B1094" s="1306"/>
      <c r="C1094" s="1255"/>
      <c r="D1094" s="1445"/>
      <c r="E1094" s="1446"/>
      <c r="F1094" s="1309"/>
      <c r="G1094" s="1255"/>
      <c r="H1094" s="1310"/>
      <c r="I1094" s="1311"/>
      <c r="J1094" s="1312"/>
      <c r="K1094" s="1313"/>
      <c r="L1094" s="1313"/>
      <c r="M1094" s="1255"/>
    </row>
    <row r="1095" spans="1:13" s="1444" customFormat="1">
      <c r="A1095" s="1305"/>
      <c r="B1095" s="1306"/>
      <c r="C1095" s="1255"/>
      <c r="D1095" s="1445"/>
      <c r="E1095" s="1446"/>
      <c r="F1095" s="1309"/>
      <c r="G1095" s="1255"/>
      <c r="H1095" s="1310"/>
      <c r="I1095" s="1311"/>
      <c r="J1095" s="1312"/>
      <c r="K1095" s="1313"/>
      <c r="L1095" s="1313"/>
      <c r="M1095" s="1255"/>
    </row>
    <row r="1096" spans="1:13" s="1444" customFormat="1">
      <c r="A1096" s="1305"/>
      <c r="B1096" s="1306"/>
      <c r="C1096" s="1255"/>
      <c r="D1096" s="1445"/>
      <c r="E1096" s="1446"/>
      <c r="F1096" s="1309"/>
      <c r="G1096" s="1255"/>
      <c r="H1096" s="1310"/>
      <c r="I1096" s="1311"/>
      <c r="J1096" s="1312"/>
      <c r="K1096" s="1313"/>
      <c r="L1096" s="1313"/>
      <c r="M1096" s="1255"/>
    </row>
    <row r="1097" spans="1:13" s="1444" customFormat="1">
      <c r="A1097" s="1305"/>
      <c r="B1097" s="1306"/>
      <c r="C1097" s="1255"/>
      <c r="D1097" s="1445"/>
      <c r="E1097" s="1446"/>
      <c r="F1097" s="1309"/>
      <c r="G1097" s="1255"/>
      <c r="H1097" s="1310"/>
      <c r="I1097" s="1311"/>
      <c r="J1097" s="1312"/>
      <c r="K1097" s="1313"/>
      <c r="L1097" s="1313"/>
      <c r="M1097" s="1255"/>
    </row>
    <row r="1098" spans="1:13" s="1444" customFormat="1">
      <c r="A1098" s="1305"/>
      <c r="B1098" s="1306"/>
      <c r="C1098" s="1255"/>
      <c r="D1098" s="1445"/>
      <c r="E1098" s="1446"/>
      <c r="F1098" s="1309"/>
      <c r="G1098" s="1255"/>
      <c r="H1098" s="1310"/>
      <c r="I1098" s="1311"/>
      <c r="J1098" s="1312"/>
      <c r="K1098" s="1313"/>
      <c r="L1098" s="1313"/>
      <c r="M1098" s="1255"/>
    </row>
    <row r="1099" spans="1:13" s="1444" customFormat="1">
      <c r="A1099" s="1305"/>
      <c r="B1099" s="1306"/>
      <c r="C1099" s="1255"/>
      <c r="D1099" s="1445"/>
      <c r="E1099" s="1446"/>
      <c r="F1099" s="1309"/>
      <c r="G1099" s="1255"/>
      <c r="H1099" s="1310"/>
      <c r="I1099" s="1311"/>
      <c r="J1099" s="1312"/>
      <c r="K1099" s="1313"/>
      <c r="L1099" s="1313"/>
      <c r="M1099" s="1255"/>
    </row>
    <row r="1100" spans="1:13" s="1444" customFormat="1">
      <c r="A1100" s="1305"/>
      <c r="B1100" s="1306"/>
      <c r="C1100" s="1255"/>
      <c r="D1100" s="1445"/>
      <c r="E1100" s="1446"/>
      <c r="F1100" s="1309"/>
      <c r="G1100" s="1255"/>
      <c r="H1100" s="1310"/>
      <c r="I1100" s="1311"/>
      <c r="J1100" s="1312"/>
      <c r="K1100" s="1313"/>
      <c r="L1100" s="1313"/>
      <c r="M1100" s="1255"/>
    </row>
    <row r="1101" spans="1:13" s="1444" customFormat="1">
      <c r="A1101" s="1305"/>
      <c r="B1101" s="1306"/>
      <c r="C1101" s="1255"/>
      <c r="D1101" s="1445"/>
      <c r="E1101" s="1446"/>
      <c r="F1101" s="1309"/>
      <c r="G1101" s="1255"/>
      <c r="H1101" s="1310"/>
      <c r="I1101" s="1311"/>
      <c r="J1101" s="1312"/>
      <c r="K1101" s="1313"/>
      <c r="L1101" s="1313"/>
      <c r="M1101" s="1255"/>
    </row>
    <row r="1102" spans="1:13" s="1444" customFormat="1">
      <c r="A1102" s="1305"/>
      <c r="B1102" s="1306"/>
      <c r="C1102" s="1255"/>
      <c r="D1102" s="1445"/>
      <c r="E1102" s="1446"/>
      <c r="F1102" s="1309"/>
      <c r="G1102" s="1255"/>
      <c r="H1102" s="1310"/>
      <c r="I1102" s="1311"/>
      <c r="J1102" s="1312"/>
      <c r="K1102" s="1313"/>
      <c r="L1102" s="1313"/>
      <c r="M1102" s="1255"/>
    </row>
    <row r="1103" spans="1:13" s="1444" customFormat="1">
      <c r="A1103" s="1305"/>
      <c r="B1103" s="1306"/>
      <c r="C1103" s="1255"/>
      <c r="D1103" s="1445"/>
      <c r="E1103" s="1446"/>
      <c r="F1103" s="1309"/>
      <c r="G1103" s="1255"/>
      <c r="H1103" s="1310"/>
      <c r="I1103" s="1311"/>
      <c r="J1103" s="1312"/>
      <c r="K1103" s="1313"/>
      <c r="L1103" s="1313"/>
      <c r="M1103" s="1255"/>
    </row>
    <row r="1104" spans="1:13" s="1444" customFormat="1">
      <c r="A1104" s="1305"/>
      <c r="B1104" s="1306"/>
      <c r="C1104" s="1255"/>
      <c r="D1104" s="1445"/>
      <c r="E1104" s="1446"/>
      <c r="F1104" s="1309"/>
      <c r="G1104" s="1255"/>
      <c r="H1104" s="1310"/>
      <c r="I1104" s="1311"/>
      <c r="J1104" s="1312"/>
      <c r="K1104" s="1313"/>
      <c r="L1104" s="1313"/>
      <c r="M1104" s="1255"/>
    </row>
    <row r="1105" spans="1:13" s="1444" customFormat="1">
      <c r="A1105" s="1305"/>
      <c r="B1105" s="1306"/>
      <c r="C1105" s="1255"/>
      <c r="D1105" s="1445"/>
      <c r="E1105" s="1446"/>
      <c r="F1105" s="1309"/>
      <c r="G1105" s="1255"/>
      <c r="H1105" s="1310"/>
      <c r="I1105" s="1311"/>
      <c r="J1105" s="1312"/>
      <c r="K1105" s="1313"/>
      <c r="L1105" s="1313"/>
      <c r="M1105" s="1255"/>
    </row>
    <row r="1106" spans="1:13" s="1444" customFormat="1">
      <c r="A1106" s="1305"/>
      <c r="B1106" s="1306"/>
      <c r="C1106" s="1255"/>
      <c r="D1106" s="1445"/>
      <c r="E1106" s="1446"/>
      <c r="F1106" s="1309"/>
      <c r="G1106" s="1255"/>
      <c r="H1106" s="1310"/>
      <c r="I1106" s="1311"/>
      <c r="J1106" s="1312"/>
      <c r="K1106" s="1313"/>
      <c r="L1106" s="1313"/>
      <c r="M1106" s="1255"/>
    </row>
    <row r="1107" spans="1:13" s="1444" customFormat="1">
      <c r="A1107" s="1305"/>
      <c r="B1107" s="1306"/>
      <c r="C1107" s="1255"/>
      <c r="D1107" s="1445"/>
      <c r="E1107" s="1446"/>
      <c r="F1107" s="1309"/>
      <c r="G1107" s="1255"/>
      <c r="H1107" s="1310"/>
      <c r="I1107" s="1311"/>
      <c r="J1107" s="1312"/>
      <c r="K1107" s="1313"/>
      <c r="L1107" s="1313"/>
      <c r="M1107" s="1255"/>
    </row>
    <row r="1108" spans="1:13" s="1444" customFormat="1">
      <c r="A1108" s="1305"/>
      <c r="B1108" s="1306"/>
      <c r="C1108" s="1255"/>
      <c r="D1108" s="1445"/>
      <c r="E1108" s="1446"/>
      <c r="F1108" s="1309"/>
      <c r="G1108" s="1255"/>
      <c r="H1108" s="1310"/>
      <c r="I1108" s="1311"/>
      <c r="J1108" s="1312"/>
      <c r="K1108" s="1313"/>
      <c r="L1108" s="1313"/>
      <c r="M1108" s="1255"/>
    </row>
    <row r="1109" spans="1:13" s="1444" customFormat="1">
      <c r="A1109" s="1305"/>
      <c r="B1109" s="1306"/>
      <c r="C1109" s="1255"/>
      <c r="D1109" s="1445"/>
      <c r="E1109" s="1446"/>
      <c r="F1109" s="1309"/>
      <c r="G1109" s="1255"/>
      <c r="H1109" s="1310"/>
      <c r="I1109" s="1311"/>
      <c r="J1109" s="1312"/>
      <c r="K1109" s="1313"/>
      <c r="L1109" s="1313"/>
      <c r="M1109" s="1255"/>
    </row>
    <row r="1110" spans="1:13" s="1444" customFormat="1">
      <c r="A1110" s="1305"/>
      <c r="B1110" s="1306"/>
      <c r="C1110" s="1255"/>
      <c r="D1110" s="1445"/>
      <c r="E1110" s="1446"/>
      <c r="F1110" s="1309"/>
      <c r="G1110" s="1255"/>
      <c r="H1110" s="1310"/>
      <c r="I1110" s="1311"/>
      <c r="J1110" s="1312"/>
      <c r="K1110" s="1313"/>
      <c r="L1110" s="1313"/>
      <c r="M1110" s="1255"/>
    </row>
    <row r="1111" spans="1:13" s="1444" customFormat="1">
      <c r="A1111" s="1305"/>
      <c r="B1111" s="1306"/>
      <c r="C1111" s="1255"/>
      <c r="D1111" s="1445"/>
      <c r="E1111" s="1446"/>
      <c r="F1111" s="1309"/>
      <c r="G1111" s="1255"/>
      <c r="H1111" s="1310"/>
      <c r="I1111" s="1311"/>
      <c r="J1111" s="1312"/>
      <c r="K1111" s="1313"/>
      <c r="L1111" s="1313"/>
      <c r="M1111" s="1255"/>
    </row>
    <row r="1112" spans="1:13" s="1444" customFormat="1">
      <c r="A1112" s="1305"/>
      <c r="B1112" s="1306"/>
      <c r="C1112" s="1255"/>
      <c r="D1112" s="1445"/>
      <c r="E1112" s="1446"/>
      <c r="F1112" s="1309"/>
      <c r="G1112" s="1255"/>
      <c r="H1112" s="1310"/>
      <c r="I1112" s="1311"/>
      <c r="J1112" s="1312"/>
      <c r="K1112" s="1313"/>
      <c r="L1112" s="1313"/>
      <c r="M1112" s="1255"/>
    </row>
    <row r="1113" spans="1:13" s="1444" customFormat="1">
      <c r="A1113" s="1305"/>
      <c r="B1113" s="1306"/>
      <c r="C1113" s="1255"/>
      <c r="D1113" s="1445"/>
      <c r="E1113" s="1446"/>
      <c r="F1113" s="1309"/>
      <c r="G1113" s="1255"/>
      <c r="H1113" s="1310"/>
      <c r="I1113" s="1311"/>
      <c r="J1113" s="1312"/>
      <c r="K1113" s="1313"/>
      <c r="L1113" s="1313"/>
      <c r="M1113" s="1255"/>
    </row>
    <row r="1114" spans="1:13" s="1444" customFormat="1">
      <c r="A1114" s="1305"/>
      <c r="B1114" s="1306"/>
      <c r="C1114" s="1255"/>
      <c r="D1114" s="1445"/>
      <c r="E1114" s="1446"/>
      <c r="F1114" s="1309"/>
      <c r="G1114" s="1255"/>
      <c r="H1114" s="1310"/>
      <c r="I1114" s="1311"/>
      <c r="J1114" s="1312"/>
      <c r="K1114" s="1313"/>
      <c r="L1114" s="1313"/>
      <c r="M1114" s="1255"/>
    </row>
    <row r="1115" spans="1:13" s="1444" customFormat="1">
      <c r="A1115" s="1305"/>
      <c r="B1115" s="1306"/>
      <c r="C1115" s="1255"/>
      <c r="D1115" s="1445"/>
      <c r="E1115" s="1446"/>
      <c r="F1115" s="1309"/>
      <c r="G1115" s="1255"/>
      <c r="H1115" s="1310"/>
      <c r="I1115" s="1311"/>
      <c r="J1115" s="1312"/>
      <c r="K1115" s="1313"/>
      <c r="L1115" s="1313"/>
      <c r="M1115" s="1255"/>
    </row>
    <row r="1116" spans="1:13" s="1444" customFormat="1">
      <c r="A1116" s="1305"/>
      <c r="B1116" s="1306"/>
      <c r="C1116" s="1255"/>
      <c r="D1116" s="1445"/>
      <c r="E1116" s="1446"/>
      <c r="F1116" s="1309"/>
      <c r="G1116" s="1255"/>
      <c r="H1116" s="1310"/>
      <c r="I1116" s="1311"/>
      <c r="J1116" s="1312"/>
      <c r="K1116" s="1313"/>
      <c r="L1116" s="1313"/>
      <c r="M1116" s="1255"/>
    </row>
    <row r="1117" spans="1:13" s="1444" customFormat="1">
      <c r="A1117" s="1305"/>
      <c r="B1117" s="1306"/>
      <c r="C1117" s="1255"/>
      <c r="D1117" s="1445"/>
      <c r="E1117" s="1446"/>
      <c r="F1117" s="1309"/>
      <c r="G1117" s="1255"/>
      <c r="H1117" s="1310"/>
      <c r="I1117" s="1311"/>
      <c r="J1117" s="1312"/>
      <c r="K1117" s="1313"/>
      <c r="L1117" s="1313"/>
      <c r="M1117" s="1255"/>
    </row>
    <row r="1118" spans="1:13" s="1444" customFormat="1">
      <c r="A1118" s="1305"/>
      <c r="B1118" s="1306"/>
      <c r="C1118" s="1255"/>
      <c r="D1118" s="1445"/>
      <c r="E1118" s="1446"/>
      <c r="F1118" s="1309"/>
      <c r="G1118" s="1255"/>
      <c r="H1118" s="1310"/>
      <c r="I1118" s="1311"/>
      <c r="J1118" s="1312"/>
      <c r="K1118" s="1313"/>
      <c r="L1118" s="1313"/>
      <c r="M1118" s="1255"/>
    </row>
    <row r="1119" spans="1:13" s="1444" customFormat="1">
      <c r="A1119" s="1305"/>
      <c r="B1119" s="1306"/>
      <c r="C1119" s="1255"/>
      <c r="D1119" s="1445"/>
      <c r="E1119" s="1446"/>
      <c r="F1119" s="1309"/>
      <c r="G1119" s="1255"/>
      <c r="H1119" s="1310"/>
      <c r="I1119" s="1311"/>
      <c r="J1119" s="1312"/>
      <c r="K1119" s="1313"/>
      <c r="L1119" s="1313"/>
      <c r="M1119" s="1255"/>
    </row>
    <row r="1120" spans="1:13" s="1444" customFormat="1">
      <c r="A1120" s="1305"/>
      <c r="B1120" s="1306"/>
      <c r="C1120" s="1255"/>
      <c r="D1120" s="1445"/>
      <c r="E1120" s="1446"/>
      <c r="F1120" s="1309"/>
      <c r="G1120" s="1255"/>
      <c r="H1120" s="1310"/>
      <c r="I1120" s="1311"/>
      <c r="J1120" s="1312"/>
      <c r="K1120" s="1313"/>
      <c r="L1120" s="1313"/>
      <c r="M1120" s="1255"/>
    </row>
    <row r="1121" spans="1:13" s="1444" customFormat="1">
      <c r="A1121" s="1305"/>
      <c r="B1121" s="1306"/>
      <c r="C1121" s="1255"/>
      <c r="D1121" s="1445"/>
      <c r="E1121" s="1446"/>
      <c r="F1121" s="1309"/>
      <c r="G1121" s="1255"/>
      <c r="H1121" s="1310"/>
      <c r="I1121" s="1311"/>
      <c r="J1121" s="1312"/>
      <c r="K1121" s="1313"/>
      <c r="L1121" s="1313"/>
      <c r="M1121" s="1255"/>
    </row>
    <row r="1122" spans="1:13" s="1444" customFormat="1">
      <c r="A1122" s="1305"/>
      <c r="B1122" s="1306"/>
      <c r="C1122" s="1255"/>
      <c r="D1122" s="1445"/>
      <c r="E1122" s="1446"/>
      <c r="F1122" s="1309"/>
      <c r="G1122" s="1255"/>
      <c r="H1122" s="1310"/>
      <c r="I1122" s="1311"/>
      <c r="J1122" s="1312"/>
      <c r="K1122" s="1313"/>
      <c r="L1122" s="1313"/>
      <c r="M1122" s="1255"/>
    </row>
    <row r="1123" spans="1:13" s="1444" customFormat="1">
      <c r="A1123" s="1305"/>
      <c r="B1123" s="1306"/>
      <c r="C1123" s="1255"/>
      <c r="D1123" s="1445"/>
      <c r="E1123" s="1446"/>
      <c r="F1123" s="1309"/>
      <c r="G1123" s="1255"/>
      <c r="H1123" s="1310"/>
      <c r="I1123" s="1311"/>
      <c r="J1123" s="1312"/>
      <c r="K1123" s="1313"/>
      <c r="L1123" s="1313"/>
      <c r="M1123" s="1255"/>
    </row>
    <row r="1124" spans="1:13" s="1444" customFormat="1">
      <c r="A1124" s="1305"/>
      <c r="B1124" s="1306"/>
      <c r="C1124" s="1255"/>
      <c r="D1124" s="1445"/>
      <c r="E1124" s="1446"/>
      <c r="F1124" s="1309"/>
      <c r="G1124" s="1255"/>
      <c r="H1124" s="1310"/>
      <c r="I1124" s="1311"/>
      <c r="J1124" s="1312"/>
      <c r="K1124" s="1313"/>
      <c r="L1124" s="1313"/>
      <c r="M1124" s="1255"/>
    </row>
    <row r="1125" spans="1:13" s="1444" customFormat="1">
      <c r="A1125" s="1305"/>
      <c r="B1125" s="1306"/>
      <c r="C1125" s="1255"/>
      <c r="D1125" s="1445"/>
      <c r="E1125" s="1446"/>
      <c r="F1125" s="1309"/>
      <c r="G1125" s="1255"/>
      <c r="H1125" s="1310"/>
      <c r="I1125" s="1311"/>
      <c r="J1125" s="1312"/>
      <c r="K1125" s="1313"/>
      <c r="L1125" s="1313"/>
      <c r="M1125" s="1255"/>
    </row>
    <row r="1126" spans="1:13" s="1444" customFormat="1">
      <c r="A1126" s="1305"/>
      <c r="B1126" s="1306"/>
      <c r="C1126" s="1255"/>
      <c r="D1126" s="1445"/>
      <c r="E1126" s="1446"/>
      <c r="F1126" s="1309"/>
      <c r="G1126" s="1255"/>
      <c r="H1126" s="1310"/>
      <c r="I1126" s="1311"/>
      <c r="J1126" s="1312"/>
      <c r="K1126" s="1313"/>
      <c r="L1126" s="1313"/>
      <c r="M1126" s="1255"/>
    </row>
    <row r="1127" spans="1:13" s="1444" customFormat="1">
      <c r="A1127" s="1305"/>
      <c r="B1127" s="1306"/>
      <c r="C1127" s="1255"/>
      <c r="D1127" s="1445"/>
      <c r="E1127" s="1446"/>
      <c r="F1127" s="1309"/>
      <c r="G1127" s="1255"/>
      <c r="H1127" s="1310"/>
      <c r="I1127" s="1311"/>
      <c r="J1127" s="1312"/>
      <c r="K1127" s="1313"/>
      <c r="L1127" s="1313"/>
      <c r="M1127" s="1255"/>
    </row>
    <row r="1128" spans="1:13" s="1444" customFormat="1">
      <c r="A1128" s="1305"/>
      <c r="B1128" s="1306"/>
      <c r="C1128" s="1255"/>
      <c r="D1128" s="1445"/>
      <c r="E1128" s="1446"/>
      <c r="F1128" s="1309"/>
      <c r="G1128" s="1255"/>
      <c r="H1128" s="1310"/>
      <c r="I1128" s="1311"/>
      <c r="J1128" s="1312"/>
      <c r="K1128" s="1313"/>
      <c r="L1128" s="1313"/>
      <c r="M1128" s="1255"/>
    </row>
    <row r="1129" spans="1:13" s="1444" customFormat="1">
      <c r="A1129" s="1305"/>
      <c r="B1129" s="1306"/>
      <c r="C1129" s="1255"/>
      <c r="D1129" s="1445"/>
      <c r="E1129" s="1446"/>
      <c r="F1129" s="1309"/>
      <c r="G1129" s="1255"/>
      <c r="H1129" s="1310"/>
      <c r="I1129" s="1311"/>
      <c r="J1129" s="1312"/>
      <c r="K1129" s="1313"/>
      <c r="L1129" s="1313"/>
      <c r="M1129" s="1255"/>
    </row>
    <row r="1130" spans="1:13" s="1444" customFormat="1">
      <c r="A1130" s="1305"/>
      <c r="B1130" s="1306"/>
      <c r="C1130" s="1255"/>
      <c r="D1130" s="1445"/>
      <c r="E1130" s="1446"/>
      <c r="F1130" s="1309"/>
      <c r="G1130" s="1255"/>
      <c r="H1130" s="1310"/>
      <c r="I1130" s="1311"/>
      <c r="J1130" s="1312"/>
      <c r="K1130" s="1313"/>
      <c r="L1130" s="1313"/>
      <c r="M1130" s="1255"/>
    </row>
    <row r="1131" spans="1:13" s="1444" customFormat="1">
      <c r="A1131" s="1305"/>
      <c r="B1131" s="1306"/>
      <c r="C1131" s="1255"/>
      <c r="D1131" s="1445"/>
      <c r="E1131" s="1446"/>
      <c r="F1131" s="1309"/>
      <c r="G1131" s="1255"/>
      <c r="H1131" s="1310"/>
      <c r="I1131" s="1311"/>
      <c r="J1131" s="1312"/>
      <c r="K1131" s="1313"/>
      <c r="L1131" s="1313"/>
      <c r="M1131" s="1255"/>
    </row>
    <row r="1132" spans="1:13" s="1444" customFormat="1">
      <c r="A1132" s="1305"/>
      <c r="B1132" s="1306"/>
      <c r="C1132" s="1255"/>
      <c r="D1132" s="1445"/>
      <c r="E1132" s="1446"/>
      <c r="F1132" s="1309"/>
      <c r="G1132" s="1255"/>
      <c r="H1132" s="1310"/>
      <c r="I1132" s="1311"/>
      <c r="J1132" s="1312"/>
      <c r="K1132" s="1313"/>
      <c r="L1132" s="1313"/>
      <c r="M1132" s="1255"/>
    </row>
    <row r="1133" spans="1:13" s="1444" customFormat="1">
      <c r="A1133" s="1305"/>
      <c r="B1133" s="1306"/>
      <c r="C1133" s="1255"/>
      <c r="D1133" s="1445"/>
      <c r="E1133" s="1446"/>
      <c r="F1133" s="1309"/>
      <c r="G1133" s="1255"/>
      <c r="H1133" s="1310"/>
      <c r="I1133" s="1311"/>
      <c r="J1133" s="1312"/>
      <c r="K1133" s="1313"/>
      <c r="L1133" s="1313"/>
      <c r="M1133" s="1255"/>
    </row>
    <row r="1134" spans="1:13" s="1444" customFormat="1">
      <c r="A1134" s="1305"/>
      <c r="B1134" s="1306"/>
      <c r="C1134" s="1255"/>
      <c r="D1134" s="1445"/>
      <c r="E1134" s="1446"/>
      <c r="F1134" s="1309"/>
      <c r="G1134" s="1255"/>
      <c r="H1134" s="1310"/>
      <c r="I1134" s="1311"/>
      <c r="J1134" s="1312"/>
      <c r="K1134" s="1313"/>
      <c r="L1134" s="1313"/>
      <c r="M1134" s="1255"/>
    </row>
    <row r="1135" spans="1:13" s="1444" customFormat="1">
      <c r="A1135" s="1305"/>
      <c r="B1135" s="1306"/>
      <c r="C1135" s="1255"/>
      <c r="D1135" s="1445"/>
      <c r="E1135" s="1446"/>
      <c r="F1135" s="1309"/>
      <c r="G1135" s="1255"/>
      <c r="H1135" s="1310"/>
      <c r="I1135" s="1311"/>
      <c r="J1135" s="1312"/>
      <c r="K1135" s="1313"/>
      <c r="L1135" s="1313"/>
      <c r="M1135" s="1255"/>
    </row>
    <row r="1136" spans="1:13" s="1444" customFormat="1">
      <c r="A1136" s="1305"/>
      <c r="B1136" s="1306"/>
      <c r="C1136" s="1255"/>
      <c r="D1136" s="1445"/>
      <c r="E1136" s="1446"/>
      <c r="F1136" s="1309"/>
      <c r="G1136" s="1255"/>
      <c r="H1136" s="1310"/>
      <c r="I1136" s="1311"/>
      <c r="J1136" s="1312"/>
      <c r="K1136" s="1313"/>
      <c r="L1136" s="1313"/>
      <c r="M1136" s="1255"/>
    </row>
    <row r="1137" spans="1:13" s="1444" customFormat="1">
      <c r="A1137" s="1305"/>
      <c r="B1137" s="1306"/>
      <c r="C1137" s="1255"/>
      <c r="D1137" s="1445"/>
      <c r="E1137" s="1446"/>
      <c r="F1137" s="1309"/>
      <c r="G1137" s="1255"/>
      <c r="H1137" s="1310"/>
      <c r="I1137" s="1311"/>
      <c r="J1137" s="1312"/>
      <c r="K1137" s="1313"/>
      <c r="L1137" s="1313"/>
      <c r="M1137" s="1255"/>
    </row>
    <row r="1138" spans="1:13" s="1444" customFormat="1">
      <c r="A1138" s="1305"/>
      <c r="B1138" s="1306"/>
      <c r="C1138" s="1255"/>
      <c r="D1138" s="1445"/>
      <c r="E1138" s="1446"/>
      <c r="F1138" s="1309"/>
      <c r="G1138" s="1255"/>
      <c r="H1138" s="1310"/>
      <c r="I1138" s="1311"/>
      <c r="J1138" s="1312"/>
      <c r="K1138" s="1313"/>
      <c r="L1138" s="1313"/>
      <c r="M1138" s="1255"/>
    </row>
    <row r="1139" spans="1:13" s="1444" customFormat="1">
      <c r="A1139" s="1305"/>
      <c r="B1139" s="1306"/>
      <c r="C1139" s="1255"/>
      <c r="D1139" s="1445"/>
      <c r="E1139" s="1446"/>
      <c r="F1139" s="1309"/>
      <c r="G1139" s="1255"/>
      <c r="H1139" s="1310"/>
      <c r="I1139" s="1311"/>
      <c r="J1139" s="1312"/>
      <c r="K1139" s="1313"/>
      <c r="L1139" s="1313"/>
      <c r="M1139" s="1255"/>
    </row>
    <row r="1140" spans="1:13" s="1444" customFormat="1">
      <c r="A1140" s="1305"/>
      <c r="B1140" s="1306"/>
      <c r="C1140" s="1255"/>
      <c r="D1140" s="1445"/>
      <c r="E1140" s="1446"/>
      <c r="F1140" s="1309"/>
      <c r="G1140" s="1255"/>
      <c r="H1140" s="1310"/>
      <c r="I1140" s="1311"/>
      <c r="J1140" s="1312"/>
      <c r="K1140" s="1313"/>
      <c r="L1140" s="1313"/>
      <c r="M1140" s="1255"/>
    </row>
    <row r="1141" spans="1:13" s="1444" customFormat="1">
      <c r="A1141" s="1305"/>
      <c r="B1141" s="1306"/>
      <c r="C1141" s="1255"/>
      <c r="D1141" s="1445"/>
      <c r="E1141" s="1446"/>
      <c r="F1141" s="1309"/>
      <c r="G1141" s="1255"/>
      <c r="H1141" s="1310"/>
      <c r="I1141" s="1311"/>
      <c r="J1141" s="1312"/>
      <c r="K1141" s="1313"/>
      <c r="L1141" s="1313"/>
      <c r="M1141" s="1255"/>
    </row>
    <row r="1142" spans="1:13" s="1444" customFormat="1">
      <c r="A1142" s="1305"/>
      <c r="B1142" s="1306"/>
      <c r="C1142" s="1255"/>
      <c r="D1142" s="1445"/>
      <c r="E1142" s="1446"/>
      <c r="F1142" s="1309"/>
      <c r="G1142" s="1255"/>
      <c r="H1142" s="1310"/>
      <c r="I1142" s="1311"/>
      <c r="J1142" s="1312"/>
      <c r="K1142" s="1313"/>
      <c r="L1142" s="1313"/>
      <c r="M1142" s="1255"/>
    </row>
    <row r="1143" spans="1:13" s="1444" customFormat="1">
      <c r="A1143" s="1305"/>
      <c r="B1143" s="1306"/>
      <c r="C1143" s="1255"/>
      <c r="D1143" s="1445"/>
      <c r="E1143" s="1446"/>
      <c r="F1143" s="1309"/>
      <c r="G1143" s="1255"/>
      <c r="H1143" s="1310"/>
      <c r="I1143" s="1311"/>
      <c r="J1143" s="1312"/>
      <c r="K1143" s="1313"/>
      <c r="L1143" s="1313"/>
      <c r="M1143" s="1255"/>
    </row>
    <row r="1144" spans="1:13" s="1444" customFormat="1">
      <c r="A1144" s="1305"/>
      <c r="B1144" s="1306"/>
      <c r="C1144" s="1255"/>
      <c r="D1144" s="1445"/>
      <c r="E1144" s="1446"/>
      <c r="F1144" s="1309"/>
      <c r="G1144" s="1255"/>
      <c r="H1144" s="1310"/>
      <c r="I1144" s="1311"/>
      <c r="J1144" s="1312"/>
      <c r="K1144" s="1313"/>
      <c r="L1144" s="1313"/>
      <c r="M1144" s="1255"/>
    </row>
    <row r="1145" spans="1:13" s="1444" customFormat="1">
      <c r="A1145" s="1305"/>
      <c r="B1145" s="1306"/>
      <c r="C1145" s="1255"/>
      <c r="D1145" s="1445"/>
      <c r="E1145" s="1446"/>
      <c r="F1145" s="1309"/>
      <c r="G1145" s="1255"/>
      <c r="H1145" s="1310"/>
      <c r="I1145" s="1311"/>
      <c r="J1145" s="1312"/>
      <c r="K1145" s="1313"/>
      <c r="L1145" s="1313"/>
      <c r="M1145" s="1255"/>
    </row>
    <row r="1146" spans="1:13" s="1444" customFormat="1">
      <c r="A1146" s="1305"/>
      <c r="B1146" s="1306"/>
      <c r="C1146" s="1255"/>
      <c r="D1146" s="1445"/>
      <c r="E1146" s="1446"/>
      <c r="F1146" s="1309"/>
      <c r="G1146" s="1255"/>
      <c r="H1146" s="1310"/>
      <c r="I1146" s="1311"/>
      <c r="J1146" s="1312"/>
      <c r="K1146" s="1313"/>
      <c r="L1146" s="1313"/>
      <c r="M1146" s="1255"/>
    </row>
    <row r="1147" spans="1:13" s="1444" customFormat="1">
      <c r="A1147" s="1305"/>
      <c r="B1147" s="1306"/>
      <c r="C1147" s="1255"/>
      <c r="D1147" s="1445"/>
      <c r="E1147" s="1446"/>
      <c r="F1147" s="1309"/>
      <c r="G1147" s="1255"/>
      <c r="H1147" s="1310"/>
      <c r="I1147" s="1311"/>
      <c r="J1147" s="1312"/>
      <c r="K1147" s="1313"/>
      <c r="L1147" s="1313"/>
      <c r="M1147" s="1255"/>
    </row>
    <row r="1148" spans="1:13" s="1444" customFormat="1">
      <c r="A1148" s="1305"/>
      <c r="B1148" s="1306"/>
      <c r="C1148" s="1255"/>
      <c r="D1148" s="1445"/>
      <c r="E1148" s="1446"/>
      <c r="F1148" s="1309"/>
      <c r="G1148" s="1255"/>
      <c r="H1148" s="1310"/>
      <c r="I1148" s="1311"/>
      <c r="J1148" s="1312"/>
      <c r="K1148" s="1313"/>
      <c r="L1148" s="1313"/>
      <c r="M1148" s="1255"/>
    </row>
    <row r="1149" spans="1:13" s="1444" customFormat="1">
      <c r="A1149" s="1305"/>
      <c r="B1149" s="1306"/>
      <c r="C1149" s="1255"/>
      <c r="D1149" s="1445"/>
      <c r="E1149" s="1446"/>
      <c r="F1149" s="1309"/>
      <c r="G1149" s="1255"/>
      <c r="H1149" s="1310"/>
      <c r="I1149" s="1311"/>
      <c r="J1149" s="1312"/>
      <c r="K1149" s="1313"/>
      <c r="L1149" s="1313"/>
      <c r="M1149" s="1255"/>
    </row>
    <row r="1150" spans="1:13" s="1444" customFormat="1">
      <c r="A1150" s="1305"/>
      <c r="B1150" s="1306"/>
      <c r="C1150" s="1255"/>
      <c r="D1150" s="1445"/>
      <c r="E1150" s="1446"/>
      <c r="F1150" s="1309"/>
      <c r="G1150" s="1255"/>
      <c r="H1150" s="1310"/>
      <c r="I1150" s="1311"/>
      <c r="J1150" s="1312"/>
      <c r="K1150" s="1313"/>
      <c r="L1150" s="1313"/>
      <c r="M1150" s="1255"/>
    </row>
    <row r="1151" spans="1:13" s="1444" customFormat="1">
      <c r="A1151" s="1305"/>
      <c r="B1151" s="1306"/>
      <c r="C1151" s="1255"/>
      <c r="D1151" s="1445"/>
      <c r="E1151" s="1446"/>
      <c r="F1151" s="1309"/>
      <c r="G1151" s="1255"/>
      <c r="H1151" s="1310"/>
      <c r="I1151" s="1311"/>
      <c r="J1151" s="1312"/>
      <c r="K1151" s="1313"/>
      <c r="L1151" s="1313"/>
      <c r="M1151" s="1255"/>
    </row>
    <row r="1152" spans="1:13" s="1444" customFormat="1">
      <c r="A1152" s="1305"/>
      <c r="B1152" s="1306"/>
      <c r="C1152" s="1255"/>
      <c r="D1152" s="1445"/>
      <c r="E1152" s="1446"/>
      <c r="F1152" s="1309"/>
      <c r="G1152" s="1255"/>
      <c r="H1152" s="1310"/>
      <c r="I1152" s="1311"/>
      <c r="J1152" s="1312"/>
      <c r="K1152" s="1313"/>
      <c r="L1152" s="1313"/>
      <c r="M1152" s="1255"/>
    </row>
    <row r="1153" spans="1:13" s="1444" customFormat="1">
      <c r="A1153" s="1305"/>
      <c r="B1153" s="1306"/>
      <c r="C1153" s="1255"/>
      <c r="D1153" s="1445"/>
      <c r="E1153" s="1446"/>
      <c r="F1153" s="1309"/>
      <c r="G1153" s="1255"/>
      <c r="H1153" s="1310"/>
      <c r="I1153" s="1311"/>
      <c r="J1153" s="1312"/>
      <c r="K1153" s="1313"/>
      <c r="L1153" s="1313"/>
      <c r="M1153" s="1255"/>
    </row>
    <row r="1154" spans="1:13" s="1444" customFormat="1">
      <c r="A1154" s="1305"/>
      <c r="B1154" s="1306"/>
      <c r="C1154" s="1255"/>
      <c r="D1154" s="1445"/>
      <c r="E1154" s="1446"/>
      <c r="F1154" s="1309"/>
      <c r="G1154" s="1255"/>
      <c r="H1154" s="1310"/>
      <c r="I1154" s="1311"/>
      <c r="J1154" s="1312"/>
      <c r="K1154" s="1313"/>
      <c r="L1154" s="1313"/>
      <c r="M1154" s="1255"/>
    </row>
    <row r="1155" spans="1:13" s="1444" customFormat="1">
      <c r="A1155" s="1305"/>
      <c r="B1155" s="1306"/>
      <c r="C1155" s="1255"/>
      <c r="D1155" s="1445"/>
      <c r="E1155" s="1446"/>
      <c r="F1155" s="1309"/>
      <c r="G1155" s="1255"/>
      <c r="H1155" s="1310"/>
      <c r="I1155" s="1311"/>
      <c r="J1155" s="1312"/>
      <c r="K1155" s="1313"/>
      <c r="L1155" s="1313"/>
      <c r="M1155" s="1255"/>
    </row>
    <row r="1156" spans="1:13" s="1444" customFormat="1">
      <c r="A1156" s="1305"/>
      <c r="B1156" s="1306"/>
      <c r="C1156" s="1255"/>
      <c r="D1156" s="1445"/>
      <c r="E1156" s="1446"/>
      <c r="F1156" s="1309"/>
      <c r="G1156" s="1255"/>
      <c r="H1156" s="1310"/>
      <c r="I1156" s="1311"/>
      <c r="J1156" s="1312"/>
      <c r="K1156" s="1313"/>
      <c r="L1156" s="1313"/>
      <c r="M1156" s="1255"/>
    </row>
    <row r="1157" spans="1:13" s="1444" customFormat="1">
      <c r="A1157" s="1305"/>
      <c r="B1157" s="1306"/>
      <c r="C1157" s="1255"/>
      <c r="D1157" s="1445"/>
      <c r="E1157" s="1446"/>
      <c r="F1157" s="1309"/>
      <c r="G1157" s="1255"/>
      <c r="H1157" s="1310"/>
      <c r="I1157" s="1311"/>
      <c r="J1157" s="1312"/>
      <c r="K1157" s="1313"/>
      <c r="L1157" s="1313"/>
      <c r="M1157" s="1255"/>
    </row>
    <row r="1158" spans="1:13" s="1444" customFormat="1">
      <c r="A1158" s="1305"/>
      <c r="B1158" s="1306"/>
      <c r="C1158" s="1255"/>
      <c r="D1158" s="1445"/>
      <c r="E1158" s="1446"/>
      <c r="F1158" s="1309"/>
      <c r="G1158" s="1255"/>
      <c r="H1158" s="1310"/>
      <c r="I1158" s="1311"/>
      <c r="J1158" s="1312"/>
      <c r="K1158" s="1313"/>
      <c r="L1158" s="1313"/>
      <c r="M1158" s="1255"/>
    </row>
    <row r="1159" spans="1:13" s="1444" customFormat="1">
      <c r="A1159" s="1305"/>
      <c r="B1159" s="1306"/>
      <c r="C1159" s="1255"/>
      <c r="D1159" s="1445"/>
      <c r="E1159" s="1446"/>
      <c r="F1159" s="1309"/>
      <c r="G1159" s="1255"/>
      <c r="H1159" s="1310"/>
      <c r="I1159" s="1311"/>
      <c r="J1159" s="1312"/>
      <c r="K1159" s="1313"/>
      <c r="L1159" s="1313"/>
      <c r="M1159" s="1255"/>
    </row>
    <row r="1160" spans="1:13" s="1444" customFormat="1">
      <c r="A1160" s="1305"/>
      <c r="B1160" s="1306"/>
      <c r="C1160" s="1255"/>
      <c r="D1160" s="1445"/>
      <c r="E1160" s="1446"/>
      <c r="F1160" s="1309"/>
      <c r="G1160" s="1255"/>
      <c r="H1160" s="1310"/>
      <c r="I1160" s="1311"/>
      <c r="J1160" s="1312"/>
      <c r="K1160" s="1313"/>
      <c r="L1160" s="1313"/>
      <c r="M1160" s="1255"/>
    </row>
    <row r="1161" spans="1:13" s="1444" customFormat="1">
      <c r="A1161" s="1305"/>
      <c r="B1161" s="1306"/>
      <c r="C1161" s="1255"/>
      <c r="D1161" s="1445"/>
      <c r="E1161" s="1446"/>
      <c r="F1161" s="1309"/>
      <c r="G1161" s="1255"/>
      <c r="H1161" s="1310"/>
      <c r="I1161" s="1311"/>
      <c r="J1161" s="1312"/>
      <c r="K1161" s="1313"/>
      <c r="L1161" s="1313"/>
      <c r="M1161" s="1255"/>
    </row>
    <row r="1162" spans="1:13" s="1444" customFormat="1">
      <c r="A1162" s="1305"/>
      <c r="B1162" s="1306"/>
      <c r="C1162" s="1255"/>
      <c r="D1162" s="1445"/>
      <c r="E1162" s="1446"/>
      <c r="F1162" s="1309"/>
      <c r="G1162" s="1255"/>
      <c r="H1162" s="1310"/>
      <c r="I1162" s="1311"/>
      <c r="J1162" s="1312"/>
      <c r="K1162" s="1313"/>
      <c r="L1162" s="1313"/>
      <c r="M1162" s="1255"/>
    </row>
    <row r="1163" spans="1:13" s="1444" customFormat="1">
      <c r="A1163" s="1305"/>
      <c r="B1163" s="1306"/>
      <c r="C1163" s="1255"/>
      <c r="D1163" s="1445"/>
      <c r="E1163" s="1446"/>
      <c r="F1163" s="1309"/>
      <c r="G1163" s="1255"/>
      <c r="H1163" s="1310"/>
      <c r="I1163" s="1311"/>
      <c r="J1163" s="1312"/>
      <c r="K1163" s="1313"/>
      <c r="L1163" s="1313"/>
      <c r="M1163" s="1255"/>
    </row>
    <row r="1164" spans="1:13" s="1444" customFormat="1">
      <c r="A1164" s="1305"/>
      <c r="B1164" s="1306"/>
      <c r="C1164" s="1255"/>
      <c r="D1164" s="1445"/>
      <c r="E1164" s="1446"/>
      <c r="F1164" s="1309"/>
      <c r="G1164" s="1255"/>
      <c r="H1164" s="1310"/>
      <c r="I1164" s="1311"/>
      <c r="J1164" s="1312"/>
      <c r="K1164" s="1313"/>
      <c r="L1164" s="1313"/>
      <c r="M1164" s="1255"/>
    </row>
    <row r="1165" spans="1:13" s="1444" customFormat="1">
      <c r="A1165" s="1305"/>
      <c r="B1165" s="1306"/>
      <c r="C1165" s="1255"/>
      <c r="D1165" s="1445"/>
      <c r="E1165" s="1446"/>
      <c r="F1165" s="1309"/>
      <c r="G1165" s="1255"/>
      <c r="H1165" s="1310"/>
      <c r="I1165" s="1311"/>
      <c r="J1165" s="1312"/>
      <c r="K1165" s="1313"/>
      <c r="L1165" s="1313"/>
      <c r="M1165" s="1255"/>
    </row>
    <row r="1166" spans="1:13" s="1444" customFormat="1">
      <c r="A1166" s="1305"/>
      <c r="B1166" s="1306"/>
      <c r="C1166" s="1255"/>
      <c r="D1166" s="1445"/>
      <c r="E1166" s="1446"/>
      <c r="F1166" s="1309"/>
      <c r="G1166" s="1255"/>
      <c r="H1166" s="1310"/>
      <c r="I1166" s="1311"/>
      <c r="J1166" s="1312"/>
      <c r="K1166" s="1313"/>
      <c r="L1166" s="1313"/>
      <c r="M1166" s="1255"/>
    </row>
    <row r="1167" spans="1:13" s="1444" customFormat="1">
      <c r="A1167" s="1305"/>
      <c r="B1167" s="1306"/>
      <c r="C1167" s="1255"/>
      <c r="D1167" s="1445"/>
      <c r="E1167" s="1446"/>
      <c r="F1167" s="1309"/>
      <c r="G1167" s="1255"/>
      <c r="H1167" s="1310"/>
      <c r="I1167" s="1311"/>
      <c r="J1167" s="1312"/>
      <c r="K1167" s="1313"/>
      <c r="L1167" s="1313"/>
      <c r="M1167" s="1255"/>
    </row>
    <row r="1168" spans="1:13" s="1444" customFormat="1">
      <c r="A1168" s="1305"/>
      <c r="B1168" s="1306"/>
      <c r="C1168" s="1255"/>
      <c r="D1168" s="1445"/>
      <c r="E1168" s="1446"/>
      <c r="F1168" s="1309"/>
      <c r="G1168" s="1255"/>
      <c r="H1168" s="1310"/>
      <c r="I1168" s="1311"/>
      <c r="J1168" s="1312"/>
      <c r="K1168" s="1313"/>
      <c r="L1168" s="1313"/>
      <c r="M1168" s="1255"/>
    </row>
    <row r="1169" spans="1:13" s="1444" customFormat="1">
      <c r="A1169" s="1305"/>
      <c r="B1169" s="1306"/>
      <c r="C1169" s="1255"/>
      <c r="D1169" s="1445"/>
      <c r="E1169" s="1446"/>
      <c r="F1169" s="1309"/>
      <c r="G1169" s="1255"/>
      <c r="H1169" s="1310"/>
      <c r="I1169" s="1311"/>
      <c r="J1169" s="1312"/>
      <c r="K1169" s="1313"/>
      <c r="L1169" s="1313"/>
      <c r="M1169" s="1255"/>
    </row>
    <row r="1170" spans="1:13" s="1444" customFormat="1">
      <c r="A1170" s="1305"/>
      <c r="B1170" s="1306"/>
      <c r="C1170" s="1255"/>
      <c r="D1170" s="1445"/>
      <c r="E1170" s="1446"/>
      <c r="F1170" s="1309"/>
      <c r="G1170" s="1255"/>
      <c r="H1170" s="1310"/>
      <c r="I1170" s="1311"/>
      <c r="J1170" s="1312"/>
      <c r="K1170" s="1313"/>
      <c r="L1170" s="1313"/>
      <c r="M1170" s="1255"/>
    </row>
    <row r="1171" spans="1:13" s="1444" customFormat="1">
      <c r="A1171" s="1305"/>
      <c r="B1171" s="1306"/>
      <c r="C1171" s="1255"/>
      <c r="D1171" s="1445"/>
      <c r="E1171" s="1446"/>
      <c r="F1171" s="1309"/>
      <c r="G1171" s="1255"/>
      <c r="H1171" s="1310"/>
      <c r="I1171" s="1311"/>
      <c r="J1171" s="1312"/>
      <c r="K1171" s="1313"/>
      <c r="L1171" s="1313"/>
      <c r="M1171" s="1255"/>
    </row>
    <row r="1172" spans="1:13" s="1444" customFormat="1">
      <c r="A1172" s="1305"/>
      <c r="B1172" s="1306"/>
      <c r="C1172" s="1255"/>
      <c r="D1172" s="1445"/>
      <c r="E1172" s="1446"/>
      <c r="F1172" s="1309"/>
      <c r="G1172" s="1255"/>
      <c r="H1172" s="1310"/>
      <c r="I1172" s="1311"/>
      <c r="J1172" s="1312"/>
      <c r="K1172" s="1313"/>
      <c r="L1172" s="1313"/>
      <c r="M1172" s="1255"/>
    </row>
    <row r="1173" spans="1:13" s="1444" customFormat="1">
      <c r="A1173" s="1305"/>
      <c r="B1173" s="1306"/>
      <c r="C1173" s="1255"/>
      <c r="D1173" s="1445"/>
      <c r="E1173" s="1446"/>
      <c r="F1173" s="1309"/>
      <c r="G1173" s="1255"/>
      <c r="H1173" s="1310"/>
      <c r="I1173" s="1311"/>
      <c r="J1173" s="1312"/>
      <c r="K1173" s="1313"/>
      <c r="L1173" s="1313"/>
      <c r="M1173" s="1255"/>
    </row>
    <row r="1174" spans="1:13" s="1444" customFormat="1">
      <c r="A1174" s="1305"/>
      <c r="B1174" s="1306"/>
      <c r="C1174" s="1255"/>
      <c r="D1174" s="1445"/>
      <c r="E1174" s="1446"/>
      <c r="F1174" s="1309"/>
      <c r="G1174" s="1255"/>
      <c r="H1174" s="1310"/>
      <c r="I1174" s="1311"/>
      <c r="J1174" s="1312"/>
      <c r="K1174" s="1313"/>
      <c r="L1174" s="1313"/>
      <c r="M1174" s="1255"/>
    </row>
    <row r="1175" spans="1:13" s="1444" customFormat="1">
      <c r="A1175" s="1305"/>
      <c r="B1175" s="1306"/>
      <c r="C1175" s="1255"/>
      <c r="D1175" s="1445"/>
      <c r="E1175" s="1446"/>
      <c r="F1175" s="1309"/>
      <c r="G1175" s="1255"/>
      <c r="H1175" s="1310"/>
      <c r="I1175" s="1311"/>
      <c r="J1175" s="1312"/>
      <c r="K1175" s="1313"/>
      <c r="L1175" s="1313"/>
      <c r="M1175" s="1255"/>
    </row>
    <row r="1176" spans="1:13" s="1444" customFormat="1">
      <c r="A1176" s="1305"/>
      <c r="B1176" s="1306"/>
      <c r="C1176" s="1255"/>
      <c r="D1176" s="1445"/>
      <c r="E1176" s="1446"/>
      <c r="F1176" s="1309"/>
      <c r="G1176" s="1255"/>
      <c r="H1176" s="1310"/>
      <c r="I1176" s="1311"/>
      <c r="J1176" s="1312"/>
      <c r="K1176" s="1313"/>
      <c r="L1176" s="1313"/>
      <c r="M1176" s="1255"/>
    </row>
    <row r="1177" spans="1:13" s="1444" customFormat="1">
      <c r="A1177" s="1305"/>
      <c r="B1177" s="1306"/>
      <c r="C1177" s="1255"/>
      <c r="D1177" s="1445"/>
      <c r="E1177" s="1446"/>
      <c r="F1177" s="1309"/>
      <c r="G1177" s="1255"/>
      <c r="H1177" s="1310"/>
      <c r="I1177" s="1311"/>
      <c r="J1177" s="1312"/>
      <c r="K1177" s="1313"/>
      <c r="L1177" s="1313"/>
      <c r="M1177" s="1255"/>
    </row>
    <row r="1178" spans="1:13" s="1444" customFormat="1">
      <c r="A1178" s="1305"/>
      <c r="B1178" s="1306"/>
      <c r="C1178" s="1255"/>
      <c r="D1178" s="1445"/>
      <c r="E1178" s="1446"/>
      <c r="F1178" s="1309"/>
      <c r="G1178" s="1255"/>
      <c r="H1178" s="1310"/>
      <c r="I1178" s="1311"/>
      <c r="J1178" s="1312"/>
      <c r="K1178" s="1313"/>
      <c r="L1178" s="1313"/>
      <c r="M1178" s="1255"/>
    </row>
    <row r="1179" spans="1:13" s="1444" customFormat="1">
      <c r="A1179" s="1305"/>
      <c r="B1179" s="1306"/>
      <c r="C1179" s="1255"/>
      <c r="D1179" s="1445"/>
      <c r="E1179" s="1446"/>
      <c r="F1179" s="1309"/>
      <c r="G1179" s="1255"/>
      <c r="H1179" s="1310"/>
      <c r="I1179" s="1311"/>
      <c r="J1179" s="1312"/>
      <c r="K1179" s="1313"/>
      <c r="L1179" s="1313"/>
      <c r="M1179" s="1255"/>
    </row>
    <row r="1180" spans="1:13" s="1444" customFormat="1">
      <c r="A1180" s="1305"/>
      <c r="B1180" s="1306"/>
      <c r="C1180" s="1255"/>
      <c r="D1180" s="1445"/>
      <c r="E1180" s="1446"/>
      <c r="F1180" s="1309"/>
      <c r="G1180" s="1255"/>
      <c r="H1180" s="1310"/>
      <c r="I1180" s="1311"/>
      <c r="J1180" s="1312"/>
      <c r="K1180" s="1313"/>
      <c r="L1180" s="1313"/>
      <c r="M1180" s="1255"/>
    </row>
    <row r="1181" spans="1:13" s="1444" customFormat="1">
      <c r="A1181" s="1305"/>
      <c r="B1181" s="1306"/>
      <c r="C1181" s="1255"/>
      <c r="D1181" s="1445"/>
      <c r="E1181" s="1446"/>
      <c r="F1181" s="1309"/>
      <c r="G1181" s="1255"/>
      <c r="H1181" s="1310"/>
      <c r="I1181" s="1311"/>
      <c r="J1181" s="1312"/>
      <c r="K1181" s="1313"/>
      <c r="L1181" s="1313"/>
      <c r="M1181" s="1255"/>
    </row>
    <row r="1182" spans="1:13" s="1444" customFormat="1">
      <c r="A1182" s="1305"/>
      <c r="B1182" s="1306"/>
      <c r="C1182" s="1255"/>
      <c r="D1182" s="1445"/>
      <c r="E1182" s="1446"/>
      <c r="F1182" s="1309"/>
      <c r="G1182" s="1255"/>
      <c r="H1182" s="1310"/>
      <c r="I1182" s="1311"/>
      <c r="J1182" s="1312"/>
      <c r="K1182" s="1313"/>
      <c r="L1182" s="1313"/>
      <c r="M1182" s="1255"/>
    </row>
    <row r="1183" spans="1:13" s="1444" customFormat="1">
      <c r="A1183" s="1305"/>
      <c r="B1183" s="1306"/>
      <c r="C1183" s="1255"/>
      <c r="D1183" s="1445"/>
      <c r="E1183" s="1446"/>
      <c r="F1183" s="1309"/>
      <c r="G1183" s="1255"/>
      <c r="H1183" s="1310"/>
      <c r="I1183" s="1311"/>
      <c r="J1183" s="1312"/>
      <c r="K1183" s="1313"/>
      <c r="L1183" s="1313"/>
      <c r="M1183" s="1255"/>
    </row>
    <row r="1184" spans="1:13" s="1444" customFormat="1">
      <c r="A1184" s="1305"/>
      <c r="B1184" s="1306"/>
      <c r="C1184" s="1255"/>
      <c r="D1184" s="1445"/>
      <c r="E1184" s="1446"/>
      <c r="F1184" s="1309"/>
      <c r="G1184" s="1255"/>
      <c r="H1184" s="1310"/>
      <c r="I1184" s="1311"/>
      <c r="J1184" s="1312"/>
      <c r="K1184" s="1313"/>
      <c r="L1184" s="1313"/>
      <c r="M1184" s="1255"/>
    </row>
    <row r="1185" spans="1:13" s="1444" customFormat="1">
      <c r="A1185" s="1305"/>
      <c r="B1185" s="1306"/>
      <c r="C1185" s="1255"/>
      <c r="D1185" s="1445"/>
      <c r="E1185" s="1446"/>
      <c r="F1185" s="1309"/>
      <c r="G1185" s="1255"/>
      <c r="H1185" s="1310"/>
      <c r="I1185" s="1311"/>
      <c r="J1185" s="1312"/>
      <c r="K1185" s="1313"/>
      <c r="L1185" s="1313"/>
      <c r="M1185" s="1255"/>
    </row>
    <row r="1186" spans="1:13" s="1444" customFormat="1">
      <c r="A1186" s="1305"/>
      <c r="B1186" s="1306"/>
      <c r="C1186" s="1255"/>
      <c r="D1186" s="1445"/>
      <c r="E1186" s="1446"/>
      <c r="F1186" s="1309"/>
      <c r="G1186" s="1255"/>
      <c r="H1186" s="1310"/>
      <c r="I1186" s="1311"/>
      <c r="J1186" s="1312"/>
      <c r="K1186" s="1313"/>
      <c r="L1186" s="1313"/>
      <c r="M1186" s="1255"/>
    </row>
    <row r="1187" spans="1:13" s="1444" customFormat="1">
      <c r="A1187" s="1305"/>
      <c r="B1187" s="1306"/>
      <c r="C1187" s="1255"/>
      <c r="D1187" s="1445"/>
      <c r="E1187" s="1446"/>
      <c r="F1187" s="1309"/>
      <c r="G1187" s="1255"/>
      <c r="H1187" s="1310"/>
      <c r="I1187" s="1311"/>
      <c r="J1187" s="1312"/>
      <c r="K1187" s="1313"/>
      <c r="L1187" s="1313"/>
      <c r="M1187" s="1255"/>
    </row>
    <row r="1188" spans="1:13" s="1444" customFormat="1">
      <c r="A1188" s="1305"/>
      <c r="B1188" s="1306"/>
      <c r="C1188" s="1255"/>
      <c r="D1188" s="1445"/>
      <c r="E1188" s="1446"/>
      <c r="F1188" s="1309"/>
      <c r="G1188" s="1255"/>
      <c r="H1188" s="1310"/>
      <c r="I1188" s="1311"/>
      <c r="J1188" s="1312"/>
      <c r="K1188" s="1313"/>
      <c r="L1188" s="1313"/>
      <c r="M1188" s="1255"/>
    </row>
    <row r="1189" spans="1:13" s="1444" customFormat="1">
      <c r="A1189" s="1305"/>
      <c r="B1189" s="1306"/>
      <c r="C1189" s="1255"/>
      <c r="D1189" s="1445"/>
      <c r="E1189" s="1446"/>
      <c r="F1189" s="1309"/>
      <c r="G1189" s="1255"/>
      <c r="H1189" s="1310"/>
      <c r="I1189" s="1311"/>
      <c r="J1189" s="1312"/>
      <c r="K1189" s="1313"/>
      <c r="L1189" s="1313"/>
      <c r="M1189" s="1255"/>
    </row>
    <row r="1190" spans="1:13" s="1444" customFormat="1">
      <c r="A1190" s="1305"/>
      <c r="B1190" s="1306"/>
      <c r="C1190" s="1255"/>
      <c r="D1190" s="1445"/>
      <c r="E1190" s="1446"/>
      <c r="F1190" s="1309"/>
      <c r="G1190" s="1255"/>
      <c r="H1190" s="1310"/>
      <c r="I1190" s="1311"/>
      <c r="J1190" s="1312"/>
      <c r="K1190" s="1313"/>
      <c r="L1190" s="1313"/>
      <c r="M1190" s="1255"/>
    </row>
    <row r="1191" spans="1:13" s="1444" customFormat="1">
      <c r="A1191" s="1305"/>
      <c r="B1191" s="1306"/>
      <c r="C1191" s="1255"/>
      <c r="D1191" s="1445"/>
      <c r="E1191" s="1446"/>
      <c r="F1191" s="1309"/>
      <c r="G1191" s="1255"/>
      <c r="H1191" s="1310"/>
      <c r="I1191" s="1311"/>
      <c r="J1191" s="1312"/>
      <c r="K1191" s="1313"/>
      <c r="L1191" s="1313"/>
      <c r="M1191" s="1255"/>
    </row>
    <row r="1192" spans="1:13" s="1444" customFormat="1">
      <c r="A1192" s="1305"/>
      <c r="B1192" s="1306"/>
      <c r="C1192" s="1255"/>
      <c r="D1192" s="1445"/>
      <c r="E1192" s="1446"/>
      <c r="F1192" s="1309"/>
      <c r="G1192" s="1255"/>
      <c r="H1192" s="1310"/>
      <c r="I1192" s="1311"/>
      <c r="J1192" s="1312"/>
      <c r="K1192" s="1313"/>
      <c r="L1192" s="1313"/>
      <c r="M1192" s="1255"/>
    </row>
    <row r="1193" spans="1:13" s="1444" customFormat="1">
      <c r="A1193" s="1305"/>
      <c r="B1193" s="1306"/>
      <c r="C1193" s="1255"/>
      <c r="D1193" s="1445"/>
      <c r="E1193" s="1446"/>
      <c r="F1193" s="1309"/>
      <c r="G1193" s="1255"/>
      <c r="H1193" s="1310"/>
      <c r="I1193" s="1311"/>
      <c r="J1193" s="1312"/>
      <c r="K1193" s="1313"/>
      <c r="L1193" s="1313"/>
      <c r="M1193" s="1255"/>
    </row>
    <row r="1194" spans="1:13" s="1444" customFormat="1">
      <c r="A1194" s="1305"/>
      <c r="B1194" s="1306"/>
      <c r="C1194" s="1255"/>
      <c r="D1194" s="1445"/>
      <c r="E1194" s="1446"/>
      <c r="F1194" s="1309"/>
      <c r="G1194" s="1255"/>
      <c r="H1194" s="1310"/>
      <c r="I1194" s="1311"/>
      <c r="J1194" s="1312"/>
      <c r="K1194" s="1313"/>
      <c r="L1194" s="1313"/>
      <c r="M1194" s="1255"/>
    </row>
    <row r="1195" spans="1:13" s="1444" customFormat="1">
      <c r="A1195" s="1305"/>
      <c r="B1195" s="1306"/>
      <c r="C1195" s="1255"/>
      <c r="D1195" s="1445"/>
      <c r="E1195" s="1446"/>
      <c r="F1195" s="1309"/>
      <c r="G1195" s="1255"/>
      <c r="H1195" s="1310"/>
      <c r="I1195" s="1311"/>
      <c r="J1195" s="1312"/>
      <c r="K1195" s="1313"/>
      <c r="L1195" s="1313"/>
      <c r="M1195" s="1255"/>
    </row>
    <row r="1196" spans="1:13" s="1444" customFormat="1">
      <c r="A1196" s="1305"/>
      <c r="B1196" s="1306"/>
      <c r="C1196" s="1255"/>
      <c r="D1196" s="1445"/>
      <c r="E1196" s="1446"/>
      <c r="F1196" s="1309"/>
      <c r="G1196" s="1255"/>
      <c r="H1196" s="1310"/>
      <c r="I1196" s="1311"/>
      <c r="J1196" s="1312"/>
      <c r="K1196" s="1313"/>
      <c r="L1196" s="1313"/>
      <c r="M1196" s="1255"/>
    </row>
    <row r="1197" spans="1:13" s="1444" customFormat="1">
      <c r="A1197" s="1305"/>
      <c r="B1197" s="1306"/>
      <c r="C1197" s="1255"/>
      <c r="D1197" s="1445"/>
      <c r="E1197" s="1446"/>
      <c r="F1197" s="1309"/>
      <c r="G1197" s="1255"/>
      <c r="H1197" s="1310"/>
      <c r="I1197" s="1311"/>
      <c r="J1197" s="1312"/>
      <c r="K1197" s="1313"/>
      <c r="L1197" s="1313"/>
      <c r="M1197" s="1255"/>
    </row>
    <row r="1198" spans="1:13" s="1444" customFormat="1">
      <c r="A1198" s="1305"/>
      <c r="B1198" s="1306"/>
      <c r="C1198" s="1255"/>
      <c r="D1198" s="1445"/>
      <c r="E1198" s="1446"/>
      <c r="F1198" s="1309"/>
      <c r="G1198" s="1255"/>
      <c r="H1198" s="1310"/>
      <c r="I1198" s="1311"/>
      <c r="J1198" s="1312"/>
      <c r="K1198" s="1313"/>
      <c r="L1198" s="1313"/>
      <c r="M1198" s="1255"/>
    </row>
    <row r="1199" spans="1:13" s="1444" customFormat="1">
      <c r="A1199" s="1305"/>
      <c r="B1199" s="1306"/>
      <c r="C1199" s="1255"/>
      <c r="D1199" s="1445"/>
      <c r="E1199" s="1446"/>
      <c r="F1199" s="1309"/>
      <c r="G1199" s="1255"/>
      <c r="H1199" s="1310"/>
      <c r="I1199" s="1311"/>
      <c r="J1199" s="1312"/>
      <c r="K1199" s="1313"/>
      <c r="L1199" s="1313"/>
      <c r="M1199" s="1255"/>
    </row>
    <row r="1200" spans="1:13" s="1444" customFormat="1">
      <c r="A1200" s="1305"/>
      <c r="B1200" s="1306"/>
      <c r="C1200" s="1255"/>
      <c r="D1200" s="1445"/>
      <c r="E1200" s="1446"/>
      <c r="F1200" s="1309"/>
      <c r="G1200" s="1255"/>
      <c r="H1200" s="1310"/>
      <c r="I1200" s="1311"/>
      <c r="J1200" s="1312"/>
      <c r="K1200" s="1313"/>
      <c r="L1200" s="1313"/>
      <c r="M1200" s="1255"/>
    </row>
    <row r="1201" spans="1:13" s="1444" customFormat="1">
      <c r="A1201" s="1305"/>
      <c r="B1201" s="1306"/>
      <c r="C1201" s="1255"/>
      <c r="D1201" s="1445"/>
      <c r="E1201" s="1446"/>
      <c r="F1201" s="1309"/>
      <c r="G1201" s="1255"/>
      <c r="H1201" s="1310"/>
      <c r="I1201" s="1311"/>
      <c r="J1201" s="1312"/>
      <c r="K1201" s="1313"/>
      <c r="L1201" s="1313"/>
      <c r="M1201" s="1255"/>
    </row>
    <row r="1202" spans="1:13" s="1444" customFormat="1">
      <c r="A1202" s="1305"/>
      <c r="B1202" s="1306"/>
      <c r="C1202" s="1255"/>
      <c r="D1202" s="1445"/>
      <c r="E1202" s="1446"/>
      <c r="F1202" s="1309"/>
      <c r="G1202" s="1255"/>
      <c r="H1202" s="1310"/>
      <c r="I1202" s="1311"/>
      <c r="J1202" s="1312"/>
      <c r="K1202" s="1313"/>
      <c r="L1202" s="1313"/>
      <c r="M1202" s="1255"/>
    </row>
    <row r="1203" spans="1:13" s="1444" customFormat="1">
      <c r="A1203" s="1305"/>
      <c r="B1203" s="1306"/>
      <c r="C1203" s="1255"/>
      <c r="D1203" s="1445"/>
      <c r="E1203" s="1446"/>
      <c r="F1203" s="1309"/>
      <c r="G1203" s="1255"/>
      <c r="H1203" s="1310"/>
      <c r="I1203" s="1311"/>
      <c r="J1203" s="1312"/>
      <c r="K1203" s="1313"/>
      <c r="L1203" s="1313"/>
      <c r="M1203" s="1255"/>
    </row>
    <row r="1204" spans="1:13" s="1444" customFormat="1">
      <c r="A1204" s="1305"/>
      <c r="B1204" s="1306"/>
      <c r="C1204" s="1255"/>
      <c r="D1204" s="1445"/>
      <c r="E1204" s="1446"/>
      <c r="F1204" s="1309"/>
      <c r="G1204" s="1255"/>
      <c r="H1204" s="1310"/>
      <c r="I1204" s="1311"/>
      <c r="J1204" s="1312"/>
      <c r="K1204" s="1313"/>
      <c r="L1204" s="1313"/>
      <c r="M1204" s="1255"/>
    </row>
    <row r="1205" spans="1:13" s="1444" customFormat="1">
      <c r="A1205" s="1305"/>
      <c r="B1205" s="1306"/>
      <c r="C1205" s="1255"/>
      <c r="D1205" s="1445"/>
      <c r="E1205" s="1446"/>
      <c r="F1205" s="1309"/>
      <c r="G1205" s="1255"/>
      <c r="H1205" s="1310"/>
      <c r="I1205" s="1311"/>
      <c r="J1205" s="1312"/>
      <c r="K1205" s="1313"/>
      <c r="L1205" s="1313"/>
      <c r="M1205" s="1255"/>
    </row>
    <row r="1206" spans="1:13" s="1444" customFormat="1">
      <c r="A1206" s="1305"/>
      <c r="B1206" s="1306"/>
      <c r="C1206" s="1255"/>
      <c r="D1206" s="1445"/>
      <c r="E1206" s="1446"/>
      <c r="F1206" s="1309"/>
      <c r="G1206" s="1255"/>
      <c r="H1206" s="1310"/>
      <c r="I1206" s="1311"/>
      <c r="J1206" s="1312"/>
      <c r="K1206" s="1313"/>
      <c r="L1206" s="1313"/>
      <c r="M1206" s="1255"/>
    </row>
    <row r="1207" spans="1:13" s="1444" customFormat="1">
      <c r="A1207" s="1305"/>
      <c r="B1207" s="1306"/>
      <c r="C1207" s="1255"/>
      <c r="D1207" s="1445"/>
      <c r="E1207" s="1446"/>
      <c r="F1207" s="1309"/>
      <c r="G1207" s="1255"/>
      <c r="H1207" s="1310"/>
      <c r="I1207" s="1311"/>
      <c r="J1207" s="1312"/>
      <c r="K1207" s="1313"/>
      <c r="L1207" s="1313"/>
      <c r="M1207" s="1255"/>
    </row>
    <row r="1208" spans="1:13" s="1444" customFormat="1">
      <c r="A1208" s="1305"/>
      <c r="B1208" s="1306"/>
      <c r="C1208" s="1255"/>
      <c r="D1208" s="1445"/>
      <c r="E1208" s="1446"/>
      <c r="F1208" s="1309"/>
      <c r="G1208" s="1255"/>
      <c r="H1208" s="1310"/>
      <c r="I1208" s="1311"/>
      <c r="J1208" s="1312"/>
      <c r="K1208" s="1313"/>
      <c r="L1208" s="1313"/>
      <c r="M1208" s="1255"/>
    </row>
    <row r="1209" spans="1:13" s="1444" customFormat="1">
      <c r="A1209" s="1305"/>
      <c r="B1209" s="1306"/>
      <c r="C1209" s="1255"/>
      <c r="D1209" s="1445"/>
      <c r="E1209" s="1446"/>
      <c r="F1209" s="1309"/>
      <c r="G1209" s="1255"/>
      <c r="H1209" s="1310"/>
      <c r="I1209" s="1311"/>
      <c r="J1209" s="1312"/>
      <c r="K1209" s="1313"/>
      <c r="L1209" s="1313"/>
      <c r="M1209" s="1255"/>
    </row>
    <row r="1210" spans="1:13" s="1444" customFormat="1">
      <c r="A1210" s="1305"/>
      <c r="B1210" s="1306"/>
      <c r="C1210" s="1255"/>
      <c r="D1210" s="1445"/>
      <c r="E1210" s="1446"/>
      <c r="F1210" s="1309"/>
      <c r="G1210" s="1255"/>
      <c r="H1210" s="1310"/>
      <c r="I1210" s="1311"/>
      <c r="J1210" s="1312"/>
      <c r="K1210" s="1313"/>
      <c r="L1210" s="1313"/>
      <c r="M1210" s="1255"/>
    </row>
    <row r="1211" spans="1:13" s="1444" customFormat="1">
      <c r="A1211" s="1305"/>
      <c r="B1211" s="1306"/>
      <c r="C1211" s="1255"/>
      <c r="D1211" s="1445"/>
      <c r="E1211" s="1446"/>
      <c r="F1211" s="1309"/>
      <c r="G1211" s="1255"/>
      <c r="H1211" s="1310"/>
      <c r="I1211" s="1311"/>
      <c r="J1211" s="1312"/>
      <c r="K1211" s="1313"/>
      <c r="L1211" s="1313"/>
      <c r="M1211" s="1255"/>
    </row>
    <row r="1212" spans="1:13" s="1444" customFormat="1">
      <c r="A1212" s="1305"/>
      <c r="B1212" s="1306"/>
      <c r="C1212" s="1255"/>
      <c r="D1212" s="1445"/>
      <c r="E1212" s="1446"/>
      <c r="F1212" s="1309"/>
      <c r="G1212" s="1255"/>
      <c r="H1212" s="1310"/>
      <c r="I1212" s="1311"/>
      <c r="J1212" s="1312"/>
      <c r="K1212" s="1313"/>
      <c r="L1212" s="1313"/>
      <c r="M1212" s="1255"/>
    </row>
    <row r="1213" spans="1:13" s="1444" customFormat="1">
      <c r="A1213" s="1305"/>
      <c r="B1213" s="1306"/>
      <c r="C1213" s="1255"/>
      <c r="D1213" s="1445"/>
      <c r="E1213" s="1446"/>
      <c r="F1213" s="1309"/>
      <c r="G1213" s="1255"/>
      <c r="H1213" s="1310"/>
      <c r="I1213" s="1311"/>
      <c r="J1213" s="1312"/>
      <c r="K1213" s="1313"/>
      <c r="L1213" s="1313"/>
      <c r="M1213" s="1255"/>
    </row>
    <row r="1214" spans="1:13" s="1444" customFormat="1">
      <c r="A1214" s="1305"/>
      <c r="B1214" s="1306"/>
      <c r="C1214" s="1255"/>
      <c r="D1214" s="1445"/>
      <c r="E1214" s="1446"/>
      <c r="F1214" s="1309"/>
      <c r="G1214" s="1255"/>
      <c r="H1214" s="1310"/>
      <c r="I1214" s="1311"/>
      <c r="J1214" s="1312"/>
      <c r="K1214" s="1313"/>
      <c r="L1214" s="1313"/>
      <c r="M1214" s="1255"/>
    </row>
    <row r="1215" spans="1:13" s="1444" customFormat="1">
      <c r="A1215" s="1305"/>
      <c r="B1215" s="1306"/>
      <c r="C1215" s="1255"/>
      <c r="D1215" s="1445"/>
      <c r="E1215" s="1446"/>
      <c r="F1215" s="1309"/>
      <c r="G1215" s="1255"/>
      <c r="H1215" s="1310"/>
      <c r="I1215" s="1311"/>
      <c r="J1215" s="1312"/>
      <c r="K1215" s="1313"/>
      <c r="L1215" s="1313"/>
      <c r="M1215" s="1255"/>
    </row>
    <row r="1216" spans="1:13" s="1444" customFormat="1">
      <c r="A1216" s="1305"/>
      <c r="B1216" s="1306"/>
      <c r="C1216" s="1255"/>
      <c r="D1216" s="1445"/>
      <c r="E1216" s="1446"/>
      <c r="F1216" s="1309"/>
      <c r="G1216" s="1255"/>
      <c r="H1216" s="1310"/>
      <c r="I1216" s="1311"/>
      <c r="J1216" s="1312"/>
      <c r="K1216" s="1313"/>
      <c r="L1216" s="1313"/>
      <c r="M1216" s="1255"/>
    </row>
    <row r="1217" spans="1:13" s="1444" customFormat="1">
      <c r="A1217" s="1305"/>
      <c r="B1217" s="1306"/>
      <c r="C1217" s="1255"/>
      <c r="D1217" s="1445"/>
      <c r="E1217" s="1446"/>
      <c r="F1217" s="1309"/>
      <c r="G1217" s="1255"/>
      <c r="H1217" s="1310"/>
      <c r="I1217" s="1311"/>
      <c r="J1217" s="1312"/>
      <c r="K1217" s="1313"/>
      <c r="L1217" s="1313"/>
      <c r="M1217" s="1255"/>
    </row>
    <row r="1218" spans="1:13" s="1444" customFormat="1">
      <c r="A1218" s="1305"/>
      <c r="B1218" s="1306"/>
      <c r="C1218" s="1255"/>
      <c r="D1218" s="1445"/>
      <c r="E1218" s="1446"/>
      <c r="F1218" s="1309"/>
      <c r="G1218" s="1255"/>
      <c r="H1218" s="1310"/>
      <c r="I1218" s="1311"/>
      <c r="J1218" s="1312"/>
      <c r="K1218" s="1313"/>
      <c r="L1218" s="1313"/>
      <c r="M1218" s="1255"/>
    </row>
    <row r="1219" spans="1:13" s="1444" customFormat="1">
      <c r="A1219" s="1305"/>
      <c r="B1219" s="1306"/>
      <c r="C1219" s="1255"/>
      <c r="D1219" s="1445"/>
      <c r="E1219" s="1446"/>
      <c r="F1219" s="1309"/>
      <c r="G1219" s="1255"/>
      <c r="H1219" s="1310"/>
      <c r="I1219" s="1311"/>
      <c r="J1219" s="1312"/>
      <c r="K1219" s="1313"/>
      <c r="L1219" s="1313"/>
      <c r="M1219" s="1255"/>
    </row>
    <row r="1220" spans="1:13" s="1444" customFormat="1">
      <c r="A1220" s="1305"/>
      <c r="B1220" s="1306"/>
      <c r="C1220" s="1255"/>
      <c r="D1220" s="1445"/>
      <c r="E1220" s="1446"/>
      <c r="F1220" s="1309"/>
      <c r="G1220" s="1255"/>
      <c r="H1220" s="1310"/>
      <c r="I1220" s="1311"/>
      <c r="J1220" s="1312"/>
      <c r="K1220" s="1313"/>
      <c r="L1220" s="1313"/>
      <c r="M1220" s="1255"/>
    </row>
    <row r="1221" spans="1:13" s="1444" customFormat="1">
      <c r="A1221" s="1305"/>
      <c r="B1221" s="1306"/>
      <c r="C1221" s="1255"/>
      <c r="D1221" s="1445"/>
      <c r="E1221" s="1446"/>
      <c r="F1221" s="1309"/>
      <c r="G1221" s="1255"/>
      <c r="H1221" s="1310"/>
      <c r="I1221" s="1311"/>
      <c r="J1221" s="1312"/>
      <c r="K1221" s="1313"/>
      <c r="L1221" s="1313"/>
      <c r="M1221" s="1255"/>
    </row>
    <row r="1222" spans="1:13" s="1444" customFormat="1">
      <c r="A1222" s="1305"/>
      <c r="B1222" s="1306"/>
      <c r="C1222" s="1255"/>
      <c r="D1222" s="1445"/>
      <c r="E1222" s="1446"/>
      <c r="F1222" s="1309"/>
      <c r="G1222" s="1255"/>
      <c r="H1222" s="1310"/>
      <c r="I1222" s="1311"/>
      <c r="J1222" s="1312"/>
      <c r="K1222" s="1313"/>
      <c r="L1222" s="1313"/>
      <c r="M1222" s="1255"/>
    </row>
    <row r="1223" spans="1:13" s="1444" customFormat="1">
      <c r="A1223" s="1305"/>
      <c r="B1223" s="1306"/>
      <c r="C1223" s="1255"/>
      <c r="D1223" s="1445"/>
      <c r="E1223" s="1446"/>
      <c r="F1223" s="1309"/>
      <c r="G1223" s="1255"/>
      <c r="H1223" s="1310"/>
      <c r="I1223" s="1311"/>
      <c r="J1223" s="1312"/>
      <c r="K1223" s="1313"/>
      <c r="L1223" s="1313"/>
      <c r="M1223" s="1255"/>
    </row>
    <row r="1224" spans="1:13" s="1444" customFormat="1">
      <c r="A1224" s="1305"/>
      <c r="B1224" s="1306"/>
      <c r="C1224" s="1255"/>
      <c r="D1224" s="1445"/>
      <c r="E1224" s="1446"/>
      <c r="F1224" s="1309"/>
      <c r="G1224" s="1255"/>
      <c r="H1224" s="1310"/>
      <c r="I1224" s="1311"/>
      <c r="J1224" s="1312"/>
      <c r="K1224" s="1313"/>
      <c r="L1224" s="1313"/>
      <c r="M1224" s="1255"/>
    </row>
    <row r="1225" spans="1:13" s="1444" customFormat="1">
      <c r="A1225" s="1305"/>
      <c r="B1225" s="1306"/>
      <c r="C1225" s="1255"/>
      <c r="D1225" s="1445"/>
      <c r="E1225" s="1446"/>
      <c r="F1225" s="1309"/>
      <c r="G1225" s="1255"/>
      <c r="H1225" s="1310"/>
      <c r="I1225" s="1311"/>
      <c r="J1225" s="1312"/>
      <c r="K1225" s="1313"/>
      <c r="L1225" s="1313"/>
      <c r="M1225" s="1255"/>
    </row>
    <row r="1226" spans="1:13" s="1444" customFormat="1">
      <c r="A1226" s="1305"/>
      <c r="B1226" s="1306"/>
      <c r="C1226" s="1255"/>
      <c r="D1226" s="1445"/>
      <c r="E1226" s="1446"/>
      <c r="F1226" s="1309"/>
      <c r="G1226" s="1255"/>
      <c r="H1226" s="1310"/>
      <c r="I1226" s="1311"/>
      <c r="J1226" s="1312"/>
      <c r="K1226" s="1313"/>
      <c r="L1226" s="1313"/>
      <c r="M1226" s="1255"/>
    </row>
    <row r="1227" spans="1:13" s="1444" customFormat="1">
      <c r="A1227" s="1305"/>
      <c r="B1227" s="1306"/>
      <c r="C1227" s="1255"/>
      <c r="D1227" s="1445"/>
      <c r="E1227" s="1446"/>
      <c r="F1227" s="1309"/>
      <c r="G1227" s="1255"/>
      <c r="H1227" s="1310"/>
      <c r="I1227" s="1311"/>
      <c r="J1227" s="1312"/>
      <c r="K1227" s="1313"/>
      <c r="L1227" s="1313"/>
      <c r="M1227" s="1255"/>
    </row>
    <row r="1228" spans="1:13" s="1444" customFormat="1">
      <c r="A1228" s="1305"/>
      <c r="B1228" s="1306"/>
      <c r="C1228" s="1255"/>
      <c r="D1228" s="1445"/>
      <c r="E1228" s="1446"/>
      <c r="F1228" s="1309"/>
      <c r="G1228" s="1255"/>
      <c r="H1228" s="1310"/>
      <c r="I1228" s="1311"/>
      <c r="J1228" s="1312"/>
      <c r="K1228" s="1313"/>
      <c r="L1228" s="1313"/>
      <c r="M1228" s="1255"/>
    </row>
    <row r="1229" spans="1:13" s="1444" customFormat="1">
      <c r="A1229" s="1305"/>
      <c r="B1229" s="1306"/>
      <c r="C1229" s="1255"/>
      <c r="D1229" s="1445"/>
      <c r="E1229" s="1446"/>
      <c r="F1229" s="1309"/>
      <c r="G1229" s="1255"/>
      <c r="H1229" s="1310"/>
      <c r="I1229" s="1311"/>
      <c r="J1229" s="1312"/>
      <c r="K1229" s="1313"/>
      <c r="L1229" s="1313"/>
      <c r="M1229" s="1255"/>
    </row>
    <row r="1230" spans="1:13" s="1444" customFormat="1">
      <c r="A1230" s="1305"/>
      <c r="B1230" s="1306"/>
      <c r="C1230" s="1255"/>
      <c r="D1230" s="1445"/>
      <c r="E1230" s="1446"/>
      <c r="F1230" s="1309"/>
      <c r="G1230" s="1255"/>
      <c r="H1230" s="1310"/>
      <c r="I1230" s="1311"/>
      <c r="J1230" s="1312"/>
      <c r="K1230" s="1313"/>
      <c r="L1230" s="1313"/>
      <c r="M1230" s="1255"/>
    </row>
    <row r="1231" spans="1:13" s="1444" customFormat="1">
      <c r="A1231" s="1305"/>
      <c r="B1231" s="1306"/>
      <c r="C1231" s="1255"/>
      <c r="D1231" s="1445"/>
      <c r="E1231" s="1446"/>
      <c r="F1231" s="1309"/>
      <c r="G1231" s="1255"/>
      <c r="H1231" s="1310"/>
      <c r="I1231" s="1311"/>
      <c r="J1231" s="1312"/>
      <c r="K1231" s="1313"/>
      <c r="L1231" s="1313"/>
      <c r="M1231" s="1255"/>
    </row>
    <row r="1232" spans="1:13" s="1444" customFormat="1">
      <c r="A1232" s="1305"/>
      <c r="B1232" s="1306"/>
      <c r="C1232" s="1255"/>
      <c r="D1232" s="1445"/>
      <c r="E1232" s="1446"/>
      <c r="F1232" s="1309"/>
      <c r="G1232" s="1255"/>
      <c r="H1232" s="1310"/>
      <c r="I1232" s="1311"/>
      <c r="J1232" s="1312"/>
      <c r="K1232" s="1313"/>
      <c r="L1232" s="1313"/>
      <c r="M1232" s="1255"/>
    </row>
    <row r="1233" spans="1:13" s="1444" customFormat="1">
      <c r="A1233" s="1305"/>
      <c r="B1233" s="1306"/>
      <c r="C1233" s="1255"/>
      <c r="D1233" s="1445"/>
      <c r="E1233" s="1446"/>
      <c r="F1233" s="1309"/>
      <c r="G1233" s="1255"/>
      <c r="H1233" s="1310"/>
      <c r="I1233" s="1311"/>
      <c r="J1233" s="1312"/>
      <c r="K1233" s="1313"/>
      <c r="L1233" s="1313"/>
      <c r="M1233" s="1255"/>
    </row>
    <row r="1234" spans="1:13" s="1444" customFormat="1">
      <c r="A1234" s="1305"/>
      <c r="B1234" s="1306"/>
      <c r="C1234" s="1255"/>
      <c r="D1234" s="1445"/>
      <c r="E1234" s="1446"/>
      <c r="F1234" s="1309"/>
      <c r="G1234" s="1255"/>
      <c r="H1234" s="1310"/>
      <c r="I1234" s="1311"/>
      <c r="J1234" s="1312"/>
      <c r="K1234" s="1313"/>
      <c r="L1234" s="1313"/>
      <c r="M1234" s="1255"/>
    </row>
    <row r="1235" spans="1:13" s="1444" customFormat="1">
      <c r="A1235" s="1305"/>
      <c r="B1235" s="1306"/>
      <c r="C1235" s="1255"/>
      <c r="D1235" s="1445"/>
      <c r="E1235" s="1446"/>
      <c r="F1235" s="1309"/>
      <c r="G1235" s="1255"/>
      <c r="H1235" s="1310"/>
      <c r="I1235" s="1311"/>
      <c r="J1235" s="1312"/>
      <c r="K1235" s="1313"/>
      <c r="L1235" s="1313"/>
      <c r="M1235" s="1255"/>
    </row>
    <row r="1236" spans="1:13" s="1444" customFormat="1">
      <c r="A1236" s="1305"/>
      <c r="B1236" s="1306"/>
      <c r="C1236" s="1255"/>
      <c r="D1236" s="1445"/>
      <c r="E1236" s="1446"/>
      <c r="F1236" s="1309"/>
      <c r="G1236" s="1255"/>
      <c r="H1236" s="1310"/>
      <c r="I1236" s="1311"/>
      <c r="J1236" s="1312"/>
      <c r="K1236" s="1313"/>
      <c r="L1236" s="1313"/>
      <c r="M1236" s="1255"/>
    </row>
    <row r="1237" spans="1:13" s="1444" customFormat="1">
      <c r="A1237" s="1305"/>
      <c r="B1237" s="1306"/>
      <c r="C1237" s="1255"/>
      <c r="D1237" s="1445"/>
      <c r="E1237" s="1446"/>
      <c r="F1237" s="1309"/>
      <c r="G1237" s="1255"/>
      <c r="H1237" s="1310"/>
      <c r="I1237" s="1311"/>
      <c r="J1237" s="1312"/>
      <c r="K1237" s="1313"/>
      <c r="L1237" s="1313"/>
      <c r="M1237" s="1255"/>
    </row>
    <row r="1238" spans="1:13" s="1444" customFormat="1">
      <c r="A1238" s="1305"/>
      <c r="B1238" s="1306"/>
      <c r="C1238" s="1255"/>
      <c r="D1238" s="1445"/>
      <c r="E1238" s="1446"/>
      <c r="F1238" s="1309"/>
      <c r="G1238" s="1255"/>
      <c r="H1238" s="1310"/>
      <c r="I1238" s="1311"/>
      <c r="J1238" s="1312"/>
      <c r="K1238" s="1313"/>
      <c r="L1238" s="1313"/>
      <c r="M1238" s="1255"/>
    </row>
    <row r="1239" spans="1:13" s="1444" customFormat="1">
      <c r="A1239" s="1305"/>
      <c r="B1239" s="1306"/>
      <c r="C1239" s="1255"/>
      <c r="D1239" s="1445"/>
      <c r="E1239" s="1446"/>
      <c r="F1239" s="1309"/>
      <c r="G1239" s="1255"/>
      <c r="H1239" s="1310"/>
      <c r="I1239" s="1311"/>
      <c r="J1239" s="1312"/>
      <c r="K1239" s="1313"/>
      <c r="L1239" s="1313"/>
      <c r="M1239" s="1255"/>
    </row>
    <row r="1240" spans="1:13" s="1444" customFormat="1">
      <c r="A1240" s="1305"/>
      <c r="B1240" s="1306"/>
      <c r="C1240" s="1255"/>
      <c r="D1240" s="1445"/>
      <c r="E1240" s="1446"/>
      <c r="F1240" s="1309"/>
      <c r="G1240" s="1255"/>
      <c r="H1240" s="1310"/>
      <c r="I1240" s="1311"/>
      <c r="J1240" s="1312"/>
      <c r="K1240" s="1313"/>
      <c r="L1240" s="1313"/>
      <c r="M1240" s="1255"/>
    </row>
    <row r="1241" spans="1:13" s="1444" customFormat="1">
      <c r="A1241" s="1305"/>
      <c r="B1241" s="1306"/>
      <c r="C1241" s="1255"/>
      <c r="D1241" s="1445"/>
      <c r="E1241" s="1446"/>
      <c r="F1241" s="1309"/>
      <c r="G1241" s="1255"/>
      <c r="H1241" s="1310"/>
      <c r="I1241" s="1311"/>
      <c r="J1241" s="1312"/>
      <c r="K1241" s="1313"/>
      <c r="L1241" s="1313"/>
      <c r="M1241" s="1255"/>
    </row>
    <row r="1242" spans="1:13" s="1444" customFormat="1">
      <c r="A1242" s="1305"/>
      <c r="B1242" s="1306"/>
      <c r="C1242" s="1255"/>
      <c r="D1242" s="1445"/>
      <c r="E1242" s="1446"/>
      <c r="F1242" s="1309"/>
      <c r="G1242" s="1255"/>
      <c r="H1242" s="1310"/>
      <c r="I1242" s="1311"/>
      <c r="J1242" s="1312"/>
      <c r="K1242" s="1313"/>
      <c r="L1242" s="1313"/>
      <c r="M1242" s="1255"/>
    </row>
    <row r="1243" spans="1:13" s="1444" customFormat="1">
      <c r="A1243" s="1305"/>
      <c r="B1243" s="1306"/>
      <c r="C1243" s="1255"/>
      <c r="D1243" s="1445"/>
      <c r="E1243" s="1446"/>
      <c r="F1243" s="1309"/>
      <c r="G1243" s="1255"/>
      <c r="H1243" s="1310"/>
      <c r="I1243" s="1311"/>
      <c r="J1243" s="1312"/>
      <c r="K1243" s="1313"/>
      <c r="L1243" s="1313"/>
      <c r="M1243" s="1255"/>
    </row>
    <row r="1244" spans="1:13" s="1444" customFormat="1">
      <c r="A1244" s="1305"/>
      <c r="B1244" s="1306"/>
      <c r="C1244" s="1255"/>
      <c r="D1244" s="1445"/>
      <c r="E1244" s="1446"/>
      <c r="F1244" s="1309"/>
      <c r="G1244" s="1255"/>
      <c r="H1244" s="1310"/>
      <c r="I1244" s="1311"/>
      <c r="J1244" s="1312"/>
      <c r="K1244" s="1313"/>
      <c r="L1244" s="1313"/>
      <c r="M1244" s="1255"/>
    </row>
    <row r="1245" spans="1:13" s="1444" customFormat="1">
      <c r="A1245" s="1305"/>
      <c r="B1245" s="1306"/>
      <c r="C1245" s="1255"/>
      <c r="D1245" s="1445"/>
      <c r="E1245" s="1446"/>
      <c r="F1245" s="1309"/>
      <c r="G1245" s="1255"/>
      <c r="H1245" s="1310"/>
      <c r="I1245" s="1311"/>
      <c r="J1245" s="1312"/>
      <c r="K1245" s="1313"/>
      <c r="L1245" s="1313"/>
      <c r="M1245" s="1255"/>
    </row>
    <row r="1246" spans="1:13" s="1444" customFormat="1">
      <c r="A1246" s="1305"/>
      <c r="B1246" s="1306"/>
      <c r="C1246" s="1255"/>
      <c r="D1246" s="1445"/>
      <c r="E1246" s="1446"/>
      <c r="F1246" s="1309"/>
      <c r="G1246" s="1255"/>
      <c r="H1246" s="1310"/>
      <c r="I1246" s="1311"/>
      <c r="J1246" s="1312"/>
      <c r="K1246" s="1313"/>
      <c r="L1246" s="1313"/>
      <c r="M1246" s="1255"/>
    </row>
    <row r="1247" spans="1:13" s="1444" customFormat="1">
      <c r="A1247" s="1305"/>
      <c r="B1247" s="1306"/>
      <c r="C1247" s="1255"/>
      <c r="D1247" s="1445"/>
      <c r="E1247" s="1446"/>
      <c r="F1247" s="1309"/>
      <c r="G1247" s="1255"/>
      <c r="H1247" s="1310"/>
      <c r="I1247" s="1311"/>
      <c r="J1247" s="1312"/>
      <c r="K1247" s="1313"/>
      <c r="L1247" s="1313"/>
      <c r="M1247" s="1255"/>
    </row>
    <row r="1248" spans="1:13" s="1444" customFormat="1">
      <c r="A1248" s="1305"/>
      <c r="B1248" s="1306"/>
      <c r="C1248" s="1255"/>
      <c r="D1248" s="1445"/>
      <c r="E1248" s="1446"/>
      <c r="F1248" s="1309"/>
      <c r="G1248" s="1255"/>
      <c r="H1248" s="1310"/>
      <c r="I1248" s="1311"/>
      <c r="J1248" s="1312"/>
      <c r="K1248" s="1313"/>
      <c r="L1248" s="1313"/>
      <c r="M1248" s="1255"/>
    </row>
    <row r="1249" spans="1:13" s="1444" customFormat="1">
      <c r="A1249" s="1305"/>
      <c r="B1249" s="1306"/>
      <c r="C1249" s="1255"/>
      <c r="D1249" s="1445"/>
      <c r="E1249" s="1446"/>
      <c r="F1249" s="1309"/>
      <c r="G1249" s="1255"/>
      <c r="H1249" s="1310"/>
      <c r="I1249" s="1311"/>
      <c r="J1249" s="1312"/>
      <c r="K1249" s="1313"/>
      <c r="L1249" s="1313"/>
      <c r="M1249" s="1255"/>
    </row>
    <row r="1250" spans="1:13" s="1444" customFormat="1">
      <c r="A1250" s="1305"/>
      <c r="B1250" s="1306"/>
      <c r="C1250" s="1255"/>
      <c r="D1250" s="1445"/>
      <c r="E1250" s="1446"/>
      <c r="F1250" s="1309"/>
      <c r="G1250" s="1255"/>
      <c r="H1250" s="1310"/>
      <c r="I1250" s="1311"/>
      <c r="J1250" s="1312"/>
      <c r="K1250" s="1313"/>
      <c r="L1250" s="1313"/>
      <c r="M1250" s="1255"/>
    </row>
    <row r="1251" spans="1:13" s="1444" customFormat="1">
      <c r="A1251" s="1305"/>
      <c r="B1251" s="1306"/>
      <c r="C1251" s="1255"/>
      <c r="D1251" s="1445"/>
      <c r="E1251" s="1446"/>
      <c r="F1251" s="1309"/>
      <c r="G1251" s="1255"/>
      <c r="H1251" s="1310"/>
      <c r="I1251" s="1311"/>
      <c r="J1251" s="1312"/>
      <c r="K1251" s="1313"/>
      <c r="L1251" s="1313"/>
      <c r="M1251" s="1255"/>
    </row>
    <row r="1252" spans="1:13" s="1444" customFormat="1">
      <c r="A1252" s="1305"/>
      <c r="B1252" s="1306"/>
      <c r="C1252" s="1255"/>
      <c r="D1252" s="1445"/>
      <c r="E1252" s="1446"/>
      <c r="F1252" s="1309"/>
      <c r="G1252" s="1255"/>
      <c r="H1252" s="1310"/>
      <c r="I1252" s="1311"/>
      <c r="J1252" s="1312"/>
      <c r="K1252" s="1313"/>
      <c r="L1252" s="1313"/>
      <c r="M1252" s="1255"/>
    </row>
    <row r="1253" spans="1:13" s="1444" customFormat="1">
      <c r="A1253" s="1305"/>
      <c r="B1253" s="1306"/>
      <c r="C1253" s="1255"/>
      <c r="D1253" s="1445"/>
      <c r="E1253" s="1446"/>
      <c r="F1253" s="1309"/>
      <c r="G1253" s="1255"/>
      <c r="H1253" s="1310"/>
      <c r="I1253" s="1311"/>
      <c r="J1253" s="1312"/>
      <c r="K1253" s="1313"/>
      <c r="L1253" s="1313"/>
      <c r="M1253" s="1255"/>
    </row>
    <row r="1254" spans="1:13" s="1444" customFormat="1">
      <c r="A1254" s="1305"/>
      <c r="B1254" s="1306"/>
      <c r="C1254" s="1255"/>
      <c r="D1254" s="1445"/>
      <c r="E1254" s="1446"/>
      <c r="F1254" s="1309"/>
      <c r="G1254" s="1255"/>
      <c r="H1254" s="1310"/>
      <c r="I1254" s="1311"/>
      <c r="J1254" s="1312"/>
      <c r="K1254" s="1313"/>
      <c r="L1254" s="1313"/>
      <c r="M1254" s="1255"/>
    </row>
    <row r="1255" spans="1:13" s="1444" customFormat="1">
      <c r="A1255" s="1305"/>
      <c r="B1255" s="1306"/>
      <c r="C1255" s="1255"/>
      <c r="D1255" s="1445"/>
      <c r="E1255" s="1446"/>
      <c r="F1255" s="1309"/>
      <c r="G1255" s="1255"/>
      <c r="H1255" s="1310"/>
      <c r="I1255" s="1311"/>
      <c r="J1255" s="1312"/>
      <c r="K1255" s="1313"/>
      <c r="L1255" s="1313"/>
      <c r="M1255" s="1255"/>
    </row>
    <row r="1256" spans="1:13" s="1444" customFormat="1">
      <c r="A1256" s="1305"/>
      <c r="B1256" s="1306"/>
      <c r="C1256" s="1255"/>
      <c r="D1256" s="1445"/>
      <c r="E1256" s="1446"/>
      <c r="F1256" s="1309"/>
      <c r="G1256" s="1255"/>
      <c r="H1256" s="1310"/>
      <c r="I1256" s="1311"/>
      <c r="J1256" s="1312"/>
      <c r="K1256" s="1313"/>
      <c r="L1256" s="1313"/>
      <c r="M1256" s="1255"/>
    </row>
    <row r="1257" spans="1:13" s="1444" customFormat="1">
      <c r="A1257" s="1305"/>
      <c r="B1257" s="1306"/>
      <c r="C1257" s="1255"/>
      <c r="D1257" s="1445"/>
      <c r="E1257" s="1446"/>
      <c r="F1257" s="1309"/>
      <c r="G1257" s="1255"/>
      <c r="H1257" s="1310"/>
      <c r="I1257" s="1311"/>
      <c r="J1257" s="1312"/>
      <c r="K1257" s="1313"/>
      <c r="L1257" s="1313"/>
      <c r="M1257" s="1255"/>
    </row>
    <row r="1258" spans="1:13" s="1444" customFormat="1">
      <c r="A1258" s="1305"/>
      <c r="B1258" s="1306"/>
      <c r="C1258" s="1255"/>
      <c r="D1258" s="1445"/>
      <c r="E1258" s="1446"/>
      <c r="F1258" s="1309"/>
      <c r="G1258" s="1255"/>
      <c r="H1258" s="1310"/>
      <c r="I1258" s="1311"/>
      <c r="J1258" s="1312"/>
      <c r="K1258" s="1313"/>
      <c r="L1258" s="1313"/>
      <c r="M1258" s="1255"/>
    </row>
    <row r="1259" spans="1:13" s="1444" customFormat="1">
      <c r="A1259" s="1305"/>
      <c r="B1259" s="1306"/>
      <c r="C1259" s="1255"/>
      <c r="D1259" s="1445"/>
      <c r="E1259" s="1446"/>
      <c r="F1259" s="1309"/>
      <c r="G1259" s="1255"/>
      <c r="H1259" s="1310"/>
      <c r="I1259" s="1311"/>
      <c r="J1259" s="1312"/>
      <c r="K1259" s="1313"/>
      <c r="L1259" s="1313"/>
      <c r="M1259" s="1255"/>
    </row>
    <row r="1260" spans="1:13" s="1444" customFormat="1">
      <c r="A1260" s="1305"/>
      <c r="B1260" s="1306"/>
      <c r="C1260" s="1255"/>
      <c r="D1260" s="1445"/>
      <c r="E1260" s="1446"/>
      <c r="F1260" s="1309"/>
      <c r="G1260" s="1255"/>
      <c r="H1260" s="1310"/>
      <c r="I1260" s="1311"/>
      <c r="J1260" s="1312"/>
      <c r="K1260" s="1313"/>
      <c r="L1260" s="1313"/>
      <c r="M1260" s="1255"/>
    </row>
    <row r="1261" spans="1:13" s="1444" customFormat="1">
      <c r="A1261" s="1305"/>
      <c r="B1261" s="1306"/>
      <c r="C1261" s="1255"/>
      <c r="D1261" s="1445"/>
      <c r="E1261" s="1446"/>
      <c r="F1261" s="1309"/>
      <c r="G1261" s="1255"/>
      <c r="H1261" s="1310"/>
      <c r="I1261" s="1311"/>
      <c r="J1261" s="1312"/>
      <c r="K1261" s="1313"/>
      <c r="L1261" s="1313"/>
      <c r="M1261" s="1255"/>
    </row>
    <row r="1262" spans="1:13" s="1444" customFormat="1">
      <c r="A1262" s="1305"/>
      <c r="B1262" s="1306"/>
      <c r="C1262" s="1255"/>
      <c r="D1262" s="1445"/>
      <c r="E1262" s="1446"/>
      <c r="F1262" s="1309"/>
      <c r="G1262" s="1255"/>
      <c r="H1262" s="1310"/>
      <c r="I1262" s="1311"/>
      <c r="J1262" s="1312"/>
      <c r="K1262" s="1313"/>
      <c r="L1262" s="1313"/>
      <c r="M1262" s="1255"/>
    </row>
    <row r="1263" spans="1:13" s="1444" customFormat="1">
      <c r="A1263" s="1305"/>
      <c r="B1263" s="1306"/>
      <c r="C1263" s="1255"/>
      <c r="D1263" s="1445"/>
      <c r="E1263" s="1446"/>
      <c r="F1263" s="1309"/>
      <c r="G1263" s="1255"/>
      <c r="H1263" s="1310"/>
      <c r="I1263" s="1311"/>
      <c r="J1263" s="1312"/>
      <c r="K1263" s="1313"/>
      <c r="L1263" s="1313"/>
      <c r="M1263" s="1255"/>
    </row>
    <row r="1264" spans="1:13" s="1444" customFormat="1">
      <c r="A1264" s="1305"/>
      <c r="B1264" s="1306"/>
      <c r="C1264" s="1255"/>
      <c r="D1264" s="1445"/>
      <c r="E1264" s="1446"/>
      <c r="F1264" s="1309"/>
      <c r="G1264" s="1255"/>
      <c r="H1264" s="1310"/>
      <c r="I1264" s="1311"/>
      <c r="J1264" s="1312"/>
      <c r="K1264" s="1313"/>
      <c r="L1264" s="1313"/>
      <c r="M1264" s="1255"/>
    </row>
    <row r="1265" spans="1:13" s="1444" customFormat="1">
      <c r="A1265" s="1305"/>
      <c r="B1265" s="1306"/>
      <c r="C1265" s="1255"/>
      <c r="D1265" s="1445"/>
      <c r="E1265" s="1446"/>
      <c r="F1265" s="1309"/>
      <c r="G1265" s="1255"/>
      <c r="H1265" s="1310"/>
      <c r="I1265" s="1311"/>
      <c r="J1265" s="1312"/>
      <c r="K1265" s="1313"/>
      <c r="L1265" s="1313"/>
      <c r="M1265" s="1255"/>
    </row>
    <row r="1266" spans="1:13" s="1444" customFormat="1">
      <c r="A1266" s="1305"/>
      <c r="B1266" s="1306"/>
      <c r="C1266" s="1255"/>
      <c r="D1266" s="1445"/>
      <c r="E1266" s="1446"/>
      <c r="F1266" s="1309"/>
      <c r="G1266" s="1255"/>
      <c r="H1266" s="1310"/>
      <c r="I1266" s="1311"/>
      <c r="J1266" s="1312"/>
      <c r="K1266" s="1313"/>
      <c r="L1266" s="1313"/>
      <c r="M1266" s="1255"/>
    </row>
    <row r="1267" spans="1:13" s="1444" customFormat="1">
      <c r="A1267" s="1305"/>
      <c r="B1267" s="1306"/>
      <c r="C1267" s="1255"/>
      <c r="D1267" s="1445"/>
      <c r="E1267" s="1446"/>
      <c r="F1267" s="1309"/>
      <c r="G1267" s="1255"/>
      <c r="H1267" s="1310"/>
      <c r="I1267" s="1311"/>
      <c r="J1267" s="1312"/>
      <c r="K1267" s="1313"/>
      <c r="L1267" s="1313"/>
      <c r="M1267" s="1255"/>
    </row>
    <row r="1268" spans="1:13" s="1444" customFormat="1">
      <c r="A1268" s="1305"/>
      <c r="B1268" s="1306"/>
      <c r="C1268" s="1255"/>
      <c r="D1268" s="1445"/>
      <c r="E1268" s="1446"/>
      <c r="F1268" s="1309"/>
      <c r="G1268" s="1255"/>
      <c r="H1268" s="1310"/>
      <c r="I1268" s="1311"/>
      <c r="J1268" s="1312"/>
      <c r="K1268" s="1313"/>
      <c r="L1268" s="1313"/>
      <c r="M1268" s="1255"/>
    </row>
    <row r="1269" spans="1:13" s="1444" customFormat="1">
      <c r="A1269" s="1305"/>
      <c r="B1269" s="1306"/>
      <c r="C1269" s="1255"/>
      <c r="D1269" s="1445"/>
      <c r="E1269" s="1446"/>
      <c r="F1269" s="1309"/>
      <c r="G1269" s="1255"/>
      <c r="H1269" s="1310"/>
      <c r="I1269" s="1311"/>
      <c r="J1269" s="1312"/>
      <c r="K1269" s="1313"/>
      <c r="L1269" s="1313"/>
      <c r="M1269" s="1255"/>
    </row>
    <row r="1270" spans="1:13" s="1444" customFormat="1">
      <c r="A1270" s="1305"/>
      <c r="B1270" s="1306"/>
      <c r="C1270" s="1255"/>
      <c r="D1270" s="1445"/>
      <c r="E1270" s="1446"/>
      <c r="F1270" s="1309"/>
      <c r="G1270" s="1255"/>
      <c r="H1270" s="1310"/>
      <c r="I1270" s="1311"/>
      <c r="J1270" s="1312"/>
      <c r="K1270" s="1313"/>
      <c r="L1270" s="1313"/>
      <c r="M1270" s="1255"/>
    </row>
    <row r="1271" spans="1:13" s="1444" customFormat="1">
      <c r="A1271" s="1305"/>
      <c r="B1271" s="1306"/>
      <c r="C1271" s="1255"/>
      <c r="D1271" s="1445"/>
      <c r="E1271" s="1446"/>
      <c r="F1271" s="1309"/>
      <c r="G1271" s="1255"/>
      <c r="H1271" s="1310"/>
      <c r="I1271" s="1311"/>
      <c r="J1271" s="1312"/>
      <c r="K1271" s="1313"/>
      <c r="L1271" s="1313"/>
      <c r="M1271" s="1255"/>
    </row>
    <row r="1272" spans="1:13" s="1444" customFormat="1">
      <c r="A1272" s="1305"/>
      <c r="B1272" s="1306"/>
      <c r="C1272" s="1255"/>
      <c r="D1272" s="1445"/>
      <c r="E1272" s="1446"/>
      <c r="F1272" s="1309"/>
      <c r="G1272" s="1255"/>
      <c r="H1272" s="1310"/>
      <c r="I1272" s="1311"/>
      <c r="J1272" s="1312"/>
      <c r="K1272" s="1313"/>
      <c r="L1272" s="1313"/>
      <c r="M1272" s="1255"/>
    </row>
    <row r="1273" spans="1:13" s="1444" customFormat="1">
      <c r="A1273" s="1305"/>
      <c r="B1273" s="1306"/>
      <c r="C1273" s="1255"/>
      <c r="D1273" s="1445"/>
      <c r="E1273" s="1446"/>
      <c r="F1273" s="1309"/>
      <c r="G1273" s="1255"/>
      <c r="H1273" s="1310"/>
      <c r="I1273" s="1311"/>
      <c r="J1273" s="1312"/>
      <c r="K1273" s="1313"/>
      <c r="L1273" s="1313"/>
      <c r="M1273" s="1255"/>
    </row>
    <row r="1274" spans="1:13" s="1444" customFormat="1">
      <c r="A1274" s="1305"/>
      <c r="B1274" s="1306"/>
      <c r="C1274" s="1255"/>
      <c r="D1274" s="1445"/>
      <c r="E1274" s="1446"/>
      <c r="F1274" s="1309"/>
      <c r="G1274" s="1255"/>
      <c r="H1274" s="1310"/>
      <c r="I1274" s="1311"/>
      <c r="J1274" s="1312"/>
      <c r="K1274" s="1313"/>
      <c r="L1274" s="1313"/>
      <c r="M1274" s="1255"/>
    </row>
    <row r="1275" spans="1:13" s="1444" customFormat="1">
      <c r="A1275" s="1305"/>
      <c r="B1275" s="1306"/>
      <c r="C1275" s="1255"/>
      <c r="D1275" s="1445"/>
      <c r="E1275" s="1446"/>
      <c r="F1275" s="1309"/>
      <c r="G1275" s="1255"/>
      <c r="H1275" s="1310"/>
      <c r="I1275" s="1311"/>
      <c r="J1275" s="1312"/>
      <c r="K1275" s="1313"/>
      <c r="L1275" s="1313"/>
      <c r="M1275" s="1255"/>
    </row>
    <row r="1276" spans="1:13" s="1444" customFormat="1">
      <c r="A1276" s="1305"/>
      <c r="B1276" s="1306"/>
      <c r="C1276" s="1255"/>
      <c r="D1276" s="1445"/>
      <c r="E1276" s="1446"/>
      <c r="F1276" s="1309"/>
      <c r="G1276" s="1255"/>
      <c r="H1276" s="1310"/>
      <c r="I1276" s="1311"/>
      <c r="J1276" s="1312"/>
      <c r="K1276" s="1313"/>
      <c r="L1276" s="1313"/>
      <c r="M1276" s="1255"/>
    </row>
    <row r="1277" spans="1:13" s="1444" customFormat="1">
      <c r="A1277" s="1305"/>
      <c r="B1277" s="1306"/>
      <c r="C1277" s="1255"/>
      <c r="D1277" s="1445"/>
      <c r="E1277" s="1446"/>
      <c r="F1277" s="1309"/>
      <c r="G1277" s="1255"/>
      <c r="H1277" s="1310"/>
      <c r="I1277" s="1311"/>
      <c r="J1277" s="1312"/>
      <c r="K1277" s="1313"/>
      <c r="L1277" s="1313"/>
      <c r="M1277" s="1255"/>
    </row>
    <row r="1278" spans="1:13" s="1444" customFormat="1">
      <c r="A1278" s="1305"/>
      <c r="B1278" s="1306"/>
      <c r="C1278" s="1255"/>
      <c r="D1278" s="1445"/>
      <c r="E1278" s="1446"/>
      <c r="F1278" s="1309"/>
      <c r="G1278" s="1255"/>
      <c r="H1278" s="1310"/>
      <c r="I1278" s="1311"/>
      <c r="J1278" s="1312"/>
      <c r="K1278" s="1313"/>
      <c r="L1278" s="1313"/>
      <c r="M1278" s="1255"/>
    </row>
    <row r="1279" spans="1:13" s="1444" customFormat="1">
      <c r="A1279" s="1305"/>
      <c r="B1279" s="1306"/>
      <c r="C1279" s="1255"/>
      <c r="D1279" s="1445"/>
      <c r="E1279" s="1446"/>
      <c r="F1279" s="1309"/>
      <c r="G1279" s="1255"/>
      <c r="H1279" s="1310"/>
      <c r="I1279" s="1311"/>
      <c r="J1279" s="1312"/>
      <c r="K1279" s="1313"/>
      <c r="L1279" s="1313"/>
      <c r="M1279" s="1255"/>
    </row>
    <row r="1280" spans="1:13" s="1444" customFormat="1">
      <c r="A1280" s="1305"/>
      <c r="B1280" s="1306"/>
      <c r="C1280" s="1255"/>
      <c r="D1280" s="1445"/>
      <c r="E1280" s="1446"/>
      <c r="F1280" s="1309"/>
      <c r="G1280" s="1255"/>
      <c r="H1280" s="1310"/>
      <c r="I1280" s="1311"/>
      <c r="J1280" s="1312"/>
      <c r="K1280" s="1313"/>
      <c r="L1280" s="1313"/>
      <c r="M1280" s="1255"/>
    </row>
    <row r="1281" spans="1:13" s="1444" customFormat="1">
      <c r="A1281" s="1305"/>
      <c r="B1281" s="1306"/>
      <c r="C1281" s="1255"/>
      <c r="D1281" s="1445"/>
      <c r="E1281" s="1446"/>
      <c r="F1281" s="1309"/>
      <c r="G1281" s="1255"/>
      <c r="H1281" s="1310"/>
      <c r="I1281" s="1311"/>
      <c r="J1281" s="1312"/>
      <c r="K1281" s="1313"/>
      <c r="L1281" s="1313"/>
      <c r="M1281" s="1255"/>
    </row>
    <row r="1282" spans="1:13" s="1444" customFormat="1">
      <c r="A1282" s="1305"/>
      <c r="B1282" s="1306"/>
      <c r="C1282" s="1255"/>
      <c r="D1282" s="1445"/>
      <c r="E1282" s="1446"/>
      <c r="F1282" s="1309"/>
      <c r="G1282" s="1255"/>
      <c r="H1282" s="1310"/>
      <c r="I1282" s="1311"/>
      <c r="J1282" s="1312"/>
      <c r="K1282" s="1313"/>
      <c r="L1282" s="1313"/>
      <c r="M1282" s="1255"/>
    </row>
    <row r="1283" spans="1:13" s="1444" customFormat="1">
      <c r="A1283" s="1305"/>
      <c r="B1283" s="1306"/>
      <c r="C1283" s="1255"/>
      <c r="D1283" s="1445"/>
      <c r="E1283" s="1446"/>
      <c r="F1283" s="1309"/>
      <c r="G1283" s="1255"/>
      <c r="H1283" s="1310"/>
      <c r="I1283" s="1311"/>
      <c r="J1283" s="1312"/>
      <c r="K1283" s="1313"/>
      <c r="L1283" s="1313"/>
      <c r="M1283" s="1255"/>
    </row>
    <row r="1284" spans="1:13" s="1444" customFormat="1">
      <c r="A1284" s="1305"/>
      <c r="B1284" s="1306"/>
      <c r="C1284" s="1255"/>
      <c r="D1284" s="1445"/>
      <c r="E1284" s="1446"/>
      <c r="F1284" s="1309"/>
      <c r="G1284" s="1255"/>
      <c r="H1284" s="1310"/>
      <c r="I1284" s="1311"/>
      <c r="J1284" s="1312"/>
      <c r="K1284" s="1313"/>
      <c r="L1284" s="1313"/>
      <c r="M1284" s="1255"/>
    </row>
    <row r="1285" spans="1:13" s="1444" customFormat="1">
      <c r="A1285" s="1305"/>
      <c r="B1285" s="1306"/>
      <c r="C1285" s="1255"/>
      <c r="D1285" s="1445"/>
      <c r="E1285" s="1446"/>
      <c r="F1285" s="1309"/>
      <c r="G1285" s="1255"/>
      <c r="H1285" s="1310"/>
      <c r="I1285" s="1311"/>
      <c r="J1285" s="1312"/>
      <c r="K1285" s="1313"/>
      <c r="L1285" s="1313"/>
      <c r="M1285" s="1255"/>
    </row>
    <row r="1286" spans="1:13" s="1444" customFormat="1">
      <c r="A1286" s="1305"/>
      <c r="B1286" s="1306"/>
      <c r="C1286" s="1255"/>
      <c r="D1286" s="1445"/>
      <c r="E1286" s="1446"/>
      <c r="F1286" s="1309"/>
      <c r="G1286" s="1255"/>
      <c r="H1286" s="1310"/>
      <c r="I1286" s="1311"/>
      <c r="J1286" s="1312"/>
      <c r="K1286" s="1313"/>
      <c r="L1286" s="1313"/>
      <c r="M1286" s="1255"/>
    </row>
    <row r="1287" spans="1:13" s="1444" customFormat="1">
      <c r="A1287" s="1305"/>
      <c r="B1287" s="1306"/>
      <c r="C1287" s="1255"/>
      <c r="D1287" s="1445"/>
      <c r="E1287" s="1446"/>
      <c r="F1287" s="1309"/>
      <c r="G1287" s="1255"/>
      <c r="H1287" s="1310"/>
      <c r="I1287" s="1311"/>
      <c r="J1287" s="1312"/>
      <c r="K1287" s="1313"/>
      <c r="L1287" s="1313"/>
      <c r="M1287" s="1255"/>
    </row>
    <row r="1288" spans="1:13" s="1444" customFormat="1">
      <c r="A1288" s="1305"/>
      <c r="B1288" s="1306"/>
      <c r="C1288" s="1255"/>
      <c r="D1288" s="1445"/>
      <c r="E1288" s="1446"/>
      <c r="F1288" s="1309"/>
      <c r="G1288" s="1255"/>
      <c r="H1288" s="1310"/>
      <c r="I1288" s="1311"/>
      <c r="J1288" s="1312"/>
      <c r="K1288" s="1313"/>
      <c r="L1288" s="1313"/>
      <c r="M1288" s="1255"/>
    </row>
    <row r="1289" spans="1:13" s="1444" customFormat="1">
      <c r="A1289" s="1305"/>
      <c r="B1289" s="1306"/>
      <c r="C1289" s="1255"/>
      <c r="D1289" s="1445"/>
      <c r="E1289" s="1446"/>
      <c r="F1289" s="1309"/>
      <c r="G1289" s="1255"/>
      <c r="H1289" s="1310"/>
      <c r="I1289" s="1311"/>
      <c r="J1289" s="1312"/>
      <c r="K1289" s="1313"/>
      <c r="L1289" s="1313"/>
      <c r="M1289" s="1255"/>
    </row>
    <row r="1290" spans="1:13" s="1444" customFormat="1">
      <c r="A1290" s="1305"/>
      <c r="B1290" s="1306"/>
      <c r="C1290" s="1255"/>
      <c r="D1290" s="1445"/>
      <c r="E1290" s="1446"/>
      <c r="F1290" s="1309"/>
      <c r="G1290" s="1255"/>
      <c r="H1290" s="1310"/>
      <c r="I1290" s="1311"/>
      <c r="J1290" s="1312"/>
      <c r="K1290" s="1313"/>
      <c r="L1290" s="1313"/>
      <c r="M1290" s="1255"/>
    </row>
    <row r="1291" spans="1:13" s="1444" customFormat="1">
      <c r="A1291" s="1305"/>
      <c r="B1291" s="1306"/>
      <c r="C1291" s="1255"/>
      <c r="D1291" s="1445"/>
      <c r="E1291" s="1446"/>
      <c r="F1291" s="1309"/>
      <c r="G1291" s="1255"/>
      <c r="H1291" s="1310"/>
      <c r="I1291" s="1311"/>
      <c r="J1291" s="1312"/>
      <c r="K1291" s="1313"/>
      <c r="L1291" s="1313"/>
      <c r="M1291" s="1255"/>
    </row>
    <row r="1292" spans="1:13" s="1444" customFormat="1">
      <c r="A1292" s="1305"/>
      <c r="B1292" s="1306"/>
      <c r="C1292" s="1255"/>
      <c r="D1292" s="1445"/>
      <c r="E1292" s="1446"/>
      <c r="F1292" s="1309"/>
      <c r="G1292" s="1255"/>
      <c r="H1292" s="1310"/>
      <c r="I1292" s="1311"/>
      <c r="J1292" s="1312"/>
      <c r="K1292" s="1313"/>
      <c r="L1292" s="1313"/>
      <c r="M1292" s="1255"/>
    </row>
    <row r="1293" spans="1:13" s="1444" customFormat="1">
      <c r="A1293" s="1305"/>
      <c r="B1293" s="1306"/>
      <c r="C1293" s="1255"/>
      <c r="D1293" s="1445"/>
      <c r="E1293" s="1446"/>
      <c r="F1293" s="1309"/>
      <c r="G1293" s="1255"/>
      <c r="H1293" s="1310"/>
      <c r="I1293" s="1311"/>
      <c r="J1293" s="1312"/>
      <c r="K1293" s="1313"/>
      <c r="L1293" s="1313"/>
      <c r="M1293" s="1255"/>
    </row>
    <row r="1294" spans="1:13" s="1444" customFormat="1">
      <c r="A1294" s="1305"/>
      <c r="B1294" s="1306"/>
      <c r="C1294" s="1255"/>
      <c r="D1294" s="1445"/>
      <c r="E1294" s="1446"/>
      <c r="F1294" s="1309"/>
      <c r="G1294" s="1255"/>
      <c r="H1294" s="1310"/>
      <c r="I1294" s="1311"/>
      <c r="J1294" s="1312"/>
      <c r="K1294" s="1313"/>
      <c r="L1294" s="1313"/>
      <c r="M1294" s="1255"/>
    </row>
    <row r="1295" spans="1:13" s="1444" customFormat="1">
      <c r="A1295" s="1305"/>
      <c r="B1295" s="1306"/>
      <c r="C1295" s="1255"/>
      <c r="D1295" s="1445"/>
      <c r="E1295" s="1446"/>
      <c r="F1295" s="1309"/>
      <c r="G1295" s="1255"/>
      <c r="H1295" s="1310"/>
      <c r="I1295" s="1311"/>
      <c r="J1295" s="1312"/>
      <c r="K1295" s="1313"/>
      <c r="L1295" s="1313"/>
      <c r="M1295" s="1255"/>
    </row>
    <row r="1296" spans="1:13" s="1444" customFormat="1">
      <c r="A1296" s="1305"/>
      <c r="B1296" s="1306"/>
      <c r="C1296" s="1255"/>
      <c r="D1296" s="1445"/>
      <c r="E1296" s="1446"/>
      <c r="F1296" s="1309"/>
      <c r="G1296" s="1255"/>
      <c r="H1296" s="1310"/>
      <c r="I1296" s="1311"/>
      <c r="J1296" s="1312"/>
      <c r="K1296" s="1313"/>
      <c r="L1296" s="1313"/>
      <c r="M1296" s="1255"/>
    </row>
    <row r="1297" spans="1:13" s="1444" customFormat="1">
      <c r="A1297" s="1305"/>
      <c r="B1297" s="1306"/>
      <c r="C1297" s="1255"/>
      <c r="D1297" s="1445"/>
      <c r="E1297" s="1446"/>
      <c r="F1297" s="1309"/>
      <c r="G1297" s="1255"/>
      <c r="H1297" s="1310"/>
      <c r="I1297" s="1311"/>
      <c r="J1297" s="1312"/>
      <c r="K1297" s="1313"/>
      <c r="L1297" s="1313"/>
      <c r="M1297" s="1255"/>
    </row>
    <row r="1298" spans="1:13" s="1444" customFormat="1">
      <c r="A1298" s="1305"/>
      <c r="B1298" s="1306"/>
      <c r="C1298" s="1255"/>
      <c r="D1298" s="1445"/>
      <c r="E1298" s="1446"/>
      <c r="F1298" s="1309"/>
      <c r="G1298" s="1255"/>
      <c r="H1298" s="1310"/>
      <c r="I1298" s="1311"/>
      <c r="J1298" s="1312"/>
      <c r="K1298" s="1313"/>
      <c r="L1298" s="1313"/>
      <c r="M1298" s="1255"/>
    </row>
    <row r="1299" spans="1:13" s="1444" customFormat="1">
      <c r="A1299" s="1305"/>
      <c r="B1299" s="1306"/>
      <c r="C1299" s="1255"/>
      <c r="D1299" s="1445"/>
      <c r="E1299" s="1446"/>
      <c r="F1299" s="1309"/>
      <c r="G1299" s="1255"/>
      <c r="H1299" s="1310"/>
      <c r="I1299" s="1311"/>
      <c r="J1299" s="1312"/>
      <c r="K1299" s="1313"/>
      <c r="L1299" s="1313"/>
      <c r="M1299" s="1255"/>
    </row>
    <row r="1300" spans="1:13" s="1444" customFormat="1">
      <c r="A1300" s="1305"/>
      <c r="B1300" s="1306"/>
      <c r="C1300" s="1255"/>
      <c r="D1300" s="1445"/>
      <c r="E1300" s="1446"/>
      <c r="F1300" s="1309"/>
      <c r="G1300" s="1255"/>
      <c r="H1300" s="1310"/>
      <c r="I1300" s="1311"/>
      <c r="J1300" s="1312"/>
      <c r="K1300" s="1313"/>
      <c r="L1300" s="1313"/>
      <c r="M1300" s="1255"/>
    </row>
    <row r="1301" spans="1:13" s="1444" customFormat="1">
      <c r="A1301" s="1305"/>
      <c r="B1301" s="1306"/>
      <c r="C1301" s="1255"/>
      <c r="D1301" s="1445"/>
      <c r="E1301" s="1446"/>
      <c r="F1301" s="1309"/>
      <c r="G1301" s="1255"/>
      <c r="H1301" s="1310"/>
      <c r="I1301" s="1311"/>
      <c r="J1301" s="1312"/>
      <c r="K1301" s="1313"/>
      <c r="L1301" s="1313"/>
      <c r="M1301" s="1255"/>
    </row>
    <row r="1302" spans="1:13" s="1444" customFormat="1">
      <c r="A1302" s="1305"/>
      <c r="B1302" s="1306"/>
      <c r="C1302" s="1255"/>
      <c r="D1302" s="1445"/>
      <c r="E1302" s="1446"/>
      <c r="F1302" s="1309"/>
      <c r="G1302" s="1255"/>
      <c r="H1302" s="1310"/>
      <c r="I1302" s="1311"/>
      <c r="J1302" s="1312"/>
      <c r="K1302" s="1313"/>
      <c r="L1302" s="1313"/>
      <c r="M1302" s="1255"/>
    </row>
    <row r="1303" spans="1:13" s="1444" customFormat="1">
      <c r="A1303" s="1305"/>
      <c r="B1303" s="1306"/>
      <c r="C1303" s="1255"/>
      <c r="D1303" s="1445"/>
      <c r="E1303" s="1446"/>
      <c r="F1303" s="1309"/>
      <c r="G1303" s="1255"/>
      <c r="H1303" s="1310"/>
      <c r="I1303" s="1311"/>
      <c r="J1303" s="1312"/>
      <c r="K1303" s="1313"/>
      <c r="L1303" s="1313"/>
      <c r="M1303" s="1255"/>
    </row>
    <row r="1304" spans="1:13" s="1444" customFormat="1">
      <c r="A1304" s="1305"/>
      <c r="B1304" s="1306"/>
      <c r="C1304" s="1255"/>
      <c r="D1304" s="1445"/>
      <c r="E1304" s="1446"/>
      <c r="F1304" s="1309"/>
      <c r="G1304" s="1255"/>
      <c r="H1304" s="1310"/>
      <c r="I1304" s="1311"/>
      <c r="J1304" s="1312"/>
      <c r="K1304" s="1313"/>
      <c r="L1304" s="1313"/>
      <c r="M1304" s="1255"/>
    </row>
    <row r="1305" spans="1:13" s="1444" customFormat="1">
      <c r="A1305" s="1305"/>
      <c r="B1305" s="1306"/>
      <c r="C1305" s="1255"/>
      <c r="D1305" s="1445"/>
      <c r="E1305" s="1446"/>
      <c r="F1305" s="1309"/>
      <c r="G1305" s="1255"/>
      <c r="H1305" s="1310"/>
      <c r="I1305" s="1311"/>
      <c r="J1305" s="1312"/>
      <c r="K1305" s="1313"/>
      <c r="L1305" s="1313"/>
      <c r="M1305" s="1255"/>
    </row>
    <row r="1306" spans="1:13" s="1444" customFormat="1">
      <c r="A1306" s="1305"/>
      <c r="B1306" s="1306"/>
      <c r="C1306" s="1255"/>
      <c r="D1306" s="1445"/>
      <c r="E1306" s="1446"/>
      <c r="F1306" s="1309"/>
      <c r="G1306" s="1255"/>
      <c r="H1306" s="1310"/>
      <c r="I1306" s="1311"/>
      <c r="J1306" s="1312"/>
      <c r="K1306" s="1313"/>
      <c r="L1306" s="1313"/>
      <c r="M1306" s="1255"/>
    </row>
    <row r="1307" spans="1:13" s="1444" customFormat="1">
      <c r="A1307" s="1305"/>
      <c r="B1307" s="1306"/>
      <c r="C1307" s="1255"/>
      <c r="D1307" s="1445"/>
      <c r="E1307" s="1446"/>
      <c r="F1307" s="1309"/>
      <c r="G1307" s="1255"/>
      <c r="H1307" s="1310"/>
      <c r="I1307" s="1311"/>
      <c r="J1307" s="1312"/>
      <c r="K1307" s="1313"/>
      <c r="L1307" s="1313"/>
      <c r="M1307" s="1255"/>
    </row>
    <row r="1308" spans="1:13" s="1444" customFormat="1">
      <c r="A1308" s="1305"/>
      <c r="B1308" s="1306"/>
      <c r="C1308" s="1255"/>
      <c r="D1308" s="1445"/>
      <c r="E1308" s="1446"/>
      <c r="F1308" s="1309"/>
      <c r="G1308" s="1255"/>
      <c r="H1308" s="1310"/>
      <c r="I1308" s="1311"/>
      <c r="J1308" s="1312"/>
      <c r="K1308" s="1313"/>
      <c r="L1308" s="1313"/>
      <c r="M1308" s="1255"/>
    </row>
    <row r="1309" spans="1:13" s="1444" customFormat="1">
      <c r="A1309" s="1305"/>
      <c r="B1309" s="1306"/>
      <c r="C1309" s="1255"/>
      <c r="D1309" s="1445"/>
      <c r="E1309" s="1446"/>
      <c r="F1309" s="1309"/>
      <c r="G1309" s="1255"/>
      <c r="H1309" s="1310"/>
      <c r="I1309" s="1311"/>
      <c r="J1309" s="1312"/>
      <c r="K1309" s="1313"/>
      <c r="L1309" s="1313"/>
      <c r="M1309" s="1255"/>
    </row>
    <row r="1310" spans="1:13" s="1444" customFormat="1">
      <c r="A1310" s="1305"/>
      <c r="B1310" s="1306"/>
      <c r="C1310" s="1255"/>
      <c r="D1310" s="1445"/>
      <c r="E1310" s="1446"/>
      <c r="F1310" s="1309"/>
      <c r="G1310" s="1255"/>
      <c r="H1310" s="1310"/>
      <c r="I1310" s="1311"/>
      <c r="J1310" s="1312"/>
      <c r="K1310" s="1313"/>
      <c r="L1310" s="1313"/>
      <c r="M1310" s="1255"/>
    </row>
    <row r="1311" spans="1:13" s="1444" customFormat="1">
      <c r="A1311" s="1305"/>
      <c r="B1311" s="1306"/>
      <c r="C1311" s="1255"/>
      <c r="D1311" s="1445"/>
      <c r="E1311" s="1446"/>
      <c r="F1311" s="1309"/>
      <c r="G1311" s="1255"/>
      <c r="H1311" s="1310"/>
      <c r="I1311" s="1311"/>
      <c r="J1311" s="1312"/>
      <c r="K1311" s="1313"/>
      <c r="L1311" s="1313"/>
      <c r="M1311" s="1255"/>
    </row>
    <row r="1312" spans="1:13" s="1444" customFormat="1">
      <c r="A1312" s="1305"/>
      <c r="B1312" s="1306"/>
      <c r="C1312" s="1255"/>
      <c r="D1312" s="1445"/>
      <c r="E1312" s="1446"/>
      <c r="F1312" s="1309"/>
      <c r="G1312" s="1255"/>
      <c r="H1312" s="1310"/>
      <c r="I1312" s="1311"/>
      <c r="J1312" s="1312"/>
      <c r="K1312" s="1313"/>
      <c r="L1312" s="1313"/>
      <c r="M1312" s="1255"/>
    </row>
    <row r="1313" spans="1:13" s="1444" customFormat="1">
      <c r="A1313" s="1305"/>
      <c r="B1313" s="1306"/>
      <c r="C1313" s="1255"/>
      <c r="D1313" s="1445"/>
      <c r="E1313" s="1446"/>
      <c r="F1313" s="1309"/>
      <c r="G1313" s="1255"/>
      <c r="H1313" s="1310"/>
      <c r="I1313" s="1311"/>
      <c r="J1313" s="1312"/>
      <c r="K1313" s="1313"/>
      <c r="L1313" s="1313"/>
      <c r="M1313" s="1255"/>
    </row>
    <row r="1314" spans="1:13" s="1444" customFormat="1">
      <c r="A1314" s="1305"/>
      <c r="B1314" s="1306"/>
      <c r="C1314" s="1255"/>
      <c r="D1314" s="1445"/>
      <c r="E1314" s="1446"/>
      <c r="F1314" s="1309"/>
      <c r="G1314" s="1255"/>
      <c r="H1314" s="1310"/>
      <c r="I1314" s="1311"/>
      <c r="J1314" s="1312"/>
      <c r="K1314" s="1313"/>
      <c r="L1314" s="1313"/>
      <c r="M1314" s="1255"/>
    </row>
    <row r="1315" spans="1:13" s="1444" customFormat="1">
      <c r="A1315" s="1305"/>
      <c r="B1315" s="1306"/>
      <c r="C1315" s="1255"/>
      <c r="D1315" s="1445"/>
      <c r="E1315" s="1446"/>
      <c r="F1315" s="1309"/>
      <c r="G1315" s="1255"/>
      <c r="H1315" s="1310"/>
      <c r="I1315" s="1311"/>
      <c r="J1315" s="1312"/>
      <c r="K1315" s="1313"/>
      <c r="L1315" s="1313"/>
      <c r="M1315" s="1255"/>
    </row>
    <row r="1316" spans="1:13" s="1444" customFormat="1">
      <c r="A1316" s="1305"/>
      <c r="B1316" s="1306"/>
      <c r="C1316" s="1255"/>
      <c r="D1316" s="1445"/>
      <c r="E1316" s="1446"/>
      <c r="F1316" s="1309"/>
      <c r="G1316" s="1255"/>
      <c r="H1316" s="1310"/>
      <c r="I1316" s="1311"/>
      <c r="J1316" s="1312"/>
      <c r="K1316" s="1313"/>
      <c r="L1316" s="1313"/>
      <c r="M1316" s="1255"/>
    </row>
    <row r="1317" spans="1:13" s="1444" customFormat="1">
      <c r="A1317" s="1305"/>
      <c r="B1317" s="1306"/>
      <c r="C1317" s="1255"/>
      <c r="D1317" s="1445"/>
      <c r="E1317" s="1446"/>
      <c r="F1317" s="1309"/>
      <c r="G1317" s="1255"/>
      <c r="H1317" s="1310"/>
      <c r="I1317" s="1311"/>
      <c r="J1317" s="1312"/>
      <c r="K1317" s="1313"/>
      <c r="L1317" s="1313"/>
      <c r="M1317" s="1255"/>
    </row>
    <row r="1318" spans="1:13" s="1444" customFormat="1">
      <c r="A1318" s="1305"/>
      <c r="B1318" s="1306"/>
      <c r="C1318" s="1255"/>
      <c r="D1318" s="1445"/>
      <c r="E1318" s="1446"/>
      <c r="F1318" s="1309"/>
      <c r="G1318" s="1255"/>
      <c r="H1318" s="1310"/>
      <c r="I1318" s="1311"/>
      <c r="J1318" s="1312"/>
      <c r="K1318" s="1313"/>
      <c r="L1318" s="1313"/>
      <c r="M1318" s="1255"/>
    </row>
    <row r="1319" spans="1:13" s="1444" customFormat="1">
      <c r="A1319" s="1305"/>
      <c r="B1319" s="1306"/>
      <c r="C1319" s="1255"/>
      <c r="D1319" s="1445"/>
      <c r="E1319" s="1446"/>
      <c r="F1319" s="1309"/>
      <c r="G1319" s="1255"/>
      <c r="H1319" s="1310"/>
      <c r="I1319" s="1311"/>
      <c r="J1319" s="1312"/>
      <c r="K1319" s="1313"/>
      <c r="L1319" s="1313"/>
      <c r="M1319" s="1255"/>
    </row>
    <row r="1320" spans="1:13" s="1444" customFormat="1">
      <c r="A1320" s="1305"/>
      <c r="B1320" s="1306"/>
      <c r="C1320" s="1255"/>
      <c r="D1320" s="1445"/>
      <c r="E1320" s="1446"/>
      <c r="F1320" s="1309"/>
      <c r="G1320" s="1255"/>
      <c r="H1320" s="1310"/>
      <c r="I1320" s="1311"/>
      <c r="J1320" s="1312"/>
      <c r="K1320" s="1313"/>
      <c r="L1320" s="1313"/>
      <c r="M1320" s="1255"/>
    </row>
    <row r="1321" spans="1:13" s="1444" customFormat="1">
      <c r="A1321" s="1305"/>
      <c r="B1321" s="1306"/>
      <c r="C1321" s="1255"/>
      <c r="D1321" s="1445"/>
      <c r="E1321" s="1446"/>
      <c r="F1321" s="1309"/>
      <c r="G1321" s="1255"/>
      <c r="H1321" s="1310"/>
      <c r="I1321" s="1311"/>
      <c r="J1321" s="1312"/>
      <c r="K1321" s="1313"/>
      <c r="L1321" s="1313"/>
      <c r="M1321" s="1255"/>
    </row>
    <row r="1322" spans="1:13" s="1444" customFormat="1">
      <c r="A1322" s="1305"/>
      <c r="B1322" s="1306"/>
      <c r="C1322" s="1255"/>
      <c r="D1322" s="1445"/>
      <c r="E1322" s="1446"/>
      <c r="F1322" s="1309"/>
      <c r="G1322" s="1255"/>
      <c r="H1322" s="1310"/>
      <c r="I1322" s="1311"/>
      <c r="J1322" s="1312"/>
      <c r="K1322" s="1313"/>
      <c r="L1322" s="1313"/>
      <c r="M1322" s="1255"/>
    </row>
    <row r="1323" spans="1:13" s="1444" customFormat="1">
      <c r="A1323" s="1305"/>
      <c r="B1323" s="1306"/>
      <c r="C1323" s="1255"/>
      <c r="D1323" s="1445"/>
      <c r="E1323" s="1446"/>
      <c r="F1323" s="1309"/>
      <c r="G1323" s="1255"/>
      <c r="H1323" s="1310"/>
      <c r="I1323" s="1311"/>
      <c r="J1323" s="1312"/>
      <c r="K1323" s="1313"/>
      <c r="L1323" s="1313"/>
      <c r="M1323" s="1255"/>
    </row>
    <row r="1324" spans="1:13" s="1444" customFormat="1">
      <c r="A1324" s="1305"/>
      <c r="B1324" s="1306"/>
      <c r="C1324" s="1255"/>
      <c r="D1324" s="1445"/>
      <c r="E1324" s="1446"/>
      <c r="F1324" s="1309"/>
      <c r="G1324" s="1255"/>
      <c r="H1324" s="1310"/>
      <c r="I1324" s="1311"/>
      <c r="J1324" s="1312"/>
      <c r="K1324" s="1313"/>
      <c r="L1324" s="1313"/>
      <c r="M1324" s="1255"/>
    </row>
    <row r="1325" spans="1:13" s="1444" customFormat="1">
      <c r="A1325" s="1305"/>
      <c r="B1325" s="1306"/>
      <c r="C1325" s="1255"/>
      <c r="D1325" s="1445"/>
      <c r="E1325" s="1446"/>
      <c r="F1325" s="1309"/>
      <c r="G1325" s="1255"/>
      <c r="H1325" s="1310"/>
      <c r="I1325" s="1311"/>
      <c r="J1325" s="1312"/>
      <c r="K1325" s="1313"/>
      <c r="L1325" s="1313"/>
      <c r="M1325" s="1255"/>
    </row>
    <row r="1326" spans="1:13" s="1444" customFormat="1">
      <c r="A1326" s="1305"/>
      <c r="B1326" s="1306"/>
      <c r="C1326" s="1255"/>
      <c r="D1326" s="1445"/>
      <c r="E1326" s="1446"/>
      <c r="F1326" s="1309"/>
      <c r="G1326" s="1255"/>
      <c r="H1326" s="1310"/>
      <c r="I1326" s="1311"/>
      <c r="J1326" s="1312"/>
      <c r="K1326" s="1313"/>
      <c r="L1326" s="1313"/>
      <c r="M1326" s="1255"/>
    </row>
    <row r="1327" spans="1:13" s="1444" customFormat="1">
      <c r="A1327" s="1305"/>
      <c r="B1327" s="1306"/>
      <c r="C1327" s="1255"/>
      <c r="D1327" s="1445"/>
      <c r="E1327" s="1446"/>
      <c r="F1327" s="1309"/>
      <c r="G1327" s="1255"/>
      <c r="H1327" s="1310"/>
      <c r="I1327" s="1311"/>
      <c r="J1327" s="1312"/>
      <c r="K1327" s="1313"/>
      <c r="L1327" s="1313"/>
      <c r="M1327" s="1255"/>
    </row>
    <row r="1328" spans="1:13" s="1444" customFormat="1">
      <c r="A1328" s="1305"/>
      <c r="B1328" s="1306"/>
      <c r="C1328" s="1255"/>
      <c r="D1328" s="1445"/>
      <c r="E1328" s="1446"/>
      <c r="F1328" s="1309"/>
      <c r="G1328" s="1255"/>
      <c r="H1328" s="1310"/>
      <c r="I1328" s="1311"/>
      <c r="J1328" s="1312"/>
      <c r="K1328" s="1313"/>
      <c r="L1328" s="1313"/>
      <c r="M1328" s="1255"/>
    </row>
    <row r="1329" spans="1:13" s="1444" customFormat="1">
      <c r="A1329" s="1305"/>
      <c r="B1329" s="1306"/>
      <c r="C1329" s="1255"/>
      <c r="D1329" s="1445"/>
      <c r="E1329" s="1446"/>
      <c r="F1329" s="1309"/>
      <c r="G1329" s="1255"/>
      <c r="H1329" s="1310"/>
      <c r="I1329" s="1311"/>
      <c r="J1329" s="1312"/>
      <c r="K1329" s="1313"/>
      <c r="L1329" s="1313"/>
      <c r="M1329" s="1255"/>
    </row>
    <row r="1330" spans="1:13" s="1444" customFormat="1">
      <c r="A1330" s="1305"/>
      <c r="B1330" s="1306"/>
      <c r="C1330" s="1255"/>
      <c r="D1330" s="1445"/>
      <c r="E1330" s="1446"/>
      <c r="F1330" s="1309"/>
      <c r="G1330" s="1255"/>
      <c r="H1330" s="1310"/>
      <c r="I1330" s="1311"/>
      <c r="J1330" s="1312"/>
      <c r="K1330" s="1313"/>
      <c r="L1330" s="1313"/>
      <c r="M1330" s="1255"/>
    </row>
    <row r="1331" spans="1:13" s="1444" customFormat="1">
      <c r="A1331" s="1305"/>
      <c r="B1331" s="1306"/>
      <c r="C1331" s="1255"/>
      <c r="D1331" s="1445"/>
      <c r="E1331" s="1446"/>
      <c r="F1331" s="1309"/>
      <c r="G1331" s="1255"/>
      <c r="H1331" s="1310"/>
      <c r="I1331" s="1311"/>
      <c r="J1331" s="1312"/>
      <c r="K1331" s="1313"/>
      <c r="L1331" s="1313"/>
      <c r="M1331" s="1255"/>
    </row>
    <row r="1332" spans="1:13" s="1444" customFormat="1">
      <c r="A1332" s="1305"/>
      <c r="B1332" s="1306"/>
      <c r="C1332" s="1255"/>
      <c r="D1332" s="1445"/>
      <c r="E1332" s="1446"/>
      <c r="F1332" s="1309"/>
      <c r="G1332" s="1255"/>
      <c r="H1332" s="1310"/>
      <c r="I1332" s="1311"/>
      <c r="J1332" s="1312"/>
      <c r="K1332" s="1313"/>
      <c r="L1332" s="1313"/>
      <c r="M1332" s="1255"/>
    </row>
    <row r="1333" spans="1:13" s="1444" customFormat="1">
      <c r="A1333" s="1305"/>
      <c r="B1333" s="1306"/>
      <c r="C1333" s="1255"/>
      <c r="D1333" s="1445"/>
      <c r="E1333" s="1446"/>
      <c r="F1333" s="1309"/>
      <c r="G1333" s="1255"/>
      <c r="H1333" s="1310"/>
      <c r="I1333" s="1311"/>
      <c r="J1333" s="1312"/>
      <c r="K1333" s="1313"/>
      <c r="L1333" s="1313"/>
      <c r="M1333" s="1255"/>
    </row>
    <row r="1334" spans="1:13" s="1444" customFormat="1">
      <c r="A1334" s="1305"/>
      <c r="B1334" s="1306"/>
      <c r="C1334" s="1255"/>
      <c r="D1334" s="1445"/>
      <c r="E1334" s="1446"/>
      <c r="F1334" s="1309"/>
      <c r="G1334" s="1255"/>
      <c r="H1334" s="1310"/>
      <c r="I1334" s="1311"/>
      <c r="J1334" s="1312"/>
      <c r="K1334" s="1313"/>
      <c r="L1334" s="1313"/>
      <c r="M1334" s="1255"/>
    </row>
    <row r="1335" spans="1:13" s="1444" customFormat="1">
      <c r="A1335" s="1305"/>
      <c r="B1335" s="1306"/>
      <c r="C1335" s="1255"/>
      <c r="D1335" s="1445"/>
      <c r="E1335" s="1446"/>
      <c r="F1335" s="1309"/>
      <c r="G1335" s="1255"/>
      <c r="H1335" s="1310"/>
      <c r="I1335" s="1311"/>
      <c r="J1335" s="1312"/>
      <c r="K1335" s="1313"/>
      <c r="L1335" s="1313"/>
      <c r="M1335" s="1255"/>
    </row>
    <row r="1336" spans="1:13" s="1444" customFormat="1">
      <c r="A1336" s="1305"/>
      <c r="B1336" s="1306"/>
      <c r="C1336" s="1255"/>
      <c r="D1336" s="1445"/>
      <c r="E1336" s="1446"/>
      <c r="F1336" s="1309"/>
      <c r="G1336" s="1255"/>
      <c r="H1336" s="1310"/>
      <c r="I1336" s="1311"/>
      <c r="J1336" s="1312"/>
      <c r="K1336" s="1313"/>
      <c r="L1336" s="1313"/>
      <c r="M1336" s="1255"/>
    </row>
    <row r="1337" spans="1:13" s="1444" customFormat="1">
      <c r="A1337" s="1305"/>
      <c r="B1337" s="1306"/>
      <c r="C1337" s="1255"/>
      <c r="D1337" s="1445"/>
      <c r="E1337" s="1446"/>
      <c r="F1337" s="1309"/>
      <c r="G1337" s="1255"/>
      <c r="H1337" s="1310"/>
      <c r="I1337" s="1311"/>
      <c r="J1337" s="1312"/>
      <c r="K1337" s="1313"/>
      <c r="L1337" s="1313"/>
      <c r="M1337" s="1255"/>
    </row>
    <row r="1338" spans="1:13" s="1444" customFormat="1">
      <c r="A1338" s="1305"/>
      <c r="B1338" s="1306"/>
      <c r="C1338" s="1255"/>
      <c r="D1338" s="1445"/>
      <c r="E1338" s="1446"/>
      <c r="F1338" s="1309"/>
      <c r="G1338" s="1255"/>
      <c r="H1338" s="1310"/>
      <c r="I1338" s="1311"/>
      <c r="J1338" s="1312"/>
      <c r="K1338" s="1313"/>
      <c r="L1338" s="1313"/>
      <c r="M1338" s="1255"/>
    </row>
    <row r="1339" spans="1:13" s="1444" customFormat="1">
      <c r="A1339" s="1305"/>
      <c r="B1339" s="1306"/>
      <c r="C1339" s="1255"/>
      <c r="D1339" s="1445"/>
      <c r="E1339" s="1446"/>
      <c r="F1339" s="1309"/>
      <c r="G1339" s="1255"/>
      <c r="H1339" s="1310"/>
      <c r="I1339" s="1311"/>
      <c r="J1339" s="1312"/>
      <c r="K1339" s="1313"/>
      <c r="L1339" s="1313"/>
      <c r="M1339" s="1255"/>
    </row>
    <row r="1340" spans="1:13" s="1444" customFormat="1">
      <c r="A1340" s="1305"/>
      <c r="B1340" s="1306"/>
      <c r="C1340" s="1255"/>
      <c r="D1340" s="1445"/>
      <c r="E1340" s="1446"/>
      <c r="F1340" s="1309"/>
      <c r="G1340" s="1255"/>
      <c r="H1340" s="1310"/>
      <c r="I1340" s="1311"/>
      <c r="J1340" s="1312"/>
      <c r="K1340" s="1313"/>
      <c r="L1340" s="1313"/>
      <c r="M1340" s="1255"/>
    </row>
    <row r="1341" spans="1:13" s="1444" customFormat="1">
      <c r="A1341" s="1305"/>
      <c r="B1341" s="1306"/>
      <c r="C1341" s="1255"/>
      <c r="D1341" s="1445"/>
      <c r="E1341" s="1446"/>
      <c r="F1341" s="1309"/>
      <c r="G1341" s="1255"/>
      <c r="H1341" s="1310"/>
      <c r="I1341" s="1311"/>
      <c r="J1341" s="1312"/>
      <c r="K1341" s="1313"/>
      <c r="L1341" s="1313"/>
      <c r="M1341" s="1255"/>
    </row>
    <row r="1342" spans="1:13" s="1444" customFormat="1">
      <c r="A1342" s="1305"/>
      <c r="B1342" s="1306"/>
      <c r="C1342" s="1255"/>
      <c r="D1342" s="1445"/>
      <c r="E1342" s="1446"/>
      <c r="F1342" s="1309"/>
      <c r="G1342" s="1255"/>
      <c r="H1342" s="1310"/>
      <c r="I1342" s="1311"/>
      <c r="J1342" s="1312"/>
      <c r="K1342" s="1313"/>
      <c r="L1342" s="1313"/>
      <c r="M1342" s="1255"/>
    </row>
    <row r="1343" spans="1:13" s="1444" customFormat="1">
      <c r="A1343" s="1305"/>
      <c r="B1343" s="1306"/>
      <c r="C1343" s="1255"/>
      <c r="D1343" s="1445"/>
      <c r="E1343" s="1446"/>
      <c r="F1343" s="1309"/>
      <c r="G1343" s="1255"/>
      <c r="H1343" s="1310"/>
      <c r="I1343" s="1311"/>
      <c r="J1343" s="1312"/>
      <c r="K1343" s="1313"/>
      <c r="L1343" s="1313"/>
      <c r="M1343" s="1255"/>
    </row>
    <row r="1344" spans="1:13" s="1444" customFormat="1">
      <c r="A1344" s="1305"/>
      <c r="B1344" s="1306"/>
      <c r="C1344" s="1255"/>
      <c r="D1344" s="1445"/>
      <c r="E1344" s="1446"/>
      <c r="F1344" s="1309"/>
      <c r="G1344" s="1255"/>
      <c r="H1344" s="1310"/>
      <c r="I1344" s="1311"/>
      <c r="J1344" s="1312"/>
      <c r="K1344" s="1313"/>
      <c r="L1344" s="1313"/>
      <c r="M1344" s="1255"/>
    </row>
    <row r="1345" spans="1:13" s="1444" customFormat="1">
      <c r="A1345" s="1305"/>
      <c r="B1345" s="1306"/>
      <c r="C1345" s="1255"/>
      <c r="D1345" s="1445"/>
      <c r="E1345" s="1446"/>
      <c r="F1345" s="1309"/>
      <c r="G1345" s="1255"/>
      <c r="H1345" s="1310"/>
      <c r="I1345" s="1311"/>
      <c r="J1345" s="1312"/>
      <c r="K1345" s="1313"/>
      <c r="L1345" s="1313"/>
      <c r="M1345" s="1255"/>
    </row>
    <row r="1346" spans="1:13" s="1444" customFormat="1">
      <c r="A1346" s="1305"/>
      <c r="B1346" s="1306"/>
      <c r="C1346" s="1255"/>
      <c r="D1346" s="1445"/>
      <c r="E1346" s="1446"/>
      <c r="F1346" s="1309"/>
      <c r="G1346" s="1255"/>
      <c r="H1346" s="1310"/>
      <c r="I1346" s="1311"/>
      <c r="J1346" s="1312"/>
      <c r="K1346" s="1313"/>
      <c r="L1346" s="1313"/>
      <c r="M1346" s="1255"/>
    </row>
    <row r="1347" spans="1:13" s="1444" customFormat="1">
      <c r="A1347" s="1305"/>
      <c r="B1347" s="1306"/>
      <c r="C1347" s="1255"/>
      <c r="D1347" s="1445"/>
      <c r="E1347" s="1446"/>
      <c r="F1347" s="1309"/>
      <c r="G1347" s="1255"/>
      <c r="H1347" s="1310"/>
      <c r="I1347" s="1311"/>
      <c r="J1347" s="1312"/>
      <c r="K1347" s="1313"/>
      <c r="L1347" s="1313"/>
      <c r="M1347" s="1255"/>
    </row>
    <row r="1348" spans="1:13" s="1444" customFormat="1">
      <c r="A1348" s="1305"/>
      <c r="B1348" s="1306"/>
      <c r="C1348" s="1255"/>
      <c r="D1348" s="1445"/>
      <c r="E1348" s="1446"/>
      <c r="F1348" s="1309"/>
      <c r="G1348" s="1255"/>
      <c r="H1348" s="1310"/>
      <c r="I1348" s="1311"/>
      <c r="J1348" s="1312"/>
      <c r="K1348" s="1313"/>
      <c r="L1348" s="1313"/>
      <c r="M1348" s="1255"/>
    </row>
    <row r="1349" spans="1:13" s="1444" customFormat="1">
      <c r="A1349" s="1305"/>
      <c r="B1349" s="1306"/>
      <c r="C1349" s="1255"/>
      <c r="D1349" s="1445"/>
      <c r="E1349" s="1446"/>
      <c r="F1349" s="1309"/>
      <c r="G1349" s="1255"/>
      <c r="H1349" s="1310"/>
      <c r="I1349" s="1311"/>
      <c r="J1349" s="1312"/>
      <c r="K1349" s="1313"/>
      <c r="L1349" s="1313"/>
      <c r="M1349" s="1255"/>
    </row>
    <row r="1350" spans="1:13" s="1444" customFormat="1">
      <c r="A1350" s="1305"/>
      <c r="B1350" s="1306"/>
      <c r="C1350" s="1255"/>
      <c r="D1350" s="1445"/>
      <c r="E1350" s="1446"/>
      <c r="F1350" s="1309"/>
      <c r="G1350" s="1255"/>
      <c r="H1350" s="1310"/>
      <c r="I1350" s="1311"/>
      <c r="J1350" s="1312"/>
      <c r="K1350" s="1313"/>
      <c r="L1350" s="1313"/>
      <c r="M1350" s="1255"/>
    </row>
    <row r="1351" spans="1:13" s="1444" customFormat="1">
      <c r="A1351" s="1305"/>
      <c r="B1351" s="1306"/>
      <c r="C1351" s="1255"/>
      <c r="D1351" s="1445"/>
      <c r="E1351" s="1446"/>
      <c r="F1351" s="1309"/>
      <c r="G1351" s="1255"/>
      <c r="H1351" s="1310"/>
      <c r="I1351" s="1311"/>
      <c r="J1351" s="1312"/>
      <c r="K1351" s="1313"/>
      <c r="L1351" s="1313"/>
      <c r="M1351" s="1255"/>
    </row>
    <row r="1352" spans="1:13" s="1444" customFormat="1">
      <c r="A1352" s="1305"/>
      <c r="B1352" s="1306"/>
      <c r="C1352" s="1255"/>
      <c r="D1352" s="1445"/>
      <c r="E1352" s="1446"/>
      <c r="F1352" s="1309"/>
      <c r="G1352" s="1255"/>
      <c r="H1352" s="1310"/>
      <c r="I1352" s="1311"/>
      <c r="J1352" s="1312"/>
      <c r="K1352" s="1313"/>
      <c r="L1352" s="1313"/>
      <c r="M1352" s="1255"/>
    </row>
    <row r="1353" spans="1:13" s="1444" customFormat="1">
      <c r="A1353" s="1305"/>
      <c r="B1353" s="1306"/>
      <c r="C1353" s="1255"/>
      <c r="D1353" s="1445"/>
      <c r="E1353" s="1446"/>
      <c r="F1353" s="1309"/>
      <c r="G1353" s="1255"/>
      <c r="H1353" s="1310"/>
      <c r="I1353" s="1311"/>
      <c r="J1353" s="1312"/>
      <c r="K1353" s="1313"/>
      <c r="L1353" s="1313"/>
      <c r="M1353" s="1255"/>
    </row>
    <row r="1354" spans="1:13" s="1444" customFormat="1">
      <c r="A1354" s="1305"/>
      <c r="B1354" s="1306"/>
      <c r="C1354" s="1255"/>
      <c r="D1354" s="1445"/>
      <c r="E1354" s="1446"/>
      <c r="F1354" s="1309"/>
      <c r="G1354" s="1255"/>
      <c r="H1354" s="1310"/>
      <c r="I1354" s="1311"/>
      <c r="J1354" s="1312"/>
      <c r="K1354" s="1313"/>
      <c r="L1354" s="1313"/>
      <c r="M1354" s="1255"/>
    </row>
    <row r="1355" spans="1:13" s="1444" customFormat="1">
      <c r="A1355" s="1305"/>
      <c r="B1355" s="1306"/>
      <c r="C1355" s="1255"/>
      <c r="D1355" s="1445"/>
      <c r="E1355" s="1446"/>
      <c r="F1355" s="1309"/>
      <c r="G1355" s="1255"/>
      <c r="H1355" s="1310"/>
      <c r="I1355" s="1311"/>
      <c r="J1355" s="1312"/>
      <c r="K1355" s="1313"/>
      <c r="L1355" s="1313"/>
      <c r="M1355" s="1255"/>
    </row>
    <row r="1356" spans="1:13" s="1444" customFormat="1">
      <c r="A1356" s="1305"/>
      <c r="B1356" s="1306"/>
      <c r="C1356" s="1255"/>
      <c r="D1356" s="1445"/>
      <c r="E1356" s="1446"/>
      <c r="F1356" s="1309"/>
      <c r="G1356" s="1255"/>
      <c r="H1356" s="1310"/>
      <c r="I1356" s="1311"/>
      <c r="J1356" s="1312"/>
      <c r="K1356" s="1313"/>
      <c r="L1356" s="1313"/>
      <c r="M1356" s="1255"/>
    </row>
    <row r="1357" spans="1:13" s="1444" customFormat="1">
      <c r="A1357" s="1305"/>
      <c r="B1357" s="1306"/>
      <c r="C1357" s="1255"/>
      <c r="D1357" s="1445"/>
      <c r="E1357" s="1446"/>
      <c r="F1357" s="1309"/>
      <c r="G1357" s="1255"/>
      <c r="H1357" s="1310"/>
      <c r="I1357" s="1311"/>
      <c r="J1357" s="1312"/>
      <c r="K1357" s="1313"/>
      <c r="L1357" s="1313"/>
      <c r="M1357" s="1255"/>
    </row>
    <row r="1358" spans="1:13" s="1444" customFormat="1">
      <c r="A1358" s="1305"/>
      <c r="B1358" s="1306"/>
      <c r="C1358" s="1255"/>
      <c r="D1358" s="1445"/>
      <c r="E1358" s="1446"/>
      <c r="F1358" s="1309"/>
      <c r="G1358" s="1255"/>
      <c r="H1358" s="1310"/>
      <c r="I1358" s="1311"/>
      <c r="J1358" s="1312"/>
      <c r="K1358" s="1313"/>
      <c r="L1358" s="1313"/>
      <c r="M1358" s="1255"/>
    </row>
    <row r="1359" spans="1:13" s="1444" customFormat="1">
      <c r="A1359" s="1305"/>
      <c r="B1359" s="1306"/>
      <c r="C1359" s="1255"/>
      <c r="D1359" s="1445"/>
      <c r="E1359" s="1446"/>
      <c r="F1359" s="1309"/>
      <c r="G1359" s="1255"/>
      <c r="H1359" s="1310"/>
      <c r="I1359" s="1311"/>
      <c r="J1359" s="1312"/>
      <c r="K1359" s="1313"/>
      <c r="L1359" s="1313"/>
      <c r="M1359" s="1255"/>
    </row>
    <row r="1360" spans="1:13" s="1444" customFormat="1">
      <c r="A1360" s="1305"/>
      <c r="B1360" s="1306"/>
      <c r="C1360" s="1255"/>
      <c r="D1360" s="1445"/>
      <c r="E1360" s="1446"/>
      <c r="F1360" s="1309"/>
      <c r="G1360" s="1255"/>
      <c r="H1360" s="1310"/>
      <c r="I1360" s="1311"/>
      <c r="J1360" s="1312"/>
      <c r="K1360" s="1313"/>
      <c r="L1360" s="1313"/>
      <c r="M1360" s="1255"/>
    </row>
    <row r="1361" spans="1:13" s="1444" customFormat="1">
      <c r="A1361" s="1305"/>
      <c r="B1361" s="1306"/>
      <c r="C1361" s="1255"/>
      <c r="D1361" s="1445"/>
      <c r="E1361" s="1446"/>
      <c r="F1361" s="1309"/>
      <c r="G1361" s="1255"/>
      <c r="H1361" s="1310"/>
      <c r="I1361" s="1311"/>
      <c r="J1361" s="1312"/>
      <c r="K1361" s="1313"/>
      <c r="L1361" s="1313"/>
      <c r="M1361" s="1255"/>
    </row>
    <row r="1362" spans="1:13" s="1444" customFormat="1">
      <c r="A1362" s="1305"/>
      <c r="B1362" s="1306"/>
      <c r="C1362" s="1255"/>
      <c r="D1362" s="1445"/>
      <c r="E1362" s="1446"/>
      <c r="F1362" s="1309"/>
      <c r="G1362" s="1255"/>
      <c r="H1362" s="1310"/>
      <c r="I1362" s="1311"/>
      <c r="J1362" s="1312"/>
      <c r="K1362" s="1313"/>
      <c r="L1362" s="1313"/>
      <c r="M1362" s="1255"/>
    </row>
    <row r="1363" spans="1:13" s="1444" customFormat="1">
      <c r="A1363" s="1305"/>
      <c r="B1363" s="1306"/>
      <c r="C1363" s="1255"/>
      <c r="D1363" s="1445"/>
      <c r="E1363" s="1446"/>
      <c r="F1363" s="1309"/>
      <c r="G1363" s="1255"/>
      <c r="H1363" s="1310"/>
      <c r="I1363" s="1311"/>
      <c r="J1363" s="1312"/>
      <c r="K1363" s="1313"/>
      <c r="L1363" s="1313"/>
      <c r="M1363" s="1255"/>
    </row>
    <row r="1364" spans="1:13" s="1444" customFormat="1">
      <c r="A1364" s="1305"/>
      <c r="B1364" s="1306"/>
      <c r="C1364" s="1255"/>
      <c r="D1364" s="1445"/>
      <c r="E1364" s="1446"/>
      <c r="F1364" s="1309"/>
      <c r="G1364" s="1255"/>
      <c r="H1364" s="1310"/>
      <c r="I1364" s="1311"/>
      <c r="J1364" s="1312"/>
      <c r="K1364" s="1313"/>
      <c r="L1364" s="1313"/>
      <c r="M1364" s="1255"/>
    </row>
    <row r="1365" spans="1:13" s="1444" customFormat="1">
      <c r="A1365" s="1305"/>
      <c r="B1365" s="1306"/>
      <c r="C1365" s="1255"/>
      <c r="D1365" s="1445"/>
      <c r="E1365" s="1446"/>
      <c r="F1365" s="1309"/>
      <c r="G1365" s="1255"/>
      <c r="H1365" s="1310"/>
      <c r="I1365" s="1311"/>
      <c r="J1365" s="1312"/>
      <c r="K1365" s="1313"/>
      <c r="L1365" s="1313"/>
      <c r="M1365" s="1255"/>
    </row>
    <row r="1366" spans="1:13" s="1444" customFormat="1">
      <c r="A1366" s="1305"/>
      <c r="B1366" s="1306"/>
      <c r="C1366" s="1255"/>
      <c r="D1366" s="1445"/>
      <c r="E1366" s="1446"/>
      <c r="F1366" s="1309"/>
      <c r="G1366" s="1255"/>
      <c r="H1366" s="1310"/>
      <c r="I1366" s="1311"/>
      <c r="J1366" s="1312"/>
      <c r="K1366" s="1313"/>
      <c r="L1366" s="1313"/>
      <c r="M1366" s="1255"/>
    </row>
    <row r="1367" spans="1:13" s="1444" customFormat="1">
      <c r="A1367" s="1305"/>
      <c r="B1367" s="1306"/>
      <c r="C1367" s="1255"/>
      <c r="D1367" s="1445"/>
      <c r="E1367" s="1446"/>
      <c r="F1367" s="1309"/>
      <c r="G1367" s="1255"/>
      <c r="H1367" s="1310"/>
      <c r="I1367" s="1311"/>
      <c r="J1367" s="1312"/>
      <c r="K1367" s="1313"/>
      <c r="L1367" s="1313"/>
      <c r="M1367" s="1255"/>
    </row>
    <row r="1368" spans="1:13" s="1444" customFormat="1">
      <c r="A1368" s="1305"/>
      <c r="B1368" s="1306"/>
      <c r="C1368" s="1255"/>
      <c r="D1368" s="1445"/>
      <c r="E1368" s="1446"/>
      <c r="F1368" s="1309"/>
      <c r="G1368" s="1255"/>
      <c r="H1368" s="1310"/>
      <c r="I1368" s="1311"/>
      <c r="J1368" s="1312"/>
      <c r="K1368" s="1313"/>
      <c r="L1368" s="1313"/>
      <c r="M1368" s="1255"/>
    </row>
    <row r="1369" spans="1:13" s="1444" customFormat="1">
      <c r="A1369" s="1305"/>
      <c r="B1369" s="1306"/>
      <c r="C1369" s="1255"/>
      <c r="D1369" s="1445"/>
      <c r="E1369" s="1446"/>
      <c r="F1369" s="1309"/>
      <c r="G1369" s="1255"/>
      <c r="H1369" s="1310"/>
      <c r="I1369" s="1311"/>
      <c r="J1369" s="1312"/>
      <c r="K1369" s="1313"/>
      <c r="L1369" s="1313"/>
      <c r="M1369" s="1255"/>
    </row>
    <row r="1370" spans="1:13" s="1444" customFormat="1">
      <c r="A1370" s="1305"/>
      <c r="B1370" s="1306"/>
      <c r="C1370" s="1255"/>
      <c r="D1370" s="1445"/>
      <c r="E1370" s="1446"/>
      <c r="F1370" s="1309"/>
      <c r="G1370" s="1255"/>
      <c r="H1370" s="1310"/>
      <c r="I1370" s="1311"/>
      <c r="J1370" s="1312"/>
      <c r="K1370" s="1313"/>
      <c r="L1370" s="1313"/>
      <c r="M1370" s="1255"/>
    </row>
    <row r="1371" spans="1:13" s="1444" customFormat="1">
      <c r="A1371" s="1305"/>
      <c r="B1371" s="1306"/>
      <c r="C1371" s="1255"/>
      <c r="D1371" s="1445"/>
      <c r="E1371" s="1446"/>
      <c r="F1371" s="1309"/>
      <c r="G1371" s="1255"/>
      <c r="H1371" s="1310"/>
      <c r="I1371" s="1311"/>
      <c r="J1371" s="1312"/>
      <c r="K1371" s="1313"/>
      <c r="L1371" s="1313"/>
      <c r="M1371" s="1255"/>
    </row>
    <row r="1372" spans="1:13" s="1444" customFormat="1">
      <c r="A1372" s="1305"/>
      <c r="B1372" s="1306"/>
      <c r="C1372" s="1255"/>
      <c r="D1372" s="1445"/>
      <c r="E1372" s="1446"/>
      <c r="F1372" s="1309"/>
      <c r="G1372" s="1255"/>
      <c r="H1372" s="1310"/>
      <c r="I1372" s="1311"/>
      <c r="J1372" s="1312"/>
      <c r="K1372" s="1313"/>
      <c r="L1372" s="1313"/>
      <c r="M1372" s="1255"/>
    </row>
    <row r="1373" spans="1:13" s="1444" customFormat="1">
      <c r="A1373" s="1305"/>
      <c r="B1373" s="1306"/>
      <c r="C1373" s="1255"/>
      <c r="D1373" s="1445"/>
      <c r="E1373" s="1446"/>
      <c r="F1373" s="1309"/>
      <c r="G1373" s="1255"/>
      <c r="H1373" s="1310"/>
      <c r="I1373" s="1311"/>
      <c r="J1373" s="1312"/>
      <c r="K1373" s="1313"/>
      <c r="L1373" s="1313"/>
      <c r="M1373" s="1255"/>
    </row>
    <row r="1374" spans="1:13" s="1444" customFormat="1">
      <c r="A1374" s="1305"/>
      <c r="B1374" s="1306"/>
      <c r="C1374" s="1255"/>
      <c r="D1374" s="1445"/>
      <c r="E1374" s="1446"/>
      <c r="F1374" s="1309"/>
      <c r="G1374" s="1255"/>
      <c r="H1374" s="1310"/>
      <c r="I1374" s="1311"/>
      <c r="J1374" s="1312"/>
      <c r="K1374" s="1313"/>
      <c r="L1374" s="1313"/>
      <c r="M1374" s="1255"/>
    </row>
    <row r="1375" spans="1:13" s="1444" customFormat="1">
      <c r="A1375" s="1305"/>
      <c r="B1375" s="1306"/>
      <c r="C1375" s="1255"/>
      <c r="D1375" s="1445"/>
      <c r="E1375" s="1446"/>
      <c r="F1375" s="1309"/>
      <c r="G1375" s="1255"/>
      <c r="H1375" s="1310"/>
      <c r="I1375" s="1311"/>
      <c r="J1375" s="1312"/>
      <c r="K1375" s="1313"/>
      <c r="L1375" s="1313"/>
      <c r="M1375" s="1255"/>
    </row>
    <row r="1376" spans="1:13" s="1444" customFormat="1">
      <c r="A1376" s="1305"/>
      <c r="B1376" s="1306"/>
      <c r="C1376" s="1255"/>
      <c r="D1376" s="1445"/>
      <c r="E1376" s="1446"/>
      <c r="F1376" s="1309"/>
      <c r="G1376" s="1255"/>
      <c r="H1376" s="1310"/>
      <c r="I1376" s="1311"/>
      <c r="J1376" s="1312"/>
      <c r="K1376" s="1313"/>
      <c r="L1376" s="1313"/>
      <c r="M1376" s="1255"/>
    </row>
    <row r="1377" spans="1:13" s="1444" customFormat="1">
      <c r="A1377" s="1305"/>
      <c r="B1377" s="1306"/>
      <c r="C1377" s="1255"/>
      <c r="D1377" s="1445"/>
      <c r="E1377" s="1446"/>
      <c r="F1377" s="1309"/>
      <c r="G1377" s="1255"/>
      <c r="H1377" s="1310"/>
      <c r="I1377" s="1311"/>
      <c r="J1377" s="1312"/>
      <c r="K1377" s="1313"/>
      <c r="L1377" s="1313"/>
      <c r="M1377" s="1255"/>
    </row>
    <row r="1378" spans="1:13" s="1444" customFormat="1">
      <c r="A1378" s="1305"/>
      <c r="B1378" s="1306"/>
      <c r="C1378" s="1255"/>
      <c r="D1378" s="1445"/>
      <c r="E1378" s="1446"/>
      <c r="F1378" s="1309"/>
      <c r="G1378" s="1255"/>
      <c r="H1378" s="1310"/>
      <c r="I1378" s="1311"/>
      <c r="J1378" s="1312"/>
      <c r="K1378" s="1313"/>
      <c r="L1378" s="1313"/>
      <c r="M1378" s="1255"/>
    </row>
    <row r="1379" spans="1:13" s="1444" customFormat="1">
      <c r="A1379" s="1305"/>
      <c r="B1379" s="1306"/>
      <c r="C1379" s="1255"/>
      <c r="D1379" s="1445"/>
      <c r="E1379" s="1446"/>
      <c r="F1379" s="1309"/>
      <c r="G1379" s="1255"/>
      <c r="H1379" s="1310"/>
      <c r="I1379" s="1311"/>
      <c r="J1379" s="1312"/>
      <c r="K1379" s="1313"/>
      <c r="L1379" s="1313"/>
      <c r="M1379" s="1255"/>
    </row>
    <row r="1380" spans="1:13" s="1444" customFormat="1">
      <c r="A1380" s="1305"/>
      <c r="B1380" s="1306"/>
      <c r="C1380" s="1255"/>
      <c r="D1380" s="1445"/>
      <c r="E1380" s="1446"/>
      <c r="F1380" s="1309"/>
      <c r="G1380" s="1255"/>
      <c r="H1380" s="1310"/>
      <c r="I1380" s="1311"/>
      <c r="J1380" s="1312"/>
      <c r="K1380" s="1313"/>
      <c r="L1380" s="1313"/>
      <c r="M1380" s="1255"/>
    </row>
    <row r="1381" spans="1:13" s="1444" customFormat="1">
      <c r="A1381" s="1305"/>
      <c r="B1381" s="1306"/>
      <c r="C1381" s="1255"/>
      <c r="D1381" s="1445"/>
      <c r="E1381" s="1446"/>
      <c r="F1381" s="1309"/>
      <c r="G1381" s="1255"/>
      <c r="H1381" s="1310"/>
      <c r="I1381" s="1311"/>
      <c r="J1381" s="1312"/>
      <c r="K1381" s="1313"/>
      <c r="L1381" s="1313"/>
      <c r="M1381" s="1255"/>
    </row>
    <row r="1382" spans="1:13" s="1444" customFormat="1">
      <c r="A1382" s="1305"/>
      <c r="B1382" s="1306"/>
      <c r="C1382" s="1255"/>
      <c r="D1382" s="1445"/>
      <c r="E1382" s="1446"/>
      <c r="F1382" s="1309"/>
      <c r="G1382" s="1255"/>
      <c r="H1382" s="1310"/>
      <c r="I1382" s="1311"/>
      <c r="J1382" s="1312"/>
      <c r="K1382" s="1313"/>
      <c r="L1382" s="1313"/>
      <c r="M1382" s="1255"/>
    </row>
    <row r="1383" spans="1:13" s="1444" customFormat="1">
      <c r="A1383" s="1305"/>
      <c r="B1383" s="1306"/>
      <c r="C1383" s="1255"/>
      <c r="D1383" s="1445"/>
      <c r="E1383" s="1446"/>
      <c r="F1383" s="1309"/>
      <c r="G1383" s="1255"/>
      <c r="H1383" s="1310"/>
      <c r="I1383" s="1311"/>
      <c r="J1383" s="1312"/>
      <c r="K1383" s="1313"/>
      <c r="L1383" s="1313"/>
      <c r="M1383" s="1255"/>
    </row>
    <row r="1384" spans="1:13" s="1444" customFormat="1">
      <c r="A1384" s="1305"/>
      <c r="B1384" s="1306"/>
      <c r="C1384" s="1255"/>
      <c r="D1384" s="1445"/>
      <c r="E1384" s="1446"/>
      <c r="F1384" s="1309"/>
      <c r="G1384" s="1255"/>
      <c r="H1384" s="1310"/>
      <c r="I1384" s="1311"/>
      <c r="J1384" s="1312"/>
      <c r="K1384" s="1313"/>
      <c r="L1384" s="1313"/>
      <c r="M1384" s="1255"/>
    </row>
    <row r="1385" spans="1:13" s="1444" customFormat="1">
      <c r="A1385" s="1305"/>
      <c r="B1385" s="1306"/>
      <c r="C1385" s="1255"/>
      <c r="D1385" s="1445"/>
      <c r="E1385" s="1446"/>
      <c r="F1385" s="1309"/>
      <c r="G1385" s="1255"/>
      <c r="H1385" s="1310"/>
      <c r="I1385" s="1311"/>
      <c r="J1385" s="1312"/>
      <c r="K1385" s="1313"/>
      <c r="L1385" s="1313"/>
      <c r="M1385" s="1255"/>
    </row>
    <row r="1386" spans="1:13" s="1444" customFormat="1">
      <c r="A1386" s="1305"/>
      <c r="B1386" s="1306"/>
      <c r="C1386" s="1255"/>
      <c r="D1386" s="1445"/>
      <c r="E1386" s="1446"/>
      <c r="F1386" s="1309"/>
      <c r="G1386" s="1255"/>
      <c r="H1386" s="1310"/>
      <c r="I1386" s="1311"/>
      <c r="J1386" s="1312"/>
      <c r="K1386" s="1313"/>
      <c r="L1386" s="1313"/>
      <c r="M1386" s="1255"/>
    </row>
    <row r="1387" spans="1:13" s="1444" customFormat="1">
      <c r="A1387" s="1305"/>
      <c r="B1387" s="1306"/>
      <c r="C1387" s="1255"/>
      <c r="D1387" s="1445"/>
      <c r="E1387" s="1446"/>
      <c r="F1387" s="1309"/>
      <c r="G1387" s="1255"/>
      <c r="H1387" s="1310"/>
      <c r="I1387" s="1311"/>
      <c r="J1387" s="1312"/>
      <c r="K1387" s="1313"/>
      <c r="L1387" s="1313"/>
      <c r="M1387" s="1255"/>
    </row>
    <row r="1388" spans="1:13" s="1444" customFormat="1">
      <c r="A1388" s="1305"/>
      <c r="B1388" s="1306"/>
      <c r="C1388" s="1255"/>
      <c r="D1388" s="1445"/>
      <c r="E1388" s="1446"/>
      <c r="F1388" s="1309"/>
      <c r="G1388" s="1255"/>
      <c r="H1388" s="1310"/>
      <c r="I1388" s="1311"/>
      <c r="J1388" s="1312"/>
      <c r="K1388" s="1313"/>
      <c r="L1388" s="1313"/>
      <c r="M1388" s="1255"/>
    </row>
    <row r="1389" spans="1:13" s="1444" customFormat="1">
      <c r="A1389" s="1305"/>
      <c r="B1389" s="1306"/>
      <c r="C1389" s="1255"/>
      <c r="D1389" s="1445"/>
      <c r="E1389" s="1446"/>
      <c r="F1389" s="1309"/>
      <c r="G1389" s="1255"/>
      <c r="H1389" s="1310"/>
      <c r="I1389" s="1311"/>
      <c r="J1389" s="1312"/>
      <c r="K1389" s="1313"/>
      <c r="L1389" s="1313"/>
      <c r="M1389" s="1255"/>
    </row>
    <row r="1390" spans="1:13" s="1444" customFormat="1">
      <c r="A1390" s="1305"/>
      <c r="B1390" s="1306"/>
      <c r="C1390" s="1255"/>
      <c r="D1390" s="1445"/>
      <c r="E1390" s="1446"/>
      <c r="F1390" s="1309"/>
      <c r="G1390" s="1255"/>
      <c r="H1390" s="1310"/>
      <c r="I1390" s="1311"/>
      <c r="J1390" s="1312"/>
      <c r="K1390" s="1313"/>
      <c r="L1390" s="1313"/>
      <c r="M1390" s="1255"/>
    </row>
    <row r="1391" spans="1:13" s="1444" customFormat="1">
      <c r="A1391" s="1305"/>
      <c r="B1391" s="1306"/>
      <c r="C1391" s="1255"/>
      <c r="D1391" s="1445"/>
      <c r="E1391" s="1446"/>
      <c r="F1391" s="1309"/>
      <c r="G1391" s="1255"/>
      <c r="H1391" s="1310"/>
      <c r="I1391" s="1311"/>
      <c r="J1391" s="1312"/>
      <c r="K1391" s="1313"/>
      <c r="L1391" s="1313"/>
      <c r="M1391" s="1255"/>
    </row>
    <row r="1392" spans="1:13" s="1444" customFormat="1">
      <c r="A1392" s="1305"/>
      <c r="B1392" s="1306"/>
      <c r="C1392" s="1255"/>
      <c r="D1392" s="1445"/>
      <c r="E1392" s="1446"/>
      <c r="F1392" s="1309"/>
      <c r="G1392" s="1255"/>
      <c r="H1392" s="1310"/>
      <c r="I1392" s="1311"/>
      <c r="J1392" s="1312"/>
      <c r="K1392" s="1313"/>
      <c r="L1392" s="1313"/>
      <c r="M1392" s="1255"/>
    </row>
    <row r="1393" spans="1:13" s="1444" customFormat="1">
      <c r="A1393" s="1305"/>
      <c r="B1393" s="1306"/>
      <c r="C1393" s="1255"/>
      <c r="D1393" s="1445"/>
      <c r="E1393" s="1446"/>
      <c r="F1393" s="1309"/>
      <c r="G1393" s="1255"/>
      <c r="H1393" s="1310"/>
      <c r="I1393" s="1311"/>
      <c r="J1393" s="1312"/>
      <c r="K1393" s="1313"/>
      <c r="L1393" s="1313"/>
      <c r="M1393" s="1255"/>
    </row>
    <row r="1394" spans="1:13" s="1444" customFormat="1">
      <c r="A1394" s="1305"/>
      <c r="B1394" s="1306"/>
      <c r="C1394" s="1255"/>
      <c r="D1394" s="1445"/>
      <c r="E1394" s="1446"/>
      <c r="F1394" s="1309"/>
      <c r="G1394" s="1255"/>
      <c r="H1394" s="1310"/>
      <c r="I1394" s="1311"/>
      <c r="J1394" s="1312"/>
      <c r="K1394" s="1313"/>
      <c r="L1394" s="1313"/>
      <c r="M1394" s="1255"/>
    </row>
    <row r="1395" spans="1:13" s="1444" customFormat="1">
      <c r="A1395" s="1305"/>
      <c r="B1395" s="1306"/>
      <c r="C1395" s="1255"/>
      <c r="D1395" s="1445"/>
      <c r="E1395" s="1446"/>
      <c r="F1395" s="1309"/>
      <c r="G1395" s="1255"/>
      <c r="H1395" s="1310"/>
      <c r="I1395" s="1311"/>
      <c r="J1395" s="1312"/>
      <c r="K1395" s="1313"/>
      <c r="L1395" s="1313"/>
      <c r="M1395" s="1255"/>
    </row>
    <row r="1396" spans="1:13" s="1444" customFormat="1">
      <c r="A1396" s="1305"/>
      <c r="B1396" s="1306"/>
      <c r="C1396" s="1255"/>
      <c r="D1396" s="1445"/>
      <c r="E1396" s="1446"/>
      <c r="F1396" s="1309"/>
      <c r="G1396" s="1255"/>
      <c r="H1396" s="1310"/>
      <c r="I1396" s="1311"/>
      <c r="J1396" s="1312"/>
      <c r="K1396" s="1313"/>
      <c r="L1396" s="1313"/>
      <c r="M1396" s="1255"/>
    </row>
    <row r="1397" spans="1:13" s="1444" customFormat="1">
      <c r="A1397" s="1305"/>
      <c r="B1397" s="1306"/>
      <c r="C1397" s="1255"/>
      <c r="D1397" s="1445"/>
      <c r="E1397" s="1446"/>
      <c r="F1397" s="1309"/>
      <c r="G1397" s="1255"/>
      <c r="H1397" s="1310"/>
      <c r="I1397" s="1311"/>
      <c r="J1397" s="1312"/>
      <c r="K1397" s="1313"/>
      <c r="L1397" s="1313"/>
      <c r="M1397" s="1255"/>
    </row>
    <row r="1398" spans="1:13" s="1444" customFormat="1">
      <c r="A1398" s="1305"/>
      <c r="B1398" s="1306"/>
      <c r="C1398" s="1255"/>
      <c r="D1398" s="1445"/>
      <c r="E1398" s="1446"/>
      <c r="F1398" s="1309"/>
      <c r="G1398" s="1255"/>
      <c r="H1398" s="1310"/>
      <c r="I1398" s="1311"/>
      <c r="J1398" s="1312"/>
      <c r="K1398" s="1313"/>
      <c r="L1398" s="1313"/>
      <c r="M1398" s="1255"/>
    </row>
    <row r="1399" spans="1:13" s="1444" customFormat="1">
      <c r="A1399" s="1305"/>
      <c r="B1399" s="1306"/>
      <c r="C1399" s="1255"/>
      <c r="D1399" s="1445"/>
      <c r="E1399" s="1446"/>
      <c r="F1399" s="1309"/>
      <c r="G1399" s="1255"/>
      <c r="H1399" s="1310"/>
      <c r="I1399" s="1311"/>
      <c r="J1399" s="1312"/>
      <c r="K1399" s="1313"/>
      <c r="L1399" s="1313"/>
      <c r="M1399" s="1255"/>
    </row>
    <row r="1400" spans="1:13" s="1444" customFormat="1">
      <c r="A1400" s="1305"/>
      <c r="B1400" s="1306"/>
      <c r="C1400" s="1255"/>
      <c r="D1400" s="1445"/>
      <c r="E1400" s="1446"/>
      <c r="F1400" s="1309"/>
      <c r="G1400" s="1255"/>
      <c r="H1400" s="1310"/>
      <c r="I1400" s="1311"/>
      <c r="J1400" s="1312"/>
      <c r="K1400" s="1313"/>
      <c r="L1400" s="1313"/>
      <c r="M1400" s="1255"/>
    </row>
    <row r="1401" spans="1:13" s="1444" customFormat="1">
      <c r="A1401" s="1305"/>
      <c r="B1401" s="1306"/>
      <c r="C1401" s="1255"/>
      <c r="D1401" s="1445"/>
      <c r="E1401" s="1446"/>
      <c r="F1401" s="1309"/>
      <c r="G1401" s="1255"/>
      <c r="H1401" s="1310"/>
      <c r="I1401" s="1311"/>
      <c r="J1401" s="1312"/>
      <c r="K1401" s="1313"/>
      <c r="L1401" s="1313"/>
      <c r="M1401" s="1255"/>
    </row>
    <row r="1402" spans="1:13" s="1444" customFormat="1">
      <c r="A1402" s="1305"/>
      <c r="B1402" s="1306"/>
      <c r="C1402" s="1255"/>
      <c r="D1402" s="1445"/>
      <c r="E1402" s="1446"/>
      <c r="F1402" s="1309"/>
      <c r="G1402" s="1255"/>
      <c r="H1402" s="1310"/>
      <c r="I1402" s="1311"/>
      <c r="J1402" s="1312"/>
      <c r="K1402" s="1313"/>
      <c r="L1402" s="1313"/>
      <c r="M1402" s="1255"/>
    </row>
    <row r="1403" spans="1:13" s="1444" customFormat="1">
      <c r="A1403" s="1305"/>
      <c r="B1403" s="1306"/>
      <c r="C1403" s="1255"/>
      <c r="D1403" s="1445"/>
      <c r="E1403" s="1446"/>
      <c r="F1403" s="1309"/>
      <c r="G1403" s="1255"/>
      <c r="H1403" s="1310"/>
      <c r="I1403" s="1311"/>
      <c r="J1403" s="1312"/>
      <c r="K1403" s="1313"/>
      <c r="L1403" s="1313"/>
      <c r="M1403" s="1255"/>
    </row>
    <row r="1404" spans="1:13" s="1444" customFormat="1">
      <c r="A1404" s="1305"/>
      <c r="B1404" s="1306"/>
      <c r="C1404" s="1255"/>
      <c r="D1404" s="1445"/>
      <c r="E1404" s="1446"/>
      <c r="F1404" s="1309"/>
      <c r="G1404" s="1255"/>
      <c r="H1404" s="1310"/>
      <c r="I1404" s="1311"/>
      <c r="J1404" s="1312"/>
      <c r="K1404" s="1313"/>
      <c r="L1404" s="1313"/>
      <c r="M1404" s="1255"/>
    </row>
    <row r="1405" spans="1:13" s="1444" customFormat="1">
      <c r="A1405" s="1305"/>
      <c r="B1405" s="1306"/>
      <c r="C1405" s="1255"/>
      <c r="D1405" s="1445"/>
      <c r="E1405" s="1446"/>
      <c r="F1405" s="1309"/>
      <c r="G1405" s="1255"/>
      <c r="H1405" s="1310"/>
      <c r="I1405" s="1311"/>
      <c r="J1405" s="1312"/>
      <c r="K1405" s="1313"/>
      <c r="L1405" s="1313"/>
      <c r="M1405" s="1255"/>
    </row>
    <row r="1406" spans="1:13" s="1444" customFormat="1">
      <c r="A1406" s="1305"/>
      <c r="B1406" s="1306"/>
      <c r="C1406" s="1255"/>
      <c r="D1406" s="1445"/>
      <c r="E1406" s="1446"/>
      <c r="F1406" s="1309"/>
      <c r="G1406" s="1255"/>
      <c r="H1406" s="1310"/>
      <c r="I1406" s="1311"/>
      <c r="J1406" s="1312"/>
      <c r="K1406" s="1313"/>
      <c r="L1406" s="1313"/>
      <c r="M1406" s="1255"/>
    </row>
    <row r="1407" spans="1:13" s="1444" customFormat="1">
      <c r="A1407" s="1305"/>
      <c r="B1407" s="1306"/>
      <c r="C1407" s="1255"/>
      <c r="D1407" s="1445"/>
      <c r="E1407" s="1446"/>
      <c r="F1407" s="1309"/>
      <c r="G1407" s="1255"/>
      <c r="H1407" s="1310"/>
      <c r="I1407" s="1311"/>
      <c r="J1407" s="1312"/>
      <c r="K1407" s="1313"/>
      <c r="L1407" s="1313"/>
      <c r="M1407" s="1255"/>
    </row>
    <row r="1408" spans="1:13" s="1444" customFormat="1">
      <c r="A1408" s="1305"/>
      <c r="B1408" s="1306"/>
      <c r="C1408" s="1255"/>
      <c r="D1408" s="1445"/>
      <c r="E1408" s="1446"/>
      <c r="F1408" s="1309"/>
      <c r="G1408" s="1255"/>
      <c r="H1408" s="1310"/>
      <c r="I1408" s="1311"/>
      <c r="J1408" s="1312"/>
      <c r="K1408" s="1313"/>
      <c r="L1408" s="1313"/>
      <c r="M1408" s="1255"/>
    </row>
    <row r="1409" spans="1:13" s="1444" customFormat="1">
      <c r="A1409" s="1305"/>
      <c r="B1409" s="1306"/>
      <c r="C1409" s="1255"/>
      <c r="D1409" s="1445"/>
      <c r="E1409" s="1446"/>
      <c r="F1409" s="1309"/>
      <c r="G1409" s="1255"/>
      <c r="H1409" s="1310"/>
      <c r="I1409" s="1311"/>
      <c r="J1409" s="1312"/>
      <c r="K1409" s="1313"/>
      <c r="L1409" s="1313"/>
      <c r="M1409" s="1255"/>
    </row>
    <row r="1410" spans="1:13" s="1444" customFormat="1">
      <c r="A1410" s="1305"/>
      <c r="B1410" s="1306"/>
      <c r="C1410" s="1255"/>
      <c r="D1410" s="1445"/>
      <c r="E1410" s="1446"/>
      <c r="F1410" s="1309"/>
      <c r="G1410" s="1255"/>
      <c r="H1410" s="1310"/>
      <c r="I1410" s="1311"/>
      <c r="J1410" s="1312"/>
      <c r="K1410" s="1313"/>
      <c r="L1410" s="1313"/>
      <c r="M1410" s="1255"/>
    </row>
    <row r="1411" spans="1:13" s="1444" customFormat="1">
      <c r="A1411" s="1305"/>
      <c r="B1411" s="1306"/>
      <c r="C1411" s="1255"/>
      <c r="D1411" s="1445"/>
      <c r="E1411" s="1446"/>
      <c r="F1411" s="1309"/>
      <c r="G1411" s="1255"/>
      <c r="H1411" s="1310"/>
      <c r="I1411" s="1311"/>
      <c r="J1411" s="1312"/>
      <c r="K1411" s="1313"/>
      <c r="L1411" s="1313"/>
      <c r="M1411" s="1255"/>
    </row>
    <row r="1412" spans="1:13" s="1444" customFormat="1">
      <c r="A1412" s="1305"/>
      <c r="B1412" s="1306"/>
      <c r="C1412" s="1255"/>
      <c r="D1412" s="1445"/>
      <c r="E1412" s="1446"/>
      <c r="F1412" s="1309"/>
      <c r="G1412" s="1255"/>
      <c r="H1412" s="1310"/>
      <c r="I1412" s="1311"/>
      <c r="J1412" s="1312"/>
      <c r="K1412" s="1313"/>
      <c r="L1412" s="1313"/>
      <c r="M1412" s="1255"/>
    </row>
    <row r="1413" spans="1:13" s="1444" customFormat="1">
      <c r="A1413" s="1305"/>
      <c r="B1413" s="1306"/>
      <c r="C1413" s="1255"/>
      <c r="D1413" s="1445"/>
      <c r="E1413" s="1446"/>
      <c r="F1413" s="1309"/>
      <c r="G1413" s="1255"/>
      <c r="H1413" s="1310"/>
      <c r="I1413" s="1311"/>
      <c r="J1413" s="1312"/>
      <c r="K1413" s="1313"/>
      <c r="L1413" s="1313"/>
      <c r="M1413" s="1255"/>
    </row>
    <row r="1414" spans="1:13" s="1444" customFormat="1">
      <c r="A1414" s="1305"/>
      <c r="B1414" s="1306"/>
      <c r="C1414" s="1255"/>
      <c r="D1414" s="1445"/>
      <c r="E1414" s="1446"/>
      <c r="F1414" s="1309"/>
      <c r="G1414" s="1255"/>
      <c r="H1414" s="1310"/>
      <c r="I1414" s="1311"/>
      <c r="J1414" s="1312"/>
      <c r="K1414" s="1313"/>
      <c r="L1414" s="1313"/>
      <c r="M1414" s="1255"/>
    </row>
    <row r="1415" spans="1:13" s="1444" customFormat="1">
      <c r="A1415" s="1305"/>
      <c r="B1415" s="1306"/>
      <c r="C1415" s="1255"/>
      <c r="D1415" s="1445"/>
      <c r="E1415" s="1446"/>
      <c r="F1415" s="1309"/>
      <c r="G1415" s="1255"/>
      <c r="H1415" s="1310"/>
      <c r="I1415" s="1311"/>
      <c r="J1415" s="1312"/>
      <c r="K1415" s="1313"/>
      <c r="L1415" s="1313"/>
      <c r="M1415" s="1255"/>
    </row>
    <row r="1416" spans="1:13" s="1444" customFormat="1">
      <c r="A1416" s="1305"/>
      <c r="B1416" s="1306"/>
      <c r="C1416" s="1255"/>
      <c r="D1416" s="1445"/>
      <c r="E1416" s="1446"/>
      <c r="F1416" s="1309"/>
      <c r="G1416" s="1255"/>
      <c r="H1416" s="1310"/>
      <c r="I1416" s="1311"/>
      <c r="J1416" s="1312"/>
      <c r="K1416" s="1313"/>
      <c r="L1416" s="1313"/>
      <c r="M1416" s="1255"/>
    </row>
    <row r="1417" spans="1:13" s="1444" customFormat="1">
      <c r="A1417" s="1305"/>
      <c r="B1417" s="1306"/>
      <c r="C1417" s="1255"/>
      <c r="D1417" s="1445"/>
      <c r="E1417" s="1446"/>
      <c r="F1417" s="1309"/>
      <c r="G1417" s="1255"/>
      <c r="H1417" s="1310"/>
      <c r="I1417" s="1311"/>
      <c r="J1417" s="1312"/>
      <c r="K1417" s="1313"/>
      <c r="L1417" s="1313"/>
      <c r="M1417" s="1255"/>
    </row>
    <row r="1418" spans="1:13" s="1444" customFormat="1">
      <c r="A1418" s="1305"/>
      <c r="B1418" s="1306"/>
      <c r="C1418" s="1255"/>
      <c r="D1418" s="1445"/>
      <c r="E1418" s="1446"/>
      <c r="F1418" s="1309"/>
      <c r="G1418" s="1255"/>
      <c r="H1418" s="1310"/>
      <c r="I1418" s="1311"/>
      <c r="J1418" s="1312"/>
      <c r="K1418" s="1313"/>
      <c r="L1418" s="1313"/>
      <c r="M1418" s="1255"/>
    </row>
    <row r="1419" spans="1:13" s="1444" customFormat="1">
      <c r="A1419" s="1305"/>
      <c r="B1419" s="1306"/>
      <c r="C1419" s="1255"/>
      <c r="D1419" s="1445"/>
      <c r="E1419" s="1446"/>
      <c r="F1419" s="1309"/>
      <c r="G1419" s="1255"/>
      <c r="H1419" s="1310"/>
      <c r="I1419" s="1311"/>
      <c r="J1419" s="1312"/>
      <c r="K1419" s="1313"/>
      <c r="L1419" s="1313"/>
      <c r="M1419" s="1255"/>
    </row>
    <row r="1420" spans="1:13" s="1444" customFormat="1">
      <c r="A1420" s="1305"/>
      <c r="B1420" s="1306"/>
      <c r="C1420" s="1255"/>
      <c r="D1420" s="1445"/>
      <c r="E1420" s="1446"/>
      <c r="F1420" s="1309"/>
      <c r="G1420" s="1255"/>
      <c r="H1420" s="1310"/>
      <c r="I1420" s="1311"/>
      <c r="J1420" s="1312"/>
      <c r="K1420" s="1313"/>
      <c r="L1420" s="1313"/>
      <c r="M1420" s="1255"/>
    </row>
    <row r="1421" spans="1:13" s="1444" customFormat="1">
      <c r="A1421" s="1305"/>
      <c r="B1421" s="1306"/>
      <c r="C1421" s="1255"/>
      <c r="D1421" s="1445"/>
      <c r="E1421" s="1446"/>
      <c r="F1421" s="1309"/>
      <c r="G1421" s="1255"/>
      <c r="H1421" s="1310"/>
      <c r="I1421" s="1311"/>
      <c r="J1421" s="1312"/>
      <c r="K1421" s="1313"/>
      <c r="L1421" s="1313"/>
      <c r="M1421" s="1255"/>
    </row>
    <row r="1422" spans="1:13" s="1444" customFormat="1">
      <c r="A1422" s="1305"/>
      <c r="B1422" s="1306"/>
      <c r="C1422" s="1255"/>
      <c r="D1422" s="1445"/>
      <c r="E1422" s="1446"/>
      <c r="F1422" s="1309"/>
      <c r="G1422" s="1255"/>
      <c r="H1422" s="1310"/>
      <c r="I1422" s="1311"/>
      <c r="J1422" s="1312"/>
      <c r="K1422" s="1313"/>
      <c r="L1422" s="1313"/>
      <c r="M1422" s="1255"/>
    </row>
    <row r="1423" spans="1:13" s="1444" customFormat="1">
      <c r="A1423" s="1305"/>
      <c r="B1423" s="1306"/>
      <c r="C1423" s="1255"/>
      <c r="D1423" s="1445"/>
      <c r="E1423" s="1446"/>
      <c r="F1423" s="1309"/>
      <c r="G1423" s="1255"/>
      <c r="H1423" s="1310"/>
      <c r="I1423" s="1311"/>
      <c r="J1423" s="1312"/>
      <c r="K1423" s="1313"/>
      <c r="L1423" s="1313"/>
      <c r="M1423" s="1255"/>
    </row>
    <row r="1424" spans="1:13" s="1444" customFormat="1">
      <c r="A1424" s="1305"/>
      <c r="B1424" s="1306"/>
      <c r="C1424" s="1255"/>
      <c r="D1424" s="1445"/>
      <c r="E1424" s="1446"/>
      <c r="F1424" s="1309"/>
      <c r="G1424" s="1255"/>
      <c r="H1424" s="1310"/>
      <c r="I1424" s="1311"/>
      <c r="J1424" s="1312"/>
      <c r="K1424" s="1313"/>
      <c r="L1424" s="1313"/>
      <c r="M1424" s="1255"/>
    </row>
    <row r="1425" spans="1:13" s="1444" customFormat="1">
      <c r="A1425" s="1305"/>
      <c r="B1425" s="1306"/>
      <c r="C1425" s="1255"/>
      <c r="D1425" s="1445"/>
      <c r="E1425" s="1446"/>
      <c r="F1425" s="1309"/>
      <c r="G1425" s="1255"/>
      <c r="H1425" s="1310"/>
      <c r="I1425" s="1311"/>
      <c r="J1425" s="1312"/>
      <c r="K1425" s="1313"/>
      <c r="L1425" s="1313"/>
      <c r="M1425" s="1255"/>
    </row>
    <row r="1426" spans="1:13" s="1444" customFormat="1">
      <c r="A1426" s="1305"/>
      <c r="B1426" s="1306"/>
      <c r="C1426" s="1255"/>
      <c r="D1426" s="1445"/>
      <c r="E1426" s="1446"/>
      <c r="F1426" s="1309"/>
      <c r="G1426" s="1255"/>
      <c r="H1426" s="1310"/>
      <c r="I1426" s="1311"/>
      <c r="J1426" s="1312"/>
      <c r="K1426" s="1313"/>
      <c r="L1426" s="1313"/>
      <c r="M1426" s="1255"/>
    </row>
    <row r="1427" spans="1:13" s="1444" customFormat="1">
      <c r="A1427" s="1305"/>
      <c r="B1427" s="1306"/>
      <c r="C1427" s="1255"/>
      <c r="D1427" s="1445"/>
      <c r="E1427" s="1446"/>
      <c r="F1427" s="1309"/>
      <c r="G1427" s="1255"/>
      <c r="H1427" s="1310"/>
      <c r="I1427" s="1311"/>
      <c r="J1427" s="1312"/>
      <c r="K1427" s="1313"/>
      <c r="L1427" s="1313"/>
      <c r="M1427" s="1255"/>
    </row>
    <row r="1428" spans="1:13" s="1444" customFormat="1">
      <c r="A1428" s="1305"/>
      <c r="B1428" s="1306"/>
      <c r="C1428" s="1255"/>
      <c r="D1428" s="1445"/>
      <c r="E1428" s="1446"/>
      <c r="F1428" s="1309"/>
      <c r="G1428" s="1255"/>
      <c r="H1428" s="1310"/>
      <c r="I1428" s="1311"/>
      <c r="J1428" s="1312"/>
      <c r="K1428" s="1313"/>
      <c r="L1428" s="1313"/>
      <c r="M1428" s="1255"/>
    </row>
    <row r="1429" spans="1:13" s="1444" customFormat="1">
      <c r="A1429" s="1305"/>
      <c r="B1429" s="1306"/>
      <c r="C1429" s="1255"/>
      <c r="D1429" s="1445"/>
      <c r="E1429" s="1446"/>
      <c r="F1429" s="1309"/>
      <c r="G1429" s="1255"/>
      <c r="H1429" s="1310"/>
      <c r="I1429" s="1311"/>
      <c r="J1429" s="1312"/>
      <c r="K1429" s="1313"/>
      <c r="L1429" s="1313"/>
      <c r="M1429" s="1255"/>
    </row>
    <row r="1430" spans="1:13" s="1444" customFormat="1">
      <c r="A1430" s="1305"/>
      <c r="B1430" s="1306"/>
      <c r="C1430" s="1255"/>
      <c r="D1430" s="1445"/>
      <c r="E1430" s="1446"/>
      <c r="F1430" s="1309"/>
      <c r="G1430" s="1255"/>
      <c r="H1430" s="1310"/>
      <c r="I1430" s="1311"/>
      <c r="J1430" s="1312"/>
      <c r="K1430" s="1313"/>
      <c r="L1430" s="1313"/>
      <c r="M1430" s="1255"/>
    </row>
    <row r="1431" spans="1:13" s="1444" customFormat="1">
      <c r="A1431" s="1305"/>
      <c r="B1431" s="1306"/>
      <c r="C1431" s="1255"/>
      <c r="D1431" s="1445"/>
      <c r="E1431" s="1446"/>
      <c r="F1431" s="1309"/>
      <c r="G1431" s="1255"/>
      <c r="H1431" s="1310"/>
      <c r="I1431" s="1311"/>
      <c r="J1431" s="1312"/>
      <c r="K1431" s="1313"/>
      <c r="L1431" s="1313"/>
      <c r="M1431" s="1255"/>
    </row>
    <row r="1432" spans="1:13" s="1444" customFormat="1">
      <c r="A1432" s="1305"/>
      <c r="B1432" s="1306"/>
      <c r="C1432" s="1255"/>
      <c r="D1432" s="1445"/>
      <c r="E1432" s="1446"/>
      <c r="F1432" s="1309"/>
      <c r="G1432" s="1255"/>
      <c r="H1432" s="1310"/>
      <c r="I1432" s="1311"/>
      <c r="J1432" s="1312"/>
      <c r="K1432" s="1313"/>
      <c r="L1432" s="1313"/>
      <c r="M1432" s="1255"/>
    </row>
    <row r="1433" spans="1:13" s="1444" customFormat="1">
      <c r="A1433" s="1305"/>
      <c r="B1433" s="1306"/>
      <c r="C1433" s="1255"/>
      <c r="D1433" s="1445"/>
      <c r="E1433" s="1446"/>
      <c r="F1433" s="1309"/>
      <c r="G1433" s="1255"/>
      <c r="H1433" s="1310"/>
      <c r="I1433" s="1311"/>
      <c r="J1433" s="1312"/>
      <c r="K1433" s="1313"/>
      <c r="L1433" s="1313"/>
      <c r="M1433" s="1255"/>
    </row>
    <row r="1434" spans="1:13" s="1444" customFormat="1">
      <c r="A1434" s="1305"/>
      <c r="B1434" s="1306"/>
      <c r="C1434" s="1255"/>
      <c r="D1434" s="1445"/>
      <c r="E1434" s="1446"/>
      <c r="F1434" s="1309"/>
      <c r="G1434" s="1255"/>
      <c r="H1434" s="1310"/>
      <c r="I1434" s="1311"/>
      <c r="J1434" s="1312"/>
      <c r="K1434" s="1313"/>
      <c r="L1434" s="1313"/>
      <c r="M1434" s="1255"/>
    </row>
    <row r="1435" spans="1:13" s="1444" customFormat="1">
      <c r="A1435" s="1305"/>
      <c r="B1435" s="1306"/>
      <c r="C1435" s="1255"/>
      <c r="D1435" s="1445"/>
      <c r="E1435" s="1446"/>
      <c r="F1435" s="1309"/>
      <c r="G1435" s="1255"/>
      <c r="H1435" s="1310"/>
      <c r="I1435" s="1311"/>
      <c r="J1435" s="1312"/>
      <c r="K1435" s="1313"/>
      <c r="L1435" s="1313"/>
      <c r="M1435" s="1255"/>
    </row>
    <row r="1436" spans="1:13" s="1444" customFormat="1">
      <c r="A1436" s="1305"/>
      <c r="B1436" s="1306"/>
      <c r="C1436" s="1255"/>
      <c r="D1436" s="1445"/>
      <c r="E1436" s="1446"/>
      <c r="F1436" s="1309"/>
      <c r="G1436" s="1255"/>
      <c r="H1436" s="1310"/>
      <c r="I1436" s="1311"/>
      <c r="J1436" s="1312"/>
      <c r="K1436" s="1313"/>
      <c r="L1436" s="1313"/>
      <c r="M1436" s="1255"/>
    </row>
    <row r="1437" spans="1:13" s="1444" customFormat="1">
      <c r="A1437" s="1305"/>
      <c r="B1437" s="1306"/>
      <c r="C1437" s="1255"/>
      <c r="D1437" s="1445"/>
      <c r="E1437" s="1446"/>
      <c r="F1437" s="1309"/>
      <c r="G1437" s="1255"/>
      <c r="H1437" s="1310"/>
      <c r="I1437" s="1311"/>
      <c r="J1437" s="1312"/>
      <c r="K1437" s="1313"/>
      <c r="L1437" s="1313"/>
      <c r="M1437" s="1255"/>
    </row>
    <row r="1438" spans="1:13" s="1444" customFormat="1">
      <c r="A1438" s="1305"/>
      <c r="B1438" s="1306"/>
      <c r="C1438" s="1255"/>
      <c r="D1438" s="1445"/>
      <c r="E1438" s="1446"/>
      <c r="F1438" s="1309"/>
      <c r="G1438" s="1255"/>
      <c r="H1438" s="1310"/>
      <c r="I1438" s="1311"/>
      <c r="J1438" s="1312"/>
      <c r="K1438" s="1313"/>
      <c r="L1438" s="1313"/>
      <c r="M1438" s="1255"/>
    </row>
    <row r="1439" spans="1:13" s="1444" customFormat="1">
      <c r="A1439" s="1305"/>
      <c r="B1439" s="1306"/>
      <c r="C1439" s="1255"/>
      <c r="D1439" s="1445"/>
      <c r="E1439" s="1446"/>
      <c r="F1439" s="1309"/>
      <c r="G1439" s="1255"/>
      <c r="H1439" s="1310"/>
      <c r="I1439" s="1311"/>
      <c r="J1439" s="1312"/>
      <c r="K1439" s="1313"/>
      <c r="L1439" s="1313"/>
      <c r="M1439" s="1255"/>
    </row>
    <row r="1440" spans="1:13" s="1444" customFormat="1">
      <c r="A1440" s="1305"/>
      <c r="B1440" s="1306"/>
      <c r="C1440" s="1255"/>
      <c r="D1440" s="1445"/>
      <c r="E1440" s="1446"/>
      <c r="F1440" s="1309"/>
      <c r="G1440" s="1255"/>
      <c r="H1440" s="1310"/>
      <c r="I1440" s="1311"/>
      <c r="J1440" s="1312"/>
      <c r="K1440" s="1313"/>
      <c r="L1440" s="1313"/>
      <c r="M1440" s="1255"/>
    </row>
    <row r="1441" spans="1:13" s="1444" customFormat="1">
      <c r="A1441" s="1305"/>
      <c r="B1441" s="1306"/>
      <c r="C1441" s="1255"/>
      <c r="D1441" s="1445"/>
      <c r="E1441" s="1446"/>
      <c r="F1441" s="1309"/>
      <c r="G1441" s="1255"/>
      <c r="H1441" s="1310"/>
      <c r="I1441" s="1311"/>
      <c r="J1441" s="1312"/>
      <c r="K1441" s="1313"/>
      <c r="L1441" s="1313"/>
      <c r="M1441" s="1255"/>
    </row>
    <row r="1442" spans="1:13" s="1444" customFormat="1">
      <c r="A1442" s="1305"/>
      <c r="B1442" s="1306"/>
      <c r="C1442" s="1255"/>
      <c r="D1442" s="1445"/>
      <c r="E1442" s="1446"/>
      <c r="F1442" s="1309"/>
      <c r="G1442" s="1255"/>
      <c r="H1442" s="1310"/>
      <c r="I1442" s="1311"/>
      <c r="J1442" s="1312"/>
      <c r="K1442" s="1313"/>
      <c r="L1442" s="1313"/>
      <c r="M1442" s="1255"/>
    </row>
    <row r="1443" spans="1:13" s="1444" customFormat="1">
      <c r="A1443" s="1305"/>
      <c r="B1443" s="1306"/>
      <c r="C1443" s="1255"/>
      <c r="D1443" s="1445"/>
      <c r="E1443" s="1446"/>
      <c r="F1443" s="1309"/>
      <c r="G1443" s="1255"/>
      <c r="H1443" s="1310"/>
      <c r="I1443" s="1311"/>
      <c r="J1443" s="1312"/>
      <c r="K1443" s="1313"/>
      <c r="L1443" s="1313"/>
      <c r="M1443" s="1255"/>
    </row>
    <row r="1444" spans="1:13" s="1444" customFormat="1">
      <c r="A1444" s="1305"/>
      <c r="B1444" s="1306"/>
      <c r="C1444" s="1255"/>
      <c r="D1444" s="1445"/>
      <c r="E1444" s="1446"/>
      <c r="F1444" s="1309"/>
      <c r="G1444" s="1255"/>
      <c r="H1444" s="1310"/>
      <c r="I1444" s="1311"/>
      <c r="J1444" s="1312"/>
      <c r="K1444" s="1313"/>
      <c r="L1444" s="1313"/>
      <c r="M1444" s="1255"/>
    </row>
    <row r="1445" spans="1:13" s="1444" customFormat="1">
      <c r="A1445" s="1305"/>
      <c r="B1445" s="1306"/>
      <c r="C1445" s="1255"/>
      <c r="D1445" s="1445"/>
      <c r="E1445" s="1446"/>
      <c r="F1445" s="1309"/>
      <c r="G1445" s="1255"/>
      <c r="H1445" s="1310"/>
      <c r="I1445" s="1311"/>
      <c r="J1445" s="1312"/>
      <c r="K1445" s="1313"/>
      <c r="L1445" s="1313"/>
      <c r="M1445" s="1255"/>
    </row>
    <row r="1446" spans="1:13" s="1444" customFormat="1">
      <c r="A1446" s="1305"/>
      <c r="B1446" s="1306"/>
      <c r="C1446" s="1255"/>
      <c r="D1446" s="1445"/>
      <c r="E1446" s="1446"/>
      <c r="F1446" s="1309"/>
      <c r="G1446" s="1255"/>
      <c r="H1446" s="1310"/>
      <c r="I1446" s="1311"/>
      <c r="J1446" s="1312"/>
      <c r="K1446" s="1313"/>
      <c r="L1446" s="1313"/>
      <c r="M1446" s="1255"/>
    </row>
    <row r="1447" spans="1:13" s="1444" customFormat="1">
      <c r="A1447" s="1305"/>
      <c r="B1447" s="1306"/>
      <c r="C1447" s="1255"/>
      <c r="D1447" s="1445"/>
      <c r="E1447" s="1446"/>
      <c r="F1447" s="1309"/>
      <c r="G1447" s="1255"/>
      <c r="H1447" s="1310"/>
      <c r="I1447" s="1311"/>
      <c r="J1447" s="1312"/>
      <c r="K1447" s="1313"/>
      <c r="L1447" s="1313"/>
      <c r="M1447" s="1255"/>
    </row>
    <row r="1448" spans="1:13" s="1444" customFormat="1">
      <c r="A1448" s="1305"/>
      <c r="B1448" s="1306"/>
      <c r="C1448" s="1255"/>
      <c r="D1448" s="1445"/>
      <c r="E1448" s="1446"/>
      <c r="F1448" s="1309"/>
      <c r="G1448" s="1255"/>
      <c r="H1448" s="1310"/>
      <c r="I1448" s="1311"/>
      <c r="J1448" s="1312"/>
      <c r="K1448" s="1313"/>
      <c r="L1448" s="1313"/>
      <c r="M1448" s="1255"/>
    </row>
    <row r="1449" spans="1:13" s="1444" customFormat="1">
      <c r="A1449" s="1305"/>
      <c r="B1449" s="1306"/>
      <c r="C1449" s="1255"/>
      <c r="D1449" s="1445"/>
      <c r="E1449" s="1446"/>
      <c r="F1449" s="1309"/>
      <c r="G1449" s="1255"/>
      <c r="H1449" s="1310"/>
      <c r="I1449" s="1311"/>
      <c r="J1449" s="1312"/>
      <c r="K1449" s="1313"/>
      <c r="L1449" s="1313"/>
      <c r="M1449" s="1255"/>
    </row>
    <row r="1450" spans="1:13" s="1444" customFormat="1">
      <c r="A1450" s="1305"/>
      <c r="B1450" s="1306"/>
      <c r="C1450" s="1255"/>
      <c r="D1450" s="1445"/>
      <c r="E1450" s="1446"/>
      <c r="F1450" s="1309"/>
      <c r="G1450" s="1255"/>
      <c r="H1450" s="1310"/>
      <c r="I1450" s="1311"/>
      <c r="J1450" s="1312"/>
      <c r="K1450" s="1313"/>
      <c r="L1450" s="1313"/>
      <c r="M1450" s="1255"/>
    </row>
    <row r="1451" spans="1:13" s="1444" customFormat="1">
      <c r="A1451" s="1305"/>
      <c r="B1451" s="1306"/>
      <c r="C1451" s="1255"/>
      <c r="D1451" s="1445"/>
      <c r="E1451" s="1446"/>
      <c r="F1451" s="1309"/>
      <c r="G1451" s="1255"/>
      <c r="H1451" s="1310"/>
      <c r="I1451" s="1311"/>
      <c r="J1451" s="1312"/>
      <c r="K1451" s="1313"/>
      <c r="L1451" s="1313"/>
      <c r="M1451" s="1255"/>
    </row>
    <row r="1452" spans="1:13" s="1444" customFormat="1">
      <c r="A1452" s="1305"/>
      <c r="B1452" s="1306"/>
      <c r="C1452" s="1255"/>
      <c r="D1452" s="1445"/>
      <c r="E1452" s="1446"/>
      <c r="F1452" s="1309"/>
      <c r="G1452" s="1255"/>
      <c r="H1452" s="1310"/>
      <c r="I1452" s="1311"/>
      <c r="J1452" s="1312"/>
      <c r="K1452" s="1313"/>
      <c r="L1452" s="1313"/>
      <c r="M1452" s="1255"/>
    </row>
    <row r="1453" spans="1:13" s="1444" customFormat="1">
      <c r="A1453" s="1305"/>
      <c r="B1453" s="1306"/>
      <c r="C1453" s="1255"/>
      <c r="D1453" s="1445"/>
      <c r="E1453" s="1446"/>
      <c r="F1453" s="1309"/>
      <c r="G1453" s="1255"/>
      <c r="H1453" s="1310"/>
      <c r="I1453" s="1311"/>
      <c r="J1453" s="1312"/>
      <c r="K1453" s="1313"/>
      <c r="L1453" s="1313"/>
      <c r="M1453" s="1255"/>
    </row>
    <row r="1454" spans="1:13" s="1444" customFormat="1">
      <c r="A1454" s="1305"/>
      <c r="B1454" s="1306"/>
      <c r="C1454" s="1255"/>
      <c r="D1454" s="1445"/>
      <c r="E1454" s="1446"/>
      <c r="F1454" s="1309"/>
      <c r="G1454" s="1255"/>
      <c r="H1454" s="1310"/>
      <c r="I1454" s="1311"/>
      <c r="J1454" s="1312"/>
      <c r="K1454" s="1313"/>
      <c r="L1454" s="1313"/>
      <c r="M1454" s="1255"/>
    </row>
    <row r="1455" spans="1:13" s="1444" customFormat="1">
      <c r="A1455" s="1305"/>
      <c r="B1455" s="1306"/>
      <c r="C1455" s="1255"/>
      <c r="D1455" s="1445"/>
      <c r="E1455" s="1446"/>
      <c r="F1455" s="1309"/>
      <c r="G1455" s="1255"/>
      <c r="H1455" s="1310"/>
      <c r="I1455" s="1311"/>
      <c r="J1455" s="1312"/>
      <c r="K1455" s="1313"/>
      <c r="L1455" s="1313"/>
      <c r="M1455" s="1255"/>
    </row>
    <row r="1456" spans="1:13" s="1444" customFormat="1">
      <c r="A1456" s="1305"/>
      <c r="B1456" s="1306"/>
      <c r="C1456" s="1255"/>
      <c r="D1456" s="1445"/>
      <c r="E1456" s="1446"/>
      <c r="F1456" s="1309"/>
      <c r="G1456" s="1255"/>
      <c r="H1456" s="1310"/>
      <c r="I1456" s="1311"/>
      <c r="J1456" s="1312"/>
      <c r="K1456" s="1313"/>
      <c r="L1456" s="1313"/>
      <c r="M1456" s="1255"/>
    </row>
    <row r="1457" spans="1:13" s="1444" customFormat="1">
      <c r="A1457" s="1305"/>
      <c r="B1457" s="1306"/>
      <c r="C1457" s="1255"/>
      <c r="D1457" s="1445"/>
      <c r="E1457" s="1446"/>
      <c r="F1457" s="1309"/>
      <c r="G1457" s="1255"/>
      <c r="H1457" s="1310"/>
      <c r="I1457" s="1311"/>
      <c r="J1457" s="1312"/>
      <c r="K1457" s="1313"/>
      <c r="L1457" s="1313"/>
      <c r="M1457" s="1255"/>
    </row>
    <row r="1458" spans="1:13" s="1444" customFormat="1">
      <c r="A1458" s="1305"/>
      <c r="B1458" s="1306"/>
      <c r="C1458" s="1255"/>
      <c r="D1458" s="1445"/>
      <c r="E1458" s="1446"/>
      <c r="F1458" s="1309"/>
      <c r="G1458" s="1255"/>
      <c r="H1458" s="1310"/>
      <c r="I1458" s="1311"/>
      <c r="J1458" s="1312"/>
      <c r="K1458" s="1313"/>
      <c r="L1458" s="1313"/>
      <c r="M1458" s="1255"/>
    </row>
    <row r="1459" spans="1:13" s="1444" customFormat="1">
      <c r="A1459" s="1305"/>
      <c r="B1459" s="1306"/>
      <c r="C1459" s="1255"/>
      <c r="D1459" s="1445"/>
      <c r="E1459" s="1446"/>
      <c r="F1459" s="1309"/>
      <c r="G1459" s="1255"/>
      <c r="H1459" s="1310"/>
      <c r="I1459" s="1311"/>
      <c r="J1459" s="1312"/>
      <c r="K1459" s="1313"/>
      <c r="L1459" s="1313"/>
      <c r="M1459" s="1255"/>
    </row>
    <row r="1460" spans="1:13" s="1444" customFormat="1">
      <c r="A1460" s="1305"/>
      <c r="B1460" s="1306"/>
      <c r="C1460" s="1255"/>
      <c r="D1460" s="1445"/>
      <c r="E1460" s="1446"/>
      <c r="F1460" s="1309"/>
      <c r="G1460" s="1255"/>
      <c r="H1460" s="1310"/>
      <c r="I1460" s="1311"/>
      <c r="J1460" s="1312"/>
      <c r="K1460" s="1313"/>
      <c r="L1460" s="1313"/>
      <c r="M1460" s="1255"/>
    </row>
    <row r="1461" spans="1:13" s="1444" customFormat="1">
      <c r="A1461" s="1305"/>
      <c r="B1461" s="1306"/>
      <c r="C1461" s="1255"/>
      <c r="D1461" s="1445"/>
      <c r="E1461" s="1446"/>
      <c r="F1461" s="1309"/>
      <c r="G1461" s="1255"/>
      <c r="H1461" s="1310"/>
      <c r="I1461" s="1311"/>
      <c r="J1461" s="1312"/>
      <c r="K1461" s="1313"/>
      <c r="L1461" s="1313"/>
      <c r="M1461" s="1255"/>
    </row>
    <row r="1462" spans="1:13" s="1444" customFormat="1">
      <c r="A1462" s="1305"/>
      <c r="B1462" s="1306"/>
      <c r="C1462" s="1255"/>
      <c r="D1462" s="1445"/>
      <c r="E1462" s="1446"/>
      <c r="F1462" s="1309"/>
      <c r="G1462" s="1255"/>
      <c r="H1462" s="1310"/>
      <c r="I1462" s="1311"/>
      <c r="J1462" s="1312"/>
      <c r="K1462" s="1313"/>
      <c r="L1462" s="1313"/>
      <c r="M1462" s="1255"/>
    </row>
    <row r="1463" spans="1:13" s="1444" customFormat="1">
      <c r="A1463" s="1305"/>
      <c r="B1463" s="1306"/>
      <c r="C1463" s="1255"/>
      <c r="D1463" s="1445"/>
      <c r="E1463" s="1446"/>
      <c r="F1463" s="1309"/>
      <c r="G1463" s="1255"/>
      <c r="H1463" s="1310"/>
      <c r="I1463" s="1311"/>
      <c r="J1463" s="1312"/>
      <c r="K1463" s="1313"/>
      <c r="L1463" s="1313"/>
      <c r="M1463" s="1255"/>
    </row>
    <row r="1464" spans="1:13" s="1444" customFormat="1">
      <c r="A1464" s="1305"/>
      <c r="B1464" s="1306"/>
      <c r="C1464" s="1255"/>
      <c r="D1464" s="1445"/>
      <c r="E1464" s="1446"/>
      <c r="F1464" s="1309"/>
      <c r="G1464" s="1255"/>
      <c r="H1464" s="1310"/>
      <c r="I1464" s="1311"/>
      <c r="J1464" s="1312"/>
      <c r="K1464" s="1313"/>
      <c r="L1464" s="1313"/>
      <c r="M1464" s="1255"/>
    </row>
    <row r="1465" spans="1:13" s="1444" customFormat="1">
      <c r="A1465" s="1305"/>
      <c r="B1465" s="1306"/>
      <c r="C1465" s="1255"/>
      <c r="D1465" s="1445"/>
      <c r="E1465" s="1446"/>
      <c r="F1465" s="1309"/>
      <c r="G1465" s="1255"/>
      <c r="H1465" s="1310"/>
      <c r="I1465" s="1311"/>
      <c r="J1465" s="1312"/>
      <c r="K1465" s="1313"/>
      <c r="L1465" s="1313"/>
      <c r="M1465" s="1255"/>
    </row>
    <row r="1466" spans="1:13" s="1444" customFormat="1">
      <c r="A1466" s="1305"/>
      <c r="B1466" s="1306"/>
      <c r="C1466" s="1255"/>
      <c r="D1466" s="1445"/>
      <c r="E1466" s="1446"/>
      <c r="F1466" s="1309"/>
      <c r="G1466" s="1255"/>
      <c r="H1466" s="1310"/>
      <c r="I1466" s="1311"/>
      <c r="J1466" s="1312"/>
      <c r="K1466" s="1313"/>
      <c r="L1466" s="1313"/>
      <c r="M1466" s="1255"/>
    </row>
    <row r="1467" spans="1:13" s="1444" customFormat="1">
      <c r="A1467" s="1305"/>
      <c r="B1467" s="1306"/>
      <c r="C1467" s="1255"/>
      <c r="D1467" s="1445"/>
      <c r="E1467" s="1446"/>
      <c r="F1467" s="1309"/>
      <c r="G1467" s="1255"/>
      <c r="H1467" s="1310"/>
      <c r="I1467" s="1311"/>
      <c r="J1467" s="1312"/>
      <c r="K1467" s="1313"/>
      <c r="L1467" s="1313"/>
      <c r="M1467" s="1255"/>
    </row>
    <row r="1468" spans="1:13" s="1444" customFormat="1">
      <c r="A1468" s="1305"/>
      <c r="B1468" s="1306"/>
      <c r="C1468" s="1255"/>
      <c r="D1468" s="1445"/>
      <c r="E1468" s="1446"/>
      <c r="F1468" s="1309"/>
      <c r="G1468" s="1255"/>
      <c r="H1468" s="1310"/>
      <c r="I1468" s="1311"/>
      <c r="J1468" s="1312"/>
      <c r="K1468" s="1313"/>
      <c r="L1468" s="1313"/>
      <c r="M1468" s="1255"/>
    </row>
    <row r="1469" spans="1:13" s="1444" customFormat="1">
      <c r="A1469" s="1305"/>
      <c r="B1469" s="1306"/>
      <c r="C1469" s="1255"/>
      <c r="D1469" s="1445"/>
      <c r="E1469" s="1446"/>
      <c r="F1469" s="1309"/>
      <c r="G1469" s="1255"/>
      <c r="H1469" s="1310"/>
      <c r="I1469" s="1311"/>
      <c r="J1469" s="1312"/>
      <c r="K1469" s="1313"/>
      <c r="L1469" s="1313"/>
      <c r="M1469" s="1255"/>
    </row>
    <row r="1470" spans="1:13" s="1444" customFormat="1">
      <c r="A1470" s="1305"/>
      <c r="B1470" s="1306"/>
      <c r="C1470" s="1255"/>
      <c r="D1470" s="1445"/>
      <c r="E1470" s="1446"/>
      <c r="F1470" s="1309"/>
      <c r="G1470" s="1255"/>
      <c r="H1470" s="1310"/>
      <c r="I1470" s="1311"/>
      <c r="J1470" s="1312"/>
      <c r="K1470" s="1313"/>
      <c r="L1470" s="1313"/>
      <c r="M1470" s="1255"/>
    </row>
    <row r="1471" spans="1:13" s="1444" customFormat="1">
      <c r="A1471" s="1305"/>
      <c r="B1471" s="1306"/>
      <c r="C1471" s="1255"/>
      <c r="D1471" s="1445"/>
      <c r="E1471" s="1446"/>
      <c r="F1471" s="1309"/>
      <c r="G1471" s="1255"/>
      <c r="H1471" s="1310"/>
      <c r="I1471" s="1311"/>
      <c r="J1471" s="1312"/>
      <c r="K1471" s="1313"/>
      <c r="L1471" s="1313"/>
      <c r="M1471" s="1255"/>
    </row>
    <row r="1472" spans="1:13" s="1444" customFormat="1">
      <c r="A1472" s="1305"/>
      <c r="B1472" s="1306"/>
      <c r="C1472" s="1255"/>
      <c r="D1472" s="1445"/>
      <c r="E1472" s="1446"/>
      <c r="F1472" s="1309"/>
      <c r="G1472" s="1255"/>
      <c r="H1472" s="1310"/>
      <c r="I1472" s="1311"/>
      <c r="J1472" s="1312"/>
      <c r="K1472" s="1313"/>
      <c r="L1472" s="1313"/>
      <c r="M1472" s="1255"/>
    </row>
    <row r="1473" spans="1:13" s="1444" customFormat="1">
      <c r="A1473" s="1305"/>
      <c r="B1473" s="1306"/>
      <c r="C1473" s="1255"/>
      <c r="D1473" s="1445"/>
      <c r="E1473" s="1446"/>
      <c r="F1473" s="1309"/>
      <c r="G1473" s="1255"/>
      <c r="H1473" s="1310"/>
      <c r="I1473" s="1311"/>
      <c r="J1473" s="1312"/>
      <c r="K1473" s="1313"/>
      <c r="L1473" s="1313"/>
      <c r="M1473" s="1255"/>
    </row>
    <row r="1474" spans="1:13" s="1444" customFormat="1">
      <c r="A1474" s="1305"/>
      <c r="B1474" s="1306"/>
      <c r="C1474" s="1255"/>
      <c r="D1474" s="1445"/>
      <c r="E1474" s="1446"/>
      <c r="F1474" s="1309"/>
      <c r="G1474" s="1255"/>
      <c r="H1474" s="1310"/>
      <c r="I1474" s="1311"/>
      <c r="J1474" s="1312"/>
      <c r="K1474" s="1313"/>
      <c r="L1474" s="1313"/>
      <c r="M1474" s="1255"/>
    </row>
    <row r="1475" spans="1:13" s="1444" customFormat="1">
      <c r="A1475" s="1305"/>
      <c r="B1475" s="1306"/>
      <c r="C1475" s="1255"/>
      <c r="D1475" s="1445"/>
      <c r="E1475" s="1446"/>
      <c r="F1475" s="1309"/>
      <c r="G1475" s="1255"/>
      <c r="H1475" s="1310"/>
      <c r="I1475" s="1311"/>
      <c r="J1475" s="1312"/>
      <c r="K1475" s="1313"/>
      <c r="L1475" s="1313"/>
      <c r="M1475" s="1255"/>
    </row>
    <row r="1476" spans="1:13" s="1444" customFormat="1">
      <c r="A1476" s="1305"/>
      <c r="B1476" s="1306"/>
      <c r="C1476" s="1255"/>
      <c r="D1476" s="1445"/>
      <c r="E1476" s="1446"/>
      <c r="F1476" s="1309"/>
      <c r="G1476" s="1255"/>
      <c r="H1476" s="1310"/>
      <c r="I1476" s="1311"/>
      <c r="J1476" s="1312"/>
      <c r="K1476" s="1313"/>
      <c r="L1476" s="1313"/>
      <c r="M1476" s="1255"/>
    </row>
    <row r="1477" spans="1:13" s="1444" customFormat="1">
      <c r="A1477" s="1305"/>
      <c r="B1477" s="1306"/>
      <c r="C1477" s="1255"/>
      <c r="D1477" s="1445"/>
      <c r="E1477" s="1446"/>
      <c r="F1477" s="1309"/>
      <c r="G1477" s="1255"/>
      <c r="H1477" s="1310"/>
      <c r="I1477" s="1311"/>
      <c r="J1477" s="1312"/>
      <c r="K1477" s="1313"/>
      <c r="L1477" s="1313"/>
      <c r="M1477" s="1255"/>
    </row>
    <row r="1478" spans="1:13" s="1444" customFormat="1">
      <c r="A1478" s="1305"/>
      <c r="B1478" s="1306"/>
      <c r="C1478" s="1255"/>
      <c r="D1478" s="1445"/>
      <c r="E1478" s="1446"/>
      <c r="F1478" s="1309"/>
      <c r="G1478" s="1255"/>
      <c r="H1478" s="1310"/>
      <c r="I1478" s="1311"/>
      <c r="J1478" s="1312"/>
      <c r="K1478" s="1313"/>
      <c r="L1478" s="1313"/>
      <c r="M1478" s="1255"/>
    </row>
    <row r="1479" spans="1:13" s="1444" customFormat="1">
      <c r="A1479" s="1305"/>
      <c r="B1479" s="1306"/>
      <c r="C1479" s="1255"/>
      <c r="D1479" s="1445"/>
      <c r="E1479" s="1446"/>
      <c r="F1479" s="1309"/>
      <c r="G1479" s="1255"/>
      <c r="H1479" s="1310"/>
      <c r="I1479" s="1311"/>
      <c r="J1479" s="1312"/>
      <c r="K1479" s="1313"/>
      <c r="L1479" s="1313"/>
      <c r="M1479" s="1255"/>
    </row>
    <row r="1480" spans="1:13" s="1444" customFormat="1">
      <c r="A1480" s="1305"/>
      <c r="B1480" s="1306"/>
      <c r="C1480" s="1255"/>
      <c r="D1480" s="1445"/>
      <c r="E1480" s="1446"/>
      <c r="F1480" s="1309"/>
      <c r="G1480" s="1255"/>
      <c r="H1480" s="1310"/>
      <c r="I1480" s="1311"/>
      <c r="J1480" s="1312"/>
      <c r="K1480" s="1313"/>
      <c r="L1480" s="1313"/>
      <c r="M1480" s="1255"/>
    </row>
    <row r="1481" spans="1:13" s="1444" customFormat="1">
      <c r="A1481" s="1305"/>
      <c r="B1481" s="1306"/>
      <c r="C1481" s="1255"/>
      <c r="D1481" s="1445"/>
      <c r="E1481" s="1446"/>
      <c r="F1481" s="1309"/>
      <c r="G1481" s="1255"/>
      <c r="H1481" s="1310"/>
      <c r="I1481" s="1311"/>
      <c r="J1481" s="1312"/>
      <c r="K1481" s="1313"/>
      <c r="L1481" s="1313"/>
      <c r="M1481" s="1255"/>
    </row>
    <row r="1482" spans="1:13" s="1444" customFormat="1">
      <c r="A1482" s="1305"/>
      <c r="B1482" s="1306"/>
      <c r="C1482" s="1255"/>
      <c r="D1482" s="1445"/>
      <c r="E1482" s="1446"/>
      <c r="F1482" s="1309"/>
      <c r="G1482" s="1255"/>
      <c r="H1482" s="1310"/>
      <c r="I1482" s="1311"/>
      <c r="J1482" s="1312"/>
      <c r="K1482" s="1313"/>
      <c r="L1482" s="1313"/>
      <c r="M1482" s="1255"/>
    </row>
    <row r="1483" spans="1:13" s="1444" customFormat="1">
      <c r="A1483" s="1305"/>
      <c r="B1483" s="1306"/>
      <c r="C1483" s="1255"/>
      <c r="D1483" s="1445"/>
      <c r="E1483" s="1446"/>
      <c r="F1483" s="1309"/>
      <c r="G1483" s="1255"/>
      <c r="H1483" s="1310"/>
      <c r="I1483" s="1311"/>
      <c r="J1483" s="1312"/>
      <c r="K1483" s="1313"/>
      <c r="L1483" s="1313"/>
      <c r="M1483" s="1255"/>
    </row>
    <row r="1484" spans="1:13" s="1444" customFormat="1">
      <c r="A1484" s="1305"/>
      <c r="B1484" s="1306"/>
      <c r="C1484" s="1255"/>
      <c r="D1484" s="1445"/>
      <c r="E1484" s="1446"/>
      <c r="F1484" s="1309"/>
      <c r="G1484" s="1255"/>
      <c r="H1484" s="1310"/>
      <c r="I1484" s="1311"/>
      <c r="J1484" s="1312"/>
      <c r="K1484" s="1313"/>
      <c r="L1484" s="1313"/>
      <c r="M1484" s="1255"/>
    </row>
    <row r="1485" spans="1:13" s="1444" customFormat="1">
      <c r="A1485" s="1305"/>
      <c r="B1485" s="1306"/>
      <c r="C1485" s="1255"/>
      <c r="D1485" s="1445"/>
      <c r="E1485" s="1446"/>
      <c r="F1485" s="1309"/>
      <c r="G1485" s="1255"/>
      <c r="H1485" s="1310"/>
      <c r="I1485" s="1311"/>
      <c r="J1485" s="1312"/>
      <c r="K1485" s="1313"/>
      <c r="L1485" s="1313"/>
      <c r="M1485" s="1255"/>
    </row>
    <row r="1486" spans="1:13" s="1444" customFormat="1">
      <c r="A1486" s="1305"/>
      <c r="B1486" s="1306"/>
      <c r="C1486" s="1255"/>
      <c r="D1486" s="1445"/>
      <c r="E1486" s="1446"/>
      <c r="F1486" s="1309"/>
      <c r="G1486" s="1255"/>
      <c r="H1486" s="1310"/>
      <c r="I1486" s="1311"/>
      <c r="J1486" s="1312"/>
      <c r="K1486" s="1313"/>
      <c r="L1486" s="1313"/>
      <c r="M1486" s="1255"/>
    </row>
    <row r="1487" spans="1:13" s="1444" customFormat="1">
      <c r="A1487" s="1305"/>
      <c r="B1487" s="1306"/>
      <c r="C1487" s="1255"/>
      <c r="D1487" s="1445"/>
      <c r="E1487" s="1446"/>
      <c r="F1487" s="1309"/>
      <c r="G1487" s="1255"/>
      <c r="H1487" s="1310"/>
      <c r="I1487" s="1311"/>
      <c r="J1487" s="1312"/>
      <c r="K1487" s="1313"/>
      <c r="L1487" s="1313"/>
      <c r="M1487" s="1255"/>
    </row>
    <row r="1488" spans="1:13" s="1444" customFormat="1">
      <c r="A1488" s="1305"/>
      <c r="B1488" s="1306"/>
      <c r="C1488" s="1255"/>
      <c r="D1488" s="1445"/>
      <c r="E1488" s="1446"/>
      <c r="F1488" s="1309"/>
      <c r="G1488" s="1255"/>
      <c r="H1488" s="1310"/>
      <c r="I1488" s="1311"/>
      <c r="J1488" s="1312"/>
      <c r="K1488" s="1313"/>
      <c r="L1488" s="1313"/>
      <c r="M1488" s="1255"/>
    </row>
    <row r="1489" spans="1:13" s="1444" customFormat="1">
      <c r="A1489" s="1305"/>
      <c r="B1489" s="1306"/>
      <c r="C1489" s="1255"/>
      <c r="D1489" s="1445"/>
      <c r="E1489" s="1446"/>
      <c r="F1489" s="1309"/>
      <c r="G1489" s="1255"/>
      <c r="H1489" s="1310"/>
      <c r="I1489" s="1311"/>
      <c r="J1489" s="1312"/>
      <c r="K1489" s="1313"/>
      <c r="L1489" s="1313"/>
      <c r="M1489" s="1255"/>
    </row>
    <row r="1490" spans="1:13" s="1444" customFormat="1">
      <c r="A1490" s="1305"/>
      <c r="B1490" s="1306"/>
      <c r="C1490" s="1255"/>
      <c r="D1490" s="1445"/>
      <c r="E1490" s="1446"/>
      <c r="F1490" s="1309"/>
      <c r="G1490" s="1255"/>
      <c r="H1490" s="1310"/>
      <c r="I1490" s="1311"/>
      <c r="J1490" s="1312"/>
      <c r="K1490" s="1313"/>
      <c r="L1490" s="1313"/>
      <c r="M1490" s="1255"/>
    </row>
    <row r="1491" spans="1:13" s="1444" customFormat="1">
      <c r="A1491" s="1305"/>
      <c r="B1491" s="1306"/>
      <c r="C1491" s="1255"/>
      <c r="D1491" s="1445"/>
      <c r="E1491" s="1446"/>
      <c r="F1491" s="1309"/>
      <c r="G1491" s="1255"/>
      <c r="H1491" s="1310"/>
      <c r="I1491" s="1311"/>
      <c r="J1491" s="1312"/>
      <c r="K1491" s="1313"/>
      <c r="L1491" s="1313"/>
      <c r="M1491" s="1255"/>
    </row>
    <row r="1492" spans="1:13" s="1444" customFormat="1">
      <c r="A1492" s="1305"/>
      <c r="B1492" s="1306"/>
      <c r="C1492" s="1255"/>
      <c r="D1492" s="1445"/>
      <c r="E1492" s="1446"/>
      <c r="F1492" s="1309"/>
      <c r="G1492" s="1255"/>
      <c r="H1492" s="1310"/>
      <c r="I1492" s="1311"/>
      <c r="J1492" s="1312"/>
      <c r="K1492" s="1313"/>
      <c r="L1492" s="1313"/>
      <c r="M1492" s="1255"/>
    </row>
    <row r="1493" spans="1:13" s="1444" customFormat="1">
      <c r="A1493" s="1305"/>
      <c r="B1493" s="1306"/>
      <c r="C1493" s="1255"/>
      <c r="D1493" s="1445"/>
      <c r="E1493" s="1446"/>
      <c r="F1493" s="1309"/>
      <c r="G1493" s="1255"/>
      <c r="H1493" s="1310"/>
      <c r="I1493" s="1311"/>
      <c r="J1493" s="1312"/>
      <c r="K1493" s="1313"/>
      <c r="L1493" s="1313"/>
      <c r="M1493" s="1255"/>
    </row>
    <row r="1494" spans="1:13" s="1444" customFormat="1">
      <c r="A1494" s="1305"/>
      <c r="B1494" s="1306"/>
      <c r="C1494" s="1255"/>
      <c r="D1494" s="1445"/>
      <c r="E1494" s="1446"/>
      <c r="F1494" s="1309"/>
      <c r="G1494" s="1255"/>
      <c r="H1494" s="1310"/>
      <c r="I1494" s="1311"/>
      <c r="J1494" s="1312"/>
      <c r="K1494" s="1313"/>
      <c r="L1494" s="1313"/>
      <c r="M1494" s="1255"/>
    </row>
    <row r="1495" spans="1:13" s="1444" customFormat="1">
      <c r="A1495" s="1305"/>
      <c r="B1495" s="1306"/>
      <c r="C1495" s="1255"/>
      <c r="D1495" s="1445"/>
      <c r="E1495" s="1446"/>
      <c r="F1495" s="1309"/>
      <c r="G1495" s="1255"/>
      <c r="H1495" s="1310"/>
      <c r="I1495" s="1311"/>
      <c r="J1495" s="1312"/>
      <c r="K1495" s="1313"/>
      <c r="L1495" s="1313"/>
      <c r="M1495" s="1255"/>
    </row>
    <row r="1496" spans="1:13" s="1444" customFormat="1">
      <c r="A1496" s="1305"/>
      <c r="B1496" s="1306"/>
      <c r="C1496" s="1255"/>
      <c r="D1496" s="1445"/>
      <c r="E1496" s="1446"/>
      <c r="F1496" s="1309"/>
      <c r="G1496" s="1255"/>
      <c r="H1496" s="1310"/>
      <c r="I1496" s="1311"/>
      <c r="J1496" s="1312"/>
      <c r="K1496" s="1313"/>
      <c r="L1496" s="1313"/>
      <c r="M1496" s="1255"/>
    </row>
    <row r="1497" spans="1:13" s="1444" customFormat="1">
      <c r="A1497" s="1305"/>
      <c r="B1497" s="1306"/>
      <c r="C1497" s="1255"/>
      <c r="D1497" s="1445"/>
      <c r="E1497" s="1446"/>
      <c r="F1497" s="1309"/>
      <c r="G1497" s="1255"/>
      <c r="H1497" s="1310"/>
      <c r="I1497" s="1311"/>
      <c r="J1497" s="1312"/>
      <c r="K1497" s="1313"/>
      <c r="L1497" s="1313"/>
      <c r="M1497" s="1255"/>
    </row>
    <row r="1498" spans="1:13" s="1444" customFormat="1">
      <c r="A1498" s="1305"/>
      <c r="B1498" s="1306"/>
      <c r="C1498" s="1255"/>
      <c r="D1498" s="1445"/>
      <c r="E1498" s="1446"/>
      <c r="F1498" s="1309"/>
      <c r="G1498" s="1255"/>
      <c r="H1498" s="1310"/>
      <c r="I1498" s="1311"/>
      <c r="J1498" s="1312"/>
      <c r="K1498" s="1313"/>
      <c r="L1498" s="1313"/>
      <c r="M1498" s="1255"/>
    </row>
    <row r="1499" spans="1:13" s="1444" customFormat="1">
      <c r="A1499" s="1305"/>
      <c r="B1499" s="1306"/>
      <c r="C1499" s="1255"/>
      <c r="D1499" s="1445"/>
      <c r="E1499" s="1446"/>
      <c r="F1499" s="1309"/>
      <c r="G1499" s="1255"/>
      <c r="H1499" s="1310"/>
      <c r="I1499" s="1311"/>
      <c r="J1499" s="1312"/>
      <c r="K1499" s="1313"/>
      <c r="L1499" s="1313"/>
      <c r="M1499" s="1255"/>
    </row>
    <row r="1500" spans="1:13" s="1444" customFormat="1">
      <c r="A1500" s="1305"/>
      <c r="B1500" s="1306"/>
      <c r="C1500" s="1255"/>
      <c r="D1500" s="1445"/>
      <c r="E1500" s="1446"/>
      <c r="F1500" s="1309"/>
      <c r="G1500" s="1255"/>
      <c r="H1500" s="1310"/>
      <c r="I1500" s="1311"/>
      <c r="J1500" s="1312"/>
      <c r="K1500" s="1313"/>
      <c r="L1500" s="1313"/>
      <c r="M1500" s="1255"/>
    </row>
    <row r="1501" spans="1:13" s="1444" customFormat="1">
      <c r="A1501" s="1305"/>
      <c r="B1501" s="1306"/>
      <c r="C1501" s="1255"/>
      <c r="D1501" s="1445"/>
      <c r="E1501" s="1446"/>
      <c r="F1501" s="1309"/>
      <c r="G1501" s="1255"/>
      <c r="H1501" s="1310"/>
      <c r="I1501" s="1311"/>
      <c r="J1501" s="1312"/>
      <c r="K1501" s="1313"/>
      <c r="L1501" s="1313"/>
      <c r="M1501" s="1255"/>
    </row>
    <row r="1502" spans="1:13" s="1444" customFormat="1">
      <c r="A1502" s="1305"/>
      <c r="B1502" s="1306"/>
      <c r="C1502" s="1255"/>
      <c r="D1502" s="1445"/>
      <c r="E1502" s="1446"/>
      <c r="F1502" s="1309"/>
      <c r="G1502" s="1255"/>
      <c r="H1502" s="1310"/>
      <c r="I1502" s="1311"/>
      <c r="J1502" s="1312"/>
      <c r="K1502" s="1313"/>
      <c r="L1502" s="1313"/>
      <c r="M1502" s="1255"/>
    </row>
    <row r="1503" spans="1:13" s="1444" customFormat="1">
      <c r="A1503" s="1305"/>
      <c r="B1503" s="1306"/>
      <c r="C1503" s="1255"/>
      <c r="D1503" s="1445"/>
      <c r="E1503" s="1446"/>
      <c r="F1503" s="1309"/>
      <c r="G1503" s="1255"/>
      <c r="H1503" s="1310"/>
      <c r="I1503" s="1311"/>
      <c r="J1503" s="1312"/>
      <c r="K1503" s="1313"/>
      <c r="L1503" s="1313"/>
      <c r="M1503" s="1255"/>
    </row>
    <row r="1504" spans="1:13" s="1444" customFormat="1">
      <c r="A1504" s="1305"/>
      <c r="B1504" s="1306"/>
      <c r="C1504" s="1255"/>
      <c r="D1504" s="1445"/>
      <c r="E1504" s="1446"/>
      <c r="F1504" s="1309"/>
      <c r="G1504" s="1255"/>
      <c r="H1504" s="1310"/>
      <c r="I1504" s="1311"/>
      <c r="J1504" s="1312"/>
      <c r="K1504" s="1313"/>
      <c r="L1504" s="1313"/>
      <c r="M1504" s="1255"/>
    </row>
    <row r="1505" spans="1:13" s="1444" customFormat="1">
      <c r="A1505" s="1305"/>
      <c r="B1505" s="1306"/>
      <c r="C1505" s="1255"/>
      <c r="D1505" s="1445"/>
      <c r="E1505" s="1446"/>
      <c r="F1505" s="1309"/>
      <c r="G1505" s="1255"/>
      <c r="H1505" s="1310"/>
      <c r="I1505" s="1311"/>
      <c r="J1505" s="1312"/>
      <c r="K1505" s="1313"/>
      <c r="L1505" s="1313"/>
      <c r="M1505" s="1255"/>
    </row>
    <row r="1506" spans="1:13" s="1444" customFormat="1">
      <c r="A1506" s="1305"/>
      <c r="B1506" s="1306"/>
      <c r="C1506" s="1255"/>
      <c r="D1506" s="1445"/>
      <c r="E1506" s="1446"/>
      <c r="F1506" s="1309"/>
      <c r="G1506" s="1255"/>
      <c r="H1506" s="1310"/>
      <c r="I1506" s="1311"/>
      <c r="J1506" s="1312"/>
      <c r="K1506" s="1313"/>
      <c r="L1506" s="1313"/>
      <c r="M1506" s="1255"/>
    </row>
    <row r="1507" spans="1:13" s="1444" customFormat="1">
      <c r="A1507" s="1305"/>
      <c r="B1507" s="1306"/>
      <c r="C1507" s="1255"/>
      <c r="D1507" s="1445"/>
      <c r="E1507" s="1446"/>
      <c r="F1507" s="1309"/>
      <c r="G1507" s="1255"/>
      <c r="H1507" s="1310"/>
      <c r="I1507" s="1311"/>
      <c r="J1507" s="1312"/>
      <c r="K1507" s="1313"/>
      <c r="L1507" s="1313"/>
      <c r="M1507" s="1255"/>
    </row>
    <row r="1508" spans="1:13" s="1444" customFormat="1">
      <c r="A1508" s="1305"/>
      <c r="B1508" s="1306"/>
      <c r="C1508" s="1255"/>
      <c r="D1508" s="1445"/>
      <c r="E1508" s="1446"/>
      <c r="F1508" s="1309"/>
      <c r="G1508" s="1255"/>
      <c r="H1508" s="1310"/>
      <c r="I1508" s="1311"/>
      <c r="J1508" s="1312"/>
      <c r="K1508" s="1313"/>
      <c r="L1508" s="1313"/>
      <c r="M1508" s="1255"/>
    </row>
    <row r="1509" spans="1:13" s="1444" customFormat="1">
      <c r="A1509" s="1305"/>
      <c r="B1509" s="1306"/>
      <c r="C1509" s="1255"/>
      <c r="D1509" s="1445"/>
      <c r="E1509" s="1446"/>
      <c r="F1509" s="1309"/>
      <c r="G1509" s="1255"/>
      <c r="H1509" s="1310"/>
      <c r="I1509" s="1311"/>
      <c r="J1509" s="1312"/>
      <c r="K1509" s="1313"/>
      <c r="L1509" s="1313"/>
      <c r="M1509" s="1255"/>
    </row>
    <row r="1510" spans="1:13" s="1444" customFormat="1">
      <c r="A1510" s="1305"/>
      <c r="B1510" s="1306"/>
      <c r="C1510" s="1255"/>
      <c r="D1510" s="1445"/>
      <c r="E1510" s="1446"/>
      <c r="F1510" s="1309"/>
      <c r="G1510" s="1255"/>
      <c r="H1510" s="1310"/>
      <c r="I1510" s="1311"/>
      <c r="J1510" s="1312"/>
      <c r="K1510" s="1313"/>
      <c r="L1510" s="1313"/>
      <c r="M1510" s="1255"/>
    </row>
    <row r="1511" spans="1:13" s="1444" customFormat="1">
      <c r="A1511" s="1305"/>
      <c r="B1511" s="1306"/>
      <c r="C1511" s="1255"/>
      <c r="D1511" s="1445"/>
      <c r="E1511" s="1446"/>
      <c r="F1511" s="1309"/>
      <c r="G1511" s="1255"/>
      <c r="H1511" s="1310"/>
      <c r="I1511" s="1311"/>
      <c r="J1511" s="1312"/>
      <c r="K1511" s="1313"/>
      <c r="L1511" s="1313"/>
      <c r="M1511" s="1255"/>
    </row>
    <row r="1512" spans="1:13" s="1444" customFormat="1">
      <c r="A1512" s="1305"/>
      <c r="B1512" s="1306"/>
      <c r="C1512" s="1255"/>
      <c r="D1512" s="1445"/>
      <c r="E1512" s="1446"/>
      <c r="F1512" s="1309"/>
      <c r="G1512" s="1255"/>
      <c r="H1512" s="1310"/>
      <c r="I1512" s="1311"/>
      <c r="J1512" s="1312"/>
      <c r="K1512" s="1313"/>
      <c r="L1512" s="1313"/>
      <c r="M1512" s="1255"/>
    </row>
    <row r="1513" spans="1:13" s="1444" customFormat="1">
      <c r="A1513" s="1305"/>
      <c r="B1513" s="1306"/>
      <c r="C1513" s="1255"/>
      <c r="D1513" s="1445"/>
      <c r="E1513" s="1446"/>
      <c r="F1513" s="1309"/>
      <c r="G1513" s="1255"/>
      <c r="H1513" s="1310"/>
      <c r="I1513" s="1311"/>
      <c r="J1513" s="1312"/>
      <c r="K1513" s="1313"/>
      <c r="L1513" s="1313"/>
      <c r="M1513" s="1255"/>
    </row>
    <row r="1514" spans="1:13" s="1444" customFormat="1">
      <c r="A1514" s="1305"/>
      <c r="B1514" s="1306"/>
      <c r="C1514" s="1255"/>
      <c r="D1514" s="1445"/>
      <c r="E1514" s="1446"/>
      <c r="F1514" s="1309"/>
      <c r="G1514" s="1255"/>
      <c r="H1514" s="1310"/>
      <c r="I1514" s="1311"/>
      <c r="J1514" s="1312"/>
      <c r="K1514" s="1313"/>
      <c r="L1514" s="1313"/>
      <c r="M1514" s="1255"/>
    </row>
    <row r="1515" spans="1:13" s="1444" customFormat="1">
      <c r="A1515" s="1305"/>
      <c r="B1515" s="1306"/>
      <c r="C1515" s="1255"/>
      <c r="D1515" s="1445"/>
      <c r="E1515" s="1446"/>
      <c r="F1515" s="1309"/>
      <c r="G1515" s="1255"/>
      <c r="H1515" s="1310"/>
      <c r="I1515" s="1311"/>
      <c r="J1515" s="1312"/>
      <c r="K1515" s="1313"/>
      <c r="L1515" s="1313"/>
      <c r="M1515" s="1255"/>
    </row>
    <row r="1516" spans="1:13" s="1444" customFormat="1">
      <c r="A1516" s="1305"/>
      <c r="B1516" s="1306"/>
      <c r="C1516" s="1255"/>
      <c r="D1516" s="1445"/>
      <c r="E1516" s="1446"/>
      <c r="F1516" s="1309"/>
      <c r="G1516" s="1255"/>
      <c r="H1516" s="1310"/>
      <c r="I1516" s="1311"/>
      <c r="J1516" s="1312"/>
      <c r="K1516" s="1313"/>
      <c r="L1516" s="1313"/>
      <c r="M1516" s="1255"/>
    </row>
    <row r="1517" spans="1:13" s="1444" customFormat="1">
      <c r="A1517" s="1305"/>
      <c r="B1517" s="1306"/>
      <c r="C1517" s="1255"/>
      <c r="D1517" s="1445"/>
      <c r="E1517" s="1446"/>
      <c r="F1517" s="1309"/>
      <c r="G1517" s="1255"/>
      <c r="H1517" s="1310"/>
      <c r="I1517" s="1311"/>
      <c r="J1517" s="1312"/>
      <c r="K1517" s="1313"/>
      <c r="L1517" s="1313"/>
      <c r="M1517" s="1255"/>
    </row>
    <row r="1518" spans="1:13" s="1444" customFormat="1">
      <c r="A1518" s="1305"/>
      <c r="B1518" s="1306"/>
      <c r="C1518" s="1255"/>
      <c r="D1518" s="1445"/>
      <c r="E1518" s="1446"/>
      <c r="F1518" s="1309"/>
      <c r="G1518" s="1255"/>
      <c r="H1518" s="1310"/>
      <c r="I1518" s="1311"/>
      <c r="J1518" s="1312"/>
      <c r="K1518" s="1313"/>
      <c r="L1518" s="1313"/>
      <c r="M1518" s="1255"/>
    </row>
    <row r="1519" spans="1:13" s="1444" customFormat="1">
      <c r="A1519" s="1305"/>
      <c r="B1519" s="1306"/>
      <c r="C1519" s="1255"/>
      <c r="D1519" s="1445"/>
      <c r="E1519" s="1446"/>
      <c r="F1519" s="1309"/>
      <c r="G1519" s="1255"/>
      <c r="H1519" s="1310"/>
      <c r="I1519" s="1311"/>
      <c r="J1519" s="1312"/>
      <c r="K1519" s="1313"/>
      <c r="L1519" s="1313"/>
      <c r="M1519" s="1255"/>
    </row>
    <row r="1520" spans="1:13" s="1444" customFormat="1">
      <c r="A1520" s="1305"/>
      <c r="B1520" s="1306"/>
      <c r="C1520" s="1255"/>
      <c r="D1520" s="1445"/>
      <c r="E1520" s="1446"/>
      <c r="F1520" s="1309"/>
      <c r="G1520" s="1255"/>
      <c r="H1520" s="1310"/>
      <c r="I1520" s="1311"/>
      <c r="J1520" s="1312"/>
      <c r="K1520" s="1313"/>
      <c r="L1520" s="1313"/>
      <c r="M1520" s="1255"/>
    </row>
    <row r="1521" spans="1:13" s="1444" customFormat="1">
      <c r="A1521" s="1305"/>
      <c r="B1521" s="1306"/>
      <c r="C1521" s="1255"/>
      <c r="D1521" s="1445"/>
      <c r="E1521" s="1446"/>
      <c r="F1521" s="1309"/>
      <c r="G1521" s="1255"/>
      <c r="H1521" s="1310"/>
      <c r="I1521" s="1311"/>
      <c r="J1521" s="1312"/>
      <c r="K1521" s="1313"/>
      <c r="L1521" s="1313"/>
      <c r="M1521" s="1255"/>
    </row>
    <row r="1522" spans="1:13" s="1444" customFormat="1">
      <c r="A1522" s="1305"/>
      <c r="B1522" s="1306"/>
      <c r="C1522" s="1255"/>
      <c r="D1522" s="1445"/>
      <c r="E1522" s="1446"/>
      <c r="F1522" s="1309"/>
      <c r="G1522" s="1255"/>
      <c r="H1522" s="1310"/>
      <c r="I1522" s="1311"/>
      <c r="J1522" s="1312"/>
      <c r="K1522" s="1313"/>
      <c r="L1522" s="1313"/>
      <c r="M1522" s="1255"/>
    </row>
    <row r="1523" spans="1:13" s="1444" customFormat="1">
      <c r="A1523" s="1305"/>
      <c r="B1523" s="1306"/>
      <c r="C1523" s="1255"/>
      <c r="D1523" s="1445"/>
      <c r="E1523" s="1446"/>
      <c r="F1523" s="1309"/>
      <c r="G1523" s="1255"/>
      <c r="H1523" s="1310"/>
      <c r="I1523" s="1311"/>
      <c r="J1523" s="1312"/>
      <c r="K1523" s="1313"/>
      <c r="L1523" s="1313"/>
      <c r="M1523" s="1255"/>
    </row>
    <row r="1524" spans="1:13" s="1444" customFormat="1">
      <c r="A1524" s="1305"/>
      <c r="B1524" s="1306"/>
      <c r="C1524" s="1255"/>
      <c r="D1524" s="1445"/>
      <c r="E1524" s="1446"/>
      <c r="F1524" s="1309"/>
      <c r="G1524" s="1255"/>
      <c r="H1524" s="1310"/>
      <c r="I1524" s="1311"/>
      <c r="J1524" s="1312"/>
      <c r="K1524" s="1313"/>
      <c r="L1524" s="1313"/>
      <c r="M1524" s="1255"/>
    </row>
    <row r="1525" spans="1:13" s="1444" customFormat="1">
      <c r="A1525" s="1305"/>
      <c r="B1525" s="1306"/>
      <c r="C1525" s="1255"/>
      <c r="D1525" s="1445"/>
      <c r="E1525" s="1446"/>
      <c r="F1525" s="1309"/>
      <c r="G1525" s="1255"/>
      <c r="H1525" s="1310"/>
      <c r="I1525" s="1311"/>
      <c r="J1525" s="1312"/>
      <c r="K1525" s="1313"/>
      <c r="L1525" s="1313"/>
      <c r="M1525" s="1255"/>
    </row>
    <row r="1526" spans="1:13" s="1444" customFormat="1">
      <c r="A1526" s="1305"/>
      <c r="B1526" s="1306"/>
      <c r="C1526" s="1255"/>
      <c r="D1526" s="1445"/>
      <c r="E1526" s="1446"/>
      <c r="F1526" s="1309"/>
      <c r="G1526" s="1255"/>
      <c r="H1526" s="1310"/>
      <c r="I1526" s="1311"/>
      <c r="J1526" s="1312"/>
      <c r="K1526" s="1313"/>
      <c r="L1526" s="1313"/>
      <c r="M1526" s="1255"/>
    </row>
    <row r="1527" spans="1:13" s="1444" customFormat="1">
      <c r="A1527" s="1305"/>
      <c r="B1527" s="1306"/>
      <c r="C1527" s="1255"/>
      <c r="D1527" s="1445"/>
      <c r="E1527" s="1446"/>
      <c r="F1527" s="1309"/>
      <c r="G1527" s="1255"/>
      <c r="H1527" s="1310"/>
      <c r="I1527" s="1311"/>
      <c r="J1527" s="1312"/>
      <c r="K1527" s="1313"/>
      <c r="L1527" s="1313"/>
      <c r="M1527" s="1255"/>
    </row>
    <row r="1528" spans="1:13" s="1444" customFormat="1">
      <c r="A1528" s="1305"/>
      <c r="B1528" s="1306"/>
      <c r="C1528" s="1255"/>
      <c r="D1528" s="1445"/>
      <c r="E1528" s="1446"/>
      <c r="F1528" s="1309"/>
      <c r="G1528" s="1255"/>
      <c r="H1528" s="1310"/>
      <c r="I1528" s="1311"/>
      <c r="J1528" s="1312"/>
      <c r="K1528" s="1313"/>
      <c r="L1528" s="1313"/>
      <c r="M1528" s="1255"/>
    </row>
    <row r="1529" spans="1:13" s="1444" customFormat="1">
      <c r="A1529" s="1305"/>
      <c r="B1529" s="1306"/>
      <c r="C1529" s="1255"/>
      <c r="D1529" s="1445"/>
      <c r="E1529" s="1446"/>
      <c r="F1529" s="1309"/>
      <c r="G1529" s="1255"/>
      <c r="H1529" s="1310"/>
      <c r="I1529" s="1311"/>
      <c r="J1529" s="1312"/>
      <c r="K1529" s="1313"/>
      <c r="L1529" s="1313"/>
      <c r="M1529" s="1255"/>
    </row>
    <row r="1530" spans="1:13" s="1444" customFormat="1">
      <c r="A1530" s="1305"/>
      <c r="B1530" s="1306"/>
      <c r="C1530" s="1255"/>
      <c r="D1530" s="1445"/>
      <c r="E1530" s="1446"/>
      <c r="F1530" s="1309"/>
      <c r="G1530" s="1255"/>
      <c r="H1530" s="1310"/>
      <c r="I1530" s="1311"/>
      <c r="J1530" s="1312"/>
      <c r="K1530" s="1313"/>
      <c r="L1530" s="1313"/>
      <c r="M1530" s="1255"/>
    </row>
    <row r="1531" spans="1:13" s="1444" customFormat="1">
      <c r="A1531" s="1305"/>
      <c r="B1531" s="1306"/>
      <c r="C1531" s="1255"/>
      <c r="D1531" s="1445"/>
      <c r="E1531" s="1446"/>
      <c r="F1531" s="1309"/>
      <c r="G1531" s="1255"/>
      <c r="H1531" s="1310"/>
      <c r="I1531" s="1311"/>
      <c r="J1531" s="1312"/>
      <c r="K1531" s="1313"/>
      <c r="L1531" s="1313"/>
      <c r="M1531" s="1255"/>
    </row>
    <row r="1532" spans="1:13" s="1444" customFormat="1">
      <c r="A1532" s="1305"/>
      <c r="B1532" s="1306"/>
      <c r="C1532" s="1255"/>
      <c r="D1532" s="1445"/>
      <c r="E1532" s="1446"/>
      <c r="F1532" s="1309"/>
      <c r="G1532" s="1255"/>
      <c r="H1532" s="1310"/>
      <c r="I1532" s="1311"/>
      <c r="J1532" s="1312"/>
      <c r="K1532" s="1313"/>
      <c r="L1532" s="1313"/>
      <c r="M1532" s="1255"/>
    </row>
    <row r="1533" spans="1:13" s="1444" customFormat="1">
      <c r="A1533" s="1305"/>
      <c r="B1533" s="1306"/>
      <c r="C1533" s="1255"/>
      <c r="D1533" s="1445"/>
      <c r="E1533" s="1446"/>
      <c r="F1533" s="1309"/>
      <c r="G1533" s="1255"/>
      <c r="H1533" s="1310"/>
      <c r="I1533" s="1311"/>
      <c r="J1533" s="1312"/>
      <c r="K1533" s="1313"/>
      <c r="L1533" s="1313"/>
      <c r="M1533" s="1255"/>
    </row>
    <row r="1534" spans="1:13" s="1444" customFormat="1">
      <c r="A1534" s="1305"/>
      <c r="B1534" s="1306"/>
      <c r="C1534" s="1255"/>
      <c r="D1534" s="1445"/>
      <c r="E1534" s="1446"/>
      <c r="F1534" s="1309"/>
      <c r="G1534" s="1255"/>
      <c r="H1534" s="1310"/>
      <c r="I1534" s="1311"/>
      <c r="J1534" s="1312"/>
      <c r="K1534" s="1313"/>
      <c r="L1534" s="1313"/>
      <c r="M1534" s="1255"/>
    </row>
    <row r="1535" spans="1:13" s="1444" customFormat="1">
      <c r="A1535" s="1305"/>
      <c r="B1535" s="1306"/>
      <c r="C1535" s="1255"/>
      <c r="D1535" s="1445"/>
      <c r="E1535" s="1446"/>
      <c r="F1535" s="1309"/>
      <c r="G1535" s="1255"/>
      <c r="H1535" s="1310"/>
      <c r="I1535" s="1311"/>
      <c r="J1535" s="1312"/>
      <c r="K1535" s="1313"/>
      <c r="L1535" s="1313"/>
      <c r="M1535" s="1255"/>
    </row>
    <row r="1536" spans="1:13" s="1444" customFormat="1">
      <c r="A1536" s="1305"/>
      <c r="B1536" s="1306"/>
      <c r="C1536" s="1255"/>
      <c r="D1536" s="1445"/>
      <c r="E1536" s="1446"/>
      <c r="F1536" s="1309"/>
      <c r="G1536" s="1255"/>
      <c r="H1536" s="1310"/>
      <c r="I1536" s="1311"/>
      <c r="J1536" s="1312"/>
      <c r="K1536" s="1313"/>
      <c r="L1536" s="1313"/>
      <c r="M1536" s="1255"/>
    </row>
    <row r="1537" spans="1:13" s="1444" customFormat="1">
      <c r="A1537" s="1305"/>
      <c r="B1537" s="1306"/>
      <c r="C1537" s="1255"/>
      <c r="D1537" s="1445"/>
      <c r="E1537" s="1446"/>
      <c r="F1537" s="1309"/>
      <c r="G1537" s="1255"/>
      <c r="H1537" s="1310"/>
      <c r="I1537" s="1311"/>
      <c r="J1537" s="1312"/>
      <c r="K1537" s="1313"/>
      <c r="L1537" s="1313"/>
      <c r="M1537" s="1255"/>
    </row>
    <row r="1538" spans="1:13" s="1444" customFormat="1">
      <c r="A1538" s="1305"/>
      <c r="B1538" s="1306"/>
      <c r="C1538" s="1255"/>
      <c r="D1538" s="1445"/>
      <c r="E1538" s="1446"/>
      <c r="F1538" s="1309"/>
      <c r="G1538" s="1255"/>
      <c r="H1538" s="1310"/>
      <c r="I1538" s="1311"/>
      <c r="J1538" s="1312"/>
      <c r="K1538" s="1313"/>
      <c r="L1538" s="1313"/>
      <c r="M1538" s="1255"/>
    </row>
    <row r="1539" spans="1:13" s="1444" customFormat="1">
      <c r="A1539" s="1305"/>
      <c r="B1539" s="1306"/>
      <c r="C1539" s="1255"/>
      <c r="D1539" s="1445"/>
      <c r="E1539" s="1446"/>
      <c r="F1539" s="1309"/>
      <c r="G1539" s="1255"/>
      <c r="H1539" s="1310"/>
      <c r="I1539" s="1311"/>
      <c r="J1539" s="1312"/>
      <c r="K1539" s="1313"/>
      <c r="L1539" s="1313"/>
      <c r="M1539" s="1255"/>
    </row>
    <row r="1540" spans="1:13" s="1444" customFormat="1">
      <c r="A1540" s="1305"/>
      <c r="B1540" s="1306"/>
      <c r="C1540" s="1255"/>
      <c r="D1540" s="1445"/>
      <c r="E1540" s="1446"/>
      <c r="F1540" s="1309"/>
      <c r="G1540" s="1255"/>
      <c r="H1540" s="1310"/>
      <c r="I1540" s="1311"/>
      <c r="J1540" s="1312"/>
      <c r="K1540" s="1313"/>
      <c r="L1540" s="1313"/>
      <c r="M1540" s="1255"/>
    </row>
    <row r="1541" spans="1:13" s="1444" customFormat="1">
      <c r="A1541" s="1305"/>
      <c r="B1541" s="1306"/>
      <c r="C1541" s="1255"/>
      <c r="D1541" s="1445"/>
      <c r="E1541" s="1446"/>
      <c r="F1541" s="1309"/>
      <c r="G1541" s="1255"/>
      <c r="H1541" s="1310"/>
      <c r="I1541" s="1311"/>
      <c r="J1541" s="1312"/>
      <c r="K1541" s="1313"/>
      <c r="L1541" s="1313"/>
      <c r="M1541" s="1255"/>
    </row>
    <row r="1542" spans="1:13" s="1444" customFormat="1">
      <c r="A1542" s="1305"/>
      <c r="B1542" s="1306"/>
      <c r="C1542" s="1255"/>
      <c r="D1542" s="1445"/>
      <c r="E1542" s="1446"/>
      <c r="F1542" s="1309"/>
      <c r="G1542" s="1255"/>
      <c r="H1542" s="1310"/>
      <c r="I1542" s="1311"/>
      <c r="J1542" s="1312"/>
      <c r="K1542" s="1313"/>
      <c r="L1542" s="1313"/>
      <c r="M1542" s="1255"/>
    </row>
    <row r="1543" spans="1:13" s="1444" customFormat="1">
      <c r="A1543" s="1305"/>
      <c r="B1543" s="1306"/>
      <c r="C1543" s="1255"/>
      <c r="D1543" s="1445"/>
      <c r="E1543" s="1446"/>
      <c r="F1543" s="1309"/>
      <c r="G1543" s="1255"/>
      <c r="H1543" s="1310"/>
      <c r="I1543" s="1311"/>
      <c r="J1543" s="1312"/>
      <c r="K1543" s="1313"/>
      <c r="L1543" s="1313"/>
      <c r="M1543" s="1255"/>
    </row>
    <row r="1544" spans="1:13" s="1444" customFormat="1">
      <c r="A1544" s="1305"/>
      <c r="B1544" s="1306"/>
      <c r="C1544" s="1255"/>
      <c r="D1544" s="1445"/>
      <c r="E1544" s="1446"/>
      <c r="F1544" s="1309"/>
      <c r="G1544" s="1255"/>
      <c r="H1544" s="1310"/>
      <c r="I1544" s="1311"/>
      <c r="J1544" s="1312"/>
      <c r="K1544" s="1313"/>
      <c r="L1544" s="1313"/>
      <c r="M1544" s="1255"/>
    </row>
    <row r="1545" spans="1:13" s="1444" customFormat="1">
      <c r="A1545" s="1305"/>
      <c r="B1545" s="1306"/>
      <c r="C1545" s="1255"/>
      <c r="D1545" s="1445"/>
      <c r="E1545" s="1446"/>
      <c r="F1545" s="1309"/>
      <c r="G1545" s="1255"/>
      <c r="H1545" s="1310"/>
      <c r="I1545" s="1311"/>
      <c r="J1545" s="1312"/>
      <c r="K1545" s="1313"/>
      <c r="L1545" s="1313"/>
      <c r="M1545" s="1255"/>
    </row>
    <row r="1546" spans="1:13" s="1444" customFormat="1">
      <c r="A1546" s="1305"/>
      <c r="B1546" s="1306"/>
      <c r="C1546" s="1255"/>
      <c r="D1546" s="1445"/>
      <c r="E1546" s="1446"/>
      <c r="F1546" s="1309"/>
      <c r="G1546" s="1255"/>
      <c r="H1546" s="1310"/>
      <c r="I1546" s="1311"/>
      <c r="J1546" s="1312"/>
      <c r="K1546" s="1313"/>
      <c r="L1546" s="1313"/>
      <c r="M1546" s="1255"/>
    </row>
    <row r="1547" spans="1:13" s="1444" customFormat="1">
      <c r="A1547" s="1305"/>
      <c r="B1547" s="1306"/>
      <c r="C1547" s="1255"/>
      <c r="D1547" s="1445"/>
      <c r="E1547" s="1446"/>
      <c r="F1547" s="1309"/>
      <c r="G1547" s="1255"/>
      <c r="H1547" s="1310"/>
      <c r="I1547" s="1311"/>
      <c r="J1547" s="1312"/>
      <c r="K1547" s="1313"/>
      <c r="L1547" s="1313"/>
      <c r="M1547" s="1255"/>
    </row>
    <row r="1548" spans="1:13" s="1444" customFormat="1">
      <c r="A1548" s="1305"/>
      <c r="B1548" s="1306"/>
      <c r="C1548" s="1255"/>
      <c r="D1548" s="1445"/>
      <c r="E1548" s="1446"/>
      <c r="F1548" s="1309"/>
      <c r="G1548" s="1255"/>
      <c r="H1548" s="1310"/>
      <c r="I1548" s="1311"/>
      <c r="J1548" s="1312"/>
      <c r="K1548" s="1313"/>
      <c r="L1548" s="1313"/>
      <c r="M1548" s="1255"/>
    </row>
    <row r="1549" spans="1:13" s="1444" customFormat="1">
      <c r="A1549" s="1305"/>
      <c r="B1549" s="1306"/>
      <c r="C1549" s="1255"/>
      <c r="D1549" s="1445"/>
      <c r="E1549" s="1446"/>
      <c r="F1549" s="1309"/>
      <c r="G1549" s="1255"/>
      <c r="H1549" s="1310"/>
      <c r="I1549" s="1311"/>
      <c r="J1549" s="1312"/>
      <c r="K1549" s="1313"/>
      <c r="L1549" s="1313"/>
      <c r="M1549" s="1255"/>
    </row>
    <row r="1550" spans="1:13" s="1444" customFormat="1">
      <c r="A1550" s="1305"/>
      <c r="B1550" s="1306"/>
      <c r="C1550" s="1255"/>
      <c r="D1550" s="1445"/>
      <c r="E1550" s="1446"/>
      <c r="F1550" s="1309"/>
      <c r="G1550" s="1255"/>
      <c r="H1550" s="1310"/>
      <c r="I1550" s="1311"/>
      <c r="J1550" s="1312"/>
      <c r="K1550" s="1313"/>
      <c r="L1550" s="1313"/>
      <c r="M1550" s="1255"/>
    </row>
    <row r="1551" spans="1:13" s="1444" customFormat="1">
      <c r="A1551" s="1305"/>
      <c r="B1551" s="1306"/>
      <c r="C1551" s="1255"/>
      <c r="D1551" s="1445"/>
      <c r="E1551" s="1446"/>
      <c r="F1551" s="1309"/>
      <c r="G1551" s="1255"/>
      <c r="H1551" s="1310"/>
      <c r="I1551" s="1311"/>
      <c r="J1551" s="1312"/>
      <c r="K1551" s="1313"/>
      <c r="L1551" s="1313"/>
      <c r="M1551" s="1255"/>
    </row>
    <row r="1552" spans="1:13" s="1444" customFormat="1">
      <c r="A1552" s="1305"/>
      <c r="B1552" s="1306"/>
      <c r="C1552" s="1255"/>
      <c r="D1552" s="1445"/>
      <c r="E1552" s="1446"/>
      <c r="F1552" s="1309"/>
      <c r="G1552" s="1255"/>
      <c r="H1552" s="1310"/>
      <c r="I1552" s="1311"/>
      <c r="J1552" s="1312"/>
      <c r="K1552" s="1313"/>
      <c r="L1552" s="1313"/>
      <c r="M1552" s="1255"/>
    </row>
    <row r="1553" spans="1:13" s="1444" customFormat="1">
      <c r="A1553" s="1305"/>
      <c r="B1553" s="1306"/>
      <c r="C1553" s="1255"/>
      <c r="D1553" s="1445"/>
      <c r="E1553" s="1446"/>
      <c r="F1553" s="1309"/>
      <c r="G1553" s="1255"/>
      <c r="H1553" s="1310"/>
      <c r="I1553" s="1311"/>
      <c r="J1553" s="1312"/>
      <c r="K1553" s="1313"/>
      <c r="L1553" s="1313"/>
      <c r="M1553" s="1255"/>
    </row>
    <row r="1554" spans="1:13" s="1444" customFormat="1">
      <c r="A1554" s="1305"/>
      <c r="B1554" s="1306"/>
      <c r="C1554" s="1255"/>
      <c r="D1554" s="1445"/>
      <c r="E1554" s="1446"/>
      <c r="F1554" s="1309"/>
      <c r="G1554" s="1255"/>
      <c r="H1554" s="1310"/>
      <c r="I1554" s="1311"/>
      <c r="J1554" s="1312"/>
      <c r="K1554" s="1313"/>
      <c r="L1554" s="1313"/>
      <c r="M1554" s="1255"/>
    </row>
    <row r="1555" spans="1:13" s="1444" customFormat="1">
      <c r="A1555" s="1305"/>
      <c r="B1555" s="1306"/>
      <c r="C1555" s="1255"/>
      <c r="D1555" s="1445"/>
      <c r="E1555" s="1446"/>
      <c r="F1555" s="1309"/>
      <c r="G1555" s="1255"/>
      <c r="H1555" s="1310"/>
      <c r="I1555" s="1311"/>
      <c r="J1555" s="1312"/>
      <c r="K1555" s="1313"/>
      <c r="L1555" s="1313"/>
      <c r="M1555" s="1255"/>
    </row>
    <row r="1556" spans="1:13" s="1444" customFormat="1">
      <c r="A1556" s="1305"/>
      <c r="B1556" s="1306"/>
      <c r="C1556" s="1255"/>
      <c r="D1556" s="1445"/>
      <c r="E1556" s="1446"/>
      <c r="F1556" s="1309"/>
      <c r="G1556" s="1255"/>
      <c r="H1556" s="1310"/>
      <c r="I1556" s="1311"/>
      <c r="J1556" s="1312"/>
      <c r="K1556" s="1313"/>
      <c r="L1556" s="1313"/>
      <c r="M1556" s="1255"/>
    </row>
    <row r="1557" spans="1:13" s="1444" customFormat="1">
      <c r="A1557" s="1305"/>
      <c r="B1557" s="1306"/>
      <c r="C1557" s="1255"/>
      <c r="D1557" s="1445"/>
      <c r="E1557" s="1446"/>
      <c r="F1557" s="1309"/>
      <c r="G1557" s="1255"/>
      <c r="H1557" s="1310"/>
      <c r="I1557" s="1311"/>
      <c r="J1557" s="1312"/>
      <c r="K1557" s="1313"/>
      <c r="L1557" s="1313"/>
      <c r="M1557" s="1255"/>
    </row>
    <row r="1558" spans="1:13" s="1444" customFormat="1">
      <c r="A1558" s="1305"/>
      <c r="B1558" s="1306"/>
      <c r="C1558" s="1255"/>
      <c r="D1558" s="1445"/>
      <c r="E1558" s="1446"/>
      <c r="F1558" s="1309"/>
      <c r="G1558" s="1255"/>
      <c r="H1558" s="1310"/>
      <c r="I1558" s="1311"/>
      <c r="J1558" s="1312"/>
      <c r="K1558" s="1313"/>
      <c r="L1558" s="1313"/>
      <c r="M1558" s="1255"/>
    </row>
    <row r="1559" spans="1:13" s="1444" customFormat="1">
      <c r="A1559" s="1305"/>
      <c r="B1559" s="1306"/>
      <c r="C1559" s="1255"/>
      <c r="D1559" s="1445"/>
      <c r="E1559" s="1446"/>
      <c r="F1559" s="1309"/>
      <c r="G1559" s="1255"/>
      <c r="H1559" s="1310"/>
      <c r="I1559" s="1311"/>
      <c r="J1559" s="1312"/>
      <c r="K1559" s="1313"/>
      <c r="L1559" s="1313"/>
      <c r="M1559" s="1255"/>
    </row>
    <row r="1560" spans="1:13" s="1444" customFormat="1">
      <c r="A1560" s="1305"/>
      <c r="B1560" s="1306"/>
      <c r="C1560" s="1255"/>
      <c r="D1560" s="1445"/>
      <c r="E1560" s="1446"/>
      <c r="F1560" s="1309"/>
      <c r="G1560" s="1255"/>
      <c r="H1560" s="1310"/>
      <c r="I1560" s="1311"/>
      <c r="J1560" s="1312"/>
      <c r="K1560" s="1313"/>
      <c r="L1560" s="1313"/>
      <c r="M1560" s="1255"/>
    </row>
    <row r="1561" spans="1:13" s="1444" customFormat="1">
      <c r="A1561" s="1305"/>
      <c r="B1561" s="1306"/>
      <c r="C1561" s="1255"/>
      <c r="D1561" s="1445"/>
      <c r="E1561" s="1446"/>
      <c r="F1561" s="1309"/>
      <c r="G1561" s="1255"/>
      <c r="H1561" s="1310"/>
      <c r="I1561" s="1311"/>
      <c r="J1561" s="1312"/>
      <c r="K1561" s="1313"/>
      <c r="L1561" s="1313"/>
      <c r="M1561" s="1255"/>
    </row>
    <row r="1562" spans="1:13" s="1444" customFormat="1">
      <c r="A1562" s="1305"/>
      <c r="B1562" s="1306"/>
      <c r="C1562" s="1255"/>
      <c r="D1562" s="1445"/>
      <c r="E1562" s="1446"/>
      <c r="F1562" s="1309"/>
      <c r="G1562" s="1255"/>
      <c r="H1562" s="1310"/>
      <c r="I1562" s="1311"/>
      <c r="J1562" s="1312"/>
      <c r="K1562" s="1313"/>
      <c r="L1562" s="1313"/>
      <c r="M1562" s="1255"/>
    </row>
    <row r="1563" spans="1:13" s="1444" customFormat="1">
      <c r="A1563" s="1305"/>
      <c r="B1563" s="1306"/>
      <c r="C1563" s="1255"/>
      <c r="D1563" s="1445"/>
      <c r="E1563" s="1446"/>
      <c r="F1563" s="1309"/>
      <c r="G1563" s="1255"/>
      <c r="H1563" s="1310"/>
      <c r="I1563" s="1311"/>
      <c r="J1563" s="1312"/>
      <c r="K1563" s="1313"/>
      <c r="L1563" s="1313"/>
      <c r="M1563" s="1255"/>
    </row>
    <row r="1564" spans="1:13" s="1444" customFormat="1">
      <c r="A1564" s="1305"/>
      <c r="B1564" s="1306"/>
      <c r="C1564" s="1255"/>
      <c r="D1564" s="1445"/>
      <c r="E1564" s="1446"/>
      <c r="F1564" s="1309"/>
      <c r="G1564" s="1255"/>
      <c r="H1564" s="1310"/>
      <c r="I1564" s="1311"/>
      <c r="J1564" s="1312"/>
      <c r="K1564" s="1313"/>
      <c r="L1564" s="1313"/>
      <c r="M1564" s="1255"/>
    </row>
    <row r="1565" spans="1:13" s="1444" customFormat="1">
      <c r="A1565" s="1305"/>
      <c r="B1565" s="1306"/>
      <c r="C1565" s="1255"/>
      <c r="D1565" s="1445"/>
      <c r="E1565" s="1446"/>
      <c r="F1565" s="1309"/>
      <c r="G1565" s="1255"/>
      <c r="H1565" s="1310"/>
      <c r="I1565" s="1311"/>
      <c r="J1565" s="1312"/>
      <c r="K1565" s="1313"/>
      <c r="L1565" s="1313"/>
      <c r="M1565" s="1255"/>
    </row>
    <row r="1566" spans="1:13" s="1444" customFormat="1">
      <c r="A1566" s="1305"/>
      <c r="B1566" s="1306"/>
      <c r="C1566" s="1255"/>
      <c r="D1566" s="1445"/>
      <c r="E1566" s="1446"/>
      <c r="F1566" s="1309"/>
      <c r="G1566" s="1255"/>
      <c r="H1566" s="1310"/>
      <c r="I1566" s="1311"/>
      <c r="J1566" s="1312"/>
      <c r="K1566" s="1313"/>
      <c r="L1566" s="1313"/>
      <c r="M1566" s="1255"/>
    </row>
    <row r="1567" spans="1:13" s="1444" customFormat="1">
      <c r="A1567" s="1305"/>
      <c r="B1567" s="1306"/>
      <c r="C1567" s="1255"/>
      <c r="D1567" s="1445"/>
      <c r="E1567" s="1446"/>
      <c r="F1567" s="1309"/>
      <c r="G1567" s="1255"/>
      <c r="H1567" s="1310"/>
      <c r="I1567" s="1311"/>
      <c r="J1567" s="1312"/>
      <c r="K1567" s="1313"/>
      <c r="L1567" s="1313"/>
      <c r="M1567" s="1255"/>
    </row>
    <row r="1568" spans="1:13" s="1444" customFormat="1">
      <c r="A1568" s="1305"/>
      <c r="B1568" s="1306"/>
      <c r="C1568" s="1255"/>
      <c r="D1568" s="1445"/>
      <c r="E1568" s="1446"/>
      <c r="F1568" s="1309"/>
      <c r="G1568" s="1255"/>
      <c r="H1568" s="1310"/>
      <c r="I1568" s="1311"/>
      <c r="J1568" s="1312"/>
      <c r="K1568" s="1313"/>
      <c r="L1568" s="1313"/>
      <c r="M1568" s="1255"/>
    </row>
    <row r="1569" spans="1:13" s="1444" customFormat="1">
      <c r="A1569" s="1305"/>
      <c r="B1569" s="1306"/>
      <c r="C1569" s="1255"/>
      <c r="D1569" s="1445"/>
      <c r="E1569" s="1446"/>
      <c r="F1569" s="1309"/>
      <c r="G1569" s="1255"/>
      <c r="H1569" s="1310"/>
      <c r="I1569" s="1311"/>
      <c r="J1569" s="1312"/>
      <c r="K1569" s="1313"/>
      <c r="L1569" s="1313"/>
      <c r="M1569" s="1255"/>
    </row>
    <row r="1570" spans="1:13" s="1444" customFormat="1">
      <c r="A1570" s="1305"/>
      <c r="B1570" s="1306"/>
      <c r="C1570" s="1255"/>
      <c r="D1570" s="1445"/>
      <c r="E1570" s="1446"/>
      <c r="F1570" s="1309"/>
      <c r="G1570" s="1255"/>
      <c r="H1570" s="1310"/>
      <c r="I1570" s="1311"/>
      <c r="J1570" s="1312"/>
      <c r="K1570" s="1313"/>
      <c r="L1570" s="1313"/>
      <c r="M1570" s="1255"/>
    </row>
    <row r="1571" spans="1:13" s="1444" customFormat="1">
      <c r="A1571" s="1305"/>
      <c r="B1571" s="1306"/>
      <c r="C1571" s="1255"/>
      <c r="D1571" s="1445"/>
      <c r="E1571" s="1446"/>
      <c r="F1571" s="1309"/>
      <c r="G1571" s="1255"/>
      <c r="H1571" s="1310"/>
      <c r="I1571" s="1311"/>
      <c r="J1571" s="1312"/>
      <c r="K1571" s="1313"/>
      <c r="L1571" s="1313"/>
      <c r="M1571" s="1255"/>
    </row>
    <row r="1572" spans="1:13" s="1444" customFormat="1">
      <c r="A1572" s="1305"/>
      <c r="B1572" s="1306"/>
      <c r="C1572" s="1255"/>
      <c r="D1572" s="1445"/>
      <c r="E1572" s="1446"/>
      <c r="F1572" s="1309"/>
      <c r="G1572" s="1255"/>
      <c r="H1572" s="1310"/>
      <c r="I1572" s="1311"/>
      <c r="J1572" s="1312"/>
      <c r="K1572" s="1313"/>
      <c r="L1572" s="1313"/>
      <c r="M1572" s="1255"/>
    </row>
    <row r="1573" spans="1:13" s="1444" customFormat="1">
      <c r="A1573" s="1305"/>
      <c r="B1573" s="1306"/>
      <c r="C1573" s="1255"/>
      <c r="D1573" s="1445"/>
      <c r="E1573" s="1446"/>
      <c r="F1573" s="1309"/>
      <c r="G1573" s="1255"/>
      <c r="H1573" s="1310"/>
      <c r="I1573" s="1311"/>
      <c r="J1573" s="1312"/>
      <c r="K1573" s="1313"/>
      <c r="L1573" s="1313"/>
      <c r="M1573" s="1255"/>
    </row>
    <row r="1574" spans="1:13" s="1444" customFormat="1">
      <c r="A1574" s="1305"/>
      <c r="B1574" s="1306"/>
      <c r="C1574" s="1255"/>
      <c r="D1574" s="1445"/>
      <c r="E1574" s="1446"/>
      <c r="F1574" s="1309"/>
      <c r="G1574" s="1255"/>
      <c r="H1574" s="1310"/>
      <c r="I1574" s="1311"/>
      <c r="J1574" s="1312"/>
      <c r="K1574" s="1313"/>
      <c r="L1574" s="1313"/>
      <c r="M1574" s="1255"/>
    </row>
    <row r="1575" spans="1:13" s="1444" customFormat="1">
      <c r="A1575" s="1305"/>
      <c r="B1575" s="1306"/>
      <c r="C1575" s="1255"/>
      <c r="D1575" s="1445"/>
      <c r="E1575" s="1446"/>
      <c r="F1575" s="1309"/>
      <c r="G1575" s="1255"/>
      <c r="H1575" s="1310"/>
      <c r="I1575" s="1311"/>
      <c r="J1575" s="1312"/>
      <c r="K1575" s="1313"/>
      <c r="L1575" s="1313"/>
      <c r="M1575" s="1255"/>
    </row>
    <row r="1576" spans="1:13" s="1444" customFormat="1">
      <c r="A1576" s="1305"/>
      <c r="B1576" s="1306"/>
      <c r="C1576" s="1255"/>
      <c r="D1576" s="1445"/>
      <c r="E1576" s="1446"/>
      <c r="F1576" s="1309"/>
      <c r="G1576" s="1255"/>
      <c r="H1576" s="1310"/>
      <c r="I1576" s="1311"/>
      <c r="J1576" s="1312"/>
      <c r="K1576" s="1313"/>
      <c r="L1576" s="1313"/>
      <c r="M1576" s="1255"/>
    </row>
    <row r="1577" spans="1:13" s="1444" customFormat="1">
      <c r="A1577" s="1305"/>
      <c r="B1577" s="1306"/>
      <c r="C1577" s="1255"/>
      <c r="D1577" s="1445"/>
      <c r="E1577" s="1446"/>
      <c r="F1577" s="1309"/>
      <c r="G1577" s="1255"/>
      <c r="H1577" s="1310"/>
      <c r="I1577" s="1311"/>
      <c r="J1577" s="1312"/>
      <c r="K1577" s="1313"/>
      <c r="L1577" s="1313"/>
      <c r="M1577" s="1255"/>
    </row>
    <row r="1578" spans="1:13" s="1444" customFormat="1">
      <c r="A1578" s="1305"/>
      <c r="B1578" s="1306"/>
      <c r="C1578" s="1255"/>
      <c r="D1578" s="1445"/>
      <c r="E1578" s="1446"/>
      <c r="F1578" s="1309"/>
      <c r="G1578" s="1255"/>
      <c r="H1578" s="1310"/>
      <c r="I1578" s="1311"/>
      <c r="J1578" s="1312"/>
      <c r="K1578" s="1313"/>
      <c r="L1578" s="1313"/>
      <c r="M1578" s="1255"/>
    </row>
    <row r="1579" spans="1:13" s="1444" customFormat="1">
      <c r="A1579" s="1305"/>
      <c r="B1579" s="1306"/>
      <c r="C1579" s="1255"/>
      <c r="D1579" s="1445"/>
      <c r="E1579" s="1446"/>
      <c r="F1579" s="1309"/>
      <c r="G1579" s="1255"/>
      <c r="H1579" s="1310"/>
      <c r="I1579" s="1311"/>
      <c r="J1579" s="1312"/>
      <c r="K1579" s="1313"/>
      <c r="L1579" s="1313"/>
      <c r="M1579" s="1255"/>
    </row>
    <row r="1580" spans="1:13" s="1444" customFormat="1">
      <c r="A1580" s="1305"/>
      <c r="B1580" s="1306"/>
      <c r="C1580" s="1255"/>
      <c r="D1580" s="1445"/>
      <c r="E1580" s="1446"/>
      <c r="F1580" s="1309"/>
      <c r="G1580" s="1255"/>
      <c r="H1580" s="1310"/>
      <c r="I1580" s="1311"/>
      <c r="J1580" s="1312"/>
      <c r="K1580" s="1313"/>
      <c r="L1580" s="1313"/>
      <c r="M1580" s="1255"/>
    </row>
    <row r="1581" spans="1:13" s="1444" customFormat="1">
      <c r="A1581" s="1305"/>
      <c r="B1581" s="1306"/>
      <c r="C1581" s="1255"/>
      <c r="D1581" s="1445"/>
      <c r="E1581" s="1446"/>
      <c r="F1581" s="1309"/>
      <c r="G1581" s="1255"/>
      <c r="H1581" s="1310"/>
      <c r="I1581" s="1311"/>
      <c r="J1581" s="1312"/>
      <c r="K1581" s="1313"/>
      <c r="L1581" s="1313"/>
      <c r="M1581" s="1255"/>
    </row>
    <row r="1582" spans="1:13" s="1444" customFormat="1">
      <c r="A1582" s="1305"/>
      <c r="B1582" s="1306"/>
      <c r="C1582" s="1255"/>
      <c r="D1582" s="1445"/>
      <c r="E1582" s="1446"/>
      <c r="F1582" s="1309"/>
      <c r="G1582" s="1255"/>
      <c r="H1582" s="1310"/>
      <c r="I1582" s="1311"/>
      <c r="J1582" s="1312"/>
      <c r="K1582" s="1313"/>
      <c r="L1582" s="1313"/>
      <c r="M1582" s="1255"/>
    </row>
    <row r="1583" spans="1:13" s="1444" customFormat="1">
      <c r="A1583" s="1305"/>
      <c r="B1583" s="1306"/>
      <c r="C1583" s="1255"/>
      <c r="D1583" s="1445"/>
      <c r="E1583" s="1446"/>
      <c r="F1583" s="1309"/>
      <c r="G1583" s="1255"/>
      <c r="H1583" s="1310"/>
      <c r="I1583" s="1311"/>
      <c r="J1583" s="1312"/>
      <c r="K1583" s="1313"/>
      <c r="L1583" s="1313"/>
      <c r="M1583" s="1255"/>
    </row>
    <row r="1584" spans="1:13" s="1444" customFormat="1">
      <c r="A1584" s="1305"/>
      <c r="B1584" s="1306"/>
      <c r="C1584" s="1255"/>
      <c r="D1584" s="1445"/>
      <c r="E1584" s="1446"/>
      <c r="F1584" s="1309"/>
      <c r="G1584" s="1255"/>
      <c r="H1584" s="1310"/>
      <c r="I1584" s="1311"/>
      <c r="J1584" s="1312"/>
      <c r="K1584" s="1313"/>
      <c r="L1584" s="1313"/>
      <c r="M1584" s="1255"/>
    </row>
    <row r="1585" spans="1:13" s="1444" customFormat="1">
      <c r="A1585" s="1305"/>
      <c r="B1585" s="1306"/>
      <c r="C1585" s="1255"/>
      <c r="D1585" s="1445"/>
      <c r="E1585" s="1446"/>
      <c r="F1585" s="1309"/>
      <c r="G1585" s="1255"/>
      <c r="H1585" s="1310"/>
      <c r="I1585" s="1311"/>
      <c r="J1585" s="1312"/>
      <c r="K1585" s="1313"/>
      <c r="L1585" s="1313"/>
      <c r="M1585" s="1255"/>
    </row>
    <row r="1586" spans="1:13" s="1444" customFormat="1">
      <c r="A1586" s="1305"/>
      <c r="B1586" s="1306"/>
      <c r="C1586" s="1255"/>
      <c r="D1586" s="1445"/>
      <c r="E1586" s="1446"/>
      <c r="F1586" s="1309"/>
      <c r="G1586" s="1255"/>
      <c r="H1586" s="1310"/>
      <c r="I1586" s="1311"/>
      <c r="J1586" s="1312"/>
      <c r="K1586" s="1313"/>
      <c r="L1586" s="1313"/>
      <c r="M1586" s="1255"/>
    </row>
    <row r="1587" spans="1:13" s="1444" customFormat="1">
      <c r="A1587" s="1305"/>
      <c r="B1587" s="1306"/>
      <c r="C1587" s="1255"/>
      <c r="D1587" s="1445"/>
      <c r="E1587" s="1446"/>
      <c r="F1587" s="1309"/>
      <c r="G1587" s="1255"/>
      <c r="H1587" s="1310"/>
      <c r="I1587" s="1311"/>
      <c r="J1587" s="1312"/>
      <c r="K1587" s="1313"/>
      <c r="L1587" s="1313"/>
      <c r="M1587" s="1255"/>
    </row>
    <row r="1588" spans="1:13" s="1444" customFormat="1">
      <c r="A1588" s="1305"/>
      <c r="B1588" s="1306"/>
      <c r="C1588" s="1255"/>
      <c r="D1588" s="1445"/>
      <c r="E1588" s="1446"/>
      <c r="F1588" s="1309"/>
      <c r="G1588" s="1255"/>
      <c r="H1588" s="1310"/>
      <c r="I1588" s="1311"/>
      <c r="J1588" s="1312"/>
      <c r="K1588" s="1313"/>
      <c r="L1588" s="1313"/>
      <c r="M1588" s="1255"/>
    </row>
    <row r="1589" spans="1:13" s="1444" customFormat="1">
      <c r="A1589" s="1305"/>
      <c r="B1589" s="1306"/>
      <c r="C1589" s="1255"/>
      <c r="D1589" s="1445"/>
      <c r="E1589" s="1446"/>
      <c r="F1589" s="1309"/>
      <c r="G1589" s="1255"/>
      <c r="H1589" s="1310"/>
      <c r="I1589" s="1311"/>
      <c r="J1589" s="1312"/>
      <c r="K1589" s="1313"/>
      <c r="L1589" s="1313"/>
      <c r="M1589" s="1255"/>
    </row>
    <row r="1590" spans="1:13" s="1444" customFormat="1">
      <c r="A1590" s="1305"/>
      <c r="B1590" s="1306"/>
      <c r="C1590" s="1255"/>
      <c r="D1590" s="1445"/>
      <c r="E1590" s="1446"/>
      <c r="F1590" s="1309"/>
      <c r="G1590" s="1255"/>
      <c r="H1590" s="1310"/>
      <c r="I1590" s="1311"/>
      <c r="J1590" s="1312"/>
      <c r="K1590" s="1313"/>
      <c r="L1590" s="1313"/>
      <c r="M1590" s="1255"/>
    </row>
    <row r="1591" spans="1:13" s="1444" customFormat="1">
      <c r="A1591" s="1305"/>
      <c r="B1591" s="1306"/>
      <c r="C1591" s="1255"/>
      <c r="D1591" s="1445"/>
      <c r="E1591" s="1446"/>
      <c r="F1591" s="1309"/>
      <c r="G1591" s="1255"/>
      <c r="H1591" s="1310"/>
      <c r="I1591" s="1311"/>
      <c r="J1591" s="1312"/>
      <c r="K1591" s="1313"/>
      <c r="L1591" s="1313"/>
      <c r="M1591" s="1255"/>
    </row>
    <row r="1592" spans="1:13" s="1444" customFormat="1">
      <c r="A1592" s="1305"/>
      <c r="B1592" s="1306"/>
      <c r="C1592" s="1255"/>
      <c r="D1592" s="1445"/>
      <c r="E1592" s="1446"/>
      <c r="F1592" s="1309"/>
      <c r="G1592" s="1255"/>
      <c r="H1592" s="1310"/>
      <c r="I1592" s="1311"/>
      <c r="J1592" s="1312"/>
      <c r="K1592" s="1313"/>
      <c r="L1592" s="1313"/>
      <c r="M1592" s="1255"/>
    </row>
    <row r="1593" spans="1:13" s="1444" customFormat="1">
      <c r="A1593" s="1305"/>
      <c r="B1593" s="1306"/>
      <c r="C1593" s="1255"/>
      <c r="D1593" s="1445"/>
      <c r="E1593" s="1446"/>
      <c r="F1593" s="1309"/>
      <c r="G1593" s="1255"/>
      <c r="H1593" s="1310"/>
      <c r="I1593" s="1311"/>
      <c r="J1593" s="1312"/>
      <c r="K1593" s="1313"/>
      <c r="L1593" s="1313"/>
      <c r="M1593" s="1255"/>
    </row>
    <row r="1594" spans="1:13" s="1444" customFormat="1">
      <c r="A1594" s="1305"/>
      <c r="B1594" s="1306"/>
      <c r="C1594" s="1255"/>
      <c r="D1594" s="1445"/>
      <c r="E1594" s="1446"/>
      <c r="F1594" s="1309"/>
      <c r="G1594" s="1255"/>
      <c r="H1594" s="1310"/>
      <c r="I1594" s="1311"/>
      <c r="J1594" s="1312"/>
      <c r="K1594" s="1313"/>
      <c r="L1594" s="1313"/>
      <c r="M1594" s="1255"/>
    </row>
    <row r="1595" spans="1:13" s="1444" customFormat="1">
      <c r="A1595" s="1305"/>
      <c r="B1595" s="1306"/>
      <c r="C1595" s="1255"/>
      <c r="D1595" s="1445"/>
      <c r="E1595" s="1446"/>
      <c r="F1595" s="1309"/>
      <c r="G1595" s="1255"/>
      <c r="H1595" s="1310"/>
      <c r="I1595" s="1311"/>
      <c r="J1595" s="1312"/>
      <c r="K1595" s="1313"/>
      <c r="L1595" s="1313"/>
      <c r="M1595" s="1255"/>
    </row>
    <row r="1596" spans="1:13" s="1444" customFormat="1">
      <c r="A1596" s="1305"/>
      <c r="B1596" s="1306"/>
      <c r="C1596" s="1255"/>
      <c r="D1596" s="1445"/>
      <c r="E1596" s="1446"/>
      <c r="F1596" s="1309"/>
      <c r="G1596" s="1255"/>
      <c r="H1596" s="1310"/>
      <c r="I1596" s="1311"/>
      <c r="J1596" s="1312"/>
      <c r="K1596" s="1313"/>
      <c r="L1596" s="1313"/>
      <c r="M1596" s="1255"/>
    </row>
  </sheetData>
  <autoFilter ref="A3:M264">
    <filterColumn colId="2" showButton="0"/>
    <filterColumn colId="3" showButton="0"/>
    <filterColumn colId="4" showButton="0"/>
    <filterColumn colId="5" showButton="0"/>
  </autoFilter>
  <mergeCells count="392">
    <mergeCell ref="A5:A9"/>
    <mergeCell ref="B5:B9"/>
    <mergeCell ref="H5:H9"/>
    <mergeCell ref="K5:K9"/>
    <mergeCell ref="L5:L9"/>
    <mergeCell ref="M5:M9"/>
    <mergeCell ref="A2:M2"/>
    <mergeCell ref="A3:A4"/>
    <mergeCell ref="B3:B4"/>
    <mergeCell ref="C3:G3"/>
    <mergeCell ref="H3:J3"/>
    <mergeCell ref="K3:K4"/>
    <mergeCell ref="L3:L4"/>
    <mergeCell ref="M3:M4"/>
    <mergeCell ref="A15:A19"/>
    <mergeCell ref="B15:B19"/>
    <mergeCell ref="H15:H19"/>
    <mergeCell ref="K15:K19"/>
    <mergeCell ref="L15:L19"/>
    <mergeCell ref="M15:M19"/>
    <mergeCell ref="A10:A14"/>
    <mergeCell ref="B10:B14"/>
    <mergeCell ref="H10:H14"/>
    <mergeCell ref="K10:K14"/>
    <mergeCell ref="L10:L14"/>
    <mergeCell ref="M10:M14"/>
    <mergeCell ref="A25:A29"/>
    <mergeCell ref="B25:B29"/>
    <mergeCell ref="H25:H29"/>
    <mergeCell ref="K25:K29"/>
    <mergeCell ref="L25:L29"/>
    <mergeCell ref="M25:M29"/>
    <mergeCell ref="A20:A24"/>
    <mergeCell ref="B20:B24"/>
    <mergeCell ref="H20:H24"/>
    <mergeCell ref="K20:K24"/>
    <mergeCell ref="L20:L24"/>
    <mergeCell ref="M20:M24"/>
    <mergeCell ref="L30:L34"/>
    <mergeCell ref="M30:M34"/>
    <mergeCell ref="A35:A39"/>
    <mergeCell ref="B35:B39"/>
    <mergeCell ref="H35:H39"/>
    <mergeCell ref="I35:I39"/>
    <mergeCell ref="J35:J39"/>
    <mergeCell ref="K35:K39"/>
    <mergeCell ref="L35:L39"/>
    <mergeCell ref="M35:M39"/>
    <mergeCell ref="A30:A34"/>
    <mergeCell ref="B30:B34"/>
    <mergeCell ref="H30:H34"/>
    <mergeCell ref="I30:I34"/>
    <mergeCell ref="J30:J34"/>
    <mergeCell ref="K30:K34"/>
    <mergeCell ref="L40:L44"/>
    <mergeCell ref="M40:M44"/>
    <mergeCell ref="A45:A49"/>
    <mergeCell ref="B45:B49"/>
    <mergeCell ref="H45:H49"/>
    <mergeCell ref="I45:I49"/>
    <mergeCell ref="J45:J49"/>
    <mergeCell ref="K45:K49"/>
    <mergeCell ref="L45:L49"/>
    <mergeCell ref="M45:M49"/>
    <mergeCell ref="A40:A44"/>
    <mergeCell ref="B40:B44"/>
    <mergeCell ref="H40:H44"/>
    <mergeCell ref="I40:I44"/>
    <mergeCell ref="J40:J44"/>
    <mergeCell ref="K40:K44"/>
    <mergeCell ref="L50:L54"/>
    <mergeCell ref="M50:M54"/>
    <mergeCell ref="A55:A59"/>
    <mergeCell ref="B55:B59"/>
    <mergeCell ref="H55:H59"/>
    <mergeCell ref="I55:I59"/>
    <mergeCell ref="J55:J59"/>
    <mergeCell ref="K55:K59"/>
    <mergeCell ref="L55:L59"/>
    <mergeCell ref="M55:M59"/>
    <mergeCell ref="A50:A54"/>
    <mergeCell ref="B50:B54"/>
    <mergeCell ref="H50:H54"/>
    <mergeCell ref="I50:I54"/>
    <mergeCell ref="J50:J54"/>
    <mergeCell ref="K50:K54"/>
    <mergeCell ref="L60:L64"/>
    <mergeCell ref="M60:M64"/>
    <mergeCell ref="A65:A69"/>
    <mergeCell ref="B65:B69"/>
    <mergeCell ref="H65:H69"/>
    <mergeCell ref="I65:I69"/>
    <mergeCell ref="J65:J69"/>
    <mergeCell ref="K65:K69"/>
    <mergeCell ref="L65:L69"/>
    <mergeCell ref="M65:M69"/>
    <mergeCell ref="A60:A64"/>
    <mergeCell ref="B60:B64"/>
    <mergeCell ref="H60:H64"/>
    <mergeCell ref="I60:I64"/>
    <mergeCell ref="J60:J64"/>
    <mergeCell ref="K60:K64"/>
    <mergeCell ref="L70:L74"/>
    <mergeCell ref="M70:M74"/>
    <mergeCell ref="A75:A79"/>
    <mergeCell ref="B75:B79"/>
    <mergeCell ref="H75:H79"/>
    <mergeCell ref="K75:K79"/>
    <mergeCell ref="L75:L79"/>
    <mergeCell ref="M75:M79"/>
    <mergeCell ref="A70:A74"/>
    <mergeCell ref="B70:B74"/>
    <mergeCell ref="H70:H74"/>
    <mergeCell ref="I70:I74"/>
    <mergeCell ref="J70:J74"/>
    <mergeCell ref="K70:K74"/>
    <mergeCell ref="L80:L84"/>
    <mergeCell ref="M80:M84"/>
    <mergeCell ref="A85:A89"/>
    <mergeCell ref="B85:B89"/>
    <mergeCell ref="H85:H89"/>
    <mergeCell ref="I85:I89"/>
    <mergeCell ref="J85:J89"/>
    <mergeCell ref="K85:K89"/>
    <mergeCell ref="L85:L89"/>
    <mergeCell ref="M85:M89"/>
    <mergeCell ref="A80:A84"/>
    <mergeCell ref="B80:B84"/>
    <mergeCell ref="H80:H84"/>
    <mergeCell ref="I80:I84"/>
    <mergeCell ref="J80:J84"/>
    <mergeCell ref="K80:K84"/>
    <mergeCell ref="A100:A104"/>
    <mergeCell ref="B100:B104"/>
    <mergeCell ref="H100:H104"/>
    <mergeCell ref="K100:K104"/>
    <mergeCell ref="L100:L104"/>
    <mergeCell ref="M100:M104"/>
    <mergeCell ref="L90:L94"/>
    <mergeCell ref="M90:M94"/>
    <mergeCell ref="A95:A99"/>
    <mergeCell ref="B95:B99"/>
    <mergeCell ref="H95:H99"/>
    <mergeCell ref="K95:K99"/>
    <mergeCell ref="L95:L99"/>
    <mergeCell ref="M95:M99"/>
    <mergeCell ref="A90:A94"/>
    <mergeCell ref="B90:B94"/>
    <mergeCell ref="H90:H94"/>
    <mergeCell ref="I90:I94"/>
    <mergeCell ref="J90:J94"/>
    <mergeCell ref="K90:K94"/>
    <mergeCell ref="L105:L109"/>
    <mergeCell ref="M105:M109"/>
    <mergeCell ref="A110:A114"/>
    <mergeCell ref="B110:B114"/>
    <mergeCell ref="H110:H114"/>
    <mergeCell ref="I110:I114"/>
    <mergeCell ref="J110:J114"/>
    <mergeCell ref="K110:K114"/>
    <mergeCell ref="L110:L114"/>
    <mergeCell ref="M110:M114"/>
    <mergeCell ref="A105:A109"/>
    <mergeCell ref="B105:B109"/>
    <mergeCell ref="H105:H109"/>
    <mergeCell ref="I105:I109"/>
    <mergeCell ref="J105:J109"/>
    <mergeCell ref="K105:K109"/>
    <mergeCell ref="L115:L119"/>
    <mergeCell ref="M115:M119"/>
    <mergeCell ref="A120:A124"/>
    <mergeCell ref="B120:B124"/>
    <mergeCell ref="H120:H124"/>
    <mergeCell ref="I120:I124"/>
    <mergeCell ref="J120:J124"/>
    <mergeCell ref="K120:K124"/>
    <mergeCell ref="L120:L124"/>
    <mergeCell ref="M120:M124"/>
    <mergeCell ref="A115:A119"/>
    <mergeCell ref="B115:B119"/>
    <mergeCell ref="H115:H119"/>
    <mergeCell ref="I115:I119"/>
    <mergeCell ref="J115:J119"/>
    <mergeCell ref="K115:K119"/>
    <mergeCell ref="L125:L129"/>
    <mergeCell ref="M125:M129"/>
    <mergeCell ref="A130:A134"/>
    <mergeCell ref="B130:B134"/>
    <mergeCell ref="H130:H134"/>
    <mergeCell ref="I130:I134"/>
    <mergeCell ref="J130:J134"/>
    <mergeCell ref="K130:K134"/>
    <mergeCell ref="L130:L134"/>
    <mergeCell ref="M130:M134"/>
    <mergeCell ref="A125:A129"/>
    <mergeCell ref="B125:B129"/>
    <mergeCell ref="H125:H129"/>
    <mergeCell ref="I125:I129"/>
    <mergeCell ref="J125:J129"/>
    <mergeCell ref="K125:K129"/>
    <mergeCell ref="L135:L139"/>
    <mergeCell ref="M135:M139"/>
    <mergeCell ref="A140:A144"/>
    <mergeCell ref="B140:B144"/>
    <mergeCell ref="H140:H144"/>
    <mergeCell ref="I140:I144"/>
    <mergeCell ref="J140:J144"/>
    <mergeCell ref="K140:K144"/>
    <mergeCell ref="L140:L144"/>
    <mergeCell ref="M140:M144"/>
    <mergeCell ref="A135:A139"/>
    <mergeCell ref="B135:B139"/>
    <mergeCell ref="H135:H139"/>
    <mergeCell ref="I135:I139"/>
    <mergeCell ref="J135:J139"/>
    <mergeCell ref="K135:K139"/>
    <mergeCell ref="L145:L149"/>
    <mergeCell ref="M145:M149"/>
    <mergeCell ref="A150:A154"/>
    <mergeCell ref="B150:B154"/>
    <mergeCell ref="H150:H154"/>
    <mergeCell ref="K150:K154"/>
    <mergeCell ref="L150:L154"/>
    <mergeCell ref="M150:M154"/>
    <mergeCell ref="A145:A149"/>
    <mergeCell ref="B145:B149"/>
    <mergeCell ref="H145:H149"/>
    <mergeCell ref="I145:I149"/>
    <mergeCell ref="J145:J149"/>
    <mergeCell ref="K145:K149"/>
    <mergeCell ref="A165:A169"/>
    <mergeCell ref="B165:B169"/>
    <mergeCell ref="H165:H169"/>
    <mergeCell ref="K165:K169"/>
    <mergeCell ref="L165:L169"/>
    <mergeCell ref="M165:M169"/>
    <mergeCell ref="L155:L159"/>
    <mergeCell ref="M155:M159"/>
    <mergeCell ref="A160:A164"/>
    <mergeCell ref="B160:B164"/>
    <mergeCell ref="H160:H164"/>
    <mergeCell ref="I160:I164"/>
    <mergeCell ref="J160:J164"/>
    <mergeCell ref="K160:K164"/>
    <mergeCell ref="L160:L164"/>
    <mergeCell ref="M160:M164"/>
    <mergeCell ref="A155:A159"/>
    <mergeCell ref="B155:B159"/>
    <mergeCell ref="H155:H159"/>
    <mergeCell ref="I155:I159"/>
    <mergeCell ref="J155:J159"/>
    <mergeCell ref="K155:K159"/>
    <mergeCell ref="L170:L174"/>
    <mergeCell ref="M170:M174"/>
    <mergeCell ref="A175:A179"/>
    <mergeCell ref="B175:B179"/>
    <mergeCell ref="H175:H179"/>
    <mergeCell ref="I175:I179"/>
    <mergeCell ref="J175:J179"/>
    <mergeCell ref="K175:K179"/>
    <mergeCell ref="L175:L179"/>
    <mergeCell ref="M175:M179"/>
    <mergeCell ref="A170:A174"/>
    <mergeCell ref="B170:B174"/>
    <mergeCell ref="H170:H174"/>
    <mergeCell ref="I170:I174"/>
    <mergeCell ref="J170:J174"/>
    <mergeCell ref="K170:K174"/>
    <mergeCell ref="A185:A189"/>
    <mergeCell ref="B185:B189"/>
    <mergeCell ref="H185:H189"/>
    <mergeCell ref="K185:K189"/>
    <mergeCell ref="L185:L189"/>
    <mergeCell ref="M185:M189"/>
    <mergeCell ref="A180:A184"/>
    <mergeCell ref="B180:B184"/>
    <mergeCell ref="H180:H184"/>
    <mergeCell ref="K180:K184"/>
    <mergeCell ref="L180:L184"/>
    <mergeCell ref="M180:M184"/>
    <mergeCell ref="L190:L194"/>
    <mergeCell ref="M190:M194"/>
    <mergeCell ref="A195:A199"/>
    <mergeCell ref="B195:B199"/>
    <mergeCell ref="H195:H199"/>
    <mergeCell ref="I195:I199"/>
    <mergeCell ref="J195:J199"/>
    <mergeCell ref="K195:K199"/>
    <mergeCell ref="L195:L199"/>
    <mergeCell ref="M195:M199"/>
    <mergeCell ref="A190:A194"/>
    <mergeCell ref="B190:B194"/>
    <mergeCell ref="H190:H194"/>
    <mergeCell ref="I190:I194"/>
    <mergeCell ref="J190:J194"/>
    <mergeCell ref="K190:K194"/>
    <mergeCell ref="L200:L204"/>
    <mergeCell ref="M200:M204"/>
    <mergeCell ref="A205:A209"/>
    <mergeCell ref="B205:B209"/>
    <mergeCell ref="H205:H209"/>
    <mergeCell ref="I205:I209"/>
    <mergeCell ref="J205:J209"/>
    <mergeCell ref="K205:K209"/>
    <mergeCell ref="L205:L209"/>
    <mergeCell ref="M205:M209"/>
    <mergeCell ref="A200:A204"/>
    <mergeCell ref="B200:B204"/>
    <mergeCell ref="H200:H204"/>
    <mergeCell ref="I200:I204"/>
    <mergeCell ref="J200:J204"/>
    <mergeCell ref="K200:K204"/>
    <mergeCell ref="L210:L214"/>
    <mergeCell ref="M210:M214"/>
    <mergeCell ref="A215:A219"/>
    <mergeCell ref="B215:B219"/>
    <mergeCell ref="H215:H219"/>
    <mergeCell ref="K215:K219"/>
    <mergeCell ref="L215:L219"/>
    <mergeCell ref="M215:M219"/>
    <mergeCell ref="A210:A214"/>
    <mergeCell ref="B210:B214"/>
    <mergeCell ref="H210:H214"/>
    <mergeCell ref="I210:I214"/>
    <mergeCell ref="J210:J214"/>
    <mergeCell ref="K210:K214"/>
    <mergeCell ref="L220:L224"/>
    <mergeCell ref="M220:M224"/>
    <mergeCell ref="A225:A229"/>
    <mergeCell ref="B225:B229"/>
    <mergeCell ref="H225:H229"/>
    <mergeCell ref="I225:I229"/>
    <mergeCell ref="J225:J229"/>
    <mergeCell ref="K225:K229"/>
    <mergeCell ref="L225:L229"/>
    <mergeCell ref="M225:M229"/>
    <mergeCell ref="A220:A224"/>
    <mergeCell ref="B220:B224"/>
    <mergeCell ref="H220:H224"/>
    <mergeCell ref="I220:I224"/>
    <mergeCell ref="J220:J224"/>
    <mergeCell ref="K220:K224"/>
    <mergeCell ref="L230:L234"/>
    <mergeCell ref="M230:M234"/>
    <mergeCell ref="A235:A239"/>
    <mergeCell ref="B235:B239"/>
    <mergeCell ref="H235:H239"/>
    <mergeCell ref="K235:K239"/>
    <mergeCell ref="L235:L239"/>
    <mergeCell ref="M235:M239"/>
    <mergeCell ref="A230:A234"/>
    <mergeCell ref="B230:B234"/>
    <mergeCell ref="H230:H234"/>
    <mergeCell ref="I230:I234"/>
    <mergeCell ref="J230:J234"/>
    <mergeCell ref="K230:K234"/>
    <mergeCell ref="A250:A254"/>
    <mergeCell ref="B250:B254"/>
    <mergeCell ref="H250:H254"/>
    <mergeCell ref="K250:K254"/>
    <mergeCell ref="L250:L254"/>
    <mergeCell ref="M250:M254"/>
    <mergeCell ref="L240:L244"/>
    <mergeCell ref="M240:M244"/>
    <mergeCell ref="A245:A249"/>
    <mergeCell ref="B245:B249"/>
    <mergeCell ref="H245:H249"/>
    <mergeCell ref="I245:I249"/>
    <mergeCell ref="J245:J249"/>
    <mergeCell ref="K245:K249"/>
    <mergeCell ref="L245:L249"/>
    <mergeCell ref="M245:M249"/>
    <mergeCell ref="A240:A244"/>
    <mergeCell ref="B240:B244"/>
    <mergeCell ref="H240:H244"/>
    <mergeCell ref="I240:I244"/>
    <mergeCell ref="J240:J244"/>
    <mergeCell ref="K240:K244"/>
    <mergeCell ref="L260:L264"/>
    <mergeCell ref="M260:M264"/>
    <mergeCell ref="A260:A264"/>
    <mergeCell ref="B260:B264"/>
    <mergeCell ref="H260:H264"/>
    <mergeCell ref="I260:I264"/>
    <mergeCell ref="J260:J264"/>
    <mergeCell ref="K260:K264"/>
    <mergeCell ref="A255:A259"/>
    <mergeCell ref="B255:B259"/>
    <mergeCell ref="H255:H259"/>
    <mergeCell ref="K255:K259"/>
    <mergeCell ref="L255:L259"/>
    <mergeCell ref="M255:M259"/>
  </mergeCells>
  <pageMargins left="0.23622047244094491" right="0" top="0.74803149606299213" bottom="0.59055118110236238" header="0" footer="0"/>
  <pageSetup paperSize="8" scale="76" firstPageNumber="4294967295" fitToHeight="0"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61"/>
  <sheetViews>
    <sheetView workbookViewId="0">
      <pane xSplit="6" ySplit="6" topLeftCell="G13" activePane="bottomRight" state="frozen"/>
      <selection pane="topRight" activeCell="G1" sqref="G1"/>
      <selection pane="bottomLeft" activeCell="A7" sqref="A7"/>
      <selection pane="bottomRight" activeCell="B7" sqref="B7:F11"/>
    </sheetView>
  </sheetViews>
  <sheetFormatPr defaultRowHeight="15"/>
  <cols>
    <col min="1" max="1" width="9.140625" style="36"/>
    <col min="2" max="2" width="28.7109375" style="36" customWidth="1"/>
    <col min="3" max="3" width="9.140625" style="36"/>
    <col min="4" max="4" width="15" style="36" customWidth="1"/>
    <col min="5" max="5" width="18.7109375" style="36" customWidth="1"/>
    <col min="6" max="6" width="16.28515625" style="36" customWidth="1"/>
    <col min="7" max="16" width="9.140625" style="36"/>
    <col min="17" max="17" width="57.28515625" style="36" customWidth="1"/>
  </cols>
  <sheetData>
    <row r="2" spans="1:17">
      <c r="A2" s="3492"/>
      <c r="B2" s="3492"/>
      <c r="C2" s="3493"/>
      <c r="D2" s="3493"/>
      <c r="E2" s="3493"/>
      <c r="F2" s="3494"/>
      <c r="G2" s="3492"/>
      <c r="H2" s="3495"/>
      <c r="I2" s="3495"/>
      <c r="J2" s="3496"/>
      <c r="K2" s="3497"/>
      <c r="L2" s="3497"/>
      <c r="M2" s="3497"/>
      <c r="N2" s="3498"/>
      <c r="O2" s="3499"/>
      <c r="P2" s="3500"/>
      <c r="Q2" s="3501" t="s">
        <v>3404</v>
      </c>
    </row>
    <row r="3" spans="1:17">
      <c r="A3" s="3502" t="s">
        <v>5419</v>
      </c>
      <c r="B3" s="3502"/>
      <c r="C3" s="3502"/>
      <c r="D3" s="3502"/>
      <c r="E3" s="3502"/>
      <c r="F3" s="3502"/>
      <c r="G3" s="3502"/>
      <c r="H3" s="3502"/>
      <c r="I3" s="3502"/>
      <c r="J3" s="3502"/>
      <c r="K3" s="3502"/>
      <c r="L3" s="3502"/>
      <c r="M3" s="3502"/>
      <c r="N3" s="3502"/>
      <c r="O3" s="3502"/>
      <c r="P3" s="3502"/>
      <c r="Q3" s="3502"/>
    </row>
    <row r="4" spans="1:17">
      <c r="A4" s="3503"/>
      <c r="B4" s="3503"/>
      <c r="C4" s="3504"/>
      <c r="D4" s="3504"/>
      <c r="E4" s="3504"/>
      <c r="F4" s="3505"/>
      <c r="G4" s="3503"/>
      <c r="H4" s="3506"/>
      <c r="I4" s="3506"/>
      <c r="J4" s="3507"/>
      <c r="K4" s="3506"/>
      <c r="L4" s="3506"/>
      <c r="M4" s="3506"/>
      <c r="N4" s="3508"/>
      <c r="O4" s="3509"/>
      <c r="P4" s="3510"/>
      <c r="Q4" s="3506"/>
    </row>
    <row r="5" spans="1:17">
      <c r="A5" s="3511" t="s">
        <v>439</v>
      </c>
      <c r="B5" s="3511" t="s">
        <v>3406</v>
      </c>
      <c r="C5" s="3512" t="s">
        <v>3407</v>
      </c>
      <c r="D5" s="3512" t="s">
        <v>3408</v>
      </c>
      <c r="E5" s="3512" t="s">
        <v>3409</v>
      </c>
      <c r="F5" s="3513" t="s">
        <v>3410</v>
      </c>
      <c r="G5" s="3512" t="s">
        <v>3411</v>
      </c>
      <c r="H5" s="3514" t="s">
        <v>3412</v>
      </c>
      <c r="I5" s="3515"/>
      <c r="J5" s="3513" t="s">
        <v>3413</v>
      </c>
      <c r="K5" s="3514" t="s">
        <v>5420</v>
      </c>
      <c r="L5" s="3516"/>
      <c r="M5" s="3516"/>
      <c r="N5" s="3515"/>
      <c r="O5" s="3517" t="s">
        <v>3415</v>
      </c>
      <c r="P5" s="3518" t="s">
        <v>3416</v>
      </c>
      <c r="Q5" s="3512" t="s">
        <v>3417</v>
      </c>
    </row>
    <row r="6" spans="1:17" ht="101.25">
      <c r="A6" s="3519"/>
      <c r="B6" s="3519"/>
      <c r="C6" s="3520"/>
      <c r="D6" s="3520"/>
      <c r="E6" s="3520"/>
      <c r="F6" s="3521"/>
      <c r="G6" s="3520"/>
      <c r="H6" s="3522" t="s">
        <v>3418</v>
      </c>
      <c r="I6" s="3523" t="s">
        <v>3419</v>
      </c>
      <c r="J6" s="3521"/>
      <c r="K6" s="3524" t="s">
        <v>440</v>
      </c>
      <c r="L6" s="3523" t="s">
        <v>3420</v>
      </c>
      <c r="M6" s="3523" t="s">
        <v>3421</v>
      </c>
      <c r="N6" s="3525" t="s">
        <v>3422</v>
      </c>
      <c r="O6" s="3526"/>
      <c r="P6" s="3527"/>
      <c r="Q6" s="3520"/>
    </row>
    <row r="7" spans="1:17">
      <c r="A7" s="3528"/>
      <c r="B7" s="3529" t="s">
        <v>3423</v>
      </c>
      <c r="C7" s="3529"/>
      <c r="D7" s="3529"/>
      <c r="E7" s="3529"/>
      <c r="F7" s="3529"/>
      <c r="G7" s="3530" t="s">
        <v>8</v>
      </c>
      <c r="H7" s="3531">
        <f>H8+H9+H10+H11</f>
        <v>111359.11299999998</v>
      </c>
      <c r="I7" s="3531">
        <f>I8+I9+I10+I11</f>
        <v>111359.11299999998</v>
      </c>
      <c r="J7" s="3531">
        <f>J8+J9+J10+J11</f>
        <v>569531.15871999995</v>
      </c>
      <c r="K7" s="3531">
        <f t="shared" ref="K7:M7" si="0">K8+K9+K10+K11</f>
        <v>501686.67517</v>
      </c>
      <c r="L7" s="3531">
        <f t="shared" si="0"/>
        <v>489806.01645000005</v>
      </c>
      <c r="M7" s="3531">
        <f t="shared" si="0"/>
        <v>11880.658719999999</v>
      </c>
      <c r="N7" s="3532">
        <f t="shared" ref="N7:N11" si="1">IFERROR(L7/J7,0)</f>
        <v>0.86001618866792262</v>
      </c>
      <c r="O7" s="3533"/>
      <c r="P7" s="3534"/>
      <c r="Q7" s="3535"/>
    </row>
    <row r="8" spans="1:17">
      <c r="A8" s="3528"/>
      <c r="B8" s="3529"/>
      <c r="C8" s="3529"/>
      <c r="D8" s="3529"/>
      <c r="E8" s="3529"/>
      <c r="F8" s="3529"/>
      <c r="G8" s="3536" t="s">
        <v>304</v>
      </c>
      <c r="H8" s="3531">
        <f>H14+H18+H23+H28+H33+H38+H43+H48+H53+H58</f>
        <v>85401.689869999987</v>
      </c>
      <c r="I8" s="3531">
        <f t="shared" ref="I8:M8" si="2">I14+I18+I23+I28+I33+I38+I43+I48+I53+I58</f>
        <v>85401.689869999987</v>
      </c>
      <c r="J8" s="3531">
        <f t="shared" si="2"/>
        <v>140613.61013000002</v>
      </c>
      <c r="K8" s="3531">
        <f t="shared" si="2"/>
        <v>72769.126579999996</v>
      </c>
      <c r="L8" s="3531">
        <f t="shared" si="2"/>
        <v>61405.916450000004</v>
      </c>
      <c r="M8" s="3531">
        <f t="shared" si="2"/>
        <v>11363.210129999999</v>
      </c>
      <c r="N8" s="3532">
        <f t="shared" si="1"/>
        <v>0.43669966508383534</v>
      </c>
      <c r="O8" s="3533"/>
      <c r="P8" s="3537"/>
      <c r="Q8" s="3529"/>
    </row>
    <row r="9" spans="1:17">
      <c r="A9" s="3528"/>
      <c r="B9" s="3529"/>
      <c r="C9" s="3529"/>
      <c r="D9" s="3529"/>
      <c r="E9" s="3529"/>
      <c r="F9" s="3529"/>
      <c r="G9" s="3536" t="s">
        <v>10</v>
      </c>
      <c r="H9" s="3531">
        <f t="shared" ref="H9:M10" si="3">H15+H19+H24+H29+H34+H39+H44+H49+H54+H59</f>
        <v>0</v>
      </c>
      <c r="I9" s="3531">
        <f t="shared" si="3"/>
        <v>0</v>
      </c>
      <c r="J9" s="3531">
        <f t="shared" si="3"/>
        <v>424710.7</v>
      </c>
      <c r="K9" s="3531">
        <f t="shared" si="3"/>
        <v>424710.7</v>
      </c>
      <c r="L9" s="3531">
        <f t="shared" si="3"/>
        <v>424710.7</v>
      </c>
      <c r="M9" s="3531">
        <f t="shared" si="3"/>
        <v>0</v>
      </c>
      <c r="N9" s="3532">
        <f t="shared" si="1"/>
        <v>1</v>
      </c>
      <c r="O9" s="3533"/>
      <c r="P9" s="3537"/>
      <c r="Q9" s="3529"/>
    </row>
    <row r="10" spans="1:17">
      <c r="A10" s="3528"/>
      <c r="B10" s="3529"/>
      <c r="C10" s="3529"/>
      <c r="D10" s="3529"/>
      <c r="E10" s="3529"/>
      <c r="F10" s="3529"/>
      <c r="G10" s="3536" t="s">
        <v>11</v>
      </c>
      <c r="H10" s="3531">
        <f t="shared" si="3"/>
        <v>25957.423130000003</v>
      </c>
      <c r="I10" s="3531">
        <f t="shared" si="3"/>
        <v>25957.423130000003</v>
      </c>
      <c r="J10" s="3531">
        <f t="shared" si="3"/>
        <v>4206.8485900000005</v>
      </c>
      <c r="K10" s="3531">
        <f t="shared" si="3"/>
        <v>4206.8485900000005</v>
      </c>
      <c r="L10" s="3531">
        <f t="shared" si="3"/>
        <v>3689.3999999999996</v>
      </c>
      <c r="M10" s="3531">
        <f t="shared" si="3"/>
        <v>517.44858999999997</v>
      </c>
      <c r="N10" s="3532">
        <f t="shared" si="1"/>
        <v>0.87699852302029224</v>
      </c>
      <c r="O10" s="3533"/>
      <c r="P10" s="3537"/>
      <c r="Q10" s="3529"/>
    </row>
    <row r="11" spans="1:17">
      <c r="A11" s="3528"/>
      <c r="B11" s="3529"/>
      <c r="C11" s="3529"/>
      <c r="D11" s="3529"/>
      <c r="E11" s="3529"/>
      <c r="F11" s="3529"/>
      <c r="G11" s="3536" t="s">
        <v>12</v>
      </c>
      <c r="H11" s="3531">
        <f>H21+H26+H31+H36+H41+H46+H51+H56+H61</f>
        <v>0</v>
      </c>
      <c r="I11" s="3531">
        <f t="shared" ref="I11:M11" si="4">I21+I26+I31+I36+I41+I46+I51+I56+I61</f>
        <v>0</v>
      </c>
      <c r="J11" s="3531">
        <f t="shared" si="4"/>
        <v>0</v>
      </c>
      <c r="K11" s="3531">
        <f t="shared" si="4"/>
        <v>0</v>
      </c>
      <c r="L11" s="3531">
        <f t="shared" si="4"/>
        <v>0</v>
      </c>
      <c r="M11" s="3531">
        <f t="shared" si="4"/>
        <v>0</v>
      </c>
      <c r="N11" s="3532">
        <f t="shared" si="1"/>
        <v>0</v>
      </c>
      <c r="O11" s="3533"/>
      <c r="P11" s="3538"/>
      <c r="Q11" s="3529"/>
    </row>
    <row r="12" spans="1:17">
      <c r="A12" s="3539"/>
      <c r="B12" s="3540" t="s">
        <v>3424</v>
      </c>
      <c r="C12" s="3536"/>
      <c r="D12" s="3536"/>
      <c r="E12" s="3536"/>
      <c r="F12" s="3541"/>
      <c r="G12" s="3539"/>
      <c r="H12" s="3542"/>
      <c r="I12" s="3542"/>
      <c r="J12" s="3531"/>
      <c r="K12" s="3542"/>
      <c r="L12" s="3542"/>
      <c r="M12" s="3542"/>
      <c r="N12" s="3543"/>
      <c r="O12" s="3539"/>
      <c r="P12" s="3542"/>
      <c r="Q12" s="3539"/>
    </row>
    <row r="13" spans="1:17">
      <c r="A13" s="3544">
        <v>1</v>
      </c>
      <c r="B13" s="3545" t="s">
        <v>2823</v>
      </c>
      <c r="C13" s="3545" t="s">
        <v>3425</v>
      </c>
      <c r="D13" s="3545" t="s">
        <v>3426</v>
      </c>
      <c r="E13" s="3545" t="s">
        <v>3427</v>
      </c>
      <c r="F13" s="3546">
        <v>816172.2</v>
      </c>
      <c r="G13" s="3547" t="s">
        <v>8</v>
      </c>
      <c r="H13" s="3548">
        <f>SUM(H14:H16)</f>
        <v>0</v>
      </c>
      <c r="I13" s="3548">
        <f>SUM(I14:I16)</f>
        <v>0</v>
      </c>
      <c r="J13" s="3548">
        <f>SUM(J14:J16)</f>
        <v>265001.7</v>
      </c>
      <c r="K13" s="3548">
        <f>K14+K15+K16</f>
        <v>197157.21645000001</v>
      </c>
      <c r="L13" s="3548">
        <f>L14+L15+L16</f>
        <v>197157.21645000001</v>
      </c>
      <c r="M13" s="3548">
        <v>0</v>
      </c>
      <c r="N13" s="3549">
        <f>L13/J13</f>
        <v>0.74398472330554855</v>
      </c>
      <c r="O13" s="3549">
        <v>0.02</v>
      </c>
      <c r="P13" s="3550">
        <f>F13-H13-K13</f>
        <v>619014.98355</v>
      </c>
      <c r="Q13" s="3545" t="s">
        <v>5434</v>
      </c>
    </row>
    <row r="14" spans="1:17">
      <c r="A14" s="3551"/>
      <c r="B14" s="3552"/>
      <c r="C14" s="3552"/>
      <c r="D14" s="3552"/>
      <c r="E14" s="3552"/>
      <c r="F14" s="3553"/>
      <c r="G14" s="3554" t="s">
        <v>9</v>
      </c>
      <c r="H14" s="3555">
        <v>0</v>
      </c>
      <c r="I14" s="3548">
        <f>SUM(I16:I16)</f>
        <v>0</v>
      </c>
      <c r="J14" s="3555">
        <v>84525.1</v>
      </c>
      <c r="K14" s="3548">
        <v>16680.616449999998</v>
      </c>
      <c r="L14" s="3548">
        <v>16680.616449999998</v>
      </c>
      <c r="M14" s="3555">
        <v>0</v>
      </c>
      <c r="N14" s="3556"/>
      <c r="O14" s="3556"/>
      <c r="P14" s="3557"/>
      <c r="Q14" s="3552"/>
    </row>
    <row r="15" spans="1:17">
      <c r="A15" s="3551"/>
      <c r="B15" s="3552"/>
      <c r="C15" s="3552"/>
      <c r="D15" s="3552"/>
      <c r="E15" s="3552"/>
      <c r="F15" s="3553"/>
      <c r="G15" s="3554" t="s">
        <v>10</v>
      </c>
      <c r="H15" s="3555">
        <v>0</v>
      </c>
      <c r="I15" s="3548">
        <v>0</v>
      </c>
      <c r="J15" s="3555">
        <v>180476.6</v>
      </c>
      <c r="K15" s="3548">
        <v>180476.6</v>
      </c>
      <c r="L15" s="3548">
        <v>180476.6</v>
      </c>
      <c r="M15" s="3555">
        <v>0</v>
      </c>
      <c r="N15" s="3556"/>
      <c r="O15" s="3556"/>
      <c r="P15" s="3557"/>
      <c r="Q15" s="3552"/>
    </row>
    <row r="16" spans="1:17">
      <c r="A16" s="3558"/>
      <c r="B16" s="3559"/>
      <c r="C16" s="3559"/>
      <c r="D16" s="3559"/>
      <c r="E16" s="3559"/>
      <c r="F16" s="3560"/>
      <c r="G16" s="3554" t="s">
        <v>11</v>
      </c>
      <c r="H16" s="3561">
        <v>0</v>
      </c>
      <c r="I16" s="3548">
        <v>0</v>
      </c>
      <c r="J16" s="3561">
        <v>0</v>
      </c>
      <c r="K16" s="3562">
        <v>0</v>
      </c>
      <c r="L16" s="3562">
        <v>0</v>
      </c>
      <c r="M16" s="3561">
        <v>0</v>
      </c>
      <c r="N16" s="3563"/>
      <c r="O16" s="3563"/>
      <c r="P16" s="3564"/>
      <c r="Q16" s="3559"/>
    </row>
    <row r="17" spans="1:17">
      <c r="A17" s="3565">
        <v>2</v>
      </c>
      <c r="B17" s="3566" t="s">
        <v>3645</v>
      </c>
      <c r="C17" s="3566" t="s">
        <v>3428</v>
      </c>
      <c r="D17" s="3567" t="s">
        <v>3429</v>
      </c>
      <c r="E17" s="3566" t="s">
        <v>3430</v>
      </c>
      <c r="F17" s="3568">
        <v>2269859.2000000002</v>
      </c>
      <c r="G17" s="3547" t="s">
        <v>8</v>
      </c>
      <c r="H17" s="3569">
        <f>SUM(H18:H21)</f>
        <v>0</v>
      </c>
      <c r="I17" s="3548">
        <f>SUM(I18:I21)</f>
        <v>0</v>
      </c>
      <c r="J17" s="3569">
        <f t="shared" ref="J17:M32" si="5">SUM(J18:J21)</f>
        <v>65440</v>
      </c>
      <c r="K17" s="3569">
        <f t="shared" si="5"/>
        <v>65440</v>
      </c>
      <c r="L17" s="3569">
        <f t="shared" si="5"/>
        <v>65440</v>
      </c>
      <c r="M17" s="3569">
        <f t="shared" si="5"/>
        <v>0</v>
      </c>
      <c r="N17" s="3570">
        <f>L17/J17</f>
        <v>1</v>
      </c>
      <c r="O17" s="3570">
        <f>(I17+L17+M17)/F17</f>
        <v>2.8829982053512393E-2</v>
      </c>
      <c r="P17" s="3571">
        <f>F17-H17-K17</f>
        <v>2204419.2000000002</v>
      </c>
      <c r="Q17" s="3572" t="s">
        <v>5435</v>
      </c>
    </row>
    <row r="18" spans="1:17">
      <c r="A18" s="3573"/>
      <c r="B18" s="3566"/>
      <c r="C18" s="3566"/>
      <c r="D18" s="3574"/>
      <c r="E18" s="3566"/>
      <c r="F18" s="3568"/>
      <c r="G18" s="3554" t="s">
        <v>9</v>
      </c>
      <c r="H18" s="3569">
        <v>0</v>
      </c>
      <c r="I18" s="3548">
        <f t="shared" ref="I18:I26" si="6">SUM(I19:I20)</f>
        <v>0</v>
      </c>
      <c r="J18" s="3569">
        <v>0</v>
      </c>
      <c r="K18" s="3569">
        <v>0</v>
      </c>
      <c r="L18" s="3569">
        <v>0</v>
      </c>
      <c r="M18" s="3569">
        <f t="shared" si="5"/>
        <v>0</v>
      </c>
      <c r="N18" s="3574"/>
      <c r="O18" s="3574"/>
      <c r="P18" s="3575"/>
      <c r="Q18" s="3576"/>
    </row>
    <row r="19" spans="1:17">
      <c r="A19" s="3573"/>
      <c r="B19" s="3566"/>
      <c r="C19" s="3566"/>
      <c r="D19" s="3574"/>
      <c r="E19" s="3566"/>
      <c r="F19" s="3568"/>
      <c r="G19" s="3554" t="s">
        <v>10</v>
      </c>
      <c r="H19" s="3569">
        <v>0</v>
      </c>
      <c r="I19" s="3548">
        <f t="shared" si="6"/>
        <v>0</v>
      </c>
      <c r="J19" s="3569">
        <v>65440</v>
      </c>
      <c r="K19" s="3569">
        <v>65440</v>
      </c>
      <c r="L19" s="3569">
        <v>65440</v>
      </c>
      <c r="M19" s="3569">
        <f t="shared" si="5"/>
        <v>0</v>
      </c>
      <c r="N19" s="3574"/>
      <c r="O19" s="3574"/>
      <c r="P19" s="3575"/>
      <c r="Q19" s="3576"/>
    </row>
    <row r="20" spans="1:17">
      <c r="A20" s="3573"/>
      <c r="B20" s="3566"/>
      <c r="C20" s="3566"/>
      <c r="D20" s="3574"/>
      <c r="E20" s="3566"/>
      <c r="F20" s="3568"/>
      <c r="G20" s="3554" t="s">
        <v>11</v>
      </c>
      <c r="H20" s="3569">
        <v>0</v>
      </c>
      <c r="I20" s="3561">
        <f t="shared" si="6"/>
        <v>0</v>
      </c>
      <c r="J20" s="3569">
        <v>0</v>
      </c>
      <c r="K20" s="3569">
        <v>0</v>
      </c>
      <c r="L20" s="3569">
        <v>0</v>
      </c>
      <c r="M20" s="3569">
        <f t="shared" si="5"/>
        <v>0</v>
      </c>
      <c r="N20" s="3574"/>
      <c r="O20" s="3574"/>
      <c r="P20" s="3575"/>
      <c r="Q20" s="3576"/>
    </row>
    <row r="21" spans="1:17" ht="56.25" customHeight="1">
      <c r="A21" s="3577"/>
      <c r="B21" s="3566"/>
      <c r="C21" s="3566"/>
      <c r="D21" s="3578"/>
      <c r="E21" s="3566"/>
      <c r="F21" s="3568"/>
      <c r="G21" s="3554" t="s">
        <v>12</v>
      </c>
      <c r="H21" s="3569">
        <v>0</v>
      </c>
      <c r="I21" s="3561">
        <f t="shared" si="6"/>
        <v>0</v>
      </c>
      <c r="J21" s="3569">
        <v>0</v>
      </c>
      <c r="K21" s="3569">
        <v>0</v>
      </c>
      <c r="L21" s="3569">
        <v>0</v>
      </c>
      <c r="M21" s="3569">
        <v>0</v>
      </c>
      <c r="N21" s="3578"/>
      <c r="O21" s="3578"/>
      <c r="P21" s="3579"/>
      <c r="Q21" s="3580"/>
    </row>
    <row r="22" spans="1:17">
      <c r="A22" s="3565">
        <v>3</v>
      </c>
      <c r="B22" s="3566" t="s">
        <v>3644</v>
      </c>
      <c r="C22" s="3566" t="s">
        <v>3431</v>
      </c>
      <c r="D22" s="3567" t="s">
        <v>3429</v>
      </c>
      <c r="E22" s="3566" t="s">
        <v>5455</v>
      </c>
      <c r="F22" s="3581">
        <v>1771548.1</v>
      </c>
      <c r="G22" s="3547" t="s">
        <v>8</v>
      </c>
      <c r="H22" s="3569">
        <f>SUM(H23:H26)</f>
        <v>0</v>
      </c>
      <c r="I22" s="3582">
        <f>SUM(I23:I26)</f>
        <v>0</v>
      </c>
      <c r="J22" s="3569">
        <f t="shared" si="5"/>
        <v>51403.1</v>
      </c>
      <c r="K22" s="3569">
        <f t="shared" si="5"/>
        <v>51403.1</v>
      </c>
      <c r="L22" s="3569">
        <f t="shared" si="5"/>
        <v>51403.1</v>
      </c>
      <c r="M22" s="3569">
        <f t="shared" si="5"/>
        <v>0</v>
      </c>
      <c r="N22" s="3570">
        <f>L22/J22</f>
        <v>1</v>
      </c>
      <c r="O22" s="3570">
        <f>(I22+L22+M22)/F22</f>
        <v>2.9015921159577882E-2</v>
      </c>
      <c r="P22" s="3571">
        <f>F22-H22-K22</f>
        <v>1720145</v>
      </c>
      <c r="Q22" s="3572" t="s">
        <v>5436</v>
      </c>
    </row>
    <row r="23" spans="1:17">
      <c r="A23" s="3573"/>
      <c r="B23" s="3566"/>
      <c r="C23" s="3566"/>
      <c r="D23" s="3574"/>
      <c r="E23" s="3566"/>
      <c r="F23" s="3581"/>
      <c r="G23" s="3554" t="s">
        <v>9</v>
      </c>
      <c r="H23" s="3569">
        <v>0</v>
      </c>
      <c r="I23" s="3583">
        <f t="shared" si="6"/>
        <v>0</v>
      </c>
      <c r="J23" s="3569">
        <v>0</v>
      </c>
      <c r="K23" s="3569">
        <v>0</v>
      </c>
      <c r="L23" s="3569">
        <v>0</v>
      </c>
      <c r="M23" s="3569">
        <v>0</v>
      </c>
      <c r="N23" s="3574"/>
      <c r="O23" s="3574"/>
      <c r="P23" s="3575"/>
      <c r="Q23" s="3576"/>
    </row>
    <row r="24" spans="1:17">
      <c r="A24" s="3573"/>
      <c r="B24" s="3566"/>
      <c r="C24" s="3566"/>
      <c r="D24" s="3574"/>
      <c r="E24" s="3566"/>
      <c r="F24" s="3581"/>
      <c r="G24" s="3554" t="s">
        <v>10</v>
      </c>
      <c r="H24" s="3569">
        <v>0</v>
      </c>
      <c r="I24" s="3548">
        <f t="shared" si="6"/>
        <v>0</v>
      </c>
      <c r="J24" s="3569">
        <v>51403.1</v>
      </c>
      <c r="K24" s="3569">
        <v>51403.1</v>
      </c>
      <c r="L24" s="3569">
        <v>51403.1</v>
      </c>
      <c r="M24" s="3569">
        <v>0</v>
      </c>
      <c r="N24" s="3574"/>
      <c r="O24" s="3574"/>
      <c r="P24" s="3575"/>
      <c r="Q24" s="3576"/>
    </row>
    <row r="25" spans="1:17">
      <c r="A25" s="3573"/>
      <c r="B25" s="3566"/>
      <c r="C25" s="3566"/>
      <c r="D25" s="3574"/>
      <c r="E25" s="3566"/>
      <c r="F25" s="3581"/>
      <c r="G25" s="3554" t="s">
        <v>11</v>
      </c>
      <c r="H25" s="3569">
        <v>0</v>
      </c>
      <c r="I25" s="3548">
        <f t="shared" si="6"/>
        <v>0</v>
      </c>
      <c r="J25" s="3569">
        <v>0</v>
      </c>
      <c r="K25" s="3569">
        <v>0</v>
      </c>
      <c r="L25" s="3569">
        <v>0</v>
      </c>
      <c r="M25" s="3569">
        <v>0</v>
      </c>
      <c r="N25" s="3574"/>
      <c r="O25" s="3574"/>
      <c r="P25" s="3575"/>
      <c r="Q25" s="3576"/>
    </row>
    <row r="26" spans="1:17" ht="64.5" customHeight="1">
      <c r="A26" s="3577"/>
      <c r="B26" s="3566"/>
      <c r="C26" s="3566"/>
      <c r="D26" s="3578"/>
      <c r="E26" s="3566"/>
      <c r="F26" s="3581"/>
      <c r="G26" s="3554" t="s">
        <v>12</v>
      </c>
      <c r="H26" s="3569">
        <v>0</v>
      </c>
      <c r="I26" s="3548">
        <f t="shared" si="6"/>
        <v>0</v>
      </c>
      <c r="J26" s="3569">
        <v>0</v>
      </c>
      <c r="K26" s="3569">
        <v>0</v>
      </c>
      <c r="L26" s="3569">
        <v>0</v>
      </c>
      <c r="M26" s="3569">
        <v>0</v>
      </c>
      <c r="N26" s="3578"/>
      <c r="O26" s="3578"/>
      <c r="P26" s="3579"/>
      <c r="Q26" s="3580"/>
    </row>
    <row r="27" spans="1:17" ht="15.75">
      <c r="A27" s="3584"/>
      <c r="B27" s="3567" t="s">
        <v>2944</v>
      </c>
      <c r="C27" s="3567" t="s">
        <v>3432</v>
      </c>
      <c r="D27" s="3567" t="s">
        <v>3429</v>
      </c>
      <c r="E27" s="3567" t="s">
        <v>3433</v>
      </c>
      <c r="F27" s="3571">
        <v>6815.8</v>
      </c>
      <c r="G27" s="3554" t="s">
        <v>8</v>
      </c>
      <c r="H27" s="3569">
        <f>SUM(H28:H31)</f>
        <v>0</v>
      </c>
      <c r="I27" s="3548">
        <f>SUM(I28:I31)</f>
        <v>0</v>
      </c>
      <c r="J27" s="3569">
        <f t="shared" si="5"/>
        <v>6815.8</v>
      </c>
      <c r="K27" s="3569">
        <f t="shared" si="5"/>
        <v>6815.8</v>
      </c>
      <c r="L27" s="3569">
        <f t="shared" si="5"/>
        <v>0</v>
      </c>
      <c r="M27" s="3569">
        <f t="shared" si="5"/>
        <v>6815.8</v>
      </c>
      <c r="N27" s="3570">
        <f>M27/J27</f>
        <v>1</v>
      </c>
      <c r="O27" s="3570">
        <f>(I27+L27+M27)/F27</f>
        <v>1</v>
      </c>
      <c r="P27" s="3571">
        <f>F27-K27-H27</f>
        <v>0</v>
      </c>
      <c r="Q27" s="3567" t="s">
        <v>5331</v>
      </c>
    </row>
    <row r="28" spans="1:17" ht="15.75">
      <c r="A28" s="3585"/>
      <c r="B28" s="3574"/>
      <c r="C28" s="3574"/>
      <c r="D28" s="3574"/>
      <c r="E28" s="3574"/>
      <c r="F28" s="3575"/>
      <c r="G28" s="3554" t="s">
        <v>9</v>
      </c>
      <c r="H28" s="3569">
        <v>0</v>
      </c>
      <c r="I28" s="3548">
        <v>0</v>
      </c>
      <c r="J28" s="3569">
        <v>6475</v>
      </c>
      <c r="K28" s="3569">
        <v>6475</v>
      </c>
      <c r="L28" s="3569">
        <v>0</v>
      </c>
      <c r="M28" s="3569">
        <v>6475</v>
      </c>
      <c r="N28" s="3586"/>
      <c r="O28" s="3574"/>
      <c r="P28" s="3587"/>
      <c r="Q28" s="3574"/>
    </row>
    <row r="29" spans="1:17" ht="15.75">
      <c r="A29" s="3585">
        <v>4</v>
      </c>
      <c r="B29" s="3574"/>
      <c r="C29" s="3574"/>
      <c r="D29" s="3574"/>
      <c r="E29" s="3574"/>
      <c r="F29" s="3575"/>
      <c r="G29" s="3554" t="s">
        <v>10</v>
      </c>
      <c r="H29" s="3569">
        <v>0</v>
      </c>
      <c r="I29" s="3548">
        <v>0</v>
      </c>
      <c r="J29" s="3569">
        <v>0</v>
      </c>
      <c r="K29" s="3569">
        <v>0</v>
      </c>
      <c r="L29" s="3569">
        <v>0</v>
      </c>
      <c r="M29" s="3569">
        <v>0</v>
      </c>
      <c r="N29" s="3586"/>
      <c r="O29" s="3574"/>
      <c r="P29" s="3587"/>
      <c r="Q29" s="3574"/>
    </row>
    <row r="30" spans="1:17" ht="15.75">
      <c r="A30" s="3585"/>
      <c r="B30" s="3574"/>
      <c r="C30" s="3574"/>
      <c r="D30" s="3574"/>
      <c r="E30" s="3574"/>
      <c r="F30" s="3575"/>
      <c r="G30" s="3554" t="s">
        <v>11</v>
      </c>
      <c r="H30" s="3569">
        <v>0</v>
      </c>
      <c r="I30" s="3548">
        <v>0</v>
      </c>
      <c r="J30" s="3569">
        <v>340.8</v>
      </c>
      <c r="K30" s="3569">
        <v>340.8</v>
      </c>
      <c r="L30" s="3569">
        <v>0</v>
      </c>
      <c r="M30" s="3569">
        <v>340.8</v>
      </c>
      <c r="N30" s="3586"/>
      <c r="O30" s="3574"/>
      <c r="P30" s="3587"/>
      <c r="Q30" s="3574"/>
    </row>
    <row r="31" spans="1:17" ht="15.75">
      <c r="A31" s="3588"/>
      <c r="B31" s="3578"/>
      <c r="C31" s="3578"/>
      <c r="D31" s="3578"/>
      <c r="E31" s="3578"/>
      <c r="F31" s="3579"/>
      <c r="G31" s="3554" t="s">
        <v>12</v>
      </c>
      <c r="H31" s="3569">
        <v>0</v>
      </c>
      <c r="I31" s="3548">
        <v>0</v>
      </c>
      <c r="J31" s="3569">
        <v>0</v>
      </c>
      <c r="K31" s="3569">
        <v>0</v>
      </c>
      <c r="L31" s="3569">
        <v>0</v>
      </c>
      <c r="M31" s="3569">
        <v>0</v>
      </c>
      <c r="N31" s="3589"/>
      <c r="O31" s="3578"/>
      <c r="P31" s="3590"/>
      <c r="Q31" s="3578"/>
    </row>
    <row r="32" spans="1:17" ht="15.75">
      <c r="A32" s="3584"/>
      <c r="B32" s="3567" t="s">
        <v>2945</v>
      </c>
      <c r="C32" s="3567" t="s">
        <v>3436</v>
      </c>
      <c r="D32" s="3567" t="s">
        <v>3429</v>
      </c>
      <c r="E32" s="3567" t="s">
        <v>3437</v>
      </c>
      <c r="F32" s="3571">
        <v>6717.2</v>
      </c>
      <c r="G32" s="3554" t="s">
        <v>8</v>
      </c>
      <c r="H32" s="3569">
        <f>SUM(H33:H36)</f>
        <v>4802.3129999999992</v>
      </c>
      <c r="I32" s="3569">
        <f>SUM(I33:I36)</f>
        <v>4802.3129999999992</v>
      </c>
      <c r="J32" s="3569">
        <f t="shared" si="5"/>
        <v>1914.8587199999999</v>
      </c>
      <c r="K32" s="3569">
        <f t="shared" si="5"/>
        <v>1914.8587199999999</v>
      </c>
      <c r="L32" s="3569">
        <f t="shared" si="5"/>
        <v>0</v>
      </c>
      <c r="M32" s="3569">
        <f t="shared" si="5"/>
        <v>1914.8587199999999</v>
      </c>
      <c r="N32" s="3570">
        <f>M32/J32</f>
        <v>1</v>
      </c>
      <c r="O32" s="3570">
        <f>(I32+L32+M32)/F32</f>
        <v>0.99999578991246341</v>
      </c>
      <c r="P32" s="3591">
        <f>F32-H32-K32</f>
        <v>2.8280000000677319E-2</v>
      </c>
      <c r="Q32" s="3567" t="s">
        <v>5331</v>
      </c>
    </row>
    <row r="33" spans="1:17" ht="15.75">
      <c r="A33" s="3585"/>
      <c r="B33" s="3574"/>
      <c r="C33" s="3574"/>
      <c r="D33" s="3574"/>
      <c r="E33" s="3574"/>
      <c r="F33" s="3575"/>
      <c r="G33" s="3554" t="s">
        <v>9</v>
      </c>
      <c r="H33" s="3569">
        <v>4754.2898699999996</v>
      </c>
      <c r="I33" s="3569">
        <v>4754.2898699999996</v>
      </c>
      <c r="J33" s="3569">
        <v>1895.7101299999999</v>
      </c>
      <c r="K33" s="3569">
        <v>1895.7101299999999</v>
      </c>
      <c r="L33" s="3569">
        <v>0</v>
      </c>
      <c r="M33" s="3569">
        <v>1895.7101299999999</v>
      </c>
      <c r="N33" s="3574"/>
      <c r="O33" s="3574"/>
      <c r="P33" s="3592"/>
      <c r="Q33" s="3574"/>
    </row>
    <row r="34" spans="1:17" ht="15.75">
      <c r="A34" s="3585">
        <v>5</v>
      </c>
      <c r="B34" s="3574"/>
      <c r="C34" s="3574"/>
      <c r="D34" s="3574"/>
      <c r="E34" s="3574"/>
      <c r="F34" s="3575"/>
      <c r="G34" s="3554" t="s">
        <v>10</v>
      </c>
      <c r="H34" s="3569">
        <v>0</v>
      </c>
      <c r="I34" s="3569">
        <v>0</v>
      </c>
      <c r="J34" s="3569">
        <v>0</v>
      </c>
      <c r="K34" s="3569">
        <v>0</v>
      </c>
      <c r="L34" s="3569">
        <v>0</v>
      </c>
      <c r="M34" s="3569">
        <v>0</v>
      </c>
      <c r="N34" s="3574"/>
      <c r="O34" s="3574"/>
      <c r="P34" s="3592"/>
      <c r="Q34" s="3574"/>
    </row>
    <row r="35" spans="1:17" ht="15.75">
      <c r="A35" s="3585"/>
      <c r="B35" s="3574"/>
      <c r="C35" s="3574"/>
      <c r="D35" s="3574"/>
      <c r="E35" s="3574"/>
      <c r="F35" s="3575"/>
      <c r="G35" s="3554" t="s">
        <v>11</v>
      </c>
      <c r="H35" s="3569">
        <v>48.023130000000002</v>
      </c>
      <c r="I35" s="3569">
        <v>48.023130000000002</v>
      </c>
      <c r="J35" s="3569">
        <v>19.148589999999999</v>
      </c>
      <c r="K35" s="3569">
        <v>19.148589999999999</v>
      </c>
      <c r="L35" s="3569">
        <v>0</v>
      </c>
      <c r="M35" s="3569">
        <v>19.148589999999999</v>
      </c>
      <c r="N35" s="3574"/>
      <c r="O35" s="3574"/>
      <c r="P35" s="3592"/>
      <c r="Q35" s="3574"/>
    </row>
    <row r="36" spans="1:17" ht="15.75">
      <c r="A36" s="3588"/>
      <c r="B36" s="3578"/>
      <c r="C36" s="3578"/>
      <c r="D36" s="3578"/>
      <c r="E36" s="3578"/>
      <c r="F36" s="3579"/>
      <c r="G36" s="3554" t="s">
        <v>12</v>
      </c>
      <c r="H36" s="3569">
        <v>0</v>
      </c>
      <c r="I36" s="3548">
        <v>0</v>
      </c>
      <c r="J36" s="3569">
        <v>0</v>
      </c>
      <c r="K36" s="3569">
        <v>0</v>
      </c>
      <c r="L36" s="3569">
        <v>0</v>
      </c>
      <c r="M36" s="3569">
        <v>0</v>
      </c>
      <c r="N36" s="3578"/>
      <c r="O36" s="3578"/>
      <c r="P36" s="3593"/>
      <c r="Q36" s="3578"/>
    </row>
    <row r="37" spans="1:17" ht="15.75">
      <c r="A37" s="3584"/>
      <c r="B37" s="3567" t="s">
        <v>3438</v>
      </c>
      <c r="C37" s="3567" t="s">
        <v>3439</v>
      </c>
      <c r="D37" s="3567" t="s">
        <v>3429</v>
      </c>
      <c r="E37" s="3567" t="s">
        <v>3507</v>
      </c>
      <c r="F37" s="3571">
        <v>349770.9</v>
      </c>
      <c r="G37" s="3554" t="s">
        <v>8</v>
      </c>
      <c r="H37" s="3569">
        <f>SUM(H38:H41)</f>
        <v>0</v>
      </c>
      <c r="I37" s="3548">
        <f>SUM(I38:I41)</f>
        <v>0</v>
      </c>
      <c r="J37" s="3569">
        <f t="shared" ref="J37:M37" si="7">SUM(J38:J41)</f>
        <v>135522.9</v>
      </c>
      <c r="K37" s="3569">
        <f>K38+K39+K40</f>
        <v>135522.9</v>
      </c>
      <c r="L37" s="3569">
        <f>L38+L39+L40</f>
        <v>135522.9</v>
      </c>
      <c r="M37" s="3569">
        <f t="shared" si="7"/>
        <v>0</v>
      </c>
      <c r="N37" s="3570">
        <f>L37/J37</f>
        <v>1</v>
      </c>
      <c r="O37" s="3570">
        <v>0.38</v>
      </c>
      <c r="P37" s="3571">
        <f>F37-H37-K37</f>
        <v>214248.00000000003</v>
      </c>
      <c r="Q37" s="3594" t="s">
        <v>5454</v>
      </c>
    </row>
    <row r="38" spans="1:17" ht="15.75">
      <c r="A38" s="3585"/>
      <c r="B38" s="3574"/>
      <c r="C38" s="3574"/>
      <c r="D38" s="3574"/>
      <c r="E38" s="3574"/>
      <c r="F38" s="3575"/>
      <c r="G38" s="3554" t="s">
        <v>9</v>
      </c>
      <c r="H38" s="3569">
        <v>0</v>
      </c>
      <c r="I38" s="3548">
        <v>0</v>
      </c>
      <c r="J38" s="3569">
        <v>7725.3</v>
      </c>
      <c r="K38" s="3569">
        <v>7725.3</v>
      </c>
      <c r="L38" s="3569">
        <v>7725.3</v>
      </c>
      <c r="M38" s="3569">
        <v>0</v>
      </c>
      <c r="N38" s="3586"/>
      <c r="O38" s="3586"/>
      <c r="P38" s="3575"/>
      <c r="Q38" s="3595"/>
    </row>
    <row r="39" spans="1:17" ht="15.75">
      <c r="A39" s="3585">
        <v>6</v>
      </c>
      <c r="B39" s="3574"/>
      <c r="C39" s="3574"/>
      <c r="D39" s="3574"/>
      <c r="E39" s="3574"/>
      <c r="F39" s="3575"/>
      <c r="G39" s="3554" t="s">
        <v>10</v>
      </c>
      <c r="H39" s="3569">
        <v>0</v>
      </c>
      <c r="I39" s="3548">
        <v>0</v>
      </c>
      <c r="J39" s="3569">
        <v>127391</v>
      </c>
      <c r="K39" s="3569">
        <v>127391</v>
      </c>
      <c r="L39" s="3569">
        <v>127391</v>
      </c>
      <c r="M39" s="3569">
        <v>0</v>
      </c>
      <c r="N39" s="3586"/>
      <c r="O39" s="3586"/>
      <c r="P39" s="3575"/>
      <c r="Q39" s="3595"/>
    </row>
    <row r="40" spans="1:17" ht="15.75">
      <c r="A40" s="3585"/>
      <c r="B40" s="3574"/>
      <c r="C40" s="3574"/>
      <c r="D40" s="3574"/>
      <c r="E40" s="3574"/>
      <c r="F40" s="3575"/>
      <c r="G40" s="3554" t="s">
        <v>11</v>
      </c>
      <c r="H40" s="3569">
        <v>0</v>
      </c>
      <c r="I40" s="3548">
        <v>0</v>
      </c>
      <c r="J40" s="3569">
        <v>406.6</v>
      </c>
      <c r="K40" s="3569">
        <v>406.6</v>
      </c>
      <c r="L40" s="3569">
        <v>406.6</v>
      </c>
      <c r="M40" s="3569">
        <v>0</v>
      </c>
      <c r="N40" s="3586"/>
      <c r="O40" s="3586"/>
      <c r="P40" s="3575"/>
      <c r="Q40" s="3595"/>
    </row>
    <row r="41" spans="1:17" ht="52.5" customHeight="1">
      <c r="A41" s="3588"/>
      <c r="B41" s="3578"/>
      <c r="C41" s="3578"/>
      <c r="D41" s="3578"/>
      <c r="E41" s="3578"/>
      <c r="F41" s="3579"/>
      <c r="G41" s="3554" t="s">
        <v>12</v>
      </c>
      <c r="H41" s="3569">
        <v>0</v>
      </c>
      <c r="I41" s="3548">
        <v>0</v>
      </c>
      <c r="J41" s="3569">
        <v>0</v>
      </c>
      <c r="K41" s="3569">
        <v>0</v>
      </c>
      <c r="L41" s="3569">
        <v>0</v>
      </c>
      <c r="M41" s="3569">
        <v>0</v>
      </c>
      <c r="N41" s="3589"/>
      <c r="O41" s="3589"/>
      <c r="P41" s="3579"/>
      <c r="Q41" s="3596"/>
    </row>
    <row r="42" spans="1:17">
      <c r="A42" s="3597">
        <v>7</v>
      </c>
      <c r="B42" s="3598" t="s">
        <v>3075</v>
      </c>
      <c r="C42" s="3599" t="s">
        <v>5327</v>
      </c>
      <c r="D42" s="3599" t="s">
        <v>3429</v>
      </c>
      <c r="E42" s="3599" t="s">
        <v>5453</v>
      </c>
      <c r="F42" s="3600">
        <v>6120</v>
      </c>
      <c r="G42" s="3601" t="s">
        <v>8</v>
      </c>
      <c r="H42" s="3602">
        <f>H43+H44+H45+H46</f>
        <v>2970</v>
      </c>
      <c r="I42" s="3602">
        <f t="shared" ref="I42:J42" si="8">I43+I44+I45+I46</f>
        <v>2970</v>
      </c>
      <c r="J42" s="3602">
        <f t="shared" si="8"/>
        <v>3150</v>
      </c>
      <c r="K42" s="3602">
        <f>K43+K44+K45+K46</f>
        <v>3150</v>
      </c>
      <c r="L42" s="3602">
        <f>L43+L44+L45+L46</f>
        <v>0</v>
      </c>
      <c r="M42" s="3602">
        <f>M43+M44+M45+M46</f>
        <v>3150</v>
      </c>
      <c r="N42" s="3570">
        <f>M42/J42</f>
        <v>1</v>
      </c>
      <c r="O42" s="3603">
        <v>4.8000000000000001E-2</v>
      </c>
      <c r="P42" s="3571">
        <f>F42-H42-K42</f>
        <v>0</v>
      </c>
      <c r="Q42" s="3604" t="s">
        <v>5330</v>
      </c>
    </row>
    <row r="43" spans="1:17">
      <c r="A43" s="3605"/>
      <c r="B43" s="1962"/>
      <c r="C43" s="3606"/>
      <c r="D43" s="3606"/>
      <c r="E43" s="3606"/>
      <c r="F43" s="3607"/>
      <c r="G43" s="3601" t="s">
        <v>9</v>
      </c>
      <c r="H43" s="3602">
        <v>2821.5</v>
      </c>
      <c r="I43" s="3602">
        <v>2821.5</v>
      </c>
      <c r="J43" s="3608">
        <v>2992.5</v>
      </c>
      <c r="K43" s="3608">
        <v>2992.5</v>
      </c>
      <c r="L43" s="3608">
        <v>0</v>
      </c>
      <c r="M43" s="3608">
        <v>2992.5</v>
      </c>
      <c r="N43" s="3586"/>
      <c r="O43" s="3609"/>
      <c r="P43" s="3575"/>
      <c r="Q43" s="3610"/>
    </row>
    <row r="44" spans="1:17">
      <c r="A44" s="3605"/>
      <c r="B44" s="1962"/>
      <c r="C44" s="3606"/>
      <c r="D44" s="3606"/>
      <c r="E44" s="3606"/>
      <c r="F44" s="3607"/>
      <c r="G44" s="3601" t="s">
        <v>10</v>
      </c>
      <c r="H44" s="3602">
        <v>0</v>
      </c>
      <c r="I44" s="3602">
        <v>0</v>
      </c>
      <c r="J44" s="3608">
        <v>0</v>
      </c>
      <c r="K44" s="3608">
        <v>0</v>
      </c>
      <c r="L44" s="3608">
        <v>0</v>
      </c>
      <c r="M44" s="3608">
        <v>0</v>
      </c>
      <c r="N44" s="3586"/>
      <c r="O44" s="3609"/>
      <c r="P44" s="3575"/>
      <c r="Q44" s="3610"/>
    </row>
    <row r="45" spans="1:17">
      <c r="A45" s="3605"/>
      <c r="B45" s="1962"/>
      <c r="C45" s="3606"/>
      <c r="D45" s="3606"/>
      <c r="E45" s="3606"/>
      <c r="F45" s="3607"/>
      <c r="G45" s="3601" t="s">
        <v>11</v>
      </c>
      <c r="H45" s="3602">
        <v>148.5</v>
      </c>
      <c r="I45" s="3602">
        <v>148.5</v>
      </c>
      <c r="J45" s="3608">
        <v>157.5</v>
      </c>
      <c r="K45" s="3608">
        <v>157.5</v>
      </c>
      <c r="L45" s="3608">
        <v>0</v>
      </c>
      <c r="M45" s="3608">
        <v>157.5</v>
      </c>
      <c r="N45" s="3586"/>
      <c r="O45" s="3609"/>
      <c r="P45" s="3575"/>
      <c r="Q45" s="3610"/>
    </row>
    <row r="46" spans="1:17">
      <c r="A46" s="3611"/>
      <c r="B46" s="1964"/>
      <c r="C46" s="3612"/>
      <c r="D46" s="3612"/>
      <c r="E46" s="3612"/>
      <c r="F46" s="3613"/>
      <c r="G46" s="3601" t="s">
        <v>12</v>
      </c>
      <c r="H46" s="3602">
        <v>0</v>
      </c>
      <c r="I46" s="3602">
        <v>0</v>
      </c>
      <c r="J46" s="3608">
        <v>0</v>
      </c>
      <c r="K46" s="3608">
        <v>0</v>
      </c>
      <c r="L46" s="3608">
        <v>0</v>
      </c>
      <c r="M46" s="3608">
        <v>0</v>
      </c>
      <c r="N46" s="3589"/>
      <c r="O46" s="3614"/>
      <c r="P46" s="3579"/>
      <c r="Q46" s="3615"/>
    </row>
    <row r="47" spans="1:17">
      <c r="A47" s="3597">
        <v>8</v>
      </c>
      <c r="B47" s="3598" t="s">
        <v>5464</v>
      </c>
      <c r="C47" s="3599" t="s">
        <v>5465</v>
      </c>
      <c r="D47" s="3599" t="s">
        <v>5466</v>
      </c>
      <c r="E47" s="3599" t="s">
        <v>5467</v>
      </c>
      <c r="F47" s="3600">
        <v>115586.8</v>
      </c>
      <c r="G47" s="3601" t="s">
        <v>8</v>
      </c>
      <c r="H47" s="3602">
        <f>H48+H49+H50+H51</f>
        <v>103586.79999999999</v>
      </c>
      <c r="I47" s="3602">
        <f>I48+I49+I50+I51</f>
        <v>103586.79999999999</v>
      </c>
      <c r="J47" s="3602">
        <f t="shared" ref="J47" si="9">J48+J49+J50+J51</f>
        <v>12000</v>
      </c>
      <c r="K47" s="3602">
        <f>K48+K49+K50+K51</f>
        <v>12000</v>
      </c>
      <c r="L47" s="3602">
        <f>L48+L49+L50+L51</f>
        <v>12000</v>
      </c>
      <c r="M47" s="3602">
        <f>M48+M49+M50+M51</f>
        <v>0</v>
      </c>
      <c r="N47" s="3570">
        <f>L47/J47</f>
        <v>1</v>
      </c>
      <c r="O47" s="3570">
        <f>(I47+L47+M47)/F47</f>
        <v>0.99999999999999989</v>
      </c>
      <c r="P47" s="3571">
        <f>F47-H47-K47</f>
        <v>1.4551915228366852E-11</v>
      </c>
      <c r="Q47" s="3604" t="s">
        <v>5468</v>
      </c>
    </row>
    <row r="48" spans="1:17">
      <c r="A48" s="3605"/>
      <c r="B48" s="1962"/>
      <c r="C48" s="3606"/>
      <c r="D48" s="3606"/>
      <c r="E48" s="3606"/>
      <c r="F48" s="3607"/>
      <c r="G48" s="3601" t="s">
        <v>9</v>
      </c>
      <c r="H48" s="3602">
        <f>7970.9+69855</f>
        <v>77825.899999999994</v>
      </c>
      <c r="I48" s="3602">
        <f>7970.9+69855</f>
        <v>77825.899999999994</v>
      </c>
      <c r="J48" s="3608">
        <v>9000</v>
      </c>
      <c r="K48" s="3608">
        <v>9000</v>
      </c>
      <c r="L48" s="3608">
        <v>9000</v>
      </c>
      <c r="M48" s="3608">
        <v>0</v>
      </c>
      <c r="N48" s="3586"/>
      <c r="O48" s="3574"/>
      <c r="P48" s="3575"/>
      <c r="Q48" s="3610"/>
    </row>
    <row r="49" spans="1:17">
      <c r="A49" s="3605"/>
      <c r="B49" s="1962"/>
      <c r="C49" s="3606"/>
      <c r="D49" s="3606"/>
      <c r="E49" s="3606"/>
      <c r="F49" s="3607"/>
      <c r="G49" s="3601" t="s">
        <v>10</v>
      </c>
      <c r="H49" s="3602">
        <v>0</v>
      </c>
      <c r="I49" s="3602">
        <v>0</v>
      </c>
      <c r="J49" s="3608">
        <v>0</v>
      </c>
      <c r="K49" s="3608">
        <v>0</v>
      </c>
      <c r="L49" s="3608">
        <v>0</v>
      </c>
      <c r="M49" s="3608">
        <v>0</v>
      </c>
      <c r="N49" s="3586"/>
      <c r="O49" s="3574"/>
      <c r="P49" s="3575"/>
      <c r="Q49" s="3610"/>
    </row>
    <row r="50" spans="1:17">
      <c r="A50" s="3605"/>
      <c r="B50" s="1962"/>
      <c r="C50" s="3606"/>
      <c r="D50" s="3606"/>
      <c r="E50" s="3606"/>
      <c r="F50" s="3607"/>
      <c r="G50" s="3601" t="s">
        <v>11</v>
      </c>
      <c r="H50" s="3602">
        <f>2475.9+23285</f>
        <v>25760.9</v>
      </c>
      <c r="I50" s="3602">
        <f>2475.9+23285</f>
        <v>25760.9</v>
      </c>
      <c r="J50" s="3608">
        <v>3000</v>
      </c>
      <c r="K50" s="3608">
        <v>3000</v>
      </c>
      <c r="L50" s="3608">
        <v>3000</v>
      </c>
      <c r="M50" s="3608">
        <v>0</v>
      </c>
      <c r="N50" s="3586"/>
      <c r="O50" s="3574"/>
      <c r="P50" s="3575"/>
      <c r="Q50" s="3610"/>
    </row>
    <row r="51" spans="1:17">
      <c r="A51" s="3611"/>
      <c r="B51" s="1964"/>
      <c r="C51" s="3612"/>
      <c r="D51" s="3612"/>
      <c r="E51" s="3612"/>
      <c r="F51" s="3613"/>
      <c r="G51" s="3601" t="s">
        <v>12</v>
      </c>
      <c r="H51" s="3602">
        <v>0</v>
      </c>
      <c r="I51" s="3602">
        <v>0</v>
      </c>
      <c r="J51" s="3608">
        <v>0</v>
      </c>
      <c r="K51" s="3608">
        <v>0</v>
      </c>
      <c r="L51" s="3608">
        <v>0</v>
      </c>
      <c r="M51" s="3608">
        <v>0</v>
      </c>
      <c r="N51" s="3589"/>
      <c r="O51" s="3578"/>
      <c r="P51" s="3579"/>
      <c r="Q51" s="3615"/>
    </row>
    <row r="52" spans="1:17">
      <c r="A52" s="3597">
        <v>9</v>
      </c>
      <c r="B52" s="3598" t="s">
        <v>3631</v>
      </c>
      <c r="C52" s="3599" t="s">
        <v>5469</v>
      </c>
      <c r="D52" s="3599" t="s">
        <v>5470</v>
      </c>
      <c r="E52" s="3599" t="s">
        <v>5471</v>
      </c>
      <c r="F52" s="3600">
        <v>138492.4</v>
      </c>
      <c r="G52" s="3601" t="s">
        <v>8</v>
      </c>
      <c r="H52" s="3602">
        <f>H53+H54+H55+H56</f>
        <v>0</v>
      </c>
      <c r="I52" s="3602">
        <f>I53+I54+I55+I56</f>
        <v>0</v>
      </c>
      <c r="J52" s="3602">
        <f t="shared" ref="J52:M52" si="10">J53+J54+J55+J56</f>
        <v>20659.3</v>
      </c>
      <c r="K52" s="3602">
        <f t="shared" si="10"/>
        <v>20659.3</v>
      </c>
      <c r="L52" s="3602">
        <f t="shared" si="10"/>
        <v>20659.3</v>
      </c>
      <c r="M52" s="3602">
        <f t="shared" si="10"/>
        <v>0</v>
      </c>
      <c r="N52" s="3570">
        <f>L52/J52</f>
        <v>1</v>
      </c>
      <c r="O52" s="3570">
        <f>(I52+L52+M52)/F52</f>
        <v>0.14917280659444129</v>
      </c>
      <c r="P52" s="3571">
        <f>F52-H52-K52</f>
        <v>117833.09999999999</v>
      </c>
      <c r="Q52" s="3604" t="s">
        <v>5472</v>
      </c>
    </row>
    <row r="53" spans="1:17">
      <c r="A53" s="3605"/>
      <c r="B53" s="1962"/>
      <c r="C53" s="3606"/>
      <c r="D53" s="3606"/>
      <c r="E53" s="3606"/>
      <c r="F53" s="3607"/>
      <c r="G53" s="3601" t="s">
        <v>9</v>
      </c>
      <c r="H53" s="3602">
        <v>0</v>
      </c>
      <c r="I53" s="3602">
        <v>0</v>
      </c>
      <c r="J53" s="3602">
        <v>20452.7</v>
      </c>
      <c r="K53" s="3602">
        <v>20452.7</v>
      </c>
      <c r="L53" s="3602">
        <v>20452.7</v>
      </c>
      <c r="M53" s="3602">
        <v>0</v>
      </c>
      <c r="N53" s="3586"/>
      <c r="O53" s="3574"/>
      <c r="P53" s="3575"/>
      <c r="Q53" s="3610"/>
    </row>
    <row r="54" spans="1:17">
      <c r="A54" s="3605"/>
      <c r="B54" s="1962"/>
      <c r="C54" s="3606"/>
      <c r="D54" s="3606"/>
      <c r="E54" s="3606"/>
      <c r="F54" s="3607"/>
      <c r="G54" s="3601" t="s">
        <v>10</v>
      </c>
      <c r="H54" s="3602">
        <v>0</v>
      </c>
      <c r="I54" s="3602">
        <v>0</v>
      </c>
      <c r="J54" s="3602">
        <v>0</v>
      </c>
      <c r="K54" s="3602">
        <v>0</v>
      </c>
      <c r="L54" s="3602">
        <v>0</v>
      </c>
      <c r="M54" s="3602">
        <v>0</v>
      </c>
      <c r="N54" s="3586"/>
      <c r="O54" s="3574"/>
      <c r="P54" s="3575"/>
      <c r="Q54" s="3610"/>
    </row>
    <row r="55" spans="1:17">
      <c r="A55" s="3605"/>
      <c r="B55" s="1962"/>
      <c r="C55" s="3606"/>
      <c r="D55" s="3606"/>
      <c r="E55" s="3606"/>
      <c r="F55" s="3607"/>
      <c r="G55" s="3601" t="s">
        <v>11</v>
      </c>
      <c r="H55" s="3602">
        <v>0</v>
      </c>
      <c r="I55" s="3602">
        <v>0</v>
      </c>
      <c r="J55" s="3602">
        <v>206.6</v>
      </c>
      <c r="K55" s="3602">
        <v>206.6</v>
      </c>
      <c r="L55" s="3602">
        <v>206.6</v>
      </c>
      <c r="M55" s="3602">
        <v>0</v>
      </c>
      <c r="N55" s="3586"/>
      <c r="O55" s="3574"/>
      <c r="P55" s="3575"/>
      <c r="Q55" s="3610"/>
    </row>
    <row r="56" spans="1:17">
      <c r="A56" s="3611"/>
      <c r="B56" s="1964"/>
      <c r="C56" s="3612"/>
      <c r="D56" s="3612"/>
      <c r="E56" s="3612"/>
      <c r="F56" s="3613"/>
      <c r="G56" s="3601" t="s">
        <v>12</v>
      </c>
      <c r="H56" s="3602">
        <v>0</v>
      </c>
      <c r="I56" s="3602">
        <v>0</v>
      </c>
      <c r="J56" s="3602">
        <v>0</v>
      </c>
      <c r="K56" s="3602">
        <v>0</v>
      </c>
      <c r="L56" s="3602">
        <v>0</v>
      </c>
      <c r="M56" s="3602">
        <v>0</v>
      </c>
      <c r="N56" s="3589"/>
      <c r="O56" s="3578"/>
      <c r="P56" s="3579"/>
      <c r="Q56" s="3615"/>
    </row>
    <row r="57" spans="1:17">
      <c r="A57" s="3597">
        <v>10</v>
      </c>
      <c r="B57" s="3598" t="s">
        <v>5473</v>
      </c>
      <c r="C57" s="3599" t="s">
        <v>5469</v>
      </c>
      <c r="D57" s="3599" t="s">
        <v>5474</v>
      </c>
      <c r="E57" s="3599" t="s">
        <v>5471</v>
      </c>
      <c r="F57" s="3600">
        <v>49393.2</v>
      </c>
      <c r="G57" s="3601" t="s">
        <v>8</v>
      </c>
      <c r="H57" s="3602">
        <f>H58+H59+H60+H61</f>
        <v>0</v>
      </c>
      <c r="I57" s="3602">
        <f>I58+I59+I60+I61</f>
        <v>0</v>
      </c>
      <c r="J57" s="3602">
        <f t="shared" ref="J57:M57" si="11">J58+J59+J60+J61</f>
        <v>7623.5</v>
      </c>
      <c r="K57" s="3602">
        <f t="shared" si="11"/>
        <v>7623.5</v>
      </c>
      <c r="L57" s="3602">
        <f t="shared" si="11"/>
        <v>7623.5</v>
      </c>
      <c r="M57" s="3602">
        <f t="shared" si="11"/>
        <v>0</v>
      </c>
      <c r="N57" s="3570">
        <f>L57/J57</f>
        <v>1</v>
      </c>
      <c r="O57" s="3570">
        <f>(I57+L57+M57)/F57</f>
        <v>0.15434310795818049</v>
      </c>
      <c r="P57" s="3571">
        <f>F57-H57-K57</f>
        <v>41769.699999999997</v>
      </c>
      <c r="Q57" s="3604" t="s">
        <v>5475</v>
      </c>
    </row>
    <row r="58" spans="1:17">
      <c r="A58" s="3605"/>
      <c r="B58" s="1962"/>
      <c r="C58" s="3606"/>
      <c r="D58" s="3606"/>
      <c r="E58" s="3606"/>
      <c r="F58" s="3607"/>
      <c r="G58" s="3601" t="s">
        <v>9</v>
      </c>
      <c r="H58" s="3602">
        <v>0</v>
      </c>
      <c r="I58" s="3602">
        <v>0</v>
      </c>
      <c r="J58" s="3602">
        <v>7547.3</v>
      </c>
      <c r="K58" s="3602">
        <v>7547.3</v>
      </c>
      <c r="L58" s="3602">
        <v>7547.3</v>
      </c>
      <c r="M58" s="3602">
        <v>0</v>
      </c>
      <c r="N58" s="3586"/>
      <c r="O58" s="3574"/>
      <c r="P58" s="3575"/>
      <c r="Q58" s="3610"/>
    </row>
    <row r="59" spans="1:17">
      <c r="A59" s="3605"/>
      <c r="B59" s="1962"/>
      <c r="C59" s="3606"/>
      <c r="D59" s="3606"/>
      <c r="E59" s="3606"/>
      <c r="F59" s="3607"/>
      <c r="G59" s="3601" t="s">
        <v>10</v>
      </c>
      <c r="H59" s="3602">
        <v>0</v>
      </c>
      <c r="I59" s="3602">
        <v>0</v>
      </c>
      <c r="J59" s="3602">
        <v>0</v>
      </c>
      <c r="K59" s="3602">
        <v>0</v>
      </c>
      <c r="L59" s="3602">
        <v>0</v>
      </c>
      <c r="M59" s="3602">
        <v>0</v>
      </c>
      <c r="N59" s="3586"/>
      <c r="O59" s="3574"/>
      <c r="P59" s="3575"/>
      <c r="Q59" s="3610"/>
    </row>
    <row r="60" spans="1:17">
      <c r="A60" s="3605"/>
      <c r="B60" s="1962"/>
      <c r="C60" s="3606"/>
      <c r="D60" s="3606"/>
      <c r="E60" s="3606"/>
      <c r="F60" s="3607"/>
      <c r="G60" s="3601" t="s">
        <v>11</v>
      </c>
      <c r="H60" s="3602">
        <v>0</v>
      </c>
      <c r="I60" s="3602">
        <v>0</v>
      </c>
      <c r="J60" s="3602">
        <v>76.2</v>
      </c>
      <c r="K60" s="3602">
        <v>76.2</v>
      </c>
      <c r="L60" s="3602">
        <v>76.2</v>
      </c>
      <c r="M60" s="3602">
        <v>0</v>
      </c>
      <c r="N60" s="3586"/>
      <c r="O60" s="3574"/>
      <c r="P60" s="3575"/>
      <c r="Q60" s="3610"/>
    </row>
    <row r="61" spans="1:17">
      <c r="A61" s="3611"/>
      <c r="B61" s="1964"/>
      <c r="C61" s="3612"/>
      <c r="D61" s="3612"/>
      <c r="E61" s="3612"/>
      <c r="F61" s="3613"/>
      <c r="G61" s="3601" t="s">
        <v>12</v>
      </c>
      <c r="H61" s="3602">
        <v>0</v>
      </c>
      <c r="I61" s="3602">
        <v>0</v>
      </c>
      <c r="J61" s="3602">
        <v>0</v>
      </c>
      <c r="K61" s="3602">
        <v>0</v>
      </c>
      <c r="L61" s="3602">
        <v>0</v>
      </c>
      <c r="M61" s="3602">
        <v>0</v>
      </c>
      <c r="N61" s="3589"/>
      <c r="O61" s="3578"/>
      <c r="P61" s="3579"/>
      <c r="Q61" s="3615"/>
    </row>
  </sheetData>
  <mergeCells count="116">
    <mergeCell ref="A3:Q3"/>
    <mergeCell ref="A5:A6"/>
    <mergeCell ref="B5:B6"/>
    <mergeCell ref="C5:C6"/>
    <mergeCell ref="D5:D6"/>
    <mergeCell ref="E5:E6"/>
    <mergeCell ref="F5:F6"/>
    <mergeCell ref="G5:G6"/>
    <mergeCell ref="H5:I5"/>
    <mergeCell ref="J5:J6"/>
    <mergeCell ref="K5:N5"/>
    <mergeCell ref="O5:O6"/>
    <mergeCell ref="P5:P6"/>
    <mergeCell ref="Q5:Q6"/>
    <mergeCell ref="A7:A11"/>
    <mergeCell ref="B7:F11"/>
    <mergeCell ref="O7:O11"/>
    <mergeCell ref="P7:P11"/>
    <mergeCell ref="Q7:Q11"/>
    <mergeCell ref="N13:N16"/>
    <mergeCell ref="O13:O16"/>
    <mergeCell ref="P13:P16"/>
    <mergeCell ref="Q13:Q16"/>
    <mergeCell ref="A17:A21"/>
    <mergeCell ref="B17:B21"/>
    <mergeCell ref="C17:C21"/>
    <mergeCell ref="D17:D21"/>
    <mergeCell ref="E17:E21"/>
    <mergeCell ref="F17:F21"/>
    <mergeCell ref="A13:A16"/>
    <mergeCell ref="B13:B16"/>
    <mergeCell ref="C13:C16"/>
    <mergeCell ref="D13:D16"/>
    <mergeCell ref="E13:E16"/>
    <mergeCell ref="F13:F16"/>
    <mergeCell ref="N17:N21"/>
    <mergeCell ref="O17:O21"/>
    <mergeCell ref="P17:P21"/>
    <mergeCell ref="Q17:Q21"/>
    <mergeCell ref="A22:A26"/>
    <mergeCell ref="B22:B26"/>
    <mergeCell ref="C22:C26"/>
    <mergeCell ref="D22:D26"/>
    <mergeCell ref="E22:E26"/>
    <mergeCell ref="F22:F26"/>
    <mergeCell ref="N22:N26"/>
    <mergeCell ref="O22:O26"/>
    <mergeCell ref="P22:P26"/>
    <mergeCell ref="Q22:Q26"/>
    <mergeCell ref="B27:B31"/>
    <mergeCell ref="C27:C31"/>
    <mergeCell ref="D27:D31"/>
    <mergeCell ref="E27:E31"/>
    <mergeCell ref="F27:F31"/>
    <mergeCell ref="N27:N31"/>
    <mergeCell ref="O27:O31"/>
    <mergeCell ref="P27:P31"/>
    <mergeCell ref="Q27:Q31"/>
    <mergeCell ref="B32:B36"/>
    <mergeCell ref="C32:C36"/>
    <mergeCell ref="D32:D36"/>
    <mergeCell ref="E32:E36"/>
    <mergeCell ref="F32:F36"/>
    <mergeCell ref="N32:N36"/>
    <mergeCell ref="O32:O36"/>
    <mergeCell ref="P32:P36"/>
    <mergeCell ref="Q32:Q36"/>
    <mergeCell ref="B37:B41"/>
    <mergeCell ref="C37:C41"/>
    <mergeCell ref="D37:D41"/>
    <mergeCell ref="E37:E41"/>
    <mergeCell ref="F37:F41"/>
    <mergeCell ref="N37:N41"/>
    <mergeCell ref="O37:O41"/>
    <mergeCell ref="P37:P41"/>
    <mergeCell ref="Q37:Q41"/>
    <mergeCell ref="A42:A46"/>
    <mergeCell ref="B42:B46"/>
    <mergeCell ref="C42:C46"/>
    <mergeCell ref="D42:D46"/>
    <mergeCell ref="E42:E46"/>
    <mergeCell ref="F42:F46"/>
    <mergeCell ref="N42:N46"/>
    <mergeCell ref="O42:O46"/>
    <mergeCell ref="P42:P46"/>
    <mergeCell ref="Q42:Q46"/>
    <mergeCell ref="A47:A51"/>
    <mergeCell ref="B47:B51"/>
    <mergeCell ref="C47:C51"/>
    <mergeCell ref="D47:D51"/>
    <mergeCell ref="E47:E51"/>
    <mergeCell ref="F47:F51"/>
    <mergeCell ref="N47:N51"/>
    <mergeCell ref="O47:O51"/>
    <mergeCell ref="P47:P51"/>
    <mergeCell ref="Q47:Q51"/>
    <mergeCell ref="A52:A56"/>
    <mergeCell ref="B52:B56"/>
    <mergeCell ref="C52:C56"/>
    <mergeCell ref="D52:D56"/>
    <mergeCell ref="E52:E56"/>
    <mergeCell ref="F52:F56"/>
    <mergeCell ref="N52:N56"/>
    <mergeCell ref="O52:O56"/>
    <mergeCell ref="P52:P56"/>
    <mergeCell ref="Q57:Q61"/>
    <mergeCell ref="Q52:Q56"/>
    <mergeCell ref="A57:A61"/>
    <mergeCell ref="B57:B61"/>
    <mergeCell ref="C57:C61"/>
    <mergeCell ref="D57:D61"/>
    <mergeCell ref="E57:E61"/>
    <mergeCell ref="F57:F61"/>
    <mergeCell ref="N57:N61"/>
    <mergeCell ref="O57:O61"/>
    <mergeCell ref="P57:P6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52"/>
  <sheetViews>
    <sheetView topLeftCell="A28" workbookViewId="0">
      <selection activeCell="F57" sqref="F57"/>
    </sheetView>
  </sheetViews>
  <sheetFormatPr defaultRowHeight="15"/>
  <cols>
    <col min="2" max="2" width="28.7109375" customWidth="1"/>
    <col min="4" max="4" width="15" customWidth="1"/>
    <col min="5" max="5" width="18.7109375" customWidth="1"/>
    <col min="6" max="6" width="16.28515625" customWidth="1"/>
    <col min="17" max="17" width="57.28515625" customWidth="1"/>
  </cols>
  <sheetData>
    <row r="2" spans="1:17">
      <c r="A2" s="1838"/>
      <c r="B2" s="1838"/>
      <c r="C2" s="1839"/>
      <c r="D2" s="1839"/>
      <c r="E2" s="1839"/>
      <c r="F2" s="1840"/>
      <c r="G2" s="1838"/>
      <c r="H2" s="1841"/>
      <c r="I2" s="1841"/>
      <c r="J2" s="1842"/>
      <c r="K2" s="1843"/>
      <c r="L2" s="1843"/>
      <c r="M2" s="1843"/>
      <c r="N2" s="1844"/>
      <c r="O2" s="1845"/>
      <c r="P2" s="1846"/>
      <c r="Q2" s="1847" t="s">
        <v>3404</v>
      </c>
    </row>
    <row r="3" spans="1:17">
      <c r="A3" s="3357" t="s">
        <v>5419</v>
      </c>
      <c r="B3" s="3357"/>
      <c r="C3" s="3357"/>
      <c r="D3" s="3357"/>
      <c r="E3" s="3357"/>
      <c r="F3" s="3357"/>
      <c r="G3" s="3357"/>
      <c r="H3" s="3357"/>
      <c r="I3" s="3357"/>
      <c r="J3" s="3357"/>
      <c r="K3" s="3357"/>
      <c r="L3" s="3357"/>
      <c r="M3" s="3357"/>
      <c r="N3" s="3357"/>
      <c r="O3" s="3357"/>
      <c r="P3" s="3357"/>
      <c r="Q3" s="3357"/>
    </row>
    <row r="4" spans="1:17">
      <c r="A4" s="1232"/>
      <c r="B4" s="1232"/>
      <c r="C4" s="1233"/>
      <c r="D4" s="1233"/>
      <c r="E4" s="1233"/>
      <c r="F4" s="1234"/>
      <c r="G4" s="1232"/>
      <c r="H4" s="1235"/>
      <c r="I4" s="1235"/>
      <c r="J4" s="1236"/>
      <c r="K4" s="1235"/>
      <c r="L4" s="1235"/>
      <c r="M4" s="1235"/>
      <c r="N4" s="1848"/>
      <c r="O4" s="1849"/>
      <c r="P4" s="1850"/>
      <c r="Q4" s="1235"/>
    </row>
    <row r="5" spans="1:17">
      <c r="A5" s="3358" t="s">
        <v>439</v>
      </c>
      <c r="B5" s="3358" t="s">
        <v>3406</v>
      </c>
      <c r="C5" s="3355" t="s">
        <v>3407</v>
      </c>
      <c r="D5" s="3355" t="s">
        <v>3408</v>
      </c>
      <c r="E5" s="3355" t="s">
        <v>3409</v>
      </c>
      <c r="F5" s="3360" t="s">
        <v>3410</v>
      </c>
      <c r="G5" s="3355" t="s">
        <v>3411</v>
      </c>
      <c r="H5" s="2431" t="s">
        <v>3412</v>
      </c>
      <c r="I5" s="3354"/>
      <c r="J5" s="3360" t="s">
        <v>3413</v>
      </c>
      <c r="K5" s="2431" t="s">
        <v>5420</v>
      </c>
      <c r="L5" s="3353"/>
      <c r="M5" s="3353"/>
      <c r="N5" s="3354"/>
      <c r="O5" s="3362" t="s">
        <v>3415</v>
      </c>
      <c r="P5" s="3364" t="s">
        <v>3416</v>
      </c>
      <c r="Q5" s="3355" t="s">
        <v>3417</v>
      </c>
    </row>
    <row r="6" spans="1:17" ht="101.25">
      <c r="A6" s="3359"/>
      <c r="B6" s="3359"/>
      <c r="C6" s="3356"/>
      <c r="D6" s="3356"/>
      <c r="E6" s="3356"/>
      <c r="F6" s="3361"/>
      <c r="G6" s="3356"/>
      <c r="H6" s="1851" t="s">
        <v>3418</v>
      </c>
      <c r="I6" s="1852" t="s">
        <v>3419</v>
      </c>
      <c r="J6" s="3361"/>
      <c r="K6" s="1853" t="s">
        <v>440</v>
      </c>
      <c r="L6" s="1852" t="s">
        <v>3420</v>
      </c>
      <c r="M6" s="1852" t="s">
        <v>3421</v>
      </c>
      <c r="N6" s="1854" t="s">
        <v>3422</v>
      </c>
      <c r="O6" s="3363"/>
      <c r="P6" s="3365"/>
      <c r="Q6" s="3356"/>
    </row>
    <row r="7" spans="1:17">
      <c r="A7" s="3366"/>
      <c r="B7" s="3367" t="s">
        <v>3423</v>
      </c>
      <c r="C7" s="3367"/>
      <c r="D7" s="3367"/>
      <c r="E7" s="3367"/>
      <c r="F7" s="3367"/>
      <c r="G7" s="1855" t="s">
        <v>8</v>
      </c>
      <c r="H7" s="1856">
        <f>H8+H9+H10+H11</f>
        <v>475693.11300000001</v>
      </c>
      <c r="I7" s="1856">
        <f>I8+I9+I10+I11</f>
        <v>475693.11300000001</v>
      </c>
      <c r="J7" s="1856">
        <f>J8+J9+J10+J11</f>
        <v>980802.02162000001</v>
      </c>
      <c r="K7" s="1856">
        <f t="shared" ref="K7:M7" si="0">K8+K9+K10+K11</f>
        <v>526843.87517000001</v>
      </c>
      <c r="L7" s="1856">
        <f t="shared" si="0"/>
        <v>518113.21645000001</v>
      </c>
      <c r="M7" s="1856">
        <f t="shared" si="0"/>
        <v>8730.6587199999994</v>
      </c>
      <c r="N7" s="1857">
        <f t="shared" ref="N7:N11" si="1">IFERROR(L7/J7,0)</f>
        <v>0.52825463756103141</v>
      </c>
      <c r="O7" s="3368"/>
      <c r="P7" s="3369"/>
      <c r="Q7" s="3372"/>
    </row>
    <row r="8" spans="1:17">
      <c r="A8" s="3366"/>
      <c r="B8" s="3367"/>
      <c r="C8" s="3367"/>
      <c r="D8" s="3367"/>
      <c r="E8" s="3367"/>
      <c r="F8" s="3367"/>
      <c r="G8" s="1858" t="s">
        <v>304</v>
      </c>
      <c r="H8" s="1856">
        <f t="shared" ref="H8:M11" si="2">H14+H18+H23+H28+H33+H38+H43+H48</f>
        <v>256635.08987</v>
      </c>
      <c r="I8" s="1856">
        <f t="shared" si="2"/>
        <v>256635.08987</v>
      </c>
      <c r="J8" s="1856">
        <f t="shared" si="2"/>
        <v>121651.77303000001</v>
      </c>
      <c r="K8" s="1856">
        <f t="shared" si="2"/>
        <v>35769.126579999996</v>
      </c>
      <c r="L8" s="1856">
        <f t="shared" si="2"/>
        <v>27398.416449999997</v>
      </c>
      <c r="M8" s="1856">
        <f t="shared" si="2"/>
        <v>8370.7101299999995</v>
      </c>
      <c r="N8" s="1857">
        <f t="shared" si="1"/>
        <v>0.22522003393442849</v>
      </c>
      <c r="O8" s="3368"/>
      <c r="P8" s="3370"/>
      <c r="Q8" s="3367"/>
    </row>
    <row r="9" spans="1:17">
      <c r="A9" s="3366"/>
      <c r="B9" s="3367"/>
      <c r="C9" s="3367"/>
      <c r="D9" s="3367"/>
      <c r="E9" s="3367"/>
      <c r="F9" s="3367"/>
      <c r="G9" s="1858" t="s">
        <v>10</v>
      </c>
      <c r="H9" s="1856">
        <f t="shared" si="2"/>
        <v>218861.5</v>
      </c>
      <c r="I9" s="1856">
        <f t="shared" si="2"/>
        <v>218861.5</v>
      </c>
      <c r="J9" s="1856">
        <f t="shared" si="2"/>
        <v>424710.7</v>
      </c>
      <c r="K9" s="1856">
        <f t="shared" si="2"/>
        <v>424710.7</v>
      </c>
      <c r="L9" s="1856">
        <f t="shared" si="2"/>
        <v>424710.7</v>
      </c>
      <c r="M9" s="1856">
        <f t="shared" si="2"/>
        <v>0</v>
      </c>
      <c r="N9" s="1857">
        <f t="shared" si="1"/>
        <v>1</v>
      </c>
      <c r="O9" s="3368"/>
      <c r="P9" s="3370"/>
      <c r="Q9" s="3367"/>
    </row>
    <row r="10" spans="1:17">
      <c r="A10" s="3366"/>
      <c r="B10" s="3367"/>
      <c r="C10" s="3367"/>
      <c r="D10" s="3367"/>
      <c r="E10" s="3367"/>
      <c r="F10" s="3367"/>
      <c r="G10" s="1858" t="s">
        <v>11</v>
      </c>
      <c r="H10" s="1856">
        <f t="shared" si="2"/>
        <v>196.52313000000001</v>
      </c>
      <c r="I10" s="1856">
        <f t="shared" si="2"/>
        <v>196.52313000000001</v>
      </c>
      <c r="J10" s="1856">
        <f t="shared" si="2"/>
        <v>924.0485900000001</v>
      </c>
      <c r="K10" s="1856">
        <f t="shared" si="2"/>
        <v>924.0485900000001</v>
      </c>
      <c r="L10" s="1856">
        <f t="shared" si="2"/>
        <v>564.1</v>
      </c>
      <c r="M10" s="1856">
        <f t="shared" si="2"/>
        <v>359.94859000000002</v>
      </c>
      <c r="N10" s="1857">
        <f t="shared" si="1"/>
        <v>0.61046573319266684</v>
      </c>
      <c r="O10" s="3368"/>
      <c r="P10" s="3370"/>
      <c r="Q10" s="3367"/>
    </row>
    <row r="11" spans="1:17">
      <c r="A11" s="3366"/>
      <c r="B11" s="3367"/>
      <c r="C11" s="3367"/>
      <c r="D11" s="3367"/>
      <c r="E11" s="3367"/>
      <c r="F11" s="3367"/>
      <c r="G11" s="1858" t="s">
        <v>12</v>
      </c>
      <c r="H11" s="1856">
        <f t="shared" si="2"/>
        <v>0</v>
      </c>
      <c r="I11" s="1856">
        <f t="shared" si="2"/>
        <v>0</v>
      </c>
      <c r="J11" s="1856">
        <f t="shared" si="2"/>
        <v>433515.5</v>
      </c>
      <c r="K11" s="1856">
        <f t="shared" si="2"/>
        <v>65440</v>
      </c>
      <c r="L11" s="1856">
        <f t="shared" si="2"/>
        <v>65440</v>
      </c>
      <c r="M11" s="1856">
        <f t="shared" si="2"/>
        <v>0</v>
      </c>
      <c r="N11" s="1857">
        <f t="shared" si="1"/>
        <v>0.15095192674771721</v>
      </c>
      <c r="O11" s="3368"/>
      <c r="P11" s="3371"/>
      <c r="Q11" s="3367"/>
    </row>
    <row r="12" spans="1:17">
      <c r="A12" s="1859"/>
      <c r="B12" s="1860" t="s">
        <v>3424</v>
      </c>
      <c r="C12" s="1858"/>
      <c r="D12" s="1858"/>
      <c r="E12" s="1858"/>
      <c r="F12" s="1861"/>
      <c r="G12" s="1859"/>
      <c r="H12" s="1862"/>
      <c r="I12" s="1862"/>
      <c r="J12" s="1856"/>
      <c r="K12" s="1862"/>
      <c r="L12" s="1862"/>
      <c r="M12" s="1862"/>
      <c r="N12" s="1863"/>
      <c r="O12" s="1864"/>
      <c r="P12" s="1865"/>
      <c r="Q12" s="1859"/>
    </row>
    <row r="13" spans="1:17">
      <c r="A13" s="3384">
        <v>1</v>
      </c>
      <c r="B13" s="3387" t="s">
        <v>2823</v>
      </c>
      <c r="C13" s="3390" t="s">
        <v>3425</v>
      </c>
      <c r="D13" s="3390" t="s">
        <v>3426</v>
      </c>
      <c r="E13" s="3390" t="s">
        <v>3427</v>
      </c>
      <c r="F13" s="3393">
        <v>457896.9</v>
      </c>
      <c r="G13" s="1866" t="s">
        <v>8</v>
      </c>
      <c r="H13" s="1867">
        <f>SUM(H14:H16)</f>
        <v>0</v>
      </c>
      <c r="I13" s="1867">
        <f>SUM(I14:I16)</f>
        <v>0</v>
      </c>
      <c r="J13" s="1867">
        <f>SUM(J14:J16)</f>
        <v>187186.6</v>
      </c>
      <c r="K13" s="1868">
        <f>K14+K15+K16</f>
        <v>197157.21645000001</v>
      </c>
      <c r="L13" s="1868">
        <f>L14+L15+L16</f>
        <v>197157.21645000001</v>
      </c>
      <c r="M13" s="1868">
        <v>0</v>
      </c>
      <c r="N13" s="3373">
        <f>L13/J13</f>
        <v>1.0532656528298501</v>
      </c>
      <c r="O13" s="3373">
        <v>0.02</v>
      </c>
      <c r="P13" s="3376">
        <f>F13-H13-K13</f>
        <v>260739.68355000002</v>
      </c>
      <c r="Q13" s="2445" t="s">
        <v>5434</v>
      </c>
    </row>
    <row r="14" spans="1:17">
      <c r="A14" s="3385"/>
      <c r="B14" s="3388"/>
      <c r="C14" s="3391"/>
      <c r="D14" s="3391"/>
      <c r="E14" s="3391"/>
      <c r="F14" s="3394"/>
      <c r="G14" s="1869" t="s">
        <v>9</v>
      </c>
      <c r="H14" s="1870">
        <v>0</v>
      </c>
      <c r="I14" s="1867">
        <f>SUM(I16:I16)</f>
        <v>0</v>
      </c>
      <c r="J14" s="1909">
        <v>6710</v>
      </c>
      <c r="K14" s="1868">
        <v>16680.616449999998</v>
      </c>
      <c r="L14" s="1868">
        <v>16680.616449999998</v>
      </c>
      <c r="M14" s="1871">
        <v>0</v>
      </c>
      <c r="N14" s="3374"/>
      <c r="O14" s="3374"/>
      <c r="P14" s="3377"/>
      <c r="Q14" s="2446"/>
    </row>
    <row r="15" spans="1:17">
      <c r="A15" s="3385"/>
      <c r="B15" s="3388"/>
      <c r="C15" s="3391"/>
      <c r="D15" s="3391"/>
      <c r="E15" s="3391"/>
      <c r="F15" s="3394"/>
      <c r="G15" s="1869" t="s">
        <v>10</v>
      </c>
      <c r="H15" s="1870">
        <v>0</v>
      </c>
      <c r="I15" s="1867">
        <v>0</v>
      </c>
      <c r="J15" s="1870">
        <v>180476.6</v>
      </c>
      <c r="K15" s="1868">
        <v>180476.6</v>
      </c>
      <c r="L15" s="1868">
        <v>180476.6</v>
      </c>
      <c r="M15" s="1871">
        <v>0</v>
      </c>
      <c r="N15" s="3374"/>
      <c r="O15" s="3374"/>
      <c r="P15" s="3377"/>
      <c r="Q15" s="2446"/>
    </row>
    <row r="16" spans="1:17">
      <c r="A16" s="3386"/>
      <c r="B16" s="3389"/>
      <c r="C16" s="3392"/>
      <c r="D16" s="3392"/>
      <c r="E16" s="3392"/>
      <c r="F16" s="3395"/>
      <c r="G16" s="1869" t="s">
        <v>11</v>
      </c>
      <c r="H16" s="1872">
        <v>0</v>
      </c>
      <c r="I16" s="1867">
        <v>0</v>
      </c>
      <c r="J16" s="1872">
        <v>0</v>
      </c>
      <c r="K16" s="1873">
        <v>0</v>
      </c>
      <c r="L16" s="1873">
        <v>0</v>
      </c>
      <c r="M16" s="1874">
        <v>0</v>
      </c>
      <c r="N16" s="3375"/>
      <c r="O16" s="3375"/>
      <c r="P16" s="3378"/>
      <c r="Q16" s="2447"/>
    </row>
    <row r="17" spans="1:17">
      <c r="A17" s="3379">
        <v>2</v>
      </c>
      <c r="B17" s="2468" t="s">
        <v>3645</v>
      </c>
      <c r="C17" s="3382" t="s">
        <v>3428</v>
      </c>
      <c r="D17" s="2492" t="s">
        <v>3429</v>
      </c>
      <c r="E17" s="3382" t="s">
        <v>3430</v>
      </c>
      <c r="F17" s="3383">
        <v>1237405.6000000001</v>
      </c>
      <c r="G17" s="1866" t="s">
        <v>8</v>
      </c>
      <c r="H17" s="1875">
        <f>SUM(H18:H21)</f>
        <v>0</v>
      </c>
      <c r="I17" s="1867">
        <f>SUM(I18:I21)</f>
        <v>0</v>
      </c>
      <c r="J17" s="1876">
        <f t="shared" ref="J17:M32" si="3">SUM(J18:J21)</f>
        <v>229040</v>
      </c>
      <c r="K17" s="1877">
        <f t="shared" si="3"/>
        <v>65440</v>
      </c>
      <c r="L17" s="1877">
        <f t="shared" si="3"/>
        <v>65440</v>
      </c>
      <c r="M17" s="1877">
        <f t="shared" si="3"/>
        <v>0</v>
      </c>
      <c r="N17" s="3396">
        <f>L17/J17</f>
        <v>0.2857142857142857</v>
      </c>
      <c r="O17" s="3396">
        <f>(I17+L17+M17)/F17</f>
        <v>5.2884842286150958E-2</v>
      </c>
      <c r="P17" s="3399">
        <f>F17-H17-K17</f>
        <v>1171965.6000000001</v>
      </c>
      <c r="Q17" s="3350" t="s">
        <v>5435</v>
      </c>
    </row>
    <row r="18" spans="1:17">
      <c r="A18" s="3380"/>
      <c r="B18" s="2468"/>
      <c r="C18" s="3382"/>
      <c r="D18" s="2493"/>
      <c r="E18" s="3382"/>
      <c r="F18" s="3383"/>
      <c r="G18" s="1869" t="s">
        <v>9</v>
      </c>
      <c r="H18" s="1875">
        <v>0</v>
      </c>
      <c r="I18" s="1867">
        <f t="shared" ref="I18:I26" si="4">SUM(I19:I20)</f>
        <v>0</v>
      </c>
      <c r="J18" s="1910">
        <v>49080</v>
      </c>
      <c r="K18" s="1877">
        <v>0</v>
      </c>
      <c r="L18" s="1877">
        <v>0</v>
      </c>
      <c r="M18" s="1877">
        <f t="shared" si="3"/>
        <v>0</v>
      </c>
      <c r="N18" s="3397"/>
      <c r="O18" s="3397"/>
      <c r="P18" s="3400"/>
      <c r="Q18" s="3351"/>
    </row>
    <row r="19" spans="1:17">
      <c r="A19" s="3380"/>
      <c r="B19" s="2468"/>
      <c r="C19" s="3382"/>
      <c r="D19" s="2493"/>
      <c r="E19" s="3382"/>
      <c r="F19" s="3383"/>
      <c r="G19" s="1869" t="s">
        <v>10</v>
      </c>
      <c r="H19" s="1875">
        <v>0</v>
      </c>
      <c r="I19" s="1867">
        <f t="shared" si="4"/>
        <v>0</v>
      </c>
      <c r="J19" s="1876">
        <v>65440</v>
      </c>
      <c r="K19" s="1877">
        <v>65440</v>
      </c>
      <c r="L19" s="1877">
        <v>65440</v>
      </c>
      <c r="M19" s="1877">
        <f t="shared" si="3"/>
        <v>0</v>
      </c>
      <c r="N19" s="3397"/>
      <c r="O19" s="3397"/>
      <c r="P19" s="3400"/>
      <c r="Q19" s="3351"/>
    </row>
    <row r="20" spans="1:17">
      <c r="A20" s="3380"/>
      <c r="B20" s="2468"/>
      <c r="C20" s="3382"/>
      <c r="D20" s="2493"/>
      <c r="E20" s="3382"/>
      <c r="F20" s="3383"/>
      <c r="G20" s="1869" t="s">
        <v>11</v>
      </c>
      <c r="H20" s="1875">
        <v>0</v>
      </c>
      <c r="I20" s="1872">
        <f t="shared" si="4"/>
        <v>0</v>
      </c>
      <c r="J20" s="1876">
        <v>0</v>
      </c>
      <c r="K20" s="1877">
        <v>0</v>
      </c>
      <c r="L20" s="1877">
        <v>0</v>
      </c>
      <c r="M20" s="1877">
        <f t="shared" si="3"/>
        <v>0</v>
      </c>
      <c r="N20" s="3397"/>
      <c r="O20" s="3397"/>
      <c r="P20" s="3400"/>
      <c r="Q20" s="3351"/>
    </row>
    <row r="21" spans="1:17">
      <c r="A21" s="3381"/>
      <c r="B21" s="2468"/>
      <c r="C21" s="3382"/>
      <c r="D21" s="2494"/>
      <c r="E21" s="3382"/>
      <c r="F21" s="3383"/>
      <c r="G21" s="1869" t="s">
        <v>12</v>
      </c>
      <c r="H21" s="1875">
        <v>0</v>
      </c>
      <c r="I21" s="1872">
        <f t="shared" si="4"/>
        <v>0</v>
      </c>
      <c r="J21" s="1910">
        <v>114520</v>
      </c>
      <c r="K21" s="1877">
        <v>0</v>
      </c>
      <c r="L21" s="1877">
        <v>0</v>
      </c>
      <c r="M21" s="1877">
        <v>0</v>
      </c>
      <c r="N21" s="3398"/>
      <c r="O21" s="3398"/>
      <c r="P21" s="3401"/>
      <c r="Q21" s="3352"/>
    </row>
    <row r="22" spans="1:17">
      <c r="A22" s="3379">
        <v>3</v>
      </c>
      <c r="B22" s="2468" t="s">
        <v>3644</v>
      </c>
      <c r="C22" s="3382" t="s">
        <v>3431</v>
      </c>
      <c r="D22" s="2492" t="s">
        <v>3429</v>
      </c>
      <c r="E22" s="3382" t="s">
        <v>5455</v>
      </c>
      <c r="F22" s="3402">
        <v>971982.6</v>
      </c>
      <c r="G22" s="1866" t="s">
        <v>8</v>
      </c>
      <c r="H22" s="1875">
        <f>SUM(H23:H26)</f>
        <v>0</v>
      </c>
      <c r="I22" s="1878">
        <f>SUM(I23:I26)</f>
        <v>0</v>
      </c>
      <c r="J22" s="1876">
        <f t="shared" si="3"/>
        <v>179911</v>
      </c>
      <c r="K22" s="1877">
        <f t="shared" si="3"/>
        <v>51403.1</v>
      </c>
      <c r="L22" s="1877">
        <f t="shared" si="3"/>
        <v>51403.1</v>
      </c>
      <c r="M22" s="1877">
        <f t="shared" si="3"/>
        <v>0</v>
      </c>
      <c r="N22" s="3396">
        <f>L22/J22</f>
        <v>0.2857140475012645</v>
      </c>
      <c r="O22" s="3396">
        <f>(I22+L22+M22)/F22</f>
        <v>5.2884794439735858E-2</v>
      </c>
      <c r="P22" s="3399">
        <f>F22-H22-K22</f>
        <v>920579.5</v>
      </c>
      <c r="Q22" s="3350" t="s">
        <v>5436</v>
      </c>
    </row>
    <row r="23" spans="1:17">
      <c r="A23" s="3380"/>
      <c r="B23" s="2468"/>
      <c r="C23" s="3382"/>
      <c r="D23" s="2493"/>
      <c r="E23" s="3382"/>
      <c r="F23" s="3402"/>
      <c r="G23" s="1869" t="s">
        <v>9</v>
      </c>
      <c r="H23" s="1875">
        <v>0</v>
      </c>
      <c r="I23" s="1879">
        <f t="shared" si="4"/>
        <v>0</v>
      </c>
      <c r="J23" s="1910">
        <v>38552.400000000001</v>
      </c>
      <c r="K23" s="1877">
        <v>0</v>
      </c>
      <c r="L23" s="1877">
        <v>0</v>
      </c>
      <c r="M23" s="1877">
        <v>0</v>
      </c>
      <c r="N23" s="3397"/>
      <c r="O23" s="3397"/>
      <c r="P23" s="3400"/>
      <c r="Q23" s="3351"/>
    </row>
    <row r="24" spans="1:17">
      <c r="A24" s="3380"/>
      <c r="B24" s="2468"/>
      <c r="C24" s="3382"/>
      <c r="D24" s="2493"/>
      <c r="E24" s="3382"/>
      <c r="F24" s="3402"/>
      <c r="G24" s="1869" t="s">
        <v>10</v>
      </c>
      <c r="H24" s="1875">
        <v>0</v>
      </c>
      <c r="I24" s="1867">
        <f t="shared" si="4"/>
        <v>0</v>
      </c>
      <c r="J24" s="1876">
        <v>51403.1</v>
      </c>
      <c r="K24" s="1876">
        <v>51403.1</v>
      </c>
      <c r="L24" s="1876">
        <v>51403.1</v>
      </c>
      <c r="M24" s="1877">
        <v>0</v>
      </c>
      <c r="N24" s="3397"/>
      <c r="O24" s="3397"/>
      <c r="P24" s="3400"/>
      <c r="Q24" s="3351"/>
    </row>
    <row r="25" spans="1:17">
      <c r="A25" s="3380"/>
      <c r="B25" s="2468"/>
      <c r="C25" s="3382"/>
      <c r="D25" s="2493"/>
      <c r="E25" s="3382"/>
      <c r="F25" s="3402"/>
      <c r="G25" s="1869" t="s">
        <v>11</v>
      </c>
      <c r="H25" s="1875">
        <v>0</v>
      </c>
      <c r="I25" s="1867">
        <f t="shared" si="4"/>
        <v>0</v>
      </c>
      <c r="J25" s="1876">
        <v>0</v>
      </c>
      <c r="K25" s="1877">
        <v>0</v>
      </c>
      <c r="L25" s="1877">
        <v>0</v>
      </c>
      <c r="M25" s="1877">
        <v>0</v>
      </c>
      <c r="N25" s="3397"/>
      <c r="O25" s="3397"/>
      <c r="P25" s="3400"/>
      <c r="Q25" s="3351"/>
    </row>
    <row r="26" spans="1:17">
      <c r="A26" s="3381"/>
      <c r="B26" s="2468"/>
      <c r="C26" s="3382"/>
      <c r="D26" s="2494"/>
      <c r="E26" s="3382"/>
      <c r="F26" s="3402"/>
      <c r="G26" s="1869" t="s">
        <v>12</v>
      </c>
      <c r="H26" s="1875">
        <v>0</v>
      </c>
      <c r="I26" s="1867">
        <f t="shared" si="4"/>
        <v>0</v>
      </c>
      <c r="J26" s="1876">
        <v>89955.5</v>
      </c>
      <c r="K26" s="1877">
        <v>0</v>
      </c>
      <c r="L26" s="1877">
        <v>0</v>
      </c>
      <c r="M26" s="1877">
        <v>0</v>
      </c>
      <c r="N26" s="3398"/>
      <c r="O26" s="3398"/>
      <c r="P26" s="3401"/>
      <c r="Q26" s="3352"/>
    </row>
    <row r="27" spans="1:17" ht="15.75">
      <c r="A27" s="1888"/>
      <c r="B27" s="3403" t="s">
        <v>2944</v>
      </c>
      <c r="C27" s="2492" t="s">
        <v>3432</v>
      </c>
      <c r="D27" s="2492" t="s">
        <v>3429</v>
      </c>
      <c r="E27" s="2492" t="s">
        <v>3433</v>
      </c>
      <c r="F27" s="3406">
        <v>6815.8</v>
      </c>
      <c r="G27" s="1869" t="s">
        <v>8</v>
      </c>
      <c r="H27" s="1875">
        <f>SUM(H28:H31)</f>
        <v>0</v>
      </c>
      <c r="I27" s="1867">
        <f>SUM(I28:I31)</f>
        <v>0</v>
      </c>
      <c r="J27" s="1876">
        <f t="shared" si="3"/>
        <v>6815.8</v>
      </c>
      <c r="K27" s="1877">
        <f t="shared" si="3"/>
        <v>6815.8</v>
      </c>
      <c r="L27" s="1877">
        <f t="shared" si="3"/>
        <v>0</v>
      </c>
      <c r="M27" s="1877">
        <f t="shared" si="3"/>
        <v>6815.8</v>
      </c>
      <c r="N27" s="3396">
        <f>M27/J27</f>
        <v>1</v>
      </c>
      <c r="O27" s="3396">
        <v>1</v>
      </c>
      <c r="P27" s="3399">
        <f>F27-K27-H27</f>
        <v>0</v>
      </c>
      <c r="Q27" s="2492" t="s">
        <v>5331</v>
      </c>
    </row>
    <row r="28" spans="1:17" ht="15.75">
      <c r="A28" s="1889"/>
      <c r="B28" s="3404"/>
      <c r="C28" s="2493"/>
      <c r="D28" s="2493"/>
      <c r="E28" s="2493"/>
      <c r="F28" s="3407"/>
      <c r="G28" s="1869" t="s">
        <v>9</v>
      </c>
      <c r="H28" s="1875">
        <v>0</v>
      </c>
      <c r="I28" s="1867">
        <v>0</v>
      </c>
      <c r="J28" s="1876">
        <v>6475</v>
      </c>
      <c r="K28" s="1877">
        <v>6475</v>
      </c>
      <c r="L28" s="1877">
        <v>0</v>
      </c>
      <c r="M28" s="1877">
        <v>6475</v>
      </c>
      <c r="N28" s="3409"/>
      <c r="O28" s="3409"/>
      <c r="P28" s="3414"/>
      <c r="Q28" s="2493"/>
    </row>
    <row r="29" spans="1:17" ht="15.75">
      <c r="A29" s="1889">
        <v>4</v>
      </c>
      <c r="B29" s="3404"/>
      <c r="C29" s="2493"/>
      <c r="D29" s="2493"/>
      <c r="E29" s="2493"/>
      <c r="F29" s="3407"/>
      <c r="G29" s="1869" t="s">
        <v>10</v>
      </c>
      <c r="H29" s="1875">
        <v>0</v>
      </c>
      <c r="I29" s="1867">
        <v>0</v>
      </c>
      <c r="J29" s="1876">
        <v>0</v>
      </c>
      <c r="K29" s="1877">
        <v>0</v>
      </c>
      <c r="L29" s="1877">
        <v>0</v>
      </c>
      <c r="M29" s="1877">
        <v>0</v>
      </c>
      <c r="N29" s="3409"/>
      <c r="O29" s="3409"/>
      <c r="P29" s="3414"/>
      <c r="Q29" s="2493"/>
    </row>
    <row r="30" spans="1:17" ht="15.75">
      <c r="A30" s="1889"/>
      <c r="B30" s="3404"/>
      <c r="C30" s="2493"/>
      <c r="D30" s="2493"/>
      <c r="E30" s="2493"/>
      <c r="F30" s="3407"/>
      <c r="G30" s="1869" t="s">
        <v>11</v>
      </c>
      <c r="H30" s="1875">
        <v>0</v>
      </c>
      <c r="I30" s="1867">
        <v>0</v>
      </c>
      <c r="J30" s="1876">
        <v>340.8</v>
      </c>
      <c r="K30" s="1877">
        <v>340.8</v>
      </c>
      <c r="L30" s="1877">
        <v>0</v>
      </c>
      <c r="M30" s="1877">
        <v>340.8</v>
      </c>
      <c r="N30" s="3409"/>
      <c r="O30" s="3409"/>
      <c r="P30" s="3414"/>
      <c r="Q30" s="2493"/>
    </row>
    <row r="31" spans="1:17" ht="15.75">
      <c r="A31" s="1890"/>
      <c r="B31" s="3405"/>
      <c r="C31" s="2494"/>
      <c r="D31" s="2494"/>
      <c r="E31" s="2494"/>
      <c r="F31" s="3408"/>
      <c r="G31" s="1869" t="s">
        <v>12</v>
      </c>
      <c r="H31" s="1875">
        <v>0</v>
      </c>
      <c r="I31" s="1867">
        <v>0</v>
      </c>
      <c r="J31" s="1876">
        <v>0</v>
      </c>
      <c r="K31" s="1877">
        <v>0</v>
      </c>
      <c r="L31" s="1877">
        <v>0</v>
      </c>
      <c r="M31" s="1877">
        <v>0</v>
      </c>
      <c r="N31" s="3410"/>
      <c r="O31" s="3410"/>
      <c r="P31" s="3415"/>
      <c r="Q31" s="2494"/>
    </row>
    <row r="32" spans="1:17" ht="15.75">
      <c r="A32" s="1888"/>
      <c r="B32" s="3403" t="s">
        <v>2945</v>
      </c>
      <c r="C32" s="2492" t="s">
        <v>3436</v>
      </c>
      <c r="D32" s="2492" t="s">
        <v>3429</v>
      </c>
      <c r="E32" s="2492" t="s">
        <v>3437</v>
      </c>
      <c r="F32" s="3406">
        <v>6717.2</v>
      </c>
      <c r="G32" s="1869" t="s">
        <v>8</v>
      </c>
      <c r="H32" s="1875">
        <f>SUM(H33:H36)</f>
        <v>4802.3129999999992</v>
      </c>
      <c r="I32" s="1875">
        <f>SUM(I33:I36)</f>
        <v>4802.3129999999992</v>
      </c>
      <c r="J32" s="1876">
        <f t="shared" si="3"/>
        <v>1914.8587199999999</v>
      </c>
      <c r="K32" s="1877">
        <f t="shared" si="3"/>
        <v>1914.8587199999999</v>
      </c>
      <c r="L32" s="1877">
        <f t="shared" si="3"/>
        <v>0</v>
      </c>
      <c r="M32" s="1877">
        <f t="shared" si="3"/>
        <v>1914.8587199999999</v>
      </c>
      <c r="N32" s="3396">
        <f>M32/J32</f>
        <v>1</v>
      </c>
      <c r="O32" s="3396">
        <v>1</v>
      </c>
      <c r="P32" s="3411">
        <f>F32-H32-K32</f>
        <v>2.8280000000677319E-2</v>
      </c>
      <c r="Q32" s="2492" t="s">
        <v>5331</v>
      </c>
    </row>
    <row r="33" spans="1:17" ht="15.75">
      <c r="A33" s="1889"/>
      <c r="B33" s="3404"/>
      <c r="C33" s="2493"/>
      <c r="D33" s="2493"/>
      <c r="E33" s="2493"/>
      <c r="F33" s="3407"/>
      <c r="G33" s="1869" t="s">
        <v>9</v>
      </c>
      <c r="H33" s="1875">
        <v>4754.2898699999996</v>
      </c>
      <c r="I33" s="1875">
        <v>4754.2898699999996</v>
      </c>
      <c r="J33" s="1876">
        <v>1895.7101299999999</v>
      </c>
      <c r="K33" s="1877">
        <v>1895.7101299999999</v>
      </c>
      <c r="L33" s="1877">
        <v>0</v>
      </c>
      <c r="M33" s="1877">
        <v>1895.7101299999999</v>
      </c>
      <c r="N33" s="3397"/>
      <c r="O33" s="3409"/>
      <c r="P33" s="3412"/>
      <c r="Q33" s="2493"/>
    </row>
    <row r="34" spans="1:17" ht="15.75">
      <c r="A34" s="1889">
        <v>5</v>
      </c>
      <c r="B34" s="3404"/>
      <c r="C34" s="2493"/>
      <c r="D34" s="2493"/>
      <c r="E34" s="2493"/>
      <c r="F34" s="3407"/>
      <c r="G34" s="1869" t="s">
        <v>10</v>
      </c>
      <c r="H34" s="1875">
        <v>0</v>
      </c>
      <c r="I34" s="1875">
        <v>0</v>
      </c>
      <c r="J34" s="1876">
        <v>0</v>
      </c>
      <c r="K34" s="1877">
        <v>0</v>
      </c>
      <c r="L34" s="1877">
        <v>0</v>
      </c>
      <c r="M34" s="1877">
        <v>0</v>
      </c>
      <c r="N34" s="3397"/>
      <c r="O34" s="3409"/>
      <c r="P34" s="3412"/>
      <c r="Q34" s="2493"/>
    </row>
    <row r="35" spans="1:17" ht="15.75">
      <c r="A35" s="1889"/>
      <c r="B35" s="3404"/>
      <c r="C35" s="2493"/>
      <c r="D35" s="2493"/>
      <c r="E35" s="2493"/>
      <c r="F35" s="3407"/>
      <c r="G35" s="1869" t="s">
        <v>11</v>
      </c>
      <c r="H35" s="1875">
        <v>48.023130000000002</v>
      </c>
      <c r="I35" s="1875">
        <v>48.023130000000002</v>
      </c>
      <c r="J35" s="1876">
        <v>19.148589999999999</v>
      </c>
      <c r="K35" s="1877">
        <v>19.148589999999999</v>
      </c>
      <c r="L35" s="1877">
        <v>0</v>
      </c>
      <c r="M35" s="1877">
        <v>19.148589999999999</v>
      </c>
      <c r="N35" s="3397"/>
      <c r="O35" s="3409"/>
      <c r="P35" s="3412"/>
      <c r="Q35" s="2493"/>
    </row>
    <row r="36" spans="1:17" ht="15.75">
      <c r="A36" s="1890"/>
      <c r="B36" s="3405"/>
      <c r="C36" s="2494"/>
      <c r="D36" s="2494"/>
      <c r="E36" s="2494"/>
      <c r="F36" s="3408"/>
      <c r="G36" s="1869" t="s">
        <v>12</v>
      </c>
      <c r="H36" s="1875">
        <v>0</v>
      </c>
      <c r="I36" s="1867">
        <v>0</v>
      </c>
      <c r="J36" s="1876">
        <v>0</v>
      </c>
      <c r="K36" s="1877">
        <v>0</v>
      </c>
      <c r="L36" s="1877">
        <v>0</v>
      </c>
      <c r="M36" s="1877">
        <v>0</v>
      </c>
      <c r="N36" s="3398"/>
      <c r="O36" s="3410"/>
      <c r="P36" s="3413"/>
      <c r="Q36" s="2494"/>
    </row>
    <row r="37" spans="1:17" ht="15.75">
      <c r="A37" s="1888"/>
      <c r="B37" s="3403" t="s">
        <v>3438</v>
      </c>
      <c r="C37" s="2492" t="s">
        <v>3439</v>
      </c>
      <c r="D37" s="2492" t="s">
        <v>3429</v>
      </c>
      <c r="E37" s="3428" t="s">
        <v>3507</v>
      </c>
      <c r="F37" s="3406">
        <v>349770.9</v>
      </c>
      <c r="G37" s="1869" t="s">
        <v>8</v>
      </c>
      <c r="H37" s="1875">
        <f>SUM(H38:H41)</f>
        <v>0</v>
      </c>
      <c r="I37" s="1867">
        <f>SUM(I38:I41)</f>
        <v>0</v>
      </c>
      <c r="J37" s="1875">
        <f t="shared" ref="J37:M37" si="5">SUM(J38:J41)</f>
        <v>135522.9</v>
      </c>
      <c r="K37" s="1877">
        <f>K38+K39+K40</f>
        <v>135522.9</v>
      </c>
      <c r="L37" s="1877">
        <f>L38+L39+L40</f>
        <v>135522.9</v>
      </c>
      <c r="M37" s="1877">
        <f t="shared" si="5"/>
        <v>0</v>
      </c>
      <c r="N37" s="3396">
        <f>L37/J37</f>
        <v>1</v>
      </c>
      <c r="O37" s="3396">
        <v>0.38800000000000001</v>
      </c>
      <c r="P37" s="3399">
        <f>F37-H37-K37</f>
        <v>214248.00000000003</v>
      </c>
      <c r="Q37" s="3341" t="s">
        <v>5454</v>
      </c>
    </row>
    <row r="38" spans="1:17" ht="15.75">
      <c r="A38" s="1889"/>
      <c r="B38" s="3404"/>
      <c r="C38" s="2493"/>
      <c r="D38" s="2493"/>
      <c r="E38" s="3397"/>
      <c r="F38" s="3407"/>
      <c r="G38" s="1869" t="s">
        <v>9</v>
      </c>
      <c r="H38" s="1875">
        <v>0</v>
      </c>
      <c r="I38" s="1867">
        <v>0</v>
      </c>
      <c r="J38" s="1875">
        <v>7725.3</v>
      </c>
      <c r="K38" s="1875">
        <v>7725.3</v>
      </c>
      <c r="L38" s="1875">
        <v>7725.3</v>
      </c>
      <c r="M38" s="1877">
        <v>0</v>
      </c>
      <c r="N38" s="3409"/>
      <c r="O38" s="3409"/>
      <c r="P38" s="3400"/>
      <c r="Q38" s="3342"/>
    </row>
    <row r="39" spans="1:17" ht="15.75">
      <c r="A39" s="1889">
        <v>6</v>
      </c>
      <c r="B39" s="3404"/>
      <c r="C39" s="2493"/>
      <c r="D39" s="2493"/>
      <c r="E39" s="3397"/>
      <c r="F39" s="3407"/>
      <c r="G39" s="1869" t="s">
        <v>10</v>
      </c>
      <c r="H39" s="1875">
        <v>0</v>
      </c>
      <c r="I39" s="1867">
        <v>0</v>
      </c>
      <c r="J39" s="1875">
        <v>127391</v>
      </c>
      <c r="K39" s="1875">
        <v>127391</v>
      </c>
      <c r="L39" s="1875">
        <v>127391</v>
      </c>
      <c r="M39" s="1877">
        <v>0</v>
      </c>
      <c r="N39" s="3409"/>
      <c r="O39" s="3409"/>
      <c r="P39" s="3400"/>
      <c r="Q39" s="3342"/>
    </row>
    <row r="40" spans="1:17" ht="15.75">
      <c r="A40" s="1889"/>
      <c r="B40" s="3404"/>
      <c r="C40" s="2493"/>
      <c r="D40" s="2493"/>
      <c r="E40" s="3397"/>
      <c r="F40" s="3407"/>
      <c r="G40" s="1869" t="s">
        <v>11</v>
      </c>
      <c r="H40" s="1875">
        <v>0</v>
      </c>
      <c r="I40" s="1867">
        <v>0</v>
      </c>
      <c r="J40" s="1875">
        <v>406.6</v>
      </c>
      <c r="K40" s="1875">
        <v>406.6</v>
      </c>
      <c r="L40" s="1875">
        <v>406.6</v>
      </c>
      <c r="M40" s="1877">
        <v>0</v>
      </c>
      <c r="N40" s="3409"/>
      <c r="O40" s="3409"/>
      <c r="P40" s="3400"/>
      <c r="Q40" s="3342"/>
    </row>
    <row r="41" spans="1:17" ht="52.5" customHeight="1">
      <c r="A41" s="1890"/>
      <c r="B41" s="3405"/>
      <c r="C41" s="2494"/>
      <c r="D41" s="2494"/>
      <c r="E41" s="3398"/>
      <c r="F41" s="3408"/>
      <c r="G41" s="1869" t="s">
        <v>12</v>
      </c>
      <c r="H41" s="1875">
        <v>0</v>
      </c>
      <c r="I41" s="1867">
        <v>0</v>
      </c>
      <c r="J41" s="1875">
        <v>0</v>
      </c>
      <c r="K41" s="1877">
        <v>0</v>
      </c>
      <c r="L41" s="1877">
        <v>0</v>
      </c>
      <c r="M41" s="1877">
        <v>0</v>
      </c>
      <c r="N41" s="3410"/>
      <c r="O41" s="3410"/>
      <c r="P41" s="3401"/>
      <c r="Q41" s="3343"/>
    </row>
    <row r="42" spans="1:17">
      <c r="A42" s="3416">
        <v>7</v>
      </c>
      <c r="B42" s="3344" t="s">
        <v>3075</v>
      </c>
      <c r="C42" s="3347" t="s">
        <v>5327</v>
      </c>
      <c r="D42" s="3347" t="s">
        <v>3429</v>
      </c>
      <c r="E42" s="3347" t="s">
        <v>5453</v>
      </c>
      <c r="F42" s="3419" t="s">
        <v>5329</v>
      </c>
      <c r="G42" s="1880" t="s">
        <v>8</v>
      </c>
      <c r="H42" s="1881">
        <f>H43+H44+H45+H46</f>
        <v>2970</v>
      </c>
      <c r="I42" s="1881">
        <f t="shared" ref="I42:M46" si="6">I43+I44+I45+I46</f>
        <v>2970</v>
      </c>
      <c r="J42" s="1881">
        <f t="shared" si="6"/>
        <v>3150</v>
      </c>
      <c r="K42" s="1881">
        <f>K43+K44+K45+K46</f>
        <v>3150</v>
      </c>
      <c r="L42" s="1881">
        <f>L43+L44+L45+L46</f>
        <v>3150</v>
      </c>
      <c r="M42" s="1881">
        <f t="shared" si="6"/>
        <v>0</v>
      </c>
      <c r="N42" s="3396">
        <f>L42/J42</f>
        <v>1</v>
      </c>
      <c r="O42" s="3422">
        <v>4.8000000000000001E-2</v>
      </c>
      <c r="P42" s="3425" t="s">
        <v>5332</v>
      </c>
      <c r="Q42" s="3338" t="s">
        <v>5330</v>
      </c>
    </row>
    <row r="43" spans="1:17">
      <c r="A43" s="3417"/>
      <c r="B43" s="3345"/>
      <c r="C43" s="3348"/>
      <c r="D43" s="3348"/>
      <c r="E43" s="3348"/>
      <c r="F43" s="3420"/>
      <c r="G43" s="1880" t="s">
        <v>9</v>
      </c>
      <c r="H43" s="1881">
        <v>2821.5</v>
      </c>
      <c r="I43" s="1881">
        <v>2821.5</v>
      </c>
      <c r="J43" s="1882">
        <v>2992.5</v>
      </c>
      <c r="K43" s="1882">
        <v>2992.5</v>
      </c>
      <c r="L43" s="1882">
        <v>2992.5</v>
      </c>
      <c r="M43" s="1881">
        <f t="shared" si="6"/>
        <v>0</v>
      </c>
      <c r="N43" s="3409"/>
      <c r="O43" s="3423"/>
      <c r="P43" s="3426"/>
      <c r="Q43" s="3339"/>
    </row>
    <row r="44" spans="1:17">
      <c r="A44" s="3417"/>
      <c r="B44" s="3345"/>
      <c r="C44" s="3348"/>
      <c r="D44" s="3348"/>
      <c r="E44" s="3348"/>
      <c r="F44" s="3420"/>
      <c r="G44" s="1880" t="s">
        <v>10</v>
      </c>
      <c r="H44" s="1881">
        <v>0</v>
      </c>
      <c r="I44" s="1881">
        <v>0</v>
      </c>
      <c r="J44" s="1882">
        <v>0</v>
      </c>
      <c r="K44" s="1882">
        <v>0</v>
      </c>
      <c r="L44" s="1882">
        <v>0</v>
      </c>
      <c r="M44" s="1881">
        <f t="shared" si="6"/>
        <v>0</v>
      </c>
      <c r="N44" s="3409"/>
      <c r="O44" s="3423"/>
      <c r="P44" s="3426"/>
      <c r="Q44" s="3339"/>
    </row>
    <row r="45" spans="1:17">
      <c r="A45" s="3417"/>
      <c r="B45" s="3345"/>
      <c r="C45" s="3348"/>
      <c r="D45" s="3348"/>
      <c r="E45" s="3348"/>
      <c r="F45" s="3420"/>
      <c r="G45" s="1880" t="s">
        <v>11</v>
      </c>
      <c r="H45" s="1881">
        <v>148.5</v>
      </c>
      <c r="I45" s="1881">
        <v>148.5</v>
      </c>
      <c r="J45" s="1882">
        <v>157.5</v>
      </c>
      <c r="K45" s="1882">
        <v>157.5</v>
      </c>
      <c r="L45" s="1882">
        <v>157.5</v>
      </c>
      <c r="M45" s="1881">
        <f t="shared" si="6"/>
        <v>0</v>
      </c>
      <c r="N45" s="3409"/>
      <c r="O45" s="3423"/>
      <c r="P45" s="3426"/>
      <c r="Q45" s="3339"/>
    </row>
    <row r="46" spans="1:17">
      <c r="A46" s="3418"/>
      <c r="B46" s="3346"/>
      <c r="C46" s="3349"/>
      <c r="D46" s="3349"/>
      <c r="E46" s="3349"/>
      <c r="F46" s="3421"/>
      <c r="G46" s="1880" t="s">
        <v>12</v>
      </c>
      <c r="H46" s="1881">
        <v>0</v>
      </c>
      <c r="I46" s="1881">
        <v>0</v>
      </c>
      <c r="J46" s="1882">
        <v>0</v>
      </c>
      <c r="K46" s="1882">
        <v>0</v>
      </c>
      <c r="L46" s="1882">
        <v>0</v>
      </c>
      <c r="M46" s="1881">
        <f t="shared" si="6"/>
        <v>0</v>
      </c>
      <c r="N46" s="3410"/>
      <c r="O46" s="3424"/>
      <c r="P46" s="3427"/>
      <c r="Q46" s="3340"/>
    </row>
    <row r="47" spans="1:17">
      <c r="A47" s="3429">
        <v>8</v>
      </c>
      <c r="B47" s="3432" t="s">
        <v>5321</v>
      </c>
      <c r="C47" s="3432" t="s">
        <v>5322</v>
      </c>
      <c r="D47" s="3432" t="s">
        <v>5323</v>
      </c>
      <c r="E47" s="3435" t="s">
        <v>5324</v>
      </c>
      <c r="F47" s="3438" t="s">
        <v>5325</v>
      </c>
      <c r="G47" s="1880" t="s">
        <v>8</v>
      </c>
      <c r="H47" s="1883">
        <f>H48+H49</f>
        <v>467920.8</v>
      </c>
      <c r="I47" s="1883">
        <f>I48+I49</f>
        <v>467920.8</v>
      </c>
      <c r="J47" s="1884">
        <f>J48+J49</f>
        <v>8220.8629000000001</v>
      </c>
      <c r="K47" s="1884">
        <f t="shared" ref="K47:M47" si="7">SUM(K48:K49)</f>
        <v>0</v>
      </c>
      <c r="L47" s="1884">
        <f t="shared" si="7"/>
        <v>0</v>
      </c>
      <c r="M47" s="1884">
        <f t="shared" si="7"/>
        <v>0</v>
      </c>
      <c r="N47" s="3396">
        <f>L47/J47</f>
        <v>0</v>
      </c>
      <c r="O47" s="3441">
        <v>1</v>
      </c>
      <c r="P47" s="3444">
        <f>500275.8-6413.5-H47</f>
        <v>25941.5</v>
      </c>
      <c r="Q47" s="3338" t="s">
        <v>5326</v>
      </c>
    </row>
    <row r="48" spans="1:17">
      <c r="A48" s="3430"/>
      <c r="B48" s="3433"/>
      <c r="C48" s="3433"/>
      <c r="D48" s="3433"/>
      <c r="E48" s="3436"/>
      <c r="F48" s="3439"/>
      <c r="G48" s="1880" t="s">
        <v>9</v>
      </c>
      <c r="H48" s="1885">
        <f>81226.5+166327.3+1505.5</f>
        <v>249059.3</v>
      </c>
      <c r="I48" s="1885">
        <f>81226.5+166327.3+1505.5</f>
        <v>249059.3</v>
      </c>
      <c r="J48" s="1886">
        <f>8220862.9/1000</f>
        <v>8220.8629000000001</v>
      </c>
      <c r="K48" s="1886">
        <v>0</v>
      </c>
      <c r="L48" s="1886">
        <v>0</v>
      </c>
      <c r="M48" s="1884">
        <f>SUM(M49:M52)</f>
        <v>0</v>
      </c>
      <c r="N48" s="3409"/>
      <c r="O48" s="3442"/>
      <c r="P48" s="3445"/>
      <c r="Q48" s="3339"/>
    </row>
    <row r="49" spans="1:17">
      <c r="A49" s="3430"/>
      <c r="B49" s="3433"/>
      <c r="C49" s="3433"/>
      <c r="D49" s="3433"/>
      <c r="E49" s="3436"/>
      <c r="F49" s="3439"/>
      <c r="G49" s="1880" t="s">
        <v>10</v>
      </c>
      <c r="H49" s="1887">
        <f>198861.5+20000</f>
        <v>218861.5</v>
      </c>
      <c r="I49" s="1887">
        <f>198861.5+20000</f>
        <v>218861.5</v>
      </c>
      <c r="J49" s="1886">
        <v>0</v>
      </c>
      <c r="K49" s="1886">
        <v>0</v>
      </c>
      <c r="L49" s="1886">
        <v>0</v>
      </c>
      <c r="M49" s="1884">
        <f>SUM(M52:M53)</f>
        <v>0</v>
      </c>
      <c r="N49" s="3409"/>
      <c r="O49" s="3442"/>
      <c r="P49" s="3445"/>
      <c r="Q49" s="3339"/>
    </row>
    <row r="50" spans="1:17">
      <c r="A50" s="3430"/>
      <c r="B50" s="3433"/>
      <c r="C50" s="3433"/>
      <c r="D50" s="3433"/>
      <c r="E50" s="3436"/>
      <c r="F50" s="3439"/>
      <c r="G50" s="1880" t="s">
        <v>11</v>
      </c>
      <c r="H50" s="1887">
        <v>0</v>
      </c>
      <c r="I50" s="1887">
        <v>0</v>
      </c>
      <c r="J50" s="1887">
        <v>0</v>
      </c>
      <c r="K50" s="1887">
        <v>0</v>
      </c>
      <c r="L50" s="1887">
        <v>0</v>
      </c>
      <c r="M50" s="1887">
        <v>0</v>
      </c>
      <c r="N50" s="3409"/>
      <c r="O50" s="3442"/>
      <c r="P50" s="3445"/>
      <c r="Q50" s="3339"/>
    </row>
    <row r="51" spans="1:17" ht="31.5" customHeight="1">
      <c r="A51" s="3431"/>
      <c r="B51" s="3434"/>
      <c r="C51" s="3434"/>
      <c r="D51" s="3434"/>
      <c r="E51" s="3437"/>
      <c r="F51" s="3440"/>
      <c r="G51" s="1880" t="s">
        <v>12</v>
      </c>
      <c r="H51" s="1887">
        <v>0</v>
      </c>
      <c r="I51" s="1887">
        <v>0</v>
      </c>
      <c r="J51" s="1887">
        <v>0</v>
      </c>
      <c r="K51" s="1887">
        <v>0</v>
      </c>
      <c r="L51" s="1887">
        <v>0</v>
      </c>
      <c r="M51" s="1887">
        <v>0</v>
      </c>
      <c r="N51" s="3410"/>
      <c r="O51" s="3443"/>
      <c r="P51" s="3446"/>
      <c r="Q51" s="3340"/>
    </row>
    <row r="52" spans="1:17">
      <c r="A52" s="1482"/>
    </row>
  </sheetData>
  <mergeCells count="96">
    <mergeCell ref="Q47:Q51"/>
    <mergeCell ref="Q42:Q46"/>
    <mergeCell ref="A47:A51"/>
    <mergeCell ref="B47:B51"/>
    <mergeCell ref="C47:C51"/>
    <mergeCell ref="D47:D51"/>
    <mergeCell ref="E47:E51"/>
    <mergeCell ref="F47:F51"/>
    <mergeCell ref="N47:N51"/>
    <mergeCell ref="O47:O51"/>
    <mergeCell ref="P47:P51"/>
    <mergeCell ref="Q37:Q41"/>
    <mergeCell ref="A42:A46"/>
    <mergeCell ref="B42:B46"/>
    <mergeCell ref="C42:C46"/>
    <mergeCell ref="D42:D46"/>
    <mergeCell ref="E42:E46"/>
    <mergeCell ref="F42:F46"/>
    <mergeCell ref="N42:N46"/>
    <mergeCell ref="O42:O46"/>
    <mergeCell ref="P42:P46"/>
    <mergeCell ref="B37:B41"/>
    <mergeCell ref="C37:C41"/>
    <mergeCell ref="D37:D41"/>
    <mergeCell ref="E37:E41"/>
    <mergeCell ref="F37:F41"/>
    <mergeCell ref="O27:O31"/>
    <mergeCell ref="P27:P31"/>
    <mergeCell ref="N37:N41"/>
    <mergeCell ref="O37:O41"/>
    <mergeCell ref="P37:P41"/>
    <mergeCell ref="Q27:Q31"/>
    <mergeCell ref="B32:B36"/>
    <mergeCell ref="C32:C36"/>
    <mergeCell ref="D32:D36"/>
    <mergeCell ref="E32:E36"/>
    <mergeCell ref="F32:F36"/>
    <mergeCell ref="N32:N36"/>
    <mergeCell ref="O32:O36"/>
    <mergeCell ref="P32:P36"/>
    <mergeCell ref="Q32:Q36"/>
    <mergeCell ref="B27:B31"/>
    <mergeCell ref="C27:C31"/>
    <mergeCell ref="D27:D31"/>
    <mergeCell ref="E27:E31"/>
    <mergeCell ref="F27:F31"/>
    <mergeCell ref="N27:N31"/>
    <mergeCell ref="N17:N21"/>
    <mergeCell ref="O17:O21"/>
    <mergeCell ref="P17:P21"/>
    <mergeCell ref="Q17:Q21"/>
    <mergeCell ref="A22:A26"/>
    <mergeCell ref="B22:B26"/>
    <mergeCell ref="C22:C26"/>
    <mergeCell ref="D22:D26"/>
    <mergeCell ref="E22:E26"/>
    <mergeCell ref="F22:F26"/>
    <mergeCell ref="N22:N26"/>
    <mergeCell ref="O22:O26"/>
    <mergeCell ref="P22:P26"/>
    <mergeCell ref="Q22:Q26"/>
    <mergeCell ref="N13:N16"/>
    <mergeCell ref="O13:O16"/>
    <mergeCell ref="P13:P16"/>
    <mergeCell ref="Q13:Q16"/>
    <mergeCell ref="A17:A21"/>
    <mergeCell ref="B17:B21"/>
    <mergeCell ref="C17:C21"/>
    <mergeCell ref="D17:D21"/>
    <mergeCell ref="E17:E21"/>
    <mergeCell ref="F17:F21"/>
    <mergeCell ref="A13:A16"/>
    <mergeCell ref="B13:B16"/>
    <mergeCell ref="C13:C16"/>
    <mergeCell ref="D13:D16"/>
    <mergeCell ref="E13:E16"/>
    <mergeCell ref="F13:F16"/>
    <mergeCell ref="A7:A11"/>
    <mergeCell ref="B7:F11"/>
    <mergeCell ref="O7:O11"/>
    <mergeCell ref="P7:P11"/>
    <mergeCell ref="Q7:Q11"/>
    <mergeCell ref="A3:Q3"/>
    <mergeCell ref="A5:A6"/>
    <mergeCell ref="B5:B6"/>
    <mergeCell ref="C5:C6"/>
    <mergeCell ref="D5:D6"/>
    <mergeCell ref="E5:E6"/>
    <mergeCell ref="F5:F6"/>
    <mergeCell ref="G5:G6"/>
    <mergeCell ref="H5:I5"/>
    <mergeCell ref="J5:J6"/>
    <mergeCell ref="K5:N5"/>
    <mergeCell ref="O5:O6"/>
    <mergeCell ref="P5:P6"/>
    <mergeCell ref="Q5:Q6"/>
  </mergeCell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5"/>
  <sheetViews>
    <sheetView tabSelected="1" zoomScale="88" zoomScaleNormal="88" workbookViewId="0">
      <pane ySplit="1" topLeftCell="A2" activePane="bottomLeft" state="frozen"/>
      <selection pane="bottomLeft" activeCell="Q19" sqref="Q19"/>
    </sheetView>
  </sheetViews>
  <sheetFormatPr defaultRowHeight="15"/>
  <cols>
    <col min="1" max="1" width="9.28515625" style="36" bestFit="1" customWidth="1"/>
    <col min="2" max="2" width="21.7109375" style="36" customWidth="1"/>
    <col min="3" max="4" width="9.140625" style="36"/>
    <col min="5" max="8" width="9.28515625" style="36" bestFit="1" customWidth="1"/>
    <col min="9" max="9" width="10.140625" style="36" customWidth="1"/>
    <col min="10" max="10" width="41.28515625" style="36" customWidth="1"/>
    <col min="11" max="11" width="38.7109375" style="36" customWidth="1"/>
    <col min="12" max="12" width="20.28515625" style="36" customWidth="1"/>
    <col min="13" max="14" width="11.140625" style="36" bestFit="1" customWidth="1"/>
    <col min="15" max="16" width="11.140625" bestFit="1" customWidth="1"/>
    <col min="18" max="18" width="13.5703125" customWidth="1"/>
    <col min="19" max="19" width="16" customWidth="1"/>
    <col min="20" max="20" width="4.28515625" customWidth="1"/>
    <col min="258" max="258" width="17.7109375" customWidth="1"/>
    <col min="266" max="266" width="23.42578125" customWidth="1"/>
    <col min="267" max="267" width="22.140625" customWidth="1"/>
    <col min="268" max="268" width="11.85546875" customWidth="1"/>
    <col min="274" max="274" width="2.28515625" customWidth="1"/>
    <col min="275" max="275" width="3.5703125" customWidth="1"/>
    <col min="276" max="276" width="4.28515625" customWidth="1"/>
    <col min="514" max="514" width="17.7109375" customWidth="1"/>
    <col min="522" max="522" width="23.42578125" customWidth="1"/>
    <col min="523" max="523" width="22.140625" customWidth="1"/>
    <col min="524" max="524" width="11.85546875" customWidth="1"/>
    <col min="530" max="530" width="2.28515625" customWidth="1"/>
    <col min="531" max="531" width="3.5703125" customWidth="1"/>
    <col min="532" max="532" width="4.28515625" customWidth="1"/>
    <col min="770" max="770" width="17.7109375" customWidth="1"/>
    <col min="778" max="778" width="23.42578125" customWidth="1"/>
    <col min="779" max="779" width="22.140625" customWidth="1"/>
    <col min="780" max="780" width="11.85546875" customWidth="1"/>
    <col min="786" max="786" width="2.28515625" customWidth="1"/>
    <col min="787" max="787" width="3.5703125" customWidth="1"/>
    <col min="788" max="788" width="4.28515625" customWidth="1"/>
    <col min="1026" max="1026" width="17.7109375" customWidth="1"/>
    <col min="1034" max="1034" width="23.42578125" customWidth="1"/>
    <col min="1035" max="1035" width="22.140625" customWidth="1"/>
    <col min="1036" max="1036" width="11.85546875" customWidth="1"/>
    <col min="1042" max="1042" width="2.28515625" customWidth="1"/>
    <col min="1043" max="1043" width="3.5703125" customWidth="1"/>
    <col min="1044" max="1044" width="4.28515625" customWidth="1"/>
    <col min="1282" max="1282" width="17.7109375" customWidth="1"/>
    <col min="1290" max="1290" width="23.42578125" customWidth="1"/>
    <col min="1291" max="1291" width="22.140625" customWidth="1"/>
    <col min="1292" max="1292" width="11.85546875" customWidth="1"/>
    <col min="1298" max="1298" width="2.28515625" customWidth="1"/>
    <col min="1299" max="1299" width="3.5703125" customWidth="1"/>
    <col min="1300" max="1300" width="4.28515625" customWidth="1"/>
    <col min="1538" max="1538" width="17.7109375" customWidth="1"/>
    <col min="1546" max="1546" width="23.42578125" customWidth="1"/>
    <col min="1547" max="1547" width="22.140625" customWidth="1"/>
    <col min="1548" max="1548" width="11.85546875" customWidth="1"/>
    <col min="1554" max="1554" width="2.28515625" customWidth="1"/>
    <col min="1555" max="1555" width="3.5703125" customWidth="1"/>
    <col min="1556" max="1556" width="4.28515625" customWidth="1"/>
    <col min="1794" max="1794" width="17.7109375" customWidth="1"/>
    <col min="1802" max="1802" width="23.42578125" customWidth="1"/>
    <col min="1803" max="1803" width="22.140625" customWidth="1"/>
    <col min="1804" max="1804" width="11.85546875" customWidth="1"/>
    <col min="1810" max="1810" width="2.28515625" customWidth="1"/>
    <col min="1811" max="1811" width="3.5703125" customWidth="1"/>
    <col min="1812" max="1812" width="4.28515625" customWidth="1"/>
    <col min="2050" max="2050" width="17.7109375" customWidth="1"/>
    <col min="2058" max="2058" width="23.42578125" customWidth="1"/>
    <col min="2059" max="2059" width="22.140625" customWidth="1"/>
    <col min="2060" max="2060" width="11.85546875" customWidth="1"/>
    <col min="2066" max="2066" width="2.28515625" customWidth="1"/>
    <col min="2067" max="2067" width="3.5703125" customWidth="1"/>
    <col min="2068" max="2068" width="4.28515625" customWidth="1"/>
    <col min="2306" max="2306" width="17.7109375" customWidth="1"/>
    <col min="2314" max="2314" width="23.42578125" customWidth="1"/>
    <col min="2315" max="2315" width="22.140625" customWidth="1"/>
    <col min="2316" max="2316" width="11.85546875" customWidth="1"/>
    <col min="2322" max="2322" width="2.28515625" customWidth="1"/>
    <col min="2323" max="2323" width="3.5703125" customWidth="1"/>
    <col min="2324" max="2324" width="4.28515625" customWidth="1"/>
    <col min="2562" max="2562" width="17.7109375" customWidth="1"/>
    <col min="2570" max="2570" width="23.42578125" customWidth="1"/>
    <col min="2571" max="2571" width="22.140625" customWidth="1"/>
    <col min="2572" max="2572" width="11.85546875" customWidth="1"/>
    <col min="2578" max="2578" width="2.28515625" customWidth="1"/>
    <col min="2579" max="2579" width="3.5703125" customWidth="1"/>
    <col min="2580" max="2580" width="4.28515625" customWidth="1"/>
    <col min="2818" max="2818" width="17.7109375" customWidth="1"/>
    <col min="2826" max="2826" width="23.42578125" customWidth="1"/>
    <col min="2827" max="2827" width="22.140625" customWidth="1"/>
    <col min="2828" max="2828" width="11.85546875" customWidth="1"/>
    <col min="2834" max="2834" width="2.28515625" customWidth="1"/>
    <col min="2835" max="2835" width="3.5703125" customWidth="1"/>
    <col min="2836" max="2836" width="4.28515625" customWidth="1"/>
    <col min="3074" max="3074" width="17.7109375" customWidth="1"/>
    <col min="3082" max="3082" width="23.42578125" customWidth="1"/>
    <col min="3083" max="3083" width="22.140625" customWidth="1"/>
    <col min="3084" max="3084" width="11.85546875" customWidth="1"/>
    <col min="3090" max="3090" width="2.28515625" customWidth="1"/>
    <col min="3091" max="3091" width="3.5703125" customWidth="1"/>
    <col min="3092" max="3092" width="4.28515625" customWidth="1"/>
    <col min="3330" max="3330" width="17.7109375" customWidth="1"/>
    <col min="3338" max="3338" width="23.42578125" customWidth="1"/>
    <col min="3339" max="3339" width="22.140625" customWidth="1"/>
    <col min="3340" max="3340" width="11.85546875" customWidth="1"/>
    <col min="3346" max="3346" width="2.28515625" customWidth="1"/>
    <col min="3347" max="3347" width="3.5703125" customWidth="1"/>
    <col min="3348" max="3348" width="4.28515625" customWidth="1"/>
    <col min="3586" max="3586" width="17.7109375" customWidth="1"/>
    <col min="3594" max="3594" width="23.42578125" customWidth="1"/>
    <col min="3595" max="3595" width="22.140625" customWidth="1"/>
    <col min="3596" max="3596" width="11.85546875" customWidth="1"/>
    <col min="3602" max="3602" width="2.28515625" customWidth="1"/>
    <col min="3603" max="3603" width="3.5703125" customWidth="1"/>
    <col min="3604" max="3604" width="4.28515625" customWidth="1"/>
    <col min="3842" max="3842" width="17.7109375" customWidth="1"/>
    <col min="3850" max="3850" width="23.42578125" customWidth="1"/>
    <col min="3851" max="3851" width="22.140625" customWidth="1"/>
    <col min="3852" max="3852" width="11.85546875" customWidth="1"/>
    <col min="3858" max="3858" width="2.28515625" customWidth="1"/>
    <col min="3859" max="3859" width="3.5703125" customWidth="1"/>
    <col min="3860" max="3860" width="4.28515625" customWidth="1"/>
    <col min="4098" max="4098" width="17.7109375" customWidth="1"/>
    <col min="4106" max="4106" width="23.42578125" customWidth="1"/>
    <col min="4107" max="4107" width="22.140625" customWidth="1"/>
    <col min="4108" max="4108" width="11.85546875" customWidth="1"/>
    <col min="4114" max="4114" width="2.28515625" customWidth="1"/>
    <col min="4115" max="4115" width="3.5703125" customWidth="1"/>
    <col min="4116" max="4116" width="4.28515625" customWidth="1"/>
    <col min="4354" max="4354" width="17.7109375" customWidth="1"/>
    <col min="4362" max="4362" width="23.42578125" customWidth="1"/>
    <col min="4363" max="4363" width="22.140625" customWidth="1"/>
    <col min="4364" max="4364" width="11.85546875" customWidth="1"/>
    <col min="4370" max="4370" width="2.28515625" customWidth="1"/>
    <col min="4371" max="4371" width="3.5703125" customWidth="1"/>
    <col min="4372" max="4372" width="4.28515625" customWidth="1"/>
    <col min="4610" max="4610" width="17.7109375" customWidth="1"/>
    <col min="4618" max="4618" width="23.42578125" customWidth="1"/>
    <col min="4619" max="4619" width="22.140625" customWidth="1"/>
    <col min="4620" max="4620" width="11.85546875" customWidth="1"/>
    <col min="4626" max="4626" width="2.28515625" customWidth="1"/>
    <col min="4627" max="4627" width="3.5703125" customWidth="1"/>
    <col min="4628" max="4628" width="4.28515625" customWidth="1"/>
    <col min="4866" max="4866" width="17.7109375" customWidth="1"/>
    <col min="4874" max="4874" width="23.42578125" customWidth="1"/>
    <col min="4875" max="4875" width="22.140625" customWidth="1"/>
    <col min="4876" max="4876" width="11.85546875" customWidth="1"/>
    <col min="4882" max="4882" width="2.28515625" customWidth="1"/>
    <col min="4883" max="4883" width="3.5703125" customWidth="1"/>
    <col min="4884" max="4884" width="4.28515625" customWidth="1"/>
    <col min="5122" max="5122" width="17.7109375" customWidth="1"/>
    <col min="5130" max="5130" width="23.42578125" customWidth="1"/>
    <col min="5131" max="5131" width="22.140625" customWidth="1"/>
    <col min="5132" max="5132" width="11.85546875" customWidth="1"/>
    <col min="5138" max="5138" width="2.28515625" customWidth="1"/>
    <col min="5139" max="5139" width="3.5703125" customWidth="1"/>
    <col min="5140" max="5140" width="4.28515625" customWidth="1"/>
    <col min="5378" max="5378" width="17.7109375" customWidth="1"/>
    <col min="5386" max="5386" width="23.42578125" customWidth="1"/>
    <col min="5387" max="5387" width="22.140625" customWidth="1"/>
    <col min="5388" max="5388" width="11.85546875" customWidth="1"/>
    <col min="5394" max="5394" width="2.28515625" customWidth="1"/>
    <col min="5395" max="5395" width="3.5703125" customWidth="1"/>
    <col min="5396" max="5396" width="4.28515625" customWidth="1"/>
    <col min="5634" max="5634" width="17.7109375" customWidth="1"/>
    <col min="5642" max="5642" width="23.42578125" customWidth="1"/>
    <col min="5643" max="5643" width="22.140625" customWidth="1"/>
    <col min="5644" max="5644" width="11.85546875" customWidth="1"/>
    <col min="5650" max="5650" width="2.28515625" customWidth="1"/>
    <col min="5651" max="5651" width="3.5703125" customWidth="1"/>
    <col min="5652" max="5652" width="4.28515625" customWidth="1"/>
    <col min="5890" max="5890" width="17.7109375" customWidth="1"/>
    <col min="5898" max="5898" width="23.42578125" customWidth="1"/>
    <col min="5899" max="5899" width="22.140625" customWidth="1"/>
    <col min="5900" max="5900" width="11.85546875" customWidth="1"/>
    <col min="5906" max="5906" width="2.28515625" customWidth="1"/>
    <col min="5907" max="5907" width="3.5703125" customWidth="1"/>
    <col min="5908" max="5908" width="4.28515625" customWidth="1"/>
    <col min="6146" max="6146" width="17.7109375" customWidth="1"/>
    <col min="6154" max="6154" width="23.42578125" customWidth="1"/>
    <col min="6155" max="6155" width="22.140625" customWidth="1"/>
    <col min="6156" max="6156" width="11.85546875" customWidth="1"/>
    <col min="6162" max="6162" width="2.28515625" customWidth="1"/>
    <col min="6163" max="6163" width="3.5703125" customWidth="1"/>
    <col min="6164" max="6164" width="4.28515625" customWidth="1"/>
    <col min="6402" max="6402" width="17.7109375" customWidth="1"/>
    <col min="6410" max="6410" width="23.42578125" customWidth="1"/>
    <col min="6411" max="6411" width="22.140625" customWidth="1"/>
    <col min="6412" max="6412" width="11.85546875" customWidth="1"/>
    <col min="6418" max="6418" width="2.28515625" customWidth="1"/>
    <col min="6419" max="6419" width="3.5703125" customWidth="1"/>
    <col min="6420" max="6420" width="4.28515625" customWidth="1"/>
    <col min="6658" max="6658" width="17.7109375" customWidth="1"/>
    <col min="6666" max="6666" width="23.42578125" customWidth="1"/>
    <col min="6667" max="6667" width="22.140625" customWidth="1"/>
    <col min="6668" max="6668" width="11.85546875" customWidth="1"/>
    <col min="6674" max="6674" width="2.28515625" customWidth="1"/>
    <col min="6675" max="6675" width="3.5703125" customWidth="1"/>
    <col min="6676" max="6676" width="4.28515625" customWidth="1"/>
    <col min="6914" max="6914" width="17.7109375" customWidth="1"/>
    <col min="6922" max="6922" width="23.42578125" customWidth="1"/>
    <col min="6923" max="6923" width="22.140625" customWidth="1"/>
    <col min="6924" max="6924" width="11.85546875" customWidth="1"/>
    <col min="6930" max="6930" width="2.28515625" customWidth="1"/>
    <col min="6931" max="6931" width="3.5703125" customWidth="1"/>
    <col min="6932" max="6932" width="4.28515625" customWidth="1"/>
    <col min="7170" max="7170" width="17.7109375" customWidth="1"/>
    <col min="7178" max="7178" width="23.42578125" customWidth="1"/>
    <col min="7179" max="7179" width="22.140625" customWidth="1"/>
    <col min="7180" max="7180" width="11.85546875" customWidth="1"/>
    <col min="7186" max="7186" width="2.28515625" customWidth="1"/>
    <col min="7187" max="7187" width="3.5703125" customWidth="1"/>
    <col min="7188" max="7188" width="4.28515625" customWidth="1"/>
    <col min="7426" max="7426" width="17.7109375" customWidth="1"/>
    <col min="7434" max="7434" width="23.42578125" customWidth="1"/>
    <col min="7435" max="7435" width="22.140625" customWidth="1"/>
    <col min="7436" max="7436" width="11.85546875" customWidth="1"/>
    <col min="7442" max="7442" width="2.28515625" customWidth="1"/>
    <col min="7443" max="7443" width="3.5703125" customWidth="1"/>
    <col min="7444" max="7444" width="4.28515625" customWidth="1"/>
    <col min="7682" max="7682" width="17.7109375" customWidth="1"/>
    <col min="7690" max="7690" width="23.42578125" customWidth="1"/>
    <col min="7691" max="7691" width="22.140625" customWidth="1"/>
    <col min="7692" max="7692" width="11.85546875" customWidth="1"/>
    <col min="7698" max="7698" width="2.28515625" customWidth="1"/>
    <col min="7699" max="7699" width="3.5703125" customWidth="1"/>
    <col min="7700" max="7700" width="4.28515625" customWidth="1"/>
    <col min="7938" max="7938" width="17.7109375" customWidth="1"/>
    <col min="7946" max="7946" width="23.42578125" customWidth="1"/>
    <col min="7947" max="7947" width="22.140625" customWidth="1"/>
    <col min="7948" max="7948" width="11.85546875" customWidth="1"/>
    <col min="7954" max="7954" width="2.28515625" customWidth="1"/>
    <col min="7955" max="7955" width="3.5703125" customWidth="1"/>
    <col min="7956" max="7956" width="4.28515625" customWidth="1"/>
    <col min="8194" max="8194" width="17.7109375" customWidth="1"/>
    <col min="8202" max="8202" width="23.42578125" customWidth="1"/>
    <col min="8203" max="8203" width="22.140625" customWidth="1"/>
    <col min="8204" max="8204" width="11.85546875" customWidth="1"/>
    <col min="8210" max="8210" width="2.28515625" customWidth="1"/>
    <col min="8211" max="8211" width="3.5703125" customWidth="1"/>
    <col min="8212" max="8212" width="4.28515625" customWidth="1"/>
    <col min="8450" max="8450" width="17.7109375" customWidth="1"/>
    <col min="8458" max="8458" width="23.42578125" customWidth="1"/>
    <col min="8459" max="8459" width="22.140625" customWidth="1"/>
    <col min="8460" max="8460" width="11.85546875" customWidth="1"/>
    <col min="8466" max="8466" width="2.28515625" customWidth="1"/>
    <col min="8467" max="8467" width="3.5703125" customWidth="1"/>
    <col min="8468" max="8468" width="4.28515625" customWidth="1"/>
    <col min="8706" max="8706" width="17.7109375" customWidth="1"/>
    <col min="8714" max="8714" width="23.42578125" customWidth="1"/>
    <col min="8715" max="8715" width="22.140625" customWidth="1"/>
    <col min="8716" max="8716" width="11.85546875" customWidth="1"/>
    <col min="8722" max="8722" width="2.28515625" customWidth="1"/>
    <col min="8723" max="8723" width="3.5703125" customWidth="1"/>
    <col min="8724" max="8724" width="4.28515625" customWidth="1"/>
    <col min="8962" max="8962" width="17.7109375" customWidth="1"/>
    <col min="8970" max="8970" width="23.42578125" customWidth="1"/>
    <col min="8971" max="8971" width="22.140625" customWidth="1"/>
    <col min="8972" max="8972" width="11.85546875" customWidth="1"/>
    <col min="8978" max="8978" width="2.28515625" customWidth="1"/>
    <col min="8979" max="8979" width="3.5703125" customWidth="1"/>
    <col min="8980" max="8980" width="4.28515625" customWidth="1"/>
    <col min="9218" max="9218" width="17.7109375" customWidth="1"/>
    <col min="9226" max="9226" width="23.42578125" customWidth="1"/>
    <col min="9227" max="9227" width="22.140625" customWidth="1"/>
    <col min="9228" max="9228" width="11.85546875" customWidth="1"/>
    <col min="9234" max="9234" width="2.28515625" customWidth="1"/>
    <col min="9235" max="9235" width="3.5703125" customWidth="1"/>
    <col min="9236" max="9236" width="4.28515625" customWidth="1"/>
    <col min="9474" max="9474" width="17.7109375" customWidth="1"/>
    <col min="9482" max="9482" width="23.42578125" customWidth="1"/>
    <col min="9483" max="9483" width="22.140625" customWidth="1"/>
    <col min="9484" max="9484" width="11.85546875" customWidth="1"/>
    <col min="9490" max="9490" width="2.28515625" customWidth="1"/>
    <col min="9491" max="9491" width="3.5703125" customWidth="1"/>
    <col min="9492" max="9492" width="4.28515625" customWidth="1"/>
    <col min="9730" max="9730" width="17.7109375" customWidth="1"/>
    <col min="9738" max="9738" width="23.42578125" customWidth="1"/>
    <col min="9739" max="9739" width="22.140625" customWidth="1"/>
    <col min="9740" max="9740" width="11.85546875" customWidth="1"/>
    <col min="9746" max="9746" width="2.28515625" customWidth="1"/>
    <col min="9747" max="9747" width="3.5703125" customWidth="1"/>
    <col min="9748" max="9748" width="4.28515625" customWidth="1"/>
    <col min="9986" max="9986" width="17.7109375" customWidth="1"/>
    <col min="9994" max="9994" width="23.42578125" customWidth="1"/>
    <col min="9995" max="9995" width="22.140625" customWidth="1"/>
    <col min="9996" max="9996" width="11.85546875" customWidth="1"/>
    <col min="10002" max="10002" width="2.28515625" customWidth="1"/>
    <col min="10003" max="10003" width="3.5703125" customWidth="1"/>
    <col min="10004" max="10004" width="4.28515625" customWidth="1"/>
    <col min="10242" max="10242" width="17.7109375" customWidth="1"/>
    <col min="10250" max="10250" width="23.42578125" customWidth="1"/>
    <col min="10251" max="10251" width="22.140625" customWidth="1"/>
    <col min="10252" max="10252" width="11.85546875" customWidth="1"/>
    <col min="10258" max="10258" width="2.28515625" customWidth="1"/>
    <col min="10259" max="10259" width="3.5703125" customWidth="1"/>
    <col min="10260" max="10260" width="4.28515625" customWidth="1"/>
    <col min="10498" max="10498" width="17.7109375" customWidth="1"/>
    <col min="10506" max="10506" width="23.42578125" customWidth="1"/>
    <col min="10507" max="10507" width="22.140625" customWidth="1"/>
    <col min="10508" max="10508" width="11.85546875" customWidth="1"/>
    <col min="10514" max="10514" width="2.28515625" customWidth="1"/>
    <col min="10515" max="10515" width="3.5703125" customWidth="1"/>
    <col min="10516" max="10516" width="4.28515625" customWidth="1"/>
    <col min="10754" max="10754" width="17.7109375" customWidth="1"/>
    <col min="10762" max="10762" width="23.42578125" customWidth="1"/>
    <col min="10763" max="10763" width="22.140625" customWidth="1"/>
    <col min="10764" max="10764" width="11.85546875" customWidth="1"/>
    <col min="10770" max="10770" width="2.28515625" customWidth="1"/>
    <col min="10771" max="10771" width="3.5703125" customWidth="1"/>
    <col min="10772" max="10772" width="4.28515625" customWidth="1"/>
    <col min="11010" max="11010" width="17.7109375" customWidth="1"/>
    <col min="11018" max="11018" width="23.42578125" customWidth="1"/>
    <col min="11019" max="11019" width="22.140625" customWidth="1"/>
    <col min="11020" max="11020" width="11.85546875" customWidth="1"/>
    <col min="11026" max="11026" width="2.28515625" customWidth="1"/>
    <col min="11027" max="11027" width="3.5703125" customWidth="1"/>
    <col min="11028" max="11028" width="4.28515625" customWidth="1"/>
    <col min="11266" max="11266" width="17.7109375" customWidth="1"/>
    <col min="11274" max="11274" width="23.42578125" customWidth="1"/>
    <col min="11275" max="11275" width="22.140625" customWidth="1"/>
    <col min="11276" max="11276" width="11.85546875" customWidth="1"/>
    <col min="11282" max="11282" width="2.28515625" customWidth="1"/>
    <col min="11283" max="11283" width="3.5703125" customWidth="1"/>
    <col min="11284" max="11284" width="4.28515625" customWidth="1"/>
    <col min="11522" max="11522" width="17.7109375" customWidth="1"/>
    <col min="11530" max="11530" width="23.42578125" customWidth="1"/>
    <col min="11531" max="11531" width="22.140625" customWidth="1"/>
    <col min="11532" max="11532" width="11.85546875" customWidth="1"/>
    <col min="11538" max="11538" width="2.28515625" customWidth="1"/>
    <col min="11539" max="11539" width="3.5703125" customWidth="1"/>
    <col min="11540" max="11540" width="4.28515625" customWidth="1"/>
    <col min="11778" max="11778" width="17.7109375" customWidth="1"/>
    <col min="11786" max="11786" width="23.42578125" customWidth="1"/>
    <col min="11787" max="11787" width="22.140625" customWidth="1"/>
    <col min="11788" max="11788" width="11.85546875" customWidth="1"/>
    <col min="11794" max="11794" width="2.28515625" customWidth="1"/>
    <col min="11795" max="11795" width="3.5703125" customWidth="1"/>
    <col min="11796" max="11796" width="4.28515625" customWidth="1"/>
    <col min="12034" max="12034" width="17.7109375" customWidth="1"/>
    <col min="12042" max="12042" width="23.42578125" customWidth="1"/>
    <col min="12043" max="12043" width="22.140625" customWidth="1"/>
    <col min="12044" max="12044" width="11.85546875" customWidth="1"/>
    <col min="12050" max="12050" width="2.28515625" customWidth="1"/>
    <col min="12051" max="12051" width="3.5703125" customWidth="1"/>
    <col min="12052" max="12052" width="4.28515625" customWidth="1"/>
    <col min="12290" max="12290" width="17.7109375" customWidth="1"/>
    <col min="12298" max="12298" width="23.42578125" customWidth="1"/>
    <col min="12299" max="12299" width="22.140625" customWidth="1"/>
    <col min="12300" max="12300" width="11.85546875" customWidth="1"/>
    <col min="12306" max="12306" width="2.28515625" customWidth="1"/>
    <col min="12307" max="12307" width="3.5703125" customWidth="1"/>
    <col min="12308" max="12308" width="4.28515625" customWidth="1"/>
    <col min="12546" max="12546" width="17.7109375" customWidth="1"/>
    <col min="12554" max="12554" width="23.42578125" customWidth="1"/>
    <col min="12555" max="12555" width="22.140625" customWidth="1"/>
    <col min="12556" max="12556" width="11.85546875" customWidth="1"/>
    <col min="12562" max="12562" width="2.28515625" customWidth="1"/>
    <col min="12563" max="12563" width="3.5703125" customWidth="1"/>
    <col min="12564" max="12564" width="4.28515625" customWidth="1"/>
    <col min="12802" max="12802" width="17.7109375" customWidth="1"/>
    <col min="12810" max="12810" width="23.42578125" customWidth="1"/>
    <col min="12811" max="12811" width="22.140625" customWidth="1"/>
    <col min="12812" max="12812" width="11.85546875" customWidth="1"/>
    <col min="12818" max="12818" width="2.28515625" customWidth="1"/>
    <col min="12819" max="12819" width="3.5703125" customWidth="1"/>
    <col min="12820" max="12820" width="4.28515625" customWidth="1"/>
    <col min="13058" max="13058" width="17.7109375" customWidth="1"/>
    <col min="13066" max="13066" width="23.42578125" customWidth="1"/>
    <col min="13067" max="13067" width="22.140625" customWidth="1"/>
    <col min="13068" max="13068" width="11.85546875" customWidth="1"/>
    <col min="13074" max="13074" width="2.28515625" customWidth="1"/>
    <col min="13075" max="13075" width="3.5703125" customWidth="1"/>
    <col min="13076" max="13076" width="4.28515625" customWidth="1"/>
    <col min="13314" max="13314" width="17.7109375" customWidth="1"/>
    <col min="13322" max="13322" width="23.42578125" customWidth="1"/>
    <col min="13323" max="13323" width="22.140625" customWidth="1"/>
    <col min="13324" max="13324" width="11.85546875" customWidth="1"/>
    <col min="13330" max="13330" width="2.28515625" customWidth="1"/>
    <col min="13331" max="13331" width="3.5703125" customWidth="1"/>
    <col min="13332" max="13332" width="4.28515625" customWidth="1"/>
    <col min="13570" max="13570" width="17.7109375" customWidth="1"/>
    <col min="13578" max="13578" width="23.42578125" customWidth="1"/>
    <col min="13579" max="13579" width="22.140625" customWidth="1"/>
    <col min="13580" max="13580" width="11.85546875" customWidth="1"/>
    <col min="13586" max="13586" width="2.28515625" customWidth="1"/>
    <col min="13587" max="13587" width="3.5703125" customWidth="1"/>
    <col min="13588" max="13588" width="4.28515625" customWidth="1"/>
    <col min="13826" max="13826" width="17.7109375" customWidth="1"/>
    <col min="13834" max="13834" width="23.42578125" customWidth="1"/>
    <col min="13835" max="13835" width="22.140625" customWidth="1"/>
    <col min="13836" max="13836" width="11.85546875" customWidth="1"/>
    <col min="13842" max="13842" width="2.28515625" customWidth="1"/>
    <col min="13843" max="13843" width="3.5703125" customWidth="1"/>
    <col min="13844" max="13844" width="4.28515625" customWidth="1"/>
    <col min="14082" max="14082" width="17.7109375" customWidth="1"/>
    <col min="14090" max="14090" width="23.42578125" customWidth="1"/>
    <col min="14091" max="14091" width="22.140625" customWidth="1"/>
    <col min="14092" max="14092" width="11.85546875" customWidth="1"/>
    <col min="14098" max="14098" width="2.28515625" customWidth="1"/>
    <col min="14099" max="14099" width="3.5703125" customWidth="1"/>
    <col min="14100" max="14100" width="4.28515625" customWidth="1"/>
    <col min="14338" max="14338" width="17.7109375" customWidth="1"/>
    <col min="14346" max="14346" width="23.42578125" customWidth="1"/>
    <col min="14347" max="14347" width="22.140625" customWidth="1"/>
    <col min="14348" max="14348" width="11.85546875" customWidth="1"/>
    <col min="14354" max="14354" width="2.28515625" customWidth="1"/>
    <col min="14355" max="14355" width="3.5703125" customWidth="1"/>
    <col min="14356" max="14356" width="4.28515625" customWidth="1"/>
    <col min="14594" max="14594" width="17.7109375" customWidth="1"/>
    <col min="14602" max="14602" width="23.42578125" customWidth="1"/>
    <col min="14603" max="14603" width="22.140625" customWidth="1"/>
    <col min="14604" max="14604" width="11.85546875" customWidth="1"/>
    <col min="14610" max="14610" width="2.28515625" customWidth="1"/>
    <col min="14611" max="14611" width="3.5703125" customWidth="1"/>
    <col min="14612" max="14612" width="4.28515625" customWidth="1"/>
    <col min="14850" max="14850" width="17.7109375" customWidth="1"/>
    <col min="14858" max="14858" width="23.42578125" customWidth="1"/>
    <col min="14859" max="14859" width="22.140625" customWidth="1"/>
    <col min="14860" max="14860" width="11.85546875" customWidth="1"/>
    <col min="14866" max="14866" width="2.28515625" customWidth="1"/>
    <col min="14867" max="14867" width="3.5703125" customWidth="1"/>
    <col min="14868" max="14868" width="4.28515625" customWidth="1"/>
    <col min="15106" max="15106" width="17.7109375" customWidth="1"/>
    <col min="15114" max="15114" width="23.42578125" customWidth="1"/>
    <col min="15115" max="15115" width="22.140625" customWidth="1"/>
    <col min="15116" max="15116" width="11.85546875" customWidth="1"/>
    <col min="15122" max="15122" width="2.28515625" customWidth="1"/>
    <col min="15123" max="15123" width="3.5703125" customWidth="1"/>
    <col min="15124" max="15124" width="4.28515625" customWidth="1"/>
    <col min="15362" max="15362" width="17.7109375" customWidth="1"/>
    <col min="15370" max="15370" width="23.42578125" customWidth="1"/>
    <col min="15371" max="15371" width="22.140625" customWidth="1"/>
    <col min="15372" max="15372" width="11.85546875" customWidth="1"/>
    <col min="15378" max="15378" width="2.28515625" customWidth="1"/>
    <col min="15379" max="15379" width="3.5703125" customWidth="1"/>
    <col min="15380" max="15380" width="4.28515625" customWidth="1"/>
    <col min="15618" max="15618" width="17.7109375" customWidth="1"/>
    <col min="15626" max="15626" width="23.42578125" customWidth="1"/>
    <col min="15627" max="15627" width="22.140625" customWidth="1"/>
    <col min="15628" max="15628" width="11.85546875" customWidth="1"/>
    <col min="15634" max="15634" width="2.28515625" customWidth="1"/>
    <col min="15635" max="15635" width="3.5703125" customWidth="1"/>
    <col min="15636" max="15636" width="4.28515625" customWidth="1"/>
    <col min="15874" max="15874" width="17.7109375" customWidth="1"/>
    <col min="15882" max="15882" width="23.42578125" customWidth="1"/>
    <col min="15883" max="15883" width="22.140625" customWidth="1"/>
    <col min="15884" max="15884" width="11.85546875" customWidth="1"/>
    <col min="15890" max="15890" width="2.28515625" customWidth="1"/>
    <col min="15891" max="15891" width="3.5703125" customWidth="1"/>
    <col min="15892" max="15892" width="4.28515625" customWidth="1"/>
    <col min="16130" max="16130" width="17.7109375" customWidth="1"/>
    <col min="16138" max="16138" width="23.42578125" customWidth="1"/>
    <col min="16139" max="16139" width="22.140625" customWidth="1"/>
    <col min="16140" max="16140" width="11.85546875" customWidth="1"/>
    <col min="16146" max="16146" width="2.28515625" customWidth="1"/>
    <col min="16147" max="16147" width="3.5703125" customWidth="1"/>
    <col min="16148" max="16148" width="4.28515625" customWidth="1"/>
  </cols>
  <sheetData>
    <row r="1" spans="1:20">
      <c r="A1" s="3619"/>
      <c r="B1" s="1580"/>
      <c r="C1" s="3620"/>
      <c r="D1" s="3621"/>
      <c r="E1" s="1580"/>
      <c r="F1" s="1580"/>
      <c r="G1" s="1580"/>
      <c r="H1" s="1580"/>
      <c r="I1" s="1580"/>
      <c r="J1" s="1580"/>
      <c r="K1" s="1580"/>
      <c r="L1" s="3622"/>
      <c r="M1" s="1580"/>
      <c r="N1" s="1580"/>
    </row>
    <row r="2" spans="1:20">
      <c r="A2" s="3623" t="s">
        <v>5432</v>
      </c>
      <c r="B2" s="3623"/>
      <c r="C2" s="3623"/>
      <c r="D2" s="3623"/>
      <c r="E2" s="3623"/>
      <c r="F2" s="3623"/>
      <c r="G2" s="3623"/>
      <c r="H2" s="3623"/>
      <c r="I2" s="3623"/>
      <c r="J2" s="3623"/>
      <c r="K2" s="3623"/>
      <c r="L2" s="3623"/>
      <c r="M2" s="3623"/>
      <c r="N2" s="3623"/>
    </row>
    <row r="3" spans="1:20">
      <c r="A3" s="3619"/>
      <c r="B3" s="1580"/>
      <c r="C3" s="3620"/>
      <c r="D3" s="3621"/>
      <c r="E3" s="1580"/>
      <c r="F3" s="1580"/>
      <c r="G3" s="1580"/>
      <c r="H3" s="1580"/>
      <c r="I3" s="1580"/>
      <c r="J3" s="1580"/>
      <c r="K3" s="1580"/>
      <c r="L3" s="3622"/>
      <c r="M3" s="1580"/>
      <c r="N3" s="1580"/>
      <c r="P3" s="1913"/>
    </row>
    <row r="4" spans="1:20" ht="40.5" customHeight="1">
      <c r="A4" s="3015" t="s">
        <v>439</v>
      </c>
      <c r="B4" s="3015" t="s">
        <v>5335</v>
      </c>
      <c r="C4" s="3015" t="s">
        <v>5336</v>
      </c>
      <c r="D4" s="3015" t="s">
        <v>5337</v>
      </c>
      <c r="E4" s="3015" t="s">
        <v>5338</v>
      </c>
      <c r="F4" s="3015"/>
      <c r="G4" s="3015"/>
      <c r="H4" s="3624" t="s">
        <v>5339</v>
      </c>
      <c r="I4" s="3624" t="s">
        <v>5340</v>
      </c>
      <c r="J4" s="3624" t="s">
        <v>5341</v>
      </c>
      <c r="K4" s="3624" t="s">
        <v>5342</v>
      </c>
      <c r="L4" s="3625" t="s">
        <v>5343</v>
      </c>
      <c r="M4" s="3624" t="s">
        <v>5344</v>
      </c>
      <c r="N4" s="3624" t="s">
        <v>5345</v>
      </c>
      <c r="O4" s="118"/>
      <c r="P4" s="118"/>
      <c r="Q4" s="2"/>
      <c r="R4" s="2"/>
      <c r="S4" s="2"/>
      <c r="T4" s="2"/>
    </row>
    <row r="5" spans="1:20" ht="40.5" customHeight="1">
      <c r="A5" s="3015"/>
      <c r="B5" s="3015"/>
      <c r="C5" s="3015"/>
      <c r="D5" s="3015"/>
      <c r="E5" s="1926" t="s">
        <v>5346</v>
      </c>
      <c r="F5" s="3624" t="s">
        <v>5422</v>
      </c>
      <c r="G5" s="3624"/>
      <c r="H5" s="3624"/>
      <c r="I5" s="3624"/>
      <c r="J5" s="3624"/>
      <c r="K5" s="3624"/>
      <c r="L5" s="3625"/>
      <c r="M5" s="3624"/>
      <c r="N5" s="3624"/>
      <c r="O5" s="118"/>
      <c r="P5" s="118"/>
      <c r="Q5" s="2"/>
      <c r="R5" s="2"/>
      <c r="S5" s="2"/>
      <c r="T5" s="2"/>
    </row>
    <row r="6" spans="1:20" ht="40.5" customHeight="1">
      <c r="A6" s="3015"/>
      <c r="B6" s="3015"/>
      <c r="C6" s="3015"/>
      <c r="D6" s="3015"/>
      <c r="E6" s="1926" t="s">
        <v>5347</v>
      </c>
      <c r="F6" s="1926" t="s">
        <v>5348</v>
      </c>
      <c r="G6" s="1926" t="s">
        <v>5347</v>
      </c>
      <c r="H6" s="3624"/>
      <c r="I6" s="3624"/>
      <c r="J6" s="3624"/>
      <c r="K6" s="3624"/>
      <c r="L6" s="3625"/>
      <c r="M6" s="3624"/>
      <c r="N6" s="3624"/>
      <c r="O6" s="118"/>
      <c r="P6" s="118"/>
      <c r="Q6" s="2"/>
      <c r="R6" s="2"/>
      <c r="S6" s="2"/>
      <c r="T6" s="2"/>
    </row>
    <row r="7" spans="1:20">
      <c r="A7" s="3626"/>
      <c r="B7" s="3627" t="s">
        <v>5349</v>
      </c>
      <c r="C7" s="3628"/>
      <c r="D7" s="3628"/>
      <c r="E7" s="3628"/>
      <c r="F7" s="3629"/>
      <c r="G7" s="3628"/>
      <c r="H7" s="3628"/>
      <c r="I7" s="3628"/>
      <c r="J7" s="3628"/>
      <c r="K7" s="3630"/>
      <c r="L7" s="3631"/>
      <c r="M7" s="3632">
        <f>AVERAGE(M8:M9,M11:M16,M18:M21,M23:M26)</f>
        <v>0.93577500000000002</v>
      </c>
      <c r="N7" s="3632">
        <f>AVERAGE(N8:N9,N11:N16,N18:N21,N23:N26)</f>
        <v>1.0094361321904584</v>
      </c>
      <c r="O7" s="1911"/>
      <c r="P7" s="1911"/>
      <c r="Q7" s="2"/>
      <c r="R7" s="2"/>
      <c r="S7" s="2"/>
      <c r="T7" s="2"/>
    </row>
    <row r="8" spans="1:20" ht="75" customHeight="1">
      <c r="A8" s="3626" t="s">
        <v>5350</v>
      </c>
      <c r="B8" s="3633" t="s">
        <v>5351</v>
      </c>
      <c r="C8" s="1926" t="s">
        <v>5352</v>
      </c>
      <c r="D8" s="3634"/>
      <c r="E8" s="3635">
        <v>52</v>
      </c>
      <c r="F8" s="1925">
        <v>52.9</v>
      </c>
      <c r="G8" s="3635">
        <v>57.2</v>
      </c>
      <c r="H8" s="3636">
        <f>G8/F8</f>
        <v>1.0812854442344046</v>
      </c>
      <c r="I8" s="3636">
        <f>G8/E8</f>
        <v>1.1000000000000001</v>
      </c>
      <c r="J8" s="3634" t="s">
        <v>5353</v>
      </c>
      <c r="K8" s="3634"/>
      <c r="L8" s="3631" t="s">
        <v>3228</v>
      </c>
      <c r="M8" s="3637">
        <v>1</v>
      </c>
      <c r="N8" s="3637">
        <f>I8</f>
        <v>1.1000000000000001</v>
      </c>
      <c r="O8" s="1912"/>
      <c r="P8" s="1912"/>
      <c r="Q8" s="2"/>
      <c r="R8" s="2"/>
      <c r="S8" s="2"/>
      <c r="T8" s="2"/>
    </row>
    <row r="9" spans="1:20" ht="33.75">
      <c r="A9" s="3626" t="s">
        <v>5354</v>
      </c>
      <c r="B9" s="3634" t="s">
        <v>5355</v>
      </c>
      <c r="C9" s="3634" t="s">
        <v>5356</v>
      </c>
      <c r="D9" s="3634"/>
      <c r="E9" s="3638">
        <v>244.1</v>
      </c>
      <c r="F9" s="1925">
        <v>172</v>
      </c>
      <c r="G9" s="3638">
        <v>279.3</v>
      </c>
      <c r="H9" s="3636">
        <f>G9/F9</f>
        <v>1.6238372093023257</v>
      </c>
      <c r="I9" s="3636">
        <f>G9/E9</f>
        <v>1.1442031954117167</v>
      </c>
      <c r="J9" s="3634"/>
      <c r="K9" s="3634"/>
      <c r="L9" s="3631" t="s">
        <v>3228</v>
      </c>
      <c r="M9" s="3637">
        <v>1</v>
      </c>
      <c r="N9" s="3637">
        <f>I9</f>
        <v>1.1442031954117167</v>
      </c>
      <c r="O9" s="2"/>
      <c r="P9" s="2"/>
      <c r="Q9" s="2"/>
      <c r="R9" s="2"/>
      <c r="S9" s="2"/>
      <c r="T9" s="2"/>
    </row>
    <row r="10" spans="1:20">
      <c r="A10" s="3626">
        <v>1</v>
      </c>
      <c r="B10" s="3639" t="s">
        <v>5357</v>
      </c>
      <c r="C10" s="3640"/>
      <c r="D10" s="3640"/>
      <c r="E10" s="3641"/>
      <c r="F10" s="3641"/>
      <c r="G10" s="3640"/>
      <c r="H10" s="3640"/>
      <c r="I10" s="3640"/>
      <c r="J10" s="3640"/>
      <c r="K10" s="3642"/>
      <c r="L10" s="3631"/>
      <c r="M10" s="3637">
        <f>(M11+M12+M13+M16)/4</f>
        <v>1</v>
      </c>
      <c r="N10" s="3637">
        <f>(N11+N12+N13+N14)/4</f>
        <v>1.10496641205024</v>
      </c>
      <c r="O10" s="1911"/>
      <c r="P10" s="1911"/>
      <c r="Q10" s="2"/>
      <c r="R10" s="2"/>
      <c r="S10" s="2"/>
      <c r="T10" s="2"/>
    </row>
    <row r="11" spans="1:20" ht="99" customHeight="1">
      <c r="A11" s="3643" t="s">
        <v>172</v>
      </c>
      <c r="B11" s="3634" t="s">
        <v>5423</v>
      </c>
      <c r="C11" s="1926" t="s">
        <v>5352</v>
      </c>
      <c r="D11" s="1926"/>
      <c r="E11" s="3644">
        <v>90.7</v>
      </c>
      <c r="F11" s="1925">
        <v>92.1</v>
      </c>
      <c r="G11" s="3644">
        <v>92.3</v>
      </c>
      <c r="H11" s="3637">
        <f t="shared" ref="H11:H16" si="0">G11/F11</f>
        <v>1.002171552660152</v>
      </c>
      <c r="I11" s="3637">
        <f>G11/E11</f>
        <v>1.0176405733186329</v>
      </c>
      <c r="J11" s="3634" t="s">
        <v>5358</v>
      </c>
      <c r="K11" s="3634"/>
      <c r="L11" s="3631" t="s">
        <v>3228</v>
      </c>
      <c r="M11" s="3637">
        <v>1</v>
      </c>
      <c r="N11" s="3637">
        <f t="shared" ref="N11:N15" si="1">I11</f>
        <v>1.0176405733186329</v>
      </c>
      <c r="O11" s="2"/>
      <c r="P11" s="2"/>
      <c r="Q11" s="2"/>
      <c r="R11" s="2"/>
      <c r="S11" s="2"/>
      <c r="T11" s="2"/>
    </row>
    <row r="12" spans="1:20" ht="117" customHeight="1">
      <c r="A12" s="3643" t="s">
        <v>173</v>
      </c>
      <c r="B12" s="3645" t="s">
        <v>5463</v>
      </c>
      <c r="C12" s="1926" t="s">
        <v>5352</v>
      </c>
      <c r="D12" s="1926"/>
      <c r="E12" s="3646">
        <v>36.6</v>
      </c>
      <c r="F12" s="1925">
        <v>45.8</v>
      </c>
      <c r="G12" s="3646">
        <v>48.6</v>
      </c>
      <c r="H12" s="3647">
        <f t="shared" si="0"/>
        <v>1.0611353711790394</v>
      </c>
      <c r="I12" s="3637">
        <f>G12/E12</f>
        <v>1.3278688524590163</v>
      </c>
      <c r="J12" s="3634" t="s">
        <v>5358</v>
      </c>
      <c r="K12" s="3634"/>
      <c r="L12" s="3631" t="s">
        <v>3228</v>
      </c>
      <c r="M12" s="3637">
        <v>1</v>
      </c>
      <c r="N12" s="3637">
        <v>1.25</v>
      </c>
      <c r="O12" s="2"/>
      <c r="P12" s="2"/>
      <c r="Q12" s="2"/>
      <c r="R12" s="2"/>
      <c r="S12" s="2"/>
      <c r="T12" s="2"/>
    </row>
    <row r="13" spans="1:20" ht="116.25" customHeight="1">
      <c r="A13" s="3643" t="s">
        <v>529</v>
      </c>
      <c r="B13" s="3633" t="s">
        <v>5424</v>
      </c>
      <c r="C13" s="1926" t="s">
        <v>5352</v>
      </c>
      <c r="D13" s="1926"/>
      <c r="E13" s="3648">
        <v>22.8</v>
      </c>
      <c r="F13" s="1925">
        <v>20.5</v>
      </c>
      <c r="G13" s="3648">
        <v>22.1</v>
      </c>
      <c r="H13" s="3637">
        <f t="shared" si="0"/>
        <v>1.0780487804878049</v>
      </c>
      <c r="I13" s="3637">
        <f>G13/E13</f>
        <v>0.9692982456140351</v>
      </c>
      <c r="J13" s="3634" t="s">
        <v>5358</v>
      </c>
      <c r="K13" s="3634"/>
      <c r="L13" s="3631" t="s">
        <v>3228</v>
      </c>
      <c r="M13" s="3637">
        <v>1</v>
      </c>
      <c r="N13" s="3637">
        <f t="shared" si="1"/>
        <v>0.9692982456140351</v>
      </c>
      <c r="O13" s="2"/>
      <c r="P13" s="2"/>
      <c r="Q13" s="2"/>
      <c r="R13" s="2"/>
      <c r="S13" s="2"/>
      <c r="T13" s="2"/>
    </row>
    <row r="14" spans="1:20" ht="69.75" customHeight="1">
      <c r="A14" s="3643" t="s">
        <v>530</v>
      </c>
      <c r="B14" s="3633" t="s">
        <v>5425</v>
      </c>
      <c r="C14" s="1926" t="s">
        <v>5352</v>
      </c>
      <c r="D14" s="1926"/>
      <c r="E14" s="3648">
        <v>49.2</v>
      </c>
      <c r="F14" s="1925">
        <v>51.3</v>
      </c>
      <c r="G14" s="3648">
        <v>58.2</v>
      </c>
      <c r="H14" s="3637">
        <f t="shared" si="0"/>
        <v>1.1345029239766082</v>
      </c>
      <c r="I14" s="3637">
        <f>G14/E14</f>
        <v>1.1829268292682926</v>
      </c>
      <c r="J14" s="3634" t="s">
        <v>5358</v>
      </c>
      <c r="K14" s="3634"/>
      <c r="L14" s="3631" t="s">
        <v>3228</v>
      </c>
      <c r="M14" s="3637">
        <v>1</v>
      </c>
      <c r="N14" s="3637">
        <f t="shared" si="1"/>
        <v>1.1829268292682926</v>
      </c>
      <c r="O14" s="2"/>
      <c r="P14" s="2"/>
      <c r="Q14" s="2"/>
      <c r="R14" s="2"/>
      <c r="S14" s="2"/>
      <c r="T14" s="2"/>
    </row>
    <row r="15" spans="1:20" ht="116.25" customHeight="1">
      <c r="A15" s="3643" t="s">
        <v>5427</v>
      </c>
      <c r="B15" s="3633" t="s">
        <v>5426</v>
      </c>
      <c r="C15" s="1926" t="s">
        <v>5352</v>
      </c>
      <c r="D15" s="1926"/>
      <c r="E15" s="3648" t="s">
        <v>2846</v>
      </c>
      <c r="F15" s="1925">
        <v>26</v>
      </c>
      <c r="G15" s="3648">
        <v>26.1</v>
      </c>
      <c r="H15" s="3637">
        <f t="shared" si="0"/>
        <v>1.0038461538461538</v>
      </c>
      <c r="I15" s="3649" t="s">
        <v>2846</v>
      </c>
      <c r="J15" s="3634" t="s">
        <v>5358</v>
      </c>
      <c r="K15" s="3634"/>
      <c r="L15" s="3631" t="s">
        <v>3228</v>
      </c>
      <c r="M15" s="3637">
        <v>1</v>
      </c>
      <c r="N15" s="3649" t="str">
        <f t="shared" si="1"/>
        <v>-</v>
      </c>
      <c r="O15" s="2"/>
      <c r="P15" s="2"/>
      <c r="Q15" s="2"/>
      <c r="R15" s="2"/>
      <c r="S15" s="2"/>
      <c r="T15" s="2"/>
    </row>
    <row r="16" spans="1:20" ht="90.75" customHeight="1">
      <c r="A16" s="3643" t="s">
        <v>5428</v>
      </c>
      <c r="B16" s="3634" t="s">
        <v>5429</v>
      </c>
      <c r="C16" s="1926" t="s">
        <v>5352</v>
      </c>
      <c r="D16" s="1926"/>
      <c r="E16" s="3638" t="s">
        <v>2846</v>
      </c>
      <c r="F16" s="1925">
        <v>44.2</v>
      </c>
      <c r="G16" s="3638">
        <v>47.6</v>
      </c>
      <c r="H16" s="3637">
        <f t="shared" si="0"/>
        <v>1.0769230769230769</v>
      </c>
      <c r="I16" s="3649" t="s">
        <v>2846</v>
      </c>
      <c r="J16" s="3634" t="s">
        <v>5358</v>
      </c>
      <c r="K16" s="3634"/>
      <c r="L16" s="3631" t="s">
        <v>3228</v>
      </c>
      <c r="M16" s="3637">
        <v>1</v>
      </c>
      <c r="N16" s="3649" t="s">
        <v>2846</v>
      </c>
      <c r="O16" s="2"/>
      <c r="P16" s="2"/>
      <c r="Q16" s="2"/>
      <c r="R16" s="2"/>
      <c r="S16" s="2"/>
      <c r="T16" s="2"/>
    </row>
    <row r="17" spans="1:20">
      <c r="A17" s="3626">
        <v>2</v>
      </c>
      <c r="B17" s="3639" t="s">
        <v>5359</v>
      </c>
      <c r="C17" s="3640"/>
      <c r="D17" s="3640"/>
      <c r="E17" s="3650"/>
      <c r="F17" s="3641"/>
      <c r="G17" s="3640"/>
      <c r="H17" s="3640"/>
      <c r="I17" s="3640"/>
      <c r="J17" s="3640"/>
      <c r="K17" s="3642"/>
      <c r="L17" s="3631"/>
      <c r="M17" s="3637">
        <f>(M18+M19+M20+M21)/4</f>
        <v>0.74309999999999998</v>
      </c>
      <c r="N17" s="3637">
        <f>SUM(N18+N20+N21)/3</f>
        <v>0.76663130826100934</v>
      </c>
      <c r="O17" s="3658" t="e">
        <f>AVERAGE(M18,M19,M20,M21,#REF!,#REF!,#REF!)</f>
        <v>#REF!</v>
      </c>
      <c r="P17" s="3658">
        <f>AVERAGE(N18:N21)</f>
        <v>0.76663130826100934</v>
      </c>
      <c r="Q17" s="2"/>
      <c r="R17" s="2"/>
      <c r="S17" s="2"/>
      <c r="T17" s="2"/>
    </row>
    <row r="18" spans="1:20" ht="72" customHeight="1">
      <c r="A18" s="3643" t="s">
        <v>174</v>
      </c>
      <c r="B18" s="3633" t="s">
        <v>5360</v>
      </c>
      <c r="C18" s="1926" t="s">
        <v>5361</v>
      </c>
      <c r="D18" s="1926"/>
      <c r="E18" s="3638">
        <v>85</v>
      </c>
      <c r="F18" s="1925">
        <v>82</v>
      </c>
      <c r="G18" s="3638">
        <v>92</v>
      </c>
      <c r="H18" s="3637">
        <f>G18/F18</f>
        <v>1.1219512195121952</v>
      </c>
      <c r="I18" s="3637">
        <f>G18/E18</f>
        <v>1.0823529411764705</v>
      </c>
      <c r="J18" s="3634" t="s">
        <v>5362</v>
      </c>
      <c r="K18" s="3634" t="s">
        <v>5363</v>
      </c>
      <c r="L18" s="3631" t="s">
        <v>3228</v>
      </c>
      <c r="M18" s="3637">
        <v>1</v>
      </c>
      <c r="N18" s="3637">
        <f t="shared" ref="N18:N23" si="2">I18</f>
        <v>1.0823529411764705</v>
      </c>
      <c r="O18" s="3448"/>
      <c r="P18" s="3449"/>
      <c r="Q18" s="3449"/>
      <c r="R18" s="3449"/>
      <c r="S18" s="3449"/>
      <c r="T18" s="3449"/>
    </row>
    <row r="19" spans="1:20" ht="162.75" customHeight="1">
      <c r="A19" s="3643" t="s">
        <v>175</v>
      </c>
      <c r="B19" s="3634" t="s">
        <v>5364</v>
      </c>
      <c r="C19" s="1926" t="s">
        <v>5352</v>
      </c>
      <c r="D19" s="1926" t="s">
        <v>5365</v>
      </c>
      <c r="E19" s="3651">
        <v>100</v>
      </c>
      <c r="F19" s="1925">
        <v>100</v>
      </c>
      <c r="G19" s="3651">
        <v>100</v>
      </c>
      <c r="H19" s="3637">
        <f>G19/F19</f>
        <v>1</v>
      </c>
      <c r="I19" s="3637">
        <f>G19/E19</f>
        <v>1</v>
      </c>
      <c r="J19" s="3634"/>
      <c r="K19" s="3634"/>
      <c r="L19" s="3631" t="s">
        <v>3228</v>
      </c>
      <c r="M19" s="3637">
        <v>1</v>
      </c>
      <c r="N19" s="3649" t="s">
        <v>2846</v>
      </c>
      <c r="O19" s="2"/>
      <c r="P19" s="2"/>
      <c r="Q19" s="2"/>
      <c r="R19" s="2"/>
      <c r="S19" s="2"/>
      <c r="T19" s="2"/>
    </row>
    <row r="20" spans="1:20" ht="78" customHeight="1">
      <c r="A20" s="3643" t="s">
        <v>176</v>
      </c>
      <c r="B20" s="3633" t="s">
        <v>5366</v>
      </c>
      <c r="C20" s="1926" t="s">
        <v>5352</v>
      </c>
      <c r="D20" s="1926"/>
      <c r="E20" s="3638">
        <v>30.5</v>
      </c>
      <c r="F20" s="1925">
        <v>39.799999999999997</v>
      </c>
      <c r="G20" s="3638">
        <v>16.7</v>
      </c>
      <c r="H20" s="3637">
        <f>G20/F20</f>
        <v>0.41959798994974873</v>
      </c>
      <c r="I20" s="3637">
        <f>G20/E20</f>
        <v>0.54754098360655734</v>
      </c>
      <c r="J20" s="3634" t="s">
        <v>5456</v>
      </c>
      <c r="K20" s="1926" t="s">
        <v>5462</v>
      </c>
      <c r="L20" s="3631" t="s">
        <v>3228</v>
      </c>
      <c r="M20" s="3637">
        <v>0.42</v>
      </c>
      <c r="N20" s="3637">
        <f t="shared" si="2"/>
        <v>0.54754098360655734</v>
      </c>
      <c r="O20" s="2"/>
      <c r="P20" s="2"/>
      <c r="Q20" s="2"/>
      <c r="R20" s="2"/>
      <c r="S20" s="2"/>
      <c r="T20" s="2"/>
    </row>
    <row r="21" spans="1:20" ht="78" customHeight="1">
      <c r="A21" s="3643" t="s">
        <v>579</v>
      </c>
      <c r="B21" s="3633" t="s">
        <v>5367</v>
      </c>
      <c r="C21" s="1926" t="s">
        <v>5352</v>
      </c>
      <c r="D21" s="1926"/>
      <c r="E21" s="3635">
        <v>43.3</v>
      </c>
      <c r="F21" s="1925">
        <v>52.5</v>
      </c>
      <c r="G21" s="3635">
        <v>29</v>
      </c>
      <c r="H21" s="3637">
        <f>G21/F21</f>
        <v>0.55238095238095242</v>
      </c>
      <c r="I21" s="3637">
        <f>G21/E21</f>
        <v>0.66974595842956119</v>
      </c>
      <c r="J21" s="3634" t="s">
        <v>5457</v>
      </c>
      <c r="K21" s="1926" t="s">
        <v>5462</v>
      </c>
      <c r="L21" s="3631" t="s">
        <v>3228</v>
      </c>
      <c r="M21" s="3637">
        <v>0.5524</v>
      </c>
      <c r="N21" s="3637">
        <v>0.67</v>
      </c>
      <c r="O21" s="2"/>
      <c r="P21" s="2"/>
      <c r="Q21" s="2"/>
      <c r="R21" s="2"/>
      <c r="S21" s="2"/>
      <c r="T21" s="2"/>
    </row>
    <row r="22" spans="1:20">
      <c r="A22" s="3626">
        <v>3</v>
      </c>
      <c r="B22" s="3652" t="s">
        <v>5368</v>
      </c>
      <c r="C22" s="3634"/>
      <c r="D22" s="3634"/>
      <c r="E22" s="3653"/>
      <c r="F22" s="3654"/>
      <c r="G22" s="3653"/>
      <c r="H22" s="1926" t="s">
        <v>2846</v>
      </c>
      <c r="I22" s="1926" t="s">
        <v>2846</v>
      </c>
      <c r="J22" s="3634"/>
      <c r="K22" s="3634"/>
      <c r="L22" s="3631"/>
      <c r="M22" s="3637">
        <f>(M23+M24+M25+M26)/4</f>
        <v>1</v>
      </c>
      <c r="N22" s="3637">
        <f>(N23+N24+N25)/3</f>
        <v>1.0497569392965982</v>
      </c>
      <c r="O22" s="1911">
        <f>AVERAGE(M23:M26)</f>
        <v>1</v>
      </c>
      <c r="P22" s="1911">
        <f>AVERAGE(N23:N26)</f>
        <v>1.0497569392965982</v>
      </c>
      <c r="Q22" s="2"/>
      <c r="R22" s="2"/>
      <c r="S22" s="2"/>
      <c r="T22" s="2"/>
    </row>
    <row r="23" spans="1:20" ht="59.25" customHeight="1">
      <c r="A23" s="3643" t="s">
        <v>177</v>
      </c>
      <c r="B23" s="3634" t="s">
        <v>5369</v>
      </c>
      <c r="C23" s="1926" t="s">
        <v>5352</v>
      </c>
      <c r="D23" s="1926"/>
      <c r="E23" s="3638">
        <v>49.7</v>
      </c>
      <c r="F23" s="1925">
        <v>55</v>
      </c>
      <c r="G23" s="3638">
        <v>59.5</v>
      </c>
      <c r="H23" s="3637">
        <f>G23/F23</f>
        <v>1.0818181818181818</v>
      </c>
      <c r="I23" s="3637">
        <f>G23/E23</f>
        <v>1.1971830985915493</v>
      </c>
      <c r="J23" s="3634"/>
      <c r="K23" s="3634"/>
      <c r="L23" s="3631" t="s">
        <v>3228</v>
      </c>
      <c r="M23" s="3637">
        <v>1</v>
      </c>
      <c r="N23" s="3637">
        <f t="shared" si="2"/>
        <v>1.1971830985915493</v>
      </c>
      <c r="O23" s="2"/>
      <c r="P23" s="2"/>
      <c r="Q23" s="2"/>
      <c r="R23" s="2"/>
      <c r="S23" s="2"/>
      <c r="T23" s="2"/>
    </row>
    <row r="24" spans="1:20" ht="45" customHeight="1">
      <c r="A24" s="3643" t="s">
        <v>178</v>
      </c>
      <c r="B24" s="3634" t="s">
        <v>5370</v>
      </c>
      <c r="C24" s="1926" t="s">
        <v>5371</v>
      </c>
      <c r="D24" s="1926"/>
      <c r="E24" s="3635">
        <v>57</v>
      </c>
      <c r="F24" s="1925">
        <v>56</v>
      </c>
      <c r="G24" s="3635">
        <v>59</v>
      </c>
      <c r="H24" s="3637">
        <f>G24/F24</f>
        <v>1.0535714285714286</v>
      </c>
      <c r="I24" s="3637">
        <f>G24/E24</f>
        <v>1.0350877192982457</v>
      </c>
      <c r="K24" s="3634"/>
      <c r="L24" s="3631" t="s">
        <v>3228</v>
      </c>
      <c r="M24" s="3637">
        <v>1</v>
      </c>
      <c r="N24" s="3637">
        <f>I24</f>
        <v>1.0350877192982457</v>
      </c>
      <c r="O24" s="2"/>
      <c r="P24" s="2"/>
      <c r="Q24" s="2"/>
      <c r="R24" s="2"/>
      <c r="S24" s="2"/>
      <c r="T24" s="2"/>
    </row>
    <row r="25" spans="1:20" ht="54.75" customHeight="1">
      <c r="A25" s="3643" t="s">
        <v>295</v>
      </c>
      <c r="B25" s="3634" t="s">
        <v>5372</v>
      </c>
      <c r="C25" s="1926" t="s">
        <v>5352</v>
      </c>
      <c r="D25" s="1926"/>
      <c r="E25" s="3638">
        <v>71.400000000000006</v>
      </c>
      <c r="F25" s="1925">
        <v>61</v>
      </c>
      <c r="G25" s="3638">
        <v>65.5</v>
      </c>
      <c r="H25" s="3637">
        <f>G25/F25</f>
        <v>1.0737704918032787</v>
      </c>
      <c r="I25" s="3637">
        <f>G25/E25</f>
        <v>0.91736694677871145</v>
      </c>
      <c r="J25" s="3634"/>
      <c r="K25" s="3634"/>
      <c r="L25" s="3631" t="s">
        <v>3228</v>
      </c>
      <c r="M25" s="3637">
        <v>1</v>
      </c>
      <c r="N25" s="3637">
        <v>0.91700000000000004</v>
      </c>
      <c r="O25" s="68"/>
      <c r="P25" s="2"/>
      <c r="Q25" s="2"/>
      <c r="R25" s="2"/>
      <c r="S25" s="2"/>
      <c r="T25" s="2"/>
    </row>
    <row r="26" spans="1:20" ht="68.25" customHeight="1">
      <c r="A26" s="3643" t="s">
        <v>617</v>
      </c>
      <c r="B26" s="3633" t="s">
        <v>5373</v>
      </c>
      <c r="C26" s="1926" t="s">
        <v>5361</v>
      </c>
      <c r="D26" s="1926" t="s">
        <v>5365</v>
      </c>
      <c r="E26" s="3635">
        <v>2125</v>
      </c>
      <c r="F26" s="1925">
        <v>2002</v>
      </c>
      <c r="G26" s="3635">
        <v>2174</v>
      </c>
      <c r="H26" s="3637">
        <f>G26/F26</f>
        <v>1.0859140859140859</v>
      </c>
      <c r="I26" s="3637">
        <f>G26/E26</f>
        <v>1.0230588235294118</v>
      </c>
      <c r="J26" s="3634" t="s">
        <v>5353</v>
      </c>
      <c r="K26" s="3634"/>
      <c r="L26" s="3631" t="s">
        <v>3228</v>
      </c>
      <c r="M26" s="3637">
        <v>1</v>
      </c>
      <c r="N26" s="3649" t="s">
        <v>2846</v>
      </c>
      <c r="O26" s="2"/>
      <c r="P26" s="2"/>
      <c r="Q26" s="2"/>
      <c r="R26" s="2"/>
      <c r="S26" s="2"/>
      <c r="T26" s="2"/>
    </row>
    <row r="27" spans="1:20">
      <c r="A27" s="3620"/>
      <c r="B27" s="1580"/>
      <c r="C27" s="1580"/>
      <c r="D27" s="3655"/>
      <c r="E27" s="1580"/>
      <c r="F27" s="1580"/>
      <c r="G27" s="1580"/>
      <c r="H27" s="1580"/>
      <c r="I27" s="1580"/>
      <c r="J27" s="1580"/>
      <c r="K27" s="1580"/>
      <c r="L27" s="3622"/>
      <c r="M27" s="1580"/>
      <c r="N27" s="1580"/>
    </row>
    <row r="28" spans="1:20">
      <c r="A28" s="3620"/>
      <c r="B28" s="1580"/>
      <c r="C28" s="1580"/>
      <c r="D28" s="3655"/>
      <c r="E28" s="1580"/>
      <c r="F28" s="1580"/>
      <c r="G28" s="1580"/>
      <c r="H28" s="1580"/>
      <c r="I28" s="1580"/>
      <c r="J28" s="1580"/>
      <c r="K28" s="1580"/>
      <c r="L28" s="3622"/>
      <c r="M28" s="1580"/>
      <c r="N28" s="1580"/>
    </row>
    <row r="29" spans="1:20">
      <c r="A29" s="3620"/>
      <c r="B29" s="1580"/>
      <c r="C29" s="1580"/>
      <c r="D29" s="3655"/>
      <c r="E29" s="1580"/>
      <c r="F29" s="1580"/>
      <c r="G29" s="1580"/>
      <c r="H29" s="1580"/>
      <c r="I29" s="1580"/>
      <c r="J29" s="1580"/>
      <c r="K29" s="1580"/>
      <c r="L29" s="3622"/>
      <c r="M29" s="1580"/>
      <c r="N29" s="1580"/>
    </row>
    <row r="30" spans="1:20">
      <c r="A30" s="3656"/>
      <c r="B30" s="1582"/>
      <c r="C30" s="1582"/>
      <c r="D30" s="1582"/>
      <c r="E30" s="1582"/>
      <c r="F30" s="1582"/>
      <c r="G30" s="1582"/>
      <c r="H30" s="1582"/>
      <c r="I30" s="1582"/>
      <c r="J30" s="1582"/>
      <c r="K30" s="1582"/>
      <c r="L30" s="3657"/>
      <c r="M30" s="1582"/>
      <c r="N30" s="1582"/>
      <c r="O30" s="1581"/>
      <c r="P30" s="1581"/>
    </row>
    <row r="31" spans="1:20">
      <c r="A31" s="3447" t="s">
        <v>5374</v>
      </c>
      <c r="B31" s="3447"/>
      <c r="C31" s="3447"/>
      <c r="D31" s="3447"/>
      <c r="E31" s="3447"/>
      <c r="F31" s="3447"/>
      <c r="G31" s="3447"/>
      <c r="H31" s="3447"/>
      <c r="I31" s="3447"/>
      <c r="J31" s="3447"/>
      <c r="K31" s="3447"/>
      <c r="L31" s="3447"/>
      <c r="M31" s="3447"/>
      <c r="N31" s="3447"/>
      <c r="O31" s="3447"/>
      <c r="P31" s="1581"/>
    </row>
    <row r="32" spans="1:20">
      <c r="A32" s="3450" t="s">
        <v>5375</v>
      </c>
      <c r="B32" s="3450"/>
      <c r="C32" s="3450"/>
      <c r="D32" s="3450"/>
      <c r="E32" s="3450"/>
      <c r="F32" s="3450"/>
      <c r="G32" s="3450"/>
      <c r="H32" s="3450"/>
      <c r="I32" s="3450"/>
      <c r="J32" s="3450"/>
      <c r="K32" s="3450"/>
      <c r="L32" s="3450"/>
      <c r="M32" s="3450"/>
      <c r="N32" s="3450"/>
      <c r="O32" s="3450"/>
      <c r="P32" s="1581"/>
    </row>
    <row r="33" spans="1:16">
      <c r="A33" s="3447" t="s">
        <v>5376</v>
      </c>
      <c r="B33" s="3447"/>
      <c r="C33" s="3447"/>
      <c r="D33" s="3447"/>
      <c r="E33" s="3447"/>
      <c r="F33" s="3447"/>
      <c r="G33" s="3447"/>
      <c r="H33" s="3447"/>
      <c r="I33" s="3447"/>
      <c r="J33" s="3447"/>
      <c r="K33" s="3447"/>
      <c r="L33" s="3447"/>
      <c r="M33" s="3447"/>
      <c r="N33" s="3447"/>
      <c r="O33" s="3447"/>
      <c r="P33" s="1581"/>
    </row>
    <row r="34" spans="1:16" ht="67.5" customHeight="1">
      <c r="A34" s="3447" t="s">
        <v>5377</v>
      </c>
      <c r="B34" s="3447"/>
      <c r="C34" s="3447"/>
      <c r="D34" s="3447"/>
      <c r="E34" s="3447"/>
      <c r="F34" s="3447"/>
      <c r="G34" s="3447"/>
      <c r="H34" s="3447"/>
      <c r="I34" s="3447"/>
      <c r="J34" s="3447"/>
      <c r="K34" s="3447"/>
      <c r="L34" s="3447"/>
      <c r="M34" s="3447"/>
      <c r="N34" s="3447"/>
      <c r="O34" s="3447"/>
      <c r="P34" s="1581"/>
    </row>
    <row r="35" spans="1:16">
      <c r="A35" s="3447"/>
      <c r="B35" s="3447"/>
      <c r="C35" s="3447"/>
      <c r="D35" s="3447"/>
      <c r="E35" s="3447"/>
      <c r="F35" s="3447"/>
      <c r="G35" s="3447"/>
      <c r="H35" s="3447"/>
      <c r="I35" s="3447"/>
      <c r="J35" s="3447"/>
      <c r="K35" s="3447"/>
      <c r="L35" s="3447"/>
      <c r="M35" s="3447"/>
      <c r="N35" s="3447"/>
      <c r="O35" s="3447"/>
      <c r="P35" s="1581"/>
    </row>
  </sheetData>
  <mergeCells count="23">
    <mergeCell ref="A35:O35"/>
    <mergeCell ref="B17:K17"/>
    <mergeCell ref="O18:T18"/>
    <mergeCell ref="A31:O31"/>
    <mergeCell ref="A32:O32"/>
    <mergeCell ref="A33:O33"/>
    <mergeCell ref="A34:O34"/>
    <mergeCell ref="B10:K10"/>
    <mergeCell ref="A2:N2"/>
    <mergeCell ref="A4:A6"/>
    <mergeCell ref="B4:B6"/>
    <mergeCell ref="C4:C6"/>
    <mergeCell ref="D4:D6"/>
    <mergeCell ref="E4:G4"/>
    <mergeCell ref="H4:H6"/>
    <mergeCell ref="I4:I6"/>
    <mergeCell ref="J4:J6"/>
    <mergeCell ref="K4:K6"/>
    <mergeCell ref="L4:L6"/>
    <mergeCell ref="M4:M6"/>
    <mergeCell ref="N4:N6"/>
    <mergeCell ref="F5:G5"/>
    <mergeCell ref="B7:K7"/>
  </mergeCells>
  <pageMargins left="0" right="0" top="0" bottom="0" header="0.31496062992125984" footer="0.31496062992125984"/>
  <pageSetup paperSize="9" scale="59" fitToHeight="15" orientation="landscape" r:id="rId1"/>
  <colBreaks count="1" manualBreakCount="1">
    <brk id="7"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4"/>
  <sheetViews>
    <sheetView zoomScale="85" zoomScaleNormal="85" zoomScaleSheetLayoutView="85" workbookViewId="0">
      <selection activeCell="I5" sqref="I5"/>
    </sheetView>
  </sheetViews>
  <sheetFormatPr defaultRowHeight="15"/>
  <cols>
    <col min="1" max="1" width="9.140625" style="1595" customWidth="1"/>
    <col min="2" max="2" width="42.85546875" style="1597" customWidth="1"/>
    <col min="3" max="6" width="40.5703125" style="1595" customWidth="1"/>
    <col min="7" max="7" width="42.7109375" style="1597" customWidth="1"/>
    <col min="8" max="16384" width="9.140625" style="1595"/>
  </cols>
  <sheetData>
    <row r="1" spans="1:7" s="1583" customFormat="1" ht="60.75" customHeight="1">
      <c r="B1" s="3451" t="s">
        <v>5378</v>
      </c>
      <c r="C1" s="3451"/>
      <c r="D1" s="3451"/>
      <c r="E1" s="3451"/>
      <c r="F1" s="3451"/>
      <c r="G1" s="3452"/>
    </row>
    <row r="2" spans="1:7" s="1585" customFormat="1" ht="30">
      <c r="A2" s="1584" t="s">
        <v>439</v>
      </c>
      <c r="B2" s="1584" t="s">
        <v>5379</v>
      </c>
      <c r="C2" s="1584" t="s">
        <v>5380</v>
      </c>
      <c r="D2" s="1584" t="s">
        <v>5381</v>
      </c>
      <c r="E2" s="1584" t="s">
        <v>5382</v>
      </c>
      <c r="F2" s="1584" t="s">
        <v>5383</v>
      </c>
      <c r="G2" s="1584" t="s">
        <v>5384</v>
      </c>
    </row>
    <row r="3" spans="1:7" s="1585" customFormat="1" ht="18" customHeight="1">
      <c r="A3" s="1586">
        <v>1</v>
      </c>
      <c r="B3" s="3453" t="s">
        <v>5385</v>
      </c>
      <c r="C3" s="3454"/>
      <c r="D3" s="3454"/>
      <c r="E3" s="3455"/>
      <c r="F3" s="1587"/>
      <c r="G3" s="1588"/>
    </row>
    <row r="4" spans="1:7" s="1585" customFormat="1" ht="18" customHeight="1">
      <c r="A4" s="1586"/>
      <c r="B4" s="1589"/>
      <c r="C4" s="1590"/>
      <c r="D4" s="1590"/>
      <c r="E4" s="1591"/>
      <c r="F4" s="1587"/>
      <c r="G4" s="1588"/>
    </row>
    <row r="5" spans="1:7" s="1585" customFormat="1" ht="216" customHeight="1">
      <c r="A5" s="1592" t="s">
        <v>172</v>
      </c>
      <c r="B5" s="1587" t="s">
        <v>563</v>
      </c>
      <c r="C5" s="1587"/>
      <c r="D5" s="1587"/>
      <c r="E5" s="1593" t="s">
        <v>5396</v>
      </c>
      <c r="F5" s="1587"/>
      <c r="G5" s="1594" t="s">
        <v>5386</v>
      </c>
    </row>
    <row r="6" spans="1:7" s="1585" customFormat="1"/>
    <row r="7" spans="1:7" ht="18.75" customHeight="1">
      <c r="A7" s="1585"/>
      <c r="B7" s="3456" t="s">
        <v>5387</v>
      </c>
      <c r="C7" s="3457"/>
      <c r="D7" s="3457"/>
      <c r="E7" s="3457"/>
      <c r="F7" s="3457"/>
      <c r="G7" s="1585"/>
    </row>
    <row r="8" spans="1:7" ht="36" customHeight="1">
      <c r="A8" s="1585"/>
      <c r="B8" s="3456" t="s">
        <v>5388</v>
      </c>
      <c r="C8" s="3457"/>
      <c r="D8" s="3457"/>
      <c r="E8" s="3457"/>
      <c r="F8" s="3457"/>
      <c r="G8" s="1585"/>
    </row>
    <row r="9" spans="1:7">
      <c r="A9" s="1585"/>
      <c r="B9" s="1596"/>
      <c r="C9" s="1585"/>
      <c r="D9" s="1585"/>
      <c r="E9" s="1585"/>
      <c r="F9" s="1585"/>
      <c r="G9" s="1585"/>
    </row>
    <row r="10" spans="1:7">
      <c r="A10" s="1585"/>
      <c r="B10" s="1585"/>
      <c r="C10" s="1585"/>
      <c r="D10" s="1585"/>
      <c r="E10" s="1585"/>
      <c r="F10" s="1585"/>
      <c r="G10" s="1585"/>
    </row>
    <row r="11" spans="1:7">
      <c r="A11" s="1585"/>
      <c r="B11" s="1585"/>
      <c r="C11" s="1585"/>
      <c r="D11" s="1585"/>
      <c r="E11" s="1585"/>
      <c r="F11" s="1585"/>
      <c r="G11" s="1585"/>
    </row>
    <row r="12" spans="1:7">
      <c r="A12" s="1585"/>
      <c r="B12" s="1585"/>
      <c r="C12" s="1585"/>
      <c r="D12" s="1585"/>
      <c r="E12" s="1585"/>
      <c r="F12" s="1585"/>
      <c r="G12" s="1585"/>
    </row>
    <row r="13" spans="1:7">
      <c r="A13" s="1585"/>
      <c r="B13" s="1585"/>
      <c r="C13" s="1585"/>
      <c r="D13" s="1585"/>
      <c r="E13" s="1585"/>
      <c r="F13" s="1585"/>
      <c r="G13" s="1585"/>
    </row>
    <row r="14" spans="1:7">
      <c r="A14" s="1585"/>
      <c r="B14" s="1585"/>
      <c r="C14" s="1585"/>
      <c r="D14" s="1585"/>
      <c r="E14" s="1585"/>
      <c r="F14" s="1585"/>
      <c r="G14" s="1585"/>
    </row>
    <row r="15" spans="1:7">
      <c r="A15" s="1585"/>
      <c r="B15" s="1585"/>
      <c r="C15" s="1585"/>
      <c r="D15" s="1585"/>
      <c r="E15" s="1585"/>
      <c r="F15" s="1585"/>
      <c r="G15" s="1585"/>
    </row>
    <row r="16" spans="1:7">
      <c r="A16" s="1585"/>
      <c r="B16" s="1585"/>
      <c r="C16" s="1585"/>
      <c r="D16" s="1585"/>
      <c r="E16" s="1585"/>
      <c r="F16" s="1585"/>
      <c r="G16" s="1585"/>
    </row>
    <row r="17" spans="1:7">
      <c r="A17" s="1585"/>
      <c r="B17" s="1585"/>
      <c r="C17" s="1585"/>
      <c r="D17" s="1585"/>
      <c r="E17" s="1585"/>
      <c r="F17" s="1585"/>
      <c r="G17" s="1585"/>
    </row>
    <row r="18" spans="1:7">
      <c r="A18" s="1585"/>
      <c r="B18" s="1585"/>
      <c r="C18" s="1585"/>
      <c r="D18" s="1585"/>
      <c r="E18" s="1585"/>
      <c r="F18" s="1585"/>
      <c r="G18" s="1585"/>
    </row>
    <row r="19" spans="1:7">
      <c r="A19" s="1585"/>
      <c r="B19" s="1585"/>
      <c r="C19" s="1585"/>
      <c r="D19" s="1585"/>
      <c r="E19" s="1585"/>
      <c r="F19" s="1585"/>
      <c r="G19" s="1585"/>
    </row>
    <row r="20" spans="1:7">
      <c r="A20" s="1585"/>
      <c r="B20" s="1585"/>
      <c r="C20" s="1585"/>
      <c r="D20" s="1585"/>
      <c r="E20" s="1585"/>
      <c r="F20" s="1585"/>
      <c r="G20" s="1585"/>
    </row>
    <row r="21" spans="1:7">
      <c r="A21" s="1585"/>
      <c r="B21" s="1585"/>
      <c r="C21" s="1585"/>
      <c r="D21" s="1585"/>
      <c r="E21" s="1585"/>
      <c r="F21" s="1585"/>
      <c r="G21" s="1585"/>
    </row>
    <row r="22" spans="1:7">
      <c r="A22" s="1585"/>
      <c r="B22" s="1585"/>
      <c r="C22" s="1585"/>
      <c r="D22" s="1585"/>
      <c r="E22" s="1585"/>
      <c r="F22" s="1585"/>
      <c r="G22" s="1585"/>
    </row>
    <row r="23" spans="1:7">
      <c r="A23" s="1585"/>
      <c r="B23" s="1585"/>
      <c r="C23" s="1585"/>
      <c r="D23" s="1585"/>
      <c r="E23" s="1585"/>
      <c r="F23" s="1585"/>
      <c r="G23" s="1585"/>
    </row>
    <row r="24" spans="1:7">
      <c r="A24" s="1585"/>
      <c r="B24" s="1585"/>
      <c r="C24" s="1585"/>
      <c r="D24" s="1585"/>
      <c r="E24" s="1585"/>
      <c r="F24" s="1585"/>
      <c r="G24" s="1585"/>
    </row>
    <row r="25" spans="1:7">
      <c r="A25" s="1585"/>
      <c r="B25" s="1585"/>
      <c r="C25" s="1585"/>
      <c r="D25" s="1585"/>
      <c r="E25" s="1585"/>
      <c r="F25" s="1585"/>
      <c r="G25" s="1585"/>
    </row>
    <row r="26" spans="1:7">
      <c r="A26" s="1585"/>
      <c r="B26" s="1585"/>
      <c r="C26" s="1585"/>
      <c r="D26" s="1585"/>
      <c r="E26" s="1585"/>
      <c r="F26" s="1585"/>
      <c r="G26" s="1585"/>
    </row>
    <row r="27" spans="1:7">
      <c r="A27" s="1585"/>
      <c r="B27" s="1585"/>
      <c r="C27" s="1585"/>
      <c r="D27" s="1585"/>
      <c r="E27" s="1585"/>
      <c r="F27" s="1585"/>
      <c r="G27" s="1585"/>
    </row>
    <row r="28" spans="1:7">
      <c r="A28" s="1585"/>
      <c r="B28" s="1585"/>
      <c r="C28" s="1585"/>
      <c r="D28" s="1585"/>
      <c r="E28" s="1585"/>
      <c r="F28" s="1585"/>
      <c r="G28" s="1585"/>
    </row>
    <row r="29" spans="1:7">
      <c r="A29" s="1585"/>
      <c r="B29" s="1585"/>
      <c r="C29" s="1585"/>
      <c r="D29" s="1585"/>
      <c r="E29" s="1585"/>
      <c r="F29" s="1585"/>
      <c r="G29" s="1585"/>
    </row>
    <row r="30" spans="1:7">
      <c r="A30" s="1585"/>
      <c r="B30" s="1585"/>
      <c r="C30" s="1585"/>
      <c r="D30" s="1585"/>
      <c r="E30" s="1585"/>
      <c r="F30" s="1585"/>
      <c r="G30" s="1585"/>
    </row>
    <row r="31" spans="1:7">
      <c r="A31" s="1585"/>
      <c r="B31" s="1585"/>
      <c r="C31" s="1585"/>
      <c r="D31" s="1585"/>
      <c r="E31" s="1585"/>
      <c r="F31" s="1585"/>
      <c r="G31" s="1585"/>
    </row>
    <row r="32" spans="1:7">
      <c r="A32" s="1585"/>
      <c r="B32" s="1585"/>
      <c r="C32" s="1585"/>
      <c r="D32" s="1585"/>
      <c r="E32" s="1585"/>
      <c r="F32" s="1585"/>
      <c r="G32" s="1585"/>
    </row>
    <row r="33" spans="1:7">
      <c r="A33" s="1585"/>
      <c r="B33" s="1585"/>
      <c r="C33" s="1585"/>
      <c r="D33" s="1585"/>
      <c r="E33" s="1585"/>
      <c r="F33" s="1585"/>
      <c r="G33" s="1585"/>
    </row>
    <row r="34" spans="1:7">
      <c r="A34" s="1585"/>
      <c r="B34" s="1585"/>
      <c r="C34" s="1585"/>
      <c r="D34" s="1585"/>
      <c r="E34" s="1585"/>
      <c r="F34" s="1585"/>
      <c r="G34" s="1585"/>
    </row>
    <row r="35" spans="1:7">
      <c r="A35" s="1585"/>
      <c r="B35" s="1585"/>
      <c r="C35" s="1585"/>
      <c r="D35" s="1585"/>
      <c r="E35" s="1585"/>
      <c r="F35" s="1585"/>
      <c r="G35" s="1585"/>
    </row>
    <row r="36" spans="1:7">
      <c r="A36" s="1585"/>
      <c r="B36" s="1585"/>
      <c r="C36" s="1585"/>
      <c r="D36" s="1585"/>
      <c r="E36" s="1585"/>
      <c r="F36" s="1585"/>
      <c r="G36" s="1585"/>
    </row>
    <row r="37" spans="1:7">
      <c r="A37" s="1585"/>
      <c r="B37" s="1585"/>
      <c r="C37" s="1585"/>
      <c r="D37" s="1585"/>
      <c r="E37" s="1585"/>
      <c r="F37" s="1585"/>
      <c r="G37" s="1585"/>
    </row>
    <row r="38" spans="1:7">
      <c r="A38" s="1585"/>
      <c r="B38" s="1585"/>
      <c r="C38" s="1585"/>
      <c r="D38" s="1585"/>
      <c r="E38" s="1585"/>
      <c r="F38" s="1585"/>
      <c r="G38" s="1585"/>
    </row>
    <row r="39" spans="1:7">
      <c r="A39" s="1585"/>
      <c r="B39" s="1585"/>
      <c r="C39" s="1585"/>
      <c r="D39" s="1585"/>
      <c r="E39" s="1585"/>
      <c r="F39" s="1585"/>
      <c r="G39" s="1585"/>
    </row>
    <row r="40" spans="1:7">
      <c r="A40" s="1585"/>
      <c r="B40" s="1585"/>
      <c r="C40" s="1585"/>
      <c r="D40" s="1585"/>
      <c r="E40" s="1585"/>
      <c r="F40" s="1585"/>
      <c r="G40" s="1585"/>
    </row>
    <row r="41" spans="1:7">
      <c r="A41" s="1585"/>
      <c r="B41" s="1585"/>
      <c r="C41" s="1585"/>
      <c r="D41" s="1585"/>
      <c r="E41" s="1585"/>
      <c r="F41" s="1585"/>
      <c r="G41" s="1585"/>
    </row>
    <row r="42" spans="1:7">
      <c r="A42" s="1585"/>
      <c r="B42" s="1585"/>
      <c r="C42" s="1585"/>
      <c r="D42" s="1585"/>
      <c r="E42" s="1585"/>
      <c r="F42" s="1585"/>
      <c r="G42" s="1585"/>
    </row>
    <row r="43" spans="1:7">
      <c r="A43" s="1585"/>
      <c r="B43" s="1585"/>
      <c r="C43" s="1585"/>
      <c r="D43" s="1585"/>
      <c r="E43" s="1585"/>
      <c r="F43" s="1585"/>
      <c r="G43" s="1585"/>
    </row>
    <row r="44" spans="1:7">
      <c r="A44" s="1585"/>
      <c r="B44" s="1585"/>
      <c r="C44" s="1585"/>
      <c r="D44" s="1585"/>
      <c r="E44" s="1585"/>
      <c r="F44" s="1585"/>
      <c r="G44" s="1585"/>
    </row>
  </sheetData>
  <mergeCells count="4">
    <mergeCell ref="B1:G1"/>
    <mergeCell ref="B3:E3"/>
    <mergeCell ref="B7:F7"/>
    <mergeCell ref="B8:F8"/>
  </mergeCells>
  <pageMargins left="0.70866141732283472" right="0.70866141732283472" top="0.74803149606299213" bottom="0.74803149606299213" header="0.31496062992125984" footer="0.31496062992125984"/>
  <pageSetup paperSize="9" scale="50" fitToHeight="0"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6"/>
  <sheetViews>
    <sheetView topLeftCell="A33" zoomScale="80" zoomScaleNormal="80" workbookViewId="0">
      <selection activeCell="C88" sqref="C88"/>
    </sheetView>
  </sheetViews>
  <sheetFormatPr defaultColWidth="8.85546875" defaultRowHeight="12.75"/>
  <cols>
    <col min="1" max="1" width="9.7109375" style="128" customWidth="1"/>
    <col min="2" max="2" width="57.42578125" style="128" customWidth="1"/>
    <col min="3" max="3" width="20.140625" style="128" customWidth="1"/>
    <col min="4" max="4" width="19.42578125" style="128" customWidth="1"/>
    <col min="5" max="5" width="10.85546875" style="128" customWidth="1"/>
    <col min="6" max="6" width="23.7109375" style="128" customWidth="1"/>
    <col min="7" max="7" width="18.7109375" style="128" customWidth="1"/>
    <col min="8" max="8" width="17.7109375" style="128" customWidth="1"/>
    <col min="9" max="256" width="9.140625" style="128"/>
    <col min="257" max="257" width="9.7109375" style="128" customWidth="1"/>
    <col min="258" max="258" width="57.42578125" style="128" customWidth="1"/>
    <col min="259" max="259" width="20.140625" style="128" customWidth="1"/>
    <col min="260" max="260" width="19.42578125" style="128" customWidth="1"/>
    <col min="261" max="261" width="9.7109375" style="128" customWidth="1"/>
    <col min="262" max="262" width="23.7109375" style="128" customWidth="1"/>
    <col min="263" max="263" width="18.7109375" style="128" customWidth="1"/>
    <col min="264" max="264" width="17.7109375" style="128" customWidth="1"/>
    <col min="265" max="512" width="9.140625" style="128"/>
    <col min="513" max="513" width="9.7109375" style="128" customWidth="1"/>
    <col min="514" max="514" width="57.42578125" style="128" customWidth="1"/>
    <col min="515" max="515" width="20.140625" style="128" customWidth="1"/>
    <col min="516" max="516" width="19.42578125" style="128" customWidth="1"/>
    <col min="517" max="517" width="9.7109375" style="128" customWidth="1"/>
    <col min="518" max="518" width="23.7109375" style="128" customWidth="1"/>
    <col min="519" max="519" width="18.7109375" style="128" customWidth="1"/>
    <col min="520" max="520" width="17.7109375" style="128" customWidth="1"/>
    <col min="521" max="768" width="9.140625" style="128"/>
    <col min="769" max="769" width="9.7109375" style="128" customWidth="1"/>
    <col min="770" max="770" width="57.42578125" style="128" customWidth="1"/>
    <col min="771" max="771" width="20.140625" style="128" customWidth="1"/>
    <col min="772" max="772" width="19.42578125" style="128" customWidth="1"/>
    <col min="773" max="773" width="9.7109375" style="128" customWidth="1"/>
    <col min="774" max="774" width="23.7109375" style="128" customWidth="1"/>
    <col min="775" max="775" width="18.7109375" style="128" customWidth="1"/>
    <col min="776" max="776" width="17.7109375" style="128" customWidth="1"/>
    <col min="777" max="1024" width="9.140625" style="128"/>
    <col min="1025" max="1025" width="9.7109375" style="128" customWidth="1"/>
    <col min="1026" max="1026" width="57.42578125" style="128" customWidth="1"/>
    <col min="1027" max="1027" width="20.140625" style="128" customWidth="1"/>
    <col min="1028" max="1028" width="19.42578125" style="128" customWidth="1"/>
    <col min="1029" max="1029" width="9.7109375" style="128" customWidth="1"/>
    <col min="1030" max="1030" width="23.7109375" style="128" customWidth="1"/>
    <col min="1031" max="1031" width="18.7109375" style="128" customWidth="1"/>
    <col min="1032" max="1032" width="17.7109375" style="128" customWidth="1"/>
    <col min="1033" max="1280" width="9.140625" style="128"/>
    <col min="1281" max="1281" width="9.7109375" style="128" customWidth="1"/>
    <col min="1282" max="1282" width="57.42578125" style="128" customWidth="1"/>
    <col min="1283" max="1283" width="20.140625" style="128" customWidth="1"/>
    <col min="1284" max="1284" width="19.42578125" style="128" customWidth="1"/>
    <col min="1285" max="1285" width="9.7109375" style="128" customWidth="1"/>
    <col min="1286" max="1286" width="23.7109375" style="128" customWidth="1"/>
    <col min="1287" max="1287" width="18.7109375" style="128" customWidth="1"/>
    <col min="1288" max="1288" width="17.7109375" style="128" customWidth="1"/>
    <col min="1289" max="1536" width="9.140625" style="128"/>
    <col min="1537" max="1537" width="9.7109375" style="128" customWidth="1"/>
    <col min="1538" max="1538" width="57.42578125" style="128" customWidth="1"/>
    <col min="1539" max="1539" width="20.140625" style="128" customWidth="1"/>
    <col min="1540" max="1540" width="19.42578125" style="128" customWidth="1"/>
    <col min="1541" max="1541" width="9.7109375" style="128" customWidth="1"/>
    <col min="1542" max="1542" width="23.7109375" style="128" customWidth="1"/>
    <col min="1543" max="1543" width="18.7109375" style="128" customWidth="1"/>
    <col min="1544" max="1544" width="17.7109375" style="128" customWidth="1"/>
    <col min="1545" max="1792" width="9.140625" style="128"/>
    <col min="1793" max="1793" width="9.7109375" style="128" customWidth="1"/>
    <col min="1794" max="1794" width="57.42578125" style="128" customWidth="1"/>
    <col min="1795" max="1795" width="20.140625" style="128" customWidth="1"/>
    <col min="1796" max="1796" width="19.42578125" style="128" customWidth="1"/>
    <col min="1797" max="1797" width="9.7109375" style="128" customWidth="1"/>
    <col min="1798" max="1798" width="23.7109375" style="128" customWidth="1"/>
    <col min="1799" max="1799" width="18.7109375" style="128" customWidth="1"/>
    <col min="1800" max="1800" width="17.7109375" style="128" customWidth="1"/>
    <col min="1801" max="2048" width="9.140625" style="128"/>
    <col min="2049" max="2049" width="9.7109375" style="128" customWidth="1"/>
    <col min="2050" max="2050" width="57.42578125" style="128" customWidth="1"/>
    <col min="2051" max="2051" width="20.140625" style="128" customWidth="1"/>
    <col min="2052" max="2052" width="19.42578125" style="128" customWidth="1"/>
    <col min="2053" max="2053" width="9.7109375" style="128" customWidth="1"/>
    <col min="2054" max="2054" width="23.7109375" style="128" customWidth="1"/>
    <col min="2055" max="2055" width="18.7109375" style="128" customWidth="1"/>
    <col min="2056" max="2056" width="17.7109375" style="128" customWidth="1"/>
    <col min="2057" max="2304" width="9.140625" style="128"/>
    <col min="2305" max="2305" width="9.7109375" style="128" customWidth="1"/>
    <col min="2306" max="2306" width="57.42578125" style="128" customWidth="1"/>
    <col min="2307" max="2307" width="20.140625" style="128" customWidth="1"/>
    <col min="2308" max="2308" width="19.42578125" style="128" customWidth="1"/>
    <col min="2309" max="2309" width="9.7109375" style="128" customWidth="1"/>
    <col min="2310" max="2310" width="23.7109375" style="128" customWidth="1"/>
    <col min="2311" max="2311" width="18.7109375" style="128" customWidth="1"/>
    <col min="2312" max="2312" width="17.7109375" style="128" customWidth="1"/>
    <col min="2313" max="2560" width="9.140625" style="128"/>
    <col min="2561" max="2561" width="9.7109375" style="128" customWidth="1"/>
    <col min="2562" max="2562" width="57.42578125" style="128" customWidth="1"/>
    <col min="2563" max="2563" width="20.140625" style="128" customWidth="1"/>
    <col min="2564" max="2564" width="19.42578125" style="128" customWidth="1"/>
    <col min="2565" max="2565" width="9.7109375" style="128" customWidth="1"/>
    <col min="2566" max="2566" width="23.7109375" style="128" customWidth="1"/>
    <col min="2567" max="2567" width="18.7109375" style="128" customWidth="1"/>
    <col min="2568" max="2568" width="17.7109375" style="128" customWidth="1"/>
    <col min="2569" max="2816" width="9.140625" style="128"/>
    <col min="2817" max="2817" width="9.7109375" style="128" customWidth="1"/>
    <col min="2818" max="2818" width="57.42578125" style="128" customWidth="1"/>
    <col min="2819" max="2819" width="20.140625" style="128" customWidth="1"/>
    <col min="2820" max="2820" width="19.42578125" style="128" customWidth="1"/>
    <col min="2821" max="2821" width="9.7109375" style="128" customWidth="1"/>
    <col min="2822" max="2822" width="23.7109375" style="128" customWidth="1"/>
    <col min="2823" max="2823" width="18.7109375" style="128" customWidth="1"/>
    <col min="2824" max="2824" width="17.7109375" style="128" customWidth="1"/>
    <col min="2825" max="3072" width="9.140625" style="128"/>
    <col min="3073" max="3073" width="9.7109375" style="128" customWidth="1"/>
    <col min="3074" max="3074" width="57.42578125" style="128" customWidth="1"/>
    <col min="3075" max="3075" width="20.140625" style="128" customWidth="1"/>
    <col min="3076" max="3076" width="19.42578125" style="128" customWidth="1"/>
    <col min="3077" max="3077" width="9.7109375" style="128" customWidth="1"/>
    <col min="3078" max="3078" width="23.7109375" style="128" customWidth="1"/>
    <col min="3079" max="3079" width="18.7109375" style="128" customWidth="1"/>
    <col min="3080" max="3080" width="17.7109375" style="128" customWidth="1"/>
    <col min="3081" max="3328" width="9.140625" style="128"/>
    <col min="3329" max="3329" width="9.7109375" style="128" customWidth="1"/>
    <col min="3330" max="3330" width="57.42578125" style="128" customWidth="1"/>
    <col min="3331" max="3331" width="20.140625" style="128" customWidth="1"/>
    <col min="3332" max="3332" width="19.42578125" style="128" customWidth="1"/>
    <col min="3333" max="3333" width="9.7109375" style="128" customWidth="1"/>
    <col min="3334" max="3334" width="23.7109375" style="128" customWidth="1"/>
    <col min="3335" max="3335" width="18.7109375" style="128" customWidth="1"/>
    <col min="3336" max="3336" width="17.7109375" style="128" customWidth="1"/>
    <col min="3337" max="3584" width="9.140625" style="128"/>
    <col min="3585" max="3585" width="9.7109375" style="128" customWidth="1"/>
    <col min="3586" max="3586" width="57.42578125" style="128" customWidth="1"/>
    <col min="3587" max="3587" width="20.140625" style="128" customWidth="1"/>
    <col min="3588" max="3588" width="19.42578125" style="128" customWidth="1"/>
    <col min="3589" max="3589" width="9.7109375" style="128" customWidth="1"/>
    <col min="3590" max="3590" width="23.7109375" style="128" customWidth="1"/>
    <col min="3591" max="3591" width="18.7109375" style="128" customWidth="1"/>
    <col min="3592" max="3592" width="17.7109375" style="128" customWidth="1"/>
    <col min="3593" max="3840" width="9.140625" style="128"/>
    <col min="3841" max="3841" width="9.7109375" style="128" customWidth="1"/>
    <col min="3842" max="3842" width="57.42578125" style="128" customWidth="1"/>
    <col min="3843" max="3843" width="20.140625" style="128" customWidth="1"/>
    <col min="3844" max="3844" width="19.42578125" style="128" customWidth="1"/>
    <col min="3845" max="3845" width="9.7109375" style="128" customWidth="1"/>
    <col min="3846" max="3846" width="23.7109375" style="128" customWidth="1"/>
    <col min="3847" max="3847" width="18.7109375" style="128" customWidth="1"/>
    <col min="3848" max="3848" width="17.7109375" style="128" customWidth="1"/>
    <col min="3849" max="4096" width="9.140625" style="128"/>
    <col min="4097" max="4097" width="9.7109375" style="128" customWidth="1"/>
    <col min="4098" max="4098" width="57.42578125" style="128" customWidth="1"/>
    <col min="4099" max="4099" width="20.140625" style="128" customWidth="1"/>
    <col min="4100" max="4100" width="19.42578125" style="128" customWidth="1"/>
    <col min="4101" max="4101" width="9.7109375" style="128" customWidth="1"/>
    <col min="4102" max="4102" width="23.7109375" style="128" customWidth="1"/>
    <col min="4103" max="4103" width="18.7109375" style="128" customWidth="1"/>
    <col min="4104" max="4104" width="17.7109375" style="128" customWidth="1"/>
    <col min="4105" max="4352" width="9.140625" style="128"/>
    <col min="4353" max="4353" width="9.7109375" style="128" customWidth="1"/>
    <col min="4354" max="4354" width="57.42578125" style="128" customWidth="1"/>
    <col min="4355" max="4355" width="20.140625" style="128" customWidth="1"/>
    <col min="4356" max="4356" width="19.42578125" style="128" customWidth="1"/>
    <col min="4357" max="4357" width="9.7109375" style="128" customWidth="1"/>
    <col min="4358" max="4358" width="23.7109375" style="128" customWidth="1"/>
    <col min="4359" max="4359" width="18.7109375" style="128" customWidth="1"/>
    <col min="4360" max="4360" width="17.7109375" style="128" customWidth="1"/>
    <col min="4361" max="4608" width="9.140625" style="128"/>
    <col min="4609" max="4609" width="9.7109375" style="128" customWidth="1"/>
    <col min="4610" max="4610" width="57.42578125" style="128" customWidth="1"/>
    <col min="4611" max="4611" width="20.140625" style="128" customWidth="1"/>
    <col min="4612" max="4612" width="19.42578125" style="128" customWidth="1"/>
    <col min="4613" max="4613" width="9.7109375" style="128" customWidth="1"/>
    <col min="4614" max="4614" width="23.7109375" style="128" customWidth="1"/>
    <col min="4615" max="4615" width="18.7109375" style="128" customWidth="1"/>
    <col min="4616" max="4616" width="17.7109375" style="128" customWidth="1"/>
    <col min="4617" max="4864" width="9.140625" style="128"/>
    <col min="4865" max="4865" width="9.7109375" style="128" customWidth="1"/>
    <col min="4866" max="4866" width="57.42578125" style="128" customWidth="1"/>
    <col min="4867" max="4867" width="20.140625" style="128" customWidth="1"/>
    <col min="4868" max="4868" width="19.42578125" style="128" customWidth="1"/>
    <col min="4869" max="4869" width="9.7109375" style="128" customWidth="1"/>
    <col min="4870" max="4870" width="23.7109375" style="128" customWidth="1"/>
    <col min="4871" max="4871" width="18.7109375" style="128" customWidth="1"/>
    <col min="4872" max="4872" width="17.7109375" style="128" customWidth="1"/>
    <col min="4873" max="5120" width="9.140625" style="128"/>
    <col min="5121" max="5121" width="9.7109375" style="128" customWidth="1"/>
    <col min="5122" max="5122" width="57.42578125" style="128" customWidth="1"/>
    <col min="5123" max="5123" width="20.140625" style="128" customWidth="1"/>
    <col min="5124" max="5124" width="19.42578125" style="128" customWidth="1"/>
    <col min="5125" max="5125" width="9.7109375" style="128" customWidth="1"/>
    <col min="5126" max="5126" width="23.7109375" style="128" customWidth="1"/>
    <col min="5127" max="5127" width="18.7109375" style="128" customWidth="1"/>
    <col min="5128" max="5128" width="17.7109375" style="128" customWidth="1"/>
    <col min="5129" max="5376" width="9.140625" style="128"/>
    <col min="5377" max="5377" width="9.7109375" style="128" customWidth="1"/>
    <col min="5378" max="5378" width="57.42578125" style="128" customWidth="1"/>
    <col min="5379" max="5379" width="20.140625" style="128" customWidth="1"/>
    <col min="5380" max="5380" width="19.42578125" style="128" customWidth="1"/>
    <col min="5381" max="5381" width="9.7109375" style="128" customWidth="1"/>
    <col min="5382" max="5382" width="23.7109375" style="128" customWidth="1"/>
    <col min="5383" max="5383" width="18.7109375" style="128" customWidth="1"/>
    <col min="5384" max="5384" width="17.7109375" style="128" customWidth="1"/>
    <col min="5385" max="5632" width="9.140625" style="128"/>
    <col min="5633" max="5633" width="9.7109375" style="128" customWidth="1"/>
    <col min="5634" max="5634" width="57.42578125" style="128" customWidth="1"/>
    <col min="5635" max="5635" width="20.140625" style="128" customWidth="1"/>
    <col min="5636" max="5636" width="19.42578125" style="128" customWidth="1"/>
    <col min="5637" max="5637" width="9.7109375" style="128" customWidth="1"/>
    <col min="5638" max="5638" width="23.7109375" style="128" customWidth="1"/>
    <col min="5639" max="5639" width="18.7109375" style="128" customWidth="1"/>
    <col min="5640" max="5640" width="17.7109375" style="128" customWidth="1"/>
    <col min="5641" max="5888" width="9.140625" style="128"/>
    <col min="5889" max="5889" width="9.7109375" style="128" customWidth="1"/>
    <col min="5890" max="5890" width="57.42578125" style="128" customWidth="1"/>
    <col min="5891" max="5891" width="20.140625" style="128" customWidth="1"/>
    <col min="5892" max="5892" width="19.42578125" style="128" customWidth="1"/>
    <col min="5893" max="5893" width="9.7109375" style="128" customWidth="1"/>
    <col min="5894" max="5894" width="23.7109375" style="128" customWidth="1"/>
    <col min="5895" max="5895" width="18.7109375" style="128" customWidth="1"/>
    <col min="5896" max="5896" width="17.7109375" style="128" customWidth="1"/>
    <col min="5897" max="6144" width="9.140625" style="128"/>
    <col min="6145" max="6145" width="9.7109375" style="128" customWidth="1"/>
    <col min="6146" max="6146" width="57.42578125" style="128" customWidth="1"/>
    <col min="6147" max="6147" width="20.140625" style="128" customWidth="1"/>
    <col min="6148" max="6148" width="19.42578125" style="128" customWidth="1"/>
    <col min="6149" max="6149" width="9.7109375" style="128" customWidth="1"/>
    <col min="6150" max="6150" width="23.7109375" style="128" customWidth="1"/>
    <col min="6151" max="6151" width="18.7109375" style="128" customWidth="1"/>
    <col min="6152" max="6152" width="17.7109375" style="128" customWidth="1"/>
    <col min="6153" max="6400" width="9.140625" style="128"/>
    <col min="6401" max="6401" width="9.7109375" style="128" customWidth="1"/>
    <col min="6402" max="6402" width="57.42578125" style="128" customWidth="1"/>
    <col min="6403" max="6403" width="20.140625" style="128" customWidth="1"/>
    <col min="6404" max="6404" width="19.42578125" style="128" customWidth="1"/>
    <col min="6405" max="6405" width="9.7109375" style="128" customWidth="1"/>
    <col min="6406" max="6406" width="23.7109375" style="128" customWidth="1"/>
    <col min="6407" max="6407" width="18.7109375" style="128" customWidth="1"/>
    <col min="6408" max="6408" width="17.7109375" style="128" customWidth="1"/>
    <col min="6409" max="6656" width="9.140625" style="128"/>
    <col min="6657" max="6657" width="9.7109375" style="128" customWidth="1"/>
    <col min="6658" max="6658" width="57.42578125" style="128" customWidth="1"/>
    <col min="6659" max="6659" width="20.140625" style="128" customWidth="1"/>
    <col min="6660" max="6660" width="19.42578125" style="128" customWidth="1"/>
    <col min="6661" max="6661" width="9.7109375" style="128" customWidth="1"/>
    <col min="6662" max="6662" width="23.7109375" style="128" customWidth="1"/>
    <col min="6663" max="6663" width="18.7109375" style="128" customWidth="1"/>
    <col min="6664" max="6664" width="17.7109375" style="128" customWidth="1"/>
    <col min="6665" max="6912" width="9.140625" style="128"/>
    <col min="6913" max="6913" width="9.7109375" style="128" customWidth="1"/>
    <col min="6914" max="6914" width="57.42578125" style="128" customWidth="1"/>
    <col min="6915" max="6915" width="20.140625" style="128" customWidth="1"/>
    <col min="6916" max="6916" width="19.42578125" style="128" customWidth="1"/>
    <col min="6917" max="6917" width="9.7109375" style="128" customWidth="1"/>
    <col min="6918" max="6918" width="23.7109375" style="128" customWidth="1"/>
    <col min="6919" max="6919" width="18.7109375" style="128" customWidth="1"/>
    <col min="6920" max="6920" width="17.7109375" style="128" customWidth="1"/>
    <col min="6921" max="7168" width="9.140625" style="128"/>
    <col min="7169" max="7169" width="9.7109375" style="128" customWidth="1"/>
    <col min="7170" max="7170" width="57.42578125" style="128" customWidth="1"/>
    <col min="7171" max="7171" width="20.140625" style="128" customWidth="1"/>
    <col min="7172" max="7172" width="19.42578125" style="128" customWidth="1"/>
    <col min="7173" max="7173" width="9.7109375" style="128" customWidth="1"/>
    <col min="7174" max="7174" width="23.7109375" style="128" customWidth="1"/>
    <col min="7175" max="7175" width="18.7109375" style="128" customWidth="1"/>
    <col min="7176" max="7176" width="17.7109375" style="128" customWidth="1"/>
    <col min="7177" max="7424" width="9.140625" style="128"/>
    <col min="7425" max="7425" width="9.7109375" style="128" customWidth="1"/>
    <col min="7426" max="7426" width="57.42578125" style="128" customWidth="1"/>
    <col min="7427" max="7427" width="20.140625" style="128" customWidth="1"/>
    <col min="7428" max="7428" width="19.42578125" style="128" customWidth="1"/>
    <col min="7429" max="7429" width="9.7109375" style="128" customWidth="1"/>
    <col min="7430" max="7430" width="23.7109375" style="128" customWidth="1"/>
    <col min="7431" max="7431" width="18.7109375" style="128" customWidth="1"/>
    <col min="7432" max="7432" width="17.7109375" style="128" customWidth="1"/>
    <col min="7433" max="7680" width="9.140625" style="128"/>
    <col min="7681" max="7681" width="9.7109375" style="128" customWidth="1"/>
    <col min="7682" max="7682" width="57.42578125" style="128" customWidth="1"/>
    <col min="7683" max="7683" width="20.140625" style="128" customWidth="1"/>
    <col min="7684" max="7684" width="19.42578125" style="128" customWidth="1"/>
    <col min="7685" max="7685" width="9.7109375" style="128" customWidth="1"/>
    <col min="7686" max="7686" width="23.7109375" style="128" customWidth="1"/>
    <col min="7687" max="7687" width="18.7109375" style="128" customWidth="1"/>
    <col min="7688" max="7688" width="17.7109375" style="128" customWidth="1"/>
    <col min="7689" max="7936" width="9.140625" style="128"/>
    <col min="7937" max="7937" width="9.7109375" style="128" customWidth="1"/>
    <col min="7938" max="7938" width="57.42578125" style="128" customWidth="1"/>
    <col min="7939" max="7939" width="20.140625" style="128" customWidth="1"/>
    <col min="7940" max="7940" width="19.42578125" style="128" customWidth="1"/>
    <col min="7941" max="7941" width="9.7109375" style="128" customWidth="1"/>
    <col min="7942" max="7942" width="23.7109375" style="128" customWidth="1"/>
    <col min="7943" max="7943" width="18.7109375" style="128" customWidth="1"/>
    <col min="7944" max="7944" width="17.7109375" style="128" customWidth="1"/>
    <col min="7945" max="8192" width="9.140625" style="128"/>
    <col min="8193" max="8193" width="9.7109375" style="128" customWidth="1"/>
    <col min="8194" max="8194" width="57.42578125" style="128" customWidth="1"/>
    <col min="8195" max="8195" width="20.140625" style="128" customWidth="1"/>
    <col min="8196" max="8196" width="19.42578125" style="128" customWidth="1"/>
    <col min="8197" max="8197" width="9.7109375" style="128" customWidth="1"/>
    <col min="8198" max="8198" width="23.7109375" style="128" customWidth="1"/>
    <col min="8199" max="8199" width="18.7109375" style="128" customWidth="1"/>
    <col min="8200" max="8200" width="17.7109375" style="128" customWidth="1"/>
    <col min="8201" max="8448" width="9.140625" style="128"/>
    <col min="8449" max="8449" width="9.7109375" style="128" customWidth="1"/>
    <col min="8450" max="8450" width="57.42578125" style="128" customWidth="1"/>
    <col min="8451" max="8451" width="20.140625" style="128" customWidth="1"/>
    <col min="8452" max="8452" width="19.42578125" style="128" customWidth="1"/>
    <col min="8453" max="8453" width="9.7109375" style="128" customWidth="1"/>
    <col min="8454" max="8454" width="23.7109375" style="128" customWidth="1"/>
    <col min="8455" max="8455" width="18.7109375" style="128" customWidth="1"/>
    <col min="8456" max="8456" width="17.7109375" style="128" customWidth="1"/>
    <col min="8457" max="8704" width="9.140625" style="128"/>
    <col min="8705" max="8705" width="9.7109375" style="128" customWidth="1"/>
    <col min="8706" max="8706" width="57.42578125" style="128" customWidth="1"/>
    <col min="8707" max="8707" width="20.140625" style="128" customWidth="1"/>
    <col min="8708" max="8708" width="19.42578125" style="128" customWidth="1"/>
    <col min="8709" max="8709" width="9.7109375" style="128" customWidth="1"/>
    <col min="8710" max="8710" width="23.7109375" style="128" customWidth="1"/>
    <col min="8711" max="8711" width="18.7109375" style="128" customWidth="1"/>
    <col min="8712" max="8712" width="17.7109375" style="128" customWidth="1"/>
    <col min="8713" max="8960" width="9.140625" style="128"/>
    <col min="8961" max="8961" width="9.7109375" style="128" customWidth="1"/>
    <col min="8962" max="8962" width="57.42578125" style="128" customWidth="1"/>
    <col min="8963" max="8963" width="20.140625" style="128" customWidth="1"/>
    <col min="8964" max="8964" width="19.42578125" style="128" customWidth="1"/>
    <col min="8965" max="8965" width="9.7109375" style="128" customWidth="1"/>
    <col min="8966" max="8966" width="23.7109375" style="128" customWidth="1"/>
    <col min="8967" max="8967" width="18.7109375" style="128" customWidth="1"/>
    <col min="8968" max="8968" width="17.7109375" style="128" customWidth="1"/>
    <col min="8969" max="9216" width="9.140625" style="128"/>
    <col min="9217" max="9217" width="9.7109375" style="128" customWidth="1"/>
    <col min="9218" max="9218" width="57.42578125" style="128" customWidth="1"/>
    <col min="9219" max="9219" width="20.140625" style="128" customWidth="1"/>
    <col min="9220" max="9220" width="19.42578125" style="128" customWidth="1"/>
    <col min="9221" max="9221" width="9.7109375" style="128" customWidth="1"/>
    <col min="9222" max="9222" width="23.7109375" style="128" customWidth="1"/>
    <col min="9223" max="9223" width="18.7109375" style="128" customWidth="1"/>
    <col min="9224" max="9224" width="17.7109375" style="128" customWidth="1"/>
    <col min="9225" max="9472" width="9.140625" style="128"/>
    <col min="9473" max="9473" width="9.7109375" style="128" customWidth="1"/>
    <col min="9474" max="9474" width="57.42578125" style="128" customWidth="1"/>
    <col min="9475" max="9475" width="20.140625" style="128" customWidth="1"/>
    <col min="9476" max="9476" width="19.42578125" style="128" customWidth="1"/>
    <col min="9477" max="9477" width="9.7109375" style="128" customWidth="1"/>
    <col min="9478" max="9478" width="23.7109375" style="128" customWidth="1"/>
    <col min="9479" max="9479" width="18.7109375" style="128" customWidth="1"/>
    <col min="9480" max="9480" width="17.7109375" style="128" customWidth="1"/>
    <col min="9481" max="9728" width="9.140625" style="128"/>
    <col min="9729" max="9729" width="9.7109375" style="128" customWidth="1"/>
    <col min="9730" max="9730" width="57.42578125" style="128" customWidth="1"/>
    <col min="9731" max="9731" width="20.140625" style="128" customWidth="1"/>
    <col min="9732" max="9732" width="19.42578125" style="128" customWidth="1"/>
    <col min="9733" max="9733" width="9.7109375" style="128" customWidth="1"/>
    <col min="9734" max="9734" width="23.7109375" style="128" customWidth="1"/>
    <col min="9735" max="9735" width="18.7109375" style="128" customWidth="1"/>
    <col min="9736" max="9736" width="17.7109375" style="128" customWidth="1"/>
    <col min="9737" max="9984" width="9.140625" style="128"/>
    <col min="9985" max="9985" width="9.7109375" style="128" customWidth="1"/>
    <col min="9986" max="9986" width="57.42578125" style="128" customWidth="1"/>
    <col min="9987" max="9987" width="20.140625" style="128" customWidth="1"/>
    <col min="9988" max="9988" width="19.42578125" style="128" customWidth="1"/>
    <col min="9989" max="9989" width="9.7109375" style="128" customWidth="1"/>
    <col min="9990" max="9990" width="23.7109375" style="128" customWidth="1"/>
    <col min="9991" max="9991" width="18.7109375" style="128" customWidth="1"/>
    <col min="9992" max="9992" width="17.7109375" style="128" customWidth="1"/>
    <col min="9993" max="10240" width="9.140625" style="128"/>
    <col min="10241" max="10241" width="9.7109375" style="128" customWidth="1"/>
    <col min="10242" max="10242" width="57.42578125" style="128" customWidth="1"/>
    <col min="10243" max="10243" width="20.140625" style="128" customWidth="1"/>
    <col min="10244" max="10244" width="19.42578125" style="128" customWidth="1"/>
    <col min="10245" max="10245" width="9.7109375" style="128" customWidth="1"/>
    <col min="10246" max="10246" width="23.7109375" style="128" customWidth="1"/>
    <col min="10247" max="10247" width="18.7109375" style="128" customWidth="1"/>
    <col min="10248" max="10248" width="17.7109375" style="128" customWidth="1"/>
    <col min="10249" max="10496" width="9.140625" style="128"/>
    <col min="10497" max="10497" width="9.7109375" style="128" customWidth="1"/>
    <col min="10498" max="10498" width="57.42578125" style="128" customWidth="1"/>
    <col min="10499" max="10499" width="20.140625" style="128" customWidth="1"/>
    <col min="10500" max="10500" width="19.42578125" style="128" customWidth="1"/>
    <col min="10501" max="10501" width="9.7109375" style="128" customWidth="1"/>
    <col min="10502" max="10502" width="23.7109375" style="128" customWidth="1"/>
    <col min="10503" max="10503" width="18.7109375" style="128" customWidth="1"/>
    <col min="10504" max="10504" width="17.7109375" style="128" customWidth="1"/>
    <col min="10505" max="10752" width="9.140625" style="128"/>
    <col min="10753" max="10753" width="9.7109375" style="128" customWidth="1"/>
    <col min="10754" max="10754" width="57.42578125" style="128" customWidth="1"/>
    <col min="10755" max="10755" width="20.140625" style="128" customWidth="1"/>
    <col min="10756" max="10756" width="19.42578125" style="128" customWidth="1"/>
    <col min="10757" max="10757" width="9.7109375" style="128" customWidth="1"/>
    <col min="10758" max="10758" width="23.7109375" style="128" customWidth="1"/>
    <col min="10759" max="10759" width="18.7109375" style="128" customWidth="1"/>
    <col min="10760" max="10760" width="17.7109375" style="128" customWidth="1"/>
    <col min="10761" max="11008" width="9.140625" style="128"/>
    <col min="11009" max="11009" width="9.7109375" style="128" customWidth="1"/>
    <col min="11010" max="11010" width="57.42578125" style="128" customWidth="1"/>
    <col min="11011" max="11011" width="20.140625" style="128" customWidth="1"/>
    <col min="11012" max="11012" width="19.42578125" style="128" customWidth="1"/>
    <col min="11013" max="11013" width="9.7109375" style="128" customWidth="1"/>
    <col min="11014" max="11014" width="23.7109375" style="128" customWidth="1"/>
    <col min="11015" max="11015" width="18.7109375" style="128" customWidth="1"/>
    <col min="11016" max="11016" width="17.7109375" style="128" customWidth="1"/>
    <col min="11017" max="11264" width="9.140625" style="128"/>
    <col min="11265" max="11265" width="9.7109375" style="128" customWidth="1"/>
    <col min="11266" max="11266" width="57.42578125" style="128" customWidth="1"/>
    <col min="11267" max="11267" width="20.140625" style="128" customWidth="1"/>
    <col min="11268" max="11268" width="19.42578125" style="128" customWidth="1"/>
    <col min="11269" max="11269" width="9.7109375" style="128" customWidth="1"/>
    <col min="11270" max="11270" width="23.7109375" style="128" customWidth="1"/>
    <col min="11271" max="11271" width="18.7109375" style="128" customWidth="1"/>
    <col min="11272" max="11272" width="17.7109375" style="128" customWidth="1"/>
    <col min="11273" max="11520" width="9.140625" style="128"/>
    <col min="11521" max="11521" width="9.7109375" style="128" customWidth="1"/>
    <col min="11522" max="11522" width="57.42578125" style="128" customWidth="1"/>
    <col min="11523" max="11523" width="20.140625" style="128" customWidth="1"/>
    <col min="11524" max="11524" width="19.42578125" style="128" customWidth="1"/>
    <col min="11525" max="11525" width="9.7109375" style="128" customWidth="1"/>
    <col min="11526" max="11526" width="23.7109375" style="128" customWidth="1"/>
    <col min="11527" max="11527" width="18.7109375" style="128" customWidth="1"/>
    <col min="11528" max="11528" width="17.7109375" style="128" customWidth="1"/>
    <col min="11529" max="11776" width="9.140625" style="128"/>
    <col min="11777" max="11777" width="9.7109375" style="128" customWidth="1"/>
    <col min="11778" max="11778" width="57.42578125" style="128" customWidth="1"/>
    <col min="11779" max="11779" width="20.140625" style="128" customWidth="1"/>
    <col min="11780" max="11780" width="19.42578125" style="128" customWidth="1"/>
    <col min="11781" max="11781" width="9.7109375" style="128" customWidth="1"/>
    <col min="11782" max="11782" width="23.7109375" style="128" customWidth="1"/>
    <col min="11783" max="11783" width="18.7109375" style="128" customWidth="1"/>
    <col min="11784" max="11784" width="17.7109375" style="128" customWidth="1"/>
    <col min="11785" max="12032" width="9.140625" style="128"/>
    <col min="12033" max="12033" width="9.7109375" style="128" customWidth="1"/>
    <col min="12034" max="12034" width="57.42578125" style="128" customWidth="1"/>
    <col min="12035" max="12035" width="20.140625" style="128" customWidth="1"/>
    <col min="12036" max="12036" width="19.42578125" style="128" customWidth="1"/>
    <col min="12037" max="12037" width="9.7109375" style="128" customWidth="1"/>
    <col min="12038" max="12038" width="23.7109375" style="128" customWidth="1"/>
    <col min="12039" max="12039" width="18.7109375" style="128" customWidth="1"/>
    <col min="12040" max="12040" width="17.7109375" style="128" customWidth="1"/>
    <col min="12041" max="12288" width="9.140625" style="128"/>
    <col min="12289" max="12289" width="9.7109375" style="128" customWidth="1"/>
    <col min="12290" max="12290" width="57.42578125" style="128" customWidth="1"/>
    <col min="12291" max="12291" width="20.140625" style="128" customWidth="1"/>
    <col min="12292" max="12292" width="19.42578125" style="128" customWidth="1"/>
    <col min="12293" max="12293" width="9.7109375" style="128" customWidth="1"/>
    <col min="12294" max="12294" width="23.7109375" style="128" customWidth="1"/>
    <col min="12295" max="12295" width="18.7109375" style="128" customWidth="1"/>
    <col min="12296" max="12296" width="17.7109375" style="128" customWidth="1"/>
    <col min="12297" max="12544" width="9.140625" style="128"/>
    <col min="12545" max="12545" width="9.7109375" style="128" customWidth="1"/>
    <col min="12546" max="12546" width="57.42578125" style="128" customWidth="1"/>
    <col min="12547" max="12547" width="20.140625" style="128" customWidth="1"/>
    <col min="12548" max="12548" width="19.42578125" style="128" customWidth="1"/>
    <col min="12549" max="12549" width="9.7109375" style="128" customWidth="1"/>
    <col min="12550" max="12550" width="23.7109375" style="128" customWidth="1"/>
    <col min="12551" max="12551" width="18.7109375" style="128" customWidth="1"/>
    <col min="12552" max="12552" width="17.7109375" style="128" customWidth="1"/>
    <col min="12553" max="12800" width="9.140625" style="128"/>
    <col min="12801" max="12801" width="9.7109375" style="128" customWidth="1"/>
    <col min="12802" max="12802" width="57.42578125" style="128" customWidth="1"/>
    <col min="12803" max="12803" width="20.140625" style="128" customWidth="1"/>
    <col min="12804" max="12804" width="19.42578125" style="128" customWidth="1"/>
    <col min="12805" max="12805" width="9.7109375" style="128" customWidth="1"/>
    <col min="12806" max="12806" width="23.7109375" style="128" customWidth="1"/>
    <col min="12807" max="12807" width="18.7109375" style="128" customWidth="1"/>
    <col min="12808" max="12808" width="17.7109375" style="128" customWidth="1"/>
    <col min="12809" max="13056" width="9.140625" style="128"/>
    <col min="13057" max="13057" width="9.7109375" style="128" customWidth="1"/>
    <col min="13058" max="13058" width="57.42578125" style="128" customWidth="1"/>
    <col min="13059" max="13059" width="20.140625" style="128" customWidth="1"/>
    <col min="13060" max="13060" width="19.42578125" style="128" customWidth="1"/>
    <col min="13061" max="13061" width="9.7109375" style="128" customWidth="1"/>
    <col min="13062" max="13062" width="23.7109375" style="128" customWidth="1"/>
    <col min="13063" max="13063" width="18.7109375" style="128" customWidth="1"/>
    <col min="13064" max="13064" width="17.7109375" style="128" customWidth="1"/>
    <col min="13065" max="13312" width="9.140625" style="128"/>
    <col min="13313" max="13313" width="9.7109375" style="128" customWidth="1"/>
    <col min="13314" max="13314" width="57.42578125" style="128" customWidth="1"/>
    <col min="13315" max="13315" width="20.140625" style="128" customWidth="1"/>
    <col min="13316" max="13316" width="19.42578125" style="128" customWidth="1"/>
    <col min="13317" max="13317" width="9.7109375" style="128" customWidth="1"/>
    <col min="13318" max="13318" width="23.7109375" style="128" customWidth="1"/>
    <col min="13319" max="13319" width="18.7109375" style="128" customWidth="1"/>
    <col min="13320" max="13320" width="17.7109375" style="128" customWidth="1"/>
    <col min="13321" max="13568" width="9.140625" style="128"/>
    <col min="13569" max="13569" width="9.7109375" style="128" customWidth="1"/>
    <col min="13570" max="13570" width="57.42578125" style="128" customWidth="1"/>
    <col min="13571" max="13571" width="20.140625" style="128" customWidth="1"/>
    <col min="13572" max="13572" width="19.42578125" style="128" customWidth="1"/>
    <col min="13573" max="13573" width="9.7109375" style="128" customWidth="1"/>
    <col min="13574" max="13574" width="23.7109375" style="128" customWidth="1"/>
    <col min="13575" max="13575" width="18.7109375" style="128" customWidth="1"/>
    <col min="13576" max="13576" width="17.7109375" style="128" customWidth="1"/>
    <col min="13577" max="13824" width="9.140625" style="128"/>
    <col min="13825" max="13825" width="9.7109375" style="128" customWidth="1"/>
    <col min="13826" max="13826" width="57.42578125" style="128" customWidth="1"/>
    <col min="13827" max="13827" width="20.140625" style="128" customWidth="1"/>
    <col min="13828" max="13828" width="19.42578125" style="128" customWidth="1"/>
    <col min="13829" max="13829" width="9.7109375" style="128" customWidth="1"/>
    <col min="13830" max="13830" width="23.7109375" style="128" customWidth="1"/>
    <col min="13831" max="13831" width="18.7109375" style="128" customWidth="1"/>
    <col min="13832" max="13832" width="17.7109375" style="128" customWidth="1"/>
    <col min="13833" max="14080" width="9.140625" style="128"/>
    <col min="14081" max="14081" width="9.7109375" style="128" customWidth="1"/>
    <col min="14082" max="14082" width="57.42578125" style="128" customWidth="1"/>
    <col min="14083" max="14083" width="20.140625" style="128" customWidth="1"/>
    <col min="14084" max="14084" width="19.42578125" style="128" customWidth="1"/>
    <col min="14085" max="14085" width="9.7109375" style="128" customWidth="1"/>
    <col min="14086" max="14086" width="23.7109375" style="128" customWidth="1"/>
    <col min="14087" max="14087" width="18.7109375" style="128" customWidth="1"/>
    <col min="14088" max="14088" width="17.7109375" style="128" customWidth="1"/>
    <col min="14089" max="14336" width="9.140625" style="128"/>
    <col min="14337" max="14337" width="9.7109375" style="128" customWidth="1"/>
    <col min="14338" max="14338" width="57.42578125" style="128" customWidth="1"/>
    <col min="14339" max="14339" width="20.140625" style="128" customWidth="1"/>
    <col min="14340" max="14340" width="19.42578125" style="128" customWidth="1"/>
    <col min="14341" max="14341" width="9.7109375" style="128" customWidth="1"/>
    <col min="14342" max="14342" width="23.7109375" style="128" customWidth="1"/>
    <col min="14343" max="14343" width="18.7109375" style="128" customWidth="1"/>
    <col min="14344" max="14344" width="17.7109375" style="128" customWidth="1"/>
    <col min="14345" max="14592" width="9.140625" style="128"/>
    <col min="14593" max="14593" width="9.7109375" style="128" customWidth="1"/>
    <col min="14594" max="14594" width="57.42578125" style="128" customWidth="1"/>
    <col min="14595" max="14595" width="20.140625" style="128" customWidth="1"/>
    <col min="14596" max="14596" width="19.42578125" style="128" customWidth="1"/>
    <col min="14597" max="14597" width="9.7109375" style="128" customWidth="1"/>
    <col min="14598" max="14598" width="23.7109375" style="128" customWidth="1"/>
    <col min="14599" max="14599" width="18.7109375" style="128" customWidth="1"/>
    <col min="14600" max="14600" width="17.7109375" style="128" customWidth="1"/>
    <col min="14601" max="14848" width="9.140625" style="128"/>
    <col min="14849" max="14849" width="9.7109375" style="128" customWidth="1"/>
    <col min="14850" max="14850" width="57.42578125" style="128" customWidth="1"/>
    <col min="14851" max="14851" width="20.140625" style="128" customWidth="1"/>
    <col min="14852" max="14852" width="19.42578125" style="128" customWidth="1"/>
    <col min="14853" max="14853" width="9.7109375" style="128" customWidth="1"/>
    <col min="14854" max="14854" width="23.7109375" style="128" customWidth="1"/>
    <col min="14855" max="14855" width="18.7109375" style="128" customWidth="1"/>
    <col min="14856" max="14856" width="17.7109375" style="128" customWidth="1"/>
    <col min="14857" max="15104" width="9.140625" style="128"/>
    <col min="15105" max="15105" width="9.7109375" style="128" customWidth="1"/>
    <col min="15106" max="15106" width="57.42578125" style="128" customWidth="1"/>
    <col min="15107" max="15107" width="20.140625" style="128" customWidth="1"/>
    <col min="15108" max="15108" width="19.42578125" style="128" customWidth="1"/>
    <col min="15109" max="15109" width="9.7109375" style="128" customWidth="1"/>
    <col min="15110" max="15110" width="23.7109375" style="128" customWidth="1"/>
    <col min="15111" max="15111" width="18.7109375" style="128" customWidth="1"/>
    <col min="15112" max="15112" width="17.7109375" style="128" customWidth="1"/>
    <col min="15113" max="15360" width="9.140625" style="128"/>
    <col min="15361" max="15361" width="9.7109375" style="128" customWidth="1"/>
    <col min="15362" max="15362" width="57.42578125" style="128" customWidth="1"/>
    <col min="15363" max="15363" width="20.140625" style="128" customWidth="1"/>
    <col min="15364" max="15364" width="19.42578125" style="128" customWidth="1"/>
    <col min="15365" max="15365" width="9.7109375" style="128" customWidth="1"/>
    <col min="15366" max="15366" width="23.7109375" style="128" customWidth="1"/>
    <col min="15367" max="15367" width="18.7109375" style="128" customWidth="1"/>
    <col min="15368" max="15368" width="17.7109375" style="128" customWidth="1"/>
    <col min="15369" max="15616" width="9.140625" style="128"/>
    <col min="15617" max="15617" width="9.7109375" style="128" customWidth="1"/>
    <col min="15618" max="15618" width="57.42578125" style="128" customWidth="1"/>
    <col min="15619" max="15619" width="20.140625" style="128" customWidth="1"/>
    <col min="15620" max="15620" width="19.42578125" style="128" customWidth="1"/>
    <col min="15621" max="15621" width="9.7109375" style="128" customWidth="1"/>
    <col min="15622" max="15622" width="23.7109375" style="128" customWidth="1"/>
    <col min="15623" max="15623" width="18.7109375" style="128" customWidth="1"/>
    <col min="15624" max="15624" width="17.7109375" style="128" customWidth="1"/>
    <col min="15625" max="15872" width="9.140625" style="128"/>
    <col min="15873" max="15873" width="9.7109375" style="128" customWidth="1"/>
    <col min="15874" max="15874" width="57.42578125" style="128" customWidth="1"/>
    <col min="15875" max="15875" width="20.140625" style="128" customWidth="1"/>
    <col min="15876" max="15876" width="19.42578125" style="128" customWidth="1"/>
    <col min="15877" max="15877" width="9.7109375" style="128" customWidth="1"/>
    <col min="15878" max="15878" width="23.7109375" style="128" customWidth="1"/>
    <col min="15879" max="15879" width="18.7109375" style="128" customWidth="1"/>
    <col min="15880" max="15880" width="17.7109375" style="128" customWidth="1"/>
    <col min="15881" max="16128" width="9.140625" style="128"/>
    <col min="16129" max="16129" width="9.7109375" style="128" customWidth="1"/>
    <col min="16130" max="16130" width="57.42578125" style="128" customWidth="1"/>
    <col min="16131" max="16131" width="20.140625" style="128" customWidth="1"/>
    <col min="16132" max="16132" width="19.42578125" style="128" customWidth="1"/>
    <col min="16133" max="16133" width="9.7109375" style="128" customWidth="1"/>
    <col min="16134" max="16134" width="23.7109375" style="128" customWidth="1"/>
    <col min="16135" max="16135" width="18.7109375" style="128" customWidth="1"/>
    <col min="16136" max="16136" width="17.7109375" style="128" customWidth="1"/>
    <col min="16137" max="16384" width="9.140625" style="128"/>
  </cols>
  <sheetData>
    <row r="1" spans="1:7" ht="28.35" customHeight="1">
      <c r="B1" s="1980" t="s">
        <v>453</v>
      </c>
      <c r="C1" s="1980"/>
      <c r="D1" s="1980"/>
      <c r="E1" s="1980"/>
      <c r="F1" s="1980"/>
    </row>
    <row r="2" spans="1:7" ht="12" customHeight="1">
      <c r="B2" s="129"/>
      <c r="C2" s="129"/>
      <c r="D2" s="129"/>
      <c r="E2" s="129"/>
    </row>
    <row r="3" spans="1:7" ht="5.0999999999999996" customHeight="1">
      <c r="B3" s="130"/>
    </row>
    <row r="4" spans="1:7" ht="48" customHeight="1">
      <c r="A4" s="1981" t="s">
        <v>454</v>
      </c>
      <c r="B4" s="1983">
        <v>1588</v>
      </c>
      <c r="C4" s="131" t="s">
        <v>455</v>
      </c>
      <c r="D4" s="132" t="s">
        <v>440</v>
      </c>
      <c r="E4" s="1985" t="s">
        <v>456</v>
      </c>
      <c r="F4" s="1987" t="s">
        <v>457</v>
      </c>
      <c r="G4" s="1973" t="s">
        <v>458</v>
      </c>
    </row>
    <row r="5" spans="1:7" ht="52.35" customHeight="1">
      <c r="A5" s="1982"/>
      <c r="B5" s="1984"/>
      <c r="C5" s="133" t="s">
        <v>459</v>
      </c>
      <c r="D5" s="134" t="s">
        <v>460</v>
      </c>
      <c r="E5" s="1986"/>
      <c r="F5" s="1988"/>
      <c r="G5" s="1973"/>
    </row>
    <row r="6" spans="1:7" ht="17.100000000000001" customHeight="1">
      <c r="A6" s="135">
        <v>1</v>
      </c>
      <c r="B6" s="136">
        <v>2</v>
      </c>
      <c r="C6" s="137">
        <v>3</v>
      </c>
      <c r="D6" s="138">
        <v>4</v>
      </c>
      <c r="E6" s="139">
        <v>5</v>
      </c>
      <c r="F6" s="135">
        <v>6</v>
      </c>
      <c r="G6" s="140">
        <v>7</v>
      </c>
    </row>
    <row r="7" spans="1:7" ht="50.1" customHeight="1">
      <c r="A7" s="1974" t="s">
        <v>461</v>
      </c>
      <c r="B7" s="1974"/>
      <c r="C7" s="141">
        <f>C8+C9+C89+C94</f>
        <v>692618434.62999988</v>
      </c>
      <c r="D7" s="141">
        <f>D8+D9+D89+D94</f>
        <v>663536557.45999992</v>
      </c>
      <c r="E7" s="142">
        <f>(D7/C7)*100</f>
        <v>95.80116905413648</v>
      </c>
      <c r="F7" s="143">
        <f>C7-D7</f>
        <v>29081877.169999957</v>
      </c>
      <c r="G7" s="144"/>
    </row>
    <row r="8" spans="1:7" ht="33" customHeight="1">
      <c r="A8" s="145"/>
      <c r="B8" s="146" t="s">
        <v>462</v>
      </c>
      <c r="C8" s="147">
        <v>996603</v>
      </c>
      <c r="D8" s="147">
        <v>996603</v>
      </c>
      <c r="E8" s="148">
        <f>(D8/C8)*100</f>
        <v>100</v>
      </c>
      <c r="F8" s="149">
        <f>C8-D8</f>
        <v>0</v>
      </c>
      <c r="G8" s="150" t="s">
        <v>463</v>
      </c>
    </row>
    <row r="9" spans="1:7" ht="53.25" customHeight="1">
      <c r="A9" s="1975" t="s">
        <v>464</v>
      </c>
      <c r="B9" s="1976"/>
      <c r="C9" s="151">
        <f>C10+C29+C81+C87</f>
        <v>689450656.62999988</v>
      </c>
      <c r="D9" s="151">
        <f>D10+D29+D81+D87</f>
        <v>660368779.45999992</v>
      </c>
      <c r="E9" s="152">
        <f t="shared" ref="E9:E72" si="0">(D9/C9)*100</f>
        <v>95.781876934870041</v>
      </c>
      <c r="F9" s="153">
        <f>C9-D9</f>
        <v>29081877.169999957</v>
      </c>
      <c r="G9" s="154"/>
    </row>
    <row r="10" spans="1:7" ht="41.1" customHeight="1">
      <c r="A10" s="155" t="s">
        <v>16</v>
      </c>
      <c r="B10" s="156" t="s">
        <v>17</v>
      </c>
      <c r="C10" s="157">
        <f>C11+C23</f>
        <v>79841852.379999995</v>
      </c>
      <c r="D10" s="157">
        <f>D11+D23</f>
        <v>53053824.539999999</v>
      </c>
      <c r="E10" s="158">
        <f t="shared" si="0"/>
        <v>66.448639352072121</v>
      </c>
      <c r="F10" s="159">
        <f t="shared" ref="F10:F73" si="1">C10-D10</f>
        <v>26788027.839999996</v>
      </c>
      <c r="G10" s="160"/>
    </row>
    <row r="11" spans="1:7" ht="51" customHeight="1">
      <c r="A11" s="161"/>
      <c r="B11" s="162" t="s">
        <v>465</v>
      </c>
      <c r="C11" s="163">
        <f>C12</f>
        <v>68523442.769999996</v>
      </c>
      <c r="D11" s="163">
        <f>D12</f>
        <v>41735414.93</v>
      </c>
      <c r="E11" s="164">
        <f t="shared" si="0"/>
        <v>60.906768899638585</v>
      </c>
      <c r="F11" s="165">
        <f t="shared" si="1"/>
        <v>26788027.839999996</v>
      </c>
      <c r="G11" s="154"/>
    </row>
    <row r="12" spans="1:7" ht="60.6" customHeight="1">
      <c r="A12" s="166" t="s">
        <v>172</v>
      </c>
      <c r="B12" s="167" t="s">
        <v>466</v>
      </c>
      <c r="C12" s="168">
        <f>C13+C14+C15+C16+C22+C19</f>
        <v>68523442.769999996</v>
      </c>
      <c r="D12" s="168">
        <f>D13+D14+D15+D16+D22+D19</f>
        <v>41735414.93</v>
      </c>
      <c r="E12" s="169">
        <f t="shared" si="0"/>
        <v>60.906768899638585</v>
      </c>
      <c r="F12" s="168">
        <f>F13+F14+F15+F16</f>
        <v>2178</v>
      </c>
      <c r="G12" s="154"/>
    </row>
    <row r="13" spans="1:7" ht="56.1" customHeight="1">
      <c r="A13" s="170" t="s">
        <v>19</v>
      </c>
      <c r="B13" s="171" t="s">
        <v>467</v>
      </c>
      <c r="C13" s="172">
        <v>11216299.77</v>
      </c>
      <c r="D13" s="173">
        <v>11216299.77</v>
      </c>
      <c r="E13" s="169">
        <f t="shared" si="0"/>
        <v>100</v>
      </c>
      <c r="F13" s="174">
        <f t="shared" si="1"/>
        <v>0</v>
      </c>
      <c r="G13" s="175" t="s">
        <v>23</v>
      </c>
    </row>
    <row r="14" spans="1:7" ht="49.35" customHeight="1">
      <c r="A14" s="176" t="s">
        <v>468</v>
      </c>
      <c r="B14" s="177" t="s">
        <v>24</v>
      </c>
      <c r="C14" s="178">
        <v>1817988</v>
      </c>
      <c r="D14" s="178">
        <v>1815930</v>
      </c>
      <c r="E14" s="169">
        <f t="shared" si="0"/>
        <v>99.886797932659618</v>
      </c>
      <c r="F14" s="174">
        <f t="shared" si="1"/>
        <v>2058</v>
      </c>
      <c r="G14" s="179" t="s">
        <v>469</v>
      </c>
    </row>
    <row r="15" spans="1:7" ht="66.599999999999994" customHeight="1">
      <c r="A15" s="176" t="s">
        <v>470</v>
      </c>
      <c r="B15" s="177" t="s">
        <v>27</v>
      </c>
      <c r="C15" s="178">
        <v>2850000</v>
      </c>
      <c r="D15" s="178">
        <v>2849880</v>
      </c>
      <c r="E15" s="169">
        <f t="shared" si="0"/>
        <v>99.995789473684212</v>
      </c>
      <c r="F15" s="180">
        <f t="shared" si="1"/>
        <v>120</v>
      </c>
      <c r="G15" s="175" t="s">
        <v>23</v>
      </c>
    </row>
    <row r="16" spans="1:7" ht="23.45" customHeight="1">
      <c r="A16" s="176" t="s">
        <v>471</v>
      </c>
      <c r="B16" s="177" t="s">
        <v>29</v>
      </c>
      <c r="C16" s="178">
        <f>C17+C18</f>
        <v>12878310</v>
      </c>
      <c r="D16" s="178">
        <f>D17+D18</f>
        <v>12878310</v>
      </c>
      <c r="E16" s="169">
        <f t="shared" si="0"/>
        <v>100</v>
      </c>
      <c r="F16" s="174">
        <f t="shared" si="1"/>
        <v>0</v>
      </c>
      <c r="G16" s="175"/>
    </row>
    <row r="17" spans="1:7" ht="21" customHeight="1">
      <c r="A17" s="176"/>
      <c r="B17" s="181" t="s">
        <v>472</v>
      </c>
      <c r="C17" s="182">
        <v>9143600</v>
      </c>
      <c r="D17" s="182">
        <v>9143600</v>
      </c>
      <c r="E17" s="183"/>
      <c r="F17" s="184">
        <f t="shared" si="1"/>
        <v>0</v>
      </c>
      <c r="G17" s="175" t="s">
        <v>473</v>
      </c>
    </row>
    <row r="18" spans="1:7" ht="21" customHeight="1">
      <c r="A18" s="176"/>
      <c r="B18" s="181" t="s">
        <v>474</v>
      </c>
      <c r="C18" s="182">
        <v>3734710</v>
      </c>
      <c r="D18" s="182">
        <v>3734710</v>
      </c>
      <c r="E18" s="183"/>
      <c r="F18" s="184">
        <f t="shared" si="1"/>
        <v>0</v>
      </c>
      <c r="G18" s="175"/>
    </row>
    <row r="19" spans="1:7" ht="21" customHeight="1">
      <c r="A19" s="176" t="s">
        <v>475</v>
      </c>
      <c r="B19" s="177" t="s">
        <v>476</v>
      </c>
      <c r="C19" s="185">
        <f>C20+C21</f>
        <v>10810845</v>
      </c>
      <c r="D19" s="186">
        <f>D20+D21</f>
        <v>8899658.8300000001</v>
      </c>
      <c r="E19" s="169">
        <f t="shared" si="0"/>
        <v>82.321583835491126</v>
      </c>
      <c r="F19" s="180">
        <f t="shared" si="1"/>
        <v>1911186.17</v>
      </c>
      <c r="G19" s="175" t="s">
        <v>469</v>
      </c>
    </row>
    <row r="20" spans="1:7" ht="21" customHeight="1">
      <c r="A20" s="176"/>
      <c r="B20" s="181" t="s">
        <v>472</v>
      </c>
      <c r="C20" s="182">
        <v>7675700</v>
      </c>
      <c r="D20" s="182">
        <v>6318757.8099999996</v>
      </c>
      <c r="E20" s="183"/>
      <c r="F20" s="184">
        <f t="shared" si="1"/>
        <v>1356942.1900000004</v>
      </c>
      <c r="G20" s="175"/>
    </row>
    <row r="21" spans="1:7" ht="21" customHeight="1">
      <c r="A21" s="176"/>
      <c r="B21" s="181" t="s">
        <v>474</v>
      </c>
      <c r="C21" s="182">
        <v>3135145</v>
      </c>
      <c r="D21" s="182">
        <v>2580901.02</v>
      </c>
      <c r="E21" s="183"/>
      <c r="F21" s="184">
        <f t="shared" si="1"/>
        <v>554243.98</v>
      </c>
      <c r="G21" s="175"/>
    </row>
    <row r="22" spans="1:7" ht="42" customHeight="1">
      <c r="A22" s="176" t="s">
        <v>477</v>
      </c>
      <c r="B22" s="177" t="s">
        <v>478</v>
      </c>
      <c r="C22" s="178">
        <v>28950000</v>
      </c>
      <c r="D22" s="182">
        <v>4075336.33</v>
      </c>
      <c r="E22" s="169">
        <f>(D22/C22)*100</f>
        <v>14.077154853195164</v>
      </c>
      <c r="F22" s="180">
        <f t="shared" si="1"/>
        <v>24874663.670000002</v>
      </c>
      <c r="G22" s="175" t="s">
        <v>469</v>
      </c>
    </row>
    <row r="23" spans="1:7" ht="54.6" customHeight="1">
      <c r="A23" s="187"/>
      <c r="B23" s="188" t="s">
        <v>479</v>
      </c>
      <c r="C23" s="163">
        <f>C24</f>
        <v>11318409.609999999</v>
      </c>
      <c r="D23" s="163">
        <f>D24</f>
        <v>11318409.609999999</v>
      </c>
      <c r="E23" s="164">
        <f t="shared" si="0"/>
        <v>100</v>
      </c>
      <c r="F23" s="165">
        <f t="shared" si="1"/>
        <v>0</v>
      </c>
      <c r="G23" s="160"/>
    </row>
    <row r="24" spans="1:7" ht="71.45" customHeight="1">
      <c r="A24" s="189" t="s">
        <v>173</v>
      </c>
      <c r="B24" s="190" t="s">
        <v>480</v>
      </c>
      <c r="C24" s="191">
        <f>C25+C28</f>
        <v>11318409.609999999</v>
      </c>
      <c r="D24" s="191">
        <f>D25+D28</f>
        <v>11318409.609999999</v>
      </c>
      <c r="E24" s="169">
        <f t="shared" si="0"/>
        <v>100</v>
      </c>
      <c r="F24" s="174">
        <f t="shared" si="1"/>
        <v>0</v>
      </c>
      <c r="G24" s="154"/>
    </row>
    <row r="25" spans="1:7" ht="44.45" customHeight="1">
      <c r="A25" s="192" t="s">
        <v>191</v>
      </c>
      <c r="B25" s="193" t="s">
        <v>481</v>
      </c>
      <c r="C25" s="168">
        <f>C26+C27</f>
        <v>10843409.609999999</v>
      </c>
      <c r="D25" s="168">
        <f>D26+D27</f>
        <v>10843409.609999999</v>
      </c>
      <c r="E25" s="169">
        <f t="shared" si="0"/>
        <v>100</v>
      </c>
      <c r="F25" s="174">
        <f t="shared" si="1"/>
        <v>0</v>
      </c>
      <c r="G25" s="175" t="s">
        <v>23</v>
      </c>
    </row>
    <row r="26" spans="1:7" ht="60.6" customHeight="1">
      <c r="A26" s="192"/>
      <c r="B26" s="177" t="s">
        <v>482</v>
      </c>
      <c r="C26" s="168">
        <v>3726860.58</v>
      </c>
      <c r="D26" s="194">
        <v>3726860.58</v>
      </c>
      <c r="E26" s="169">
        <f t="shared" si="0"/>
        <v>100</v>
      </c>
      <c r="F26" s="180">
        <f t="shared" si="1"/>
        <v>0</v>
      </c>
      <c r="G26" s="175"/>
    </row>
    <row r="27" spans="1:7" ht="36.6" customHeight="1">
      <c r="A27" s="192"/>
      <c r="B27" s="193" t="s">
        <v>483</v>
      </c>
      <c r="C27" s="168">
        <v>7116549.0300000003</v>
      </c>
      <c r="D27" s="194">
        <v>7116549.0300000003</v>
      </c>
      <c r="E27" s="169">
        <f t="shared" si="0"/>
        <v>100</v>
      </c>
      <c r="F27" s="180">
        <f t="shared" si="1"/>
        <v>0</v>
      </c>
      <c r="G27" s="175"/>
    </row>
    <row r="28" spans="1:7" ht="36.6" customHeight="1">
      <c r="A28" s="195" t="s">
        <v>193</v>
      </c>
      <c r="B28" s="171" t="s">
        <v>484</v>
      </c>
      <c r="C28" s="196">
        <v>475000</v>
      </c>
      <c r="D28" s="196">
        <v>475000</v>
      </c>
      <c r="E28" s="169">
        <f>(D28/C28)*100</f>
        <v>100</v>
      </c>
      <c r="F28" s="180">
        <f>C28-D28</f>
        <v>0</v>
      </c>
      <c r="G28" s="175" t="s">
        <v>23</v>
      </c>
    </row>
    <row r="29" spans="1:7" ht="38.450000000000003" customHeight="1">
      <c r="A29" s="197" t="s">
        <v>485</v>
      </c>
      <c r="B29" s="198" t="s">
        <v>41</v>
      </c>
      <c r="C29" s="199">
        <f>C30+C50</f>
        <v>568818058.8499999</v>
      </c>
      <c r="D29" s="199">
        <f>D30+D50</f>
        <v>567333901.80999994</v>
      </c>
      <c r="E29" s="200">
        <f t="shared" si="0"/>
        <v>99.73908053429237</v>
      </c>
      <c r="F29" s="201">
        <f t="shared" si="1"/>
        <v>1484157.0399999619</v>
      </c>
      <c r="G29" s="160"/>
    </row>
    <row r="30" spans="1:7" ht="37.35" customHeight="1">
      <c r="A30" s="187"/>
      <c r="B30" s="188" t="s">
        <v>486</v>
      </c>
      <c r="C30" s="163">
        <f>C31</f>
        <v>116068184.06999999</v>
      </c>
      <c r="D30" s="163">
        <f>D31</f>
        <v>115598212.19999999</v>
      </c>
      <c r="E30" s="164">
        <f t="shared" si="0"/>
        <v>99.595089839850885</v>
      </c>
      <c r="F30" s="165">
        <f t="shared" si="1"/>
        <v>469971.87000000477</v>
      </c>
      <c r="G30" s="154"/>
    </row>
    <row r="31" spans="1:7" ht="60" customHeight="1">
      <c r="A31" s="202" t="s">
        <v>174</v>
      </c>
      <c r="B31" s="203" t="s">
        <v>487</v>
      </c>
      <c r="C31" s="196">
        <f>C32+C38+C39+C40+C41+C43+C48+C42+C49</f>
        <v>116068184.06999999</v>
      </c>
      <c r="D31" s="196">
        <f>D32+D38+D39+D40+D41+D43+D48+D42+D49</f>
        <v>115598212.19999999</v>
      </c>
      <c r="E31" s="169">
        <f t="shared" si="0"/>
        <v>99.595089839850885</v>
      </c>
      <c r="F31" s="174">
        <f t="shared" si="1"/>
        <v>469971.87000000477</v>
      </c>
      <c r="G31" s="154"/>
    </row>
    <row r="32" spans="1:7" ht="35.1" customHeight="1">
      <c r="A32" s="1977" t="s">
        <v>43</v>
      </c>
      <c r="B32" s="204" t="s">
        <v>488</v>
      </c>
      <c r="C32" s="196">
        <f>C33+C34+C35+C36+C37</f>
        <v>73924955.519999996</v>
      </c>
      <c r="D32" s="196">
        <f>D33+D34+D35+D36+D37</f>
        <v>73924955.519999996</v>
      </c>
      <c r="E32" s="169">
        <f t="shared" si="0"/>
        <v>100</v>
      </c>
      <c r="F32" s="174">
        <f t="shared" si="1"/>
        <v>0</v>
      </c>
      <c r="G32" s="154"/>
    </row>
    <row r="33" spans="1:7" ht="35.1" customHeight="1">
      <c r="A33" s="1977"/>
      <c r="B33" s="205" t="s">
        <v>489</v>
      </c>
      <c r="C33" s="206">
        <v>27015970</v>
      </c>
      <c r="D33" s="207">
        <v>27015970</v>
      </c>
      <c r="E33" s="169">
        <f t="shared" si="0"/>
        <v>100</v>
      </c>
      <c r="F33" s="174">
        <f t="shared" si="1"/>
        <v>0</v>
      </c>
      <c r="G33" s="175" t="s">
        <v>23</v>
      </c>
    </row>
    <row r="34" spans="1:7" ht="35.1" customHeight="1">
      <c r="A34" s="1977"/>
      <c r="B34" s="205" t="s">
        <v>490</v>
      </c>
      <c r="C34" s="208">
        <v>3477400.01</v>
      </c>
      <c r="D34" s="209">
        <v>3477400.01</v>
      </c>
      <c r="E34" s="169">
        <f t="shared" si="0"/>
        <v>100</v>
      </c>
      <c r="F34" s="174">
        <f t="shared" si="1"/>
        <v>0</v>
      </c>
      <c r="G34" s="175" t="s">
        <v>23</v>
      </c>
    </row>
    <row r="35" spans="1:7" ht="35.1" customHeight="1">
      <c r="A35" s="1977"/>
      <c r="B35" s="205" t="s">
        <v>491</v>
      </c>
      <c r="C35" s="208">
        <v>20741707.32</v>
      </c>
      <c r="D35" s="209">
        <v>20741707.32</v>
      </c>
      <c r="E35" s="169">
        <f t="shared" si="0"/>
        <v>100</v>
      </c>
      <c r="F35" s="174">
        <f t="shared" si="1"/>
        <v>0</v>
      </c>
      <c r="G35" s="175" t="s">
        <v>23</v>
      </c>
    </row>
    <row r="36" spans="1:7" ht="35.1" customHeight="1">
      <c r="A36" s="1977"/>
      <c r="B36" s="205" t="s">
        <v>492</v>
      </c>
      <c r="C36" s="208">
        <v>16727186.73</v>
      </c>
      <c r="D36" s="209">
        <v>16727186.73</v>
      </c>
      <c r="E36" s="169">
        <f t="shared" si="0"/>
        <v>100</v>
      </c>
      <c r="F36" s="174">
        <f t="shared" si="1"/>
        <v>0</v>
      </c>
      <c r="G36" s="175" t="s">
        <v>23</v>
      </c>
    </row>
    <row r="37" spans="1:7" ht="35.1" customHeight="1">
      <c r="A37" s="1977"/>
      <c r="B37" s="205" t="s">
        <v>493</v>
      </c>
      <c r="C37" s="206">
        <v>5962691.46</v>
      </c>
      <c r="D37" s="207">
        <v>5962691.46</v>
      </c>
      <c r="E37" s="169">
        <f t="shared" si="0"/>
        <v>100</v>
      </c>
      <c r="F37" s="174">
        <f t="shared" si="1"/>
        <v>0</v>
      </c>
      <c r="G37" s="175" t="s">
        <v>23</v>
      </c>
    </row>
    <row r="38" spans="1:7" ht="48.6" customHeight="1">
      <c r="A38" s="210" t="s">
        <v>196</v>
      </c>
      <c r="B38" s="211" t="s">
        <v>48</v>
      </c>
      <c r="C38" s="178">
        <v>13966550</v>
      </c>
      <c r="D38" s="178">
        <v>13966550</v>
      </c>
      <c r="E38" s="169">
        <f t="shared" si="0"/>
        <v>100</v>
      </c>
      <c r="F38" s="180">
        <f t="shared" si="1"/>
        <v>0</v>
      </c>
      <c r="G38" s="212" t="s">
        <v>494</v>
      </c>
    </row>
    <row r="39" spans="1:7" ht="54" customHeight="1">
      <c r="A39" s="192" t="s">
        <v>197</v>
      </c>
      <c r="B39" s="193" t="s">
        <v>50</v>
      </c>
      <c r="C39" s="208">
        <v>533108.55000000005</v>
      </c>
      <c r="D39" s="208">
        <v>478500</v>
      </c>
      <c r="E39" s="169">
        <f t="shared" si="0"/>
        <v>89.756579593405505</v>
      </c>
      <c r="F39" s="174">
        <f t="shared" si="1"/>
        <v>54608.550000000047</v>
      </c>
      <c r="G39" s="154"/>
    </row>
    <row r="40" spans="1:7" ht="32.450000000000003" customHeight="1">
      <c r="A40" s="192" t="s">
        <v>198</v>
      </c>
      <c r="B40" s="193" t="s">
        <v>52</v>
      </c>
      <c r="C40" s="208">
        <v>30000</v>
      </c>
      <c r="D40" s="208">
        <v>30000</v>
      </c>
      <c r="E40" s="169">
        <f t="shared" si="0"/>
        <v>100</v>
      </c>
      <c r="F40" s="174">
        <f t="shared" si="1"/>
        <v>0</v>
      </c>
      <c r="G40" s="154"/>
    </row>
    <row r="41" spans="1:7" ht="33.6" customHeight="1">
      <c r="A41" s="192" t="s">
        <v>201</v>
      </c>
      <c r="B41" s="193" t="s">
        <v>495</v>
      </c>
      <c r="C41" s="208">
        <v>21912500</v>
      </c>
      <c r="D41" s="208">
        <v>21912500</v>
      </c>
      <c r="E41" s="169">
        <f t="shared" si="0"/>
        <v>100</v>
      </c>
      <c r="F41" s="174">
        <f t="shared" si="1"/>
        <v>0</v>
      </c>
      <c r="G41" s="154"/>
    </row>
    <row r="42" spans="1:7" ht="21.6" customHeight="1">
      <c r="A42" s="195" t="s">
        <v>203</v>
      </c>
      <c r="B42" s="177" t="s">
        <v>496</v>
      </c>
      <c r="C42" s="178">
        <v>669000</v>
      </c>
      <c r="D42" s="178">
        <v>415000</v>
      </c>
      <c r="E42" s="169">
        <f t="shared" si="0"/>
        <v>62.03288490284006</v>
      </c>
      <c r="F42" s="180">
        <f t="shared" si="1"/>
        <v>254000</v>
      </c>
      <c r="G42" s="154"/>
    </row>
    <row r="43" spans="1:7" ht="41.45" customHeight="1">
      <c r="A43" s="195" t="s">
        <v>204</v>
      </c>
      <c r="B43" s="177" t="s">
        <v>152</v>
      </c>
      <c r="C43" s="178">
        <f>C44+C45+C46+C47</f>
        <v>32070</v>
      </c>
      <c r="D43" s="178">
        <f>D44+D45+D46+D47</f>
        <v>32045</v>
      </c>
      <c r="E43" s="169">
        <f>(D43/C43)*100</f>
        <v>99.922045525413168</v>
      </c>
      <c r="F43" s="180">
        <f>C43-D43</f>
        <v>25</v>
      </c>
      <c r="G43" s="154"/>
    </row>
    <row r="44" spans="1:7" ht="25.35" customHeight="1">
      <c r="A44" s="195"/>
      <c r="B44" s="205" t="s">
        <v>497</v>
      </c>
      <c r="C44" s="213">
        <v>3300</v>
      </c>
      <c r="D44" s="213">
        <v>3300</v>
      </c>
      <c r="E44" s="169">
        <f>(D44/C44)*100</f>
        <v>100</v>
      </c>
      <c r="F44" s="214">
        <f>C44-D44</f>
        <v>0</v>
      </c>
      <c r="G44" s="154"/>
    </row>
    <row r="45" spans="1:7" ht="25.35" customHeight="1">
      <c r="A45" s="195"/>
      <c r="B45" s="205" t="s">
        <v>23</v>
      </c>
      <c r="C45" s="213">
        <v>10000</v>
      </c>
      <c r="D45" s="213">
        <v>9975</v>
      </c>
      <c r="E45" s="169">
        <f>(D45/C45)*100</f>
        <v>99.75</v>
      </c>
      <c r="F45" s="214">
        <f>C45-D45</f>
        <v>25</v>
      </c>
      <c r="G45" s="154"/>
    </row>
    <row r="46" spans="1:7" ht="25.35" customHeight="1">
      <c r="A46" s="195"/>
      <c r="B46" s="205" t="s">
        <v>498</v>
      </c>
      <c r="C46" s="213">
        <v>15020</v>
      </c>
      <c r="D46" s="215">
        <v>15020</v>
      </c>
      <c r="E46" s="169">
        <f>(D46/C46)*100</f>
        <v>100</v>
      </c>
      <c r="F46" s="214">
        <f>C46-D46</f>
        <v>0</v>
      </c>
      <c r="G46" s="154"/>
    </row>
    <row r="47" spans="1:7" ht="25.35" customHeight="1">
      <c r="A47" s="195"/>
      <c r="B47" s="205" t="s">
        <v>499</v>
      </c>
      <c r="C47" s="216">
        <v>3750</v>
      </c>
      <c r="D47" s="215">
        <v>3750</v>
      </c>
      <c r="E47" s="169">
        <f>(D47/C47)*100</f>
        <v>100</v>
      </c>
      <c r="F47" s="214"/>
      <c r="G47" s="154"/>
    </row>
    <row r="48" spans="1:7" ht="25.35" customHeight="1">
      <c r="A48" s="195" t="s">
        <v>205</v>
      </c>
      <c r="B48" s="204" t="s">
        <v>206</v>
      </c>
      <c r="C48" s="217">
        <v>0</v>
      </c>
      <c r="D48" s="178">
        <v>0</v>
      </c>
      <c r="E48" s="169">
        <v>0</v>
      </c>
      <c r="F48" s="180">
        <f>C48-D48</f>
        <v>0</v>
      </c>
      <c r="G48" s="154"/>
    </row>
    <row r="49" spans="1:8" ht="44.45" customHeight="1">
      <c r="A49" s="195" t="s">
        <v>273</v>
      </c>
      <c r="B49" s="204" t="s">
        <v>500</v>
      </c>
      <c r="C49" s="217">
        <v>5000000</v>
      </c>
      <c r="D49" s="178">
        <v>4838661.68</v>
      </c>
      <c r="E49" s="169">
        <f>(D49/C49)*100</f>
        <v>96.773233599999998</v>
      </c>
      <c r="F49" s="180">
        <f>C49-D49</f>
        <v>161338.3200000003</v>
      </c>
      <c r="G49" s="175" t="s">
        <v>23</v>
      </c>
    </row>
    <row r="50" spans="1:8" ht="40.35" customHeight="1">
      <c r="A50" s="187"/>
      <c r="B50" s="188" t="s">
        <v>501</v>
      </c>
      <c r="C50" s="163">
        <f>C51+C73</f>
        <v>452749874.77999991</v>
      </c>
      <c r="D50" s="163">
        <f>D51+D73</f>
        <v>451735689.60999995</v>
      </c>
      <c r="E50" s="164">
        <f t="shared" si="0"/>
        <v>99.775994378685851</v>
      </c>
      <c r="F50" s="165">
        <f t="shared" si="1"/>
        <v>1014185.1699999571</v>
      </c>
      <c r="G50" s="154"/>
    </row>
    <row r="51" spans="1:8" ht="54.6" customHeight="1">
      <c r="A51" s="218" t="s">
        <v>175</v>
      </c>
      <c r="B51" s="219" t="s">
        <v>502</v>
      </c>
      <c r="C51" s="206">
        <f>C52+C62+C70</f>
        <v>452168334.77999991</v>
      </c>
      <c r="D51" s="206">
        <f>D52+D62+D70</f>
        <v>451154149.60999995</v>
      </c>
      <c r="E51" s="169">
        <f t="shared" si="0"/>
        <v>99.775706281932941</v>
      </c>
      <c r="F51" s="220">
        <f t="shared" si="1"/>
        <v>1014185.1699999571</v>
      </c>
      <c r="G51" s="154"/>
    </row>
    <row r="52" spans="1:8" ht="25.35" customHeight="1">
      <c r="A52" s="1978" t="s">
        <v>58</v>
      </c>
      <c r="B52" s="221" t="s">
        <v>488</v>
      </c>
      <c r="C52" s="206">
        <f>C53+C59+C60+C61</f>
        <v>427097177.50999993</v>
      </c>
      <c r="D52" s="206">
        <f>D53+D59+D60+D61</f>
        <v>426267899.01999998</v>
      </c>
      <c r="E52" s="169">
        <f t="shared" si="0"/>
        <v>99.805833769533507</v>
      </c>
      <c r="F52" s="174">
        <f t="shared" si="1"/>
        <v>829278.48999994993</v>
      </c>
      <c r="G52" s="154"/>
    </row>
    <row r="53" spans="1:8" ht="33.6" customHeight="1">
      <c r="A53" s="1979"/>
      <c r="B53" s="222" t="s">
        <v>503</v>
      </c>
      <c r="C53" s="196">
        <f>C54+C55+C56+C57+C58</f>
        <v>260897999.72</v>
      </c>
      <c r="D53" s="196">
        <f>D54+D55+D56+D57+D58</f>
        <v>260068721.23000002</v>
      </c>
      <c r="E53" s="169">
        <f t="shared" si="0"/>
        <v>99.682144558068671</v>
      </c>
      <c r="F53" s="174">
        <f t="shared" si="1"/>
        <v>829278.48999997973</v>
      </c>
      <c r="G53" s="154"/>
      <c r="H53" s="223"/>
    </row>
    <row r="54" spans="1:8" ht="25.35" customHeight="1">
      <c r="A54" s="1979"/>
      <c r="B54" s="205" t="s">
        <v>499</v>
      </c>
      <c r="C54" s="213">
        <v>67871468.769999996</v>
      </c>
      <c r="D54" s="213">
        <v>67871468.769999996</v>
      </c>
      <c r="E54" s="169">
        <f t="shared" si="0"/>
        <v>100</v>
      </c>
      <c r="F54" s="214">
        <f t="shared" si="1"/>
        <v>0</v>
      </c>
      <c r="G54" s="154"/>
    </row>
    <row r="55" spans="1:8" ht="25.35" customHeight="1">
      <c r="A55" s="1979"/>
      <c r="B55" s="205" t="s">
        <v>497</v>
      </c>
      <c r="C55" s="213">
        <v>35739727.560000002</v>
      </c>
      <c r="D55" s="213">
        <v>35739727.560000002</v>
      </c>
      <c r="E55" s="169">
        <f t="shared" si="0"/>
        <v>100</v>
      </c>
      <c r="F55" s="214">
        <f t="shared" si="1"/>
        <v>0</v>
      </c>
      <c r="G55" s="154"/>
    </row>
    <row r="56" spans="1:8" ht="25.35" customHeight="1">
      <c r="A56" s="1979"/>
      <c r="B56" s="205" t="s">
        <v>498</v>
      </c>
      <c r="C56" s="213">
        <v>61466371.560000002</v>
      </c>
      <c r="D56" s="213">
        <v>61429095.359999999</v>
      </c>
      <c r="E56" s="169">
        <f t="shared" si="0"/>
        <v>99.939355131832343</v>
      </c>
      <c r="F56" s="214">
        <f t="shared" si="1"/>
        <v>37276.20000000298</v>
      </c>
      <c r="G56" s="154"/>
    </row>
    <row r="57" spans="1:8" ht="25.35" customHeight="1">
      <c r="A57" s="1979"/>
      <c r="B57" s="205" t="s">
        <v>504</v>
      </c>
      <c r="C57" s="213">
        <v>46712017.840000004</v>
      </c>
      <c r="D57" s="213">
        <v>46712017.840000004</v>
      </c>
      <c r="E57" s="169">
        <f t="shared" si="0"/>
        <v>100</v>
      </c>
      <c r="F57" s="214">
        <f t="shared" si="1"/>
        <v>0</v>
      </c>
      <c r="G57" s="154"/>
    </row>
    <row r="58" spans="1:8" ht="25.35" customHeight="1">
      <c r="A58" s="1979"/>
      <c r="B58" s="224" t="s">
        <v>232</v>
      </c>
      <c r="C58" s="213">
        <v>49108413.990000002</v>
      </c>
      <c r="D58" s="213">
        <v>48316411.700000003</v>
      </c>
      <c r="E58" s="169">
        <f t="shared" si="0"/>
        <v>98.387237082913586</v>
      </c>
      <c r="F58" s="214">
        <f t="shared" si="1"/>
        <v>792002.28999999911</v>
      </c>
      <c r="G58" s="154"/>
    </row>
    <row r="59" spans="1:8" ht="25.35" customHeight="1">
      <c r="A59" s="1979"/>
      <c r="B59" s="193" t="s">
        <v>505</v>
      </c>
      <c r="C59" s="208">
        <v>132110618.69</v>
      </c>
      <c r="D59" s="208">
        <v>132110618.69</v>
      </c>
      <c r="E59" s="169">
        <f t="shared" si="0"/>
        <v>100</v>
      </c>
      <c r="F59" s="174">
        <f t="shared" si="1"/>
        <v>0</v>
      </c>
      <c r="G59" s="175" t="s">
        <v>23</v>
      </c>
    </row>
    <row r="60" spans="1:8" ht="25.35" customHeight="1">
      <c r="A60" s="225"/>
      <c r="B60" s="193" t="s">
        <v>506</v>
      </c>
      <c r="C60" s="208">
        <v>1192575.33</v>
      </c>
      <c r="D60" s="208">
        <v>1192575.33</v>
      </c>
      <c r="E60" s="169">
        <f t="shared" si="0"/>
        <v>100</v>
      </c>
      <c r="F60" s="174">
        <f t="shared" si="1"/>
        <v>0</v>
      </c>
      <c r="G60" s="175" t="s">
        <v>23</v>
      </c>
    </row>
    <row r="61" spans="1:8" ht="25.35" customHeight="1">
      <c r="A61" s="225"/>
      <c r="B61" s="226" t="s">
        <v>507</v>
      </c>
      <c r="C61" s="208">
        <v>32895983.77</v>
      </c>
      <c r="D61" s="227">
        <v>32895983.77</v>
      </c>
      <c r="E61" s="169">
        <f>(D61/C61)*100</f>
        <v>100</v>
      </c>
      <c r="F61" s="174">
        <f>C61-D61</f>
        <v>0</v>
      </c>
      <c r="G61" s="228"/>
    </row>
    <row r="62" spans="1:8" ht="46.35" customHeight="1">
      <c r="A62" s="229" t="s">
        <v>58</v>
      </c>
      <c r="B62" s="226" t="s">
        <v>508</v>
      </c>
      <c r="C62" s="230">
        <f>C63+C64+C65+C66+C67+C69+C68</f>
        <v>3503692.27</v>
      </c>
      <c r="D62" s="230">
        <f>D63+D64+D65+D66+D67+D69+D68</f>
        <v>3318785.59</v>
      </c>
      <c r="E62" s="231">
        <f t="shared" si="0"/>
        <v>94.722519395232155</v>
      </c>
      <c r="F62" s="232">
        <f t="shared" si="1"/>
        <v>184906.68000000017</v>
      </c>
      <c r="G62" s="233"/>
    </row>
    <row r="63" spans="1:8" ht="25.35" customHeight="1">
      <c r="A63" s="234"/>
      <c r="B63" s="204" t="s">
        <v>499</v>
      </c>
      <c r="C63" s="213">
        <v>522000</v>
      </c>
      <c r="D63" s="213">
        <v>387911.97</v>
      </c>
      <c r="E63" s="169">
        <f t="shared" si="0"/>
        <v>74.312637931034473</v>
      </c>
      <c r="F63" s="214">
        <f t="shared" si="1"/>
        <v>134088.03000000003</v>
      </c>
      <c r="G63" s="154"/>
    </row>
    <row r="64" spans="1:8" ht="25.35" customHeight="1">
      <c r="A64" s="235"/>
      <c r="B64" s="205" t="s">
        <v>497</v>
      </c>
      <c r="C64" s="215">
        <v>157161.67000000001</v>
      </c>
      <c r="D64" s="213">
        <v>144187.07999999999</v>
      </c>
      <c r="E64" s="169">
        <f t="shared" si="0"/>
        <v>91.744431068975004</v>
      </c>
      <c r="F64" s="214">
        <f t="shared" si="1"/>
        <v>12974.590000000026</v>
      </c>
      <c r="G64" s="154"/>
    </row>
    <row r="65" spans="1:7" ht="25.35" customHeight="1">
      <c r="A65" s="235"/>
      <c r="B65" s="205" t="s">
        <v>498</v>
      </c>
      <c r="C65" s="215">
        <v>217912.12</v>
      </c>
      <c r="D65" s="213">
        <v>217912.12</v>
      </c>
      <c r="E65" s="169">
        <f t="shared" si="0"/>
        <v>100</v>
      </c>
      <c r="F65" s="214">
        <f t="shared" si="1"/>
        <v>0</v>
      </c>
      <c r="G65" s="154"/>
    </row>
    <row r="66" spans="1:7" ht="25.35" customHeight="1">
      <c r="A66" s="235"/>
      <c r="B66" s="205" t="s">
        <v>504</v>
      </c>
      <c r="C66" s="215">
        <v>139992.26999999999</v>
      </c>
      <c r="D66" s="215">
        <v>139560.57999999999</v>
      </c>
      <c r="E66" s="169">
        <f t="shared" si="0"/>
        <v>99.691632973734897</v>
      </c>
      <c r="F66" s="214">
        <f t="shared" si="1"/>
        <v>431.69000000000233</v>
      </c>
      <c r="G66" s="154"/>
    </row>
    <row r="67" spans="1:7" ht="25.35" customHeight="1">
      <c r="A67" s="235"/>
      <c r="B67" s="205" t="s">
        <v>232</v>
      </c>
      <c r="C67" s="215">
        <v>498847.21</v>
      </c>
      <c r="D67" s="215">
        <v>498847.21</v>
      </c>
      <c r="E67" s="169">
        <f t="shared" si="0"/>
        <v>100</v>
      </c>
      <c r="F67" s="214">
        <f t="shared" si="1"/>
        <v>0</v>
      </c>
      <c r="G67" s="154"/>
    </row>
    <row r="68" spans="1:7" ht="25.35" customHeight="1">
      <c r="A68" s="235"/>
      <c r="B68" s="224" t="s">
        <v>23</v>
      </c>
      <c r="C68" s="236">
        <v>1400000</v>
      </c>
      <c r="D68" s="236">
        <v>1362587.86</v>
      </c>
      <c r="E68" s="237">
        <f>(D68/C68)*100</f>
        <v>97.32770428571429</v>
      </c>
      <c r="F68" s="238">
        <f>C68-D68</f>
        <v>37412.139999999898</v>
      </c>
      <c r="G68" s="239"/>
    </row>
    <row r="69" spans="1:7" ht="25.35" customHeight="1">
      <c r="A69" s="235"/>
      <c r="B69" s="240" t="s">
        <v>507</v>
      </c>
      <c r="C69" s="236">
        <v>567779</v>
      </c>
      <c r="D69" s="236">
        <v>567778.77</v>
      </c>
      <c r="E69" s="237">
        <f t="shared" si="0"/>
        <v>99.999959491280947</v>
      </c>
      <c r="F69" s="238">
        <f t="shared" si="1"/>
        <v>0.22999999998137355</v>
      </c>
      <c r="G69" s="239"/>
    </row>
    <row r="70" spans="1:7" ht="45" customHeight="1">
      <c r="A70" s="229" t="s">
        <v>509</v>
      </c>
      <c r="B70" s="204" t="s">
        <v>510</v>
      </c>
      <c r="C70" s="241">
        <f>C71+C72</f>
        <v>21567465</v>
      </c>
      <c r="D70" s="241">
        <f>D71+D72</f>
        <v>21567465</v>
      </c>
      <c r="E70" s="237">
        <f t="shared" si="0"/>
        <v>100</v>
      </c>
      <c r="F70" s="174">
        <f t="shared" si="1"/>
        <v>0</v>
      </c>
      <c r="G70" s="175" t="s">
        <v>23</v>
      </c>
    </row>
    <row r="71" spans="1:7" ht="22.5" customHeight="1">
      <c r="A71" s="242"/>
      <c r="B71" s="240" t="s">
        <v>511</v>
      </c>
      <c r="C71" s="215">
        <v>15312900</v>
      </c>
      <c r="D71" s="215">
        <v>15312900</v>
      </c>
      <c r="E71" s="237">
        <f t="shared" si="0"/>
        <v>100</v>
      </c>
      <c r="F71" s="238">
        <f t="shared" si="1"/>
        <v>0</v>
      </c>
      <c r="G71" s="175" t="s">
        <v>23</v>
      </c>
    </row>
    <row r="72" spans="1:7" ht="21" customHeight="1">
      <c r="A72" s="243"/>
      <c r="B72" s="240" t="s">
        <v>474</v>
      </c>
      <c r="C72" s="215">
        <v>6254565</v>
      </c>
      <c r="D72" s="215">
        <v>6254565</v>
      </c>
      <c r="E72" s="237">
        <f t="shared" si="0"/>
        <v>100</v>
      </c>
      <c r="F72" s="214">
        <f t="shared" si="1"/>
        <v>0</v>
      </c>
      <c r="G72" s="175" t="s">
        <v>23</v>
      </c>
    </row>
    <row r="73" spans="1:7" ht="41.45" customHeight="1">
      <c r="A73" s="244" t="s">
        <v>176</v>
      </c>
      <c r="B73" s="245" t="s">
        <v>512</v>
      </c>
      <c r="C73" s="230">
        <f>C74</f>
        <v>581540</v>
      </c>
      <c r="D73" s="230">
        <f>D74</f>
        <v>581540</v>
      </c>
      <c r="E73" s="169">
        <f t="shared" ref="E73:E98" si="2">(D73/C73)*100</f>
        <v>100</v>
      </c>
      <c r="F73" s="232">
        <f t="shared" si="1"/>
        <v>0</v>
      </c>
      <c r="G73" s="233"/>
    </row>
    <row r="74" spans="1:7" ht="33" customHeight="1">
      <c r="A74" s="246" t="s">
        <v>210</v>
      </c>
      <c r="B74" s="247" t="s">
        <v>70</v>
      </c>
      <c r="C74" s="196">
        <f>C75+C76+C77+C78+C79+C80</f>
        <v>581540</v>
      </c>
      <c r="D74" s="196">
        <f>D75+D76+D77+D78+D79+D80</f>
        <v>581540</v>
      </c>
      <c r="E74" s="169">
        <f t="shared" si="2"/>
        <v>100</v>
      </c>
      <c r="F74" s="174">
        <f t="shared" ref="F74:F98" si="3">C74-D74</f>
        <v>0</v>
      </c>
      <c r="G74" s="154"/>
    </row>
    <row r="75" spans="1:7" ht="25.35" customHeight="1">
      <c r="A75" s="248"/>
      <c r="B75" s="205" t="s">
        <v>499</v>
      </c>
      <c r="C75" s="215">
        <v>50000</v>
      </c>
      <c r="D75" s="215">
        <v>50000</v>
      </c>
      <c r="E75" s="169">
        <f t="shared" si="2"/>
        <v>100</v>
      </c>
      <c r="F75" s="214">
        <f t="shared" si="3"/>
        <v>0</v>
      </c>
      <c r="G75" s="154"/>
    </row>
    <row r="76" spans="1:7" ht="25.35" customHeight="1">
      <c r="A76" s="248"/>
      <c r="B76" s="205" t="s">
        <v>497</v>
      </c>
      <c r="C76" s="215">
        <v>80000</v>
      </c>
      <c r="D76" s="215">
        <v>80000</v>
      </c>
      <c r="E76" s="169">
        <f t="shared" si="2"/>
        <v>100</v>
      </c>
      <c r="F76" s="214">
        <f t="shared" si="3"/>
        <v>0</v>
      </c>
      <c r="G76" s="154"/>
    </row>
    <row r="77" spans="1:7" ht="25.35" customHeight="1">
      <c r="A77" s="248"/>
      <c r="B77" s="205" t="s">
        <v>498</v>
      </c>
      <c r="C77" s="215">
        <v>80000</v>
      </c>
      <c r="D77" s="215">
        <v>80000</v>
      </c>
      <c r="E77" s="169">
        <f t="shared" si="2"/>
        <v>100</v>
      </c>
      <c r="F77" s="214">
        <f t="shared" si="3"/>
        <v>0</v>
      </c>
      <c r="G77" s="154"/>
    </row>
    <row r="78" spans="1:7" ht="25.35" customHeight="1">
      <c r="A78" s="248"/>
      <c r="B78" s="205" t="s">
        <v>504</v>
      </c>
      <c r="C78" s="215">
        <v>100000</v>
      </c>
      <c r="D78" s="215">
        <v>100000</v>
      </c>
      <c r="E78" s="169">
        <f t="shared" si="2"/>
        <v>100</v>
      </c>
      <c r="F78" s="214">
        <f t="shared" si="3"/>
        <v>0</v>
      </c>
      <c r="G78" s="154"/>
    </row>
    <row r="79" spans="1:7" ht="25.35" customHeight="1">
      <c r="A79" s="248"/>
      <c r="B79" s="205" t="s">
        <v>232</v>
      </c>
      <c r="C79" s="215">
        <v>100000</v>
      </c>
      <c r="D79" s="215">
        <v>100000</v>
      </c>
      <c r="E79" s="169">
        <f t="shared" si="2"/>
        <v>100</v>
      </c>
      <c r="F79" s="214">
        <f t="shared" si="3"/>
        <v>0</v>
      </c>
      <c r="G79" s="154"/>
    </row>
    <row r="80" spans="1:7" ht="25.35" customHeight="1">
      <c r="A80" s="248"/>
      <c r="B80" s="205" t="s">
        <v>513</v>
      </c>
      <c r="C80" s="215">
        <v>171540</v>
      </c>
      <c r="D80" s="215">
        <v>171540</v>
      </c>
      <c r="E80" s="169">
        <f t="shared" si="2"/>
        <v>100</v>
      </c>
      <c r="F80" s="214">
        <f t="shared" si="3"/>
        <v>0</v>
      </c>
      <c r="G80" s="154"/>
    </row>
    <row r="81" spans="1:7" ht="38.450000000000003" customHeight="1">
      <c r="A81" s="249" t="s">
        <v>76</v>
      </c>
      <c r="B81" s="250" t="s">
        <v>77</v>
      </c>
      <c r="C81" s="199">
        <f>C82+C84</f>
        <v>12664554.129999999</v>
      </c>
      <c r="D81" s="199">
        <f>D82+D84</f>
        <v>12664554.129999999</v>
      </c>
      <c r="E81" s="200">
        <f t="shared" si="2"/>
        <v>100</v>
      </c>
      <c r="F81" s="201">
        <f t="shared" si="3"/>
        <v>0</v>
      </c>
      <c r="G81" s="160"/>
    </row>
    <row r="82" spans="1:7" ht="49.5" customHeight="1">
      <c r="A82" s="251" t="s">
        <v>177</v>
      </c>
      <c r="B82" s="245" t="s">
        <v>514</v>
      </c>
      <c r="C82" s="196">
        <f>C83</f>
        <v>2977499</v>
      </c>
      <c r="D82" s="196">
        <f>D83</f>
        <v>2977499</v>
      </c>
      <c r="E82" s="196">
        <f>E83</f>
        <v>100</v>
      </c>
      <c r="F82" s="196">
        <f>F83</f>
        <v>0</v>
      </c>
      <c r="G82" s="160"/>
    </row>
    <row r="83" spans="1:7" ht="26.1" customHeight="1">
      <c r="A83" s="252" t="s">
        <v>214</v>
      </c>
      <c r="B83" s="212" t="s">
        <v>215</v>
      </c>
      <c r="C83" s="196">
        <v>2977499</v>
      </c>
      <c r="D83" s="196">
        <v>2977499</v>
      </c>
      <c r="E83" s="169">
        <f t="shared" si="2"/>
        <v>100</v>
      </c>
      <c r="F83" s="180">
        <f t="shared" si="3"/>
        <v>0</v>
      </c>
      <c r="G83" s="179" t="s">
        <v>469</v>
      </c>
    </row>
    <row r="84" spans="1:7" ht="72.75" customHeight="1">
      <c r="A84" s="251" t="s">
        <v>102</v>
      </c>
      <c r="B84" s="253" t="s">
        <v>515</v>
      </c>
      <c r="C84" s="196">
        <f>C85+C86</f>
        <v>9687055.129999999</v>
      </c>
      <c r="D84" s="196">
        <f>D85+D86</f>
        <v>9687055.129999999</v>
      </c>
      <c r="E84" s="169">
        <f t="shared" si="2"/>
        <v>100</v>
      </c>
      <c r="F84" s="196">
        <f>F85+F86</f>
        <v>0</v>
      </c>
      <c r="G84" s="154"/>
    </row>
    <row r="85" spans="1:7" ht="33.6" customHeight="1">
      <c r="A85" s="254" t="s">
        <v>102</v>
      </c>
      <c r="B85" s="212" t="s">
        <v>106</v>
      </c>
      <c r="C85" s="255">
        <v>6000000</v>
      </c>
      <c r="D85" s="256">
        <v>6000000</v>
      </c>
      <c r="E85" s="169">
        <f t="shared" si="2"/>
        <v>100</v>
      </c>
      <c r="F85" s="180">
        <f t="shared" si="3"/>
        <v>0</v>
      </c>
      <c r="G85" s="179" t="s">
        <v>469</v>
      </c>
    </row>
    <row r="86" spans="1:7" ht="42" customHeight="1">
      <c r="A86" s="254" t="s">
        <v>250</v>
      </c>
      <c r="B86" s="212" t="s">
        <v>251</v>
      </c>
      <c r="C86" s="257">
        <v>3687055.13</v>
      </c>
      <c r="D86" s="215">
        <v>3687055.13</v>
      </c>
      <c r="E86" s="169">
        <f>(D86/C86)*100</f>
        <v>100</v>
      </c>
      <c r="F86" s="174">
        <f>C86-D86</f>
        <v>0</v>
      </c>
      <c r="G86" s="179" t="s">
        <v>516</v>
      </c>
    </row>
    <row r="87" spans="1:7" ht="31.5">
      <c r="A87" s="258" t="s">
        <v>129</v>
      </c>
      <c r="B87" s="259" t="s">
        <v>130</v>
      </c>
      <c r="C87" s="199">
        <f>C88</f>
        <v>28126191.27</v>
      </c>
      <c r="D87" s="199">
        <f>D88</f>
        <v>27316498.98</v>
      </c>
      <c r="E87" s="200">
        <f t="shared" si="2"/>
        <v>97.121216014542171</v>
      </c>
      <c r="F87" s="201">
        <f t="shared" si="3"/>
        <v>809692.28999999911</v>
      </c>
      <c r="G87" s="160"/>
    </row>
    <row r="88" spans="1:7" ht="59.1" customHeight="1">
      <c r="A88" s="260" t="s">
        <v>134</v>
      </c>
      <c r="B88" s="261" t="s">
        <v>517</v>
      </c>
      <c r="C88" s="241">
        <v>28126191.27</v>
      </c>
      <c r="D88" s="241">
        <v>27316498.98</v>
      </c>
      <c r="E88" s="169">
        <f t="shared" si="2"/>
        <v>97.121216014542171</v>
      </c>
      <c r="F88" s="174">
        <f t="shared" si="3"/>
        <v>809692.28999999911</v>
      </c>
      <c r="G88" s="154"/>
    </row>
    <row r="89" spans="1:7" ht="38.1" customHeight="1">
      <c r="A89" s="262"/>
      <c r="B89" s="263" t="s">
        <v>518</v>
      </c>
      <c r="C89" s="264">
        <f t="shared" ref="C89:F90" si="4">C90</f>
        <v>1873095</v>
      </c>
      <c r="D89" s="264">
        <f t="shared" si="4"/>
        <v>1873095</v>
      </c>
      <c r="E89" s="265">
        <f t="shared" si="2"/>
        <v>100</v>
      </c>
      <c r="F89" s="266">
        <f t="shared" si="3"/>
        <v>0</v>
      </c>
      <c r="G89" s="154"/>
    </row>
    <row r="90" spans="1:7" ht="42.75" customHeight="1">
      <c r="A90" s="267"/>
      <c r="B90" s="268" t="s">
        <v>519</v>
      </c>
      <c r="C90" s="206">
        <f>C91</f>
        <v>1873095</v>
      </c>
      <c r="D90" s="206">
        <f t="shared" si="4"/>
        <v>1873095</v>
      </c>
      <c r="E90" s="206">
        <f t="shared" si="4"/>
        <v>100</v>
      </c>
      <c r="F90" s="206">
        <f t="shared" si="4"/>
        <v>0</v>
      </c>
      <c r="G90" s="154"/>
    </row>
    <row r="91" spans="1:7" ht="38.450000000000003" customHeight="1">
      <c r="A91" s="267"/>
      <c r="B91" s="269" t="s">
        <v>520</v>
      </c>
      <c r="C91" s="206">
        <f>C92+C93</f>
        <v>1873095</v>
      </c>
      <c r="D91" s="206">
        <f>D92+D93</f>
        <v>1873095</v>
      </c>
      <c r="E91" s="169">
        <f t="shared" si="2"/>
        <v>100</v>
      </c>
      <c r="F91" s="206">
        <f>F92+F93</f>
        <v>0</v>
      </c>
      <c r="G91" s="154"/>
    </row>
    <row r="92" spans="1:7" ht="53.45" customHeight="1">
      <c r="A92" s="270"/>
      <c r="B92" s="271" t="s">
        <v>521</v>
      </c>
      <c r="C92" s="256">
        <v>430200</v>
      </c>
      <c r="D92" s="272">
        <v>430200</v>
      </c>
      <c r="E92" s="169">
        <f t="shared" si="2"/>
        <v>100</v>
      </c>
      <c r="F92" s="180">
        <f t="shared" si="3"/>
        <v>0</v>
      </c>
      <c r="G92" s="154"/>
    </row>
    <row r="93" spans="1:7" ht="67.349999999999994" customHeight="1">
      <c r="A93" s="267"/>
      <c r="B93" s="273" t="s">
        <v>522</v>
      </c>
      <c r="C93" s="274">
        <v>1442895</v>
      </c>
      <c r="D93" s="275">
        <v>1442895</v>
      </c>
      <c r="E93" s="169">
        <f t="shared" si="2"/>
        <v>100</v>
      </c>
      <c r="F93" s="174">
        <f t="shared" si="3"/>
        <v>0</v>
      </c>
      <c r="G93" s="154"/>
    </row>
    <row r="94" spans="1:7" ht="39.6" customHeight="1">
      <c r="A94" s="276"/>
      <c r="B94" s="277" t="s">
        <v>523</v>
      </c>
      <c r="C94" s="278">
        <f t="shared" ref="C94:D97" si="5">C95</f>
        <v>298080</v>
      </c>
      <c r="D94" s="278">
        <f t="shared" si="5"/>
        <v>298080</v>
      </c>
      <c r="E94" s="265">
        <f t="shared" si="2"/>
        <v>100</v>
      </c>
      <c r="F94" s="279">
        <f t="shared" si="3"/>
        <v>0</v>
      </c>
      <c r="G94" s="154"/>
    </row>
    <row r="95" spans="1:7" ht="47.25">
      <c r="A95" s="280"/>
      <c r="B95" s="281" t="s">
        <v>524</v>
      </c>
      <c r="C95" s="206">
        <f t="shared" si="5"/>
        <v>298080</v>
      </c>
      <c r="D95" s="206">
        <f t="shared" si="5"/>
        <v>298080</v>
      </c>
      <c r="E95" s="169">
        <f t="shared" si="2"/>
        <v>100</v>
      </c>
      <c r="F95" s="174">
        <f t="shared" si="3"/>
        <v>0</v>
      </c>
      <c r="G95" s="154"/>
    </row>
    <row r="96" spans="1:7" ht="35.1" customHeight="1">
      <c r="A96" s="280"/>
      <c r="B96" s="282" t="s">
        <v>525</v>
      </c>
      <c r="C96" s="206">
        <f t="shared" si="5"/>
        <v>298080</v>
      </c>
      <c r="D96" s="206">
        <f t="shared" si="5"/>
        <v>298080</v>
      </c>
      <c r="E96" s="169">
        <f t="shared" si="2"/>
        <v>100</v>
      </c>
      <c r="F96" s="174">
        <f t="shared" si="3"/>
        <v>0</v>
      </c>
      <c r="G96" s="154"/>
    </row>
    <row r="97" spans="1:7" ht="51" customHeight="1">
      <c r="A97" s="280"/>
      <c r="B97" s="283" t="s">
        <v>526</v>
      </c>
      <c r="C97" s="206">
        <f t="shared" si="5"/>
        <v>298080</v>
      </c>
      <c r="D97" s="206">
        <f t="shared" si="5"/>
        <v>298080</v>
      </c>
      <c r="E97" s="169">
        <f t="shared" si="2"/>
        <v>100</v>
      </c>
      <c r="F97" s="174">
        <f t="shared" si="3"/>
        <v>0</v>
      </c>
      <c r="G97" s="154"/>
    </row>
    <row r="98" spans="1:7" ht="29.45" customHeight="1">
      <c r="A98" s="280"/>
      <c r="B98" s="284" t="s">
        <v>527</v>
      </c>
      <c r="C98" s="285">
        <v>298080</v>
      </c>
      <c r="D98" s="285">
        <v>298080</v>
      </c>
      <c r="E98" s="169">
        <f t="shared" si="2"/>
        <v>100</v>
      </c>
      <c r="F98" s="174">
        <f t="shared" si="3"/>
        <v>0</v>
      </c>
      <c r="G98" s="154"/>
    </row>
    <row r="99" spans="1:7" ht="15">
      <c r="C99" s="286"/>
      <c r="D99" s="287" t="s">
        <v>528</v>
      </c>
      <c r="E99" s="287"/>
      <c r="F99" s="286"/>
      <c r="G99" s="288"/>
    </row>
    <row r="100" spans="1:7" ht="15">
      <c r="C100" s="286"/>
      <c r="D100" s="287"/>
      <c r="E100" s="287"/>
      <c r="F100" s="286"/>
      <c r="G100" s="288"/>
    </row>
    <row r="101" spans="1:7" ht="15">
      <c r="C101" s="286"/>
      <c r="D101" s="287"/>
      <c r="E101" s="287"/>
      <c r="F101" s="286"/>
      <c r="G101" s="288"/>
    </row>
    <row r="102" spans="1:7" ht="15">
      <c r="C102" s="286"/>
      <c r="D102" s="287"/>
      <c r="E102" s="287"/>
      <c r="F102" s="286"/>
      <c r="G102" s="288"/>
    </row>
    <row r="103" spans="1:7" ht="15">
      <c r="C103" s="286"/>
      <c r="D103" s="287"/>
      <c r="E103" s="287"/>
      <c r="F103" s="286"/>
      <c r="G103" s="288"/>
    </row>
    <row r="104" spans="1:7" ht="15">
      <c r="C104" s="286"/>
      <c r="D104" s="287"/>
      <c r="E104" s="287"/>
      <c r="F104" s="286"/>
      <c r="G104" s="288"/>
    </row>
    <row r="105" spans="1:7" ht="15">
      <c r="C105" s="286"/>
      <c r="D105" s="287"/>
      <c r="E105" s="287"/>
      <c r="F105" s="286"/>
      <c r="G105" s="288"/>
    </row>
    <row r="106" spans="1:7" ht="15">
      <c r="C106" s="286"/>
      <c r="D106" s="287"/>
      <c r="E106" s="287"/>
      <c r="F106" s="286"/>
      <c r="G106" s="288"/>
    </row>
    <row r="107" spans="1:7" ht="15">
      <c r="C107" s="286"/>
      <c r="D107" s="287"/>
      <c r="E107" s="287"/>
      <c r="F107" s="286"/>
      <c r="G107" s="288"/>
    </row>
    <row r="108" spans="1:7" ht="15">
      <c r="C108" s="286"/>
      <c r="D108" s="287"/>
      <c r="E108" s="287"/>
      <c r="F108" s="286"/>
      <c r="G108" s="288"/>
    </row>
    <row r="109" spans="1:7" ht="15">
      <c r="C109" s="286"/>
      <c r="D109" s="287"/>
      <c r="E109" s="287"/>
      <c r="F109" s="286"/>
      <c r="G109" s="288"/>
    </row>
    <row r="110" spans="1:7" ht="15">
      <c r="C110" s="286"/>
      <c r="D110" s="287"/>
      <c r="E110" s="287"/>
      <c r="F110" s="286"/>
      <c r="G110" s="288"/>
    </row>
    <row r="111" spans="1:7">
      <c r="C111" s="286"/>
      <c r="D111" s="286"/>
      <c r="E111" s="286"/>
      <c r="F111" s="286"/>
      <c r="G111" s="288"/>
    </row>
    <row r="112" spans="1:7">
      <c r="C112" s="286"/>
      <c r="D112" s="286"/>
      <c r="E112" s="286"/>
      <c r="F112" s="286"/>
      <c r="G112" s="288"/>
    </row>
    <row r="113" spans="3:7">
      <c r="C113" s="286"/>
      <c r="D113" s="286"/>
      <c r="E113" s="286"/>
      <c r="F113" s="286"/>
      <c r="G113" s="288"/>
    </row>
    <row r="114" spans="3:7">
      <c r="C114" s="286"/>
      <c r="D114" s="286"/>
      <c r="E114" s="286"/>
      <c r="F114" s="286"/>
      <c r="G114" s="288"/>
    </row>
    <row r="115" spans="3:7">
      <c r="C115" s="286"/>
      <c r="D115" s="286"/>
      <c r="E115" s="286"/>
      <c r="F115" s="286"/>
      <c r="G115" s="288"/>
    </row>
    <row r="116" spans="3:7">
      <c r="C116" s="286"/>
      <c r="D116" s="286"/>
      <c r="E116" s="286"/>
      <c r="F116" s="286"/>
      <c r="G116" s="288"/>
    </row>
    <row r="117" spans="3:7">
      <c r="C117" s="286"/>
      <c r="D117" s="286"/>
      <c r="E117" s="286"/>
      <c r="F117" s="286"/>
      <c r="G117" s="288"/>
    </row>
    <row r="118" spans="3:7">
      <c r="C118" s="286"/>
      <c r="D118" s="286"/>
      <c r="E118" s="286"/>
      <c r="F118" s="286"/>
      <c r="G118" s="288"/>
    </row>
    <row r="119" spans="3:7">
      <c r="C119" s="286"/>
      <c r="D119" s="286"/>
      <c r="E119" s="286"/>
      <c r="F119" s="286"/>
      <c r="G119" s="288"/>
    </row>
    <row r="120" spans="3:7">
      <c r="C120" s="286"/>
      <c r="D120" s="286"/>
      <c r="E120" s="286"/>
      <c r="F120" s="286"/>
      <c r="G120" s="288"/>
    </row>
    <row r="121" spans="3:7">
      <c r="C121" s="286"/>
      <c r="D121" s="286"/>
      <c r="E121" s="286"/>
      <c r="F121" s="286"/>
      <c r="G121" s="288"/>
    </row>
    <row r="122" spans="3:7">
      <c r="C122" s="286"/>
      <c r="D122" s="286"/>
      <c r="E122" s="286"/>
      <c r="F122" s="286"/>
      <c r="G122" s="288"/>
    </row>
    <row r="123" spans="3:7">
      <c r="C123" s="286"/>
      <c r="D123" s="286"/>
      <c r="E123" s="286"/>
      <c r="F123" s="286"/>
      <c r="G123" s="288"/>
    </row>
    <row r="124" spans="3:7">
      <c r="C124" s="286"/>
      <c r="D124" s="286"/>
      <c r="E124" s="286"/>
      <c r="F124" s="286"/>
      <c r="G124" s="288"/>
    </row>
    <row r="125" spans="3:7">
      <c r="C125" s="286"/>
      <c r="D125" s="286"/>
      <c r="E125" s="286"/>
      <c r="F125" s="286"/>
      <c r="G125" s="288"/>
    </row>
    <row r="126" spans="3:7">
      <c r="C126" s="286"/>
      <c r="D126" s="286"/>
      <c r="E126" s="286"/>
      <c r="F126" s="286"/>
      <c r="G126" s="288"/>
    </row>
    <row r="127" spans="3:7">
      <c r="C127" s="286"/>
      <c r="D127" s="286"/>
      <c r="E127" s="286"/>
      <c r="F127" s="286"/>
      <c r="G127" s="288"/>
    </row>
    <row r="128" spans="3:7">
      <c r="C128" s="286"/>
      <c r="F128" s="286"/>
      <c r="G128" s="288"/>
    </row>
    <row r="129" spans="3:7">
      <c r="C129" s="286"/>
      <c r="F129" s="286"/>
      <c r="G129" s="288"/>
    </row>
    <row r="130" spans="3:7">
      <c r="C130" s="286"/>
      <c r="F130" s="286"/>
      <c r="G130" s="288"/>
    </row>
    <row r="131" spans="3:7">
      <c r="C131" s="286"/>
      <c r="F131" s="286"/>
      <c r="G131" s="288"/>
    </row>
    <row r="132" spans="3:7">
      <c r="C132" s="286"/>
      <c r="F132" s="286"/>
      <c r="G132" s="288"/>
    </row>
    <row r="133" spans="3:7">
      <c r="C133" s="286"/>
      <c r="F133" s="286"/>
      <c r="G133" s="288"/>
    </row>
    <row r="134" spans="3:7">
      <c r="C134" s="286"/>
      <c r="F134" s="286"/>
      <c r="G134" s="288"/>
    </row>
    <row r="135" spans="3:7">
      <c r="C135" s="286"/>
      <c r="F135" s="286"/>
      <c r="G135" s="288"/>
    </row>
    <row r="136" spans="3:7">
      <c r="C136" s="286"/>
      <c r="F136" s="286"/>
      <c r="G136" s="288"/>
    </row>
    <row r="137" spans="3:7">
      <c r="C137" s="286"/>
      <c r="F137" s="286"/>
      <c r="G137" s="288"/>
    </row>
    <row r="138" spans="3:7">
      <c r="C138" s="286"/>
      <c r="F138" s="286"/>
      <c r="G138" s="288"/>
    </row>
    <row r="139" spans="3:7">
      <c r="C139" s="286"/>
      <c r="F139" s="286"/>
      <c r="G139" s="288"/>
    </row>
    <row r="140" spans="3:7">
      <c r="C140" s="286"/>
      <c r="F140" s="286"/>
      <c r="G140" s="288"/>
    </row>
    <row r="141" spans="3:7">
      <c r="C141" s="286"/>
      <c r="F141" s="286"/>
      <c r="G141" s="288"/>
    </row>
    <row r="142" spans="3:7">
      <c r="C142" s="286"/>
      <c r="F142" s="286"/>
      <c r="G142" s="288"/>
    </row>
    <row r="143" spans="3:7">
      <c r="C143" s="286"/>
      <c r="F143" s="286"/>
      <c r="G143" s="288"/>
    </row>
    <row r="144" spans="3:7">
      <c r="C144" s="286"/>
      <c r="F144" s="286"/>
      <c r="G144" s="288"/>
    </row>
    <row r="145" spans="3:7">
      <c r="C145" s="286"/>
      <c r="F145" s="286"/>
      <c r="G145" s="288"/>
    </row>
    <row r="146" spans="3:7">
      <c r="C146" s="286"/>
      <c r="F146" s="286"/>
      <c r="G146" s="288"/>
    </row>
    <row r="147" spans="3:7">
      <c r="C147" s="286"/>
      <c r="F147" s="286"/>
      <c r="G147" s="288"/>
    </row>
    <row r="148" spans="3:7">
      <c r="C148" s="286"/>
      <c r="F148" s="286"/>
      <c r="G148" s="288"/>
    </row>
    <row r="149" spans="3:7">
      <c r="C149" s="286"/>
      <c r="F149" s="286"/>
      <c r="G149" s="288"/>
    </row>
    <row r="150" spans="3:7">
      <c r="C150" s="286"/>
      <c r="F150" s="286"/>
      <c r="G150" s="288"/>
    </row>
    <row r="151" spans="3:7">
      <c r="C151" s="286"/>
      <c r="F151" s="286"/>
      <c r="G151" s="288"/>
    </row>
    <row r="152" spans="3:7">
      <c r="C152" s="286"/>
      <c r="F152" s="286"/>
      <c r="G152" s="288"/>
    </row>
    <row r="153" spans="3:7">
      <c r="C153" s="286"/>
      <c r="F153" s="286"/>
      <c r="G153" s="288"/>
    </row>
    <row r="154" spans="3:7">
      <c r="C154" s="286"/>
      <c r="F154" s="286"/>
      <c r="G154" s="288"/>
    </row>
    <row r="155" spans="3:7">
      <c r="C155" s="286"/>
      <c r="F155" s="286"/>
      <c r="G155" s="288"/>
    </row>
    <row r="156" spans="3:7">
      <c r="C156" s="286"/>
      <c r="F156" s="286"/>
      <c r="G156" s="288"/>
    </row>
    <row r="157" spans="3:7">
      <c r="C157" s="286"/>
      <c r="F157" s="286"/>
      <c r="G157" s="288"/>
    </row>
    <row r="158" spans="3:7">
      <c r="C158" s="286"/>
      <c r="F158" s="286"/>
      <c r="G158" s="288"/>
    </row>
    <row r="159" spans="3:7">
      <c r="C159" s="286"/>
      <c r="F159" s="286"/>
      <c r="G159" s="288"/>
    </row>
    <row r="160" spans="3:7">
      <c r="C160" s="286"/>
      <c r="F160" s="286"/>
      <c r="G160" s="288"/>
    </row>
    <row r="161" spans="3:7">
      <c r="C161" s="286"/>
      <c r="F161" s="286"/>
      <c r="G161" s="288"/>
    </row>
    <row r="162" spans="3:7">
      <c r="C162" s="286"/>
      <c r="F162" s="286"/>
      <c r="G162" s="288"/>
    </row>
    <row r="163" spans="3:7">
      <c r="C163" s="286"/>
      <c r="F163" s="286"/>
      <c r="G163" s="288"/>
    </row>
    <row r="164" spans="3:7">
      <c r="C164" s="286"/>
      <c r="F164" s="286"/>
      <c r="G164" s="288"/>
    </row>
    <row r="165" spans="3:7">
      <c r="C165" s="286"/>
      <c r="F165" s="286"/>
      <c r="G165" s="288"/>
    </row>
    <row r="166" spans="3:7">
      <c r="C166" s="286"/>
      <c r="F166" s="286"/>
      <c r="G166" s="288"/>
    </row>
    <row r="167" spans="3:7">
      <c r="C167" s="286"/>
      <c r="F167" s="286"/>
      <c r="G167" s="288"/>
    </row>
    <row r="168" spans="3:7">
      <c r="C168" s="286"/>
      <c r="F168" s="286"/>
    </row>
    <row r="169" spans="3:7">
      <c r="C169" s="286"/>
      <c r="F169" s="286"/>
    </row>
    <row r="170" spans="3:7">
      <c r="C170" s="286"/>
      <c r="F170" s="286"/>
    </row>
    <row r="171" spans="3:7">
      <c r="C171" s="286"/>
      <c r="F171" s="286"/>
    </row>
    <row r="172" spans="3:7">
      <c r="C172" s="286"/>
      <c r="F172" s="286"/>
    </row>
    <row r="173" spans="3:7">
      <c r="C173" s="286"/>
      <c r="F173" s="286"/>
    </row>
    <row r="174" spans="3:7">
      <c r="C174" s="286"/>
      <c r="F174" s="286"/>
    </row>
    <row r="175" spans="3:7">
      <c r="C175" s="286"/>
      <c r="F175" s="286"/>
    </row>
    <row r="176" spans="3:7">
      <c r="C176" s="286"/>
      <c r="F176" s="286"/>
    </row>
    <row r="177" spans="3:6">
      <c r="C177" s="286"/>
      <c r="F177" s="286"/>
    </row>
    <row r="178" spans="3:6">
      <c r="C178" s="286"/>
      <c r="F178" s="286"/>
    </row>
    <row r="179" spans="3:6">
      <c r="C179" s="286"/>
      <c r="F179" s="286"/>
    </row>
    <row r="180" spans="3:6">
      <c r="C180" s="286"/>
      <c r="F180" s="286"/>
    </row>
    <row r="181" spans="3:6">
      <c r="C181" s="286"/>
      <c r="F181" s="286"/>
    </row>
    <row r="182" spans="3:6">
      <c r="C182" s="286"/>
      <c r="F182" s="286"/>
    </row>
    <row r="183" spans="3:6">
      <c r="C183" s="286"/>
      <c r="F183" s="286"/>
    </row>
    <row r="184" spans="3:6">
      <c r="C184" s="286"/>
      <c r="F184" s="286"/>
    </row>
    <row r="185" spans="3:6">
      <c r="C185" s="286"/>
      <c r="F185" s="286"/>
    </row>
    <row r="186" spans="3:6">
      <c r="C186" s="286"/>
      <c r="F186" s="286"/>
    </row>
    <row r="187" spans="3:6">
      <c r="C187" s="286"/>
      <c r="F187" s="286"/>
    </row>
    <row r="188" spans="3:6">
      <c r="C188" s="286"/>
      <c r="F188" s="286"/>
    </row>
    <row r="189" spans="3:6">
      <c r="C189" s="286"/>
      <c r="F189" s="286"/>
    </row>
    <row r="190" spans="3:6">
      <c r="C190" s="286"/>
      <c r="F190" s="286"/>
    </row>
    <row r="191" spans="3:6">
      <c r="C191" s="286"/>
      <c r="F191" s="286"/>
    </row>
    <row r="192" spans="3:6">
      <c r="C192" s="286"/>
      <c r="F192" s="286"/>
    </row>
    <row r="193" spans="3:6">
      <c r="C193" s="286"/>
      <c r="F193" s="286"/>
    </row>
    <row r="194" spans="3:6">
      <c r="C194" s="286"/>
      <c r="F194" s="286"/>
    </row>
    <row r="195" spans="3:6">
      <c r="C195" s="286"/>
      <c r="F195" s="286"/>
    </row>
    <row r="196" spans="3:6">
      <c r="C196" s="286"/>
      <c r="F196" s="286"/>
    </row>
    <row r="197" spans="3:6">
      <c r="C197" s="286"/>
      <c r="F197" s="286"/>
    </row>
    <row r="198" spans="3:6">
      <c r="C198" s="286"/>
      <c r="F198" s="286"/>
    </row>
    <row r="199" spans="3:6">
      <c r="C199" s="286"/>
      <c r="F199" s="286"/>
    </row>
    <row r="200" spans="3:6">
      <c r="C200" s="286"/>
      <c r="F200" s="286"/>
    </row>
    <row r="201" spans="3:6">
      <c r="C201" s="286"/>
      <c r="F201" s="286"/>
    </row>
    <row r="202" spans="3:6">
      <c r="C202" s="286"/>
      <c r="F202" s="286"/>
    </row>
    <row r="203" spans="3:6">
      <c r="C203" s="286"/>
      <c r="F203" s="286"/>
    </row>
    <row r="204" spans="3:6">
      <c r="C204" s="286"/>
      <c r="F204" s="286"/>
    </row>
    <row r="205" spans="3:6">
      <c r="C205" s="286"/>
      <c r="F205" s="286"/>
    </row>
    <row r="206" spans="3:6">
      <c r="C206" s="286"/>
      <c r="F206" s="286"/>
    </row>
    <row r="207" spans="3:6">
      <c r="C207" s="286"/>
      <c r="F207" s="286"/>
    </row>
    <row r="208" spans="3:6">
      <c r="C208" s="286"/>
      <c r="F208" s="286"/>
    </row>
    <row r="209" spans="3:6">
      <c r="C209" s="286"/>
      <c r="F209" s="286"/>
    </row>
    <row r="210" spans="3:6">
      <c r="C210" s="286"/>
      <c r="F210" s="286"/>
    </row>
    <row r="211" spans="3:6">
      <c r="C211" s="286"/>
      <c r="F211" s="286"/>
    </row>
    <row r="212" spans="3:6">
      <c r="C212" s="286"/>
      <c r="F212" s="286"/>
    </row>
    <row r="213" spans="3:6">
      <c r="C213" s="286"/>
      <c r="F213" s="286"/>
    </row>
    <row r="214" spans="3:6">
      <c r="C214" s="286"/>
      <c r="F214" s="286"/>
    </row>
    <row r="215" spans="3:6">
      <c r="C215" s="286"/>
      <c r="F215" s="286"/>
    </row>
    <row r="216" spans="3:6">
      <c r="C216" s="286"/>
      <c r="F216" s="286"/>
    </row>
    <row r="217" spans="3:6">
      <c r="C217" s="286"/>
      <c r="F217" s="286"/>
    </row>
    <row r="218" spans="3:6">
      <c r="C218" s="286"/>
      <c r="F218" s="286"/>
    </row>
    <row r="219" spans="3:6">
      <c r="C219" s="286"/>
      <c r="F219" s="286"/>
    </row>
    <row r="220" spans="3:6">
      <c r="C220" s="286"/>
      <c r="F220" s="286"/>
    </row>
    <row r="221" spans="3:6">
      <c r="C221" s="286"/>
      <c r="F221" s="286"/>
    </row>
    <row r="222" spans="3:6">
      <c r="C222" s="286"/>
      <c r="F222" s="286"/>
    </row>
    <row r="223" spans="3:6">
      <c r="C223" s="286"/>
      <c r="F223" s="286"/>
    </row>
    <row r="224" spans="3:6">
      <c r="C224" s="286"/>
      <c r="F224" s="286"/>
    </row>
    <row r="225" spans="3:6">
      <c r="C225" s="286"/>
      <c r="F225" s="286"/>
    </row>
    <row r="226" spans="3:6">
      <c r="C226" s="286"/>
      <c r="F226" s="286"/>
    </row>
    <row r="227" spans="3:6">
      <c r="C227" s="286"/>
      <c r="F227" s="286"/>
    </row>
    <row r="228" spans="3:6">
      <c r="C228" s="286"/>
      <c r="F228" s="286"/>
    </row>
    <row r="229" spans="3:6">
      <c r="C229" s="286"/>
      <c r="F229" s="286"/>
    </row>
    <row r="230" spans="3:6">
      <c r="C230" s="286"/>
      <c r="F230" s="286"/>
    </row>
    <row r="231" spans="3:6">
      <c r="C231" s="286"/>
      <c r="F231" s="286"/>
    </row>
    <row r="232" spans="3:6">
      <c r="C232" s="286"/>
      <c r="F232" s="286"/>
    </row>
    <row r="233" spans="3:6">
      <c r="C233" s="286"/>
      <c r="F233" s="286"/>
    </row>
    <row r="234" spans="3:6">
      <c r="C234" s="286"/>
      <c r="F234" s="286"/>
    </row>
    <row r="235" spans="3:6">
      <c r="C235" s="286"/>
      <c r="F235" s="286"/>
    </row>
    <row r="236" spans="3:6">
      <c r="C236" s="286"/>
      <c r="F236" s="286"/>
    </row>
    <row r="237" spans="3:6">
      <c r="C237" s="286"/>
      <c r="F237" s="286"/>
    </row>
    <row r="238" spans="3:6">
      <c r="C238" s="286"/>
      <c r="F238" s="286"/>
    </row>
    <row r="239" spans="3:6">
      <c r="C239" s="286"/>
      <c r="F239" s="286"/>
    </row>
    <row r="240" spans="3:6">
      <c r="C240" s="286"/>
      <c r="F240" s="286"/>
    </row>
    <row r="241" spans="3:6">
      <c r="C241" s="286"/>
      <c r="F241" s="286"/>
    </row>
    <row r="242" spans="3:6">
      <c r="C242" s="286"/>
      <c r="F242" s="286"/>
    </row>
    <row r="243" spans="3:6">
      <c r="C243" s="286"/>
      <c r="F243" s="286"/>
    </row>
    <row r="244" spans="3:6">
      <c r="C244" s="286"/>
      <c r="F244" s="286"/>
    </row>
    <row r="245" spans="3:6">
      <c r="C245" s="286"/>
      <c r="F245" s="286"/>
    </row>
    <row r="246" spans="3:6">
      <c r="C246" s="286"/>
      <c r="F246" s="286"/>
    </row>
    <row r="247" spans="3:6">
      <c r="C247" s="286"/>
      <c r="F247" s="286"/>
    </row>
    <row r="248" spans="3:6">
      <c r="C248" s="286"/>
      <c r="F248" s="286"/>
    </row>
    <row r="249" spans="3:6">
      <c r="C249" s="286"/>
      <c r="F249" s="286"/>
    </row>
    <row r="250" spans="3:6">
      <c r="C250" s="286"/>
      <c r="F250" s="286"/>
    </row>
    <row r="251" spans="3:6">
      <c r="C251" s="286"/>
      <c r="F251" s="286"/>
    </row>
    <row r="252" spans="3:6">
      <c r="C252" s="286"/>
      <c r="F252" s="286"/>
    </row>
    <row r="253" spans="3:6">
      <c r="C253" s="286"/>
      <c r="F253" s="286"/>
    </row>
    <row r="254" spans="3:6">
      <c r="C254" s="286"/>
      <c r="F254" s="286"/>
    </row>
    <row r="255" spans="3:6">
      <c r="C255" s="286"/>
      <c r="F255" s="286"/>
    </row>
    <row r="256" spans="3:6">
      <c r="C256" s="286"/>
      <c r="F256" s="286"/>
    </row>
    <row r="257" spans="3:6">
      <c r="C257" s="286"/>
      <c r="F257" s="286"/>
    </row>
    <row r="258" spans="3:6">
      <c r="C258" s="286"/>
      <c r="F258" s="286"/>
    </row>
    <row r="259" spans="3:6">
      <c r="C259" s="286"/>
      <c r="F259" s="286"/>
    </row>
    <row r="260" spans="3:6">
      <c r="C260" s="286"/>
      <c r="F260" s="286"/>
    </row>
    <row r="261" spans="3:6">
      <c r="C261" s="286"/>
      <c r="F261" s="286"/>
    </row>
    <row r="262" spans="3:6">
      <c r="C262" s="286"/>
      <c r="F262" s="286"/>
    </row>
    <row r="263" spans="3:6">
      <c r="C263" s="286"/>
      <c r="F263" s="286"/>
    </row>
    <row r="264" spans="3:6">
      <c r="C264" s="286"/>
      <c r="F264" s="286"/>
    </row>
    <row r="265" spans="3:6">
      <c r="C265" s="286"/>
      <c r="F265" s="286"/>
    </row>
    <row r="266" spans="3:6">
      <c r="C266" s="286"/>
      <c r="F266" s="286"/>
    </row>
    <row r="267" spans="3:6">
      <c r="C267" s="286"/>
      <c r="F267" s="286"/>
    </row>
    <row r="268" spans="3:6">
      <c r="C268" s="286"/>
      <c r="F268" s="286"/>
    </row>
    <row r="269" spans="3:6">
      <c r="C269" s="286"/>
      <c r="F269" s="286"/>
    </row>
    <row r="270" spans="3:6">
      <c r="C270" s="286"/>
      <c r="F270" s="286"/>
    </row>
    <row r="271" spans="3:6">
      <c r="C271" s="286"/>
      <c r="F271" s="286"/>
    </row>
    <row r="272" spans="3:6">
      <c r="C272" s="286"/>
      <c r="F272" s="286"/>
    </row>
    <row r="273" spans="3:6">
      <c r="C273" s="286"/>
      <c r="F273" s="286"/>
    </row>
    <row r="274" spans="3:6">
      <c r="C274" s="286"/>
      <c r="F274" s="286"/>
    </row>
    <row r="275" spans="3:6">
      <c r="C275" s="286"/>
      <c r="F275" s="286"/>
    </row>
    <row r="276" spans="3:6">
      <c r="C276" s="286"/>
      <c r="F276" s="286"/>
    </row>
    <row r="277" spans="3:6">
      <c r="C277" s="286"/>
      <c r="F277" s="286"/>
    </row>
    <row r="278" spans="3:6">
      <c r="C278" s="286"/>
      <c r="F278" s="286"/>
    </row>
    <row r="279" spans="3:6">
      <c r="C279" s="286"/>
      <c r="F279" s="286"/>
    </row>
    <row r="280" spans="3:6">
      <c r="C280" s="286"/>
      <c r="F280" s="286"/>
    </row>
    <row r="281" spans="3:6">
      <c r="C281" s="286"/>
      <c r="F281" s="286"/>
    </row>
    <row r="282" spans="3:6">
      <c r="C282" s="286"/>
      <c r="F282" s="286"/>
    </row>
    <row r="283" spans="3:6">
      <c r="C283" s="286"/>
      <c r="F283" s="286"/>
    </row>
    <row r="284" spans="3:6">
      <c r="C284" s="286"/>
    </row>
    <row r="285" spans="3:6">
      <c r="C285" s="286"/>
    </row>
    <row r="286" spans="3:6">
      <c r="C286" s="286"/>
    </row>
    <row r="287" spans="3:6">
      <c r="C287" s="286"/>
    </row>
    <row r="288" spans="3:6">
      <c r="C288" s="286"/>
    </row>
    <row r="289" spans="3:3">
      <c r="C289" s="286"/>
    </row>
    <row r="290" spans="3:3">
      <c r="C290" s="286"/>
    </row>
    <row r="291" spans="3:3">
      <c r="C291" s="286"/>
    </row>
    <row r="292" spans="3:3">
      <c r="C292" s="286"/>
    </row>
    <row r="293" spans="3:3">
      <c r="C293" s="286"/>
    </row>
    <row r="294" spans="3:3">
      <c r="C294" s="286"/>
    </row>
    <row r="295" spans="3:3">
      <c r="C295" s="286"/>
    </row>
    <row r="296" spans="3:3">
      <c r="C296" s="286"/>
    </row>
    <row r="297" spans="3:3">
      <c r="C297" s="286"/>
    </row>
    <row r="298" spans="3:3">
      <c r="C298" s="286"/>
    </row>
    <row r="299" spans="3:3">
      <c r="C299" s="286"/>
    </row>
    <row r="300" spans="3:3">
      <c r="C300" s="286"/>
    </row>
    <row r="301" spans="3:3">
      <c r="C301" s="286"/>
    </row>
    <row r="302" spans="3:3">
      <c r="C302" s="286"/>
    </row>
    <row r="303" spans="3:3">
      <c r="C303" s="286"/>
    </row>
    <row r="304" spans="3:3">
      <c r="C304" s="286"/>
    </row>
    <row r="305" spans="3:3">
      <c r="C305" s="286"/>
    </row>
    <row r="306" spans="3:3">
      <c r="C306" s="286"/>
    </row>
    <row r="307" spans="3:3">
      <c r="C307" s="286"/>
    </row>
    <row r="308" spans="3:3">
      <c r="C308" s="286"/>
    </row>
    <row r="309" spans="3:3">
      <c r="C309" s="286"/>
    </row>
    <row r="310" spans="3:3">
      <c r="C310" s="286"/>
    </row>
    <row r="311" spans="3:3">
      <c r="C311" s="286"/>
    </row>
    <row r="312" spans="3:3">
      <c r="C312" s="286"/>
    </row>
    <row r="313" spans="3:3">
      <c r="C313" s="286"/>
    </row>
    <row r="314" spans="3:3">
      <c r="C314" s="286"/>
    </row>
    <row r="315" spans="3:3">
      <c r="C315" s="286"/>
    </row>
    <row r="316" spans="3:3">
      <c r="C316" s="286"/>
    </row>
  </sheetData>
  <mergeCells count="10">
    <mergeCell ref="B1:F1"/>
    <mergeCell ref="A4:A5"/>
    <mergeCell ref="B4:B5"/>
    <mergeCell ref="E4:E5"/>
    <mergeCell ref="F4:F5"/>
    <mergeCell ref="G4:G5"/>
    <mergeCell ref="A7:B7"/>
    <mergeCell ref="A9:B9"/>
    <mergeCell ref="A32:A37"/>
    <mergeCell ref="A52:A59"/>
  </mergeCells>
  <pageMargins left="0" right="0" top="0" bottom="0" header="0.31496062992125984" footer="0.31496062992125984"/>
  <pageSetup paperSize="9" scale="63"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J12"/>
  <sheetViews>
    <sheetView workbookViewId="0">
      <selection activeCell="D6" sqref="D6:H9"/>
    </sheetView>
  </sheetViews>
  <sheetFormatPr defaultColWidth="8.85546875" defaultRowHeight="15"/>
  <cols>
    <col min="1" max="1" width="5.140625" customWidth="1"/>
    <col min="2" max="2" width="33.85546875" customWidth="1"/>
    <col min="3" max="3" width="20.42578125" customWidth="1"/>
    <col min="4" max="4" width="15" customWidth="1"/>
    <col min="5" max="5" width="23.42578125" customWidth="1"/>
    <col min="6" max="6" width="16.140625" customWidth="1"/>
    <col min="7" max="7" width="17.42578125" customWidth="1"/>
    <col min="8" max="8" width="13.28515625" customWidth="1"/>
    <col min="257" max="257" width="5.140625" customWidth="1"/>
    <col min="258" max="258" width="26.42578125" customWidth="1"/>
    <col min="259" max="259" width="20.42578125" customWidth="1"/>
    <col min="260" max="260" width="15" customWidth="1"/>
    <col min="261" max="261" width="23.42578125" customWidth="1"/>
    <col min="262" max="262" width="16.140625" customWidth="1"/>
    <col min="263" max="263" width="17.42578125" customWidth="1"/>
    <col min="264" max="264" width="13.28515625" customWidth="1"/>
    <col min="513" max="513" width="5.140625" customWidth="1"/>
    <col min="514" max="514" width="26.42578125" customWidth="1"/>
    <col min="515" max="515" width="20.42578125" customWidth="1"/>
    <col min="516" max="516" width="15" customWidth="1"/>
    <col min="517" max="517" width="23.42578125" customWidth="1"/>
    <col min="518" max="518" width="16.140625" customWidth="1"/>
    <col min="519" max="519" width="17.42578125" customWidth="1"/>
    <col min="520" max="520" width="13.28515625" customWidth="1"/>
    <col min="769" max="769" width="5.140625" customWidth="1"/>
    <col min="770" max="770" width="26.42578125" customWidth="1"/>
    <col min="771" max="771" width="20.42578125" customWidth="1"/>
    <col min="772" max="772" width="15" customWidth="1"/>
    <col min="773" max="773" width="23.42578125" customWidth="1"/>
    <col min="774" max="774" width="16.140625" customWidth="1"/>
    <col min="775" max="775" width="17.42578125" customWidth="1"/>
    <col min="776" max="776" width="13.28515625" customWidth="1"/>
    <col min="1025" max="1025" width="5.140625" customWidth="1"/>
    <col min="1026" max="1026" width="26.42578125" customWidth="1"/>
    <col min="1027" max="1027" width="20.42578125" customWidth="1"/>
    <col min="1028" max="1028" width="15" customWidth="1"/>
    <col min="1029" max="1029" width="23.42578125" customWidth="1"/>
    <col min="1030" max="1030" width="16.140625" customWidth="1"/>
    <col min="1031" max="1031" width="17.42578125" customWidth="1"/>
    <col min="1032" max="1032" width="13.28515625" customWidth="1"/>
    <col min="1281" max="1281" width="5.140625" customWidth="1"/>
    <col min="1282" max="1282" width="26.42578125" customWidth="1"/>
    <col min="1283" max="1283" width="20.42578125" customWidth="1"/>
    <col min="1284" max="1284" width="15" customWidth="1"/>
    <col min="1285" max="1285" width="23.42578125" customWidth="1"/>
    <col min="1286" max="1286" width="16.140625" customWidth="1"/>
    <col min="1287" max="1287" width="17.42578125" customWidth="1"/>
    <col min="1288" max="1288" width="13.28515625" customWidth="1"/>
    <col min="1537" max="1537" width="5.140625" customWidth="1"/>
    <col min="1538" max="1538" width="26.42578125" customWidth="1"/>
    <col min="1539" max="1539" width="20.42578125" customWidth="1"/>
    <col min="1540" max="1540" width="15" customWidth="1"/>
    <col min="1541" max="1541" width="23.42578125" customWidth="1"/>
    <col min="1542" max="1542" width="16.140625" customWidth="1"/>
    <col min="1543" max="1543" width="17.42578125" customWidth="1"/>
    <col min="1544" max="1544" width="13.28515625" customWidth="1"/>
    <col min="1793" max="1793" width="5.140625" customWidth="1"/>
    <col min="1794" max="1794" width="26.42578125" customWidth="1"/>
    <col min="1795" max="1795" width="20.42578125" customWidth="1"/>
    <col min="1796" max="1796" width="15" customWidth="1"/>
    <col min="1797" max="1797" width="23.42578125" customWidth="1"/>
    <col min="1798" max="1798" width="16.140625" customWidth="1"/>
    <col min="1799" max="1799" width="17.42578125" customWidth="1"/>
    <col min="1800" max="1800" width="13.28515625" customWidth="1"/>
    <col min="2049" max="2049" width="5.140625" customWidth="1"/>
    <col min="2050" max="2050" width="26.42578125" customWidth="1"/>
    <col min="2051" max="2051" width="20.42578125" customWidth="1"/>
    <col min="2052" max="2052" width="15" customWidth="1"/>
    <col min="2053" max="2053" width="23.42578125" customWidth="1"/>
    <col min="2054" max="2054" width="16.140625" customWidth="1"/>
    <col min="2055" max="2055" width="17.42578125" customWidth="1"/>
    <col min="2056" max="2056" width="13.28515625" customWidth="1"/>
    <col min="2305" max="2305" width="5.140625" customWidth="1"/>
    <col min="2306" max="2306" width="26.42578125" customWidth="1"/>
    <col min="2307" max="2307" width="20.42578125" customWidth="1"/>
    <col min="2308" max="2308" width="15" customWidth="1"/>
    <col min="2309" max="2309" width="23.42578125" customWidth="1"/>
    <col min="2310" max="2310" width="16.140625" customWidth="1"/>
    <col min="2311" max="2311" width="17.42578125" customWidth="1"/>
    <col min="2312" max="2312" width="13.28515625" customWidth="1"/>
    <col min="2561" max="2561" width="5.140625" customWidth="1"/>
    <col min="2562" max="2562" width="26.42578125" customWidth="1"/>
    <col min="2563" max="2563" width="20.42578125" customWidth="1"/>
    <col min="2564" max="2564" width="15" customWidth="1"/>
    <col min="2565" max="2565" width="23.42578125" customWidth="1"/>
    <col min="2566" max="2566" width="16.140625" customWidth="1"/>
    <col min="2567" max="2567" width="17.42578125" customWidth="1"/>
    <col min="2568" max="2568" width="13.28515625" customWidth="1"/>
    <col min="2817" max="2817" width="5.140625" customWidth="1"/>
    <col min="2818" max="2818" width="26.42578125" customWidth="1"/>
    <col min="2819" max="2819" width="20.42578125" customWidth="1"/>
    <col min="2820" max="2820" width="15" customWidth="1"/>
    <col min="2821" max="2821" width="23.42578125" customWidth="1"/>
    <col min="2822" max="2822" width="16.140625" customWidth="1"/>
    <col min="2823" max="2823" width="17.42578125" customWidth="1"/>
    <col min="2824" max="2824" width="13.28515625" customWidth="1"/>
    <col min="3073" max="3073" width="5.140625" customWidth="1"/>
    <col min="3074" max="3074" width="26.42578125" customWidth="1"/>
    <col min="3075" max="3075" width="20.42578125" customWidth="1"/>
    <col min="3076" max="3076" width="15" customWidth="1"/>
    <col min="3077" max="3077" width="23.42578125" customWidth="1"/>
    <col min="3078" max="3078" width="16.140625" customWidth="1"/>
    <col min="3079" max="3079" width="17.42578125" customWidth="1"/>
    <col min="3080" max="3080" width="13.28515625" customWidth="1"/>
    <col min="3329" max="3329" width="5.140625" customWidth="1"/>
    <col min="3330" max="3330" width="26.42578125" customWidth="1"/>
    <col min="3331" max="3331" width="20.42578125" customWidth="1"/>
    <col min="3332" max="3332" width="15" customWidth="1"/>
    <col min="3333" max="3333" width="23.42578125" customWidth="1"/>
    <col min="3334" max="3334" width="16.140625" customWidth="1"/>
    <col min="3335" max="3335" width="17.42578125" customWidth="1"/>
    <col min="3336" max="3336" width="13.28515625" customWidth="1"/>
    <col min="3585" max="3585" width="5.140625" customWidth="1"/>
    <col min="3586" max="3586" width="26.42578125" customWidth="1"/>
    <col min="3587" max="3587" width="20.42578125" customWidth="1"/>
    <col min="3588" max="3588" width="15" customWidth="1"/>
    <col min="3589" max="3589" width="23.42578125" customWidth="1"/>
    <col min="3590" max="3590" width="16.140625" customWidth="1"/>
    <col min="3591" max="3591" width="17.42578125" customWidth="1"/>
    <col min="3592" max="3592" width="13.28515625" customWidth="1"/>
    <col min="3841" max="3841" width="5.140625" customWidth="1"/>
    <col min="3842" max="3842" width="26.42578125" customWidth="1"/>
    <col min="3843" max="3843" width="20.42578125" customWidth="1"/>
    <col min="3844" max="3844" width="15" customWidth="1"/>
    <col min="3845" max="3845" width="23.42578125" customWidth="1"/>
    <col min="3846" max="3846" width="16.140625" customWidth="1"/>
    <col min="3847" max="3847" width="17.42578125" customWidth="1"/>
    <col min="3848" max="3848" width="13.28515625" customWidth="1"/>
    <col min="4097" max="4097" width="5.140625" customWidth="1"/>
    <col min="4098" max="4098" width="26.42578125" customWidth="1"/>
    <col min="4099" max="4099" width="20.42578125" customWidth="1"/>
    <col min="4100" max="4100" width="15" customWidth="1"/>
    <col min="4101" max="4101" width="23.42578125" customWidth="1"/>
    <col min="4102" max="4102" width="16.140625" customWidth="1"/>
    <col min="4103" max="4103" width="17.42578125" customWidth="1"/>
    <col min="4104" max="4104" width="13.28515625" customWidth="1"/>
    <col min="4353" max="4353" width="5.140625" customWidth="1"/>
    <col min="4354" max="4354" width="26.42578125" customWidth="1"/>
    <col min="4355" max="4355" width="20.42578125" customWidth="1"/>
    <col min="4356" max="4356" width="15" customWidth="1"/>
    <col min="4357" max="4357" width="23.42578125" customWidth="1"/>
    <col min="4358" max="4358" width="16.140625" customWidth="1"/>
    <col min="4359" max="4359" width="17.42578125" customWidth="1"/>
    <col min="4360" max="4360" width="13.28515625" customWidth="1"/>
    <col min="4609" max="4609" width="5.140625" customWidth="1"/>
    <col min="4610" max="4610" width="26.42578125" customWidth="1"/>
    <col min="4611" max="4611" width="20.42578125" customWidth="1"/>
    <col min="4612" max="4612" width="15" customWidth="1"/>
    <col min="4613" max="4613" width="23.42578125" customWidth="1"/>
    <col min="4614" max="4614" width="16.140625" customWidth="1"/>
    <col min="4615" max="4615" width="17.42578125" customWidth="1"/>
    <col min="4616" max="4616" width="13.28515625" customWidth="1"/>
    <col min="4865" max="4865" width="5.140625" customWidth="1"/>
    <col min="4866" max="4866" width="26.42578125" customWidth="1"/>
    <col min="4867" max="4867" width="20.42578125" customWidth="1"/>
    <col min="4868" max="4868" width="15" customWidth="1"/>
    <col min="4869" max="4869" width="23.42578125" customWidth="1"/>
    <col min="4870" max="4870" width="16.140625" customWidth="1"/>
    <col min="4871" max="4871" width="17.42578125" customWidth="1"/>
    <col min="4872" max="4872" width="13.28515625" customWidth="1"/>
    <col min="5121" max="5121" width="5.140625" customWidth="1"/>
    <col min="5122" max="5122" width="26.42578125" customWidth="1"/>
    <col min="5123" max="5123" width="20.42578125" customWidth="1"/>
    <col min="5124" max="5124" width="15" customWidth="1"/>
    <col min="5125" max="5125" width="23.42578125" customWidth="1"/>
    <col min="5126" max="5126" width="16.140625" customWidth="1"/>
    <col min="5127" max="5127" width="17.42578125" customWidth="1"/>
    <col min="5128" max="5128" width="13.28515625" customWidth="1"/>
    <col min="5377" max="5377" width="5.140625" customWidth="1"/>
    <col min="5378" max="5378" width="26.42578125" customWidth="1"/>
    <col min="5379" max="5379" width="20.42578125" customWidth="1"/>
    <col min="5380" max="5380" width="15" customWidth="1"/>
    <col min="5381" max="5381" width="23.42578125" customWidth="1"/>
    <col min="5382" max="5382" width="16.140625" customWidth="1"/>
    <col min="5383" max="5383" width="17.42578125" customWidth="1"/>
    <col min="5384" max="5384" width="13.28515625" customWidth="1"/>
    <col min="5633" max="5633" width="5.140625" customWidth="1"/>
    <col min="5634" max="5634" width="26.42578125" customWidth="1"/>
    <col min="5635" max="5635" width="20.42578125" customWidth="1"/>
    <col min="5636" max="5636" width="15" customWidth="1"/>
    <col min="5637" max="5637" width="23.42578125" customWidth="1"/>
    <col min="5638" max="5638" width="16.140625" customWidth="1"/>
    <col min="5639" max="5639" width="17.42578125" customWidth="1"/>
    <col min="5640" max="5640" width="13.28515625" customWidth="1"/>
    <col min="5889" max="5889" width="5.140625" customWidth="1"/>
    <col min="5890" max="5890" width="26.42578125" customWidth="1"/>
    <col min="5891" max="5891" width="20.42578125" customWidth="1"/>
    <col min="5892" max="5892" width="15" customWidth="1"/>
    <col min="5893" max="5893" width="23.42578125" customWidth="1"/>
    <col min="5894" max="5894" width="16.140625" customWidth="1"/>
    <col min="5895" max="5895" width="17.42578125" customWidth="1"/>
    <col min="5896" max="5896" width="13.28515625" customWidth="1"/>
    <col min="6145" max="6145" width="5.140625" customWidth="1"/>
    <col min="6146" max="6146" width="26.42578125" customWidth="1"/>
    <col min="6147" max="6147" width="20.42578125" customWidth="1"/>
    <col min="6148" max="6148" width="15" customWidth="1"/>
    <col min="6149" max="6149" width="23.42578125" customWidth="1"/>
    <col min="6150" max="6150" width="16.140625" customWidth="1"/>
    <col min="6151" max="6151" width="17.42578125" customWidth="1"/>
    <col min="6152" max="6152" width="13.28515625" customWidth="1"/>
    <col min="6401" max="6401" width="5.140625" customWidth="1"/>
    <col min="6402" max="6402" width="26.42578125" customWidth="1"/>
    <col min="6403" max="6403" width="20.42578125" customWidth="1"/>
    <col min="6404" max="6404" width="15" customWidth="1"/>
    <col min="6405" max="6405" width="23.42578125" customWidth="1"/>
    <col min="6406" max="6406" width="16.140625" customWidth="1"/>
    <col min="6407" max="6407" width="17.42578125" customWidth="1"/>
    <col min="6408" max="6408" width="13.28515625" customWidth="1"/>
    <col min="6657" max="6657" width="5.140625" customWidth="1"/>
    <col min="6658" max="6658" width="26.42578125" customWidth="1"/>
    <col min="6659" max="6659" width="20.42578125" customWidth="1"/>
    <col min="6660" max="6660" width="15" customWidth="1"/>
    <col min="6661" max="6661" width="23.42578125" customWidth="1"/>
    <col min="6662" max="6662" width="16.140625" customWidth="1"/>
    <col min="6663" max="6663" width="17.42578125" customWidth="1"/>
    <col min="6664" max="6664" width="13.28515625" customWidth="1"/>
    <col min="6913" max="6913" width="5.140625" customWidth="1"/>
    <col min="6914" max="6914" width="26.42578125" customWidth="1"/>
    <col min="6915" max="6915" width="20.42578125" customWidth="1"/>
    <col min="6916" max="6916" width="15" customWidth="1"/>
    <col min="6917" max="6917" width="23.42578125" customWidth="1"/>
    <col min="6918" max="6918" width="16.140625" customWidth="1"/>
    <col min="6919" max="6919" width="17.42578125" customWidth="1"/>
    <col min="6920" max="6920" width="13.28515625" customWidth="1"/>
    <col min="7169" max="7169" width="5.140625" customWidth="1"/>
    <col min="7170" max="7170" width="26.42578125" customWidth="1"/>
    <col min="7171" max="7171" width="20.42578125" customWidth="1"/>
    <col min="7172" max="7172" width="15" customWidth="1"/>
    <col min="7173" max="7173" width="23.42578125" customWidth="1"/>
    <col min="7174" max="7174" width="16.140625" customWidth="1"/>
    <col min="7175" max="7175" width="17.42578125" customWidth="1"/>
    <col min="7176" max="7176" width="13.28515625" customWidth="1"/>
    <col min="7425" max="7425" width="5.140625" customWidth="1"/>
    <col min="7426" max="7426" width="26.42578125" customWidth="1"/>
    <col min="7427" max="7427" width="20.42578125" customWidth="1"/>
    <col min="7428" max="7428" width="15" customWidth="1"/>
    <col min="7429" max="7429" width="23.42578125" customWidth="1"/>
    <col min="7430" max="7430" width="16.140625" customWidth="1"/>
    <col min="7431" max="7431" width="17.42578125" customWidth="1"/>
    <col min="7432" max="7432" width="13.28515625" customWidth="1"/>
    <col min="7681" max="7681" width="5.140625" customWidth="1"/>
    <col min="7682" max="7682" width="26.42578125" customWidth="1"/>
    <col min="7683" max="7683" width="20.42578125" customWidth="1"/>
    <col min="7684" max="7684" width="15" customWidth="1"/>
    <col min="7685" max="7685" width="23.42578125" customWidth="1"/>
    <col min="7686" max="7686" width="16.140625" customWidth="1"/>
    <col min="7687" max="7687" width="17.42578125" customWidth="1"/>
    <col min="7688" max="7688" width="13.28515625" customWidth="1"/>
    <col min="7937" max="7937" width="5.140625" customWidth="1"/>
    <col min="7938" max="7938" width="26.42578125" customWidth="1"/>
    <col min="7939" max="7939" width="20.42578125" customWidth="1"/>
    <col min="7940" max="7940" width="15" customWidth="1"/>
    <col min="7941" max="7941" width="23.42578125" customWidth="1"/>
    <col min="7942" max="7942" width="16.140625" customWidth="1"/>
    <col min="7943" max="7943" width="17.42578125" customWidth="1"/>
    <col min="7944" max="7944" width="13.28515625" customWidth="1"/>
    <col min="8193" max="8193" width="5.140625" customWidth="1"/>
    <col min="8194" max="8194" width="26.42578125" customWidth="1"/>
    <col min="8195" max="8195" width="20.42578125" customWidth="1"/>
    <col min="8196" max="8196" width="15" customWidth="1"/>
    <col min="8197" max="8197" width="23.42578125" customWidth="1"/>
    <col min="8198" max="8198" width="16.140625" customWidth="1"/>
    <col min="8199" max="8199" width="17.42578125" customWidth="1"/>
    <col min="8200" max="8200" width="13.28515625" customWidth="1"/>
    <col min="8449" max="8449" width="5.140625" customWidth="1"/>
    <col min="8450" max="8450" width="26.42578125" customWidth="1"/>
    <col min="8451" max="8451" width="20.42578125" customWidth="1"/>
    <col min="8452" max="8452" width="15" customWidth="1"/>
    <col min="8453" max="8453" width="23.42578125" customWidth="1"/>
    <col min="8454" max="8454" width="16.140625" customWidth="1"/>
    <col min="8455" max="8455" width="17.42578125" customWidth="1"/>
    <col min="8456" max="8456" width="13.28515625" customWidth="1"/>
    <col min="8705" max="8705" width="5.140625" customWidth="1"/>
    <col min="8706" max="8706" width="26.42578125" customWidth="1"/>
    <col min="8707" max="8707" width="20.42578125" customWidth="1"/>
    <col min="8708" max="8708" width="15" customWidth="1"/>
    <col min="8709" max="8709" width="23.42578125" customWidth="1"/>
    <col min="8710" max="8710" width="16.140625" customWidth="1"/>
    <col min="8711" max="8711" width="17.42578125" customWidth="1"/>
    <col min="8712" max="8712" width="13.28515625" customWidth="1"/>
    <col min="8961" max="8961" width="5.140625" customWidth="1"/>
    <col min="8962" max="8962" width="26.42578125" customWidth="1"/>
    <col min="8963" max="8963" width="20.42578125" customWidth="1"/>
    <col min="8964" max="8964" width="15" customWidth="1"/>
    <col min="8965" max="8965" width="23.42578125" customWidth="1"/>
    <col min="8966" max="8966" width="16.140625" customWidth="1"/>
    <col min="8967" max="8967" width="17.42578125" customWidth="1"/>
    <col min="8968" max="8968" width="13.28515625" customWidth="1"/>
    <col min="9217" max="9217" width="5.140625" customWidth="1"/>
    <col min="9218" max="9218" width="26.42578125" customWidth="1"/>
    <col min="9219" max="9219" width="20.42578125" customWidth="1"/>
    <col min="9220" max="9220" width="15" customWidth="1"/>
    <col min="9221" max="9221" width="23.42578125" customWidth="1"/>
    <col min="9222" max="9222" width="16.140625" customWidth="1"/>
    <col min="9223" max="9223" width="17.42578125" customWidth="1"/>
    <col min="9224" max="9224" width="13.28515625" customWidth="1"/>
    <col min="9473" max="9473" width="5.140625" customWidth="1"/>
    <col min="9474" max="9474" width="26.42578125" customWidth="1"/>
    <col min="9475" max="9475" width="20.42578125" customWidth="1"/>
    <col min="9476" max="9476" width="15" customWidth="1"/>
    <col min="9477" max="9477" width="23.42578125" customWidth="1"/>
    <col min="9478" max="9478" width="16.140625" customWidth="1"/>
    <col min="9479" max="9479" width="17.42578125" customWidth="1"/>
    <col min="9480" max="9480" width="13.28515625" customWidth="1"/>
    <col min="9729" max="9729" width="5.140625" customWidth="1"/>
    <col min="9730" max="9730" width="26.42578125" customWidth="1"/>
    <col min="9731" max="9731" width="20.42578125" customWidth="1"/>
    <col min="9732" max="9732" width="15" customWidth="1"/>
    <col min="9733" max="9733" width="23.42578125" customWidth="1"/>
    <col min="9734" max="9734" width="16.140625" customWidth="1"/>
    <col min="9735" max="9735" width="17.42578125" customWidth="1"/>
    <col min="9736" max="9736" width="13.28515625" customWidth="1"/>
    <col min="9985" max="9985" width="5.140625" customWidth="1"/>
    <col min="9986" max="9986" width="26.42578125" customWidth="1"/>
    <col min="9987" max="9987" width="20.42578125" customWidth="1"/>
    <col min="9988" max="9988" width="15" customWidth="1"/>
    <col min="9989" max="9989" width="23.42578125" customWidth="1"/>
    <col min="9990" max="9990" width="16.140625" customWidth="1"/>
    <col min="9991" max="9991" width="17.42578125" customWidth="1"/>
    <col min="9992" max="9992" width="13.28515625" customWidth="1"/>
    <col min="10241" max="10241" width="5.140625" customWidth="1"/>
    <col min="10242" max="10242" width="26.42578125" customWidth="1"/>
    <col min="10243" max="10243" width="20.42578125" customWidth="1"/>
    <col min="10244" max="10244" width="15" customWidth="1"/>
    <col min="10245" max="10245" width="23.42578125" customWidth="1"/>
    <col min="10246" max="10246" width="16.140625" customWidth="1"/>
    <col min="10247" max="10247" width="17.42578125" customWidth="1"/>
    <col min="10248" max="10248" width="13.28515625" customWidth="1"/>
    <col min="10497" max="10497" width="5.140625" customWidth="1"/>
    <col min="10498" max="10498" width="26.42578125" customWidth="1"/>
    <col min="10499" max="10499" width="20.42578125" customWidth="1"/>
    <col min="10500" max="10500" width="15" customWidth="1"/>
    <col min="10501" max="10501" width="23.42578125" customWidth="1"/>
    <col min="10502" max="10502" width="16.140625" customWidth="1"/>
    <col min="10503" max="10503" width="17.42578125" customWidth="1"/>
    <col min="10504" max="10504" width="13.28515625" customWidth="1"/>
    <col min="10753" max="10753" width="5.140625" customWidth="1"/>
    <col min="10754" max="10754" width="26.42578125" customWidth="1"/>
    <col min="10755" max="10755" width="20.42578125" customWidth="1"/>
    <col min="10756" max="10756" width="15" customWidth="1"/>
    <col min="10757" max="10757" width="23.42578125" customWidth="1"/>
    <col min="10758" max="10758" width="16.140625" customWidth="1"/>
    <col min="10759" max="10759" width="17.42578125" customWidth="1"/>
    <col min="10760" max="10760" width="13.28515625" customWidth="1"/>
    <col min="11009" max="11009" width="5.140625" customWidth="1"/>
    <col min="11010" max="11010" width="26.42578125" customWidth="1"/>
    <col min="11011" max="11011" width="20.42578125" customWidth="1"/>
    <col min="11012" max="11012" width="15" customWidth="1"/>
    <col min="11013" max="11013" width="23.42578125" customWidth="1"/>
    <col min="11014" max="11014" width="16.140625" customWidth="1"/>
    <col min="11015" max="11015" width="17.42578125" customWidth="1"/>
    <col min="11016" max="11016" width="13.28515625" customWidth="1"/>
    <col min="11265" max="11265" width="5.140625" customWidth="1"/>
    <col min="11266" max="11266" width="26.42578125" customWidth="1"/>
    <col min="11267" max="11267" width="20.42578125" customWidth="1"/>
    <col min="11268" max="11268" width="15" customWidth="1"/>
    <col min="11269" max="11269" width="23.42578125" customWidth="1"/>
    <col min="11270" max="11270" width="16.140625" customWidth="1"/>
    <col min="11271" max="11271" width="17.42578125" customWidth="1"/>
    <col min="11272" max="11272" width="13.28515625" customWidth="1"/>
    <col min="11521" max="11521" width="5.140625" customWidth="1"/>
    <col min="11522" max="11522" width="26.42578125" customWidth="1"/>
    <col min="11523" max="11523" width="20.42578125" customWidth="1"/>
    <col min="11524" max="11524" width="15" customWidth="1"/>
    <col min="11525" max="11525" width="23.42578125" customWidth="1"/>
    <col min="11526" max="11526" width="16.140625" customWidth="1"/>
    <col min="11527" max="11527" width="17.42578125" customWidth="1"/>
    <col min="11528" max="11528" width="13.28515625" customWidth="1"/>
    <col min="11777" max="11777" width="5.140625" customWidth="1"/>
    <col min="11778" max="11778" width="26.42578125" customWidth="1"/>
    <col min="11779" max="11779" width="20.42578125" customWidth="1"/>
    <col min="11780" max="11780" width="15" customWidth="1"/>
    <col min="11781" max="11781" width="23.42578125" customWidth="1"/>
    <col min="11782" max="11782" width="16.140625" customWidth="1"/>
    <col min="11783" max="11783" width="17.42578125" customWidth="1"/>
    <col min="11784" max="11784" width="13.28515625" customWidth="1"/>
    <col min="12033" max="12033" width="5.140625" customWidth="1"/>
    <col min="12034" max="12034" width="26.42578125" customWidth="1"/>
    <col min="12035" max="12035" width="20.42578125" customWidth="1"/>
    <col min="12036" max="12036" width="15" customWidth="1"/>
    <col min="12037" max="12037" width="23.42578125" customWidth="1"/>
    <col min="12038" max="12038" width="16.140625" customWidth="1"/>
    <col min="12039" max="12039" width="17.42578125" customWidth="1"/>
    <col min="12040" max="12040" width="13.28515625" customWidth="1"/>
    <col min="12289" max="12289" width="5.140625" customWidth="1"/>
    <col min="12290" max="12290" width="26.42578125" customWidth="1"/>
    <col min="12291" max="12291" width="20.42578125" customWidth="1"/>
    <col min="12292" max="12292" width="15" customWidth="1"/>
    <col min="12293" max="12293" width="23.42578125" customWidth="1"/>
    <col min="12294" max="12294" width="16.140625" customWidth="1"/>
    <col min="12295" max="12295" width="17.42578125" customWidth="1"/>
    <col min="12296" max="12296" width="13.28515625" customWidth="1"/>
    <col min="12545" max="12545" width="5.140625" customWidth="1"/>
    <col min="12546" max="12546" width="26.42578125" customWidth="1"/>
    <col min="12547" max="12547" width="20.42578125" customWidth="1"/>
    <col min="12548" max="12548" width="15" customWidth="1"/>
    <col min="12549" max="12549" width="23.42578125" customWidth="1"/>
    <col min="12550" max="12550" width="16.140625" customWidth="1"/>
    <col min="12551" max="12551" width="17.42578125" customWidth="1"/>
    <col min="12552" max="12552" width="13.28515625" customWidth="1"/>
    <col min="12801" max="12801" width="5.140625" customWidth="1"/>
    <col min="12802" max="12802" width="26.42578125" customWidth="1"/>
    <col min="12803" max="12803" width="20.42578125" customWidth="1"/>
    <col min="12804" max="12804" width="15" customWidth="1"/>
    <col min="12805" max="12805" width="23.42578125" customWidth="1"/>
    <col min="12806" max="12806" width="16.140625" customWidth="1"/>
    <col min="12807" max="12807" width="17.42578125" customWidth="1"/>
    <col min="12808" max="12808" width="13.28515625" customWidth="1"/>
    <col min="13057" max="13057" width="5.140625" customWidth="1"/>
    <col min="13058" max="13058" width="26.42578125" customWidth="1"/>
    <col min="13059" max="13059" width="20.42578125" customWidth="1"/>
    <col min="13060" max="13060" width="15" customWidth="1"/>
    <col min="13061" max="13061" width="23.42578125" customWidth="1"/>
    <col min="13062" max="13062" width="16.140625" customWidth="1"/>
    <col min="13063" max="13063" width="17.42578125" customWidth="1"/>
    <col min="13064" max="13064" width="13.28515625" customWidth="1"/>
    <col min="13313" max="13313" width="5.140625" customWidth="1"/>
    <col min="13314" max="13314" width="26.42578125" customWidth="1"/>
    <col min="13315" max="13315" width="20.42578125" customWidth="1"/>
    <col min="13316" max="13316" width="15" customWidth="1"/>
    <col min="13317" max="13317" width="23.42578125" customWidth="1"/>
    <col min="13318" max="13318" width="16.140625" customWidth="1"/>
    <col min="13319" max="13319" width="17.42578125" customWidth="1"/>
    <col min="13320" max="13320" width="13.28515625" customWidth="1"/>
    <col min="13569" max="13569" width="5.140625" customWidth="1"/>
    <col min="13570" max="13570" width="26.42578125" customWidth="1"/>
    <col min="13571" max="13571" width="20.42578125" customWidth="1"/>
    <col min="13572" max="13572" width="15" customWidth="1"/>
    <col min="13573" max="13573" width="23.42578125" customWidth="1"/>
    <col min="13574" max="13574" width="16.140625" customWidth="1"/>
    <col min="13575" max="13575" width="17.42578125" customWidth="1"/>
    <col min="13576" max="13576" width="13.28515625" customWidth="1"/>
    <col min="13825" max="13825" width="5.140625" customWidth="1"/>
    <col min="13826" max="13826" width="26.42578125" customWidth="1"/>
    <col min="13827" max="13827" width="20.42578125" customWidth="1"/>
    <col min="13828" max="13828" width="15" customWidth="1"/>
    <col min="13829" max="13829" width="23.42578125" customWidth="1"/>
    <col min="13830" max="13830" width="16.140625" customWidth="1"/>
    <col min="13831" max="13831" width="17.42578125" customWidth="1"/>
    <col min="13832" max="13832" width="13.28515625" customWidth="1"/>
    <col min="14081" max="14081" width="5.140625" customWidth="1"/>
    <col min="14082" max="14082" width="26.42578125" customWidth="1"/>
    <col min="14083" max="14083" width="20.42578125" customWidth="1"/>
    <col min="14084" max="14084" width="15" customWidth="1"/>
    <col min="14085" max="14085" width="23.42578125" customWidth="1"/>
    <col min="14086" max="14086" width="16.140625" customWidth="1"/>
    <col min="14087" max="14087" width="17.42578125" customWidth="1"/>
    <col min="14088" max="14088" width="13.28515625" customWidth="1"/>
    <col min="14337" max="14337" width="5.140625" customWidth="1"/>
    <col min="14338" max="14338" width="26.42578125" customWidth="1"/>
    <col min="14339" max="14339" width="20.42578125" customWidth="1"/>
    <col min="14340" max="14340" width="15" customWidth="1"/>
    <col min="14341" max="14341" width="23.42578125" customWidth="1"/>
    <col min="14342" max="14342" width="16.140625" customWidth="1"/>
    <col min="14343" max="14343" width="17.42578125" customWidth="1"/>
    <col min="14344" max="14344" width="13.28515625" customWidth="1"/>
    <col min="14593" max="14593" width="5.140625" customWidth="1"/>
    <col min="14594" max="14594" width="26.42578125" customWidth="1"/>
    <col min="14595" max="14595" width="20.42578125" customWidth="1"/>
    <col min="14596" max="14596" width="15" customWidth="1"/>
    <col min="14597" max="14597" width="23.42578125" customWidth="1"/>
    <col min="14598" max="14598" width="16.140625" customWidth="1"/>
    <col min="14599" max="14599" width="17.42578125" customWidth="1"/>
    <col min="14600" max="14600" width="13.28515625" customWidth="1"/>
    <col min="14849" max="14849" width="5.140625" customWidth="1"/>
    <col min="14850" max="14850" width="26.42578125" customWidth="1"/>
    <col min="14851" max="14851" width="20.42578125" customWidth="1"/>
    <col min="14852" max="14852" width="15" customWidth="1"/>
    <col min="14853" max="14853" width="23.42578125" customWidth="1"/>
    <col min="14854" max="14854" width="16.140625" customWidth="1"/>
    <col min="14855" max="14855" width="17.42578125" customWidth="1"/>
    <col min="14856" max="14856" width="13.28515625" customWidth="1"/>
    <col min="15105" max="15105" width="5.140625" customWidth="1"/>
    <col min="15106" max="15106" width="26.42578125" customWidth="1"/>
    <col min="15107" max="15107" width="20.42578125" customWidth="1"/>
    <col min="15108" max="15108" width="15" customWidth="1"/>
    <col min="15109" max="15109" width="23.42578125" customWidth="1"/>
    <col min="15110" max="15110" width="16.140625" customWidth="1"/>
    <col min="15111" max="15111" width="17.42578125" customWidth="1"/>
    <col min="15112" max="15112" width="13.28515625" customWidth="1"/>
    <col min="15361" max="15361" width="5.140625" customWidth="1"/>
    <col min="15362" max="15362" width="26.42578125" customWidth="1"/>
    <col min="15363" max="15363" width="20.42578125" customWidth="1"/>
    <col min="15364" max="15364" width="15" customWidth="1"/>
    <col min="15365" max="15365" width="23.42578125" customWidth="1"/>
    <col min="15366" max="15366" width="16.140625" customWidth="1"/>
    <col min="15367" max="15367" width="17.42578125" customWidth="1"/>
    <col min="15368" max="15368" width="13.28515625" customWidth="1"/>
    <col min="15617" max="15617" width="5.140625" customWidth="1"/>
    <col min="15618" max="15618" width="26.42578125" customWidth="1"/>
    <col min="15619" max="15619" width="20.42578125" customWidth="1"/>
    <col min="15620" max="15620" width="15" customWidth="1"/>
    <col min="15621" max="15621" width="23.42578125" customWidth="1"/>
    <col min="15622" max="15622" width="16.140625" customWidth="1"/>
    <col min="15623" max="15623" width="17.42578125" customWidth="1"/>
    <col min="15624" max="15624" width="13.28515625" customWidth="1"/>
    <col min="15873" max="15873" width="5.140625" customWidth="1"/>
    <col min="15874" max="15874" width="26.42578125" customWidth="1"/>
    <col min="15875" max="15875" width="20.42578125" customWidth="1"/>
    <col min="15876" max="15876" width="15" customWidth="1"/>
    <col min="15877" max="15877" width="23.42578125" customWidth="1"/>
    <col min="15878" max="15878" width="16.140625" customWidth="1"/>
    <col min="15879" max="15879" width="17.42578125" customWidth="1"/>
    <col min="15880" max="15880" width="13.28515625" customWidth="1"/>
    <col min="16129" max="16129" width="5.140625" customWidth="1"/>
    <col min="16130" max="16130" width="26.42578125" customWidth="1"/>
    <col min="16131" max="16131" width="20.42578125" customWidth="1"/>
    <col min="16132" max="16132" width="15" customWidth="1"/>
    <col min="16133" max="16133" width="23.42578125" customWidth="1"/>
    <col min="16134" max="16134" width="16.140625" customWidth="1"/>
    <col min="16135" max="16135" width="17.42578125" customWidth="1"/>
    <col min="16136" max="16136" width="13.28515625" customWidth="1"/>
  </cols>
  <sheetData>
    <row r="1" spans="1:10" s="293" customFormat="1" ht="18.75">
      <c r="A1" s="289"/>
      <c r="B1" s="290"/>
      <c r="C1" s="290"/>
      <c r="D1" s="291"/>
      <c r="E1" s="291"/>
      <c r="F1" s="292"/>
      <c r="G1" s="290"/>
      <c r="H1" s="290"/>
      <c r="I1" s="290"/>
    </row>
    <row r="2" spans="1:10" s="293" customFormat="1" ht="15.75" customHeight="1">
      <c r="A2" s="3458" t="s">
        <v>5430</v>
      </c>
      <c r="B2" s="3458"/>
      <c r="C2" s="3458"/>
      <c r="D2" s="3458"/>
      <c r="E2" s="3458"/>
      <c r="F2" s="3458"/>
      <c r="G2" s="3458"/>
      <c r="H2" s="3458"/>
      <c r="I2" s="296"/>
      <c r="J2" s="297"/>
    </row>
    <row r="3" spans="1:10" s="293" customFormat="1" ht="15.75">
      <c r="A3" s="298"/>
      <c r="B3" s="299"/>
      <c r="C3" s="299"/>
      <c r="D3" s="299"/>
      <c r="E3" s="299"/>
      <c r="F3" s="300"/>
      <c r="G3" s="299"/>
      <c r="H3" s="299"/>
      <c r="I3" s="299"/>
    </row>
    <row r="4" spans="1:10" s="293" customFormat="1" ht="67.5" customHeight="1">
      <c r="A4" s="301" t="s">
        <v>439</v>
      </c>
      <c r="B4" s="1579" t="s">
        <v>533</v>
      </c>
      <c r="C4" s="1579" t="s">
        <v>534</v>
      </c>
      <c r="D4" s="1579" t="s">
        <v>535</v>
      </c>
      <c r="E4" s="1598" t="s">
        <v>5389</v>
      </c>
      <c r="F4" s="1579" t="s">
        <v>537</v>
      </c>
      <c r="G4" s="1579" t="s">
        <v>538</v>
      </c>
      <c r="H4" s="1579" t="s">
        <v>539</v>
      </c>
      <c r="I4" s="299"/>
    </row>
    <row r="5" spans="1:10" s="293" customFormat="1" ht="15.75">
      <c r="A5" s="303"/>
      <c r="B5" s="1579"/>
      <c r="C5" s="1579"/>
      <c r="D5" s="1579">
        <v>0.3</v>
      </c>
      <c r="E5" s="1579">
        <v>0.35</v>
      </c>
      <c r="F5" s="1579">
        <v>0.35</v>
      </c>
      <c r="G5" s="1579"/>
      <c r="H5" s="1579"/>
      <c r="I5" s="299"/>
    </row>
    <row r="6" spans="1:10" s="293" customFormat="1" ht="88.5" customHeight="1">
      <c r="A6" s="304">
        <v>1</v>
      </c>
      <c r="B6" s="305" t="s">
        <v>5390</v>
      </c>
      <c r="C6" s="305" t="s">
        <v>2799</v>
      </c>
      <c r="D6" s="3616">
        <v>0.93500000000000005</v>
      </c>
      <c r="E6" s="3616">
        <v>1.0094000000000001</v>
      </c>
      <c r="F6" s="3616">
        <v>0.95199999999999996</v>
      </c>
      <c r="G6" s="3617">
        <f>D6*0.3+(E6-3%)*0.35+F6*0.35</f>
        <v>0.95648999999999995</v>
      </c>
      <c r="H6" s="1598" t="str">
        <f>IF(G6&gt;=97%,"Высокая",IF((G6&gt;=92%)*AND(G6&lt;97%),"Средняя",IF((G6&gt;=85%)*AND(G6&lt;92%),"Ниже среднего","Низкая")))</f>
        <v>Средняя</v>
      </c>
      <c r="I6" s="308">
        <f>D6*0.3+(E6-3)*0.35+F6*0.35</f>
        <v>-8.3009999999999973E-2</v>
      </c>
    </row>
    <row r="7" spans="1:10" s="293" customFormat="1" ht="102" customHeight="1">
      <c r="A7" s="303" t="s">
        <v>542</v>
      </c>
      <c r="B7" s="309" t="s">
        <v>5357</v>
      </c>
      <c r="C7" s="305" t="s">
        <v>2799</v>
      </c>
      <c r="D7" s="3616">
        <v>1</v>
      </c>
      <c r="E7" s="3616">
        <v>1.105</v>
      </c>
      <c r="F7" s="3616">
        <v>1</v>
      </c>
      <c r="G7" s="3617">
        <f>D7*0.3+(E7-3%)*0.35+F7*0.35</f>
        <v>1.0262500000000001</v>
      </c>
      <c r="H7" s="1598" t="str">
        <f>IF(G7&gt;=97%,"Высокая",IF((G7&gt;=92%)*AND(G7&lt;97%),"Средняя",IF((G7&gt;=85%)*AND(G7&lt;92%),"Ниже среднего","Низкая")))</f>
        <v>Высокая</v>
      </c>
      <c r="I7" s="308">
        <f>D7*0.3+(E7-3)*0.35+F7*0.35</f>
        <v>-1.325000000000004E-2</v>
      </c>
    </row>
    <row r="8" spans="1:10" s="293" customFormat="1" ht="96.75" customHeight="1">
      <c r="A8" s="303" t="s">
        <v>544</v>
      </c>
      <c r="B8" s="309" t="s">
        <v>5391</v>
      </c>
      <c r="C8" s="305" t="s">
        <v>2799</v>
      </c>
      <c r="D8" s="3616">
        <v>0.74309999999999998</v>
      </c>
      <c r="E8" s="3616">
        <v>0.76659999999999995</v>
      </c>
      <c r="F8" s="3616">
        <v>0.96399999999999997</v>
      </c>
      <c r="G8" s="3617">
        <f>D8*0.3+(E8-3%)*0.35+F8*0.35</f>
        <v>0.81813999999999987</v>
      </c>
      <c r="H8" s="1598" t="str">
        <f>IF(G8&gt;=97%,"Высокая",IF((G8&gt;=92%)*AND(G8&lt;97%),"Средняя",IF((G8&gt;=85%)*AND(G8&lt;92%),"Ниже среднего","Низкая")))</f>
        <v>Низкая</v>
      </c>
      <c r="I8" s="308">
        <f>D8*0.3+(E8-3)*0.35+F8*0.35</f>
        <v>-0.22136000000000006</v>
      </c>
    </row>
    <row r="9" spans="1:10" s="293" customFormat="1" ht="75.75" customHeight="1">
      <c r="A9" s="303" t="s">
        <v>529</v>
      </c>
      <c r="B9" s="309" t="s">
        <v>5368</v>
      </c>
      <c r="C9" s="305" t="s">
        <v>2799</v>
      </c>
      <c r="D9" s="3616">
        <v>1</v>
      </c>
      <c r="E9" s="3616">
        <v>1.0498000000000001</v>
      </c>
      <c r="F9" s="3616">
        <v>0.9</v>
      </c>
      <c r="G9" s="3617">
        <f>D9*0.3+(E9-3%)*0.35+F9*0.35</f>
        <v>0.97192999999999996</v>
      </c>
      <c r="H9" s="1598" t="str">
        <f>IF(G9&gt;=97%,"Высокая",IF((G9&gt;=92%)*AND(G9&lt;97%),"Средняя",IF((G9&gt;=85%)*AND(G9&lt;92%),"Ниже среднего","Низкая")))</f>
        <v>Высокая</v>
      </c>
      <c r="I9" s="308">
        <f>D9*0.3+(E9-3)*0.35+F9*0.35</f>
        <v>-6.7569999999999908E-2</v>
      </c>
    </row>
    <row r="10" spans="1:10" s="293" customFormat="1" ht="15.75">
      <c r="A10" s="313"/>
      <c r="B10" s="299"/>
      <c r="C10" s="299"/>
      <c r="D10" s="299"/>
      <c r="E10" s="299"/>
      <c r="F10" s="300"/>
      <c r="G10" s="299"/>
      <c r="H10" s="299"/>
      <c r="I10" s="299"/>
    </row>
    <row r="11" spans="1:10" s="293" customFormat="1" ht="63" customHeight="1">
      <c r="A11" s="3029" t="s">
        <v>549</v>
      </c>
      <c r="B11" s="3029"/>
      <c r="C11" s="3029"/>
      <c r="D11" s="3029"/>
      <c r="E11" s="3029"/>
      <c r="F11" s="3029"/>
      <c r="G11" s="3029"/>
      <c r="H11" s="3029"/>
      <c r="I11" s="299"/>
    </row>
    <row r="12" spans="1:10" s="293" customFormat="1" ht="15.75">
      <c r="A12" s="314"/>
      <c r="F12" s="315"/>
    </row>
  </sheetData>
  <mergeCells count="2">
    <mergeCell ref="A2:H2"/>
    <mergeCell ref="A11:H11"/>
  </mergeCells>
  <pageMargins left="0.70866141732283472" right="0.70866141732283472" top="0.74803149606299213" bottom="0.74803149606299213" header="0.31496062992125984" footer="0.31496062992125984"/>
  <pageSetup paperSize="9" scale="95" fitToHeight="0" orientation="landscape" r:id="rId1"/>
  <headerFooter>
    <oddHeader>&amp;C&amp;"Times New Roman,обычный" 6</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08"/>
  <sheetViews>
    <sheetView view="pageBreakPreview" topLeftCell="B1" zoomScale="80" zoomScaleNormal="93" zoomScaleSheetLayoutView="80" workbookViewId="0">
      <selection activeCell="D11" sqref="D11"/>
    </sheetView>
  </sheetViews>
  <sheetFormatPr defaultRowHeight="12.75"/>
  <cols>
    <col min="1" max="1" width="9.140625" style="1599"/>
    <col min="2" max="2" width="6.7109375" style="1599" customWidth="1"/>
    <col min="3" max="3" width="116.42578125" style="1599" customWidth="1"/>
    <col min="4" max="4" width="43.5703125" style="1599" customWidth="1"/>
    <col min="5" max="5" width="38.5703125" style="1599" customWidth="1"/>
    <col min="6" max="6" width="22.140625" style="1599" customWidth="1"/>
    <col min="7" max="7" width="44" style="1599" customWidth="1"/>
    <col min="8" max="8" width="34.5703125" style="1599" customWidth="1"/>
    <col min="9" max="9" width="23.7109375" style="1599" customWidth="1"/>
    <col min="10" max="10" width="29.28515625" style="1599" customWidth="1"/>
    <col min="11" max="257" width="9.140625" style="1599"/>
    <col min="258" max="258" width="6.7109375" style="1599" customWidth="1"/>
    <col min="259" max="259" width="116.42578125" style="1599" customWidth="1"/>
    <col min="260" max="260" width="43.5703125" style="1599" customWidth="1"/>
    <col min="261" max="261" width="38.5703125" style="1599" customWidth="1"/>
    <col min="262" max="262" width="22.140625" style="1599" customWidth="1"/>
    <col min="263" max="263" width="44" style="1599" customWidth="1"/>
    <col min="264" max="264" width="34.5703125" style="1599" customWidth="1"/>
    <col min="265" max="265" width="23.7109375" style="1599" customWidth="1"/>
    <col min="266" max="266" width="29.28515625" style="1599" customWidth="1"/>
    <col min="267" max="513" width="9.140625" style="1599"/>
    <col min="514" max="514" width="6.7109375" style="1599" customWidth="1"/>
    <col min="515" max="515" width="116.42578125" style="1599" customWidth="1"/>
    <col min="516" max="516" width="43.5703125" style="1599" customWidth="1"/>
    <col min="517" max="517" width="38.5703125" style="1599" customWidth="1"/>
    <col min="518" max="518" width="22.140625" style="1599" customWidth="1"/>
    <col min="519" max="519" width="44" style="1599" customWidth="1"/>
    <col min="520" max="520" width="34.5703125" style="1599" customWidth="1"/>
    <col min="521" max="521" width="23.7109375" style="1599" customWidth="1"/>
    <col min="522" max="522" width="29.28515625" style="1599" customWidth="1"/>
    <col min="523" max="769" width="9.140625" style="1599"/>
    <col min="770" max="770" width="6.7109375" style="1599" customWidth="1"/>
    <col min="771" max="771" width="116.42578125" style="1599" customWidth="1"/>
    <col min="772" max="772" width="43.5703125" style="1599" customWidth="1"/>
    <col min="773" max="773" width="38.5703125" style="1599" customWidth="1"/>
    <col min="774" max="774" width="22.140625" style="1599" customWidth="1"/>
    <col min="775" max="775" width="44" style="1599" customWidth="1"/>
    <col min="776" max="776" width="34.5703125" style="1599" customWidth="1"/>
    <col min="777" max="777" width="23.7109375" style="1599" customWidth="1"/>
    <col min="778" max="778" width="29.28515625" style="1599" customWidth="1"/>
    <col min="779" max="1025" width="9.140625" style="1599"/>
    <col min="1026" max="1026" width="6.7109375" style="1599" customWidth="1"/>
    <col min="1027" max="1027" width="116.42578125" style="1599" customWidth="1"/>
    <col min="1028" max="1028" width="43.5703125" style="1599" customWidth="1"/>
    <col min="1029" max="1029" width="38.5703125" style="1599" customWidth="1"/>
    <col min="1030" max="1030" width="22.140625" style="1599" customWidth="1"/>
    <col min="1031" max="1031" width="44" style="1599" customWidth="1"/>
    <col min="1032" max="1032" width="34.5703125" style="1599" customWidth="1"/>
    <col min="1033" max="1033" width="23.7109375" style="1599" customWidth="1"/>
    <col min="1034" max="1034" width="29.28515625" style="1599" customWidth="1"/>
    <col min="1035" max="1281" width="9.140625" style="1599"/>
    <col min="1282" max="1282" width="6.7109375" style="1599" customWidth="1"/>
    <col min="1283" max="1283" width="116.42578125" style="1599" customWidth="1"/>
    <col min="1284" max="1284" width="43.5703125" style="1599" customWidth="1"/>
    <col min="1285" max="1285" width="38.5703125" style="1599" customWidth="1"/>
    <col min="1286" max="1286" width="22.140625" style="1599" customWidth="1"/>
    <col min="1287" max="1287" width="44" style="1599" customWidth="1"/>
    <col min="1288" max="1288" width="34.5703125" style="1599" customWidth="1"/>
    <col min="1289" max="1289" width="23.7109375" style="1599" customWidth="1"/>
    <col min="1290" max="1290" width="29.28515625" style="1599" customWidth="1"/>
    <col min="1291" max="1537" width="9.140625" style="1599"/>
    <col min="1538" max="1538" width="6.7109375" style="1599" customWidth="1"/>
    <col min="1539" max="1539" width="116.42578125" style="1599" customWidth="1"/>
    <col min="1540" max="1540" width="43.5703125" style="1599" customWidth="1"/>
    <col min="1541" max="1541" width="38.5703125" style="1599" customWidth="1"/>
    <col min="1542" max="1542" width="22.140625" style="1599" customWidth="1"/>
    <col min="1543" max="1543" width="44" style="1599" customWidth="1"/>
    <col min="1544" max="1544" width="34.5703125" style="1599" customWidth="1"/>
    <col min="1545" max="1545" width="23.7109375" style="1599" customWidth="1"/>
    <col min="1546" max="1546" width="29.28515625" style="1599" customWidth="1"/>
    <col min="1547" max="1793" width="9.140625" style="1599"/>
    <col min="1794" max="1794" width="6.7109375" style="1599" customWidth="1"/>
    <col min="1795" max="1795" width="116.42578125" style="1599" customWidth="1"/>
    <col min="1796" max="1796" width="43.5703125" style="1599" customWidth="1"/>
    <col min="1797" max="1797" width="38.5703125" style="1599" customWidth="1"/>
    <col min="1798" max="1798" width="22.140625" style="1599" customWidth="1"/>
    <col min="1799" max="1799" width="44" style="1599" customWidth="1"/>
    <col min="1800" max="1800" width="34.5703125" style="1599" customWidth="1"/>
    <col min="1801" max="1801" width="23.7109375" style="1599" customWidth="1"/>
    <col min="1802" max="1802" width="29.28515625" style="1599" customWidth="1"/>
    <col min="1803" max="2049" width="9.140625" style="1599"/>
    <col min="2050" max="2050" width="6.7109375" style="1599" customWidth="1"/>
    <col min="2051" max="2051" width="116.42578125" style="1599" customWidth="1"/>
    <col min="2052" max="2052" width="43.5703125" style="1599" customWidth="1"/>
    <col min="2053" max="2053" width="38.5703125" style="1599" customWidth="1"/>
    <col min="2054" max="2054" width="22.140625" style="1599" customWidth="1"/>
    <col min="2055" max="2055" width="44" style="1599" customWidth="1"/>
    <col min="2056" max="2056" width="34.5703125" style="1599" customWidth="1"/>
    <col min="2057" max="2057" width="23.7109375" style="1599" customWidth="1"/>
    <col min="2058" max="2058" width="29.28515625" style="1599" customWidth="1"/>
    <col min="2059" max="2305" width="9.140625" style="1599"/>
    <col min="2306" max="2306" width="6.7109375" style="1599" customWidth="1"/>
    <col min="2307" max="2307" width="116.42578125" style="1599" customWidth="1"/>
    <col min="2308" max="2308" width="43.5703125" style="1599" customWidth="1"/>
    <col min="2309" max="2309" width="38.5703125" style="1599" customWidth="1"/>
    <col min="2310" max="2310" width="22.140625" style="1599" customWidth="1"/>
    <col min="2311" max="2311" width="44" style="1599" customWidth="1"/>
    <col min="2312" max="2312" width="34.5703125" style="1599" customWidth="1"/>
    <col min="2313" max="2313" width="23.7109375" style="1599" customWidth="1"/>
    <col min="2314" max="2314" width="29.28515625" style="1599" customWidth="1"/>
    <col min="2315" max="2561" width="9.140625" style="1599"/>
    <col min="2562" max="2562" width="6.7109375" style="1599" customWidth="1"/>
    <col min="2563" max="2563" width="116.42578125" style="1599" customWidth="1"/>
    <col min="2564" max="2564" width="43.5703125" style="1599" customWidth="1"/>
    <col min="2565" max="2565" width="38.5703125" style="1599" customWidth="1"/>
    <col min="2566" max="2566" width="22.140625" style="1599" customWidth="1"/>
    <col min="2567" max="2567" width="44" style="1599" customWidth="1"/>
    <col min="2568" max="2568" width="34.5703125" style="1599" customWidth="1"/>
    <col min="2569" max="2569" width="23.7109375" style="1599" customWidth="1"/>
    <col min="2570" max="2570" width="29.28515625" style="1599" customWidth="1"/>
    <col min="2571" max="2817" width="9.140625" style="1599"/>
    <col min="2818" max="2818" width="6.7109375" style="1599" customWidth="1"/>
    <col min="2819" max="2819" width="116.42578125" style="1599" customWidth="1"/>
    <col min="2820" max="2820" width="43.5703125" style="1599" customWidth="1"/>
    <col min="2821" max="2821" width="38.5703125" style="1599" customWidth="1"/>
    <col min="2822" max="2822" width="22.140625" style="1599" customWidth="1"/>
    <col min="2823" max="2823" width="44" style="1599" customWidth="1"/>
    <col min="2824" max="2824" width="34.5703125" style="1599" customWidth="1"/>
    <col min="2825" max="2825" width="23.7109375" style="1599" customWidth="1"/>
    <col min="2826" max="2826" width="29.28515625" style="1599" customWidth="1"/>
    <col min="2827" max="3073" width="9.140625" style="1599"/>
    <col min="3074" max="3074" width="6.7109375" style="1599" customWidth="1"/>
    <col min="3075" max="3075" width="116.42578125" style="1599" customWidth="1"/>
    <col min="3076" max="3076" width="43.5703125" style="1599" customWidth="1"/>
    <col min="3077" max="3077" width="38.5703125" style="1599" customWidth="1"/>
    <col min="3078" max="3078" width="22.140625" style="1599" customWidth="1"/>
    <col min="3079" max="3079" width="44" style="1599" customWidth="1"/>
    <col min="3080" max="3080" width="34.5703125" style="1599" customWidth="1"/>
    <col min="3081" max="3081" width="23.7109375" style="1599" customWidth="1"/>
    <col min="3082" max="3082" width="29.28515625" style="1599" customWidth="1"/>
    <col min="3083" max="3329" width="9.140625" style="1599"/>
    <col min="3330" max="3330" width="6.7109375" style="1599" customWidth="1"/>
    <col min="3331" max="3331" width="116.42578125" style="1599" customWidth="1"/>
    <col min="3332" max="3332" width="43.5703125" style="1599" customWidth="1"/>
    <col min="3333" max="3333" width="38.5703125" style="1599" customWidth="1"/>
    <col min="3334" max="3334" width="22.140625" style="1599" customWidth="1"/>
    <col min="3335" max="3335" width="44" style="1599" customWidth="1"/>
    <col min="3336" max="3336" width="34.5703125" style="1599" customWidth="1"/>
    <col min="3337" max="3337" width="23.7109375" style="1599" customWidth="1"/>
    <col min="3338" max="3338" width="29.28515625" style="1599" customWidth="1"/>
    <col min="3339" max="3585" width="9.140625" style="1599"/>
    <col min="3586" max="3586" width="6.7109375" style="1599" customWidth="1"/>
    <col min="3587" max="3587" width="116.42578125" style="1599" customWidth="1"/>
    <col min="3588" max="3588" width="43.5703125" style="1599" customWidth="1"/>
    <col min="3589" max="3589" width="38.5703125" style="1599" customWidth="1"/>
    <col min="3590" max="3590" width="22.140625" style="1599" customWidth="1"/>
    <col min="3591" max="3591" width="44" style="1599" customWidth="1"/>
    <col min="3592" max="3592" width="34.5703125" style="1599" customWidth="1"/>
    <col min="3593" max="3593" width="23.7109375" style="1599" customWidth="1"/>
    <col min="3594" max="3594" width="29.28515625" style="1599" customWidth="1"/>
    <col min="3595" max="3841" width="9.140625" style="1599"/>
    <col min="3842" max="3842" width="6.7109375" style="1599" customWidth="1"/>
    <col min="3843" max="3843" width="116.42578125" style="1599" customWidth="1"/>
    <col min="3844" max="3844" width="43.5703125" style="1599" customWidth="1"/>
    <col min="3845" max="3845" width="38.5703125" style="1599" customWidth="1"/>
    <col min="3846" max="3846" width="22.140625" style="1599" customWidth="1"/>
    <col min="3847" max="3847" width="44" style="1599" customWidth="1"/>
    <col min="3848" max="3848" width="34.5703125" style="1599" customWidth="1"/>
    <col min="3849" max="3849" width="23.7109375" style="1599" customWidth="1"/>
    <col min="3850" max="3850" width="29.28515625" style="1599" customWidth="1"/>
    <col min="3851" max="4097" width="9.140625" style="1599"/>
    <col min="4098" max="4098" width="6.7109375" style="1599" customWidth="1"/>
    <col min="4099" max="4099" width="116.42578125" style="1599" customWidth="1"/>
    <col min="4100" max="4100" width="43.5703125" style="1599" customWidth="1"/>
    <col min="4101" max="4101" width="38.5703125" style="1599" customWidth="1"/>
    <col min="4102" max="4102" width="22.140625" style="1599" customWidth="1"/>
    <col min="4103" max="4103" width="44" style="1599" customWidth="1"/>
    <col min="4104" max="4104" width="34.5703125" style="1599" customWidth="1"/>
    <col min="4105" max="4105" width="23.7109375" style="1599" customWidth="1"/>
    <col min="4106" max="4106" width="29.28515625" style="1599" customWidth="1"/>
    <col min="4107" max="4353" width="9.140625" style="1599"/>
    <col min="4354" max="4354" width="6.7109375" style="1599" customWidth="1"/>
    <col min="4355" max="4355" width="116.42578125" style="1599" customWidth="1"/>
    <col min="4356" max="4356" width="43.5703125" style="1599" customWidth="1"/>
    <col min="4357" max="4357" width="38.5703125" style="1599" customWidth="1"/>
    <col min="4358" max="4358" width="22.140625" style="1599" customWidth="1"/>
    <col min="4359" max="4359" width="44" style="1599" customWidth="1"/>
    <col min="4360" max="4360" width="34.5703125" style="1599" customWidth="1"/>
    <col min="4361" max="4361" width="23.7109375" style="1599" customWidth="1"/>
    <col min="4362" max="4362" width="29.28515625" style="1599" customWidth="1"/>
    <col min="4363" max="4609" width="9.140625" style="1599"/>
    <col min="4610" max="4610" width="6.7109375" style="1599" customWidth="1"/>
    <col min="4611" max="4611" width="116.42578125" style="1599" customWidth="1"/>
    <col min="4612" max="4612" width="43.5703125" style="1599" customWidth="1"/>
    <col min="4613" max="4613" width="38.5703125" style="1599" customWidth="1"/>
    <col min="4614" max="4614" width="22.140625" style="1599" customWidth="1"/>
    <col min="4615" max="4615" width="44" style="1599" customWidth="1"/>
    <col min="4616" max="4616" width="34.5703125" style="1599" customWidth="1"/>
    <col min="4617" max="4617" width="23.7109375" style="1599" customWidth="1"/>
    <col min="4618" max="4618" width="29.28515625" style="1599" customWidth="1"/>
    <col min="4619" max="4865" width="9.140625" style="1599"/>
    <col min="4866" max="4866" width="6.7109375" style="1599" customWidth="1"/>
    <col min="4867" max="4867" width="116.42578125" style="1599" customWidth="1"/>
    <col min="4868" max="4868" width="43.5703125" style="1599" customWidth="1"/>
    <col min="4869" max="4869" width="38.5703125" style="1599" customWidth="1"/>
    <col min="4870" max="4870" width="22.140625" style="1599" customWidth="1"/>
    <col min="4871" max="4871" width="44" style="1599" customWidth="1"/>
    <col min="4872" max="4872" width="34.5703125" style="1599" customWidth="1"/>
    <col min="4873" max="4873" width="23.7109375" style="1599" customWidth="1"/>
    <col min="4874" max="4874" width="29.28515625" style="1599" customWidth="1"/>
    <col min="4875" max="5121" width="9.140625" style="1599"/>
    <col min="5122" max="5122" width="6.7109375" style="1599" customWidth="1"/>
    <col min="5123" max="5123" width="116.42578125" style="1599" customWidth="1"/>
    <col min="5124" max="5124" width="43.5703125" style="1599" customWidth="1"/>
    <col min="5125" max="5125" width="38.5703125" style="1599" customWidth="1"/>
    <col min="5126" max="5126" width="22.140625" style="1599" customWidth="1"/>
    <col min="5127" max="5127" width="44" style="1599" customWidth="1"/>
    <col min="5128" max="5128" width="34.5703125" style="1599" customWidth="1"/>
    <col min="5129" max="5129" width="23.7109375" style="1599" customWidth="1"/>
    <col min="5130" max="5130" width="29.28515625" style="1599" customWidth="1"/>
    <col min="5131" max="5377" width="9.140625" style="1599"/>
    <col min="5378" max="5378" width="6.7109375" style="1599" customWidth="1"/>
    <col min="5379" max="5379" width="116.42578125" style="1599" customWidth="1"/>
    <col min="5380" max="5380" width="43.5703125" style="1599" customWidth="1"/>
    <col min="5381" max="5381" width="38.5703125" style="1599" customWidth="1"/>
    <col min="5382" max="5382" width="22.140625" style="1599" customWidth="1"/>
    <col min="5383" max="5383" width="44" style="1599" customWidth="1"/>
    <col min="5384" max="5384" width="34.5703125" style="1599" customWidth="1"/>
    <col min="5385" max="5385" width="23.7109375" style="1599" customWidth="1"/>
    <col min="5386" max="5386" width="29.28515625" style="1599" customWidth="1"/>
    <col min="5387" max="5633" width="9.140625" style="1599"/>
    <col min="5634" max="5634" width="6.7109375" style="1599" customWidth="1"/>
    <col min="5635" max="5635" width="116.42578125" style="1599" customWidth="1"/>
    <col min="5636" max="5636" width="43.5703125" style="1599" customWidth="1"/>
    <col min="5637" max="5637" width="38.5703125" style="1599" customWidth="1"/>
    <col min="5638" max="5638" width="22.140625" style="1599" customWidth="1"/>
    <col min="5639" max="5639" width="44" style="1599" customWidth="1"/>
    <col min="5640" max="5640" width="34.5703125" style="1599" customWidth="1"/>
    <col min="5641" max="5641" width="23.7109375" style="1599" customWidth="1"/>
    <col min="5642" max="5642" width="29.28515625" style="1599" customWidth="1"/>
    <col min="5643" max="5889" width="9.140625" style="1599"/>
    <col min="5890" max="5890" width="6.7109375" style="1599" customWidth="1"/>
    <col min="5891" max="5891" width="116.42578125" style="1599" customWidth="1"/>
    <col min="5892" max="5892" width="43.5703125" style="1599" customWidth="1"/>
    <col min="5893" max="5893" width="38.5703125" style="1599" customWidth="1"/>
    <col min="5894" max="5894" width="22.140625" style="1599" customWidth="1"/>
    <col min="5895" max="5895" width="44" style="1599" customWidth="1"/>
    <col min="5896" max="5896" width="34.5703125" style="1599" customWidth="1"/>
    <col min="5897" max="5897" width="23.7109375" style="1599" customWidth="1"/>
    <col min="5898" max="5898" width="29.28515625" style="1599" customWidth="1"/>
    <col min="5899" max="6145" width="9.140625" style="1599"/>
    <col min="6146" max="6146" width="6.7109375" style="1599" customWidth="1"/>
    <col min="6147" max="6147" width="116.42578125" style="1599" customWidth="1"/>
    <col min="6148" max="6148" width="43.5703125" style="1599" customWidth="1"/>
    <col min="6149" max="6149" width="38.5703125" style="1599" customWidth="1"/>
    <col min="6150" max="6150" width="22.140625" style="1599" customWidth="1"/>
    <col min="6151" max="6151" width="44" style="1599" customWidth="1"/>
    <col min="6152" max="6152" width="34.5703125" style="1599" customWidth="1"/>
    <col min="6153" max="6153" width="23.7109375" style="1599" customWidth="1"/>
    <col min="6154" max="6154" width="29.28515625" style="1599" customWidth="1"/>
    <col min="6155" max="6401" width="9.140625" style="1599"/>
    <col min="6402" max="6402" width="6.7109375" style="1599" customWidth="1"/>
    <col min="6403" max="6403" width="116.42578125" style="1599" customWidth="1"/>
    <col min="6404" max="6404" width="43.5703125" style="1599" customWidth="1"/>
    <col min="6405" max="6405" width="38.5703125" style="1599" customWidth="1"/>
    <col min="6406" max="6406" width="22.140625" style="1599" customWidth="1"/>
    <col min="6407" max="6407" width="44" style="1599" customWidth="1"/>
    <col min="6408" max="6408" width="34.5703125" style="1599" customWidth="1"/>
    <col min="6409" max="6409" width="23.7109375" style="1599" customWidth="1"/>
    <col min="6410" max="6410" width="29.28515625" style="1599" customWidth="1"/>
    <col min="6411" max="6657" width="9.140625" style="1599"/>
    <col min="6658" max="6658" width="6.7109375" style="1599" customWidth="1"/>
    <col min="6659" max="6659" width="116.42578125" style="1599" customWidth="1"/>
    <col min="6660" max="6660" width="43.5703125" style="1599" customWidth="1"/>
    <col min="6661" max="6661" width="38.5703125" style="1599" customWidth="1"/>
    <col min="6662" max="6662" width="22.140625" style="1599" customWidth="1"/>
    <col min="6663" max="6663" width="44" style="1599" customWidth="1"/>
    <col min="6664" max="6664" width="34.5703125" style="1599" customWidth="1"/>
    <col min="6665" max="6665" width="23.7109375" style="1599" customWidth="1"/>
    <col min="6666" max="6666" width="29.28515625" style="1599" customWidth="1"/>
    <col min="6667" max="6913" width="9.140625" style="1599"/>
    <col min="6914" max="6914" width="6.7109375" style="1599" customWidth="1"/>
    <col min="6915" max="6915" width="116.42578125" style="1599" customWidth="1"/>
    <col min="6916" max="6916" width="43.5703125" style="1599" customWidth="1"/>
    <col min="6917" max="6917" width="38.5703125" style="1599" customWidth="1"/>
    <col min="6918" max="6918" width="22.140625" style="1599" customWidth="1"/>
    <col min="6919" max="6919" width="44" style="1599" customWidth="1"/>
    <col min="6920" max="6920" width="34.5703125" style="1599" customWidth="1"/>
    <col min="6921" max="6921" width="23.7109375" style="1599" customWidth="1"/>
    <col min="6922" max="6922" width="29.28515625" style="1599" customWidth="1"/>
    <col min="6923" max="7169" width="9.140625" style="1599"/>
    <col min="7170" max="7170" width="6.7109375" style="1599" customWidth="1"/>
    <col min="7171" max="7171" width="116.42578125" style="1599" customWidth="1"/>
    <col min="7172" max="7172" width="43.5703125" style="1599" customWidth="1"/>
    <col min="7173" max="7173" width="38.5703125" style="1599" customWidth="1"/>
    <col min="7174" max="7174" width="22.140625" style="1599" customWidth="1"/>
    <col min="7175" max="7175" width="44" style="1599" customWidth="1"/>
    <col min="7176" max="7176" width="34.5703125" style="1599" customWidth="1"/>
    <col min="7177" max="7177" width="23.7109375" style="1599" customWidth="1"/>
    <col min="7178" max="7178" width="29.28515625" style="1599" customWidth="1"/>
    <col min="7179" max="7425" width="9.140625" style="1599"/>
    <col min="7426" max="7426" width="6.7109375" style="1599" customWidth="1"/>
    <col min="7427" max="7427" width="116.42578125" style="1599" customWidth="1"/>
    <col min="7428" max="7428" width="43.5703125" style="1599" customWidth="1"/>
    <col min="7429" max="7429" width="38.5703125" style="1599" customWidth="1"/>
    <col min="7430" max="7430" width="22.140625" style="1599" customWidth="1"/>
    <col min="7431" max="7431" width="44" style="1599" customWidth="1"/>
    <col min="7432" max="7432" width="34.5703125" style="1599" customWidth="1"/>
    <col min="7433" max="7433" width="23.7109375" style="1599" customWidth="1"/>
    <col min="7434" max="7434" width="29.28515625" style="1599" customWidth="1"/>
    <col min="7435" max="7681" width="9.140625" style="1599"/>
    <col min="7682" max="7682" width="6.7109375" style="1599" customWidth="1"/>
    <col min="7683" max="7683" width="116.42578125" style="1599" customWidth="1"/>
    <col min="7684" max="7684" width="43.5703125" style="1599" customWidth="1"/>
    <col min="7685" max="7685" width="38.5703125" style="1599" customWidth="1"/>
    <col min="7686" max="7686" width="22.140625" style="1599" customWidth="1"/>
    <col min="7687" max="7687" width="44" style="1599" customWidth="1"/>
    <col min="7688" max="7688" width="34.5703125" style="1599" customWidth="1"/>
    <col min="7689" max="7689" width="23.7109375" style="1599" customWidth="1"/>
    <col min="7690" max="7690" width="29.28515625" style="1599" customWidth="1"/>
    <col min="7691" max="7937" width="9.140625" style="1599"/>
    <col min="7938" max="7938" width="6.7109375" style="1599" customWidth="1"/>
    <col min="7939" max="7939" width="116.42578125" style="1599" customWidth="1"/>
    <col min="7940" max="7940" width="43.5703125" style="1599" customWidth="1"/>
    <col min="7941" max="7941" width="38.5703125" style="1599" customWidth="1"/>
    <col min="7942" max="7942" width="22.140625" style="1599" customWidth="1"/>
    <col min="7943" max="7943" width="44" style="1599" customWidth="1"/>
    <col min="7944" max="7944" width="34.5703125" style="1599" customWidth="1"/>
    <col min="7945" max="7945" width="23.7109375" style="1599" customWidth="1"/>
    <col min="7946" max="7946" width="29.28515625" style="1599" customWidth="1"/>
    <col min="7947" max="8193" width="9.140625" style="1599"/>
    <col min="8194" max="8194" width="6.7109375" style="1599" customWidth="1"/>
    <col min="8195" max="8195" width="116.42578125" style="1599" customWidth="1"/>
    <col min="8196" max="8196" width="43.5703125" style="1599" customWidth="1"/>
    <col min="8197" max="8197" width="38.5703125" style="1599" customWidth="1"/>
    <col min="8198" max="8198" width="22.140625" style="1599" customWidth="1"/>
    <col min="8199" max="8199" width="44" style="1599" customWidth="1"/>
    <col min="8200" max="8200" width="34.5703125" style="1599" customWidth="1"/>
    <col min="8201" max="8201" width="23.7109375" style="1599" customWidth="1"/>
    <col min="8202" max="8202" width="29.28515625" style="1599" customWidth="1"/>
    <col min="8203" max="8449" width="9.140625" style="1599"/>
    <col min="8450" max="8450" width="6.7109375" style="1599" customWidth="1"/>
    <col min="8451" max="8451" width="116.42578125" style="1599" customWidth="1"/>
    <col min="8452" max="8452" width="43.5703125" style="1599" customWidth="1"/>
    <col min="8453" max="8453" width="38.5703125" style="1599" customWidth="1"/>
    <col min="8454" max="8454" width="22.140625" style="1599" customWidth="1"/>
    <col min="8455" max="8455" width="44" style="1599" customWidth="1"/>
    <col min="8456" max="8456" width="34.5703125" style="1599" customWidth="1"/>
    <col min="8457" max="8457" width="23.7109375" style="1599" customWidth="1"/>
    <col min="8458" max="8458" width="29.28515625" style="1599" customWidth="1"/>
    <col min="8459" max="8705" width="9.140625" style="1599"/>
    <col min="8706" max="8706" width="6.7109375" style="1599" customWidth="1"/>
    <col min="8707" max="8707" width="116.42578125" style="1599" customWidth="1"/>
    <col min="8708" max="8708" width="43.5703125" style="1599" customWidth="1"/>
    <col min="8709" max="8709" width="38.5703125" style="1599" customWidth="1"/>
    <col min="8710" max="8710" width="22.140625" style="1599" customWidth="1"/>
    <col min="8711" max="8711" width="44" style="1599" customWidth="1"/>
    <col min="8712" max="8712" width="34.5703125" style="1599" customWidth="1"/>
    <col min="8713" max="8713" width="23.7109375" style="1599" customWidth="1"/>
    <col min="8714" max="8714" width="29.28515625" style="1599" customWidth="1"/>
    <col min="8715" max="8961" width="9.140625" style="1599"/>
    <col min="8962" max="8962" width="6.7109375" style="1599" customWidth="1"/>
    <col min="8963" max="8963" width="116.42578125" style="1599" customWidth="1"/>
    <col min="8964" max="8964" width="43.5703125" style="1599" customWidth="1"/>
    <col min="8965" max="8965" width="38.5703125" style="1599" customWidth="1"/>
    <col min="8966" max="8966" width="22.140625" style="1599" customWidth="1"/>
    <col min="8967" max="8967" width="44" style="1599" customWidth="1"/>
    <col min="8968" max="8968" width="34.5703125" style="1599" customWidth="1"/>
    <col min="8969" max="8969" width="23.7109375" style="1599" customWidth="1"/>
    <col min="8970" max="8970" width="29.28515625" style="1599" customWidth="1"/>
    <col min="8971" max="9217" width="9.140625" style="1599"/>
    <col min="9218" max="9218" width="6.7109375" style="1599" customWidth="1"/>
    <col min="9219" max="9219" width="116.42578125" style="1599" customWidth="1"/>
    <col min="9220" max="9220" width="43.5703125" style="1599" customWidth="1"/>
    <col min="9221" max="9221" width="38.5703125" style="1599" customWidth="1"/>
    <col min="9222" max="9222" width="22.140625" style="1599" customWidth="1"/>
    <col min="9223" max="9223" width="44" style="1599" customWidth="1"/>
    <col min="9224" max="9224" width="34.5703125" style="1599" customWidth="1"/>
    <col min="9225" max="9225" width="23.7109375" style="1599" customWidth="1"/>
    <col min="9226" max="9226" width="29.28515625" style="1599" customWidth="1"/>
    <col min="9227" max="9473" width="9.140625" style="1599"/>
    <col min="9474" max="9474" width="6.7109375" style="1599" customWidth="1"/>
    <col min="9475" max="9475" width="116.42578125" style="1599" customWidth="1"/>
    <col min="9476" max="9476" width="43.5703125" style="1599" customWidth="1"/>
    <col min="9477" max="9477" width="38.5703125" style="1599" customWidth="1"/>
    <col min="9478" max="9478" width="22.140625" style="1599" customWidth="1"/>
    <col min="9479" max="9479" width="44" style="1599" customWidth="1"/>
    <col min="9480" max="9480" width="34.5703125" style="1599" customWidth="1"/>
    <col min="9481" max="9481" width="23.7109375" style="1599" customWidth="1"/>
    <col min="9482" max="9482" width="29.28515625" style="1599" customWidth="1"/>
    <col min="9483" max="9729" width="9.140625" style="1599"/>
    <col min="9730" max="9730" width="6.7109375" style="1599" customWidth="1"/>
    <col min="9731" max="9731" width="116.42578125" style="1599" customWidth="1"/>
    <col min="9732" max="9732" width="43.5703125" style="1599" customWidth="1"/>
    <col min="9733" max="9733" width="38.5703125" style="1599" customWidth="1"/>
    <col min="9734" max="9734" width="22.140625" style="1599" customWidth="1"/>
    <col min="9735" max="9735" width="44" style="1599" customWidth="1"/>
    <col min="9736" max="9736" width="34.5703125" style="1599" customWidth="1"/>
    <col min="9737" max="9737" width="23.7109375" style="1599" customWidth="1"/>
    <col min="9738" max="9738" width="29.28515625" style="1599" customWidth="1"/>
    <col min="9739" max="9985" width="9.140625" style="1599"/>
    <col min="9986" max="9986" width="6.7109375" style="1599" customWidth="1"/>
    <col min="9987" max="9987" width="116.42578125" style="1599" customWidth="1"/>
    <col min="9988" max="9988" width="43.5703125" style="1599" customWidth="1"/>
    <col min="9989" max="9989" width="38.5703125" style="1599" customWidth="1"/>
    <col min="9990" max="9990" width="22.140625" style="1599" customWidth="1"/>
    <col min="9991" max="9991" width="44" style="1599" customWidth="1"/>
    <col min="9992" max="9992" width="34.5703125" style="1599" customWidth="1"/>
    <col min="9993" max="9993" width="23.7109375" style="1599" customWidth="1"/>
    <col min="9994" max="9994" width="29.28515625" style="1599" customWidth="1"/>
    <col min="9995" max="10241" width="9.140625" style="1599"/>
    <col min="10242" max="10242" width="6.7109375" style="1599" customWidth="1"/>
    <col min="10243" max="10243" width="116.42578125" style="1599" customWidth="1"/>
    <col min="10244" max="10244" width="43.5703125" style="1599" customWidth="1"/>
    <col min="10245" max="10245" width="38.5703125" style="1599" customWidth="1"/>
    <col min="10246" max="10246" width="22.140625" style="1599" customWidth="1"/>
    <col min="10247" max="10247" width="44" style="1599" customWidth="1"/>
    <col min="10248" max="10248" width="34.5703125" style="1599" customWidth="1"/>
    <col min="10249" max="10249" width="23.7109375" style="1599" customWidth="1"/>
    <col min="10250" max="10250" width="29.28515625" style="1599" customWidth="1"/>
    <col min="10251" max="10497" width="9.140625" style="1599"/>
    <col min="10498" max="10498" width="6.7109375" style="1599" customWidth="1"/>
    <col min="10499" max="10499" width="116.42578125" style="1599" customWidth="1"/>
    <col min="10500" max="10500" width="43.5703125" style="1599" customWidth="1"/>
    <col min="10501" max="10501" width="38.5703125" style="1599" customWidth="1"/>
    <col min="10502" max="10502" width="22.140625" style="1599" customWidth="1"/>
    <col min="10503" max="10503" width="44" style="1599" customWidth="1"/>
    <col min="10504" max="10504" width="34.5703125" style="1599" customWidth="1"/>
    <col min="10505" max="10505" width="23.7109375" style="1599" customWidth="1"/>
    <col min="10506" max="10506" width="29.28515625" style="1599" customWidth="1"/>
    <col min="10507" max="10753" width="9.140625" style="1599"/>
    <col min="10754" max="10754" width="6.7109375" style="1599" customWidth="1"/>
    <col min="10755" max="10755" width="116.42578125" style="1599" customWidth="1"/>
    <col min="10756" max="10756" width="43.5703125" style="1599" customWidth="1"/>
    <col min="10757" max="10757" width="38.5703125" style="1599" customWidth="1"/>
    <col min="10758" max="10758" width="22.140625" style="1599" customWidth="1"/>
    <col min="10759" max="10759" width="44" style="1599" customWidth="1"/>
    <col min="10760" max="10760" width="34.5703125" style="1599" customWidth="1"/>
    <col min="10761" max="10761" width="23.7109375" style="1599" customWidth="1"/>
    <col min="10762" max="10762" width="29.28515625" style="1599" customWidth="1"/>
    <col min="10763" max="11009" width="9.140625" style="1599"/>
    <col min="11010" max="11010" width="6.7109375" style="1599" customWidth="1"/>
    <col min="11011" max="11011" width="116.42578125" style="1599" customWidth="1"/>
    <col min="11012" max="11012" width="43.5703125" style="1599" customWidth="1"/>
    <col min="11013" max="11013" width="38.5703125" style="1599" customWidth="1"/>
    <col min="11014" max="11014" width="22.140625" style="1599" customWidth="1"/>
    <col min="11015" max="11015" width="44" style="1599" customWidth="1"/>
    <col min="11016" max="11016" width="34.5703125" style="1599" customWidth="1"/>
    <col min="11017" max="11017" width="23.7109375" style="1599" customWidth="1"/>
    <col min="11018" max="11018" width="29.28515625" style="1599" customWidth="1"/>
    <col min="11019" max="11265" width="9.140625" style="1599"/>
    <col min="11266" max="11266" width="6.7109375" style="1599" customWidth="1"/>
    <col min="11267" max="11267" width="116.42578125" style="1599" customWidth="1"/>
    <col min="11268" max="11268" width="43.5703125" style="1599" customWidth="1"/>
    <col min="11269" max="11269" width="38.5703125" style="1599" customWidth="1"/>
    <col min="11270" max="11270" width="22.140625" style="1599" customWidth="1"/>
    <col min="11271" max="11271" width="44" style="1599" customWidth="1"/>
    <col min="11272" max="11272" width="34.5703125" style="1599" customWidth="1"/>
    <col min="11273" max="11273" width="23.7109375" style="1599" customWidth="1"/>
    <col min="11274" max="11274" width="29.28515625" style="1599" customWidth="1"/>
    <col min="11275" max="11521" width="9.140625" style="1599"/>
    <col min="11522" max="11522" width="6.7109375" style="1599" customWidth="1"/>
    <col min="11523" max="11523" width="116.42578125" style="1599" customWidth="1"/>
    <col min="11524" max="11524" width="43.5703125" style="1599" customWidth="1"/>
    <col min="11525" max="11525" width="38.5703125" style="1599" customWidth="1"/>
    <col min="11526" max="11526" width="22.140625" style="1599" customWidth="1"/>
    <col min="11527" max="11527" width="44" style="1599" customWidth="1"/>
    <col min="11528" max="11528" width="34.5703125" style="1599" customWidth="1"/>
    <col min="11529" max="11529" width="23.7109375" style="1599" customWidth="1"/>
    <col min="11530" max="11530" width="29.28515625" style="1599" customWidth="1"/>
    <col min="11531" max="11777" width="9.140625" style="1599"/>
    <col min="11778" max="11778" width="6.7109375" style="1599" customWidth="1"/>
    <col min="11779" max="11779" width="116.42578125" style="1599" customWidth="1"/>
    <col min="11780" max="11780" width="43.5703125" style="1599" customWidth="1"/>
    <col min="11781" max="11781" width="38.5703125" style="1599" customWidth="1"/>
    <col min="11782" max="11782" width="22.140625" style="1599" customWidth="1"/>
    <col min="11783" max="11783" width="44" style="1599" customWidth="1"/>
    <col min="11784" max="11784" width="34.5703125" style="1599" customWidth="1"/>
    <col min="11785" max="11785" width="23.7109375" style="1599" customWidth="1"/>
    <col min="11786" max="11786" width="29.28515625" style="1599" customWidth="1"/>
    <col min="11787" max="12033" width="9.140625" style="1599"/>
    <col min="12034" max="12034" width="6.7109375" style="1599" customWidth="1"/>
    <col min="12035" max="12035" width="116.42578125" style="1599" customWidth="1"/>
    <col min="12036" max="12036" width="43.5703125" style="1599" customWidth="1"/>
    <col min="12037" max="12037" width="38.5703125" style="1599" customWidth="1"/>
    <col min="12038" max="12038" width="22.140625" style="1599" customWidth="1"/>
    <col min="12039" max="12039" width="44" style="1599" customWidth="1"/>
    <col min="12040" max="12040" width="34.5703125" style="1599" customWidth="1"/>
    <col min="12041" max="12041" width="23.7109375" style="1599" customWidth="1"/>
    <col min="12042" max="12042" width="29.28515625" style="1599" customWidth="1"/>
    <col min="12043" max="12289" width="9.140625" style="1599"/>
    <col min="12290" max="12290" width="6.7109375" style="1599" customWidth="1"/>
    <col min="12291" max="12291" width="116.42578125" style="1599" customWidth="1"/>
    <col min="12292" max="12292" width="43.5703125" style="1599" customWidth="1"/>
    <col min="12293" max="12293" width="38.5703125" style="1599" customWidth="1"/>
    <col min="12294" max="12294" width="22.140625" style="1599" customWidth="1"/>
    <col min="12295" max="12295" width="44" style="1599" customWidth="1"/>
    <col min="12296" max="12296" width="34.5703125" style="1599" customWidth="1"/>
    <col min="12297" max="12297" width="23.7109375" style="1599" customWidth="1"/>
    <col min="12298" max="12298" width="29.28515625" style="1599" customWidth="1"/>
    <col min="12299" max="12545" width="9.140625" style="1599"/>
    <col min="12546" max="12546" width="6.7109375" style="1599" customWidth="1"/>
    <col min="12547" max="12547" width="116.42578125" style="1599" customWidth="1"/>
    <col min="12548" max="12548" width="43.5703125" style="1599" customWidth="1"/>
    <col min="12549" max="12549" width="38.5703125" style="1599" customWidth="1"/>
    <col min="12550" max="12550" width="22.140625" style="1599" customWidth="1"/>
    <col min="12551" max="12551" width="44" style="1599" customWidth="1"/>
    <col min="12552" max="12552" width="34.5703125" style="1599" customWidth="1"/>
    <col min="12553" max="12553" width="23.7109375" style="1599" customWidth="1"/>
    <col min="12554" max="12554" width="29.28515625" style="1599" customWidth="1"/>
    <col min="12555" max="12801" width="9.140625" style="1599"/>
    <col min="12802" max="12802" width="6.7109375" style="1599" customWidth="1"/>
    <col min="12803" max="12803" width="116.42578125" style="1599" customWidth="1"/>
    <col min="12804" max="12804" width="43.5703125" style="1599" customWidth="1"/>
    <col min="12805" max="12805" width="38.5703125" style="1599" customWidth="1"/>
    <col min="12806" max="12806" width="22.140625" style="1599" customWidth="1"/>
    <col min="12807" max="12807" width="44" style="1599" customWidth="1"/>
    <col min="12808" max="12808" width="34.5703125" style="1599" customWidth="1"/>
    <col min="12809" max="12809" width="23.7109375" style="1599" customWidth="1"/>
    <col min="12810" max="12810" width="29.28515625" style="1599" customWidth="1"/>
    <col min="12811" max="13057" width="9.140625" style="1599"/>
    <col min="13058" max="13058" width="6.7109375" style="1599" customWidth="1"/>
    <col min="13059" max="13059" width="116.42578125" style="1599" customWidth="1"/>
    <col min="13060" max="13060" width="43.5703125" style="1599" customWidth="1"/>
    <col min="13061" max="13061" width="38.5703125" style="1599" customWidth="1"/>
    <col min="13062" max="13062" width="22.140625" style="1599" customWidth="1"/>
    <col min="13063" max="13063" width="44" style="1599" customWidth="1"/>
    <col min="13064" max="13064" width="34.5703125" style="1599" customWidth="1"/>
    <col min="13065" max="13065" width="23.7109375" style="1599" customWidth="1"/>
    <col min="13066" max="13066" width="29.28515625" style="1599" customWidth="1"/>
    <col min="13067" max="13313" width="9.140625" style="1599"/>
    <col min="13314" max="13314" width="6.7109375" style="1599" customWidth="1"/>
    <col min="13315" max="13315" width="116.42578125" style="1599" customWidth="1"/>
    <col min="13316" max="13316" width="43.5703125" style="1599" customWidth="1"/>
    <col min="13317" max="13317" width="38.5703125" style="1599" customWidth="1"/>
    <col min="13318" max="13318" width="22.140625" style="1599" customWidth="1"/>
    <col min="13319" max="13319" width="44" style="1599" customWidth="1"/>
    <col min="13320" max="13320" width="34.5703125" style="1599" customWidth="1"/>
    <col min="13321" max="13321" width="23.7109375" style="1599" customWidth="1"/>
    <col min="13322" max="13322" width="29.28515625" style="1599" customWidth="1"/>
    <col min="13323" max="13569" width="9.140625" style="1599"/>
    <col min="13570" max="13570" width="6.7109375" style="1599" customWidth="1"/>
    <col min="13571" max="13571" width="116.42578125" style="1599" customWidth="1"/>
    <col min="13572" max="13572" width="43.5703125" style="1599" customWidth="1"/>
    <col min="13573" max="13573" width="38.5703125" style="1599" customWidth="1"/>
    <col min="13574" max="13574" width="22.140625" style="1599" customWidth="1"/>
    <col min="13575" max="13575" width="44" style="1599" customWidth="1"/>
    <col min="13576" max="13576" width="34.5703125" style="1599" customWidth="1"/>
    <col min="13577" max="13577" width="23.7109375" style="1599" customWidth="1"/>
    <col min="13578" max="13578" width="29.28515625" style="1599" customWidth="1"/>
    <col min="13579" max="13825" width="9.140625" style="1599"/>
    <col min="13826" max="13826" width="6.7109375" style="1599" customWidth="1"/>
    <col min="13827" max="13827" width="116.42578125" style="1599" customWidth="1"/>
    <col min="13828" max="13828" width="43.5703125" style="1599" customWidth="1"/>
    <col min="13829" max="13829" width="38.5703125" style="1599" customWidth="1"/>
    <col min="13830" max="13830" width="22.140625" style="1599" customWidth="1"/>
    <col min="13831" max="13831" width="44" style="1599" customWidth="1"/>
    <col min="13832" max="13832" width="34.5703125" style="1599" customWidth="1"/>
    <col min="13833" max="13833" width="23.7109375" style="1599" customWidth="1"/>
    <col min="13834" max="13834" width="29.28515625" style="1599" customWidth="1"/>
    <col min="13835" max="14081" width="9.140625" style="1599"/>
    <col min="14082" max="14082" width="6.7109375" style="1599" customWidth="1"/>
    <col min="14083" max="14083" width="116.42578125" style="1599" customWidth="1"/>
    <col min="14084" max="14084" width="43.5703125" style="1599" customWidth="1"/>
    <col min="14085" max="14085" width="38.5703125" style="1599" customWidth="1"/>
    <col min="14086" max="14086" width="22.140625" style="1599" customWidth="1"/>
    <col min="14087" max="14087" width="44" style="1599" customWidth="1"/>
    <col min="14088" max="14088" width="34.5703125" style="1599" customWidth="1"/>
    <col min="14089" max="14089" width="23.7109375" style="1599" customWidth="1"/>
    <col min="14090" max="14090" width="29.28515625" style="1599" customWidth="1"/>
    <col min="14091" max="14337" width="9.140625" style="1599"/>
    <col min="14338" max="14338" width="6.7109375" style="1599" customWidth="1"/>
    <col min="14339" max="14339" width="116.42578125" style="1599" customWidth="1"/>
    <col min="14340" max="14340" width="43.5703125" style="1599" customWidth="1"/>
    <col min="14341" max="14341" width="38.5703125" style="1599" customWidth="1"/>
    <col min="14342" max="14342" width="22.140625" style="1599" customWidth="1"/>
    <col min="14343" max="14343" width="44" style="1599" customWidth="1"/>
    <col min="14344" max="14344" width="34.5703125" style="1599" customWidth="1"/>
    <col min="14345" max="14345" width="23.7109375" style="1599" customWidth="1"/>
    <col min="14346" max="14346" width="29.28515625" style="1599" customWidth="1"/>
    <col min="14347" max="14593" width="9.140625" style="1599"/>
    <col min="14594" max="14594" width="6.7109375" style="1599" customWidth="1"/>
    <col min="14595" max="14595" width="116.42578125" style="1599" customWidth="1"/>
    <col min="14596" max="14596" width="43.5703125" style="1599" customWidth="1"/>
    <col min="14597" max="14597" width="38.5703125" style="1599" customWidth="1"/>
    <col min="14598" max="14598" width="22.140625" style="1599" customWidth="1"/>
    <col min="14599" max="14599" width="44" style="1599" customWidth="1"/>
    <col min="14600" max="14600" width="34.5703125" style="1599" customWidth="1"/>
    <col min="14601" max="14601" width="23.7109375" style="1599" customWidth="1"/>
    <col min="14602" max="14602" width="29.28515625" style="1599" customWidth="1"/>
    <col min="14603" max="14849" width="9.140625" style="1599"/>
    <col min="14850" max="14850" width="6.7109375" style="1599" customWidth="1"/>
    <col min="14851" max="14851" width="116.42578125" style="1599" customWidth="1"/>
    <col min="14852" max="14852" width="43.5703125" style="1599" customWidth="1"/>
    <col min="14853" max="14853" width="38.5703125" style="1599" customWidth="1"/>
    <col min="14854" max="14854" width="22.140625" style="1599" customWidth="1"/>
    <col min="14855" max="14855" width="44" style="1599" customWidth="1"/>
    <col min="14856" max="14856" width="34.5703125" style="1599" customWidth="1"/>
    <col min="14857" max="14857" width="23.7109375" style="1599" customWidth="1"/>
    <col min="14858" max="14858" width="29.28515625" style="1599" customWidth="1"/>
    <col min="14859" max="15105" width="9.140625" style="1599"/>
    <col min="15106" max="15106" width="6.7109375" style="1599" customWidth="1"/>
    <col min="15107" max="15107" width="116.42578125" style="1599" customWidth="1"/>
    <col min="15108" max="15108" width="43.5703125" style="1599" customWidth="1"/>
    <col min="15109" max="15109" width="38.5703125" style="1599" customWidth="1"/>
    <col min="15110" max="15110" width="22.140625" style="1599" customWidth="1"/>
    <col min="15111" max="15111" width="44" style="1599" customWidth="1"/>
    <col min="15112" max="15112" width="34.5703125" style="1599" customWidth="1"/>
    <col min="15113" max="15113" width="23.7109375" style="1599" customWidth="1"/>
    <col min="15114" max="15114" width="29.28515625" style="1599" customWidth="1"/>
    <col min="15115" max="15361" width="9.140625" style="1599"/>
    <col min="15362" max="15362" width="6.7109375" style="1599" customWidth="1"/>
    <col min="15363" max="15363" width="116.42578125" style="1599" customWidth="1"/>
    <col min="15364" max="15364" width="43.5703125" style="1599" customWidth="1"/>
    <col min="15365" max="15365" width="38.5703125" style="1599" customWidth="1"/>
    <col min="15366" max="15366" width="22.140625" style="1599" customWidth="1"/>
    <col min="15367" max="15367" width="44" style="1599" customWidth="1"/>
    <col min="15368" max="15368" width="34.5703125" style="1599" customWidth="1"/>
    <col min="15369" max="15369" width="23.7109375" style="1599" customWidth="1"/>
    <col min="15370" max="15370" width="29.28515625" style="1599" customWidth="1"/>
    <col min="15371" max="15617" width="9.140625" style="1599"/>
    <col min="15618" max="15618" width="6.7109375" style="1599" customWidth="1"/>
    <col min="15619" max="15619" width="116.42578125" style="1599" customWidth="1"/>
    <col min="15620" max="15620" width="43.5703125" style="1599" customWidth="1"/>
    <col min="15621" max="15621" width="38.5703125" style="1599" customWidth="1"/>
    <col min="15622" max="15622" width="22.140625" style="1599" customWidth="1"/>
    <col min="15623" max="15623" width="44" style="1599" customWidth="1"/>
    <col min="15624" max="15624" width="34.5703125" style="1599" customWidth="1"/>
    <col min="15625" max="15625" width="23.7109375" style="1599" customWidth="1"/>
    <col min="15626" max="15626" width="29.28515625" style="1599" customWidth="1"/>
    <col min="15627" max="15873" width="9.140625" style="1599"/>
    <col min="15874" max="15874" width="6.7109375" style="1599" customWidth="1"/>
    <col min="15875" max="15875" width="116.42578125" style="1599" customWidth="1"/>
    <col min="15876" max="15876" width="43.5703125" style="1599" customWidth="1"/>
    <col min="15877" max="15877" width="38.5703125" style="1599" customWidth="1"/>
    <col min="15878" max="15878" width="22.140625" style="1599" customWidth="1"/>
    <col min="15879" max="15879" width="44" style="1599" customWidth="1"/>
    <col min="15880" max="15880" width="34.5703125" style="1599" customWidth="1"/>
    <col min="15881" max="15881" width="23.7109375" style="1599" customWidth="1"/>
    <col min="15882" max="15882" width="29.28515625" style="1599" customWidth="1"/>
    <col min="15883" max="16129" width="9.140625" style="1599"/>
    <col min="16130" max="16130" width="6.7109375" style="1599" customWidth="1"/>
    <col min="16131" max="16131" width="116.42578125" style="1599" customWidth="1"/>
    <col min="16132" max="16132" width="43.5703125" style="1599" customWidth="1"/>
    <col min="16133" max="16133" width="38.5703125" style="1599" customWidth="1"/>
    <col min="16134" max="16134" width="22.140625" style="1599" customWidth="1"/>
    <col min="16135" max="16135" width="44" style="1599" customWidth="1"/>
    <col min="16136" max="16136" width="34.5703125" style="1599" customWidth="1"/>
    <col min="16137" max="16137" width="23.7109375" style="1599" customWidth="1"/>
    <col min="16138" max="16138" width="29.28515625" style="1599" customWidth="1"/>
    <col min="16139" max="16384" width="9.140625" style="1599"/>
  </cols>
  <sheetData>
    <row r="1" spans="2:11" ht="28.15" customHeight="1">
      <c r="C1" s="3468" t="s">
        <v>5392</v>
      </c>
      <c r="D1" s="3468"/>
      <c r="E1" s="3468"/>
      <c r="F1" s="3468"/>
      <c r="G1" s="3468"/>
    </row>
    <row r="2" spans="2:11" ht="12" customHeight="1">
      <c r="C2" s="1600"/>
      <c r="D2" s="1600"/>
      <c r="E2" s="1600"/>
      <c r="F2" s="1600"/>
    </row>
    <row r="3" spans="2:11" ht="4.9000000000000004" customHeight="1">
      <c r="C3" s="1601"/>
    </row>
    <row r="4" spans="2:11" ht="48" customHeight="1">
      <c r="B4" s="3469" t="s">
        <v>454</v>
      </c>
      <c r="C4" s="3471">
        <v>1588</v>
      </c>
      <c r="D4" s="1602">
        <v>2023</v>
      </c>
      <c r="E4" s="1603" t="s">
        <v>440</v>
      </c>
      <c r="F4" s="3473" t="s">
        <v>456</v>
      </c>
      <c r="G4" s="3475" t="s">
        <v>457</v>
      </c>
      <c r="H4" s="3467" t="s">
        <v>458</v>
      </c>
    </row>
    <row r="5" spans="2:11" ht="52.15" customHeight="1">
      <c r="B5" s="3470"/>
      <c r="C5" s="3472"/>
      <c r="D5" s="1604" t="s">
        <v>459</v>
      </c>
      <c r="E5" s="1604" t="s">
        <v>5393</v>
      </c>
      <c r="F5" s="3474"/>
      <c r="G5" s="3476"/>
      <c r="H5" s="3467"/>
    </row>
    <row r="6" spans="2:11" ht="16.899999999999999" customHeight="1">
      <c r="B6" s="1605">
        <v>1</v>
      </c>
      <c r="C6" s="1606">
        <v>2</v>
      </c>
      <c r="D6" s="1607">
        <v>3</v>
      </c>
      <c r="E6" s="1607">
        <v>4</v>
      </c>
      <c r="F6" s="1608">
        <v>5</v>
      </c>
      <c r="G6" s="1605">
        <v>6</v>
      </c>
      <c r="H6" s="1609">
        <v>7</v>
      </c>
      <c r="J6" s="1610"/>
    </row>
    <row r="7" spans="2:11" ht="49.9" customHeight="1">
      <c r="B7" s="3459" t="s">
        <v>461</v>
      </c>
      <c r="C7" s="3459"/>
      <c r="D7" s="1611">
        <f>D8+D12</f>
        <v>1490472507.01</v>
      </c>
      <c r="E7" s="1611">
        <f>E8+E12</f>
        <v>1482974109.6400001</v>
      </c>
      <c r="F7" s="1612">
        <f t="shared" ref="F7:F14" si="0">(E7/D7)*100</f>
        <v>99.496911393217019</v>
      </c>
      <c r="G7" s="1613">
        <f t="shared" ref="G7:G70" si="1">D7-E7</f>
        <v>7498397.3699998856</v>
      </c>
      <c r="H7" s="1614"/>
      <c r="I7" s="1610">
        <f>1482974109.64-E7</f>
        <v>0</v>
      </c>
    </row>
    <row r="8" spans="2:11" ht="33" customHeight="1">
      <c r="B8" s="1615"/>
      <c r="C8" s="1616" t="s">
        <v>462</v>
      </c>
      <c r="D8" s="1617">
        <f>D9+D10</f>
        <v>11078658.09</v>
      </c>
      <c r="E8" s="1617">
        <f>E9+E10</f>
        <v>11078658.09</v>
      </c>
      <c r="F8" s="1618">
        <f t="shared" si="0"/>
        <v>100</v>
      </c>
      <c r="G8" s="1619">
        <f t="shared" si="1"/>
        <v>0</v>
      </c>
      <c r="H8" s="1620"/>
    </row>
    <row r="9" spans="2:11" ht="33" customHeight="1">
      <c r="B9" s="1615"/>
      <c r="C9" s="1621" t="s">
        <v>472</v>
      </c>
      <c r="D9" s="1622">
        <v>2479708</v>
      </c>
      <c r="E9" s="1622">
        <v>2479708</v>
      </c>
      <c r="F9" s="1622">
        <f t="shared" si="0"/>
        <v>100</v>
      </c>
      <c r="G9" s="1623">
        <f t="shared" si="1"/>
        <v>0</v>
      </c>
      <c r="H9" s="1620"/>
      <c r="I9" s="1610"/>
    </row>
    <row r="10" spans="2:11" ht="33" customHeight="1">
      <c r="B10" s="1615"/>
      <c r="C10" s="1621" t="s">
        <v>5394</v>
      </c>
      <c r="D10" s="1622">
        <f>3384765.44+D11+332394.51</f>
        <v>8598950.0899999999</v>
      </c>
      <c r="E10" s="1622">
        <f>3717159.95+E11</f>
        <v>8598950.0899999999</v>
      </c>
      <c r="F10" s="1622">
        <f t="shared" si="0"/>
        <v>100</v>
      </c>
      <c r="G10" s="1623">
        <f t="shared" si="1"/>
        <v>0</v>
      </c>
      <c r="H10" s="1620"/>
    </row>
    <row r="11" spans="2:11" ht="33" customHeight="1">
      <c r="B11" s="1624"/>
      <c r="C11" s="1621" t="s">
        <v>3570</v>
      </c>
      <c r="D11" s="1622">
        <v>4881790.1399999997</v>
      </c>
      <c r="E11" s="1622">
        <f>D11</f>
        <v>4881790.1399999997</v>
      </c>
      <c r="F11" s="1622">
        <f t="shared" si="0"/>
        <v>100</v>
      </c>
      <c r="G11" s="1623"/>
      <c r="H11" s="1620"/>
    </row>
    <row r="12" spans="2:11" ht="53.25" customHeight="1">
      <c r="B12" s="3460" t="s">
        <v>3446</v>
      </c>
      <c r="C12" s="3461"/>
      <c r="D12" s="1625">
        <f>D18+D47+D97+D107</f>
        <v>1479393848.9200001</v>
      </c>
      <c r="E12" s="1625">
        <f>E18+E47+E97+E107</f>
        <v>1471895451.5500002</v>
      </c>
      <c r="F12" s="1626">
        <f t="shared" si="0"/>
        <v>99.493143940305416</v>
      </c>
      <c r="G12" s="1627">
        <f t="shared" si="1"/>
        <v>7498397.3699998856</v>
      </c>
      <c r="H12" s="1628"/>
      <c r="I12" s="1610"/>
      <c r="J12" s="1610"/>
      <c r="K12" s="1629"/>
    </row>
    <row r="13" spans="2:11" ht="39.75" customHeight="1">
      <c r="B13" s="1630"/>
      <c r="C13" s="1631" t="s">
        <v>472</v>
      </c>
      <c r="D13" s="1632">
        <f>D45+D92+D95+D103+D105</f>
        <v>18044659.239999998</v>
      </c>
      <c r="E13" s="1632">
        <f>E45+E92+E95+E103+E105</f>
        <v>18038364.18</v>
      </c>
      <c r="F13" s="1633">
        <f t="shared" si="0"/>
        <v>99.965113999016154</v>
      </c>
      <c r="G13" s="1634">
        <f t="shared" si="1"/>
        <v>6295.0599999986589</v>
      </c>
      <c r="H13" s="1628"/>
    </row>
    <row r="14" spans="2:11" ht="28.5" customHeight="1">
      <c r="B14" s="1630"/>
      <c r="C14" s="1631" t="s">
        <v>474</v>
      </c>
      <c r="D14" s="1632">
        <f>D12-D13</f>
        <v>1461349189.6800001</v>
      </c>
      <c r="E14" s="1632">
        <f>E12-E13</f>
        <v>1453857087.3700001</v>
      </c>
      <c r="F14" s="1633">
        <f t="shared" si="0"/>
        <v>99.487316080036933</v>
      </c>
      <c r="G14" s="1634">
        <f t="shared" si="1"/>
        <v>7492102.3099999428</v>
      </c>
      <c r="H14" s="1628"/>
    </row>
    <row r="15" spans="2:11" ht="37.9" customHeight="1">
      <c r="B15" s="1635"/>
      <c r="C15" s="1636" t="s">
        <v>571</v>
      </c>
      <c r="D15" s="1637">
        <f>D40+D89+D100</f>
        <v>25894798.810000002</v>
      </c>
      <c r="E15" s="1637">
        <f>E40+E89+E100</f>
        <v>25888101.940000001</v>
      </c>
      <c r="F15" s="1638">
        <f>E15/D15*100</f>
        <v>99.974138165547686</v>
      </c>
      <c r="G15" s="1637">
        <f t="shared" si="1"/>
        <v>6696.8700000010431</v>
      </c>
      <c r="H15" s="1639"/>
    </row>
    <row r="16" spans="2:11" ht="21.6" customHeight="1">
      <c r="B16" s="1635"/>
      <c r="C16" s="1640" t="s">
        <v>472</v>
      </c>
      <c r="D16" s="1637">
        <f>D45+D95+D92</f>
        <v>12210214.850000001</v>
      </c>
      <c r="E16" s="1637">
        <f>E45+E95+E92</f>
        <v>12203919.789999999</v>
      </c>
      <c r="F16" s="1638">
        <f>E16/D16*100</f>
        <v>99.948444314229221</v>
      </c>
      <c r="G16" s="1637">
        <f t="shared" si="1"/>
        <v>6295.0600000023842</v>
      </c>
      <c r="H16" s="1639"/>
      <c r="I16" s="1610"/>
    </row>
    <row r="17" spans="2:10" ht="20.45" customHeight="1">
      <c r="B17" s="1635"/>
      <c r="C17" s="1640" t="s">
        <v>474</v>
      </c>
      <c r="D17" s="1637">
        <f>D15-D16</f>
        <v>13684583.960000001</v>
      </c>
      <c r="E17" s="1637">
        <f>E15-E16</f>
        <v>13684182.150000002</v>
      </c>
      <c r="F17" s="1638">
        <f>E17/D17*100</f>
        <v>99.997063776281593</v>
      </c>
      <c r="G17" s="1637">
        <f t="shared" si="1"/>
        <v>401.8099999986589</v>
      </c>
      <c r="H17" s="1639"/>
      <c r="I17" s="1610"/>
      <c r="J17" s="1610"/>
    </row>
    <row r="18" spans="2:10" ht="62.25" customHeight="1">
      <c r="B18" s="1641" t="s">
        <v>16</v>
      </c>
      <c r="C18" s="1642" t="s">
        <v>2910</v>
      </c>
      <c r="D18" s="1643">
        <f>D19+D20+D21+D22+D23+D24+D25+D26+D32+D40</f>
        <v>284391952.15000004</v>
      </c>
      <c r="E18" s="1643">
        <f>E19+E20+E21+E22+E23+E24+E25+E26+E32+E40</f>
        <v>283193995.02000004</v>
      </c>
      <c r="F18" s="1644">
        <f>E18/D18*100</f>
        <v>99.578765460504954</v>
      </c>
      <c r="G18" s="1645">
        <f t="shared" si="1"/>
        <v>1197957.1299999952</v>
      </c>
      <c r="H18" s="1639"/>
    </row>
    <row r="19" spans="2:10" ht="66" customHeight="1">
      <c r="B19" s="1646"/>
      <c r="C19" s="1647" t="s">
        <v>3447</v>
      </c>
      <c r="D19" s="1648">
        <v>61200000</v>
      </c>
      <c r="E19" s="1648">
        <v>61200000</v>
      </c>
      <c r="F19" s="1649">
        <f>(E19/D19)*100</f>
        <v>100</v>
      </c>
      <c r="G19" s="1623">
        <f t="shared" si="1"/>
        <v>0</v>
      </c>
      <c r="H19" s="1650">
        <v>61200</v>
      </c>
    </row>
    <row r="20" spans="2:10" ht="54" customHeight="1">
      <c r="B20" s="1646"/>
      <c r="C20" s="1647" t="s">
        <v>3207</v>
      </c>
      <c r="D20" s="1648">
        <v>49000000</v>
      </c>
      <c r="E20" s="1648">
        <v>49000000</v>
      </c>
      <c r="F20" s="1649">
        <f>(E20/D20)*100</f>
        <v>100</v>
      </c>
      <c r="G20" s="1623">
        <f t="shared" si="1"/>
        <v>0</v>
      </c>
      <c r="H20" s="1651">
        <v>49000</v>
      </c>
    </row>
    <row r="21" spans="2:10" ht="51.75" customHeight="1">
      <c r="B21" s="1646"/>
      <c r="C21" s="1647" t="s">
        <v>3448</v>
      </c>
      <c r="D21" s="1648">
        <v>1934920.69</v>
      </c>
      <c r="E21" s="1648">
        <v>1934920.69</v>
      </c>
      <c r="F21" s="1649">
        <f>(E21/D21)*100</f>
        <v>100</v>
      </c>
      <c r="G21" s="1623">
        <f t="shared" si="1"/>
        <v>0</v>
      </c>
      <c r="H21" s="1651"/>
    </row>
    <row r="22" spans="2:10" ht="21" customHeight="1">
      <c r="B22" s="1646"/>
      <c r="C22" s="1647" t="s">
        <v>3449</v>
      </c>
      <c r="D22" s="1648">
        <v>74885230.909999996</v>
      </c>
      <c r="E22" s="1648">
        <v>74885230.909999996</v>
      </c>
      <c r="F22" s="1649">
        <f>(E22/D22)*100</f>
        <v>100</v>
      </c>
      <c r="G22" s="1623">
        <f t="shared" si="1"/>
        <v>0</v>
      </c>
      <c r="H22" s="1651">
        <v>74885.230909999998</v>
      </c>
    </row>
    <row r="23" spans="2:10" ht="52.5" customHeight="1">
      <c r="B23" s="1646"/>
      <c r="C23" s="1652" t="s">
        <v>3451</v>
      </c>
      <c r="D23" s="1648">
        <v>20000000</v>
      </c>
      <c r="E23" s="1648">
        <v>20000000</v>
      </c>
      <c r="F23" s="1649">
        <f>(E23/D23)*100</f>
        <v>100</v>
      </c>
      <c r="G23" s="1653">
        <f t="shared" si="1"/>
        <v>0</v>
      </c>
      <c r="H23" s="1651">
        <v>20000</v>
      </c>
    </row>
    <row r="24" spans="2:10" ht="52.5" customHeight="1">
      <c r="B24" s="1646"/>
      <c r="C24" s="1654" t="s">
        <v>3346</v>
      </c>
      <c r="D24" s="1617">
        <v>730000</v>
      </c>
      <c r="E24" s="1617">
        <v>730000</v>
      </c>
      <c r="F24" s="1618">
        <f t="shared" ref="F24:F34" si="2">(E24/D24)*100</f>
        <v>100</v>
      </c>
      <c r="G24" s="1619">
        <f t="shared" si="1"/>
        <v>0</v>
      </c>
      <c r="H24" s="1655">
        <v>730</v>
      </c>
    </row>
    <row r="25" spans="2:10" ht="52.5" customHeight="1">
      <c r="B25" s="1646"/>
      <c r="C25" s="1654" t="s">
        <v>3452</v>
      </c>
      <c r="D25" s="1617">
        <v>22500000</v>
      </c>
      <c r="E25" s="1617">
        <v>22500000</v>
      </c>
      <c r="F25" s="1618">
        <f t="shared" si="2"/>
        <v>100</v>
      </c>
      <c r="G25" s="1619">
        <f t="shared" si="1"/>
        <v>0</v>
      </c>
      <c r="H25" s="1655">
        <v>22500</v>
      </c>
    </row>
    <row r="26" spans="2:10" ht="52.5" customHeight="1">
      <c r="B26" s="1772"/>
      <c r="C26" s="1773" t="s">
        <v>3453</v>
      </c>
      <c r="D26" s="1774">
        <f>D27+D28+D29+D30+D31</f>
        <v>9000000</v>
      </c>
      <c r="E26" s="1774">
        <f>E27+E28+E29+E30+E31</f>
        <v>8789760.7699999996</v>
      </c>
      <c r="F26" s="1775">
        <f t="shared" si="2"/>
        <v>97.664008555555554</v>
      </c>
      <c r="G26" s="1776">
        <f t="shared" si="1"/>
        <v>210239.23000000045</v>
      </c>
      <c r="H26" s="1777">
        <v>8789.7607700000008</v>
      </c>
    </row>
    <row r="27" spans="2:10" ht="27.75" customHeight="1">
      <c r="B27" s="1772"/>
      <c r="C27" s="1778" t="s">
        <v>2557</v>
      </c>
      <c r="D27" s="1779">
        <v>5000000</v>
      </c>
      <c r="E27" s="1779">
        <v>5000000</v>
      </c>
      <c r="F27" s="1780">
        <f t="shared" si="2"/>
        <v>100</v>
      </c>
      <c r="G27" s="1781">
        <f t="shared" si="1"/>
        <v>0</v>
      </c>
      <c r="H27" s="1782">
        <f>SUM(E27:E31)</f>
        <v>8789760.7699999996</v>
      </c>
    </row>
    <row r="28" spans="2:10" ht="27" customHeight="1">
      <c r="B28" s="1772"/>
      <c r="C28" s="1783" t="s">
        <v>3455</v>
      </c>
      <c r="D28" s="1779">
        <v>1000000</v>
      </c>
      <c r="E28" s="1779">
        <v>1000000</v>
      </c>
      <c r="F28" s="1780">
        <f t="shared" si="2"/>
        <v>100</v>
      </c>
      <c r="G28" s="1781">
        <f t="shared" si="1"/>
        <v>0</v>
      </c>
      <c r="H28" s="1777"/>
    </row>
    <row r="29" spans="2:10" ht="26.25" customHeight="1">
      <c r="B29" s="1772"/>
      <c r="C29" s="1783" t="s">
        <v>3456</v>
      </c>
      <c r="D29" s="1779">
        <v>1000000</v>
      </c>
      <c r="E29" s="1779">
        <v>1000000</v>
      </c>
      <c r="F29" s="1780">
        <f t="shared" si="2"/>
        <v>100</v>
      </c>
      <c r="G29" s="1781">
        <f t="shared" si="1"/>
        <v>0</v>
      </c>
      <c r="H29" s="1777"/>
    </row>
    <row r="30" spans="2:10" ht="27.75" customHeight="1">
      <c r="B30" s="1772"/>
      <c r="C30" s="1778" t="s">
        <v>3457</v>
      </c>
      <c r="D30" s="1779">
        <v>1000000</v>
      </c>
      <c r="E30" s="1779">
        <v>789760.77</v>
      </c>
      <c r="F30" s="1780">
        <f t="shared" si="2"/>
        <v>78.976077000000004</v>
      </c>
      <c r="G30" s="1781">
        <f t="shared" si="1"/>
        <v>210239.22999999998</v>
      </c>
      <c r="H30" s="1777"/>
    </row>
    <row r="31" spans="2:10" ht="27.75" customHeight="1">
      <c r="B31" s="1772"/>
      <c r="C31" s="1784" t="s">
        <v>3458</v>
      </c>
      <c r="D31" s="1779">
        <v>1000000</v>
      </c>
      <c r="E31" s="1779">
        <v>1000000</v>
      </c>
      <c r="F31" s="1780">
        <f t="shared" si="2"/>
        <v>100</v>
      </c>
      <c r="G31" s="1781">
        <f t="shared" si="1"/>
        <v>0</v>
      </c>
      <c r="H31" s="1777"/>
    </row>
    <row r="32" spans="2:10" ht="52.5" customHeight="1">
      <c r="B32" s="1646"/>
      <c r="C32" s="1658" t="s">
        <v>2907</v>
      </c>
      <c r="D32" s="1659">
        <f>SUM(D33:D39)</f>
        <v>35000000</v>
      </c>
      <c r="E32" s="1659">
        <f>SUM(E33:E39)</f>
        <v>34012282.100000001</v>
      </c>
      <c r="F32" s="1618">
        <f t="shared" si="2"/>
        <v>97.177948857142866</v>
      </c>
      <c r="G32" s="1619">
        <f t="shared" si="1"/>
        <v>987717.89999999851</v>
      </c>
      <c r="H32" s="1660">
        <v>34012.282099999997</v>
      </c>
    </row>
    <row r="33" spans="2:10" ht="19.5" customHeight="1">
      <c r="B33" s="1646"/>
      <c r="C33" s="1647" t="s">
        <v>3459</v>
      </c>
      <c r="D33" s="1648">
        <v>5000000</v>
      </c>
      <c r="E33" s="1648">
        <v>5000000</v>
      </c>
      <c r="F33" s="1649">
        <f t="shared" si="2"/>
        <v>100</v>
      </c>
      <c r="G33" s="1653">
        <f t="shared" si="1"/>
        <v>0</v>
      </c>
      <c r="H33" s="1651"/>
    </row>
    <row r="34" spans="2:10" ht="19.5" customHeight="1">
      <c r="B34" s="1646"/>
      <c r="C34" s="1647" t="s">
        <v>3460</v>
      </c>
      <c r="D34" s="1648">
        <v>5000000</v>
      </c>
      <c r="E34" s="1648">
        <v>5000000</v>
      </c>
      <c r="F34" s="1649">
        <f t="shared" si="2"/>
        <v>100</v>
      </c>
      <c r="G34" s="1653">
        <f t="shared" si="1"/>
        <v>0</v>
      </c>
      <c r="H34" s="1651"/>
    </row>
    <row r="35" spans="2:10" ht="19.5" customHeight="1">
      <c r="B35" s="1646"/>
      <c r="C35" s="1647" t="s">
        <v>3456</v>
      </c>
      <c r="D35" s="1648">
        <v>5000000</v>
      </c>
      <c r="E35" s="1648">
        <v>5000000</v>
      </c>
      <c r="F35" s="1649">
        <f>(E35/D35)*100</f>
        <v>100</v>
      </c>
      <c r="G35" s="1653">
        <f t="shared" si="1"/>
        <v>0</v>
      </c>
      <c r="H35" s="1651"/>
    </row>
    <row r="36" spans="2:10" ht="23.25" customHeight="1">
      <c r="B36" s="1646"/>
      <c r="C36" s="1647" t="s">
        <v>3461</v>
      </c>
      <c r="D36" s="1648">
        <v>5000000</v>
      </c>
      <c r="E36" s="1648">
        <v>5000000</v>
      </c>
      <c r="F36" s="1649">
        <f>(E36/D36)*100</f>
        <v>100</v>
      </c>
      <c r="G36" s="1653">
        <f t="shared" si="1"/>
        <v>0</v>
      </c>
      <c r="H36" s="1651"/>
    </row>
    <row r="37" spans="2:10" ht="23.25" customHeight="1">
      <c r="B37" s="1646"/>
      <c r="C37" s="1647" t="s">
        <v>3462</v>
      </c>
      <c r="D37" s="1648">
        <v>5000000</v>
      </c>
      <c r="E37" s="1648">
        <v>4596747.78</v>
      </c>
      <c r="F37" s="1649">
        <f>(E37/D37)*100</f>
        <v>91.934955599999995</v>
      </c>
      <c r="G37" s="1653">
        <f t="shared" si="1"/>
        <v>403252.21999999974</v>
      </c>
      <c r="H37" s="1651"/>
    </row>
    <row r="38" spans="2:10" ht="26.25" customHeight="1">
      <c r="B38" s="1646"/>
      <c r="C38" s="1647" t="s">
        <v>3463</v>
      </c>
      <c r="D38" s="1648">
        <v>5000000</v>
      </c>
      <c r="E38" s="1648">
        <v>4415534.32</v>
      </c>
      <c r="F38" s="1649">
        <f>(E38/D38)*100</f>
        <v>88.310686400000009</v>
      </c>
      <c r="G38" s="1653">
        <f t="shared" si="1"/>
        <v>584465.6799999997</v>
      </c>
      <c r="H38" s="1651"/>
    </row>
    <row r="39" spans="2:10" ht="24.75" customHeight="1">
      <c r="B39" s="1646"/>
      <c r="C39" s="1647" t="s">
        <v>3464</v>
      </c>
      <c r="D39" s="1648">
        <v>5000000</v>
      </c>
      <c r="E39" s="1648">
        <v>5000000</v>
      </c>
      <c r="F39" s="1649">
        <f>(E39/D39)*100</f>
        <v>100</v>
      </c>
      <c r="G39" s="1653">
        <f t="shared" si="1"/>
        <v>0</v>
      </c>
      <c r="H39" s="1651"/>
    </row>
    <row r="40" spans="2:10" ht="36.6" customHeight="1">
      <c r="B40" s="1646"/>
      <c r="C40" s="1661" t="s">
        <v>573</v>
      </c>
      <c r="D40" s="1662">
        <f>D41+D42+D43</f>
        <v>10141800.550000001</v>
      </c>
      <c r="E40" s="1662">
        <f>E41+E42+E43</f>
        <v>10141800.550000001</v>
      </c>
      <c r="F40" s="1638">
        <f>E40/D40*100</f>
        <v>100</v>
      </c>
      <c r="G40" s="1662">
        <f t="shared" si="1"/>
        <v>0</v>
      </c>
      <c r="H40" s="1651"/>
    </row>
    <row r="41" spans="2:10" ht="57.75" customHeight="1">
      <c r="B41" s="1646"/>
      <c r="C41" s="1663" t="s">
        <v>657</v>
      </c>
      <c r="D41" s="1664">
        <f>3159100-4981.2</f>
        <v>3154118.8</v>
      </c>
      <c r="E41" s="1664">
        <v>3154118.8</v>
      </c>
      <c r="F41" s="1638">
        <f t="shared" ref="F41:F98" si="3">(E41/D41)*100</f>
        <v>100</v>
      </c>
      <c r="G41" s="1665">
        <f t="shared" si="1"/>
        <v>0</v>
      </c>
      <c r="H41" s="1666">
        <v>3154.1188000000002</v>
      </c>
    </row>
    <row r="42" spans="2:10" ht="81.75" customHeight="1">
      <c r="B42" s="1646"/>
      <c r="C42" s="1663" t="s">
        <v>27</v>
      </c>
      <c r="D42" s="1664">
        <v>5800839.75</v>
      </c>
      <c r="E42" s="1664">
        <v>5800839.75</v>
      </c>
      <c r="F42" s="1667">
        <f t="shared" si="3"/>
        <v>100</v>
      </c>
      <c r="G42" s="1665">
        <f t="shared" si="1"/>
        <v>0</v>
      </c>
      <c r="H42" s="1668">
        <v>5800.8397500000001</v>
      </c>
    </row>
    <row r="43" spans="2:10" ht="45.75" customHeight="1">
      <c r="B43" s="1646"/>
      <c r="C43" s="1663" t="s">
        <v>655</v>
      </c>
      <c r="D43" s="1669">
        <f>D44</f>
        <v>1186842</v>
      </c>
      <c r="E43" s="1669">
        <f>E44</f>
        <v>1186842</v>
      </c>
      <c r="F43" s="1638">
        <f t="shared" si="3"/>
        <v>100</v>
      </c>
      <c r="G43" s="1665">
        <f t="shared" si="1"/>
        <v>0</v>
      </c>
      <c r="H43" s="1668" t="s">
        <v>3465</v>
      </c>
    </row>
    <row r="44" spans="2:10" ht="45.75" customHeight="1">
      <c r="B44" s="1646"/>
      <c r="C44" s="1670" t="s">
        <v>3466</v>
      </c>
      <c r="D44" s="1669">
        <f>D45+D46</f>
        <v>1186842</v>
      </c>
      <c r="E44" s="1669">
        <f>E45+E46</f>
        <v>1186842</v>
      </c>
      <c r="F44" s="1638">
        <f t="shared" si="3"/>
        <v>100</v>
      </c>
      <c r="G44" s="1665">
        <f t="shared" si="1"/>
        <v>0</v>
      </c>
      <c r="H44" s="1668"/>
    </row>
    <row r="45" spans="2:10" ht="27.6" customHeight="1">
      <c r="B45" s="1646"/>
      <c r="C45" s="1640" t="s">
        <v>472</v>
      </c>
      <c r="D45" s="1671">
        <v>1115631.48</v>
      </c>
      <c r="E45" s="1671">
        <v>1115631.48</v>
      </c>
      <c r="F45" s="1667">
        <f t="shared" si="3"/>
        <v>100</v>
      </c>
      <c r="G45" s="1672">
        <f t="shared" si="1"/>
        <v>0</v>
      </c>
      <c r="H45" s="1673">
        <v>1115.63148</v>
      </c>
    </row>
    <row r="46" spans="2:10" ht="25.9" customHeight="1">
      <c r="B46" s="1646"/>
      <c r="C46" s="1640" t="s">
        <v>474</v>
      </c>
      <c r="D46" s="1671">
        <v>71210.52</v>
      </c>
      <c r="E46" s="1671">
        <v>71210.52</v>
      </c>
      <c r="F46" s="1667">
        <f t="shared" si="3"/>
        <v>100</v>
      </c>
      <c r="G46" s="1672">
        <f t="shared" si="1"/>
        <v>0</v>
      </c>
      <c r="H46" s="1673">
        <v>71.210520000000002</v>
      </c>
    </row>
    <row r="47" spans="2:10" ht="75.75" customHeight="1">
      <c r="B47" s="1674" t="s">
        <v>40</v>
      </c>
      <c r="C47" s="1675" t="s">
        <v>2916</v>
      </c>
      <c r="D47" s="1659">
        <f>D48+D52+D58+D68+D77+D81+D82+D83+D89</f>
        <v>1093708582.6600001</v>
      </c>
      <c r="E47" s="1659">
        <f>E48+E52+E58+E68+E77 +E80+E81+E82+E83+E89</f>
        <v>1092907788.0600002</v>
      </c>
      <c r="F47" s="1618">
        <f t="shared" si="3"/>
        <v>99.926781721137061</v>
      </c>
      <c r="G47" s="1659">
        <f t="shared" si="1"/>
        <v>800794.59999990463</v>
      </c>
      <c r="H47" s="1639"/>
      <c r="J47" s="1610"/>
    </row>
    <row r="48" spans="2:10" ht="60" customHeight="1">
      <c r="B48" s="1676"/>
      <c r="C48" s="1677" t="s">
        <v>3467</v>
      </c>
      <c r="D48" s="1659">
        <f>D49+D50+D51</f>
        <v>69737588.670000002</v>
      </c>
      <c r="E48" s="1659">
        <f>E49+E50+E51</f>
        <v>69522234.549999997</v>
      </c>
      <c r="F48" s="1618">
        <f t="shared" si="3"/>
        <v>99.691193624403809</v>
      </c>
      <c r="G48" s="1659">
        <f t="shared" si="1"/>
        <v>215354.12000000477</v>
      </c>
      <c r="H48" s="1639"/>
    </row>
    <row r="49" spans="2:10" ht="60" customHeight="1">
      <c r="B49" s="1676"/>
      <c r="C49" s="1678" t="s">
        <v>50</v>
      </c>
      <c r="D49" s="1648">
        <f>2137588.67-900000</f>
        <v>1237588.67</v>
      </c>
      <c r="E49" s="1648">
        <v>1022234.55</v>
      </c>
      <c r="F49" s="1649">
        <f t="shared" si="3"/>
        <v>82.598893701895321</v>
      </c>
      <c r="G49" s="1623">
        <f t="shared" si="1"/>
        <v>215354.11999999988</v>
      </c>
      <c r="H49" s="1620">
        <v>1022.23455</v>
      </c>
    </row>
    <row r="50" spans="2:10" ht="33.6" customHeight="1">
      <c r="B50" s="1646"/>
      <c r="C50" s="1656" t="s">
        <v>496</v>
      </c>
      <c r="D50" s="1679">
        <v>67600000</v>
      </c>
      <c r="E50" s="1679">
        <v>67600000</v>
      </c>
      <c r="F50" s="1649">
        <f t="shared" si="3"/>
        <v>100</v>
      </c>
      <c r="G50" s="1623">
        <f t="shared" si="1"/>
        <v>0</v>
      </c>
      <c r="H50" s="1620"/>
    </row>
    <row r="51" spans="2:10" ht="33.6" customHeight="1">
      <c r="B51" s="1646"/>
      <c r="C51" s="1656" t="s">
        <v>2928</v>
      </c>
      <c r="D51" s="1679">
        <v>900000</v>
      </c>
      <c r="E51" s="1679">
        <v>900000</v>
      </c>
      <c r="F51" s="1649"/>
      <c r="G51" s="1623"/>
      <c r="H51" s="1680">
        <v>900</v>
      </c>
    </row>
    <row r="52" spans="2:10" ht="61.5" customHeight="1">
      <c r="B52" s="1646"/>
      <c r="C52" s="1681" t="s">
        <v>152</v>
      </c>
      <c r="D52" s="1682">
        <f>D53+D54+D55+D56+D57</f>
        <v>32070</v>
      </c>
      <c r="E52" s="1682">
        <f>E53+E54+E55+E56+E57</f>
        <v>30921</v>
      </c>
      <c r="F52" s="1618">
        <f t="shared" si="3"/>
        <v>96.41721234798878</v>
      </c>
      <c r="G52" s="1619">
        <f t="shared" si="1"/>
        <v>1149</v>
      </c>
      <c r="H52" s="1639"/>
    </row>
    <row r="53" spans="2:10" ht="22.5" customHeight="1">
      <c r="B53" s="1646"/>
      <c r="C53" s="1683" t="s">
        <v>497</v>
      </c>
      <c r="D53" s="1679">
        <v>7290</v>
      </c>
      <c r="E53" s="1679">
        <v>7290</v>
      </c>
      <c r="F53" s="1649">
        <f t="shared" si="3"/>
        <v>100</v>
      </c>
      <c r="G53" s="1623">
        <f t="shared" si="1"/>
        <v>0</v>
      </c>
      <c r="H53" s="1639" t="s">
        <v>497</v>
      </c>
    </row>
    <row r="54" spans="2:10" ht="22.5" customHeight="1">
      <c r="B54" s="1646"/>
      <c r="C54" s="1683" t="s">
        <v>3468</v>
      </c>
      <c r="D54" s="1679">
        <v>3964</v>
      </c>
      <c r="E54" s="1679">
        <v>3959</v>
      </c>
      <c r="F54" s="1649">
        <f t="shared" si="3"/>
        <v>99.873864783047424</v>
      </c>
      <c r="G54" s="1623">
        <f t="shared" si="1"/>
        <v>5</v>
      </c>
      <c r="H54" s="1683" t="s">
        <v>3468</v>
      </c>
    </row>
    <row r="55" spans="2:10" ht="39" customHeight="1">
      <c r="B55" s="1646"/>
      <c r="C55" s="1683" t="s">
        <v>232</v>
      </c>
      <c r="D55" s="1679">
        <v>11346</v>
      </c>
      <c r="E55" s="1679">
        <v>11332</v>
      </c>
      <c r="F55" s="1649">
        <f t="shared" si="3"/>
        <v>99.876608496386382</v>
      </c>
      <c r="G55" s="1623">
        <f t="shared" si="1"/>
        <v>14</v>
      </c>
      <c r="H55" s="1684" t="s">
        <v>3469</v>
      </c>
    </row>
    <row r="56" spans="2:10" ht="44.25" customHeight="1">
      <c r="B56" s="1646"/>
      <c r="C56" s="1683" t="s">
        <v>498</v>
      </c>
      <c r="D56" s="1679">
        <v>5230</v>
      </c>
      <c r="E56" s="1679">
        <v>5230</v>
      </c>
      <c r="F56" s="1649">
        <f t="shared" si="3"/>
        <v>100</v>
      </c>
      <c r="G56" s="1623">
        <f t="shared" si="1"/>
        <v>0</v>
      </c>
      <c r="H56" s="1683" t="s">
        <v>498</v>
      </c>
    </row>
    <row r="57" spans="2:10" ht="25.15" customHeight="1">
      <c r="B57" s="1646"/>
      <c r="C57" s="1685" t="s">
        <v>499</v>
      </c>
      <c r="D57" s="1686">
        <v>4240</v>
      </c>
      <c r="E57" s="1686">
        <v>3110</v>
      </c>
      <c r="F57" s="1618">
        <f t="shared" si="3"/>
        <v>73.34905660377359</v>
      </c>
      <c r="G57" s="1623">
        <f t="shared" si="1"/>
        <v>1130</v>
      </c>
      <c r="H57" s="1685" t="s">
        <v>499</v>
      </c>
    </row>
    <row r="58" spans="2:10" ht="39.75" customHeight="1">
      <c r="B58" s="1743"/>
      <c r="C58" s="1747" t="s">
        <v>488</v>
      </c>
      <c r="D58" s="1748">
        <f>D59+D60+D61+D62+D63+D64+D65+D66+D67</f>
        <v>940112939.40999997</v>
      </c>
      <c r="E58" s="1748">
        <f>E59+E60+E61+E62+E63+E64+E65+E66+E67</f>
        <v>940112939.40999997</v>
      </c>
      <c r="F58" s="1744">
        <f t="shared" si="3"/>
        <v>100</v>
      </c>
      <c r="G58" s="1745">
        <f t="shared" si="1"/>
        <v>0</v>
      </c>
      <c r="H58" s="1749"/>
    </row>
    <row r="59" spans="2:10" ht="24.75" customHeight="1">
      <c r="B59" s="1743"/>
      <c r="C59" s="1750" t="s">
        <v>499</v>
      </c>
      <c r="D59" s="1751">
        <f>94564549.54+1349255</f>
        <v>95913804.540000007</v>
      </c>
      <c r="E59" s="1751">
        <v>95913804.540000007</v>
      </c>
      <c r="F59" s="1752">
        <f t="shared" si="3"/>
        <v>100</v>
      </c>
      <c r="G59" s="1746">
        <f t="shared" si="1"/>
        <v>0</v>
      </c>
      <c r="H59" s="1753"/>
    </row>
    <row r="60" spans="2:10" ht="22.5" customHeight="1">
      <c r="B60" s="1743"/>
      <c r="C60" s="1750" t="s">
        <v>497</v>
      </c>
      <c r="D60" s="1751">
        <f>82186446.67+880700</f>
        <v>83067146.670000002</v>
      </c>
      <c r="E60" s="1751">
        <v>83067146.670000002</v>
      </c>
      <c r="F60" s="1752">
        <f t="shared" si="3"/>
        <v>100</v>
      </c>
      <c r="G60" s="1746">
        <f t="shared" si="1"/>
        <v>0</v>
      </c>
      <c r="H60" s="1753" t="s">
        <v>497</v>
      </c>
    </row>
    <row r="61" spans="2:10" ht="24.75" customHeight="1">
      <c r="B61" s="1743"/>
      <c r="C61" s="1750" t="s">
        <v>498</v>
      </c>
      <c r="D61" s="1751">
        <f>84352733.32+1448710</f>
        <v>85801443.319999993</v>
      </c>
      <c r="E61" s="1751">
        <v>85801443.319999993</v>
      </c>
      <c r="F61" s="1752">
        <f t="shared" si="3"/>
        <v>100</v>
      </c>
      <c r="G61" s="1746">
        <f t="shared" si="1"/>
        <v>0</v>
      </c>
      <c r="H61" s="1753" t="s">
        <v>498</v>
      </c>
    </row>
    <row r="62" spans="2:10" ht="24.75" customHeight="1">
      <c r="B62" s="1743"/>
      <c r="C62" s="1754" t="s">
        <v>504</v>
      </c>
      <c r="D62" s="1755">
        <f>127409547.11+3668796</f>
        <v>131078343.11</v>
      </c>
      <c r="E62" s="1756">
        <v>131078343.11</v>
      </c>
      <c r="F62" s="1752">
        <f t="shared" si="3"/>
        <v>100</v>
      </c>
      <c r="G62" s="1746">
        <f t="shared" si="1"/>
        <v>0</v>
      </c>
      <c r="H62" s="1757" t="s">
        <v>504</v>
      </c>
      <c r="J62" s="1610"/>
    </row>
    <row r="63" spans="2:10" ht="24.75" customHeight="1">
      <c r="B63" s="1743"/>
      <c r="C63" s="1754" t="s">
        <v>232</v>
      </c>
      <c r="D63" s="1755">
        <f>76556542.81+2165355</f>
        <v>78721897.810000002</v>
      </c>
      <c r="E63" s="1756">
        <v>78721897.810000002</v>
      </c>
      <c r="F63" s="1752">
        <f t="shared" si="3"/>
        <v>100</v>
      </c>
      <c r="G63" s="1746">
        <f t="shared" si="1"/>
        <v>0</v>
      </c>
      <c r="H63" s="1757" t="s">
        <v>232</v>
      </c>
    </row>
    <row r="64" spans="2:10" ht="24.75" customHeight="1">
      <c r="B64" s="1743"/>
      <c r="C64" s="1754" t="s">
        <v>513</v>
      </c>
      <c r="D64" s="1755">
        <f>339427175.73+2243940+823808</f>
        <v>342494923.73000002</v>
      </c>
      <c r="E64" s="1756">
        <v>342494923.73000002</v>
      </c>
      <c r="F64" s="1752">
        <f t="shared" si="3"/>
        <v>100</v>
      </c>
      <c r="G64" s="1746">
        <f t="shared" si="1"/>
        <v>0</v>
      </c>
      <c r="H64" s="1757" t="s">
        <v>513</v>
      </c>
    </row>
    <row r="65" spans="2:10" ht="24.75" customHeight="1">
      <c r="B65" s="1743"/>
      <c r="C65" s="1754" t="s">
        <v>3470</v>
      </c>
      <c r="D65" s="1755">
        <f>27841234.92+601000</f>
        <v>28442234.920000002</v>
      </c>
      <c r="E65" s="1756">
        <v>28442234.920000002</v>
      </c>
      <c r="F65" s="1752">
        <f t="shared" si="3"/>
        <v>100</v>
      </c>
      <c r="G65" s="1746">
        <f t="shared" si="1"/>
        <v>0</v>
      </c>
      <c r="H65" s="1757" t="s">
        <v>3471</v>
      </c>
    </row>
    <row r="66" spans="2:10" ht="34.5" customHeight="1">
      <c r="B66" s="1743"/>
      <c r="C66" s="1754" t="s">
        <v>3468</v>
      </c>
      <c r="D66" s="1755">
        <f>58072261.54+1469884</f>
        <v>59542145.539999999</v>
      </c>
      <c r="E66" s="1756">
        <f>D66</f>
        <v>59542145.539999999</v>
      </c>
      <c r="F66" s="1752">
        <f t="shared" si="3"/>
        <v>100</v>
      </c>
      <c r="G66" s="1746">
        <f t="shared" si="1"/>
        <v>0</v>
      </c>
      <c r="H66" s="1757" t="s">
        <v>3468</v>
      </c>
      <c r="J66" s="1610"/>
    </row>
    <row r="67" spans="2:10" ht="34.5" customHeight="1">
      <c r="B67" s="1646"/>
      <c r="C67" s="1683" t="s">
        <v>48</v>
      </c>
      <c r="D67" s="1679">
        <v>35050999.770000003</v>
      </c>
      <c r="E67" s="1679">
        <v>35050999.770000003</v>
      </c>
      <c r="F67" s="1649">
        <f t="shared" si="3"/>
        <v>100</v>
      </c>
      <c r="G67" s="1623">
        <f t="shared" si="1"/>
        <v>0</v>
      </c>
      <c r="H67" s="1685" t="s">
        <v>513</v>
      </c>
      <c r="J67" s="1610"/>
    </row>
    <row r="68" spans="2:10" ht="65.25" customHeight="1">
      <c r="B68" s="3462"/>
      <c r="C68" s="1654" t="s">
        <v>508</v>
      </c>
      <c r="D68" s="1643">
        <f>D69+D76+D70+D71+D72+D73+D75+D74</f>
        <v>6067237.379999999</v>
      </c>
      <c r="E68" s="1643">
        <f>E69+E76+E70+E71+E72+E73+E74+E75</f>
        <v>6035786.7699999996</v>
      </c>
      <c r="F68" s="1687">
        <f t="shared" si="3"/>
        <v>99.481632116394962</v>
      </c>
      <c r="G68" s="1688">
        <f t="shared" si="1"/>
        <v>31450.609999999404</v>
      </c>
      <c r="H68" s="1689">
        <v>6035.7867699999997</v>
      </c>
    </row>
    <row r="69" spans="2:10" ht="33.75" customHeight="1">
      <c r="B69" s="3463"/>
      <c r="C69" s="1685" t="s">
        <v>3472</v>
      </c>
      <c r="D69" s="1686">
        <v>511192.69</v>
      </c>
      <c r="E69" s="1686">
        <v>511192.69</v>
      </c>
      <c r="F69" s="1649">
        <f t="shared" si="3"/>
        <v>100</v>
      </c>
      <c r="G69" s="1690">
        <f t="shared" si="1"/>
        <v>0</v>
      </c>
      <c r="H69" s="1685" t="s">
        <v>3472</v>
      </c>
    </row>
    <row r="70" spans="2:10" ht="33.75" customHeight="1">
      <c r="B70" s="1691"/>
      <c r="C70" s="1692" t="s">
        <v>3473</v>
      </c>
      <c r="D70" s="1686">
        <v>739542.19</v>
      </c>
      <c r="E70" s="1686">
        <v>739542.19</v>
      </c>
      <c r="F70" s="1649">
        <f t="shared" si="3"/>
        <v>100</v>
      </c>
      <c r="G70" s="1690">
        <f t="shared" si="1"/>
        <v>0</v>
      </c>
      <c r="H70" s="1692" t="s">
        <v>3473</v>
      </c>
    </row>
    <row r="71" spans="2:10" ht="33.75" customHeight="1">
      <c r="B71" s="1693"/>
      <c r="C71" s="1692" t="s">
        <v>498</v>
      </c>
      <c r="D71" s="1686">
        <v>282068.59000000003</v>
      </c>
      <c r="E71" s="1686">
        <v>282068.59000000003</v>
      </c>
      <c r="F71" s="1649">
        <f t="shared" si="3"/>
        <v>100</v>
      </c>
      <c r="G71" s="1690">
        <f t="shared" ref="G71:G88" si="4">D71-E71</f>
        <v>0</v>
      </c>
      <c r="H71" s="1692" t="s">
        <v>498</v>
      </c>
    </row>
    <row r="72" spans="2:10" ht="33.75" customHeight="1">
      <c r="B72" s="1693"/>
      <c r="C72" s="1692" t="s">
        <v>504</v>
      </c>
      <c r="D72" s="1686">
        <v>1005106.62</v>
      </c>
      <c r="E72" s="1686">
        <v>1005106.62</v>
      </c>
      <c r="F72" s="1649">
        <f t="shared" si="3"/>
        <v>100</v>
      </c>
      <c r="G72" s="1690">
        <f t="shared" si="4"/>
        <v>0</v>
      </c>
      <c r="H72" s="1692" t="s">
        <v>504</v>
      </c>
    </row>
    <row r="73" spans="2:10" ht="33.75" customHeight="1">
      <c r="B73" s="1693"/>
      <c r="C73" s="1692" t="s">
        <v>232</v>
      </c>
      <c r="D73" s="1686">
        <v>538998.46</v>
      </c>
      <c r="E73" s="1686">
        <v>538998.46</v>
      </c>
      <c r="F73" s="1649">
        <f t="shared" si="3"/>
        <v>100</v>
      </c>
      <c r="G73" s="1690">
        <f t="shared" si="4"/>
        <v>0</v>
      </c>
      <c r="H73" s="1692" t="s">
        <v>232</v>
      </c>
    </row>
    <row r="74" spans="2:10" ht="33.75" customHeight="1">
      <c r="B74" s="1693"/>
      <c r="C74" s="1692" t="s">
        <v>23</v>
      </c>
      <c r="D74" s="1686">
        <f>E74+31450.61</f>
        <v>2239133.9499999997</v>
      </c>
      <c r="E74" s="1686">
        <v>2207683.34</v>
      </c>
      <c r="F74" s="1649">
        <f t="shared" si="3"/>
        <v>98.595411855552456</v>
      </c>
      <c r="G74" s="1690">
        <f t="shared" si="4"/>
        <v>31450.60999999987</v>
      </c>
      <c r="H74" s="1692" t="s">
        <v>23</v>
      </c>
    </row>
    <row r="75" spans="2:10" ht="33.75" customHeight="1">
      <c r="B75" s="1693"/>
      <c r="C75" s="1692" t="s">
        <v>3470</v>
      </c>
      <c r="D75" s="1686">
        <v>385601.01</v>
      </c>
      <c r="E75" s="1686">
        <v>385601.01</v>
      </c>
      <c r="F75" s="1649">
        <f t="shared" si="3"/>
        <v>100</v>
      </c>
      <c r="G75" s="1690">
        <f t="shared" si="4"/>
        <v>0</v>
      </c>
      <c r="H75" s="1692" t="s">
        <v>5395</v>
      </c>
    </row>
    <row r="76" spans="2:10" ht="24.75" customHeight="1">
      <c r="B76" s="1693"/>
      <c r="C76" s="1692" t="s">
        <v>3468</v>
      </c>
      <c r="D76" s="1694">
        <v>365593.87</v>
      </c>
      <c r="E76" s="1694">
        <v>365593.87</v>
      </c>
      <c r="F76" s="1649">
        <f t="shared" si="3"/>
        <v>100</v>
      </c>
      <c r="G76" s="1690">
        <f t="shared" si="4"/>
        <v>0</v>
      </c>
      <c r="H76" s="1692" t="s">
        <v>3468</v>
      </c>
    </row>
    <row r="77" spans="2:10" ht="67.5" customHeight="1">
      <c r="B77" s="1693"/>
      <c r="C77" s="1654" t="s">
        <v>3474</v>
      </c>
      <c r="D77" s="1695">
        <f>D78+D79</f>
        <v>134432.19</v>
      </c>
      <c r="E77" s="1695">
        <f>E78+E79</f>
        <v>134432.19</v>
      </c>
      <c r="F77" s="1618">
        <f t="shared" si="3"/>
        <v>100</v>
      </c>
      <c r="G77" s="1690">
        <f t="shared" si="4"/>
        <v>0</v>
      </c>
      <c r="H77" s="1696"/>
    </row>
    <row r="78" spans="2:10" ht="67.5" customHeight="1">
      <c r="B78" s="1693"/>
      <c r="C78" s="1697" t="s">
        <v>3468</v>
      </c>
      <c r="D78" s="1657">
        <v>46621.2</v>
      </c>
      <c r="E78" s="1657">
        <f>D78</f>
        <v>46621.2</v>
      </c>
      <c r="F78" s="1649">
        <f t="shared" si="3"/>
        <v>100</v>
      </c>
      <c r="G78" s="1690">
        <f t="shared" si="4"/>
        <v>0</v>
      </c>
      <c r="H78" s="1697" t="s">
        <v>3468</v>
      </c>
    </row>
    <row r="79" spans="2:10" ht="67.5" customHeight="1">
      <c r="B79" s="1693"/>
      <c r="C79" s="1697" t="s">
        <v>23</v>
      </c>
      <c r="D79" s="1657">
        <v>87810.99</v>
      </c>
      <c r="E79" s="1657">
        <f>D79</f>
        <v>87810.99</v>
      </c>
      <c r="F79" s="1649">
        <f t="shared" si="3"/>
        <v>100</v>
      </c>
      <c r="G79" s="1690">
        <f t="shared" si="4"/>
        <v>0</v>
      </c>
      <c r="H79" s="1697" t="s">
        <v>23</v>
      </c>
    </row>
    <row r="80" spans="2:10" ht="67.5" customHeight="1">
      <c r="B80" s="1693"/>
      <c r="C80" s="1698"/>
      <c r="D80" s="1617">
        <v>0</v>
      </c>
      <c r="E80" s="1617"/>
      <c r="F80" s="1699"/>
      <c r="G80" s="1700"/>
      <c r="H80" s="1698"/>
    </row>
    <row r="81" spans="2:10" ht="43.5" customHeight="1">
      <c r="B81" s="1693"/>
      <c r="C81" s="1654" t="s">
        <v>3301</v>
      </c>
      <c r="D81" s="1695">
        <f>3628395+1356034.59</f>
        <v>4984429.59</v>
      </c>
      <c r="E81" s="1695">
        <v>4984429.59</v>
      </c>
      <c r="F81" s="1699">
        <f t="shared" si="3"/>
        <v>100</v>
      </c>
      <c r="G81" s="1700">
        <f t="shared" si="4"/>
        <v>0</v>
      </c>
      <c r="H81" s="1654">
        <v>4984.4295899999997</v>
      </c>
    </row>
    <row r="82" spans="2:10" ht="43.5" customHeight="1">
      <c r="B82" s="1693"/>
      <c r="C82" s="1654" t="s">
        <v>3477</v>
      </c>
      <c r="D82" s="1695">
        <f>16200622.2-3163485.04</f>
        <v>13037137.16</v>
      </c>
      <c r="E82" s="1695">
        <v>12490993.16</v>
      </c>
      <c r="F82" s="1618">
        <f t="shared" si="3"/>
        <v>95.810859444850692</v>
      </c>
      <c r="G82" s="1700">
        <f t="shared" si="4"/>
        <v>546144</v>
      </c>
      <c r="H82" s="1654">
        <v>12490.99316</v>
      </c>
    </row>
    <row r="83" spans="2:10" ht="88.5" customHeight="1">
      <c r="B83" s="1743"/>
      <c r="C83" s="1758" t="s">
        <v>2819</v>
      </c>
      <c r="D83" s="1759">
        <f>D84+D85+D86+D87+D88</f>
        <v>47800000</v>
      </c>
      <c r="E83" s="1759">
        <f>E84+E85+E86+E87+E88</f>
        <v>47800000</v>
      </c>
      <c r="F83" s="1760">
        <f t="shared" si="3"/>
        <v>100</v>
      </c>
      <c r="G83" s="1761">
        <f t="shared" si="4"/>
        <v>0</v>
      </c>
      <c r="H83" s="1762" t="s">
        <v>3454</v>
      </c>
      <c r="J83" s="1610"/>
    </row>
    <row r="84" spans="2:10" ht="38.25" customHeight="1">
      <c r="B84" s="1743"/>
      <c r="C84" s="1754" t="s">
        <v>3455</v>
      </c>
      <c r="D84" s="1763">
        <v>8081779</v>
      </c>
      <c r="E84" s="1764">
        <v>8081779</v>
      </c>
      <c r="F84" s="1765">
        <f t="shared" si="3"/>
        <v>100</v>
      </c>
      <c r="G84" s="1761">
        <f t="shared" si="4"/>
        <v>0</v>
      </c>
      <c r="H84" s="1766"/>
    </row>
    <row r="85" spans="2:10" ht="38.25" customHeight="1">
      <c r="B85" s="1743"/>
      <c r="C85" s="1754" t="s">
        <v>3478</v>
      </c>
      <c r="D85" s="1763">
        <v>8416227</v>
      </c>
      <c r="E85" s="1764">
        <f>D85</f>
        <v>8416227</v>
      </c>
      <c r="F85" s="1765">
        <f t="shared" si="3"/>
        <v>100</v>
      </c>
      <c r="G85" s="1761">
        <f t="shared" si="4"/>
        <v>0</v>
      </c>
      <c r="H85" s="1766"/>
    </row>
    <row r="86" spans="2:10" ht="29.25" customHeight="1">
      <c r="B86" s="1743"/>
      <c r="C86" s="1754" t="s">
        <v>3479</v>
      </c>
      <c r="D86" s="1763">
        <v>14565005</v>
      </c>
      <c r="E86" s="1764">
        <f>D86</f>
        <v>14565005</v>
      </c>
      <c r="F86" s="1765">
        <f t="shared" si="3"/>
        <v>100</v>
      </c>
      <c r="G86" s="1761">
        <f t="shared" si="4"/>
        <v>0</v>
      </c>
      <c r="H86" s="1766"/>
    </row>
    <row r="87" spans="2:10" ht="29.25" customHeight="1">
      <c r="B87" s="1743"/>
      <c r="C87" s="1754" t="s">
        <v>2557</v>
      </c>
      <c r="D87" s="1763">
        <v>13904349</v>
      </c>
      <c r="E87" s="1764">
        <v>13904349</v>
      </c>
      <c r="F87" s="1765">
        <f t="shared" si="3"/>
        <v>100</v>
      </c>
      <c r="G87" s="1761">
        <f t="shared" si="4"/>
        <v>0</v>
      </c>
      <c r="H87" s="1766"/>
    </row>
    <row r="88" spans="2:10" ht="30.75" customHeight="1">
      <c r="B88" s="1743"/>
      <c r="C88" s="1754" t="s">
        <v>3480</v>
      </c>
      <c r="D88" s="1763">
        <v>2832640</v>
      </c>
      <c r="E88" s="1764">
        <v>2832640</v>
      </c>
      <c r="F88" s="1765">
        <f t="shared" si="3"/>
        <v>100</v>
      </c>
      <c r="G88" s="1761">
        <f t="shared" si="4"/>
        <v>0</v>
      </c>
      <c r="H88" s="1766"/>
    </row>
    <row r="89" spans="2:10" ht="39" customHeight="1">
      <c r="B89" s="1701"/>
      <c r="C89" s="1702" t="s">
        <v>573</v>
      </c>
      <c r="D89" s="1637">
        <f>D90+D94</f>
        <v>11802748.260000002</v>
      </c>
      <c r="E89" s="1637">
        <f>E90+E94</f>
        <v>11796051.390000001</v>
      </c>
      <c r="F89" s="1703">
        <f t="shared" si="3"/>
        <v>99.943260079326635</v>
      </c>
      <c r="G89" s="1637">
        <f>G90+G94</f>
        <v>6696.8700000001118</v>
      </c>
      <c r="H89" s="1639"/>
    </row>
    <row r="90" spans="2:10" ht="50.25" customHeight="1">
      <c r="B90" s="1701"/>
      <c r="C90" s="1704" t="s">
        <v>3119</v>
      </c>
      <c r="D90" s="1669">
        <f>D91</f>
        <v>7674450.3900000006</v>
      </c>
      <c r="E90" s="1669">
        <f>E91</f>
        <v>7674450.3900000006</v>
      </c>
      <c r="F90" s="1638">
        <f t="shared" si="3"/>
        <v>100</v>
      </c>
      <c r="G90" s="1665">
        <f t="shared" ref="G90:G104" si="5">D90-E90</f>
        <v>0</v>
      </c>
      <c r="H90" s="1651" t="s">
        <v>3465</v>
      </c>
    </row>
    <row r="91" spans="2:10" ht="54.75" customHeight="1">
      <c r="B91" s="1701"/>
      <c r="C91" s="1705" t="s">
        <v>3481</v>
      </c>
      <c r="D91" s="1706">
        <f>D92+D93</f>
        <v>7674450.3900000006</v>
      </c>
      <c r="E91" s="1706">
        <f>E92+E93</f>
        <v>7674450.3900000006</v>
      </c>
      <c r="F91" s="1638">
        <f t="shared" si="3"/>
        <v>100</v>
      </c>
      <c r="G91" s="1665">
        <f t="shared" si="5"/>
        <v>0</v>
      </c>
      <c r="H91" s="1650"/>
    </row>
    <row r="92" spans="2:10" ht="22.9" customHeight="1">
      <c r="B92" s="1701"/>
      <c r="C92" s="1707" t="s">
        <v>511</v>
      </c>
      <c r="D92" s="1708">
        <v>7213983.3700000001</v>
      </c>
      <c r="E92" s="1708">
        <v>7213983.3700000001</v>
      </c>
      <c r="F92" s="1667">
        <f t="shared" si="3"/>
        <v>100</v>
      </c>
      <c r="G92" s="1672">
        <f t="shared" si="5"/>
        <v>0</v>
      </c>
      <c r="H92" s="1650"/>
    </row>
    <row r="93" spans="2:10" ht="22.9" customHeight="1">
      <c r="B93" s="1701"/>
      <c r="C93" s="1707" t="s">
        <v>474</v>
      </c>
      <c r="D93" s="1708">
        <v>460467.02</v>
      </c>
      <c r="E93" s="1708">
        <v>460467.02</v>
      </c>
      <c r="F93" s="1667">
        <f t="shared" si="3"/>
        <v>100</v>
      </c>
      <c r="G93" s="1672">
        <f t="shared" si="5"/>
        <v>0</v>
      </c>
      <c r="H93" s="1650"/>
    </row>
    <row r="94" spans="2:10" ht="34.5" customHeight="1">
      <c r="B94" s="1701"/>
      <c r="C94" s="1704" t="s">
        <v>3116</v>
      </c>
      <c r="D94" s="1706">
        <f>D95+D96</f>
        <v>4128297.87</v>
      </c>
      <c r="E94" s="1706">
        <f>E95+E96</f>
        <v>4121601</v>
      </c>
      <c r="F94" s="1703">
        <f t="shared" si="3"/>
        <v>99.837781327537783</v>
      </c>
      <c r="G94" s="1665">
        <f t="shared" si="5"/>
        <v>6696.8700000001118</v>
      </c>
      <c r="H94" s="1651" t="s">
        <v>3465</v>
      </c>
      <c r="J94" s="1610"/>
    </row>
    <row r="95" spans="2:10" ht="23.45" customHeight="1">
      <c r="B95" s="1701"/>
      <c r="C95" s="1707" t="s">
        <v>511</v>
      </c>
      <c r="D95" s="1119">
        <v>3880600</v>
      </c>
      <c r="E95" s="1708">
        <v>3874304.94</v>
      </c>
      <c r="F95" s="1703">
        <f t="shared" si="3"/>
        <v>99.837781270937484</v>
      </c>
      <c r="G95" s="1709">
        <f t="shared" si="5"/>
        <v>6295.0600000000559</v>
      </c>
      <c r="H95" s="1650"/>
    </row>
    <row r="96" spans="2:10" ht="22.9" customHeight="1">
      <c r="B96" s="1701"/>
      <c r="C96" s="1707" t="s">
        <v>474</v>
      </c>
      <c r="D96" s="1121">
        <v>247697.87</v>
      </c>
      <c r="E96" s="1708">
        <v>247296.06</v>
      </c>
      <c r="F96" s="1703">
        <f t="shared" si="3"/>
        <v>99.837782214275805</v>
      </c>
      <c r="G96" s="1672">
        <f t="shared" si="5"/>
        <v>401.80999999999767</v>
      </c>
      <c r="H96" s="1650"/>
    </row>
    <row r="97" spans="2:8" ht="38.450000000000003" customHeight="1">
      <c r="B97" s="1710" t="s">
        <v>76</v>
      </c>
      <c r="C97" s="1711" t="s">
        <v>77</v>
      </c>
      <c r="D97" s="1659">
        <f>D98+D100+D99+D102+D103+D104</f>
        <v>46497271.020000003</v>
      </c>
      <c r="E97" s="1659">
        <f>E98+E100+E99+E102+E103+E104</f>
        <v>42649451.140000001</v>
      </c>
      <c r="F97" s="1618">
        <f t="shared" si="3"/>
        <v>91.724632875024142</v>
      </c>
      <c r="G97" s="1619">
        <f t="shared" si="5"/>
        <v>3847819.8800000027</v>
      </c>
      <c r="H97" s="1639"/>
    </row>
    <row r="98" spans="2:8" ht="46.5" customHeight="1">
      <c r="B98" s="1712"/>
      <c r="C98" s="1713" t="s">
        <v>3482</v>
      </c>
      <c r="D98" s="1622">
        <f>6000000+5927297.8</f>
        <v>11927297.800000001</v>
      </c>
      <c r="E98" s="1648">
        <v>11927297.800000001</v>
      </c>
      <c r="F98" s="1649">
        <f t="shared" si="3"/>
        <v>100</v>
      </c>
      <c r="G98" s="1623">
        <f t="shared" si="5"/>
        <v>0</v>
      </c>
      <c r="H98" s="1714">
        <v>11927.2978</v>
      </c>
    </row>
    <row r="99" spans="2:8" ht="64.5" customHeight="1">
      <c r="B99" s="1712"/>
      <c r="C99" s="1715" t="s">
        <v>3483</v>
      </c>
      <c r="D99" s="1622">
        <v>4400000</v>
      </c>
      <c r="E99" s="1657">
        <v>944664.77</v>
      </c>
      <c r="F99" s="1649"/>
      <c r="G99" s="1623">
        <f t="shared" si="5"/>
        <v>3455335.23</v>
      </c>
      <c r="H99" s="1714">
        <v>944.66476999999998</v>
      </c>
    </row>
    <row r="100" spans="2:8" ht="46.5" customHeight="1">
      <c r="B100" s="1716"/>
      <c r="C100" s="1661" t="s">
        <v>573</v>
      </c>
      <c r="D100" s="1706">
        <f>D101</f>
        <v>3950250</v>
      </c>
      <c r="E100" s="1706">
        <f>E101</f>
        <v>3950250</v>
      </c>
      <c r="F100" s="1638">
        <f t="shared" ref="F100:F111" si="6">(E100/D100)*100</f>
        <v>100</v>
      </c>
      <c r="G100" s="1665">
        <f t="shared" si="5"/>
        <v>0</v>
      </c>
      <c r="H100" s="1620"/>
    </row>
    <row r="101" spans="2:8" ht="50.25" customHeight="1">
      <c r="B101" s="1717"/>
      <c r="C101" s="1718" t="s">
        <v>215</v>
      </c>
      <c r="D101" s="1708">
        <v>3950250</v>
      </c>
      <c r="E101" s="1719">
        <v>3950250</v>
      </c>
      <c r="F101" s="1667">
        <f t="shared" si="6"/>
        <v>100</v>
      </c>
      <c r="G101" s="1672">
        <f t="shared" si="5"/>
        <v>0</v>
      </c>
      <c r="H101" s="1720" t="s">
        <v>3465</v>
      </c>
    </row>
    <row r="102" spans="2:8" ht="50.25" customHeight="1">
      <c r="B102" s="1717"/>
      <c r="C102" s="1721" t="s">
        <v>3484</v>
      </c>
      <c r="D102" s="1617">
        <v>18347957.699999999</v>
      </c>
      <c r="E102" s="1659">
        <v>18347957.699999999</v>
      </c>
      <c r="F102" s="1649">
        <f t="shared" si="6"/>
        <v>100</v>
      </c>
      <c r="G102" s="1619">
        <f t="shared" si="5"/>
        <v>0</v>
      </c>
      <c r="H102" s="1722">
        <v>18347.957699999999</v>
      </c>
    </row>
    <row r="103" spans="2:8" ht="50.25" customHeight="1">
      <c r="B103" s="1717"/>
      <c r="C103" s="1721" t="s">
        <v>2749</v>
      </c>
      <c r="D103" s="1617">
        <v>1807450.45</v>
      </c>
      <c r="E103" s="1659">
        <v>1807450.45</v>
      </c>
      <c r="F103" s="1649">
        <f t="shared" si="6"/>
        <v>100</v>
      </c>
      <c r="G103" s="1619">
        <f t="shared" si="5"/>
        <v>0</v>
      </c>
      <c r="H103" s="1722">
        <v>1807.45045</v>
      </c>
    </row>
    <row r="104" spans="2:8" ht="39.75" customHeight="1">
      <c r="B104" s="1717"/>
      <c r="C104" s="1723" t="s">
        <v>3265</v>
      </c>
      <c r="D104" s="1724">
        <f>D105+D106</f>
        <v>6064315.0700000003</v>
      </c>
      <c r="E104" s="1724">
        <f>E105+E106</f>
        <v>5671830.4199999999</v>
      </c>
      <c r="F104" s="1725">
        <f t="shared" si="6"/>
        <v>93.527964073937866</v>
      </c>
      <c r="G104" s="1726">
        <f t="shared" si="5"/>
        <v>392484.65000000037</v>
      </c>
      <c r="H104" s="1727" t="s">
        <v>3486</v>
      </c>
    </row>
    <row r="105" spans="2:8" ht="17.25" customHeight="1">
      <c r="B105" s="1717"/>
      <c r="C105" s="1728" t="s">
        <v>472</v>
      </c>
      <c r="D105" s="1729">
        <v>4026993.94</v>
      </c>
      <c r="E105" s="1730">
        <v>4026993.94</v>
      </c>
      <c r="F105" s="1725">
        <f t="shared" si="6"/>
        <v>100</v>
      </c>
      <c r="G105" s="1726"/>
      <c r="H105" s="1731"/>
    </row>
    <row r="106" spans="2:8" ht="20.25" customHeight="1">
      <c r="B106" s="1717"/>
      <c r="C106" s="1728" t="s">
        <v>474</v>
      </c>
      <c r="D106" s="1729">
        <v>2037321.13</v>
      </c>
      <c r="E106" s="1730">
        <v>1644836.48</v>
      </c>
      <c r="F106" s="1725">
        <f t="shared" si="6"/>
        <v>80.735258461683941</v>
      </c>
      <c r="G106" s="1726"/>
      <c r="H106" s="1731"/>
    </row>
    <row r="107" spans="2:8" ht="19.5">
      <c r="B107" s="1732" t="s">
        <v>129</v>
      </c>
      <c r="C107" s="1733" t="s">
        <v>130</v>
      </c>
      <c r="D107" s="1659">
        <f>D108+D109+D110+D111</f>
        <v>54796043.089999996</v>
      </c>
      <c r="E107" s="1659">
        <f>E108+E109+E110+E111</f>
        <v>53144217.329999998</v>
      </c>
      <c r="F107" s="1618">
        <f t="shared" si="6"/>
        <v>96.98550175003156</v>
      </c>
      <c r="G107" s="1619">
        <f>D107-E107</f>
        <v>1651825.7599999979</v>
      </c>
      <c r="H107" s="1639">
        <v>53144.217329999999</v>
      </c>
    </row>
    <row r="108" spans="2:8" ht="24.6" customHeight="1">
      <c r="B108" s="1734"/>
      <c r="C108" s="1685" t="s">
        <v>626</v>
      </c>
      <c r="D108" s="1657">
        <f>48788951.73+670848.08</f>
        <v>49459799.809999995</v>
      </c>
      <c r="E108" s="1648">
        <v>48145825.210000001</v>
      </c>
      <c r="F108" s="1649">
        <f t="shared" si="6"/>
        <v>97.343348325210314</v>
      </c>
      <c r="G108" s="1623">
        <f>D108-E108</f>
        <v>1313974.599999994</v>
      </c>
      <c r="H108" s="3464" t="s">
        <v>3465</v>
      </c>
    </row>
    <row r="109" spans="2:8" ht="24.6" customHeight="1">
      <c r="B109" s="1735"/>
      <c r="C109" s="1685" t="s">
        <v>627</v>
      </c>
      <c r="D109" s="1657">
        <v>585125</v>
      </c>
      <c r="E109" s="1648">
        <v>510996.86</v>
      </c>
      <c r="F109" s="1649">
        <f t="shared" si="6"/>
        <v>87.331230079042939</v>
      </c>
      <c r="G109" s="1623">
        <f>D109-E109</f>
        <v>74128.140000000014</v>
      </c>
      <c r="H109" s="3465"/>
    </row>
    <row r="110" spans="2:8" ht="24.6" customHeight="1">
      <c r="B110" s="1735"/>
      <c r="C110" s="1685" t="s">
        <v>628</v>
      </c>
      <c r="D110" s="1657">
        <v>4372818.28</v>
      </c>
      <c r="E110" s="1648">
        <v>4188352.65</v>
      </c>
      <c r="F110" s="1649">
        <f t="shared" si="6"/>
        <v>95.781539085589444</v>
      </c>
      <c r="G110" s="1623">
        <f>D110-E110</f>
        <v>184465.63000000035</v>
      </c>
      <c r="H110" s="3465"/>
    </row>
    <row r="111" spans="2:8" ht="24.6" customHeight="1">
      <c r="B111" s="1735"/>
      <c r="C111" s="1685" t="s">
        <v>629</v>
      </c>
      <c r="D111" s="1622">
        <v>378300</v>
      </c>
      <c r="E111" s="1736">
        <v>299042.61</v>
      </c>
      <c r="F111" s="1649">
        <f t="shared" si="6"/>
        <v>79.049064234734331</v>
      </c>
      <c r="G111" s="1623">
        <f>D111-E111</f>
        <v>79257.390000000014</v>
      </c>
      <c r="H111" s="3466"/>
    </row>
    <row r="112" spans="2:8">
      <c r="C112" s="1737"/>
      <c r="D112" s="1738"/>
      <c r="E112" s="1739"/>
      <c r="F112" s="1739"/>
      <c r="G112" s="1739"/>
      <c r="H112" s="1740"/>
    </row>
    <row r="113" spans="2:8">
      <c r="C113" s="1737"/>
      <c r="D113" s="1738"/>
      <c r="E113" s="1739"/>
      <c r="F113" s="1739"/>
      <c r="G113" s="1739"/>
      <c r="H113" s="1740"/>
    </row>
    <row r="114" spans="2:8">
      <c r="C114" s="1737"/>
      <c r="D114" s="1738"/>
      <c r="E114" s="1739"/>
      <c r="F114" s="1739"/>
      <c r="G114" s="1739"/>
      <c r="H114" s="1740"/>
    </row>
    <row r="115" spans="2:8">
      <c r="C115" s="1737"/>
      <c r="D115" s="1738"/>
      <c r="E115" s="1739"/>
      <c r="F115" s="1739"/>
      <c r="G115" s="1739"/>
      <c r="H115" s="1740"/>
    </row>
    <row r="116" spans="2:8">
      <c r="C116" s="1737"/>
      <c r="D116" s="1738"/>
      <c r="E116" s="1739"/>
      <c r="F116" s="1739"/>
      <c r="G116" s="1739"/>
      <c r="H116" s="1740"/>
    </row>
    <row r="117" spans="2:8">
      <c r="B117" s="1767"/>
      <c r="C117" s="1684" t="s">
        <v>5401</v>
      </c>
      <c r="D117" s="1768">
        <v>135522.91</v>
      </c>
      <c r="E117" s="1768">
        <v>135522.92000000001</v>
      </c>
      <c r="F117" s="1769">
        <v>1</v>
      </c>
      <c r="G117" s="1739"/>
      <c r="H117" s="1740"/>
    </row>
    <row r="118" spans="2:8">
      <c r="B118" s="1767"/>
      <c r="C118" s="1684" t="s">
        <v>474</v>
      </c>
      <c r="D118" s="1768">
        <v>7725.32</v>
      </c>
      <c r="E118" s="1768">
        <v>7725.32</v>
      </c>
      <c r="F118" s="1769">
        <v>1</v>
      </c>
      <c r="G118" s="1739"/>
      <c r="H118" s="1740"/>
    </row>
    <row r="119" spans="2:8">
      <c r="B119" s="1767"/>
      <c r="C119" s="1684" t="s">
        <v>5402</v>
      </c>
      <c r="D119" s="1768">
        <v>127391</v>
      </c>
      <c r="E119" s="1768">
        <v>127391</v>
      </c>
      <c r="F119" s="1769">
        <v>1</v>
      </c>
      <c r="G119" s="1739"/>
      <c r="H119" s="1740"/>
    </row>
    <row r="120" spans="2:8">
      <c r="B120" s="1767"/>
      <c r="C120" s="1684" t="s">
        <v>5403</v>
      </c>
      <c r="D120" s="1768">
        <v>0</v>
      </c>
      <c r="E120" s="1639">
        <v>0</v>
      </c>
      <c r="F120" s="1770">
        <v>0</v>
      </c>
      <c r="G120" s="1739"/>
      <c r="H120" s="1740"/>
    </row>
    <row r="121" spans="2:8">
      <c r="B121" s="1767"/>
      <c r="C121" s="1684" t="s">
        <v>5404</v>
      </c>
      <c r="D121" s="1768">
        <v>406.6</v>
      </c>
      <c r="E121" s="1639">
        <v>406.6</v>
      </c>
      <c r="F121" s="1770">
        <v>1</v>
      </c>
      <c r="G121" s="1739"/>
      <c r="H121" s="1740"/>
    </row>
    <row r="122" spans="2:8">
      <c r="C122" s="1737"/>
      <c r="D122" s="1738"/>
      <c r="E122" s="1740"/>
      <c r="F122" s="1740"/>
      <c r="G122" s="1739"/>
      <c r="H122" s="1740"/>
    </row>
    <row r="123" spans="2:8">
      <c r="C123" s="1737"/>
      <c r="D123" s="1738"/>
      <c r="E123" s="1740"/>
      <c r="F123" s="1740"/>
      <c r="G123" s="1739"/>
      <c r="H123" s="1740"/>
    </row>
    <row r="124" spans="2:8">
      <c r="C124" s="1737"/>
      <c r="D124" s="1738"/>
      <c r="E124" s="1740"/>
      <c r="F124" s="1740"/>
      <c r="G124" s="1739"/>
      <c r="H124" s="1740"/>
    </row>
    <row r="125" spans="2:8">
      <c r="C125" s="1737"/>
      <c r="D125" s="1738"/>
      <c r="E125" s="1740"/>
      <c r="F125" s="1740"/>
      <c r="G125" s="1739"/>
      <c r="H125" s="1740"/>
    </row>
    <row r="126" spans="2:8">
      <c r="C126" s="1737"/>
      <c r="D126" s="1738"/>
      <c r="E126" s="1740"/>
      <c r="F126" s="1740"/>
      <c r="G126" s="1739"/>
      <c r="H126" s="1740"/>
    </row>
    <row r="127" spans="2:8">
      <c r="C127" s="1737"/>
      <c r="D127" s="1738"/>
      <c r="E127" s="1740"/>
      <c r="F127" s="1740"/>
      <c r="G127" s="1739"/>
      <c r="H127" s="1740"/>
    </row>
    <row r="128" spans="2:8">
      <c r="C128" s="1737"/>
      <c r="D128" s="1738"/>
      <c r="E128" s="1740"/>
      <c r="F128" s="1740"/>
      <c r="G128" s="1739"/>
      <c r="H128" s="1740"/>
    </row>
    <row r="129" spans="3:8">
      <c r="C129" s="1737"/>
      <c r="D129" s="1738"/>
      <c r="E129" s="1740"/>
      <c r="F129" s="1740"/>
      <c r="G129" s="1739"/>
      <c r="H129" s="1740"/>
    </row>
    <row r="130" spans="3:8">
      <c r="C130" s="1737"/>
      <c r="D130" s="1738"/>
      <c r="E130" s="1740"/>
      <c r="F130" s="1740"/>
      <c r="G130" s="1739"/>
      <c r="H130" s="1740"/>
    </row>
    <row r="131" spans="3:8">
      <c r="C131" s="1737"/>
      <c r="D131" s="1738"/>
      <c r="E131" s="1740"/>
      <c r="F131" s="1740"/>
      <c r="G131" s="1739"/>
      <c r="H131" s="1740"/>
    </row>
    <row r="132" spans="3:8">
      <c r="C132" s="1737"/>
      <c r="D132" s="1738"/>
      <c r="E132" s="1740"/>
      <c r="F132" s="1740"/>
      <c r="G132" s="1739"/>
      <c r="H132" s="1740"/>
    </row>
    <row r="133" spans="3:8">
      <c r="C133" s="1737"/>
      <c r="D133" s="1738"/>
      <c r="E133" s="1740"/>
      <c r="F133" s="1740"/>
      <c r="G133" s="1739"/>
      <c r="H133" s="1740"/>
    </row>
    <row r="134" spans="3:8">
      <c r="C134" s="1737"/>
      <c r="D134" s="1738"/>
      <c r="E134" s="1740"/>
      <c r="F134" s="1740"/>
      <c r="G134" s="1739"/>
      <c r="H134" s="1740"/>
    </row>
    <row r="135" spans="3:8">
      <c r="C135" s="1737"/>
      <c r="D135" s="1738"/>
      <c r="E135" s="1740"/>
      <c r="F135" s="1740"/>
      <c r="G135" s="1739"/>
      <c r="H135" s="1740"/>
    </row>
    <row r="136" spans="3:8">
      <c r="C136" s="1737"/>
      <c r="D136" s="1738"/>
      <c r="E136" s="1740"/>
      <c r="F136" s="1740"/>
      <c r="G136" s="1739"/>
      <c r="H136" s="1740"/>
    </row>
    <row r="137" spans="3:8">
      <c r="C137" s="1737"/>
      <c r="D137" s="1738"/>
      <c r="E137" s="1740"/>
      <c r="F137" s="1740"/>
      <c r="G137" s="1739"/>
      <c r="H137" s="1740"/>
    </row>
    <row r="138" spans="3:8">
      <c r="C138" s="1737"/>
      <c r="D138" s="1738"/>
      <c r="E138" s="1740"/>
      <c r="F138" s="1740"/>
      <c r="G138" s="1739"/>
      <c r="H138" s="1740"/>
    </row>
    <row r="139" spans="3:8">
      <c r="C139" s="1737"/>
      <c r="D139" s="1738"/>
      <c r="E139" s="1740"/>
      <c r="F139" s="1740"/>
      <c r="G139" s="1739"/>
      <c r="H139" s="1740"/>
    </row>
    <row r="140" spans="3:8">
      <c r="C140" s="1737"/>
      <c r="D140" s="1738"/>
      <c r="E140" s="1740"/>
      <c r="F140" s="1740"/>
      <c r="G140" s="1739"/>
      <c r="H140" s="1740"/>
    </row>
    <row r="141" spans="3:8">
      <c r="C141" s="1737"/>
      <c r="D141" s="1738"/>
      <c r="E141" s="1740"/>
      <c r="F141" s="1740"/>
      <c r="G141" s="1739"/>
      <c r="H141" s="1740"/>
    </row>
    <row r="142" spans="3:8">
      <c r="C142" s="1737"/>
      <c r="D142" s="1738"/>
      <c r="E142" s="1740"/>
      <c r="F142" s="1740"/>
      <c r="G142" s="1739"/>
      <c r="H142" s="1740"/>
    </row>
    <row r="143" spans="3:8">
      <c r="C143" s="1737"/>
      <c r="D143" s="1738"/>
      <c r="E143" s="1740"/>
      <c r="F143" s="1740"/>
      <c r="G143" s="1739"/>
      <c r="H143" s="1740"/>
    </row>
    <row r="144" spans="3:8">
      <c r="C144" s="1737"/>
      <c r="D144" s="1738"/>
      <c r="E144" s="1740"/>
      <c r="F144" s="1740"/>
      <c r="G144" s="1739"/>
      <c r="H144" s="1740"/>
    </row>
    <row r="145" spans="3:8">
      <c r="C145" s="1737"/>
      <c r="D145" s="1738"/>
      <c r="E145" s="1740"/>
      <c r="F145" s="1740"/>
      <c r="G145" s="1739"/>
      <c r="H145" s="1740"/>
    </row>
    <row r="146" spans="3:8">
      <c r="C146" s="1737"/>
      <c r="D146" s="1738"/>
      <c r="E146" s="1740"/>
      <c r="F146" s="1740"/>
      <c r="G146" s="1739"/>
      <c r="H146" s="1740"/>
    </row>
    <row r="147" spans="3:8">
      <c r="C147" s="1737"/>
      <c r="D147" s="1738"/>
      <c r="E147" s="1740"/>
      <c r="F147" s="1740"/>
      <c r="G147" s="1739"/>
      <c r="H147" s="1740"/>
    </row>
    <row r="148" spans="3:8">
      <c r="C148" s="1737"/>
      <c r="D148" s="1738"/>
      <c r="E148" s="1740"/>
      <c r="F148" s="1740"/>
      <c r="G148" s="1739"/>
      <c r="H148" s="1740"/>
    </row>
    <row r="149" spans="3:8">
      <c r="C149" s="1737"/>
      <c r="D149" s="1738"/>
      <c r="E149" s="1740"/>
      <c r="F149" s="1740"/>
      <c r="G149" s="1739"/>
      <c r="H149" s="1740"/>
    </row>
    <row r="150" spans="3:8">
      <c r="C150" s="1737"/>
      <c r="D150" s="1738"/>
      <c r="E150" s="1740"/>
      <c r="F150" s="1740"/>
      <c r="G150" s="1739"/>
      <c r="H150" s="1740"/>
    </row>
    <row r="151" spans="3:8">
      <c r="C151" s="1737"/>
      <c r="D151" s="1738"/>
      <c r="E151" s="1740"/>
      <c r="F151" s="1740"/>
      <c r="G151" s="1739"/>
      <c r="H151" s="1740"/>
    </row>
    <row r="152" spans="3:8">
      <c r="C152" s="1737"/>
      <c r="D152" s="1738"/>
      <c r="E152" s="1740"/>
      <c r="F152" s="1740"/>
      <c r="G152" s="1739"/>
      <c r="H152" s="1740"/>
    </row>
    <row r="153" spans="3:8">
      <c r="C153" s="1737"/>
      <c r="D153" s="1738"/>
      <c r="E153" s="1740"/>
      <c r="F153" s="1740"/>
      <c r="G153" s="1739"/>
      <c r="H153" s="1740"/>
    </row>
    <row r="154" spans="3:8">
      <c r="C154" s="1737"/>
      <c r="D154" s="1738"/>
      <c r="E154" s="1740"/>
      <c r="F154" s="1740"/>
      <c r="G154" s="1739"/>
      <c r="H154" s="1740"/>
    </row>
    <row r="155" spans="3:8">
      <c r="C155" s="1737"/>
      <c r="D155" s="1738"/>
      <c r="E155" s="1740"/>
      <c r="F155" s="1740"/>
      <c r="G155" s="1739"/>
      <c r="H155" s="1740"/>
    </row>
    <row r="156" spans="3:8">
      <c r="C156" s="1737"/>
      <c r="D156" s="1738"/>
      <c r="E156" s="1740"/>
      <c r="F156" s="1740"/>
      <c r="G156" s="1739"/>
      <c r="H156" s="1740"/>
    </row>
    <row r="157" spans="3:8">
      <c r="C157" s="1737"/>
      <c r="D157" s="1738"/>
      <c r="E157" s="1740"/>
      <c r="F157" s="1740"/>
      <c r="G157" s="1739"/>
      <c r="H157" s="1740"/>
    </row>
    <row r="158" spans="3:8">
      <c r="C158" s="1737"/>
      <c r="D158" s="1738"/>
      <c r="E158" s="1740"/>
      <c r="F158" s="1740"/>
      <c r="G158" s="1739"/>
      <c r="H158" s="1740"/>
    </row>
    <row r="159" spans="3:8">
      <c r="C159" s="1737"/>
      <c r="D159" s="1738"/>
      <c r="E159" s="1740"/>
      <c r="F159" s="1740"/>
      <c r="G159" s="1739"/>
      <c r="H159" s="1740"/>
    </row>
    <row r="160" spans="3:8">
      <c r="C160" s="1737"/>
      <c r="D160" s="1738"/>
      <c r="E160" s="1740"/>
      <c r="F160" s="1740"/>
      <c r="G160" s="1739"/>
    </row>
    <row r="161" spans="3:7">
      <c r="C161" s="1737"/>
      <c r="D161" s="1738"/>
      <c r="E161" s="1740"/>
      <c r="F161" s="1740"/>
      <c r="G161" s="1739"/>
    </row>
    <row r="162" spans="3:7">
      <c r="C162" s="1737"/>
      <c r="D162" s="1739"/>
      <c r="E162" s="1740"/>
      <c r="F162" s="1740"/>
      <c r="G162" s="1739"/>
    </row>
    <row r="163" spans="3:7">
      <c r="C163" s="1737"/>
      <c r="D163" s="1739"/>
      <c r="E163" s="1740"/>
      <c r="F163" s="1740"/>
      <c r="G163" s="1739"/>
    </row>
    <row r="164" spans="3:7">
      <c r="C164" s="1737"/>
      <c r="D164" s="1739"/>
      <c r="E164" s="1740"/>
      <c r="F164" s="1740"/>
      <c r="G164" s="1739"/>
    </row>
    <row r="165" spans="3:7">
      <c r="C165" s="1737"/>
      <c r="D165" s="1739"/>
      <c r="E165" s="1740"/>
      <c r="F165" s="1740"/>
      <c r="G165" s="1739"/>
    </row>
    <row r="166" spans="3:7">
      <c r="C166" s="1737"/>
      <c r="D166" s="1739"/>
      <c r="E166" s="1740"/>
      <c r="F166" s="1740"/>
      <c r="G166" s="1739"/>
    </row>
    <row r="167" spans="3:7">
      <c r="C167" s="1737"/>
      <c r="D167" s="1739"/>
      <c r="E167" s="1740"/>
      <c r="F167" s="1740"/>
      <c r="G167" s="1739"/>
    </row>
    <row r="168" spans="3:7">
      <c r="C168" s="1737"/>
      <c r="D168" s="1739"/>
      <c r="E168" s="1740"/>
      <c r="F168" s="1740"/>
      <c r="G168" s="1739"/>
    </row>
    <row r="169" spans="3:7">
      <c r="C169" s="1737"/>
      <c r="D169" s="1739"/>
      <c r="E169" s="1740"/>
      <c r="F169" s="1740"/>
      <c r="G169" s="1739"/>
    </row>
    <row r="170" spans="3:7">
      <c r="C170" s="1737"/>
      <c r="D170" s="1739"/>
      <c r="E170" s="1740"/>
      <c r="F170" s="1740"/>
      <c r="G170" s="1739"/>
    </row>
    <row r="171" spans="3:7">
      <c r="C171" s="1737"/>
      <c r="D171" s="1739"/>
      <c r="E171" s="1740"/>
      <c r="F171" s="1740"/>
      <c r="G171" s="1739"/>
    </row>
    <row r="172" spans="3:7">
      <c r="C172" s="1737"/>
      <c r="D172" s="1739"/>
      <c r="E172" s="1740"/>
      <c r="F172" s="1740"/>
      <c r="G172" s="1739"/>
    </row>
    <row r="173" spans="3:7">
      <c r="C173" s="1737"/>
      <c r="D173" s="1739"/>
      <c r="E173" s="1740"/>
      <c r="F173" s="1740"/>
      <c r="G173" s="1739"/>
    </row>
    <row r="174" spans="3:7">
      <c r="C174" s="1737"/>
      <c r="D174" s="1739"/>
      <c r="E174" s="1740"/>
      <c r="F174" s="1740"/>
      <c r="G174" s="1739"/>
    </row>
    <row r="175" spans="3:7">
      <c r="C175" s="1737"/>
      <c r="D175" s="1739"/>
      <c r="E175" s="1740"/>
      <c r="F175" s="1740"/>
      <c r="G175" s="1739"/>
    </row>
    <row r="176" spans="3:7">
      <c r="C176" s="1737"/>
      <c r="D176" s="1739"/>
      <c r="E176" s="1740"/>
      <c r="F176" s="1740"/>
      <c r="G176" s="1739"/>
    </row>
    <row r="177" spans="3:7">
      <c r="C177" s="1737"/>
      <c r="D177" s="1739"/>
      <c r="E177" s="1740"/>
      <c r="F177" s="1740"/>
      <c r="G177" s="1739"/>
    </row>
    <row r="178" spans="3:7">
      <c r="C178" s="1737"/>
      <c r="D178" s="1739"/>
      <c r="E178" s="1740"/>
      <c r="F178" s="1740"/>
      <c r="G178" s="1739"/>
    </row>
    <row r="179" spans="3:7">
      <c r="C179" s="1737"/>
      <c r="D179" s="1739"/>
      <c r="E179" s="1740"/>
      <c r="F179" s="1740"/>
      <c r="G179" s="1739"/>
    </row>
    <row r="180" spans="3:7">
      <c r="C180" s="1737"/>
      <c r="D180" s="1739"/>
      <c r="E180" s="1740"/>
      <c r="F180" s="1740"/>
      <c r="G180" s="1739"/>
    </row>
    <row r="181" spans="3:7">
      <c r="C181" s="1737"/>
      <c r="D181" s="1739"/>
      <c r="E181" s="1740"/>
      <c r="F181" s="1740"/>
      <c r="G181" s="1739"/>
    </row>
    <row r="182" spans="3:7">
      <c r="C182" s="1737"/>
      <c r="D182" s="1739"/>
      <c r="E182" s="1740"/>
      <c r="F182" s="1740"/>
      <c r="G182" s="1739"/>
    </row>
    <row r="183" spans="3:7">
      <c r="C183" s="1737"/>
      <c r="D183" s="1739"/>
      <c r="E183" s="1740"/>
      <c r="F183" s="1740"/>
      <c r="G183" s="1739"/>
    </row>
    <row r="184" spans="3:7">
      <c r="C184" s="1737"/>
      <c r="D184" s="1739"/>
      <c r="E184" s="1740"/>
      <c r="F184" s="1740"/>
      <c r="G184" s="1739"/>
    </row>
    <row r="185" spans="3:7">
      <c r="C185" s="1737"/>
      <c r="D185" s="1739"/>
      <c r="E185" s="1740"/>
      <c r="F185" s="1740"/>
      <c r="G185" s="1739"/>
    </row>
    <row r="186" spans="3:7">
      <c r="C186" s="1737"/>
      <c r="D186" s="1739"/>
      <c r="E186" s="1740"/>
      <c r="F186" s="1740"/>
      <c r="G186" s="1739"/>
    </row>
    <row r="187" spans="3:7">
      <c r="C187" s="1737"/>
      <c r="D187" s="1739"/>
      <c r="E187" s="1740"/>
      <c r="F187" s="1740"/>
      <c r="G187" s="1739"/>
    </row>
    <row r="188" spans="3:7">
      <c r="C188" s="1737"/>
      <c r="D188" s="1739"/>
      <c r="E188" s="1740"/>
      <c r="F188" s="1740"/>
      <c r="G188" s="1739"/>
    </row>
    <row r="189" spans="3:7">
      <c r="C189" s="1737"/>
      <c r="D189" s="1739"/>
      <c r="E189" s="1740"/>
      <c r="F189" s="1740"/>
      <c r="G189" s="1739"/>
    </row>
    <row r="190" spans="3:7">
      <c r="C190" s="1737"/>
      <c r="D190" s="1739"/>
      <c r="E190" s="1740"/>
      <c r="F190" s="1740"/>
      <c r="G190" s="1739"/>
    </row>
    <row r="191" spans="3:7">
      <c r="C191" s="1737"/>
      <c r="D191" s="1739"/>
      <c r="E191" s="1740"/>
      <c r="F191" s="1740"/>
      <c r="G191" s="1739"/>
    </row>
    <row r="192" spans="3:7">
      <c r="C192" s="1737"/>
      <c r="D192" s="1739"/>
      <c r="E192" s="1740"/>
      <c r="F192" s="1740"/>
      <c r="G192" s="1739"/>
    </row>
    <row r="193" spans="3:7">
      <c r="C193" s="1737"/>
      <c r="D193" s="1739"/>
      <c r="E193" s="1740"/>
      <c r="F193" s="1740"/>
      <c r="G193" s="1739"/>
    </row>
    <row r="194" spans="3:7">
      <c r="C194" s="1737"/>
      <c r="D194" s="1739"/>
      <c r="E194" s="1740"/>
      <c r="F194" s="1740"/>
      <c r="G194" s="1739"/>
    </row>
    <row r="195" spans="3:7">
      <c r="C195" s="1737"/>
      <c r="D195" s="1739"/>
      <c r="E195" s="1740"/>
      <c r="F195" s="1740"/>
      <c r="G195" s="1739"/>
    </row>
    <row r="196" spans="3:7">
      <c r="C196" s="1737"/>
      <c r="D196" s="1739"/>
      <c r="E196" s="1740"/>
      <c r="F196" s="1740"/>
      <c r="G196" s="1739"/>
    </row>
    <row r="197" spans="3:7">
      <c r="C197" s="1737"/>
      <c r="D197" s="1739"/>
      <c r="E197" s="1740"/>
      <c r="F197" s="1740"/>
      <c r="G197" s="1739"/>
    </row>
    <row r="198" spans="3:7">
      <c r="C198" s="1737"/>
      <c r="D198" s="1739"/>
      <c r="E198" s="1740"/>
      <c r="F198" s="1740"/>
      <c r="G198" s="1739"/>
    </row>
    <row r="199" spans="3:7">
      <c r="C199" s="1737"/>
      <c r="D199" s="1739"/>
      <c r="E199" s="1740"/>
      <c r="F199" s="1740"/>
      <c r="G199" s="1739"/>
    </row>
    <row r="200" spans="3:7">
      <c r="C200" s="1737"/>
      <c r="D200" s="1739"/>
      <c r="E200" s="1740"/>
      <c r="F200" s="1740"/>
      <c r="G200" s="1739"/>
    </row>
    <row r="201" spans="3:7">
      <c r="C201" s="1737"/>
      <c r="D201" s="1739"/>
      <c r="E201" s="1740"/>
      <c r="F201" s="1740"/>
      <c r="G201" s="1739"/>
    </row>
    <row r="202" spans="3:7">
      <c r="C202" s="1737"/>
      <c r="D202" s="1739"/>
      <c r="E202" s="1740"/>
      <c r="F202" s="1740"/>
      <c r="G202" s="1739"/>
    </row>
    <row r="203" spans="3:7">
      <c r="C203" s="1737"/>
      <c r="D203" s="1739"/>
      <c r="E203" s="1740"/>
      <c r="F203" s="1740"/>
      <c r="G203" s="1739"/>
    </row>
    <row r="204" spans="3:7">
      <c r="C204" s="1737"/>
      <c r="D204" s="1739"/>
      <c r="E204" s="1740"/>
      <c r="F204" s="1740"/>
      <c r="G204" s="1739"/>
    </row>
    <row r="205" spans="3:7">
      <c r="C205" s="1737"/>
      <c r="D205" s="1739"/>
      <c r="E205" s="1740"/>
      <c r="F205" s="1740"/>
      <c r="G205" s="1739"/>
    </row>
    <row r="206" spans="3:7">
      <c r="C206" s="1737"/>
      <c r="D206" s="1739"/>
      <c r="E206" s="1740"/>
      <c r="F206" s="1740"/>
      <c r="G206" s="1739"/>
    </row>
    <row r="207" spans="3:7">
      <c r="C207" s="1737"/>
      <c r="D207" s="1739"/>
      <c r="E207" s="1740"/>
      <c r="F207" s="1740"/>
      <c r="G207" s="1739"/>
    </row>
    <row r="208" spans="3:7">
      <c r="C208" s="1737"/>
      <c r="D208" s="1739"/>
      <c r="E208" s="1740"/>
      <c r="F208" s="1740"/>
      <c r="G208" s="1739"/>
    </row>
    <row r="209" spans="3:7">
      <c r="C209" s="1737"/>
      <c r="D209" s="1739"/>
      <c r="E209" s="1740"/>
      <c r="F209" s="1740"/>
      <c r="G209" s="1739"/>
    </row>
    <row r="210" spans="3:7">
      <c r="C210" s="1737"/>
      <c r="D210" s="1739"/>
      <c r="E210" s="1740"/>
      <c r="F210" s="1740"/>
      <c r="G210" s="1739"/>
    </row>
    <row r="211" spans="3:7">
      <c r="C211" s="1737"/>
      <c r="D211" s="1739"/>
      <c r="E211" s="1740"/>
      <c r="F211" s="1740"/>
      <c r="G211" s="1739"/>
    </row>
    <row r="212" spans="3:7">
      <c r="C212" s="1737"/>
      <c r="D212" s="1739"/>
      <c r="E212" s="1740"/>
      <c r="F212" s="1740"/>
      <c r="G212" s="1739"/>
    </row>
    <row r="213" spans="3:7">
      <c r="C213" s="1737"/>
      <c r="D213" s="1739"/>
      <c r="E213" s="1740"/>
      <c r="F213" s="1740"/>
      <c r="G213" s="1739"/>
    </row>
    <row r="214" spans="3:7">
      <c r="C214" s="1737"/>
      <c r="D214" s="1739"/>
      <c r="E214" s="1740"/>
      <c r="F214" s="1740"/>
      <c r="G214" s="1739"/>
    </row>
    <row r="215" spans="3:7">
      <c r="C215" s="1737"/>
      <c r="D215" s="1739"/>
      <c r="E215" s="1740"/>
      <c r="F215" s="1740"/>
      <c r="G215" s="1739"/>
    </row>
    <row r="216" spans="3:7">
      <c r="C216" s="1737"/>
      <c r="D216" s="1739"/>
      <c r="E216" s="1740"/>
      <c r="F216" s="1740"/>
      <c r="G216" s="1739"/>
    </row>
    <row r="217" spans="3:7">
      <c r="C217" s="1737"/>
      <c r="D217" s="1739"/>
      <c r="E217" s="1740"/>
      <c r="F217" s="1740"/>
      <c r="G217" s="1739"/>
    </row>
    <row r="218" spans="3:7">
      <c r="C218" s="1737"/>
      <c r="D218" s="1739"/>
      <c r="E218" s="1740"/>
      <c r="F218" s="1740"/>
      <c r="G218" s="1739"/>
    </row>
    <row r="219" spans="3:7">
      <c r="C219" s="1737"/>
      <c r="D219" s="1739"/>
      <c r="E219" s="1740"/>
      <c r="F219" s="1740"/>
      <c r="G219" s="1739"/>
    </row>
    <row r="220" spans="3:7">
      <c r="C220" s="1737"/>
      <c r="D220" s="1739"/>
      <c r="E220" s="1740"/>
      <c r="F220" s="1740"/>
      <c r="G220" s="1739"/>
    </row>
    <row r="221" spans="3:7">
      <c r="C221" s="1737"/>
      <c r="D221" s="1739"/>
      <c r="E221" s="1740"/>
      <c r="F221" s="1740"/>
      <c r="G221" s="1739"/>
    </row>
    <row r="222" spans="3:7">
      <c r="C222" s="1737"/>
      <c r="D222" s="1739"/>
      <c r="E222" s="1740"/>
      <c r="F222" s="1740"/>
      <c r="G222" s="1739"/>
    </row>
    <row r="223" spans="3:7">
      <c r="C223" s="1737"/>
      <c r="D223" s="1739"/>
      <c r="E223" s="1740"/>
      <c r="F223" s="1740"/>
      <c r="G223" s="1739"/>
    </row>
    <row r="224" spans="3:7">
      <c r="C224" s="1737"/>
      <c r="D224" s="1739"/>
      <c r="E224" s="1740"/>
      <c r="F224" s="1740"/>
      <c r="G224" s="1739"/>
    </row>
    <row r="225" spans="3:7">
      <c r="C225" s="1741"/>
      <c r="D225" s="1742"/>
      <c r="G225" s="1742"/>
    </row>
    <row r="226" spans="3:7">
      <c r="C226" s="1741"/>
      <c r="D226" s="1742"/>
      <c r="G226" s="1742"/>
    </row>
    <row r="227" spans="3:7">
      <c r="C227" s="1741"/>
      <c r="D227" s="1742"/>
      <c r="G227" s="1742"/>
    </row>
    <row r="228" spans="3:7">
      <c r="C228" s="1741"/>
      <c r="D228" s="1742"/>
      <c r="G228" s="1742"/>
    </row>
    <row r="229" spans="3:7">
      <c r="C229" s="1741"/>
      <c r="D229" s="1742"/>
      <c r="G229" s="1742"/>
    </row>
    <row r="230" spans="3:7">
      <c r="C230" s="1741"/>
      <c r="D230" s="1742"/>
      <c r="G230" s="1742"/>
    </row>
    <row r="231" spans="3:7">
      <c r="C231" s="1741"/>
      <c r="D231" s="1742"/>
      <c r="G231" s="1742"/>
    </row>
    <row r="232" spans="3:7">
      <c r="C232" s="1741"/>
      <c r="D232" s="1742"/>
      <c r="G232" s="1742"/>
    </row>
    <row r="233" spans="3:7">
      <c r="C233" s="1741"/>
      <c r="D233" s="1742"/>
      <c r="G233" s="1742"/>
    </row>
    <row r="234" spans="3:7">
      <c r="C234" s="1741"/>
      <c r="D234" s="1742"/>
      <c r="G234" s="1742"/>
    </row>
    <row r="235" spans="3:7">
      <c r="C235" s="1741"/>
      <c r="D235" s="1742"/>
      <c r="G235" s="1742"/>
    </row>
    <row r="236" spans="3:7">
      <c r="C236" s="1741"/>
      <c r="D236" s="1742"/>
      <c r="G236" s="1742"/>
    </row>
    <row r="237" spans="3:7">
      <c r="C237" s="1741"/>
      <c r="D237" s="1742"/>
      <c r="G237" s="1742"/>
    </row>
    <row r="238" spans="3:7">
      <c r="C238" s="1741"/>
      <c r="D238" s="1742"/>
      <c r="G238" s="1742"/>
    </row>
    <row r="239" spans="3:7">
      <c r="C239" s="1741"/>
      <c r="D239" s="1742"/>
      <c r="G239" s="1742"/>
    </row>
    <row r="240" spans="3:7">
      <c r="C240" s="1741"/>
      <c r="D240" s="1742"/>
      <c r="G240" s="1742"/>
    </row>
    <row r="241" spans="3:7">
      <c r="C241" s="1741"/>
      <c r="D241" s="1742"/>
      <c r="G241" s="1742"/>
    </row>
    <row r="242" spans="3:7">
      <c r="C242" s="1741"/>
      <c r="D242" s="1742"/>
      <c r="G242" s="1742"/>
    </row>
    <row r="243" spans="3:7">
      <c r="C243" s="1741"/>
      <c r="D243" s="1742"/>
      <c r="G243" s="1742"/>
    </row>
    <row r="244" spans="3:7">
      <c r="C244" s="1741"/>
      <c r="D244" s="1742"/>
      <c r="G244" s="1742"/>
    </row>
    <row r="245" spans="3:7">
      <c r="C245" s="1741"/>
      <c r="D245" s="1742"/>
      <c r="G245" s="1742"/>
    </row>
    <row r="246" spans="3:7">
      <c r="C246" s="1741"/>
      <c r="D246" s="1742"/>
      <c r="G246" s="1742"/>
    </row>
    <row r="247" spans="3:7">
      <c r="C247" s="1741"/>
      <c r="D247" s="1742"/>
      <c r="G247" s="1742"/>
    </row>
    <row r="248" spans="3:7">
      <c r="C248" s="1741"/>
      <c r="D248" s="1742"/>
      <c r="G248" s="1742"/>
    </row>
    <row r="249" spans="3:7">
      <c r="C249" s="1741"/>
      <c r="D249" s="1742"/>
      <c r="G249" s="1742"/>
    </row>
    <row r="250" spans="3:7">
      <c r="C250" s="1741"/>
      <c r="D250" s="1742"/>
      <c r="G250" s="1742"/>
    </row>
    <row r="251" spans="3:7">
      <c r="C251" s="1741"/>
      <c r="D251" s="1742"/>
      <c r="G251" s="1742"/>
    </row>
    <row r="252" spans="3:7">
      <c r="C252" s="1741"/>
      <c r="D252" s="1742"/>
      <c r="G252" s="1742"/>
    </row>
    <row r="253" spans="3:7">
      <c r="C253" s="1741"/>
      <c r="D253" s="1742"/>
      <c r="G253" s="1742"/>
    </row>
    <row r="254" spans="3:7">
      <c r="C254" s="1741"/>
      <c r="D254" s="1742"/>
      <c r="G254" s="1742"/>
    </row>
    <row r="255" spans="3:7">
      <c r="C255" s="1741"/>
      <c r="D255" s="1742"/>
      <c r="G255" s="1742"/>
    </row>
    <row r="256" spans="3:7">
      <c r="C256" s="1741"/>
      <c r="D256" s="1742"/>
      <c r="G256" s="1742"/>
    </row>
    <row r="257" spans="3:7">
      <c r="C257" s="1741"/>
      <c r="D257" s="1742"/>
      <c r="G257" s="1742"/>
    </row>
    <row r="258" spans="3:7">
      <c r="C258" s="1741"/>
      <c r="D258" s="1742"/>
      <c r="G258" s="1742"/>
    </row>
    <row r="259" spans="3:7">
      <c r="C259" s="1741"/>
      <c r="D259" s="1742"/>
      <c r="G259" s="1742"/>
    </row>
    <row r="260" spans="3:7">
      <c r="C260" s="1741"/>
      <c r="D260" s="1742"/>
      <c r="G260" s="1742"/>
    </row>
    <row r="261" spans="3:7">
      <c r="C261" s="1741"/>
      <c r="D261" s="1742"/>
      <c r="G261" s="1742"/>
    </row>
    <row r="262" spans="3:7">
      <c r="C262" s="1741"/>
      <c r="D262" s="1742"/>
      <c r="G262" s="1742"/>
    </row>
    <row r="263" spans="3:7">
      <c r="C263" s="1741"/>
      <c r="D263" s="1742"/>
      <c r="G263" s="1742"/>
    </row>
    <row r="264" spans="3:7">
      <c r="C264" s="1741"/>
      <c r="D264" s="1742"/>
      <c r="G264" s="1742"/>
    </row>
    <row r="265" spans="3:7">
      <c r="C265" s="1741"/>
      <c r="D265" s="1742"/>
      <c r="G265" s="1742"/>
    </row>
    <row r="266" spans="3:7">
      <c r="C266" s="1741"/>
      <c r="D266" s="1742"/>
      <c r="G266" s="1742"/>
    </row>
    <row r="267" spans="3:7">
      <c r="C267" s="1741"/>
      <c r="D267" s="1742"/>
      <c r="G267" s="1742"/>
    </row>
    <row r="268" spans="3:7">
      <c r="C268" s="1741"/>
      <c r="D268" s="1742"/>
      <c r="G268" s="1742"/>
    </row>
    <row r="269" spans="3:7">
      <c r="C269" s="1741"/>
      <c r="D269" s="1742"/>
      <c r="G269" s="1742"/>
    </row>
    <row r="270" spans="3:7">
      <c r="C270" s="1741"/>
      <c r="D270" s="1742"/>
      <c r="G270" s="1742"/>
    </row>
    <row r="271" spans="3:7">
      <c r="C271" s="1741"/>
      <c r="D271" s="1742"/>
      <c r="G271" s="1742"/>
    </row>
    <row r="272" spans="3:7">
      <c r="D272" s="1742"/>
      <c r="G272" s="1742"/>
    </row>
    <row r="273" spans="4:7">
      <c r="D273" s="1742"/>
      <c r="G273" s="1742"/>
    </row>
    <row r="274" spans="4:7">
      <c r="D274" s="1742"/>
      <c r="G274" s="1742"/>
    </row>
    <row r="275" spans="4:7">
      <c r="D275" s="1742"/>
      <c r="G275" s="1742"/>
    </row>
    <row r="276" spans="4:7">
      <c r="D276" s="1742"/>
    </row>
    <row r="277" spans="4:7">
      <c r="D277" s="1742"/>
    </row>
    <row r="278" spans="4:7">
      <c r="D278" s="1742"/>
    </row>
    <row r="279" spans="4:7">
      <c r="D279" s="1742"/>
    </row>
    <row r="280" spans="4:7">
      <c r="D280" s="1742"/>
    </row>
    <row r="281" spans="4:7">
      <c r="D281" s="1742"/>
    </row>
    <row r="282" spans="4:7">
      <c r="D282" s="1742"/>
    </row>
    <row r="283" spans="4:7">
      <c r="D283" s="1742"/>
    </row>
    <row r="284" spans="4:7">
      <c r="D284" s="1742"/>
    </row>
    <row r="285" spans="4:7">
      <c r="D285" s="1742"/>
    </row>
    <row r="286" spans="4:7">
      <c r="D286" s="1742"/>
    </row>
    <row r="287" spans="4:7">
      <c r="D287" s="1742"/>
    </row>
    <row r="288" spans="4:7">
      <c r="D288" s="1742"/>
    </row>
    <row r="289" spans="4:4">
      <c r="D289" s="1742"/>
    </row>
    <row r="290" spans="4:4">
      <c r="D290" s="1742"/>
    </row>
    <row r="291" spans="4:4">
      <c r="D291" s="1742"/>
    </row>
    <row r="292" spans="4:4">
      <c r="D292" s="1742"/>
    </row>
    <row r="293" spans="4:4">
      <c r="D293" s="1742"/>
    </row>
    <row r="294" spans="4:4">
      <c r="D294" s="1742"/>
    </row>
    <row r="295" spans="4:4">
      <c r="D295" s="1742"/>
    </row>
    <row r="296" spans="4:4">
      <c r="D296" s="1742"/>
    </row>
    <row r="297" spans="4:4">
      <c r="D297" s="1742"/>
    </row>
    <row r="298" spans="4:4">
      <c r="D298" s="1742"/>
    </row>
    <row r="299" spans="4:4">
      <c r="D299" s="1742"/>
    </row>
    <row r="300" spans="4:4">
      <c r="D300" s="1742"/>
    </row>
    <row r="301" spans="4:4">
      <c r="D301" s="1742"/>
    </row>
    <row r="302" spans="4:4">
      <c r="D302" s="1742"/>
    </row>
    <row r="303" spans="4:4">
      <c r="D303" s="1742"/>
    </row>
    <row r="304" spans="4:4">
      <c r="D304" s="1742"/>
    </row>
    <row r="305" spans="4:4">
      <c r="D305" s="1742"/>
    </row>
    <row r="306" spans="4:4">
      <c r="D306" s="1742"/>
    </row>
    <row r="307" spans="4:4">
      <c r="D307" s="1742"/>
    </row>
    <row r="308" spans="4:4">
      <c r="D308" s="1742"/>
    </row>
  </sheetData>
  <mergeCells count="10">
    <mergeCell ref="C1:G1"/>
    <mergeCell ref="B4:B5"/>
    <mergeCell ref="C4:C5"/>
    <mergeCell ref="F4:F5"/>
    <mergeCell ref="G4:G5"/>
    <mergeCell ref="B7:C7"/>
    <mergeCell ref="B12:C12"/>
    <mergeCell ref="B68:B69"/>
    <mergeCell ref="H108:H111"/>
    <mergeCell ref="H4:H5"/>
  </mergeCells>
  <pageMargins left="0.59055118110236227" right="0" top="0" bottom="0" header="0.31496062992125984" footer="0.31496062992125984"/>
  <pageSetup paperSize="9" scale="45" fitToHeight="0" orientation="landscape" r:id="rId1"/>
  <headerFooter alignWithMargins="0"/>
  <rowBreaks count="3" manualBreakCount="3">
    <brk id="31" min="1" max="7" man="1"/>
    <brk id="66" min="1" max="7" man="1"/>
    <brk id="96" min="1" max="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78"/>
  <sheetViews>
    <sheetView showGridLines="0" zoomScaleNormal="100" workbookViewId="0">
      <pane ySplit="5" topLeftCell="A77" activePane="bottomLeft" state="frozen"/>
      <selection pane="bottomLeft" activeCell="C75" sqref="C75"/>
    </sheetView>
  </sheetViews>
  <sheetFormatPr defaultRowHeight="15" outlineLevelRow="5"/>
  <cols>
    <col min="1" max="1" width="6.7109375" style="830" customWidth="1"/>
    <col min="2" max="2" width="7.5703125" style="830" customWidth="1"/>
    <col min="3" max="3" width="19" style="830" customWidth="1"/>
    <col min="4" max="4" width="6.7109375" style="830" customWidth="1"/>
    <col min="5" max="6" width="10.7109375" style="830" customWidth="1"/>
    <col min="7" max="7" width="40.5703125" style="830" customWidth="1"/>
    <col min="8" max="8" width="10.7109375" style="830" customWidth="1"/>
    <col min="9" max="10" width="17.7109375" style="830" hidden="1" customWidth="1"/>
    <col min="11" max="11" width="17.7109375" style="830" customWidth="1"/>
    <col min="12" max="13" width="17.7109375" style="830" hidden="1" customWidth="1"/>
    <col min="14" max="17" width="17.7109375" style="830" customWidth="1"/>
    <col min="18" max="18" width="13.5703125" style="830" bestFit="1" customWidth="1"/>
    <col min="19" max="16384" width="9.140625" style="830"/>
  </cols>
  <sheetData>
    <row r="1" spans="1:17" ht="15.95" customHeight="1">
      <c r="A1" s="3477" t="s">
        <v>3605</v>
      </c>
      <c r="B1" s="3478"/>
      <c r="C1" s="3478"/>
      <c r="D1" s="3478"/>
      <c r="E1" s="3478"/>
      <c r="F1" s="3478"/>
      <c r="G1" s="3478"/>
      <c r="H1" s="3478"/>
      <c r="I1" s="3478"/>
      <c r="J1" s="3478"/>
      <c r="K1" s="3478"/>
      <c r="L1" s="3478"/>
      <c r="M1" s="3478"/>
      <c r="N1" s="3478"/>
      <c r="O1" s="3478"/>
      <c r="P1" s="3478"/>
      <c r="Q1" s="3478"/>
    </row>
    <row r="2" spans="1:17" ht="15.95" customHeight="1">
      <c r="A2" s="3477" t="s">
        <v>5406</v>
      </c>
      <c r="B2" s="3478"/>
      <c r="C2" s="3478"/>
      <c r="D2" s="3478"/>
      <c r="E2" s="3478"/>
      <c r="F2" s="3478"/>
      <c r="G2" s="3478"/>
      <c r="H2" s="3478"/>
      <c r="I2" s="3478"/>
      <c r="J2" s="3478"/>
      <c r="K2" s="3478"/>
      <c r="L2" s="3478"/>
      <c r="M2" s="3478"/>
      <c r="N2" s="3478"/>
      <c r="O2" s="3478"/>
      <c r="P2" s="3478"/>
      <c r="Q2" s="3478"/>
    </row>
    <row r="3" spans="1:17" ht="15.2" customHeight="1">
      <c r="A3" s="3479" t="s">
        <v>3363</v>
      </c>
      <c r="B3" s="3480"/>
      <c r="C3" s="3480"/>
      <c r="D3" s="3480"/>
      <c r="E3" s="3480"/>
      <c r="F3" s="3480"/>
      <c r="G3" s="3480"/>
      <c r="H3" s="3480"/>
      <c r="I3" s="3480"/>
      <c r="J3" s="3480"/>
      <c r="K3" s="3480"/>
      <c r="L3" s="3480"/>
      <c r="M3" s="3480"/>
      <c r="N3" s="3480"/>
      <c r="O3" s="3480"/>
      <c r="P3" s="3480"/>
      <c r="Q3" s="3480"/>
    </row>
    <row r="4" spans="1:17" ht="38.25">
      <c r="A4" s="1785" t="s">
        <v>680</v>
      </c>
      <c r="B4" s="1786" t="s">
        <v>3603</v>
      </c>
      <c r="C4" s="1786" t="s">
        <v>3602</v>
      </c>
      <c r="D4" s="1786" t="s">
        <v>3601</v>
      </c>
      <c r="E4" s="1786" t="s">
        <v>3600</v>
      </c>
      <c r="F4" s="1786" t="s">
        <v>3362</v>
      </c>
      <c r="G4" s="1786" t="s">
        <v>3599</v>
      </c>
      <c r="H4" s="1786" t="s">
        <v>139</v>
      </c>
      <c r="I4" s="1786" t="s">
        <v>3598</v>
      </c>
      <c r="J4" s="1786" t="s">
        <v>3597</v>
      </c>
      <c r="K4" s="1786" t="s">
        <v>3596</v>
      </c>
      <c r="L4" s="1786" t="s">
        <v>3595</v>
      </c>
      <c r="M4" s="1786" t="s">
        <v>3594</v>
      </c>
      <c r="N4" s="1786" t="s">
        <v>3593</v>
      </c>
      <c r="O4" s="1786" t="s">
        <v>683</v>
      </c>
      <c r="P4" s="1786" t="s">
        <v>684</v>
      </c>
      <c r="Q4" s="1787" t="s">
        <v>3592</v>
      </c>
    </row>
    <row r="5" spans="1:17">
      <c r="A5" s="1788" t="s">
        <v>687</v>
      </c>
      <c r="B5" s="1789" t="s">
        <v>485</v>
      </c>
      <c r="C5" s="1789" t="s">
        <v>688</v>
      </c>
      <c r="D5" s="1789" t="s">
        <v>689</v>
      </c>
      <c r="E5" s="1789" t="s">
        <v>690</v>
      </c>
      <c r="F5" s="1789" t="s">
        <v>691</v>
      </c>
      <c r="G5" s="1789" t="s">
        <v>692</v>
      </c>
      <c r="H5" s="1789" t="s">
        <v>693</v>
      </c>
      <c r="I5" s="1789" t="s">
        <v>694</v>
      </c>
      <c r="J5" s="1789" t="s">
        <v>695</v>
      </c>
      <c r="K5" s="1789" t="s">
        <v>3359</v>
      </c>
      <c r="L5" s="1789" t="s">
        <v>3358</v>
      </c>
      <c r="M5" s="1789" t="s">
        <v>3591</v>
      </c>
      <c r="N5" s="1789" t="s">
        <v>3590</v>
      </c>
      <c r="O5" s="1789" t="s">
        <v>3589</v>
      </c>
      <c r="P5" s="1789" t="s">
        <v>3588</v>
      </c>
      <c r="Q5" s="1790" t="s">
        <v>3587</v>
      </c>
    </row>
    <row r="6" spans="1:17" ht="15.75" thickBot="1">
      <c r="A6" s="1791" t="s">
        <v>717</v>
      </c>
      <c r="B6" s="1792"/>
      <c r="C6" s="1792"/>
      <c r="D6" s="1792"/>
      <c r="E6" s="1792"/>
      <c r="F6" s="1792"/>
      <c r="G6" s="1793"/>
      <c r="H6" s="1792"/>
      <c r="I6" s="1794">
        <v>1345983197</v>
      </c>
      <c r="J6" s="1794">
        <v>144489310.00999999</v>
      </c>
      <c r="K6" s="1794">
        <v>1490472507.01</v>
      </c>
      <c r="L6" s="1794">
        <v>105730101.17</v>
      </c>
      <c r="M6" s="1794">
        <v>1380476059.6099999</v>
      </c>
      <c r="N6" s="1794">
        <v>1486206160.78</v>
      </c>
      <c r="O6" s="1794">
        <v>1483700723.8699999</v>
      </c>
      <c r="P6" s="1794">
        <v>1482974109.6400001</v>
      </c>
      <c r="Q6" s="1795">
        <v>6771783.1399999997</v>
      </c>
    </row>
    <row r="7" spans="1:17" outlineLevel="1">
      <c r="A7" s="1796" t="s">
        <v>717</v>
      </c>
      <c r="B7" s="1797" t="s">
        <v>3574</v>
      </c>
      <c r="C7" s="1797"/>
      <c r="D7" s="1797"/>
      <c r="E7" s="1797"/>
      <c r="F7" s="1797"/>
      <c r="G7" s="1798"/>
      <c r="H7" s="1797"/>
      <c r="I7" s="1799">
        <v>186113046.81</v>
      </c>
      <c r="J7" s="1799">
        <v>1323218.25</v>
      </c>
      <c r="K7" s="1799">
        <v>187436265.06</v>
      </c>
      <c r="L7" s="1799">
        <v>44487872.340000004</v>
      </c>
      <c r="M7" s="1799">
        <v>142363927.03999999</v>
      </c>
      <c r="N7" s="1799">
        <v>186851799.38</v>
      </c>
      <c r="O7" s="1799">
        <v>185845823.28</v>
      </c>
      <c r="P7" s="1799">
        <v>185845823.28</v>
      </c>
      <c r="Q7" s="1800">
        <v>1590441.78</v>
      </c>
    </row>
    <row r="8" spans="1:17" outlineLevel="2">
      <c r="A8" s="1801" t="s">
        <v>717</v>
      </c>
      <c r="B8" s="1802" t="s">
        <v>3574</v>
      </c>
      <c r="C8" s="1802" t="s">
        <v>3351</v>
      </c>
      <c r="D8" s="1802"/>
      <c r="E8" s="1802"/>
      <c r="F8" s="1802"/>
      <c r="G8" s="1803"/>
      <c r="H8" s="1802"/>
      <c r="I8" s="1804">
        <v>2400000</v>
      </c>
      <c r="J8" s="1804">
        <v>-1641379.31</v>
      </c>
      <c r="K8" s="1804">
        <v>758620.69</v>
      </c>
      <c r="L8" s="1804">
        <v>0</v>
      </c>
      <c r="M8" s="1804">
        <v>758620.69</v>
      </c>
      <c r="N8" s="1804">
        <v>758620.69</v>
      </c>
      <c r="O8" s="1804">
        <v>758620.69</v>
      </c>
      <c r="P8" s="1804">
        <v>758620.69</v>
      </c>
      <c r="Q8" s="1805">
        <v>0</v>
      </c>
    </row>
    <row r="9" spans="1:17" outlineLevel="3">
      <c r="A9" s="1212" t="s">
        <v>717</v>
      </c>
      <c r="B9" s="1806" t="s">
        <v>3574</v>
      </c>
      <c r="C9" s="1806" t="s">
        <v>3351</v>
      </c>
      <c r="D9" s="1806" t="s">
        <v>3564</v>
      </c>
      <c r="E9" s="1806"/>
      <c r="F9" s="1806"/>
      <c r="G9" s="1807"/>
      <c r="H9" s="1806"/>
      <c r="I9" s="1808">
        <v>2400000</v>
      </c>
      <c r="J9" s="1808">
        <v>-1641379.31</v>
      </c>
      <c r="K9" s="1808">
        <v>758620.69</v>
      </c>
      <c r="L9" s="1808">
        <v>0</v>
      </c>
      <c r="M9" s="1808">
        <v>758620.69</v>
      </c>
      <c r="N9" s="1808">
        <v>758620.69</v>
      </c>
      <c r="O9" s="1808">
        <v>758620.69</v>
      </c>
      <c r="P9" s="1808">
        <v>758620.69</v>
      </c>
      <c r="Q9" s="1809">
        <v>0</v>
      </c>
    </row>
    <row r="10" spans="1:17" outlineLevel="4">
      <c r="A10" s="1210" t="s">
        <v>717</v>
      </c>
      <c r="B10" s="1810" t="s">
        <v>3574</v>
      </c>
      <c r="C10" s="1810" t="s">
        <v>3351</v>
      </c>
      <c r="D10" s="1810" t="s">
        <v>3564</v>
      </c>
      <c r="E10" s="1810" t="s">
        <v>3550</v>
      </c>
      <c r="F10" s="1810"/>
      <c r="G10" s="1811"/>
      <c r="H10" s="1810"/>
      <c r="I10" s="1812">
        <v>2400000</v>
      </c>
      <c r="J10" s="1812">
        <v>-1641379.31</v>
      </c>
      <c r="K10" s="1812">
        <v>758620.69</v>
      </c>
      <c r="L10" s="1812">
        <v>0</v>
      </c>
      <c r="M10" s="1812">
        <v>758620.69</v>
      </c>
      <c r="N10" s="1812">
        <v>758620.69</v>
      </c>
      <c r="O10" s="1812">
        <v>758620.69</v>
      </c>
      <c r="P10" s="1812">
        <v>758620.69</v>
      </c>
      <c r="Q10" s="1813">
        <v>0</v>
      </c>
    </row>
    <row r="11" spans="1:17" outlineLevel="5">
      <c r="A11" s="1208" t="s">
        <v>717</v>
      </c>
      <c r="B11" s="1814" t="s">
        <v>3574</v>
      </c>
      <c r="C11" s="1814" t="s">
        <v>3351</v>
      </c>
      <c r="D11" s="1814" t="s">
        <v>3564</v>
      </c>
      <c r="E11" s="1814" t="s">
        <v>3550</v>
      </c>
      <c r="F11" s="1814"/>
      <c r="G11" s="1815"/>
      <c r="H11" s="1814"/>
      <c r="I11" s="1816">
        <v>0</v>
      </c>
      <c r="J11" s="1816">
        <v>0</v>
      </c>
      <c r="K11" s="1816">
        <v>0</v>
      </c>
      <c r="L11" s="1816">
        <v>0</v>
      </c>
      <c r="M11" s="1816">
        <v>0</v>
      </c>
      <c r="N11" s="1816">
        <v>0</v>
      </c>
      <c r="O11" s="1816">
        <v>0</v>
      </c>
      <c r="P11" s="1816">
        <v>-158620.69</v>
      </c>
      <c r="Q11" s="1817">
        <v>0</v>
      </c>
    </row>
    <row r="12" spans="1:17" ht="51" outlineLevel="5">
      <c r="A12" s="1208" t="s">
        <v>717</v>
      </c>
      <c r="B12" s="1814" t="s">
        <v>3574</v>
      </c>
      <c r="C12" s="1814" t="s">
        <v>3351</v>
      </c>
      <c r="D12" s="1814" t="s">
        <v>3564</v>
      </c>
      <c r="E12" s="1814" t="s">
        <v>3550</v>
      </c>
      <c r="F12" s="1814" t="s">
        <v>3340</v>
      </c>
      <c r="G12" s="1815" t="s">
        <v>3339</v>
      </c>
      <c r="H12" s="1814"/>
      <c r="I12" s="1816">
        <v>0</v>
      </c>
      <c r="J12" s="1816">
        <v>0</v>
      </c>
      <c r="K12" s="1816">
        <v>0</v>
      </c>
      <c r="L12" s="1816">
        <v>0</v>
      </c>
      <c r="M12" s="1816">
        <v>0</v>
      </c>
      <c r="N12" s="1816">
        <v>0</v>
      </c>
      <c r="O12" s="1816">
        <v>0</v>
      </c>
      <c r="P12" s="1816">
        <v>917241.38</v>
      </c>
      <c r="Q12" s="1817">
        <v>0</v>
      </c>
    </row>
    <row r="13" spans="1:17" ht="51" outlineLevel="5">
      <c r="A13" s="1208" t="s">
        <v>717</v>
      </c>
      <c r="B13" s="1814" t="s">
        <v>3574</v>
      </c>
      <c r="C13" s="1814" t="s">
        <v>3351</v>
      </c>
      <c r="D13" s="1814" t="s">
        <v>3564</v>
      </c>
      <c r="E13" s="1814" t="s">
        <v>3550</v>
      </c>
      <c r="F13" s="1814" t="s">
        <v>3340</v>
      </c>
      <c r="G13" s="1815" t="s">
        <v>3339</v>
      </c>
      <c r="H13" s="1814" t="s">
        <v>3241</v>
      </c>
      <c r="I13" s="1816">
        <v>2400000</v>
      </c>
      <c r="J13" s="1816">
        <v>-1641379.31</v>
      </c>
      <c r="K13" s="1816">
        <v>758620.69</v>
      </c>
      <c r="L13" s="1816">
        <v>0</v>
      </c>
      <c r="M13" s="1816">
        <v>758620.69</v>
      </c>
      <c r="N13" s="1816">
        <v>758620.69</v>
      </c>
      <c r="O13" s="1816">
        <v>758620.69</v>
      </c>
      <c r="P13" s="1816">
        <v>0</v>
      </c>
      <c r="Q13" s="1817">
        <v>0</v>
      </c>
    </row>
    <row r="14" spans="1:17" outlineLevel="2">
      <c r="A14" s="1801" t="s">
        <v>717</v>
      </c>
      <c r="B14" s="1802" t="s">
        <v>3574</v>
      </c>
      <c r="C14" s="1802" t="s">
        <v>3349</v>
      </c>
      <c r="D14" s="1802"/>
      <c r="E14" s="1802"/>
      <c r="F14" s="1802"/>
      <c r="G14" s="1803"/>
      <c r="H14" s="1802"/>
      <c r="I14" s="1804">
        <v>56947236.68</v>
      </c>
      <c r="J14" s="1804">
        <v>17937994.23</v>
      </c>
      <c r="K14" s="1804">
        <v>74885230.909999996</v>
      </c>
      <c r="L14" s="1804">
        <v>0</v>
      </c>
      <c r="M14" s="1804">
        <v>74885230.909999996</v>
      </c>
      <c r="N14" s="1804">
        <v>74885230.909999996</v>
      </c>
      <c r="O14" s="1804">
        <v>74885230.909999996</v>
      </c>
      <c r="P14" s="1804">
        <v>74885230.909999996</v>
      </c>
      <c r="Q14" s="1805">
        <v>0</v>
      </c>
    </row>
    <row r="15" spans="1:17" outlineLevel="3">
      <c r="A15" s="1212" t="s">
        <v>717</v>
      </c>
      <c r="B15" s="1806" t="s">
        <v>3574</v>
      </c>
      <c r="C15" s="1806" t="s">
        <v>3349</v>
      </c>
      <c r="D15" s="1806" t="s">
        <v>3569</v>
      </c>
      <c r="E15" s="1806"/>
      <c r="F15" s="1806"/>
      <c r="G15" s="1807"/>
      <c r="H15" s="1806"/>
      <c r="I15" s="1808">
        <v>56947236.68</v>
      </c>
      <c r="J15" s="1808">
        <v>17937994.23</v>
      </c>
      <c r="K15" s="1808">
        <v>74885230.909999996</v>
      </c>
      <c r="L15" s="1808">
        <v>0</v>
      </c>
      <c r="M15" s="1808">
        <v>74885230.909999996</v>
      </c>
      <c r="N15" s="1808">
        <v>74885230.909999996</v>
      </c>
      <c r="O15" s="1808">
        <v>74885230.909999996</v>
      </c>
      <c r="P15" s="1808">
        <v>74885230.909999996</v>
      </c>
      <c r="Q15" s="1809">
        <v>0</v>
      </c>
    </row>
    <row r="16" spans="1:17" outlineLevel="4">
      <c r="A16" s="1210" t="s">
        <v>717</v>
      </c>
      <c r="B16" s="1810" t="s">
        <v>3574</v>
      </c>
      <c r="C16" s="1810" t="s">
        <v>3349</v>
      </c>
      <c r="D16" s="1810" t="s">
        <v>3569</v>
      </c>
      <c r="E16" s="1810" t="s">
        <v>3550</v>
      </c>
      <c r="F16" s="1810"/>
      <c r="G16" s="1811"/>
      <c r="H16" s="1810"/>
      <c r="I16" s="1812">
        <v>56947236.68</v>
      </c>
      <c r="J16" s="1812">
        <v>17937994.23</v>
      </c>
      <c r="K16" s="1812">
        <v>74885230.909999996</v>
      </c>
      <c r="L16" s="1812">
        <v>0</v>
      </c>
      <c r="M16" s="1812">
        <v>74885230.909999996</v>
      </c>
      <c r="N16" s="1812">
        <v>74885230.909999996</v>
      </c>
      <c r="O16" s="1812">
        <v>74885230.909999996</v>
      </c>
      <c r="P16" s="1812">
        <v>74885230.909999996</v>
      </c>
      <c r="Q16" s="1813">
        <v>0</v>
      </c>
    </row>
    <row r="17" spans="1:17" ht="63.75" outlineLevel="5">
      <c r="A17" s="1208" t="s">
        <v>717</v>
      </c>
      <c r="B17" s="1814" t="s">
        <v>3574</v>
      </c>
      <c r="C17" s="1814" t="s">
        <v>3349</v>
      </c>
      <c r="D17" s="1814" t="s">
        <v>3569</v>
      </c>
      <c r="E17" s="1814" t="s">
        <v>3550</v>
      </c>
      <c r="F17" s="1814" t="s">
        <v>3348</v>
      </c>
      <c r="G17" s="1815" t="s">
        <v>3347</v>
      </c>
      <c r="H17" s="1814"/>
      <c r="I17" s="1816">
        <v>0</v>
      </c>
      <c r="J17" s="1816">
        <v>0</v>
      </c>
      <c r="K17" s="1816">
        <v>0</v>
      </c>
      <c r="L17" s="1816">
        <v>0</v>
      </c>
      <c r="M17" s="1816">
        <v>0</v>
      </c>
      <c r="N17" s="1816">
        <v>0</v>
      </c>
      <c r="O17" s="1816">
        <v>0</v>
      </c>
      <c r="P17" s="1816">
        <v>74885230.909999996</v>
      </c>
      <c r="Q17" s="1817">
        <v>0</v>
      </c>
    </row>
    <row r="18" spans="1:17" ht="63.75" outlineLevel="5">
      <c r="A18" s="1208" t="s">
        <v>717</v>
      </c>
      <c r="B18" s="1814" t="s">
        <v>3574</v>
      </c>
      <c r="C18" s="1814" t="s">
        <v>3349</v>
      </c>
      <c r="D18" s="1814" t="s">
        <v>3569</v>
      </c>
      <c r="E18" s="1814" t="s">
        <v>3550</v>
      </c>
      <c r="F18" s="1814" t="s">
        <v>3348</v>
      </c>
      <c r="G18" s="1815" t="s">
        <v>3347</v>
      </c>
      <c r="H18" s="1814" t="s">
        <v>3241</v>
      </c>
      <c r="I18" s="1816">
        <v>56947236.68</v>
      </c>
      <c r="J18" s="1816">
        <v>17937994.23</v>
      </c>
      <c r="K18" s="1816">
        <v>74885230.909999996</v>
      </c>
      <c r="L18" s="1816">
        <v>0</v>
      </c>
      <c r="M18" s="1816">
        <v>74885230.909999996</v>
      </c>
      <c r="N18" s="1816">
        <v>74885230.909999996</v>
      </c>
      <c r="O18" s="1816">
        <v>74885230.909999996</v>
      </c>
      <c r="P18" s="1816">
        <v>0</v>
      </c>
      <c r="Q18" s="1817">
        <v>0</v>
      </c>
    </row>
    <row r="19" spans="1:17" outlineLevel="2">
      <c r="A19" s="1801" t="s">
        <v>717</v>
      </c>
      <c r="B19" s="1802" t="s">
        <v>3574</v>
      </c>
      <c r="C19" s="1802" t="s">
        <v>3345</v>
      </c>
      <c r="D19" s="1802"/>
      <c r="E19" s="1802"/>
      <c r="F19" s="1802"/>
      <c r="G19" s="1803"/>
      <c r="H19" s="1802"/>
      <c r="I19" s="1804">
        <v>14000000</v>
      </c>
      <c r="J19" s="1804">
        <v>-13270000</v>
      </c>
      <c r="K19" s="1804">
        <v>730000</v>
      </c>
      <c r="L19" s="1804">
        <v>0</v>
      </c>
      <c r="M19" s="1804">
        <v>730000</v>
      </c>
      <c r="N19" s="1804">
        <v>730000</v>
      </c>
      <c r="O19" s="1804">
        <v>730000</v>
      </c>
      <c r="P19" s="1804">
        <v>730000</v>
      </c>
      <c r="Q19" s="1805">
        <v>0</v>
      </c>
    </row>
    <row r="20" spans="1:17" outlineLevel="3">
      <c r="A20" s="1212" t="s">
        <v>717</v>
      </c>
      <c r="B20" s="1806" t="s">
        <v>3574</v>
      </c>
      <c r="C20" s="1806" t="s">
        <v>3345</v>
      </c>
      <c r="D20" s="1806" t="s">
        <v>3584</v>
      </c>
      <c r="E20" s="1806"/>
      <c r="F20" s="1806"/>
      <c r="G20" s="1807"/>
      <c r="H20" s="1806"/>
      <c r="I20" s="1808">
        <v>7000000</v>
      </c>
      <c r="J20" s="1808">
        <v>-7000000</v>
      </c>
      <c r="K20" s="1808">
        <v>0</v>
      </c>
      <c r="L20" s="1808">
        <v>0</v>
      </c>
      <c r="M20" s="1808">
        <v>0</v>
      </c>
      <c r="N20" s="1808">
        <v>0</v>
      </c>
      <c r="O20" s="1808">
        <v>0</v>
      </c>
      <c r="P20" s="1808">
        <v>0</v>
      </c>
      <c r="Q20" s="1809">
        <v>0</v>
      </c>
    </row>
    <row r="21" spans="1:17" outlineLevel="4">
      <c r="A21" s="1210" t="s">
        <v>717</v>
      </c>
      <c r="B21" s="1810" t="s">
        <v>3574</v>
      </c>
      <c r="C21" s="1810" t="s">
        <v>3345</v>
      </c>
      <c r="D21" s="1810" t="s">
        <v>3584</v>
      </c>
      <c r="E21" s="1810" t="s">
        <v>3550</v>
      </c>
      <c r="F21" s="1810"/>
      <c r="G21" s="1811"/>
      <c r="H21" s="1810"/>
      <c r="I21" s="1812">
        <v>7000000</v>
      </c>
      <c r="J21" s="1812">
        <v>-7000000</v>
      </c>
      <c r="K21" s="1812">
        <v>0</v>
      </c>
      <c r="L21" s="1812">
        <v>0</v>
      </c>
      <c r="M21" s="1812">
        <v>0</v>
      </c>
      <c r="N21" s="1812">
        <v>0</v>
      </c>
      <c r="O21" s="1812">
        <v>0</v>
      </c>
      <c r="P21" s="1812">
        <v>0</v>
      </c>
      <c r="Q21" s="1813">
        <v>0</v>
      </c>
    </row>
    <row r="22" spans="1:17" ht="25.5" outlineLevel="5">
      <c r="A22" s="1208" t="s">
        <v>717</v>
      </c>
      <c r="B22" s="1814" t="s">
        <v>3574</v>
      </c>
      <c r="C22" s="1814" t="s">
        <v>3345</v>
      </c>
      <c r="D22" s="1814" t="s">
        <v>3584</v>
      </c>
      <c r="E22" s="1814" t="s">
        <v>3550</v>
      </c>
      <c r="F22" s="1814" t="s">
        <v>3344</v>
      </c>
      <c r="G22" s="1815" t="s">
        <v>3343</v>
      </c>
      <c r="H22" s="1814" t="s">
        <v>3241</v>
      </c>
      <c r="I22" s="1816">
        <v>7000000</v>
      </c>
      <c r="J22" s="1816">
        <v>-7000000</v>
      </c>
      <c r="K22" s="1816">
        <v>0</v>
      </c>
      <c r="L22" s="1816">
        <v>0</v>
      </c>
      <c r="M22" s="1816">
        <v>0</v>
      </c>
      <c r="N22" s="1816">
        <v>0</v>
      </c>
      <c r="O22" s="1816">
        <v>0</v>
      </c>
      <c r="P22" s="1816">
        <v>0</v>
      </c>
      <c r="Q22" s="1817">
        <v>0</v>
      </c>
    </row>
    <row r="23" spans="1:17" outlineLevel="3">
      <c r="A23" s="1212" t="s">
        <v>717</v>
      </c>
      <c r="B23" s="1806" t="s">
        <v>3574</v>
      </c>
      <c r="C23" s="1806" t="s">
        <v>3345</v>
      </c>
      <c r="D23" s="1806" t="s">
        <v>3583</v>
      </c>
      <c r="E23" s="1806"/>
      <c r="F23" s="1806"/>
      <c r="G23" s="1807"/>
      <c r="H23" s="1806"/>
      <c r="I23" s="1808">
        <v>7000000</v>
      </c>
      <c r="J23" s="1808">
        <v>-6270000</v>
      </c>
      <c r="K23" s="1808">
        <v>730000</v>
      </c>
      <c r="L23" s="1808">
        <v>0</v>
      </c>
      <c r="M23" s="1808">
        <v>730000</v>
      </c>
      <c r="N23" s="1808">
        <v>730000</v>
      </c>
      <c r="O23" s="1808">
        <v>730000</v>
      </c>
      <c r="P23" s="1808">
        <v>730000</v>
      </c>
      <c r="Q23" s="1809">
        <v>0</v>
      </c>
    </row>
    <row r="24" spans="1:17" outlineLevel="4">
      <c r="A24" s="1210" t="s">
        <v>717</v>
      </c>
      <c r="B24" s="1810" t="s">
        <v>3574</v>
      </c>
      <c r="C24" s="1810" t="s">
        <v>3345</v>
      </c>
      <c r="D24" s="1810" t="s">
        <v>3583</v>
      </c>
      <c r="E24" s="1810" t="s">
        <v>3550</v>
      </c>
      <c r="F24" s="1810"/>
      <c r="G24" s="1811"/>
      <c r="H24" s="1810"/>
      <c r="I24" s="1812">
        <v>7000000</v>
      </c>
      <c r="J24" s="1812">
        <v>-6270000</v>
      </c>
      <c r="K24" s="1812">
        <v>730000</v>
      </c>
      <c r="L24" s="1812">
        <v>0</v>
      </c>
      <c r="M24" s="1812">
        <v>730000</v>
      </c>
      <c r="N24" s="1812">
        <v>730000</v>
      </c>
      <c r="O24" s="1812">
        <v>730000</v>
      </c>
      <c r="P24" s="1812">
        <v>730000</v>
      </c>
      <c r="Q24" s="1813">
        <v>0</v>
      </c>
    </row>
    <row r="25" spans="1:17" ht="25.5" outlineLevel="5">
      <c r="A25" s="1208" t="s">
        <v>717</v>
      </c>
      <c r="B25" s="1814" t="s">
        <v>3574</v>
      </c>
      <c r="C25" s="1814" t="s">
        <v>3345</v>
      </c>
      <c r="D25" s="1814" t="s">
        <v>3583</v>
      </c>
      <c r="E25" s="1814" t="s">
        <v>3550</v>
      </c>
      <c r="F25" s="1814" t="s">
        <v>3344</v>
      </c>
      <c r="G25" s="1815" t="s">
        <v>3343</v>
      </c>
      <c r="H25" s="1814"/>
      <c r="I25" s="1816">
        <v>0</v>
      </c>
      <c r="J25" s="1816">
        <v>0</v>
      </c>
      <c r="K25" s="1816">
        <v>0</v>
      </c>
      <c r="L25" s="1816">
        <v>0</v>
      </c>
      <c r="M25" s="1816">
        <v>0</v>
      </c>
      <c r="N25" s="1816">
        <v>0</v>
      </c>
      <c r="O25" s="1816">
        <v>0</v>
      </c>
      <c r="P25" s="1816">
        <v>730000</v>
      </c>
      <c r="Q25" s="1817">
        <v>0</v>
      </c>
    </row>
    <row r="26" spans="1:17" ht="25.5" outlineLevel="5">
      <c r="A26" s="1208" t="s">
        <v>717</v>
      </c>
      <c r="B26" s="1814" t="s">
        <v>3574</v>
      </c>
      <c r="C26" s="1814" t="s">
        <v>3345</v>
      </c>
      <c r="D26" s="1814" t="s">
        <v>3583</v>
      </c>
      <c r="E26" s="1814" t="s">
        <v>3550</v>
      </c>
      <c r="F26" s="1814" t="s">
        <v>3344</v>
      </c>
      <c r="G26" s="1815" t="s">
        <v>3343</v>
      </c>
      <c r="H26" s="1814" t="s">
        <v>3241</v>
      </c>
      <c r="I26" s="1816">
        <v>7000000</v>
      </c>
      <c r="J26" s="1816">
        <v>-6270000</v>
      </c>
      <c r="K26" s="1816">
        <v>730000</v>
      </c>
      <c r="L26" s="1816">
        <v>0</v>
      </c>
      <c r="M26" s="1816">
        <v>730000</v>
      </c>
      <c r="N26" s="1816">
        <v>730000</v>
      </c>
      <c r="O26" s="1816">
        <v>730000</v>
      </c>
      <c r="P26" s="1816">
        <v>0</v>
      </c>
      <c r="Q26" s="1817">
        <v>0</v>
      </c>
    </row>
    <row r="27" spans="1:17" outlineLevel="2">
      <c r="A27" s="1801" t="s">
        <v>717</v>
      </c>
      <c r="B27" s="1802" t="s">
        <v>3574</v>
      </c>
      <c r="C27" s="1802" t="s">
        <v>3341</v>
      </c>
      <c r="D27" s="1802"/>
      <c r="E27" s="1802"/>
      <c r="F27" s="1802"/>
      <c r="G27" s="1803"/>
      <c r="H27" s="1802"/>
      <c r="I27" s="1804">
        <v>3200000</v>
      </c>
      <c r="J27" s="1804">
        <v>-2023700</v>
      </c>
      <c r="K27" s="1804">
        <v>1176300</v>
      </c>
      <c r="L27" s="1804">
        <v>0</v>
      </c>
      <c r="M27" s="1804">
        <v>1176300</v>
      </c>
      <c r="N27" s="1804">
        <v>1176300</v>
      </c>
      <c r="O27" s="1804">
        <v>1176300</v>
      </c>
      <c r="P27" s="1804">
        <v>1176300</v>
      </c>
      <c r="Q27" s="1805">
        <v>0</v>
      </c>
    </row>
    <row r="28" spans="1:17" outlineLevel="3">
      <c r="A28" s="1212" t="s">
        <v>717</v>
      </c>
      <c r="B28" s="1806" t="s">
        <v>3574</v>
      </c>
      <c r="C28" s="1806" t="s">
        <v>3341</v>
      </c>
      <c r="D28" s="1806" t="s">
        <v>3569</v>
      </c>
      <c r="E28" s="1806"/>
      <c r="F28" s="1806"/>
      <c r="G28" s="1807"/>
      <c r="H28" s="1806"/>
      <c r="I28" s="1808">
        <v>3200000</v>
      </c>
      <c r="J28" s="1808">
        <v>-2023700</v>
      </c>
      <c r="K28" s="1808">
        <v>1176300</v>
      </c>
      <c r="L28" s="1808">
        <v>0</v>
      </c>
      <c r="M28" s="1808">
        <v>1176300</v>
      </c>
      <c r="N28" s="1808">
        <v>1176300</v>
      </c>
      <c r="O28" s="1808">
        <v>1176300</v>
      </c>
      <c r="P28" s="1808">
        <v>1176300</v>
      </c>
      <c r="Q28" s="1809">
        <v>0</v>
      </c>
    </row>
    <row r="29" spans="1:17" outlineLevel="4">
      <c r="A29" s="1210" t="s">
        <v>717</v>
      </c>
      <c r="B29" s="1810" t="s">
        <v>3574</v>
      </c>
      <c r="C29" s="1810" t="s">
        <v>3341</v>
      </c>
      <c r="D29" s="1810" t="s">
        <v>3569</v>
      </c>
      <c r="E29" s="1810" t="s">
        <v>3550</v>
      </c>
      <c r="F29" s="1810"/>
      <c r="G29" s="1811"/>
      <c r="H29" s="1810"/>
      <c r="I29" s="1812">
        <v>3200000</v>
      </c>
      <c r="J29" s="1812">
        <v>-2023700</v>
      </c>
      <c r="K29" s="1812">
        <v>1176300</v>
      </c>
      <c r="L29" s="1812">
        <v>0</v>
      </c>
      <c r="M29" s="1812">
        <v>1176300</v>
      </c>
      <c r="N29" s="1812">
        <v>1176300</v>
      </c>
      <c r="O29" s="1812">
        <v>1176300</v>
      </c>
      <c r="P29" s="1812">
        <v>1176300</v>
      </c>
      <c r="Q29" s="1813">
        <v>0</v>
      </c>
    </row>
    <row r="30" spans="1:17" ht="51" outlineLevel="5">
      <c r="A30" s="1208" t="s">
        <v>717</v>
      </c>
      <c r="B30" s="1814" t="s">
        <v>3574</v>
      </c>
      <c r="C30" s="1814" t="s">
        <v>3341</v>
      </c>
      <c r="D30" s="1814" t="s">
        <v>3569</v>
      </c>
      <c r="E30" s="1814" t="s">
        <v>3550</v>
      </c>
      <c r="F30" s="1814" t="s">
        <v>3340</v>
      </c>
      <c r="G30" s="1815" t="s">
        <v>3339</v>
      </c>
      <c r="H30" s="1814"/>
      <c r="I30" s="1816">
        <v>0</v>
      </c>
      <c r="J30" s="1816">
        <v>0</v>
      </c>
      <c r="K30" s="1816">
        <v>0</v>
      </c>
      <c r="L30" s="1816">
        <v>0</v>
      </c>
      <c r="M30" s="1816">
        <v>0</v>
      </c>
      <c r="N30" s="1816">
        <v>0</v>
      </c>
      <c r="O30" s="1816">
        <v>0</v>
      </c>
      <c r="P30" s="1816">
        <v>1176300</v>
      </c>
      <c r="Q30" s="1817">
        <v>0</v>
      </c>
    </row>
    <row r="31" spans="1:17" ht="51" outlineLevel="5">
      <c r="A31" s="1208" t="s">
        <v>717</v>
      </c>
      <c r="B31" s="1814" t="s">
        <v>3574</v>
      </c>
      <c r="C31" s="1814" t="s">
        <v>3341</v>
      </c>
      <c r="D31" s="1814" t="s">
        <v>3569</v>
      </c>
      <c r="E31" s="1814" t="s">
        <v>3550</v>
      </c>
      <c r="F31" s="1814" t="s">
        <v>3340</v>
      </c>
      <c r="G31" s="1815" t="s">
        <v>3339</v>
      </c>
      <c r="H31" s="1814" t="s">
        <v>3241</v>
      </c>
      <c r="I31" s="1816">
        <v>3200000</v>
      </c>
      <c r="J31" s="1816">
        <v>-2023700</v>
      </c>
      <c r="K31" s="1816">
        <v>1176300</v>
      </c>
      <c r="L31" s="1816">
        <v>0</v>
      </c>
      <c r="M31" s="1816">
        <v>1176300</v>
      </c>
      <c r="N31" s="1816">
        <v>1176300</v>
      </c>
      <c r="O31" s="1816">
        <v>1176300</v>
      </c>
      <c r="P31" s="1816">
        <v>0</v>
      </c>
      <c r="Q31" s="1817">
        <v>0</v>
      </c>
    </row>
    <row r="32" spans="1:17" outlineLevel="2">
      <c r="A32" s="1801" t="s">
        <v>717</v>
      </c>
      <c r="B32" s="1802" t="s">
        <v>3574</v>
      </c>
      <c r="C32" s="1802" t="s">
        <v>3325</v>
      </c>
      <c r="D32" s="1802"/>
      <c r="E32" s="1802"/>
      <c r="F32" s="1802"/>
      <c r="G32" s="1803"/>
      <c r="H32" s="1802"/>
      <c r="I32" s="1804">
        <v>26000000</v>
      </c>
      <c r="J32" s="1804">
        <v>-3500000</v>
      </c>
      <c r="K32" s="1804">
        <v>22500000</v>
      </c>
      <c r="L32" s="1804">
        <v>0</v>
      </c>
      <c r="M32" s="1804">
        <v>22500000</v>
      </c>
      <c r="N32" s="1804">
        <v>22500000</v>
      </c>
      <c r="O32" s="1804">
        <v>22500000</v>
      </c>
      <c r="P32" s="1804">
        <v>22500000</v>
      </c>
      <c r="Q32" s="1805">
        <v>0</v>
      </c>
    </row>
    <row r="33" spans="1:17" outlineLevel="3">
      <c r="A33" s="1212" t="s">
        <v>717</v>
      </c>
      <c r="B33" s="1806" t="s">
        <v>3574</v>
      </c>
      <c r="C33" s="1806" t="s">
        <v>3325</v>
      </c>
      <c r="D33" s="1806" t="s">
        <v>3584</v>
      </c>
      <c r="E33" s="1806"/>
      <c r="F33" s="1806"/>
      <c r="G33" s="1807"/>
      <c r="H33" s="1806"/>
      <c r="I33" s="1808">
        <v>24000000</v>
      </c>
      <c r="J33" s="1808">
        <v>-2000000</v>
      </c>
      <c r="K33" s="1808">
        <v>22000000</v>
      </c>
      <c r="L33" s="1808">
        <v>0</v>
      </c>
      <c r="M33" s="1808">
        <v>22000000</v>
      </c>
      <c r="N33" s="1808">
        <v>22000000</v>
      </c>
      <c r="O33" s="1808">
        <v>22000000</v>
      </c>
      <c r="P33" s="1808">
        <v>22000000</v>
      </c>
      <c r="Q33" s="1809">
        <v>0</v>
      </c>
    </row>
    <row r="34" spans="1:17" outlineLevel="4">
      <c r="A34" s="1210" t="s">
        <v>717</v>
      </c>
      <c r="B34" s="1810" t="s">
        <v>3574</v>
      </c>
      <c r="C34" s="1810" t="s">
        <v>3325</v>
      </c>
      <c r="D34" s="1810" t="s">
        <v>3584</v>
      </c>
      <c r="E34" s="1810" t="s">
        <v>3550</v>
      </c>
      <c r="F34" s="1810"/>
      <c r="G34" s="1811"/>
      <c r="H34" s="1810"/>
      <c r="I34" s="1812">
        <v>24000000</v>
      </c>
      <c r="J34" s="1812">
        <v>-2000000</v>
      </c>
      <c r="K34" s="1812">
        <v>22000000</v>
      </c>
      <c r="L34" s="1812">
        <v>0</v>
      </c>
      <c r="M34" s="1812">
        <v>22000000</v>
      </c>
      <c r="N34" s="1812">
        <v>22000000</v>
      </c>
      <c r="O34" s="1812">
        <v>22000000</v>
      </c>
      <c r="P34" s="1812">
        <v>22000000</v>
      </c>
      <c r="Q34" s="1813">
        <v>0</v>
      </c>
    </row>
    <row r="35" spans="1:17" ht="63.75" outlineLevel="5">
      <c r="A35" s="1208" t="s">
        <v>717</v>
      </c>
      <c r="B35" s="1814" t="s">
        <v>3574</v>
      </c>
      <c r="C35" s="1814" t="s">
        <v>3325</v>
      </c>
      <c r="D35" s="1814" t="s">
        <v>3584</v>
      </c>
      <c r="E35" s="1814" t="s">
        <v>3550</v>
      </c>
      <c r="F35" s="1814" t="s">
        <v>3324</v>
      </c>
      <c r="G35" s="1815" t="s">
        <v>2905</v>
      </c>
      <c r="H35" s="1814"/>
      <c r="I35" s="1816">
        <v>0</v>
      </c>
      <c r="J35" s="1816">
        <v>0</v>
      </c>
      <c r="K35" s="1816">
        <v>0</v>
      </c>
      <c r="L35" s="1816">
        <v>0</v>
      </c>
      <c r="M35" s="1816">
        <v>0</v>
      </c>
      <c r="N35" s="1816">
        <v>0</v>
      </c>
      <c r="O35" s="1816">
        <v>0</v>
      </c>
      <c r="P35" s="1816">
        <v>22000000</v>
      </c>
      <c r="Q35" s="1817">
        <v>0</v>
      </c>
    </row>
    <row r="36" spans="1:17" ht="63.75" outlineLevel="5">
      <c r="A36" s="1208" t="s">
        <v>717</v>
      </c>
      <c r="B36" s="1814" t="s">
        <v>3574</v>
      </c>
      <c r="C36" s="1814" t="s">
        <v>3325</v>
      </c>
      <c r="D36" s="1814" t="s">
        <v>3584</v>
      </c>
      <c r="E36" s="1814" t="s">
        <v>3550</v>
      </c>
      <c r="F36" s="1814" t="s">
        <v>3324</v>
      </c>
      <c r="G36" s="1815" t="s">
        <v>2905</v>
      </c>
      <c r="H36" s="1814" t="s">
        <v>3241</v>
      </c>
      <c r="I36" s="1816">
        <v>24000000</v>
      </c>
      <c r="J36" s="1816">
        <v>-2000000</v>
      </c>
      <c r="K36" s="1816">
        <v>22000000</v>
      </c>
      <c r="L36" s="1816">
        <v>0</v>
      </c>
      <c r="M36" s="1816">
        <v>22000000</v>
      </c>
      <c r="N36" s="1816">
        <v>22000000</v>
      </c>
      <c r="O36" s="1816">
        <v>22000000</v>
      </c>
      <c r="P36" s="1816">
        <v>0</v>
      </c>
      <c r="Q36" s="1817">
        <v>0</v>
      </c>
    </row>
    <row r="37" spans="1:17" outlineLevel="3">
      <c r="A37" s="1212" t="s">
        <v>717</v>
      </c>
      <c r="B37" s="1806" t="s">
        <v>3574</v>
      </c>
      <c r="C37" s="1806" t="s">
        <v>3325</v>
      </c>
      <c r="D37" s="1806" t="s">
        <v>3583</v>
      </c>
      <c r="E37" s="1806"/>
      <c r="F37" s="1806"/>
      <c r="G37" s="1807"/>
      <c r="H37" s="1806"/>
      <c r="I37" s="1808">
        <v>2000000</v>
      </c>
      <c r="J37" s="1808">
        <v>-1500000</v>
      </c>
      <c r="K37" s="1808">
        <v>500000</v>
      </c>
      <c r="L37" s="1808">
        <v>0</v>
      </c>
      <c r="M37" s="1808">
        <v>500000</v>
      </c>
      <c r="N37" s="1808">
        <v>500000</v>
      </c>
      <c r="O37" s="1808">
        <v>500000</v>
      </c>
      <c r="P37" s="1808">
        <v>500000</v>
      </c>
      <c r="Q37" s="1809">
        <v>0</v>
      </c>
    </row>
    <row r="38" spans="1:17" outlineLevel="4">
      <c r="A38" s="1210" t="s">
        <v>717</v>
      </c>
      <c r="B38" s="1810" t="s">
        <v>3574</v>
      </c>
      <c r="C38" s="1810" t="s">
        <v>3325</v>
      </c>
      <c r="D38" s="1810" t="s">
        <v>3583</v>
      </c>
      <c r="E38" s="1810" t="s">
        <v>3550</v>
      </c>
      <c r="F38" s="1810"/>
      <c r="G38" s="1811"/>
      <c r="H38" s="1810"/>
      <c r="I38" s="1812">
        <v>2000000</v>
      </c>
      <c r="J38" s="1812">
        <v>-1500000</v>
      </c>
      <c r="K38" s="1812">
        <v>500000</v>
      </c>
      <c r="L38" s="1812">
        <v>0</v>
      </c>
      <c r="M38" s="1812">
        <v>500000</v>
      </c>
      <c r="N38" s="1812">
        <v>500000</v>
      </c>
      <c r="O38" s="1812">
        <v>500000</v>
      </c>
      <c r="P38" s="1812">
        <v>500000</v>
      </c>
      <c r="Q38" s="1813">
        <v>0</v>
      </c>
    </row>
    <row r="39" spans="1:17" ht="63.75" outlineLevel="5">
      <c r="A39" s="1208" t="s">
        <v>717</v>
      </c>
      <c r="B39" s="1814" t="s">
        <v>3574</v>
      </c>
      <c r="C39" s="1814" t="s">
        <v>3325</v>
      </c>
      <c r="D39" s="1814" t="s">
        <v>3583</v>
      </c>
      <c r="E39" s="1814" t="s">
        <v>3550</v>
      </c>
      <c r="F39" s="1814" t="s">
        <v>3324</v>
      </c>
      <c r="G39" s="1815" t="s">
        <v>2905</v>
      </c>
      <c r="H39" s="1814"/>
      <c r="I39" s="1816">
        <v>0</v>
      </c>
      <c r="J39" s="1816">
        <v>0</v>
      </c>
      <c r="K39" s="1816">
        <v>0</v>
      </c>
      <c r="L39" s="1816">
        <v>0</v>
      </c>
      <c r="M39" s="1816">
        <v>0</v>
      </c>
      <c r="N39" s="1816">
        <v>0</v>
      </c>
      <c r="O39" s="1816">
        <v>0</v>
      </c>
      <c r="P39" s="1816">
        <v>500000</v>
      </c>
      <c r="Q39" s="1817">
        <v>0</v>
      </c>
    </row>
    <row r="40" spans="1:17" ht="63.75" outlineLevel="5">
      <c r="A40" s="1208" t="s">
        <v>717</v>
      </c>
      <c r="B40" s="1814" t="s">
        <v>3574</v>
      </c>
      <c r="C40" s="1814" t="s">
        <v>3325</v>
      </c>
      <c r="D40" s="1814" t="s">
        <v>3583</v>
      </c>
      <c r="E40" s="1814" t="s">
        <v>3550</v>
      </c>
      <c r="F40" s="1814" t="s">
        <v>3324</v>
      </c>
      <c r="G40" s="1815" t="s">
        <v>2905</v>
      </c>
      <c r="H40" s="1814" t="s">
        <v>3241</v>
      </c>
      <c r="I40" s="1816">
        <v>2000000</v>
      </c>
      <c r="J40" s="1816">
        <v>-1500000</v>
      </c>
      <c r="K40" s="1816">
        <v>500000</v>
      </c>
      <c r="L40" s="1816">
        <v>0</v>
      </c>
      <c r="M40" s="1816">
        <v>500000</v>
      </c>
      <c r="N40" s="1816">
        <v>500000</v>
      </c>
      <c r="O40" s="1816">
        <v>500000</v>
      </c>
      <c r="P40" s="1816">
        <v>0</v>
      </c>
      <c r="Q40" s="1817">
        <v>0</v>
      </c>
    </row>
    <row r="41" spans="1:17" outlineLevel="2">
      <c r="A41" s="1801" t="s">
        <v>717</v>
      </c>
      <c r="B41" s="1802" t="s">
        <v>3574</v>
      </c>
      <c r="C41" s="1802" t="s">
        <v>3322</v>
      </c>
      <c r="D41" s="1802"/>
      <c r="E41" s="1802"/>
      <c r="F41" s="1802"/>
      <c r="G41" s="1803"/>
      <c r="H41" s="1802"/>
      <c r="I41" s="1804">
        <v>9000000</v>
      </c>
      <c r="J41" s="1804">
        <v>0</v>
      </c>
      <c r="K41" s="1804">
        <v>9000000</v>
      </c>
      <c r="L41" s="1804">
        <v>0</v>
      </c>
      <c r="M41" s="1804">
        <v>9000000</v>
      </c>
      <c r="N41" s="1804">
        <v>9000000</v>
      </c>
      <c r="O41" s="1804">
        <v>8789760.7699999996</v>
      </c>
      <c r="P41" s="1804">
        <v>8789760.7699999996</v>
      </c>
      <c r="Q41" s="1805">
        <v>210239.23</v>
      </c>
    </row>
    <row r="42" spans="1:17" outlineLevel="3">
      <c r="A42" s="1212" t="s">
        <v>717</v>
      </c>
      <c r="B42" s="1806" t="s">
        <v>3574</v>
      </c>
      <c r="C42" s="1806" t="s">
        <v>3322</v>
      </c>
      <c r="D42" s="1806" t="s">
        <v>3561</v>
      </c>
      <c r="E42" s="1806"/>
      <c r="F42" s="1806"/>
      <c r="G42" s="1807"/>
      <c r="H42" s="1806"/>
      <c r="I42" s="1808">
        <v>9000000</v>
      </c>
      <c r="J42" s="1808">
        <v>0</v>
      </c>
      <c r="K42" s="1808">
        <v>9000000</v>
      </c>
      <c r="L42" s="1808">
        <v>0</v>
      </c>
      <c r="M42" s="1808">
        <v>9000000</v>
      </c>
      <c r="N42" s="1808">
        <v>9000000</v>
      </c>
      <c r="O42" s="1808">
        <v>8789760.7699999996</v>
      </c>
      <c r="P42" s="1808">
        <v>8789760.7699999996</v>
      </c>
      <c r="Q42" s="1809">
        <v>210239.23</v>
      </c>
    </row>
    <row r="43" spans="1:17" outlineLevel="4">
      <c r="A43" s="1210" t="s">
        <v>717</v>
      </c>
      <c r="B43" s="1810" t="s">
        <v>3574</v>
      </c>
      <c r="C43" s="1810" t="s">
        <v>3322</v>
      </c>
      <c r="D43" s="1810" t="s">
        <v>3561</v>
      </c>
      <c r="E43" s="1810" t="s">
        <v>3582</v>
      </c>
      <c r="F43" s="1810"/>
      <c r="G43" s="1811"/>
      <c r="H43" s="1810"/>
      <c r="I43" s="1812">
        <v>9000000</v>
      </c>
      <c r="J43" s="1812">
        <v>0</v>
      </c>
      <c r="K43" s="1812">
        <v>9000000</v>
      </c>
      <c r="L43" s="1812">
        <v>0</v>
      </c>
      <c r="M43" s="1812">
        <v>9000000</v>
      </c>
      <c r="N43" s="1812">
        <v>9000000</v>
      </c>
      <c r="O43" s="1812">
        <v>8789760.7699999996</v>
      </c>
      <c r="P43" s="1812">
        <v>8789760.7699999996</v>
      </c>
      <c r="Q43" s="1813">
        <v>210239.23</v>
      </c>
    </row>
    <row r="44" spans="1:17" outlineLevel="5">
      <c r="A44" s="1208" t="s">
        <v>717</v>
      </c>
      <c r="B44" s="1814" t="s">
        <v>3574</v>
      </c>
      <c r="C44" s="1814" t="s">
        <v>3322</v>
      </c>
      <c r="D44" s="1814" t="s">
        <v>3561</v>
      </c>
      <c r="E44" s="1814" t="s">
        <v>3582</v>
      </c>
      <c r="F44" s="1814" t="s">
        <v>3321</v>
      </c>
      <c r="G44" s="1815" t="s">
        <v>3320</v>
      </c>
      <c r="H44" s="1814"/>
      <c r="I44" s="1816">
        <v>0</v>
      </c>
      <c r="J44" s="1816">
        <v>0</v>
      </c>
      <c r="K44" s="1816">
        <v>0</v>
      </c>
      <c r="L44" s="1816">
        <v>0</v>
      </c>
      <c r="M44" s="1816">
        <v>0</v>
      </c>
      <c r="N44" s="1816">
        <v>0</v>
      </c>
      <c r="O44" s="1816">
        <v>0</v>
      </c>
      <c r="P44" s="1816">
        <v>8789760.7699999996</v>
      </c>
      <c r="Q44" s="1817">
        <v>0</v>
      </c>
    </row>
    <row r="45" spans="1:17" outlineLevel="5">
      <c r="A45" s="1208" t="s">
        <v>717</v>
      </c>
      <c r="B45" s="1814" t="s">
        <v>3574</v>
      </c>
      <c r="C45" s="1814" t="s">
        <v>3322</v>
      </c>
      <c r="D45" s="1814" t="s">
        <v>3561</v>
      </c>
      <c r="E45" s="1814" t="s">
        <v>3582</v>
      </c>
      <c r="F45" s="1814" t="s">
        <v>3321</v>
      </c>
      <c r="G45" s="1815" t="s">
        <v>3320</v>
      </c>
      <c r="H45" s="1814" t="s">
        <v>3241</v>
      </c>
      <c r="I45" s="1816">
        <v>9000000</v>
      </c>
      <c r="J45" s="1816">
        <v>0</v>
      </c>
      <c r="K45" s="1816">
        <v>9000000</v>
      </c>
      <c r="L45" s="1816">
        <v>0</v>
      </c>
      <c r="M45" s="1816">
        <v>9000000</v>
      </c>
      <c r="N45" s="1816">
        <v>9000000</v>
      </c>
      <c r="O45" s="1816">
        <v>8789760.7699999996</v>
      </c>
      <c r="P45" s="1816">
        <v>0</v>
      </c>
      <c r="Q45" s="1817">
        <v>210239.23</v>
      </c>
    </row>
    <row r="46" spans="1:17" outlineLevel="2">
      <c r="A46" s="1801" t="s">
        <v>717</v>
      </c>
      <c r="B46" s="1802" t="s">
        <v>3574</v>
      </c>
      <c r="C46" s="1802" t="s">
        <v>3318</v>
      </c>
      <c r="D46" s="1802"/>
      <c r="E46" s="1802"/>
      <c r="F46" s="1802"/>
      <c r="G46" s="1803"/>
      <c r="H46" s="1802"/>
      <c r="I46" s="1804">
        <v>35000000</v>
      </c>
      <c r="J46" s="1804">
        <v>0</v>
      </c>
      <c r="K46" s="1804">
        <v>35000000</v>
      </c>
      <c r="L46" s="1804">
        <v>0</v>
      </c>
      <c r="M46" s="1804">
        <v>34415534.32</v>
      </c>
      <c r="N46" s="1804">
        <v>34415534.32</v>
      </c>
      <c r="O46" s="1804">
        <v>34012282.100000001</v>
      </c>
      <c r="P46" s="1804">
        <v>34012282.100000001</v>
      </c>
      <c r="Q46" s="1805">
        <v>987717.9</v>
      </c>
    </row>
    <row r="47" spans="1:17" outlineLevel="3">
      <c r="A47" s="1212" t="s">
        <v>717</v>
      </c>
      <c r="B47" s="1806" t="s">
        <v>3574</v>
      </c>
      <c r="C47" s="1806" t="s">
        <v>3318</v>
      </c>
      <c r="D47" s="1806" t="s">
        <v>3561</v>
      </c>
      <c r="E47" s="1806"/>
      <c r="F47" s="1806"/>
      <c r="G47" s="1807"/>
      <c r="H47" s="1806"/>
      <c r="I47" s="1808">
        <v>35000000</v>
      </c>
      <c r="J47" s="1808">
        <v>0</v>
      </c>
      <c r="K47" s="1808">
        <v>35000000</v>
      </c>
      <c r="L47" s="1808">
        <v>0</v>
      </c>
      <c r="M47" s="1808">
        <v>34415534.32</v>
      </c>
      <c r="N47" s="1808">
        <v>34415534.32</v>
      </c>
      <c r="O47" s="1808">
        <v>34012282.100000001</v>
      </c>
      <c r="P47" s="1808">
        <v>34012282.100000001</v>
      </c>
      <c r="Q47" s="1809">
        <v>987717.9</v>
      </c>
    </row>
    <row r="48" spans="1:17" outlineLevel="4">
      <c r="A48" s="1210" t="s">
        <v>717</v>
      </c>
      <c r="B48" s="1810" t="s">
        <v>3574</v>
      </c>
      <c r="C48" s="1810" t="s">
        <v>3318</v>
      </c>
      <c r="D48" s="1810" t="s">
        <v>3561</v>
      </c>
      <c r="E48" s="1810" t="s">
        <v>3581</v>
      </c>
      <c r="F48" s="1810"/>
      <c r="G48" s="1811"/>
      <c r="H48" s="1810"/>
      <c r="I48" s="1812">
        <v>35000000</v>
      </c>
      <c r="J48" s="1812">
        <v>0</v>
      </c>
      <c r="K48" s="1812">
        <v>35000000</v>
      </c>
      <c r="L48" s="1812">
        <v>0</v>
      </c>
      <c r="M48" s="1812">
        <v>34415534.32</v>
      </c>
      <c r="N48" s="1812">
        <v>34415534.32</v>
      </c>
      <c r="O48" s="1812">
        <v>34012282.100000001</v>
      </c>
      <c r="P48" s="1812">
        <v>34012282.100000001</v>
      </c>
      <c r="Q48" s="1813">
        <v>987717.9</v>
      </c>
    </row>
    <row r="49" spans="1:17" ht="25.5" outlineLevel="5">
      <c r="A49" s="1208" t="s">
        <v>717</v>
      </c>
      <c r="B49" s="1814" t="s">
        <v>3574</v>
      </c>
      <c r="C49" s="1814" t="s">
        <v>3318</v>
      </c>
      <c r="D49" s="1814" t="s">
        <v>3561</v>
      </c>
      <c r="E49" s="1814" t="s">
        <v>3581</v>
      </c>
      <c r="F49" s="1814" t="s">
        <v>3317</v>
      </c>
      <c r="G49" s="1815" t="s">
        <v>3192</v>
      </c>
      <c r="H49" s="1814"/>
      <c r="I49" s="1816">
        <v>0</v>
      </c>
      <c r="J49" s="1816">
        <v>0</v>
      </c>
      <c r="K49" s="1816">
        <v>0</v>
      </c>
      <c r="L49" s="1816">
        <v>0</v>
      </c>
      <c r="M49" s="1816">
        <v>0</v>
      </c>
      <c r="N49" s="1816">
        <v>0</v>
      </c>
      <c r="O49" s="1816">
        <v>0</v>
      </c>
      <c r="P49" s="1816">
        <v>34012282.100000001</v>
      </c>
      <c r="Q49" s="1817">
        <v>0</v>
      </c>
    </row>
    <row r="50" spans="1:17" ht="25.5" outlineLevel="5">
      <c r="A50" s="1208" t="s">
        <v>717</v>
      </c>
      <c r="B50" s="1814" t="s">
        <v>3574</v>
      </c>
      <c r="C50" s="1814" t="s">
        <v>3318</v>
      </c>
      <c r="D50" s="1814" t="s">
        <v>3561</v>
      </c>
      <c r="E50" s="1814" t="s">
        <v>3581</v>
      </c>
      <c r="F50" s="1814" t="s">
        <v>3317</v>
      </c>
      <c r="G50" s="1815" t="s">
        <v>3192</v>
      </c>
      <c r="H50" s="1814" t="s">
        <v>3241</v>
      </c>
      <c r="I50" s="1816">
        <v>35000000</v>
      </c>
      <c r="J50" s="1816">
        <v>0</v>
      </c>
      <c r="K50" s="1816">
        <v>35000000</v>
      </c>
      <c r="L50" s="1816">
        <v>0</v>
      </c>
      <c r="M50" s="1816">
        <v>34415534.32</v>
      </c>
      <c r="N50" s="1816">
        <v>34415534.32</v>
      </c>
      <c r="O50" s="1816">
        <v>34012282.100000001</v>
      </c>
      <c r="P50" s="1816">
        <v>0</v>
      </c>
      <c r="Q50" s="1817">
        <v>987717.9</v>
      </c>
    </row>
    <row r="51" spans="1:17" outlineLevel="2">
      <c r="A51" s="1801" t="s">
        <v>717</v>
      </c>
      <c r="B51" s="1802" t="s">
        <v>3574</v>
      </c>
      <c r="C51" s="1802" t="s">
        <v>3313</v>
      </c>
      <c r="D51" s="1802"/>
      <c r="E51" s="1802"/>
      <c r="F51" s="1802"/>
      <c r="G51" s="1803"/>
      <c r="H51" s="1802"/>
      <c r="I51" s="1804">
        <v>7159100</v>
      </c>
      <c r="J51" s="1804">
        <v>1795858.55</v>
      </c>
      <c r="K51" s="1804">
        <v>8954958.5500000007</v>
      </c>
      <c r="L51" s="1804">
        <v>0</v>
      </c>
      <c r="M51" s="1804">
        <v>8954958.5500000007</v>
      </c>
      <c r="N51" s="1804">
        <v>8954958.5500000007</v>
      </c>
      <c r="O51" s="1804">
        <v>8954958.5500000007</v>
      </c>
      <c r="P51" s="1804">
        <v>8954958.5500000007</v>
      </c>
      <c r="Q51" s="1805">
        <v>0</v>
      </c>
    </row>
    <row r="52" spans="1:17" outlineLevel="3">
      <c r="A52" s="1212" t="s">
        <v>717</v>
      </c>
      <c r="B52" s="1806" t="s">
        <v>3574</v>
      </c>
      <c r="C52" s="1806" t="s">
        <v>3313</v>
      </c>
      <c r="D52" s="1806" t="s">
        <v>3553</v>
      </c>
      <c r="E52" s="1806"/>
      <c r="F52" s="1806"/>
      <c r="G52" s="1807"/>
      <c r="H52" s="1806"/>
      <c r="I52" s="1808">
        <v>7159100</v>
      </c>
      <c r="J52" s="1808">
        <v>1795858.55</v>
      </c>
      <c r="K52" s="1808">
        <v>8954958.5500000007</v>
      </c>
      <c r="L52" s="1808">
        <v>0</v>
      </c>
      <c r="M52" s="1808">
        <v>8954958.5500000007</v>
      </c>
      <c r="N52" s="1808">
        <v>8954958.5500000007</v>
      </c>
      <c r="O52" s="1808">
        <v>8954958.5500000007</v>
      </c>
      <c r="P52" s="1808">
        <v>8954958.5500000007</v>
      </c>
      <c r="Q52" s="1809">
        <v>0</v>
      </c>
    </row>
    <row r="53" spans="1:17" outlineLevel="4">
      <c r="A53" s="1210" t="s">
        <v>717</v>
      </c>
      <c r="B53" s="1810" t="s">
        <v>3574</v>
      </c>
      <c r="C53" s="1810" t="s">
        <v>3313</v>
      </c>
      <c r="D53" s="1810" t="s">
        <v>3553</v>
      </c>
      <c r="E53" s="1810" t="s">
        <v>3550</v>
      </c>
      <c r="F53" s="1810"/>
      <c r="G53" s="1811"/>
      <c r="H53" s="1810"/>
      <c r="I53" s="1812">
        <v>7159100</v>
      </c>
      <c r="J53" s="1812">
        <v>1795858.55</v>
      </c>
      <c r="K53" s="1812">
        <v>8954958.5500000007</v>
      </c>
      <c r="L53" s="1812">
        <v>0</v>
      </c>
      <c r="M53" s="1812">
        <v>8954958.5500000007</v>
      </c>
      <c r="N53" s="1812">
        <v>8954958.5500000007</v>
      </c>
      <c r="O53" s="1812">
        <v>8954958.5500000007</v>
      </c>
      <c r="P53" s="1812">
        <v>8954958.5500000007</v>
      </c>
      <c r="Q53" s="1813">
        <v>0</v>
      </c>
    </row>
    <row r="54" spans="1:17" ht="25.5" outlineLevel="5">
      <c r="A54" s="1208" t="s">
        <v>717</v>
      </c>
      <c r="B54" s="1814" t="s">
        <v>3574</v>
      </c>
      <c r="C54" s="1814" t="s">
        <v>3313</v>
      </c>
      <c r="D54" s="1814" t="s">
        <v>3553</v>
      </c>
      <c r="E54" s="1814" t="s">
        <v>3550</v>
      </c>
      <c r="F54" s="1814" t="s">
        <v>3315</v>
      </c>
      <c r="G54" s="1815" t="s">
        <v>3314</v>
      </c>
      <c r="H54" s="1814"/>
      <c r="I54" s="1816">
        <v>0</v>
      </c>
      <c r="J54" s="1816">
        <v>0</v>
      </c>
      <c r="K54" s="1816">
        <v>0</v>
      </c>
      <c r="L54" s="1816">
        <v>0</v>
      </c>
      <c r="M54" s="1816">
        <v>0</v>
      </c>
      <c r="N54" s="1816">
        <v>0</v>
      </c>
      <c r="O54" s="1816">
        <v>0</v>
      </c>
      <c r="P54" s="1816">
        <v>2884118.8</v>
      </c>
      <c r="Q54" s="1817">
        <v>0</v>
      </c>
    </row>
    <row r="55" spans="1:17" ht="25.5" outlineLevel="5">
      <c r="A55" s="1208" t="s">
        <v>717</v>
      </c>
      <c r="B55" s="1814" t="s">
        <v>3574</v>
      </c>
      <c r="C55" s="1814" t="s">
        <v>3313</v>
      </c>
      <c r="D55" s="1814" t="s">
        <v>3553</v>
      </c>
      <c r="E55" s="1814" t="s">
        <v>3550</v>
      </c>
      <c r="F55" s="1814" t="s">
        <v>3315</v>
      </c>
      <c r="G55" s="1815" t="s">
        <v>3314</v>
      </c>
      <c r="H55" s="1814" t="s">
        <v>3241</v>
      </c>
      <c r="I55" s="1816">
        <v>3159100</v>
      </c>
      <c r="J55" s="1816">
        <v>-4981.2</v>
      </c>
      <c r="K55" s="1816">
        <v>3154118.8</v>
      </c>
      <c r="L55" s="1816">
        <v>0</v>
      </c>
      <c r="M55" s="1816">
        <v>3154118.8</v>
      </c>
      <c r="N55" s="1816">
        <v>3154118.8</v>
      </c>
      <c r="O55" s="1816">
        <v>3154118.8</v>
      </c>
      <c r="P55" s="1816">
        <v>0</v>
      </c>
      <c r="Q55" s="1817">
        <v>0</v>
      </c>
    </row>
    <row r="56" spans="1:17" ht="89.25" outlineLevel="5">
      <c r="A56" s="1208" t="s">
        <v>717</v>
      </c>
      <c r="B56" s="1814" t="s">
        <v>3574</v>
      </c>
      <c r="C56" s="1814" t="s">
        <v>3313</v>
      </c>
      <c r="D56" s="1814" t="s">
        <v>3553</v>
      </c>
      <c r="E56" s="1814" t="s">
        <v>3550</v>
      </c>
      <c r="F56" s="1814" t="s">
        <v>3312</v>
      </c>
      <c r="G56" s="1815" t="s">
        <v>3178</v>
      </c>
      <c r="H56" s="1814"/>
      <c r="I56" s="1816">
        <v>0</v>
      </c>
      <c r="J56" s="1816">
        <v>0</v>
      </c>
      <c r="K56" s="1816">
        <v>0</v>
      </c>
      <c r="L56" s="1816">
        <v>0</v>
      </c>
      <c r="M56" s="1816">
        <v>0</v>
      </c>
      <c r="N56" s="1816">
        <v>0</v>
      </c>
      <c r="O56" s="1816">
        <v>0</v>
      </c>
      <c r="P56" s="1816">
        <v>6070839.75</v>
      </c>
      <c r="Q56" s="1817">
        <v>0</v>
      </c>
    </row>
    <row r="57" spans="1:17" ht="89.25" outlineLevel="5">
      <c r="A57" s="1208" t="s">
        <v>717</v>
      </c>
      <c r="B57" s="1814" t="s">
        <v>3574</v>
      </c>
      <c r="C57" s="1814" t="s">
        <v>3313</v>
      </c>
      <c r="D57" s="1814" t="s">
        <v>3553</v>
      </c>
      <c r="E57" s="1814" t="s">
        <v>3550</v>
      </c>
      <c r="F57" s="1814" t="s">
        <v>3312</v>
      </c>
      <c r="G57" s="1815" t="s">
        <v>3178</v>
      </c>
      <c r="H57" s="1814" t="s">
        <v>3241</v>
      </c>
      <c r="I57" s="1816">
        <v>4000000</v>
      </c>
      <c r="J57" s="1816">
        <v>1800839.75</v>
      </c>
      <c r="K57" s="1816">
        <v>5800839.75</v>
      </c>
      <c r="L57" s="1816">
        <v>0</v>
      </c>
      <c r="M57" s="1816">
        <v>5800839.75</v>
      </c>
      <c r="N57" s="1816">
        <v>5800839.75</v>
      </c>
      <c r="O57" s="1816">
        <v>5800839.75</v>
      </c>
      <c r="P57" s="1816">
        <v>0</v>
      </c>
      <c r="Q57" s="1817">
        <v>0</v>
      </c>
    </row>
    <row r="58" spans="1:17" outlineLevel="2">
      <c r="A58" s="1801" t="s">
        <v>717</v>
      </c>
      <c r="B58" s="1802" t="s">
        <v>3574</v>
      </c>
      <c r="C58" s="1802" t="s">
        <v>3311</v>
      </c>
      <c r="D58" s="1802"/>
      <c r="E58" s="1802"/>
      <c r="F58" s="1802"/>
      <c r="G58" s="1803"/>
      <c r="H58" s="1802"/>
      <c r="I58" s="1804">
        <v>1692765.96</v>
      </c>
      <c r="J58" s="1804">
        <v>-505923.96</v>
      </c>
      <c r="K58" s="1804">
        <v>1186842</v>
      </c>
      <c r="L58" s="1804">
        <v>1934680.85</v>
      </c>
      <c r="M58" s="1804">
        <v>-747838.85</v>
      </c>
      <c r="N58" s="1804">
        <v>1186842</v>
      </c>
      <c r="O58" s="1804">
        <v>1186842</v>
      </c>
      <c r="P58" s="1804">
        <v>1186842</v>
      </c>
      <c r="Q58" s="1805">
        <v>0</v>
      </c>
    </row>
    <row r="59" spans="1:17" outlineLevel="3">
      <c r="A59" s="1212" t="s">
        <v>717</v>
      </c>
      <c r="B59" s="1806" t="s">
        <v>3574</v>
      </c>
      <c r="C59" s="1806" t="s">
        <v>3311</v>
      </c>
      <c r="D59" s="1806" t="s">
        <v>3553</v>
      </c>
      <c r="E59" s="1806"/>
      <c r="F59" s="1806"/>
      <c r="G59" s="1807"/>
      <c r="H59" s="1806"/>
      <c r="I59" s="1808">
        <v>1692765.96</v>
      </c>
      <c r="J59" s="1808">
        <v>-505923.96</v>
      </c>
      <c r="K59" s="1808">
        <v>1186842</v>
      </c>
      <c r="L59" s="1808">
        <v>1934680.85</v>
      </c>
      <c r="M59" s="1808">
        <v>-747838.85</v>
      </c>
      <c r="N59" s="1808">
        <v>1186842</v>
      </c>
      <c r="O59" s="1808">
        <v>1186842</v>
      </c>
      <c r="P59" s="1808">
        <v>1186842</v>
      </c>
      <c r="Q59" s="1809">
        <v>0</v>
      </c>
    </row>
    <row r="60" spans="1:17" outlineLevel="4">
      <c r="A60" s="1210" t="s">
        <v>717</v>
      </c>
      <c r="B60" s="1810" t="s">
        <v>3574</v>
      </c>
      <c r="C60" s="1810" t="s">
        <v>3311</v>
      </c>
      <c r="D60" s="1810" t="s">
        <v>3553</v>
      </c>
      <c r="E60" s="1810"/>
      <c r="F60" s="1810"/>
      <c r="G60" s="1811"/>
      <c r="H60" s="1810"/>
      <c r="I60" s="1812">
        <v>0</v>
      </c>
      <c r="J60" s="1812">
        <v>0</v>
      </c>
      <c r="K60" s="1812">
        <v>0</v>
      </c>
      <c r="L60" s="1812">
        <v>0</v>
      </c>
      <c r="M60" s="1812">
        <v>0</v>
      </c>
      <c r="N60" s="1812">
        <v>0</v>
      </c>
      <c r="O60" s="1812">
        <v>0</v>
      </c>
      <c r="P60" s="1812">
        <v>71210.52</v>
      </c>
      <c r="Q60" s="1813">
        <v>0</v>
      </c>
    </row>
    <row r="61" spans="1:17" ht="38.25" outlineLevel="5">
      <c r="A61" s="1208" t="s">
        <v>717</v>
      </c>
      <c r="B61" s="1814" t="s">
        <v>3574</v>
      </c>
      <c r="C61" s="1814" t="s">
        <v>3311</v>
      </c>
      <c r="D61" s="1814" t="s">
        <v>3553</v>
      </c>
      <c r="E61" s="1814"/>
      <c r="F61" s="1814" t="s">
        <v>3310</v>
      </c>
      <c r="G61" s="1815" t="s">
        <v>655</v>
      </c>
      <c r="H61" s="1814" t="s">
        <v>3241</v>
      </c>
      <c r="I61" s="1816">
        <v>0</v>
      </c>
      <c r="J61" s="1816">
        <v>0</v>
      </c>
      <c r="K61" s="1816">
        <v>0</v>
      </c>
      <c r="L61" s="1816">
        <v>0</v>
      </c>
      <c r="M61" s="1816">
        <v>0</v>
      </c>
      <c r="N61" s="1816">
        <v>0</v>
      </c>
      <c r="O61" s="1816">
        <v>0</v>
      </c>
      <c r="P61" s="1816">
        <v>71210.52</v>
      </c>
      <c r="Q61" s="1817">
        <v>0</v>
      </c>
    </row>
    <row r="62" spans="1:17" outlineLevel="4">
      <c r="A62" s="1210" t="s">
        <v>717</v>
      </c>
      <c r="B62" s="1810" t="s">
        <v>3574</v>
      </c>
      <c r="C62" s="1810" t="s">
        <v>3311</v>
      </c>
      <c r="D62" s="1810" t="s">
        <v>3553</v>
      </c>
      <c r="E62" s="1810" t="s">
        <v>3580</v>
      </c>
      <c r="F62" s="1810"/>
      <c r="G62" s="1811"/>
      <c r="H62" s="1810"/>
      <c r="I62" s="1812">
        <v>1692765.96</v>
      </c>
      <c r="J62" s="1812">
        <v>-1692765.96</v>
      </c>
      <c r="K62" s="1812">
        <v>0</v>
      </c>
      <c r="L62" s="1812">
        <v>1934680.85</v>
      </c>
      <c r="M62" s="1812">
        <v>-1934680.85</v>
      </c>
      <c r="N62" s="1812">
        <v>0</v>
      </c>
      <c r="O62" s="1812">
        <v>0</v>
      </c>
      <c r="P62" s="1812">
        <v>0</v>
      </c>
      <c r="Q62" s="1813">
        <v>0</v>
      </c>
    </row>
    <row r="63" spans="1:17" ht="38.25" outlineLevel="5">
      <c r="A63" s="1208" t="s">
        <v>717</v>
      </c>
      <c r="B63" s="1814" t="s">
        <v>3574</v>
      </c>
      <c r="C63" s="1814" t="s">
        <v>3311</v>
      </c>
      <c r="D63" s="1814" t="s">
        <v>3553</v>
      </c>
      <c r="E63" s="1814" t="s">
        <v>3580</v>
      </c>
      <c r="F63" s="1814" t="s">
        <v>3310</v>
      </c>
      <c r="G63" s="1815" t="s">
        <v>655</v>
      </c>
      <c r="H63" s="1814" t="s">
        <v>3257</v>
      </c>
      <c r="I63" s="1816">
        <v>1591200</v>
      </c>
      <c r="J63" s="1816">
        <v>-1591200</v>
      </c>
      <c r="K63" s="1816">
        <v>0</v>
      </c>
      <c r="L63" s="1816">
        <v>1818600</v>
      </c>
      <c r="M63" s="1816">
        <v>-1818600</v>
      </c>
      <c r="N63" s="1816">
        <v>0</v>
      </c>
      <c r="O63" s="1816">
        <v>0</v>
      </c>
      <c r="P63" s="1816">
        <v>0</v>
      </c>
      <c r="Q63" s="1817">
        <v>0</v>
      </c>
    </row>
    <row r="64" spans="1:17" ht="38.25" outlineLevel="5">
      <c r="A64" s="1208" t="s">
        <v>717</v>
      </c>
      <c r="B64" s="1814" t="s">
        <v>3574</v>
      </c>
      <c r="C64" s="1814" t="s">
        <v>3311</v>
      </c>
      <c r="D64" s="1814" t="s">
        <v>3553</v>
      </c>
      <c r="E64" s="1814" t="s">
        <v>3580</v>
      </c>
      <c r="F64" s="1814" t="s">
        <v>3310</v>
      </c>
      <c r="G64" s="1815" t="s">
        <v>655</v>
      </c>
      <c r="H64" s="1814" t="s">
        <v>3241</v>
      </c>
      <c r="I64" s="1816">
        <v>101565.96</v>
      </c>
      <c r="J64" s="1816">
        <v>-101565.96</v>
      </c>
      <c r="K64" s="1816">
        <v>0</v>
      </c>
      <c r="L64" s="1816">
        <v>116080.85</v>
      </c>
      <c r="M64" s="1816">
        <v>-116080.85</v>
      </c>
      <c r="N64" s="1816">
        <v>0</v>
      </c>
      <c r="O64" s="1816">
        <v>0</v>
      </c>
      <c r="P64" s="1816">
        <v>0</v>
      </c>
      <c r="Q64" s="1817">
        <v>0</v>
      </c>
    </row>
    <row r="65" spans="1:17" outlineLevel="4">
      <c r="A65" s="1210" t="s">
        <v>717</v>
      </c>
      <c r="B65" s="1810" t="s">
        <v>3574</v>
      </c>
      <c r="C65" s="1810" t="s">
        <v>3311</v>
      </c>
      <c r="D65" s="1810" t="s">
        <v>3553</v>
      </c>
      <c r="E65" s="1810" t="s">
        <v>3579</v>
      </c>
      <c r="F65" s="1810"/>
      <c r="G65" s="1811"/>
      <c r="H65" s="1810"/>
      <c r="I65" s="1812">
        <v>0</v>
      </c>
      <c r="J65" s="1812">
        <v>1186842</v>
      </c>
      <c r="K65" s="1812">
        <v>1186842</v>
      </c>
      <c r="L65" s="1812">
        <v>0</v>
      </c>
      <c r="M65" s="1812">
        <v>1186842</v>
      </c>
      <c r="N65" s="1812">
        <v>1186842</v>
      </c>
      <c r="O65" s="1812">
        <v>1186842</v>
      </c>
      <c r="P65" s="1812">
        <v>1115631.48</v>
      </c>
      <c r="Q65" s="1813">
        <v>0</v>
      </c>
    </row>
    <row r="66" spans="1:17" ht="38.25" outlineLevel="5">
      <c r="A66" s="1208" t="s">
        <v>717</v>
      </c>
      <c r="B66" s="1814" t="s">
        <v>3574</v>
      </c>
      <c r="C66" s="1814" t="s">
        <v>3311</v>
      </c>
      <c r="D66" s="1814" t="s">
        <v>3553</v>
      </c>
      <c r="E66" s="1814" t="s">
        <v>3579</v>
      </c>
      <c r="F66" s="1814" t="s">
        <v>3310</v>
      </c>
      <c r="G66" s="1815" t="s">
        <v>655</v>
      </c>
      <c r="H66" s="1814"/>
      <c r="I66" s="1816">
        <v>0</v>
      </c>
      <c r="J66" s="1816">
        <v>0</v>
      </c>
      <c r="K66" s="1816">
        <v>0</v>
      </c>
      <c r="L66" s="1816">
        <v>0</v>
      </c>
      <c r="M66" s="1816">
        <v>0</v>
      </c>
      <c r="N66" s="1816">
        <v>0</v>
      </c>
      <c r="O66" s="1816">
        <v>0</v>
      </c>
      <c r="P66" s="1816">
        <v>1186842</v>
      </c>
      <c r="Q66" s="1817">
        <v>0</v>
      </c>
    </row>
    <row r="67" spans="1:17" ht="38.25" outlineLevel="5">
      <c r="A67" s="1208" t="s">
        <v>717</v>
      </c>
      <c r="B67" s="1814" t="s">
        <v>3574</v>
      </c>
      <c r="C67" s="1814" t="s">
        <v>3311</v>
      </c>
      <c r="D67" s="1814" t="s">
        <v>3553</v>
      </c>
      <c r="E67" s="1814" t="s">
        <v>3579</v>
      </c>
      <c r="F67" s="1814" t="s">
        <v>3310</v>
      </c>
      <c r="G67" s="1815" t="s">
        <v>655</v>
      </c>
      <c r="H67" s="1814" t="s">
        <v>3257</v>
      </c>
      <c r="I67" s="1816">
        <v>0</v>
      </c>
      <c r="J67" s="1816">
        <v>1115631.48</v>
      </c>
      <c r="K67" s="1816">
        <v>1115631.48</v>
      </c>
      <c r="L67" s="1816">
        <v>0</v>
      </c>
      <c r="M67" s="1816">
        <v>1115631.48</v>
      </c>
      <c r="N67" s="1816">
        <v>1115631.48</v>
      </c>
      <c r="O67" s="1816">
        <v>1115631.48</v>
      </c>
      <c r="P67" s="1816">
        <v>1115631.48</v>
      </c>
      <c r="Q67" s="1817">
        <v>0</v>
      </c>
    </row>
    <row r="68" spans="1:17" ht="38.25" outlineLevel="5">
      <c r="A68" s="1208" t="s">
        <v>717</v>
      </c>
      <c r="B68" s="1814" t="s">
        <v>3574</v>
      </c>
      <c r="C68" s="1814" t="s">
        <v>3311</v>
      </c>
      <c r="D68" s="1814" t="s">
        <v>3553</v>
      </c>
      <c r="E68" s="1814" t="s">
        <v>3579</v>
      </c>
      <c r="F68" s="1814" t="s">
        <v>3310</v>
      </c>
      <c r="G68" s="1815" t="s">
        <v>655</v>
      </c>
      <c r="H68" s="1814" t="s">
        <v>3241</v>
      </c>
      <c r="I68" s="1816">
        <v>0</v>
      </c>
      <c r="J68" s="1816">
        <v>71210.52</v>
      </c>
      <c r="K68" s="1816">
        <v>71210.52</v>
      </c>
      <c r="L68" s="1816">
        <v>0</v>
      </c>
      <c r="M68" s="1816">
        <v>71210.52</v>
      </c>
      <c r="N68" s="1816">
        <v>71210.52</v>
      </c>
      <c r="O68" s="1816">
        <v>71210.52</v>
      </c>
      <c r="P68" s="1816">
        <v>71210.52</v>
      </c>
      <c r="Q68" s="1817">
        <v>0</v>
      </c>
    </row>
    <row r="69" spans="1:17" outlineLevel="2">
      <c r="A69" s="1801" t="s">
        <v>717</v>
      </c>
      <c r="B69" s="1802" t="s">
        <v>3574</v>
      </c>
      <c r="C69" s="1802" t="s">
        <v>3269</v>
      </c>
      <c r="D69" s="1802"/>
      <c r="E69" s="1802"/>
      <c r="F69" s="1802"/>
      <c r="G69" s="1803"/>
      <c r="H69" s="1802"/>
      <c r="I69" s="1804">
        <v>24463944.170000002</v>
      </c>
      <c r="J69" s="1804">
        <v>-6115986.4699999997</v>
      </c>
      <c r="K69" s="1804">
        <v>18347957.699999999</v>
      </c>
      <c r="L69" s="1804">
        <v>0</v>
      </c>
      <c r="M69" s="1804">
        <v>18347957.699999999</v>
      </c>
      <c r="N69" s="1804">
        <v>18347957.699999999</v>
      </c>
      <c r="O69" s="1804">
        <v>18347957.699999999</v>
      </c>
      <c r="P69" s="1804">
        <v>18347957.699999999</v>
      </c>
      <c r="Q69" s="1805">
        <v>0</v>
      </c>
    </row>
    <row r="70" spans="1:17" outlineLevel="3">
      <c r="A70" s="1212" t="s">
        <v>717</v>
      </c>
      <c r="B70" s="1806" t="s">
        <v>3574</v>
      </c>
      <c r="C70" s="1806" t="s">
        <v>3269</v>
      </c>
      <c r="D70" s="1806" t="s">
        <v>3561</v>
      </c>
      <c r="E70" s="1806"/>
      <c r="F70" s="1806"/>
      <c r="G70" s="1807"/>
      <c r="H70" s="1806"/>
      <c r="I70" s="1808">
        <v>24463944.170000002</v>
      </c>
      <c r="J70" s="1808">
        <v>-6115986.4699999997</v>
      </c>
      <c r="K70" s="1808">
        <v>18347957.699999999</v>
      </c>
      <c r="L70" s="1808">
        <v>0</v>
      </c>
      <c r="M70" s="1808">
        <v>18347957.699999999</v>
      </c>
      <c r="N70" s="1808">
        <v>18347957.699999999</v>
      </c>
      <c r="O70" s="1808">
        <v>18347957.699999999</v>
      </c>
      <c r="P70" s="1808">
        <v>18347957.699999999</v>
      </c>
      <c r="Q70" s="1809">
        <v>0</v>
      </c>
    </row>
    <row r="71" spans="1:17" outlineLevel="4">
      <c r="A71" s="1210" t="s">
        <v>717</v>
      </c>
      <c r="B71" s="1810" t="s">
        <v>3574</v>
      </c>
      <c r="C71" s="1810" t="s">
        <v>3269</v>
      </c>
      <c r="D71" s="1810" t="s">
        <v>3561</v>
      </c>
      <c r="E71" s="1810" t="s">
        <v>3578</v>
      </c>
      <c r="F71" s="1810"/>
      <c r="G71" s="1811"/>
      <c r="H71" s="1810"/>
      <c r="I71" s="1812">
        <v>24463944.170000002</v>
      </c>
      <c r="J71" s="1812">
        <v>-6115986.4699999997</v>
      </c>
      <c r="K71" s="1812">
        <v>18347957.699999999</v>
      </c>
      <c r="L71" s="1812">
        <v>0</v>
      </c>
      <c r="M71" s="1812">
        <v>18347957.699999999</v>
      </c>
      <c r="N71" s="1812">
        <v>18347957.699999999</v>
      </c>
      <c r="O71" s="1812">
        <v>18347957.699999999</v>
      </c>
      <c r="P71" s="1812">
        <v>18347957.699999999</v>
      </c>
      <c r="Q71" s="1813">
        <v>0</v>
      </c>
    </row>
    <row r="72" spans="1:17" ht="51" outlineLevel="5">
      <c r="A72" s="1208" t="s">
        <v>717</v>
      </c>
      <c r="B72" s="1814" t="s">
        <v>3574</v>
      </c>
      <c r="C72" s="1814" t="s">
        <v>3269</v>
      </c>
      <c r="D72" s="1814" t="s">
        <v>3561</v>
      </c>
      <c r="E72" s="1814" t="s">
        <v>3578</v>
      </c>
      <c r="F72" s="1814" t="s">
        <v>3268</v>
      </c>
      <c r="G72" s="1815" t="s">
        <v>670</v>
      </c>
      <c r="H72" s="1814"/>
      <c r="I72" s="1816">
        <v>0</v>
      </c>
      <c r="J72" s="1816">
        <v>0</v>
      </c>
      <c r="K72" s="1816">
        <v>0</v>
      </c>
      <c r="L72" s="1816">
        <v>0</v>
      </c>
      <c r="M72" s="1816">
        <v>0</v>
      </c>
      <c r="N72" s="1816">
        <v>0</v>
      </c>
      <c r="O72" s="1816">
        <v>0</v>
      </c>
      <c r="P72" s="1816">
        <v>18347957.699999999</v>
      </c>
      <c r="Q72" s="1817">
        <v>0</v>
      </c>
    </row>
    <row r="73" spans="1:17" ht="51" outlineLevel="5">
      <c r="A73" s="1208" t="s">
        <v>717</v>
      </c>
      <c r="B73" s="1814" t="s">
        <v>3574</v>
      </c>
      <c r="C73" s="1814" t="s">
        <v>3269</v>
      </c>
      <c r="D73" s="1814" t="s">
        <v>3561</v>
      </c>
      <c r="E73" s="1814" t="s">
        <v>3578</v>
      </c>
      <c r="F73" s="1814" t="s">
        <v>3268</v>
      </c>
      <c r="G73" s="1815" t="s">
        <v>670</v>
      </c>
      <c r="H73" s="1814" t="s">
        <v>3241</v>
      </c>
      <c r="I73" s="1816">
        <v>24463944.170000002</v>
      </c>
      <c r="J73" s="1816">
        <v>-6115986.4699999997</v>
      </c>
      <c r="K73" s="1816">
        <v>18347957.699999999</v>
      </c>
      <c r="L73" s="1816">
        <v>0</v>
      </c>
      <c r="M73" s="1816">
        <v>18347957.699999999</v>
      </c>
      <c r="N73" s="1816">
        <v>18347957.699999999</v>
      </c>
      <c r="O73" s="1816">
        <v>18347957.699999999</v>
      </c>
      <c r="P73" s="1816">
        <v>0</v>
      </c>
      <c r="Q73" s="1817">
        <v>0</v>
      </c>
    </row>
    <row r="74" spans="1:17" outlineLevel="2">
      <c r="A74" s="1801" t="s">
        <v>717</v>
      </c>
      <c r="B74" s="1802" t="s">
        <v>3574</v>
      </c>
      <c r="C74" s="1802" t="s">
        <v>3577</v>
      </c>
      <c r="D74" s="1802"/>
      <c r="E74" s="1802"/>
      <c r="F74" s="1802"/>
      <c r="G74" s="1803"/>
      <c r="H74" s="1802"/>
      <c r="I74" s="1804">
        <v>0</v>
      </c>
      <c r="J74" s="1804">
        <v>0</v>
      </c>
      <c r="K74" s="1804">
        <v>0</v>
      </c>
      <c r="L74" s="1804">
        <v>42553191.490000002</v>
      </c>
      <c r="M74" s="1804">
        <v>-42553191.490000002</v>
      </c>
      <c r="N74" s="1804">
        <v>0</v>
      </c>
      <c r="O74" s="1804">
        <v>0</v>
      </c>
      <c r="P74" s="1804">
        <v>0</v>
      </c>
      <c r="Q74" s="1805">
        <v>0</v>
      </c>
    </row>
    <row r="75" spans="1:17" outlineLevel="3">
      <c r="A75" s="1212" t="s">
        <v>717</v>
      </c>
      <c r="B75" s="1806" t="s">
        <v>3574</v>
      </c>
      <c r="C75" s="1806" t="s">
        <v>3577</v>
      </c>
      <c r="D75" s="1806" t="s">
        <v>3553</v>
      </c>
      <c r="E75" s="1806"/>
      <c r="F75" s="1806"/>
      <c r="G75" s="1807"/>
      <c r="H75" s="1806"/>
      <c r="I75" s="1808">
        <v>0</v>
      </c>
      <c r="J75" s="1808">
        <v>0</v>
      </c>
      <c r="K75" s="1808">
        <v>0</v>
      </c>
      <c r="L75" s="1808">
        <v>42553191.490000002</v>
      </c>
      <c r="M75" s="1808">
        <v>-42553191.490000002</v>
      </c>
      <c r="N75" s="1808">
        <v>0</v>
      </c>
      <c r="O75" s="1808">
        <v>0</v>
      </c>
      <c r="P75" s="1808">
        <v>0</v>
      </c>
      <c r="Q75" s="1809">
        <v>0</v>
      </c>
    </row>
    <row r="76" spans="1:17" outlineLevel="4">
      <c r="A76" s="1210" t="s">
        <v>717</v>
      </c>
      <c r="B76" s="1810" t="s">
        <v>3574</v>
      </c>
      <c r="C76" s="1810" t="s">
        <v>3577</v>
      </c>
      <c r="D76" s="1810" t="s">
        <v>3553</v>
      </c>
      <c r="E76" s="1810" t="s">
        <v>3576</v>
      </c>
      <c r="F76" s="1810"/>
      <c r="G76" s="1811"/>
      <c r="H76" s="1810"/>
      <c r="I76" s="1812">
        <v>0</v>
      </c>
      <c r="J76" s="1812">
        <v>0</v>
      </c>
      <c r="K76" s="1812">
        <v>0</v>
      </c>
      <c r="L76" s="1812">
        <v>42553191.490000002</v>
      </c>
      <c r="M76" s="1812">
        <v>-42553191.490000002</v>
      </c>
      <c r="N76" s="1812">
        <v>0</v>
      </c>
      <c r="O76" s="1812">
        <v>0</v>
      </c>
      <c r="P76" s="1812">
        <v>0</v>
      </c>
      <c r="Q76" s="1813">
        <v>0</v>
      </c>
    </row>
    <row r="77" spans="1:17" ht="38.25" outlineLevel="5">
      <c r="A77" s="1208" t="s">
        <v>717</v>
      </c>
      <c r="B77" s="1814" t="s">
        <v>3574</v>
      </c>
      <c r="C77" s="1814" t="s">
        <v>3577</v>
      </c>
      <c r="D77" s="1814" t="s">
        <v>3553</v>
      </c>
      <c r="E77" s="1814" t="s">
        <v>3576</v>
      </c>
      <c r="F77" s="1814" t="s">
        <v>3263</v>
      </c>
      <c r="G77" s="1815" t="s">
        <v>3018</v>
      </c>
      <c r="H77" s="1814" t="s">
        <v>3257</v>
      </c>
      <c r="I77" s="1816">
        <v>0</v>
      </c>
      <c r="J77" s="1816">
        <v>0</v>
      </c>
      <c r="K77" s="1816">
        <v>0</v>
      </c>
      <c r="L77" s="1816">
        <v>40000000</v>
      </c>
      <c r="M77" s="1816">
        <v>-40000000</v>
      </c>
      <c r="N77" s="1816">
        <v>0</v>
      </c>
      <c r="O77" s="1816">
        <v>0</v>
      </c>
      <c r="P77" s="1816">
        <v>0</v>
      </c>
      <c r="Q77" s="1817">
        <v>0</v>
      </c>
    </row>
    <row r="78" spans="1:17" ht="38.25" outlineLevel="5">
      <c r="A78" s="1208" t="s">
        <v>717</v>
      </c>
      <c r="B78" s="1814" t="s">
        <v>3574</v>
      </c>
      <c r="C78" s="1814" t="s">
        <v>3577</v>
      </c>
      <c r="D78" s="1814" t="s">
        <v>3553</v>
      </c>
      <c r="E78" s="1814" t="s">
        <v>3576</v>
      </c>
      <c r="F78" s="1814" t="s">
        <v>3263</v>
      </c>
      <c r="G78" s="1815" t="s">
        <v>3018</v>
      </c>
      <c r="H78" s="1814" t="s">
        <v>3241</v>
      </c>
      <c r="I78" s="1816">
        <v>0</v>
      </c>
      <c r="J78" s="1816">
        <v>0</v>
      </c>
      <c r="K78" s="1816">
        <v>0</v>
      </c>
      <c r="L78" s="1816">
        <v>2553191.4900000002</v>
      </c>
      <c r="M78" s="1816">
        <v>-2553191.4900000002</v>
      </c>
      <c r="N78" s="1816">
        <v>0</v>
      </c>
      <c r="O78" s="1816">
        <v>0</v>
      </c>
      <c r="P78" s="1816">
        <v>0</v>
      </c>
      <c r="Q78" s="1817">
        <v>0</v>
      </c>
    </row>
    <row r="79" spans="1:17" outlineLevel="2">
      <c r="A79" s="1801" t="s">
        <v>717</v>
      </c>
      <c r="B79" s="1802" t="s">
        <v>3574</v>
      </c>
      <c r="C79" s="1802" t="s">
        <v>3264</v>
      </c>
      <c r="D79" s="1802"/>
      <c r="E79" s="1802"/>
      <c r="F79" s="1802"/>
      <c r="G79" s="1803"/>
      <c r="H79" s="1802"/>
      <c r="I79" s="1804">
        <v>0</v>
      </c>
      <c r="J79" s="1804">
        <v>6064315.0700000003</v>
      </c>
      <c r="K79" s="1804">
        <v>6064315.0700000003</v>
      </c>
      <c r="L79" s="1804">
        <v>0</v>
      </c>
      <c r="M79" s="1804">
        <v>6064315.0700000003</v>
      </c>
      <c r="N79" s="1804">
        <v>6064315.0700000003</v>
      </c>
      <c r="O79" s="1804">
        <v>5671830.4199999999</v>
      </c>
      <c r="P79" s="1804">
        <v>5671830.4199999999</v>
      </c>
      <c r="Q79" s="1805">
        <v>392484.65</v>
      </c>
    </row>
    <row r="80" spans="1:17" outlineLevel="3">
      <c r="A80" s="1212" t="s">
        <v>717</v>
      </c>
      <c r="B80" s="1806" t="s">
        <v>3574</v>
      </c>
      <c r="C80" s="1806" t="s">
        <v>3264</v>
      </c>
      <c r="D80" s="1806" t="s">
        <v>3553</v>
      </c>
      <c r="E80" s="1806"/>
      <c r="F80" s="1806"/>
      <c r="G80" s="1807"/>
      <c r="H80" s="1806"/>
      <c r="I80" s="1808">
        <v>0</v>
      </c>
      <c r="J80" s="1808">
        <v>6064315.0700000003</v>
      </c>
      <c r="K80" s="1808">
        <v>6064315.0700000003</v>
      </c>
      <c r="L80" s="1808">
        <v>0</v>
      </c>
      <c r="M80" s="1808">
        <v>6064315.0700000003</v>
      </c>
      <c r="N80" s="1808">
        <v>6064315.0700000003</v>
      </c>
      <c r="O80" s="1808">
        <v>5671830.4199999999</v>
      </c>
      <c r="P80" s="1808">
        <v>5671830.4199999999</v>
      </c>
      <c r="Q80" s="1809">
        <v>392484.65</v>
      </c>
    </row>
    <row r="81" spans="1:17" outlineLevel="4">
      <c r="A81" s="1210" t="s">
        <v>717</v>
      </c>
      <c r="B81" s="1810" t="s">
        <v>3574</v>
      </c>
      <c r="C81" s="1810" t="s">
        <v>3264</v>
      </c>
      <c r="D81" s="1810" t="s">
        <v>3553</v>
      </c>
      <c r="E81" s="1810"/>
      <c r="F81" s="1810"/>
      <c r="G81" s="1811"/>
      <c r="H81" s="1810"/>
      <c r="I81" s="1812">
        <v>0</v>
      </c>
      <c r="J81" s="1812">
        <v>0</v>
      </c>
      <c r="K81" s="1812">
        <v>0</v>
      </c>
      <c r="L81" s="1812">
        <v>0</v>
      </c>
      <c r="M81" s="1812">
        <v>0</v>
      </c>
      <c r="N81" s="1812">
        <v>0</v>
      </c>
      <c r="O81" s="1812">
        <v>0</v>
      </c>
      <c r="P81" s="1812">
        <v>1644836.48</v>
      </c>
      <c r="Q81" s="1813">
        <v>0</v>
      </c>
    </row>
    <row r="82" spans="1:17" outlineLevel="5">
      <c r="A82" s="1208" t="s">
        <v>717</v>
      </c>
      <c r="B82" s="1814" t="s">
        <v>3574</v>
      </c>
      <c r="C82" s="1814" t="s">
        <v>3264</v>
      </c>
      <c r="D82" s="1814" t="s">
        <v>3553</v>
      </c>
      <c r="E82" s="1814"/>
      <c r="F82" s="1814"/>
      <c r="G82" s="1815"/>
      <c r="H82" s="1814"/>
      <c r="I82" s="1816">
        <v>0</v>
      </c>
      <c r="J82" s="1816">
        <v>0</v>
      </c>
      <c r="K82" s="1816">
        <v>0</v>
      </c>
      <c r="L82" s="1816">
        <v>0</v>
      </c>
      <c r="M82" s="1816">
        <v>0</v>
      </c>
      <c r="N82" s="1816">
        <v>0</v>
      </c>
      <c r="O82" s="1816">
        <v>0</v>
      </c>
      <c r="P82" s="1816">
        <v>163215.57999999999</v>
      </c>
      <c r="Q82" s="1817">
        <v>0</v>
      </c>
    </row>
    <row r="83" spans="1:17" ht="38.25" outlineLevel="5">
      <c r="A83" s="1208" t="s">
        <v>717</v>
      </c>
      <c r="B83" s="1814" t="s">
        <v>3574</v>
      </c>
      <c r="C83" s="1814" t="s">
        <v>3264</v>
      </c>
      <c r="D83" s="1814" t="s">
        <v>3553</v>
      </c>
      <c r="E83" s="1814"/>
      <c r="F83" s="1814" t="s">
        <v>3263</v>
      </c>
      <c r="G83" s="1815" t="s">
        <v>3018</v>
      </c>
      <c r="H83" s="1814" t="s">
        <v>3241</v>
      </c>
      <c r="I83" s="1816">
        <v>0</v>
      </c>
      <c r="J83" s="1816">
        <v>0</v>
      </c>
      <c r="K83" s="1816">
        <v>0</v>
      </c>
      <c r="L83" s="1816">
        <v>0</v>
      </c>
      <c r="M83" s="1816">
        <v>0</v>
      </c>
      <c r="N83" s="1816">
        <v>0</v>
      </c>
      <c r="O83" s="1816">
        <v>0</v>
      </c>
      <c r="P83" s="1816">
        <v>1481620.9</v>
      </c>
      <c r="Q83" s="1817">
        <v>0</v>
      </c>
    </row>
    <row r="84" spans="1:17" outlineLevel="4">
      <c r="A84" s="1210" t="s">
        <v>717</v>
      </c>
      <c r="B84" s="1810" t="s">
        <v>3574</v>
      </c>
      <c r="C84" s="1810" t="s">
        <v>3264</v>
      </c>
      <c r="D84" s="1810" t="s">
        <v>3553</v>
      </c>
      <c r="E84" s="1810" t="s">
        <v>3575</v>
      </c>
      <c r="F84" s="1810"/>
      <c r="G84" s="1811"/>
      <c r="H84" s="1810"/>
      <c r="I84" s="1812">
        <v>0</v>
      </c>
      <c r="J84" s="1812">
        <v>6064315.0700000003</v>
      </c>
      <c r="K84" s="1812">
        <v>6064315.0700000003</v>
      </c>
      <c r="L84" s="1812">
        <v>0</v>
      </c>
      <c r="M84" s="1812">
        <v>6064315.0700000003</v>
      </c>
      <c r="N84" s="1812">
        <v>6064315.0700000003</v>
      </c>
      <c r="O84" s="1812">
        <v>5671830.4199999999</v>
      </c>
      <c r="P84" s="1812">
        <v>4026993.94</v>
      </c>
      <c r="Q84" s="1813">
        <v>392484.65</v>
      </c>
    </row>
    <row r="85" spans="1:17" ht="38.25" outlineLevel="5">
      <c r="A85" s="1208" t="s">
        <v>717</v>
      </c>
      <c r="B85" s="1814" t="s">
        <v>3574</v>
      </c>
      <c r="C85" s="1814" t="s">
        <v>3264</v>
      </c>
      <c r="D85" s="1814" t="s">
        <v>3553</v>
      </c>
      <c r="E85" s="1814" t="s">
        <v>3575</v>
      </c>
      <c r="F85" s="1814" t="s">
        <v>3263</v>
      </c>
      <c r="G85" s="1815" t="s">
        <v>3018</v>
      </c>
      <c r="H85" s="1814"/>
      <c r="I85" s="1816">
        <v>0</v>
      </c>
      <c r="J85" s="1816">
        <v>0</v>
      </c>
      <c r="K85" s="1816">
        <v>0</v>
      </c>
      <c r="L85" s="1816">
        <v>0</v>
      </c>
      <c r="M85" s="1816">
        <v>0</v>
      </c>
      <c r="N85" s="1816">
        <v>0</v>
      </c>
      <c r="O85" s="1816">
        <v>0</v>
      </c>
      <c r="P85" s="1816">
        <v>5671830.4199999999</v>
      </c>
      <c r="Q85" s="1817">
        <v>0</v>
      </c>
    </row>
    <row r="86" spans="1:17" ht="38.25" outlineLevel="5">
      <c r="A86" s="1208" t="s">
        <v>717</v>
      </c>
      <c r="B86" s="1814" t="s">
        <v>3574</v>
      </c>
      <c r="C86" s="1814" t="s">
        <v>3264</v>
      </c>
      <c r="D86" s="1814" t="s">
        <v>3553</v>
      </c>
      <c r="E86" s="1814" t="s">
        <v>3575</v>
      </c>
      <c r="F86" s="1814" t="s">
        <v>3263</v>
      </c>
      <c r="G86" s="1815" t="s">
        <v>3018</v>
      </c>
      <c r="H86" s="1814" t="s">
        <v>3257</v>
      </c>
      <c r="I86" s="1816">
        <v>0</v>
      </c>
      <c r="J86" s="1816">
        <v>4026993.94</v>
      </c>
      <c r="K86" s="1816">
        <v>4026993.94</v>
      </c>
      <c r="L86" s="1816">
        <v>0</v>
      </c>
      <c r="M86" s="1816">
        <v>4026993.94</v>
      </c>
      <c r="N86" s="1816">
        <v>4026993.94</v>
      </c>
      <c r="O86" s="1816">
        <v>4026993.94</v>
      </c>
      <c r="P86" s="1816">
        <v>4026993.94</v>
      </c>
      <c r="Q86" s="1817">
        <v>0</v>
      </c>
    </row>
    <row r="87" spans="1:17" ht="38.25" outlineLevel="5">
      <c r="A87" s="1208" t="s">
        <v>717</v>
      </c>
      <c r="B87" s="1814" t="s">
        <v>3574</v>
      </c>
      <c r="C87" s="1814" t="s">
        <v>3264</v>
      </c>
      <c r="D87" s="1814" t="s">
        <v>3553</v>
      </c>
      <c r="E87" s="1814" t="s">
        <v>3575</v>
      </c>
      <c r="F87" s="1814" t="s">
        <v>3263</v>
      </c>
      <c r="G87" s="1815" t="s">
        <v>3018</v>
      </c>
      <c r="H87" s="1814" t="s">
        <v>3241</v>
      </c>
      <c r="I87" s="1816">
        <v>0</v>
      </c>
      <c r="J87" s="1816">
        <v>2037321.13</v>
      </c>
      <c r="K87" s="1816">
        <v>2037321.13</v>
      </c>
      <c r="L87" s="1816">
        <v>0</v>
      </c>
      <c r="M87" s="1816">
        <v>2037321.13</v>
      </c>
      <c r="N87" s="1816">
        <v>2037321.13</v>
      </c>
      <c r="O87" s="1816">
        <v>1644836.48</v>
      </c>
      <c r="P87" s="1816">
        <v>1644836.48</v>
      </c>
      <c r="Q87" s="1817">
        <v>392484.65</v>
      </c>
    </row>
    <row r="88" spans="1:17" outlineLevel="2">
      <c r="A88" s="1801" t="s">
        <v>717</v>
      </c>
      <c r="B88" s="1802" t="s">
        <v>3574</v>
      </c>
      <c r="C88" s="1802" t="s">
        <v>3254</v>
      </c>
      <c r="D88" s="1802"/>
      <c r="E88" s="1802"/>
      <c r="F88" s="1802"/>
      <c r="G88" s="1803"/>
      <c r="H88" s="1802"/>
      <c r="I88" s="1804">
        <v>6250000</v>
      </c>
      <c r="J88" s="1804">
        <v>-2299750</v>
      </c>
      <c r="K88" s="1804">
        <v>3950250</v>
      </c>
      <c r="L88" s="1804">
        <v>0</v>
      </c>
      <c r="M88" s="1804">
        <v>3950250</v>
      </c>
      <c r="N88" s="1804">
        <v>3950250</v>
      </c>
      <c r="O88" s="1804">
        <v>3950250</v>
      </c>
      <c r="P88" s="1804">
        <v>3950250</v>
      </c>
      <c r="Q88" s="1805">
        <v>0</v>
      </c>
    </row>
    <row r="89" spans="1:17" outlineLevel="3">
      <c r="A89" s="1212" t="s">
        <v>717</v>
      </c>
      <c r="B89" s="1806" t="s">
        <v>3574</v>
      </c>
      <c r="C89" s="1806" t="s">
        <v>3254</v>
      </c>
      <c r="D89" s="1806" t="s">
        <v>3553</v>
      </c>
      <c r="E89" s="1806"/>
      <c r="F89" s="1806"/>
      <c r="G89" s="1807"/>
      <c r="H89" s="1806"/>
      <c r="I89" s="1808">
        <v>6250000</v>
      </c>
      <c r="J89" s="1808">
        <v>-2299750</v>
      </c>
      <c r="K89" s="1808">
        <v>3950250</v>
      </c>
      <c r="L89" s="1808">
        <v>0</v>
      </c>
      <c r="M89" s="1808">
        <v>3950250</v>
      </c>
      <c r="N89" s="1808">
        <v>3950250</v>
      </c>
      <c r="O89" s="1808">
        <v>3950250</v>
      </c>
      <c r="P89" s="1808">
        <v>3950250</v>
      </c>
      <c r="Q89" s="1809">
        <v>0</v>
      </c>
    </row>
    <row r="90" spans="1:17" outlineLevel="4">
      <c r="A90" s="1210" t="s">
        <v>717</v>
      </c>
      <c r="B90" s="1810" t="s">
        <v>3574</v>
      </c>
      <c r="C90" s="1810" t="s">
        <v>3254</v>
      </c>
      <c r="D90" s="1810" t="s">
        <v>3553</v>
      </c>
      <c r="E90" s="1810" t="s">
        <v>3550</v>
      </c>
      <c r="F90" s="1810"/>
      <c r="G90" s="1811"/>
      <c r="H90" s="1810"/>
      <c r="I90" s="1812">
        <v>6250000</v>
      </c>
      <c r="J90" s="1812">
        <v>-2299750</v>
      </c>
      <c r="K90" s="1812">
        <v>3950250</v>
      </c>
      <c r="L90" s="1812">
        <v>0</v>
      </c>
      <c r="M90" s="1812">
        <v>3950250</v>
      </c>
      <c r="N90" s="1812">
        <v>3950250</v>
      </c>
      <c r="O90" s="1812">
        <v>3950250</v>
      </c>
      <c r="P90" s="1812">
        <v>3950250</v>
      </c>
      <c r="Q90" s="1813">
        <v>0</v>
      </c>
    </row>
    <row r="91" spans="1:17" outlineLevel="5">
      <c r="A91" s="1208" t="s">
        <v>717</v>
      </c>
      <c r="B91" s="1814" t="s">
        <v>3574</v>
      </c>
      <c r="C91" s="1814" t="s">
        <v>3254</v>
      </c>
      <c r="D91" s="1814" t="s">
        <v>3553</v>
      </c>
      <c r="E91" s="1814" t="s">
        <v>3550</v>
      </c>
      <c r="F91" s="1814" t="s">
        <v>3253</v>
      </c>
      <c r="G91" s="1815" t="s">
        <v>3252</v>
      </c>
      <c r="H91" s="1814"/>
      <c r="I91" s="1816">
        <v>0</v>
      </c>
      <c r="J91" s="1816">
        <v>0</v>
      </c>
      <c r="K91" s="1816">
        <v>0</v>
      </c>
      <c r="L91" s="1816">
        <v>0</v>
      </c>
      <c r="M91" s="1816">
        <v>0</v>
      </c>
      <c r="N91" s="1816">
        <v>0</v>
      </c>
      <c r="O91" s="1816">
        <v>0</v>
      </c>
      <c r="P91" s="1816">
        <v>3950250</v>
      </c>
      <c r="Q91" s="1817">
        <v>0</v>
      </c>
    </row>
    <row r="92" spans="1:17" outlineLevel="5">
      <c r="A92" s="1208" t="s">
        <v>717</v>
      </c>
      <c r="B92" s="1814" t="s">
        <v>3574</v>
      </c>
      <c r="C92" s="1814" t="s">
        <v>3254</v>
      </c>
      <c r="D92" s="1814" t="s">
        <v>3553</v>
      </c>
      <c r="E92" s="1814" t="s">
        <v>3550</v>
      </c>
      <c r="F92" s="1814" t="s">
        <v>3253</v>
      </c>
      <c r="G92" s="1815" t="s">
        <v>3252</v>
      </c>
      <c r="H92" s="1814" t="s">
        <v>3241</v>
      </c>
      <c r="I92" s="1816">
        <v>6250000</v>
      </c>
      <c r="J92" s="1816">
        <v>-2299750</v>
      </c>
      <c r="K92" s="1816">
        <v>3950250</v>
      </c>
      <c r="L92" s="1816">
        <v>0</v>
      </c>
      <c r="M92" s="1816">
        <v>3950250</v>
      </c>
      <c r="N92" s="1816">
        <v>3950250</v>
      </c>
      <c r="O92" s="1816">
        <v>3950250</v>
      </c>
      <c r="P92" s="1816">
        <v>0</v>
      </c>
      <c r="Q92" s="1817">
        <v>0</v>
      </c>
    </row>
    <row r="93" spans="1:17" outlineLevel="2">
      <c r="A93" s="1801" t="s">
        <v>717</v>
      </c>
      <c r="B93" s="1802" t="s">
        <v>3574</v>
      </c>
      <c r="C93" s="1802" t="s">
        <v>3573</v>
      </c>
      <c r="D93" s="1802"/>
      <c r="E93" s="1802"/>
      <c r="F93" s="1802"/>
      <c r="G93" s="1803"/>
      <c r="H93" s="1802"/>
      <c r="I93" s="1804">
        <v>0</v>
      </c>
      <c r="J93" s="1804">
        <v>4881790.1399999997</v>
      </c>
      <c r="K93" s="1804">
        <v>4881790.1399999997</v>
      </c>
      <c r="L93" s="1804">
        <v>0</v>
      </c>
      <c r="M93" s="1804">
        <v>4881790.1399999997</v>
      </c>
      <c r="N93" s="1804">
        <v>4881790.1399999997</v>
      </c>
      <c r="O93" s="1804">
        <v>4881790.1399999997</v>
      </c>
      <c r="P93" s="1804">
        <v>4881790.1399999997</v>
      </c>
      <c r="Q93" s="1805">
        <v>0</v>
      </c>
    </row>
    <row r="94" spans="1:17" outlineLevel="3">
      <c r="A94" s="1212" t="s">
        <v>717</v>
      </c>
      <c r="B94" s="1806" t="s">
        <v>3574</v>
      </c>
      <c r="C94" s="1806" t="s">
        <v>3573</v>
      </c>
      <c r="D94" s="1806" t="s">
        <v>3553</v>
      </c>
      <c r="E94" s="1806"/>
      <c r="F94" s="1806"/>
      <c r="G94" s="1807"/>
      <c r="H94" s="1806"/>
      <c r="I94" s="1808">
        <v>0</v>
      </c>
      <c r="J94" s="1808">
        <v>4881790.1399999997</v>
      </c>
      <c r="K94" s="1808">
        <v>4881790.1399999997</v>
      </c>
      <c r="L94" s="1808">
        <v>0</v>
      </c>
      <c r="M94" s="1808">
        <v>4881790.1399999997</v>
      </c>
      <c r="N94" s="1808">
        <v>4881790.1399999997</v>
      </c>
      <c r="O94" s="1808">
        <v>4881790.1399999997</v>
      </c>
      <c r="P94" s="1808">
        <v>4881790.1399999997</v>
      </c>
      <c r="Q94" s="1809">
        <v>0</v>
      </c>
    </row>
    <row r="95" spans="1:17" outlineLevel="4">
      <c r="A95" s="1210" t="s">
        <v>717</v>
      </c>
      <c r="B95" s="1810" t="s">
        <v>3574</v>
      </c>
      <c r="C95" s="1810" t="s">
        <v>3573</v>
      </c>
      <c r="D95" s="1810" t="s">
        <v>3553</v>
      </c>
      <c r="E95" s="1810" t="s">
        <v>3572</v>
      </c>
      <c r="F95" s="1810"/>
      <c r="G95" s="1811"/>
      <c r="H95" s="1810"/>
      <c r="I95" s="1812">
        <v>0</v>
      </c>
      <c r="J95" s="1812">
        <v>4881790.1399999997</v>
      </c>
      <c r="K95" s="1812">
        <v>4881790.1399999997</v>
      </c>
      <c r="L95" s="1812">
        <v>0</v>
      </c>
      <c r="M95" s="1812">
        <v>4881790.1399999997</v>
      </c>
      <c r="N95" s="1812">
        <v>4881790.1399999997</v>
      </c>
      <c r="O95" s="1812">
        <v>4881790.1399999997</v>
      </c>
      <c r="P95" s="1812">
        <v>4881790.1399999997</v>
      </c>
      <c r="Q95" s="1813">
        <v>0</v>
      </c>
    </row>
    <row r="96" spans="1:17" ht="25.5" outlineLevel="5">
      <c r="A96" s="1208" t="s">
        <v>717</v>
      </c>
      <c r="B96" s="1814" t="s">
        <v>3574</v>
      </c>
      <c r="C96" s="1814" t="s">
        <v>3573</v>
      </c>
      <c r="D96" s="1814" t="s">
        <v>3553</v>
      </c>
      <c r="E96" s="1814" t="s">
        <v>3572</v>
      </c>
      <c r="F96" s="1814" t="s">
        <v>3571</v>
      </c>
      <c r="G96" s="1815" t="s">
        <v>3570</v>
      </c>
      <c r="H96" s="1814" t="s">
        <v>3241</v>
      </c>
      <c r="I96" s="1816">
        <v>0</v>
      </c>
      <c r="J96" s="1816">
        <v>4881790.1399999997</v>
      </c>
      <c r="K96" s="1816">
        <v>4881790.1399999997</v>
      </c>
      <c r="L96" s="1816">
        <v>0</v>
      </c>
      <c r="M96" s="1816">
        <v>4881790.1399999997</v>
      </c>
      <c r="N96" s="1816">
        <v>4881790.1399999997</v>
      </c>
      <c r="O96" s="1816">
        <v>4881790.1399999997</v>
      </c>
      <c r="P96" s="1816">
        <v>4881790.1399999997</v>
      </c>
      <c r="Q96" s="1817">
        <v>0</v>
      </c>
    </row>
    <row r="97" spans="1:17" outlineLevel="1">
      <c r="A97" s="1796" t="s">
        <v>717</v>
      </c>
      <c r="B97" s="1797" t="s">
        <v>3554</v>
      </c>
      <c r="C97" s="1797"/>
      <c r="D97" s="1797"/>
      <c r="E97" s="1797"/>
      <c r="F97" s="1797"/>
      <c r="G97" s="1798"/>
      <c r="H97" s="1797"/>
      <c r="I97" s="1799">
        <v>1105744955.1800001</v>
      </c>
      <c r="J97" s="1799">
        <v>136298375.72999999</v>
      </c>
      <c r="K97" s="1799">
        <v>1242043330.9100001</v>
      </c>
      <c r="L97" s="1799">
        <v>61097228.829999998</v>
      </c>
      <c r="M97" s="1799">
        <v>1177490766.8499999</v>
      </c>
      <c r="N97" s="1799">
        <v>1238587995.6800001</v>
      </c>
      <c r="O97" s="1799">
        <v>1237787201.0799999</v>
      </c>
      <c r="P97" s="1799">
        <v>1237787201.0799999</v>
      </c>
      <c r="Q97" s="1800">
        <v>4256129.83</v>
      </c>
    </row>
    <row r="98" spans="1:17" outlineLevel="2">
      <c r="A98" s="1801" t="s">
        <v>717</v>
      </c>
      <c r="B98" s="1802" t="s">
        <v>3554</v>
      </c>
      <c r="C98" s="1802" t="s">
        <v>3337</v>
      </c>
      <c r="D98" s="1802"/>
      <c r="E98" s="1802"/>
      <c r="F98" s="1802"/>
      <c r="G98" s="1803"/>
      <c r="H98" s="1802"/>
      <c r="I98" s="1804">
        <v>40000000</v>
      </c>
      <c r="J98" s="1804">
        <v>9000000</v>
      </c>
      <c r="K98" s="1804">
        <v>49000000</v>
      </c>
      <c r="L98" s="1804">
        <v>0</v>
      </c>
      <c r="M98" s="1804">
        <v>49000000</v>
      </c>
      <c r="N98" s="1804">
        <v>49000000</v>
      </c>
      <c r="O98" s="1804">
        <v>49000000</v>
      </c>
      <c r="P98" s="1804">
        <v>49000000</v>
      </c>
      <c r="Q98" s="1805">
        <v>0</v>
      </c>
    </row>
    <row r="99" spans="1:17" outlineLevel="3">
      <c r="A99" s="1212" t="s">
        <v>717</v>
      </c>
      <c r="B99" s="1806" t="s">
        <v>3554</v>
      </c>
      <c r="C99" s="1806" t="s">
        <v>3337</v>
      </c>
      <c r="D99" s="1806" t="s">
        <v>3569</v>
      </c>
      <c r="E99" s="1806"/>
      <c r="F99" s="1806"/>
      <c r="G99" s="1807"/>
      <c r="H99" s="1806"/>
      <c r="I99" s="1808">
        <v>40000000</v>
      </c>
      <c r="J99" s="1808">
        <v>9000000</v>
      </c>
      <c r="K99" s="1808">
        <v>49000000</v>
      </c>
      <c r="L99" s="1808">
        <v>0</v>
      </c>
      <c r="M99" s="1808">
        <v>49000000</v>
      </c>
      <c r="N99" s="1808">
        <v>49000000</v>
      </c>
      <c r="O99" s="1808">
        <v>49000000</v>
      </c>
      <c r="P99" s="1808">
        <v>49000000</v>
      </c>
      <c r="Q99" s="1809">
        <v>0</v>
      </c>
    </row>
    <row r="100" spans="1:17" outlineLevel="4">
      <c r="A100" s="1210" t="s">
        <v>717</v>
      </c>
      <c r="B100" s="1810" t="s">
        <v>3554</v>
      </c>
      <c r="C100" s="1810" t="s">
        <v>3337</v>
      </c>
      <c r="D100" s="1810" t="s">
        <v>3569</v>
      </c>
      <c r="E100" s="1810" t="s">
        <v>3550</v>
      </c>
      <c r="F100" s="1810"/>
      <c r="G100" s="1811"/>
      <c r="H100" s="1810"/>
      <c r="I100" s="1812">
        <v>40000000</v>
      </c>
      <c r="J100" s="1812">
        <v>9000000</v>
      </c>
      <c r="K100" s="1812">
        <v>49000000</v>
      </c>
      <c r="L100" s="1812">
        <v>0</v>
      </c>
      <c r="M100" s="1812">
        <v>49000000</v>
      </c>
      <c r="N100" s="1812">
        <v>49000000</v>
      </c>
      <c r="O100" s="1812">
        <v>49000000</v>
      </c>
      <c r="P100" s="1812">
        <v>49000000</v>
      </c>
      <c r="Q100" s="1813">
        <v>0</v>
      </c>
    </row>
    <row r="101" spans="1:17" ht="63.75" outlineLevel="5">
      <c r="A101" s="1208" t="s">
        <v>717</v>
      </c>
      <c r="B101" s="1814" t="s">
        <v>3554</v>
      </c>
      <c r="C101" s="1814" t="s">
        <v>3337</v>
      </c>
      <c r="D101" s="1814" t="s">
        <v>3569</v>
      </c>
      <c r="E101" s="1814" t="s">
        <v>3550</v>
      </c>
      <c r="F101" s="1814" t="s">
        <v>3336</v>
      </c>
      <c r="G101" s="1815" t="s">
        <v>3335</v>
      </c>
      <c r="H101" s="1814"/>
      <c r="I101" s="1816">
        <v>0</v>
      </c>
      <c r="J101" s="1816">
        <v>0</v>
      </c>
      <c r="K101" s="1816">
        <v>0</v>
      </c>
      <c r="L101" s="1816">
        <v>0</v>
      </c>
      <c r="M101" s="1816">
        <v>0</v>
      </c>
      <c r="N101" s="1816">
        <v>0</v>
      </c>
      <c r="O101" s="1816">
        <v>0</v>
      </c>
      <c r="P101" s="1816">
        <v>49000000</v>
      </c>
      <c r="Q101" s="1817">
        <v>0</v>
      </c>
    </row>
    <row r="102" spans="1:17" ht="63.75" outlineLevel="5">
      <c r="A102" s="1208" t="s">
        <v>717</v>
      </c>
      <c r="B102" s="1814" t="s">
        <v>3554</v>
      </c>
      <c r="C102" s="1814" t="s">
        <v>3337</v>
      </c>
      <c r="D102" s="1814" t="s">
        <v>3569</v>
      </c>
      <c r="E102" s="1814" t="s">
        <v>3550</v>
      </c>
      <c r="F102" s="1814" t="s">
        <v>3336</v>
      </c>
      <c r="G102" s="1815" t="s">
        <v>3335</v>
      </c>
      <c r="H102" s="1814" t="s">
        <v>3241</v>
      </c>
      <c r="I102" s="1816">
        <v>40000000</v>
      </c>
      <c r="J102" s="1816">
        <v>9000000</v>
      </c>
      <c r="K102" s="1816">
        <v>49000000</v>
      </c>
      <c r="L102" s="1816">
        <v>0</v>
      </c>
      <c r="M102" s="1816">
        <v>49000000</v>
      </c>
      <c r="N102" s="1816">
        <v>49000000</v>
      </c>
      <c r="O102" s="1816">
        <v>49000000</v>
      </c>
      <c r="P102" s="1816">
        <v>0</v>
      </c>
      <c r="Q102" s="1817">
        <v>0</v>
      </c>
    </row>
    <row r="103" spans="1:17" outlineLevel="2">
      <c r="A103" s="1801" t="s">
        <v>717</v>
      </c>
      <c r="B103" s="1802" t="s">
        <v>3554</v>
      </c>
      <c r="C103" s="1802" t="s">
        <v>3333</v>
      </c>
      <c r="D103" s="1802"/>
      <c r="E103" s="1802"/>
      <c r="F103" s="1802"/>
      <c r="G103" s="1803"/>
      <c r="H103" s="1802"/>
      <c r="I103" s="1804">
        <v>20000000</v>
      </c>
      <c r="J103" s="1804">
        <v>0</v>
      </c>
      <c r="K103" s="1804">
        <v>20000000</v>
      </c>
      <c r="L103" s="1804">
        <v>0</v>
      </c>
      <c r="M103" s="1804">
        <v>20000000</v>
      </c>
      <c r="N103" s="1804">
        <v>20000000</v>
      </c>
      <c r="O103" s="1804">
        <v>20000000</v>
      </c>
      <c r="P103" s="1804">
        <v>20000000</v>
      </c>
      <c r="Q103" s="1805">
        <v>0</v>
      </c>
    </row>
    <row r="104" spans="1:17" outlineLevel="3">
      <c r="A104" s="1212" t="s">
        <v>717</v>
      </c>
      <c r="B104" s="1806" t="s">
        <v>3554</v>
      </c>
      <c r="C104" s="1806" t="s">
        <v>3333</v>
      </c>
      <c r="D104" s="1806" t="s">
        <v>3569</v>
      </c>
      <c r="E104" s="1806"/>
      <c r="F104" s="1806"/>
      <c r="G104" s="1807"/>
      <c r="H104" s="1806"/>
      <c r="I104" s="1808">
        <v>20000000</v>
      </c>
      <c r="J104" s="1808">
        <v>0</v>
      </c>
      <c r="K104" s="1808">
        <v>20000000</v>
      </c>
      <c r="L104" s="1808">
        <v>0</v>
      </c>
      <c r="M104" s="1808">
        <v>20000000</v>
      </c>
      <c r="N104" s="1808">
        <v>20000000</v>
      </c>
      <c r="O104" s="1808">
        <v>20000000</v>
      </c>
      <c r="P104" s="1808">
        <v>20000000</v>
      </c>
      <c r="Q104" s="1809">
        <v>0</v>
      </c>
    </row>
    <row r="105" spans="1:17" outlineLevel="4">
      <c r="A105" s="1210" t="s">
        <v>717</v>
      </c>
      <c r="B105" s="1810" t="s">
        <v>3554</v>
      </c>
      <c r="C105" s="1810" t="s">
        <v>3333</v>
      </c>
      <c r="D105" s="1810" t="s">
        <v>3569</v>
      </c>
      <c r="E105" s="1810" t="s">
        <v>3550</v>
      </c>
      <c r="F105" s="1810"/>
      <c r="G105" s="1811"/>
      <c r="H105" s="1810"/>
      <c r="I105" s="1812">
        <v>20000000</v>
      </c>
      <c r="J105" s="1812">
        <v>0</v>
      </c>
      <c r="K105" s="1812">
        <v>20000000</v>
      </c>
      <c r="L105" s="1812">
        <v>0</v>
      </c>
      <c r="M105" s="1812">
        <v>20000000</v>
      </c>
      <c r="N105" s="1812">
        <v>20000000</v>
      </c>
      <c r="O105" s="1812">
        <v>20000000</v>
      </c>
      <c r="P105" s="1812">
        <v>20000000</v>
      </c>
      <c r="Q105" s="1813">
        <v>0</v>
      </c>
    </row>
    <row r="106" spans="1:17" ht="63.75" outlineLevel="5">
      <c r="A106" s="1208" t="s">
        <v>717</v>
      </c>
      <c r="B106" s="1814" t="s">
        <v>3554</v>
      </c>
      <c r="C106" s="1814" t="s">
        <v>3333</v>
      </c>
      <c r="D106" s="1814" t="s">
        <v>3569</v>
      </c>
      <c r="E106" s="1814" t="s">
        <v>3550</v>
      </c>
      <c r="F106" s="1814" t="s">
        <v>3332</v>
      </c>
      <c r="G106" s="1815" t="s">
        <v>3331</v>
      </c>
      <c r="H106" s="1814"/>
      <c r="I106" s="1816">
        <v>0</v>
      </c>
      <c r="J106" s="1816">
        <v>0</v>
      </c>
      <c r="K106" s="1816">
        <v>0</v>
      </c>
      <c r="L106" s="1816">
        <v>0</v>
      </c>
      <c r="M106" s="1816">
        <v>0</v>
      </c>
      <c r="N106" s="1816">
        <v>0</v>
      </c>
      <c r="O106" s="1816">
        <v>0</v>
      </c>
      <c r="P106" s="1816">
        <v>20000000</v>
      </c>
      <c r="Q106" s="1817">
        <v>0</v>
      </c>
    </row>
    <row r="107" spans="1:17" ht="63.75" outlineLevel="5">
      <c r="A107" s="1208" t="s">
        <v>717</v>
      </c>
      <c r="B107" s="1814" t="s">
        <v>3554</v>
      </c>
      <c r="C107" s="1814" t="s">
        <v>3333</v>
      </c>
      <c r="D107" s="1814" t="s">
        <v>3569</v>
      </c>
      <c r="E107" s="1814" t="s">
        <v>3550</v>
      </c>
      <c r="F107" s="1814" t="s">
        <v>3332</v>
      </c>
      <c r="G107" s="1815" t="s">
        <v>3331</v>
      </c>
      <c r="H107" s="1814" t="s">
        <v>3241</v>
      </c>
      <c r="I107" s="1816">
        <v>20000000</v>
      </c>
      <c r="J107" s="1816">
        <v>0</v>
      </c>
      <c r="K107" s="1816">
        <v>20000000</v>
      </c>
      <c r="L107" s="1816">
        <v>0</v>
      </c>
      <c r="M107" s="1816">
        <v>20000000</v>
      </c>
      <c r="N107" s="1816">
        <v>20000000</v>
      </c>
      <c r="O107" s="1816">
        <v>20000000</v>
      </c>
      <c r="P107" s="1816">
        <v>0</v>
      </c>
      <c r="Q107" s="1817">
        <v>0</v>
      </c>
    </row>
    <row r="108" spans="1:17" outlineLevel="2">
      <c r="A108" s="1801" t="s">
        <v>717</v>
      </c>
      <c r="B108" s="1802" t="s">
        <v>3554</v>
      </c>
      <c r="C108" s="1802" t="s">
        <v>3329</v>
      </c>
      <c r="D108" s="1802"/>
      <c r="E108" s="1802"/>
      <c r="F108" s="1802"/>
      <c r="G108" s="1803"/>
      <c r="H108" s="1802"/>
      <c r="I108" s="1804">
        <v>30000000</v>
      </c>
      <c r="J108" s="1804">
        <v>31200000</v>
      </c>
      <c r="K108" s="1804">
        <v>61200000</v>
      </c>
      <c r="L108" s="1804">
        <v>0</v>
      </c>
      <c r="M108" s="1804">
        <v>61200000</v>
      </c>
      <c r="N108" s="1804">
        <v>61200000</v>
      </c>
      <c r="O108" s="1804">
        <v>61200000</v>
      </c>
      <c r="P108" s="1804">
        <v>61200000</v>
      </c>
      <c r="Q108" s="1805">
        <v>0</v>
      </c>
    </row>
    <row r="109" spans="1:17" outlineLevel="3">
      <c r="A109" s="1212" t="s">
        <v>717</v>
      </c>
      <c r="B109" s="1806" t="s">
        <v>3554</v>
      </c>
      <c r="C109" s="1806" t="s">
        <v>3329</v>
      </c>
      <c r="D109" s="1806" t="s">
        <v>3569</v>
      </c>
      <c r="E109" s="1806"/>
      <c r="F109" s="1806"/>
      <c r="G109" s="1807"/>
      <c r="H109" s="1806"/>
      <c r="I109" s="1808">
        <v>30000000</v>
      </c>
      <c r="J109" s="1808">
        <v>31200000</v>
      </c>
      <c r="K109" s="1808">
        <v>61200000</v>
      </c>
      <c r="L109" s="1808">
        <v>0</v>
      </c>
      <c r="M109" s="1808">
        <v>61200000</v>
      </c>
      <c r="N109" s="1808">
        <v>61200000</v>
      </c>
      <c r="O109" s="1808">
        <v>61200000</v>
      </c>
      <c r="P109" s="1808">
        <v>61200000</v>
      </c>
      <c r="Q109" s="1809">
        <v>0</v>
      </c>
    </row>
    <row r="110" spans="1:17" outlineLevel="4">
      <c r="A110" s="1210" t="s">
        <v>717</v>
      </c>
      <c r="B110" s="1810" t="s">
        <v>3554</v>
      </c>
      <c r="C110" s="1810" t="s">
        <v>3329</v>
      </c>
      <c r="D110" s="1810" t="s">
        <v>3569</v>
      </c>
      <c r="E110" s="1810" t="s">
        <v>3550</v>
      </c>
      <c r="F110" s="1810"/>
      <c r="G110" s="1811"/>
      <c r="H110" s="1810"/>
      <c r="I110" s="1812">
        <v>30000000</v>
      </c>
      <c r="J110" s="1812">
        <v>31200000</v>
      </c>
      <c r="K110" s="1812">
        <v>61200000</v>
      </c>
      <c r="L110" s="1812">
        <v>0</v>
      </c>
      <c r="M110" s="1812">
        <v>61200000</v>
      </c>
      <c r="N110" s="1812">
        <v>61200000</v>
      </c>
      <c r="O110" s="1812">
        <v>61200000</v>
      </c>
      <c r="P110" s="1812">
        <v>61200000</v>
      </c>
      <c r="Q110" s="1813">
        <v>0</v>
      </c>
    </row>
    <row r="111" spans="1:17" ht="63.75" outlineLevel="5">
      <c r="A111" s="1208" t="s">
        <v>717</v>
      </c>
      <c r="B111" s="1814" t="s">
        <v>3554</v>
      </c>
      <c r="C111" s="1814" t="s">
        <v>3329</v>
      </c>
      <c r="D111" s="1814" t="s">
        <v>3569</v>
      </c>
      <c r="E111" s="1814" t="s">
        <v>3550</v>
      </c>
      <c r="F111" s="1814" t="s">
        <v>3328</v>
      </c>
      <c r="G111" s="1815" t="s">
        <v>3327</v>
      </c>
      <c r="H111" s="1814"/>
      <c r="I111" s="1816">
        <v>0</v>
      </c>
      <c r="J111" s="1816">
        <v>0</v>
      </c>
      <c r="K111" s="1816">
        <v>0</v>
      </c>
      <c r="L111" s="1816">
        <v>0</v>
      </c>
      <c r="M111" s="1816">
        <v>0</v>
      </c>
      <c r="N111" s="1816">
        <v>0</v>
      </c>
      <c r="O111" s="1816">
        <v>0</v>
      </c>
      <c r="P111" s="1816">
        <v>61200000</v>
      </c>
      <c r="Q111" s="1817">
        <v>0</v>
      </c>
    </row>
    <row r="112" spans="1:17" ht="63.75" outlineLevel="5">
      <c r="A112" s="1208" t="s">
        <v>717</v>
      </c>
      <c r="B112" s="1814" t="s">
        <v>3554</v>
      </c>
      <c r="C112" s="1814" t="s">
        <v>3329</v>
      </c>
      <c r="D112" s="1814" t="s">
        <v>3569</v>
      </c>
      <c r="E112" s="1814" t="s">
        <v>3550</v>
      </c>
      <c r="F112" s="1814" t="s">
        <v>3328</v>
      </c>
      <c r="G112" s="1815" t="s">
        <v>3327</v>
      </c>
      <c r="H112" s="1814" t="s">
        <v>3241</v>
      </c>
      <c r="I112" s="1816">
        <v>30000000</v>
      </c>
      <c r="J112" s="1816">
        <v>31200000</v>
      </c>
      <c r="K112" s="1816">
        <v>61200000</v>
      </c>
      <c r="L112" s="1816">
        <v>0</v>
      </c>
      <c r="M112" s="1816">
        <v>61200000</v>
      </c>
      <c r="N112" s="1816">
        <v>61200000</v>
      </c>
      <c r="O112" s="1816">
        <v>61200000</v>
      </c>
      <c r="P112" s="1816">
        <v>0</v>
      </c>
      <c r="Q112" s="1817">
        <v>0</v>
      </c>
    </row>
    <row r="113" spans="1:19" outlineLevel="2">
      <c r="A113" s="1801" t="s">
        <v>717</v>
      </c>
      <c r="B113" s="1802" t="s">
        <v>3554</v>
      </c>
      <c r="C113" s="1802" t="s">
        <v>3299</v>
      </c>
      <c r="D113" s="1802"/>
      <c r="E113" s="1802"/>
      <c r="F113" s="1802"/>
      <c r="G113" s="1803"/>
      <c r="H113" s="1802"/>
      <c r="I113" s="1804">
        <v>884382790.71000004</v>
      </c>
      <c r="J113" s="1804">
        <v>73783785.450000003</v>
      </c>
      <c r="K113" s="1804">
        <v>958166576.15999997</v>
      </c>
      <c r="L113" s="1804">
        <v>0</v>
      </c>
      <c r="M113" s="1804">
        <v>958166576.15999997</v>
      </c>
      <c r="N113" s="1804">
        <v>958166576.15999997</v>
      </c>
      <c r="O113" s="1804">
        <v>957619283.15999997</v>
      </c>
      <c r="P113" s="1804">
        <v>957619283.15999997</v>
      </c>
      <c r="Q113" s="1805">
        <v>547293</v>
      </c>
    </row>
    <row r="114" spans="1:19" outlineLevel="3">
      <c r="A114" s="1212" t="s">
        <v>717</v>
      </c>
      <c r="B114" s="1806" t="s">
        <v>3554</v>
      </c>
      <c r="C114" s="1806" t="s">
        <v>3299</v>
      </c>
      <c r="D114" s="1806" t="s">
        <v>3568</v>
      </c>
      <c r="E114" s="1806"/>
      <c r="F114" s="1806"/>
      <c r="G114" s="1807"/>
      <c r="H114" s="1806"/>
      <c r="I114" s="1808">
        <v>56834083.200000003</v>
      </c>
      <c r="J114" s="1808">
        <v>2708062.34</v>
      </c>
      <c r="K114" s="1808">
        <v>59542145.539999999</v>
      </c>
      <c r="L114" s="1808">
        <v>0</v>
      </c>
      <c r="M114" s="1808">
        <v>59542145.539999999</v>
      </c>
      <c r="N114" s="1808">
        <v>59542145.539999999</v>
      </c>
      <c r="O114" s="1808">
        <v>59542145.539999999</v>
      </c>
      <c r="P114" s="1808">
        <v>59542145.539999999</v>
      </c>
      <c r="Q114" s="1809">
        <v>0</v>
      </c>
    </row>
    <row r="115" spans="1:19" outlineLevel="4">
      <c r="A115" s="1210" t="s">
        <v>717</v>
      </c>
      <c r="B115" s="1810" t="s">
        <v>3554</v>
      </c>
      <c r="C115" s="1810" t="s">
        <v>3299</v>
      </c>
      <c r="D115" s="1810" t="s">
        <v>3568</v>
      </c>
      <c r="E115" s="1810" t="s">
        <v>3550</v>
      </c>
      <c r="F115" s="1810"/>
      <c r="G115" s="1811"/>
      <c r="H115" s="1810"/>
      <c r="I115" s="1812">
        <v>56834083.200000003</v>
      </c>
      <c r="J115" s="1812">
        <v>2708062.34</v>
      </c>
      <c r="K115" s="1812">
        <v>59542145.539999999</v>
      </c>
      <c r="L115" s="1812">
        <v>0</v>
      </c>
      <c r="M115" s="1812">
        <v>59542145.539999999</v>
      </c>
      <c r="N115" s="1812">
        <v>59542145.539999999</v>
      </c>
      <c r="O115" s="1812">
        <v>59542145.539999999</v>
      </c>
      <c r="P115" s="1812">
        <v>59542145.539999999</v>
      </c>
      <c r="Q115" s="1813">
        <v>0</v>
      </c>
    </row>
    <row r="116" spans="1:19" ht="25.5" outlineLevel="5">
      <c r="A116" s="1208" t="s">
        <v>717</v>
      </c>
      <c r="B116" s="1814" t="s">
        <v>3554</v>
      </c>
      <c r="C116" s="1814" t="s">
        <v>3299</v>
      </c>
      <c r="D116" s="1814" t="s">
        <v>3568</v>
      </c>
      <c r="E116" s="1814" t="s">
        <v>3550</v>
      </c>
      <c r="F116" s="1814" t="s">
        <v>3298</v>
      </c>
      <c r="G116" s="1815" t="s">
        <v>22</v>
      </c>
      <c r="H116" s="1814"/>
      <c r="I116" s="1816">
        <v>0</v>
      </c>
      <c r="J116" s="1816">
        <v>0</v>
      </c>
      <c r="K116" s="1816">
        <v>0</v>
      </c>
      <c r="L116" s="1816">
        <v>0</v>
      </c>
      <c r="M116" s="1816">
        <v>0</v>
      </c>
      <c r="N116" s="1816">
        <v>0</v>
      </c>
      <c r="O116" s="1816">
        <v>0</v>
      </c>
      <c r="P116" s="1816">
        <v>59542145.539999999</v>
      </c>
      <c r="Q116" s="1817">
        <v>0</v>
      </c>
    </row>
    <row r="117" spans="1:19" ht="25.5" outlineLevel="5">
      <c r="A117" s="1208" t="s">
        <v>717</v>
      </c>
      <c r="B117" s="1814" t="s">
        <v>3554</v>
      </c>
      <c r="C117" s="1814" t="s">
        <v>3299</v>
      </c>
      <c r="D117" s="1814" t="s">
        <v>3568</v>
      </c>
      <c r="E117" s="1814" t="s">
        <v>3550</v>
      </c>
      <c r="F117" s="1814" t="s">
        <v>3298</v>
      </c>
      <c r="G117" s="1815" t="s">
        <v>22</v>
      </c>
      <c r="H117" s="1814" t="s">
        <v>3241</v>
      </c>
      <c r="I117" s="1816">
        <v>56834083.200000003</v>
      </c>
      <c r="J117" s="1816">
        <v>2708062.34</v>
      </c>
      <c r="K117" s="1816">
        <v>59542145.539999999</v>
      </c>
      <c r="L117" s="1816">
        <v>0</v>
      </c>
      <c r="M117" s="1816">
        <v>59542145.539999999</v>
      </c>
      <c r="N117" s="1816">
        <v>59542145.539999999</v>
      </c>
      <c r="O117" s="1816">
        <v>59542145.539999999</v>
      </c>
      <c r="P117" s="1816">
        <v>0</v>
      </c>
      <c r="Q117" s="1817">
        <v>0</v>
      </c>
    </row>
    <row r="118" spans="1:19" outlineLevel="3">
      <c r="A118" s="1212" t="s">
        <v>717</v>
      </c>
      <c r="B118" s="1806" t="s">
        <v>3554</v>
      </c>
      <c r="C118" s="1806" t="s">
        <v>3299</v>
      </c>
      <c r="D118" s="1806" t="s">
        <v>3566</v>
      </c>
      <c r="E118" s="1806"/>
      <c r="F118" s="1806"/>
      <c r="G118" s="1807"/>
      <c r="H118" s="1806"/>
      <c r="I118" s="1808">
        <v>0</v>
      </c>
      <c r="J118" s="1808">
        <v>3964</v>
      </c>
      <c r="K118" s="1808">
        <v>3964</v>
      </c>
      <c r="L118" s="1808">
        <v>0</v>
      </c>
      <c r="M118" s="1808">
        <v>3964</v>
      </c>
      <c r="N118" s="1808">
        <v>3964</v>
      </c>
      <c r="O118" s="1808">
        <v>3959</v>
      </c>
      <c r="P118" s="1808">
        <v>3959</v>
      </c>
      <c r="Q118" s="1809">
        <v>5</v>
      </c>
    </row>
    <row r="119" spans="1:19" outlineLevel="4">
      <c r="A119" s="1210" t="s">
        <v>717</v>
      </c>
      <c r="B119" s="1810" t="s">
        <v>3554</v>
      </c>
      <c r="C119" s="1810" t="s">
        <v>3299</v>
      </c>
      <c r="D119" s="1810" t="s">
        <v>3566</v>
      </c>
      <c r="E119" s="1810" t="s">
        <v>3550</v>
      </c>
      <c r="F119" s="1810"/>
      <c r="G119" s="1811"/>
      <c r="H119" s="1810"/>
      <c r="I119" s="1812">
        <v>0</v>
      </c>
      <c r="J119" s="1812">
        <v>3964</v>
      </c>
      <c r="K119" s="1812">
        <v>3964</v>
      </c>
      <c r="L119" s="1812">
        <v>0</v>
      </c>
      <c r="M119" s="1812">
        <v>3964</v>
      </c>
      <c r="N119" s="1812">
        <v>3964</v>
      </c>
      <c r="O119" s="1812">
        <v>3959</v>
      </c>
      <c r="P119" s="1812">
        <v>3959</v>
      </c>
      <c r="Q119" s="1813">
        <v>5</v>
      </c>
    </row>
    <row r="120" spans="1:19" ht="51" outlineLevel="5">
      <c r="A120" s="1208" t="s">
        <v>717</v>
      </c>
      <c r="B120" s="1814" t="s">
        <v>3554</v>
      </c>
      <c r="C120" s="1814" t="s">
        <v>3299</v>
      </c>
      <c r="D120" s="1814" t="s">
        <v>3566</v>
      </c>
      <c r="E120" s="1814" t="s">
        <v>3550</v>
      </c>
      <c r="F120" s="1814" t="s">
        <v>3305</v>
      </c>
      <c r="G120" s="1815" t="s">
        <v>3166</v>
      </c>
      <c r="H120" s="1814"/>
      <c r="I120" s="1816">
        <v>0</v>
      </c>
      <c r="J120" s="1816">
        <v>0</v>
      </c>
      <c r="K120" s="1816">
        <v>0</v>
      </c>
      <c r="L120" s="1816">
        <v>0</v>
      </c>
      <c r="M120" s="1816">
        <v>0</v>
      </c>
      <c r="N120" s="1816">
        <v>0</v>
      </c>
      <c r="O120" s="1816">
        <v>0</v>
      </c>
      <c r="P120" s="1816">
        <v>3959</v>
      </c>
      <c r="Q120" s="1817">
        <v>0</v>
      </c>
      <c r="R120" s="1829">
        <f>SUM(K114,K122)</f>
        <v>905061939.63999999</v>
      </c>
      <c r="S120" s="830">
        <v>905061.93964</v>
      </c>
    </row>
    <row r="121" spans="1:19" ht="51" outlineLevel="5">
      <c r="A121" s="1208" t="s">
        <v>717</v>
      </c>
      <c r="B121" s="1814" t="s">
        <v>3554</v>
      </c>
      <c r="C121" s="1814" t="s">
        <v>3299</v>
      </c>
      <c r="D121" s="1814" t="s">
        <v>3566</v>
      </c>
      <c r="E121" s="1814" t="s">
        <v>3550</v>
      </c>
      <c r="F121" s="1814" t="s">
        <v>3305</v>
      </c>
      <c r="G121" s="1815" t="s">
        <v>3166</v>
      </c>
      <c r="H121" s="1814" t="s">
        <v>3241</v>
      </c>
      <c r="I121" s="1816">
        <v>0</v>
      </c>
      <c r="J121" s="1816">
        <v>3964</v>
      </c>
      <c r="K121" s="1816">
        <v>3964</v>
      </c>
      <c r="L121" s="1816">
        <v>0</v>
      </c>
      <c r="M121" s="1816">
        <v>3964</v>
      </c>
      <c r="N121" s="1816">
        <v>3964</v>
      </c>
      <c r="O121" s="1816">
        <v>3959</v>
      </c>
      <c r="P121" s="1816">
        <v>0</v>
      </c>
      <c r="Q121" s="1817">
        <v>5</v>
      </c>
    </row>
    <row r="122" spans="1:19" outlineLevel="3">
      <c r="A122" s="1212" t="s">
        <v>717</v>
      </c>
      <c r="B122" s="1806" t="s">
        <v>3554</v>
      </c>
      <c r="C122" s="1806" t="s">
        <v>3299</v>
      </c>
      <c r="D122" s="1806" t="s">
        <v>3567</v>
      </c>
      <c r="E122" s="1806"/>
      <c r="F122" s="1806"/>
      <c r="G122" s="1807"/>
      <c r="H122" s="1806"/>
      <c r="I122" s="1808">
        <v>793703468.13999999</v>
      </c>
      <c r="J122" s="1808">
        <v>51816325.960000001</v>
      </c>
      <c r="K122" s="1808">
        <v>845519794.10000002</v>
      </c>
      <c r="L122" s="1808">
        <v>0</v>
      </c>
      <c r="M122" s="1808">
        <v>845519794.10000002</v>
      </c>
      <c r="N122" s="1808">
        <v>845519794.10000002</v>
      </c>
      <c r="O122" s="1808">
        <v>845519794.10000002</v>
      </c>
      <c r="P122" s="1808">
        <v>845519794.10000002</v>
      </c>
      <c r="Q122" s="1809">
        <v>0</v>
      </c>
    </row>
    <row r="123" spans="1:19" outlineLevel="4">
      <c r="A123" s="1210" t="s">
        <v>717</v>
      </c>
      <c r="B123" s="1810" t="s">
        <v>3554</v>
      </c>
      <c r="C123" s="1810" t="s">
        <v>3299</v>
      </c>
      <c r="D123" s="1810" t="s">
        <v>3567</v>
      </c>
      <c r="E123" s="1810" t="s">
        <v>3550</v>
      </c>
      <c r="F123" s="1810"/>
      <c r="G123" s="1811"/>
      <c r="H123" s="1810"/>
      <c r="I123" s="1812">
        <v>793703468.13999999</v>
      </c>
      <c r="J123" s="1812">
        <v>51816325.960000001</v>
      </c>
      <c r="K123" s="1812">
        <v>845519794.10000002</v>
      </c>
      <c r="L123" s="1812">
        <v>0</v>
      </c>
      <c r="M123" s="1812">
        <v>845519794.10000002</v>
      </c>
      <c r="N123" s="1812">
        <v>845519794.10000002</v>
      </c>
      <c r="O123" s="1812">
        <v>845519794.10000002</v>
      </c>
      <c r="P123" s="1812">
        <v>845519794.10000002</v>
      </c>
      <c r="Q123" s="1813">
        <v>0</v>
      </c>
    </row>
    <row r="124" spans="1:19" ht="25.5" outlineLevel="5">
      <c r="A124" s="1208" t="s">
        <v>717</v>
      </c>
      <c r="B124" s="1814" t="s">
        <v>3554</v>
      </c>
      <c r="C124" s="1814" t="s">
        <v>3299</v>
      </c>
      <c r="D124" s="1814" t="s">
        <v>3567</v>
      </c>
      <c r="E124" s="1814" t="s">
        <v>3550</v>
      </c>
      <c r="F124" s="1814" t="s">
        <v>3298</v>
      </c>
      <c r="G124" s="1815" t="s">
        <v>22</v>
      </c>
      <c r="H124" s="1814"/>
      <c r="I124" s="1816">
        <v>0</v>
      </c>
      <c r="J124" s="1816">
        <v>0</v>
      </c>
      <c r="K124" s="1816">
        <v>0</v>
      </c>
      <c r="L124" s="1816">
        <v>0</v>
      </c>
      <c r="M124" s="1816">
        <v>0</v>
      </c>
      <c r="N124" s="1816">
        <v>0</v>
      </c>
      <c r="O124" s="1816">
        <v>0</v>
      </c>
      <c r="P124" s="1816" t="s">
        <v>3164</v>
      </c>
      <c r="Q124" s="1817">
        <v>0</v>
      </c>
    </row>
    <row r="125" spans="1:19" ht="25.5" outlineLevel="5">
      <c r="A125" s="1208" t="s">
        <v>717</v>
      </c>
      <c r="B125" s="1814" t="s">
        <v>3554</v>
      </c>
      <c r="C125" s="1814" t="s">
        <v>3299</v>
      </c>
      <c r="D125" s="1814" t="s">
        <v>3567</v>
      </c>
      <c r="E125" s="1814" t="s">
        <v>3550</v>
      </c>
      <c r="F125" s="1814" t="s">
        <v>3298</v>
      </c>
      <c r="G125" s="1815" t="s">
        <v>22</v>
      </c>
      <c r="H125" s="1814" t="s">
        <v>3241</v>
      </c>
      <c r="I125" s="1816">
        <v>793703468.13999999</v>
      </c>
      <c r="J125" s="1816">
        <v>51816325.960000001</v>
      </c>
      <c r="K125" s="1816">
        <v>845519794.10000002</v>
      </c>
      <c r="L125" s="1816">
        <v>0</v>
      </c>
      <c r="M125" s="1816">
        <v>845519794.10000002</v>
      </c>
      <c r="N125" s="1816">
        <v>845519794.10000002</v>
      </c>
      <c r="O125" s="1816">
        <v>845519794.10000002</v>
      </c>
      <c r="P125" s="1816">
        <v>0</v>
      </c>
      <c r="Q125" s="1817">
        <v>0</v>
      </c>
    </row>
    <row r="126" spans="1:19" outlineLevel="3">
      <c r="A126" s="1212" t="s">
        <v>717</v>
      </c>
      <c r="B126" s="1806" t="s">
        <v>3554</v>
      </c>
      <c r="C126" s="1806" t="s">
        <v>3299</v>
      </c>
      <c r="D126" s="1806" t="s">
        <v>3565</v>
      </c>
      <c r="E126" s="1806"/>
      <c r="F126" s="1806"/>
      <c r="G126" s="1807"/>
      <c r="H126" s="1806"/>
      <c r="I126" s="1808">
        <v>33845239.369999997</v>
      </c>
      <c r="J126" s="1808">
        <v>19255433.149999999</v>
      </c>
      <c r="K126" s="1808">
        <v>53100672.520000003</v>
      </c>
      <c r="L126" s="1808">
        <v>0</v>
      </c>
      <c r="M126" s="1808">
        <v>53100672.520000003</v>
      </c>
      <c r="N126" s="1808">
        <v>53100672.520000003</v>
      </c>
      <c r="O126" s="1808">
        <v>52553384.520000003</v>
      </c>
      <c r="P126" s="1808">
        <v>52553384.520000003</v>
      </c>
      <c r="Q126" s="1809">
        <v>547288</v>
      </c>
    </row>
    <row r="127" spans="1:19" outlineLevel="4">
      <c r="A127" s="1210" t="s">
        <v>717</v>
      </c>
      <c r="B127" s="1810" t="s">
        <v>3554</v>
      </c>
      <c r="C127" s="1810" t="s">
        <v>3299</v>
      </c>
      <c r="D127" s="1810" t="s">
        <v>3565</v>
      </c>
      <c r="E127" s="1810" t="s">
        <v>3550</v>
      </c>
      <c r="F127" s="1810"/>
      <c r="G127" s="1811"/>
      <c r="H127" s="1810"/>
      <c r="I127" s="1812">
        <v>33845239.369999997</v>
      </c>
      <c r="J127" s="1812">
        <v>19255433.149999999</v>
      </c>
      <c r="K127" s="1812">
        <v>53100672.520000003</v>
      </c>
      <c r="L127" s="1812">
        <v>0</v>
      </c>
      <c r="M127" s="1812">
        <v>53100672.520000003</v>
      </c>
      <c r="N127" s="1812">
        <v>53100672.520000003</v>
      </c>
      <c r="O127" s="1812">
        <v>52553384.520000003</v>
      </c>
      <c r="P127" s="1812">
        <v>52553384.520000003</v>
      </c>
      <c r="Q127" s="1813">
        <v>547288</v>
      </c>
    </row>
    <row r="128" spans="1:19" ht="51" outlineLevel="5">
      <c r="A128" s="1208" t="s">
        <v>717</v>
      </c>
      <c r="B128" s="1814" t="s">
        <v>3554</v>
      </c>
      <c r="C128" s="1814" t="s">
        <v>3299</v>
      </c>
      <c r="D128" s="1814" t="s">
        <v>3565</v>
      </c>
      <c r="E128" s="1814" t="s">
        <v>3550</v>
      </c>
      <c r="F128" s="1814" t="s">
        <v>3305</v>
      </c>
      <c r="G128" s="1815" t="s">
        <v>3166</v>
      </c>
      <c r="H128" s="1814"/>
      <c r="I128" s="1816">
        <v>0</v>
      </c>
      <c r="J128" s="1816">
        <v>0</v>
      </c>
      <c r="K128" s="1816">
        <v>0</v>
      </c>
      <c r="L128" s="1816">
        <v>0</v>
      </c>
      <c r="M128" s="1816">
        <v>0</v>
      </c>
      <c r="N128" s="1816">
        <v>0</v>
      </c>
      <c r="O128" s="1816">
        <v>0</v>
      </c>
      <c r="P128" s="1816">
        <v>26962</v>
      </c>
      <c r="Q128" s="1817">
        <v>0</v>
      </c>
    </row>
    <row r="129" spans="1:17" ht="51" outlineLevel="5">
      <c r="A129" s="1208" t="s">
        <v>717</v>
      </c>
      <c r="B129" s="1814" t="s">
        <v>3554</v>
      </c>
      <c r="C129" s="1814" t="s">
        <v>3299</v>
      </c>
      <c r="D129" s="1814" t="s">
        <v>3565</v>
      </c>
      <c r="E129" s="1814" t="s">
        <v>3550</v>
      </c>
      <c r="F129" s="1814" t="s">
        <v>3305</v>
      </c>
      <c r="G129" s="1815" t="s">
        <v>3166</v>
      </c>
      <c r="H129" s="1814" t="s">
        <v>3241</v>
      </c>
      <c r="I129" s="1816">
        <v>32070</v>
      </c>
      <c r="J129" s="1816">
        <v>-3964</v>
      </c>
      <c r="K129" s="1816">
        <v>28106</v>
      </c>
      <c r="L129" s="1816">
        <v>0</v>
      </c>
      <c r="M129" s="1816">
        <v>28106</v>
      </c>
      <c r="N129" s="1816">
        <v>28106</v>
      </c>
      <c r="O129" s="1816">
        <v>26962</v>
      </c>
      <c r="P129" s="1816">
        <v>0</v>
      </c>
      <c r="Q129" s="1817">
        <v>1144</v>
      </c>
    </row>
    <row r="130" spans="1:17" ht="38.25" outlineLevel="5">
      <c r="A130" s="1208" t="s">
        <v>717</v>
      </c>
      <c r="B130" s="1814" t="s">
        <v>3554</v>
      </c>
      <c r="C130" s="1814" t="s">
        <v>3299</v>
      </c>
      <c r="D130" s="1814" t="s">
        <v>3565</v>
      </c>
      <c r="E130" s="1814" t="s">
        <v>3550</v>
      </c>
      <c r="F130" s="1814" t="s">
        <v>3304</v>
      </c>
      <c r="G130" s="1815" t="s">
        <v>2930</v>
      </c>
      <c r="H130" s="1814"/>
      <c r="I130" s="1816">
        <v>0</v>
      </c>
      <c r="J130" s="1816">
        <v>0</v>
      </c>
      <c r="K130" s="1816">
        <v>0</v>
      </c>
      <c r="L130" s="1816">
        <v>0</v>
      </c>
      <c r="M130" s="1816">
        <v>0</v>
      </c>
      <c r="N130" s="1816">
        <v>0</v>
      </c>
      <c r="O130" s="1816">
        <v>0</v>
      </c>
      <c r="P130" s="1816">
        <v>35050999.770000003</v>
      </c>
      <c r="Q130" s="1817">
        <v>0</v>
      </c>
    </row>
    <row r="131" spans="1:17" ht="38.25" outlineLevel="5">
      <c r="A131" s="1208" t="s">
        <v>717</v>
      </c>
      <c r="B131" s="1814" t="s">
        <v>3554</v>
      </c>
      <c r="C131" s="1814" t="s">
        <v>3299</v>
      </c>
      <c r="D131" s="1814" t="s">
        <v>3565</v>
      </c>
      <c r="E131" s="1814" t="s">
        <v>3550</v>
      </c>
      <c r="F131" s="1814" t="s">
        <v>3304</v>
      </c>
      <c r="G131" s="1815" t="s">
        <v>2930</v>
      </c>
      <c r="H131" s="1814" t="s">
        <v>3241</v>
      </c>
      <c r="I131" s="1816">
        <v>28813169.370000001</v>
      </c>
      <c r="J131" s="1816">
        <v>6237830.4000000004</v>
      </c>
      <c r="K131" s="1816">
        <v>35050999.770000003</v>
      </c>
      <c r="L131" s="1816">
        <v>0</v>
      </c>
      <c r="M131" s="1816">
        <v>35050999.770000003</v>
      </c>
      <c r="N131" s="1816">
        <v>35050999.770000003</v>
      </c>
      <c r="O131" s="1816">
        <v>35050999.770000003</v>
      </c>
      <c r="P131" s="1816">
        <v>0</v>
      </c>
      <c r="Q131" s="1817">
        <v>0</v>
      </c>
    </row>
    <row r="132" spans="1:17" ht="25.5" outlineLevel="5">
      <c r="A132" s="1208" t="s">
        <v>717</v>
      </c>
      <c r="B132" s="1814" t="s">
        <v>3554</v>
      </c>
      <c r="C132" s="1814" t="s">
        <v>3299</v>
      </c>
      <c r="D132" s="1814" t="s">
        <v>3565</v>
      </c>
      <c r="E132" s="1814" t="s">
        <v>3550</v>
      </c>
      <c r="F132" s="1814" t="s">
        <v>3303</v>
      </c>
      <c r="G132" s="1815" t="s">
        <v>2922</v>
      </c>
      <c r="H132" s="1814" t="s">
        <v>3241</v>
      </c>
      <c r="I132" s="1816">
        <v>5000000</v>
      </c>
      <c r="J132" s="1816">
        <v>-5000000</v>
      </c>
      <c r="K132" s="1816">
        <v>0</v>
      </c>
      <c r="L132" s="1816">
        <v>0</v>
      </c>
      <c r="M132" s="1816">
        <v>0</v>
      </c>
      <c r="N132" s="1816">
        <v>0</v>
      </c>
      <c r="O132" s="1816">
        <v>0</v>
      </c>
      <c r="P132" s="1816">
        <v>0</v>
      </c>
      <c r="Q132" s="1817">
        <v>0</v>
      </c>
    </row>
    <row r="133" spans="1:17" ht="38.25" outlineLevel="5">
      <c r="A133" s="1208" t="s">
        <v>717</v>
      </c>
      <c r="B133" s="1814" t="s">
        <v>3554</v>
      </c>
      <c r="C133" s="1814" t="s">
        <v>3299</v>
      </c>
      <c r="D133" s="1814" t="s">
        <v>3565</v>
      </c>
      <c r="E133" s="1814" t="s">
        <v>3550</v>
      </c>
      <c r="F133" s="1814" t="s">
        <v>3302</v>
      </c>
      <c r="G133" s="1815" t="s">
        <v>3301</v>
      </c>
      <c r="H133" s="1814"/>
      <c r="I133" s="1816">
        <v>0</v>
      </c>
      <c r="J133" s="1816">
        <v>0</v>
      </c>
      <c r="K133" s="1816">
        <v>0</v>
      </c>
      <c r="L133" s="1816">
        <v>0</v>
      </c>
      <c r="M133" s="1816">
        <v>0</v>
      </c>
      <c r="N133" s="1816">
        <v>0</v>
      </c>
      <c r="O133" s="1816">
        <v>0</v>
      </c>
      <c r="P133" s="1816">
        <v>4984429.59</v>
      </c>
      <c r="Q133" s="1817">
        <v>0</v>
      </c>
    </row>
    <row r="134" spans="1:17" ht="38.25" outlineLevel="5">
      <c r="A134" s="1208" t="s">
        <v>717</v>
      </c>
      <c r="B134" s="1814" t="s">
        <v>3554</v>
      </c>
      <c r="C134" s="1814" t="s">
        <v>3299</v>
      </c>
      <c r="D134" s="1814" t="s">
        <v>3565</v>
      </c>
      <c r="E134" s="1814" t="s">
        <v>3550</v>
      </c>
      <c r="F134" s="1814" t="s">
        <v>3302</v>
      </c>
      <c r="G134" s="1815" t="s">
        <v>3301</v>
      </c>
      <c r="H134" s="1814" t="s">
        <v>3241</v>
      </c>
      <c r="I134" s="1816">
        <v>0</v>
      </c>
      <c r="J134" s="1816">
        <v>4984429.59</v>
      </c>
      <c r="K134" s="1816">
        <v>4984429.59</v>
      </c>
      <c r="L134" s="1816">
        <v>0</v>
      </c>
      <c r="M134" s="1816">
        <v>4984429.59</v>
      </c>
      <c r="N134" s="1816">
        <v>4984429.59</v>
      </c>
      <c r="O134" s="1816">
        <v>4984429.59</v>
      </c>
      <c r="P134" s="1816">
        <v>0</v>
      </c>
      <c r="Q134" s="1817">
        <v>0</v>
      </c>
    </row>
    <row r="135" spans="1:17" ht="89.25" outlineLevel="5">
      <c r="A135" s="1208" t="s">
        <v>717</v>
      </c>
      <c r="B135" s="1814" t="s">
        <v>3554</v>
      </c>
      <c r="C135" s="1814" t="s">
        <v>3299</v>
      </c>
      <c r="D135" s="1814" t="s">
        <v>3565</v>
      </c>
      <c r="E135" s="1814" t="s">
        <v>3550</v>
      </c>
      <c r="F135" s="1814" t="s">
        <v>3300</v>
      </c>
      <c r="G135" s="1815" t="s">
        <v>3129</v>
      </c>
      <c r="H135" s="1814"/>
      <c r="I135" s="1816">
        <v>0</v>
      </c>
      <c r="J135" s="1816">
        <v>0</v>
      </c>
      <c r="K135" s="1816">
        <v>0</v>
      </c>
      <c r="L135" s="1816">
        <v>0</v>
      </c>
      <c r="M135" s="1816">
        <v>0</v>
      </c>
      <c r="N135" s="1816">
        <v>0</v>
      </c>
      <c r="O135" s="1816">
        <v>0</v>
      </c>
      <c r="P135" s="1816">
        <v>12490993.16</v>
      </c>
      <c r="Q135" s="1817">
        <v>0</v>
      </c>
    </row>
    <row r="136" spans="1:17" ht="89.25" outlineLevel="5">
      <c r="A136" s="1208" t="s">
        <v>717</v>
      </c>
      <c r="B136" s="1814" t="s">
        <v>3554</v>
      </c>
      <c r="C136" s="1814" t="s">
        <v>3299</v>
      </c>
      <c r="D136" s="1814" t="s">
        <v>3565</v>
      </c>
      <c r="E136" s="1814" t="s">
        <v>3550</v>
      </c>
      <c r="F136" s="1814" t="s">
        <v>3300</v>
      </c>
      <c r="G136" s="1815" t="s">
        <v>3129</v>
      </c>
      <c r="H136" s="1814" t="s">
        <v>3241</v>
      </c>
      <c r="I136" s="1816">
        <v>0</v>
      </c>
      <c r="J136" s="1816">
        <v>13037137.16</v>
      </c>
      <c r="K136" s="1816">
        <v>13037137.16</v>
      </c>
      <c r="L136" s="1816">
        <v>0</v>
      </c>
      <c r="M136" s="1816">
        <v>13037137.16</v>
      </c>
      <c r="N136" s="1816">
        <v>13037137.16</v>
      </c>
      <c r="O136" s="1816">
        <v>12490993.16</v>
      </c>
      <c r="P136" s="1816">
        <v>0</v>
      </c>
      <c r="Q136" s="1817">
        <v>546144</v>
      </c>
    </row>
    <row r="137" spans="1:17" outlineLevel="2">
      <c r="A137" s="1801" t="s">
        <v>717</v>
      </c>
      <c r="B137" s="1802" t="s">
        <v>3554</v>
      </c>
      <c r="C137" s="1802" t="s">
        <v>3297</v>
      </c>
      <c r="D137" s="1802"/>
      <c r="E137" s="1802"/>
      <c r="F137" s="1802"/>
      <c r="G137" s="1803"/>
      <c r="H137" s="1802"/>
      <c r="I137" s="1804">
        <v>3561300</v>
      </c>
      <c r="J137" s="1804">
        <v>2505937.38</v>
      </c>
      <c r="K137" s="1804">
        <v>6067237.3799999999</v>
      </c>
      <c r="L137" s="1804">
        <v>0</v>
      </c>
      <c r="M137" s="1804">
        <v>6067237.3799999999</v>
      </c>
      <c r="N137" s="1804">
        <v>6067237.3799999999</v>
      </c>
      <c r="O137" s="1804">
        <v>6035786.7699999996</v>
      </c>
      <c r="P137" s="1804">
        <v>6035786.7699999996</v>
      </c>
      <c r="Q137" s="1805">
        <v>31450.61</v>
      </c>
    </row>
    <row r="138" spans="1:17" outlineLevel="3">
      <c r="A138" s="1212" t="s">
        <v>717</v>
      </c>
      <c r="B138" s="1806" t="s">
        <v>3554</v>
      </c>
      <c r="C138" s="1806" t="s">
        <v>3297</v>
      </c>
      <c r="D138" s="1806" t="s">
        <v>3566</v>
      </c>
      <c r="E138" s="1806"/>
      <c r="F138" s="1806"/>
      <c r="G138" s="1807"/>
      <c r="H138" s="1806"/>
      <c r="I138" s="1808">
        <v>567700</v>
      </c>
      <c r="J138" s="1808">
        <v>-202106.13</v>
      </c>
      <c r="K138" s="1808">
        <v>365593.87</v>
      </c>
      <c r="L138" s="1808">
        <v>0</v>
      </c>
      <c r="M138" s="1808">
        <v>365593.87</v>
      </c>
      <c r="N138" s="1808">
        <v>365593.87</v>
      </c>
      <c r="O138" s="1808">
        <v>365593.87</v>
      </c>
      <c r="P138" s="1808">
        <v>365593.87</v>
      </c>
      <c r="Q138" s="1809">
        <v>0</v>
      </c>
    </row>
    <row r="139" spans="1:17" outlineLevel="4">
      <c r="A139" s="1210" t="s">
        <v>717</v>
      </c>
      <c r="B139" s="1810" t="s">
        <v>3554</v>
      </c>
      <c r="C139" s="1810" t="s">
        <v>3297</v>
      </c>
      <c r="D139" s="1810" t="s">
        <v>3566</v>
      </c>
      <c r="E139" s="1810" t="s">
        <v>3550</v>
      </c>
      <c r="F139" s="1810"/>
      <c r="G139" s="1811"/>
      <c r="H139" s="1810"/>
      <c r="I139" s="1812">
        <v>567700</v>
      </c>
      <c r="J139" s="1812">
        <v>-202106.13</v>
      </c>
      <c r="K139" s="1812">
        <v>365593.87</v>
      </c>
      <c r="L139" s="1812">
        <v>0</v>
      </c>
      <c r="M139" s="1812">
        <v>365593.87</v>
      </c>
      <c r="N139" s="1812">
        <v>365593.87</v>
      </c>
      <c r="O139" s="1812">
        <v>365593.87</v>
      </c>
      <c r="P139" s="1812">
        <v>365593.87</v>
      </c>
      <c r="Q139" s="1813">
        <v>0</v>
      </c>
    </row>
    <row r="140" spans="1:17" ht="63.75" outlineLevel="5">
      <c r="A140" s="1208" t="s">
        <v>717</v>
      </c>
      <c r="B140" s="1814" t="s">
        <v>3554</v>
      </c>
      <c r="C140" s="1814" t="s">
        <v>3297</v>
      </c>
      <c r="D140" s="1814" t="s">
        <v>3566</v>
      </c>
      <c r="E140" s="1814" t="s">
        <v>3550</v>
      </c>
      <c r="F140" s="1814" t="s">
        <v>3296</v>
      </c>
      <c r="G140" s="1815" t="s">
        <v>62</v>
      </c>
      <c r="H140" s="1814"/>
      <c r="I140" s="1816">
        <v>0</v>
      </c>
      <c r="J140" s="1816">
        <v>0</v>
      </c>
      <c r="K140" s="1816">
        <v>0</v>
      </c>
      <c r="L140" s="1816">
        <v>0</v>
      </c>
      <c r="M140" s="1816">
        <v>0</v>
      </c>
      <c r="N140" s="1816">
        <v>0</v>
      </c>
      <c r="O140" s="1816">
        <v>0</v>
      </c>
      <c r="P140" s="1816">
        <v>365593.87</v>
      </c>
      <c r="Q140" s="1817">
        <v>0</v>
      </c>
    </row>
    <row r="141" spans="1:17" ht="63.75" outlineLevel="5">
      <c r="A141" s="1208" t="s">
        <v>717</v>
      </c>
      <c r="B141" s="1814" t="s">
        <v>3554</v>
      </c>
      <c r="C141" s="1814" t="s">
        <v>3297</v>
      </c>
      <c r="D141" s="1814" t="s">
        <v>3566</v>
      </c>
      <c r="E141" s="1814" t="s">
        <v>3550</v>
      </c>
      <c r="F141" s="1814" t="s">
        <v>3296</v>
      </c>
      <c r="G141" s="1815" t="s">
        <v>62</v>
      </c>
      <c r="H141" s="1814" t="s">
        <v>3241</v>
      </c>
      <c r="I141" s="1816">
        <v>567700</v>
      </c>
      <c r="J141" s="1816">
        <v>-202106.13</v>
      </c>
      <c r="K141" s="1816">
        <v>365593.87</v>
      </c>
      <c r="L141" s="1816">
        <v>0</v>
      </c>
      <c r="M141" s="1816">
        <v>365593.87</v>
      </c>
      <c r="N141" s="1816">
        <v>365593.87</v>
      </c>
      <c r="O141" s="1816">
        <v>365593.87</v>
      </c>
      <c r="P141" s="1816">
        <v>0</v>
      </c>
      <c r="Q141" s="1817">
        <v>0</v>
      </c>
    </row>
    <row r="142" spans="1:17" outlineLevel="3">
      <c r="A142" s="1212" t="s">
        <v>717</v>
      </c>
      <c r="B142" s="1806" t="s">
        <v>3554</v>
      </c>
      <c r="C142" s="1806" t="s">
        <v>3297</v>
      </c>
      <c r="D142" s="1806" t="s">
        <v>3565</v>
      </c>
      <c r="E142" s="1806"/>
      <c r="F142" s="1806"/>
      <c r="G142" s="1807"/>
      <c r="H142" s="1806"/>
      <c r="I142" s="1808">
        <v>2993600</v>
      </c>
      <c r="J142" s="1808">
        <v>2708043.51</v>
      </c>
      <c r="K142" s="1808">
        <v>5701643.5099999998</v>
      </c>
      <c r="L142" s="1808">
        <v>0</v>
      </c>
      <c r="M142" s="1808">
        <v>5701643.5099999998</v>
      </c>
      <c r="N142" s="1808">
        <v>5701643.5099999998</v>
      </c>
      <c r="O142" s="1808">
        <v>5670192.9000000004</v>
      </c>
      <c r="P142" s="1808">
        <v>5670192.9000000004</v>
      </c>
      <c r="Q142" s="1809">
        <v>31450.61</v>
      </c>
    </row>
    <row r="143" spans="1:17" outlineLevel="4">
      <c r="A143" s="1210" t="s">
        <v>717</v>
      </c>
      <c r="B143" s="1810" t="s">
        <v>3554</v>
      </c>
      <c r="C143" s="1810" t="s">
        <v>3297</v>
      </c>
      <c r="D143" s="1810" t="s">
        <v>3565</v>
      </c>
      <c r="E143" s="1810" t="s">
        <v>3550</v>
      </c>
      <c r="F143" s="1810"/>
      <c r="G143" s="1811"/>
      <c r="H143" s="1810"/>
      <c r="I143" s="1812">
        <v>2993600</v>
      </c>
      <c r="J143" s="1812">
        <v>2708043.51</v>
      </c>
      <c r="K143" s="1812">
        <v>5701643.5099999998</v>
      </c>
      <c r="L143" s="1812">
        <v>0</v>
      </c>
      <c r="M143" s="1812">
        <v>5701643.5099999998</v>
      </c>
      <c r="N143" s="1812">
        <v>5701643.5099999998</v>
      </c>
      <c r="O143" s="1812">
        <v>5670192.9000000004</v>
      </c>
      <c r="P143" s="1812">
        <v>5670192.9000000004</v>
      </c>
      <c r="Q143" s="1813">
        <v>31450.61</v>
      </c>
    </row>
    <row r="144" spans="1:17" ht="63.75" outlineLevel="5">
      <c r="A144" s="1208" t="s">
        <v>717</v>
      </c>
      <c r="B144" s="1814" t="s">
        <v>3554</v>
      </c>
      <c r="C144" s="1814" t="s">
        <v>3297</v>
      </c>
      <c r="D144" s="1814" t="s">
        <v>3565</v>
      </c>
      <c r="E144" s="1814" t="s">
        <v>3550</v>
      </c>
      <c r="F144" s="1814" t="s">
        <v>3296</v>
      </c>
      <c r="G144" s="1815" t="s">
        <v>62</v>
      </c>
      <c r="H144" s="1814"/>
      <c r="I144" s="1816">
        <v>0</v>
      </c>
      <c r="J144" s="1816">
        <v>0</v>
      </c>
      <c r="K144" s="1816">
        <v>0</v>
      </c>
      <c r="L144" s="1816">
        <v>0</v>
      </c>
      <c r="M144" s="1816">
        <v>0</v>
      </c>
      <c r="N144" s="1816">
        <v>0</v>
      </c>
      <c r="O144" s="1816">
        <v>0</v>
      </c>
      <c r="P144" s="1816">
        <v>5670192.9000000004</v>
      </c>
      <c r="Q144" s="1817">
        <v>0</v>
      </c>
    </row>
    <row r="145" spans="1:17" ht="63.75" outlineLevel="5">
      <c r="A145" s="1208" t="s">
        <v>717</v>
      </c>
      <c r="B145" s="1814" t="s">
        <v>3554</v>
      </c>
      <c r="C145" s="1814" t="s">
        <v>3297</v>
      </c>
      <c r="D145" s="1814" t="s">
        <v>3565</v>
      </c>
      <c r="E145" s="1814" t="s">
        <v>3550</v>
      </c>
      <c r="F145" s="1814" t="s">
        <v>3296</v>
      </c>
      <c r="G145" s="1815" t="s">
        <v>62</v>
      </c>
      <c r="H145" s="1814" t="s">
        <v>3241</v>
      </c>
      <c r="I145" s="1816">
        <v>2993600</v>
      </c>
      <c r="J145" s="1816">
        <v>2708043.51</v>
      </c>
      <c r="K145" s="1816">
        <v>5701643.5099999998</v>
      </c>
      <c r="L145" s="1816">
        <v>0</v>
      </c>
      <c r="M145" s="1816">
        <v>5701643.5099999998</v>
      </c>
      <c r="N145" s="1816">
        <v>5701643.5099999998</v>
      </c>
      <c r="O145" s="1816">
        <v>5670192.9000000004</v>
      </c>
      <c r="P145" s="1816">
        <v>0</v>
      </c>
      <c r="Q145" s="1817">
        <v>31450.61</v>
      </c>
    </row>
    <row r="146" spans="1:17" outlineLevel="2">
      <c r="A146" s="1801" t="s">
        <v>717</v>
      </c>
      <c r="B146" s="1802" t="s">
        <v>3554</v>
      </c>
      <c r="C146" s="1802" t="s">
        <v>3295</v>
      </c>
      <c r="D146" s="1802"/>
      <c r="E146" s="1802"/>
      <c r="F146" s="1802"/>
      <c r="G146" s="1803"/>
      <c r="H146" s="1802"/>
      <c r="I146" s="1804">
        <v>0</v>
      </c>
      <c r="J146" s="1804">
        <v>134432.19</v>
      </c>
      <c r="K146" s="1804">
        <v>134432.19</v>
      </c>
      <c r="L146" s="1804">
        <v>0</v>
      </c>
      <c r="M146" s="1804">
        <v>134432.19</v>
      </c>
      <c r="N146" s="1804">
        <v>134432.19</v>
      </c>
      <c r="O146" s="1804">
        <v>134432.19</v>
      </c>
      <c r="P146" s="1804">
        <v>134432.19</v>
      </c>
      <c r="Q146" s="1805">
        <v>0</v>
      </c>
    </row>
    <row r="147" spans="1:17" outlineLevel="3">
      <c r="A147" s="1212" t="s">
        <v>717</v>
      </c>
      <c r="B147" s="1806" t="s">
        <v>3554</v>
      </c>
      <c r="C147" s="1806" t="s">
        <v>3295</v>
      </c>
      <c r="D147" s="1806" t="s">
        <v>3566</v>
      </c>
      <c r="E147" s="1806"/>
      <c r="F147" s="1806"/>
      <c r="G147" s="1807"/>
      <c r="H147" s="1806"/>
      <c r="I147" s="1808">
        <v>0</v>
      </c>
      <c r="J147" s="1808">
        <v>46621.2</v>
      </c>
      <c r="K147" s="1808">
        <v>46621.2</v>
      </c>
      <c r="L147" s="1808">
        <v>0</v>
      </c>
      <c r="M147" s="1808">
        <v>46621.2</v>
      </c>
      <c r="N147" s="1808">
        <v>46621.2</v>
      </c>
      <c r="O147" s="1808">
        <v>46621.2</v>
      </c>
      <c r="P147" s="1808">
        <v>46621.2</v>
      </c>
      <c r="Q147" s="1809">
        <v>0</v>
      </c>
    </row>
    <row r="148" spans="1:17" outlineLevel="4">
      <c r="A148" s="1210" t="s">
        <v>717</v>
      </c>
      <c r="B148" s="1810" t="s">
        <v>3554</v>
      </c>
      <c r="C148" s="1810" t="s">
        <v>3295</v>
      </c>
      <c r="D148" s="1810" t="s">
        <v>3566</v>
      </c>
      <c r="E148" s="1810" t="s">
        <v>3550</v>
      </c>
      <c r="F148" s="1810"/>
      <c r="G148" s="1811"/>
      <c r="H148" s="1810"/>
      <c r="I148" s="1812">
        <v>0</v>
      </c>
      <c r="J148" s="1812">
        <v>46621.2</v>
      </c>
      <c r="K148" s="1812">
        <v>46621.2</v>
      </c>
      <c r="L148" s="1812">
        <v>0</v>
      </c>
      <c r="M148" s="1812">
        <v>46621.2</v>
      </c>
      <c r="N148" s="1812">
        <v>46621.2</v>
      </c>
      <c r="O148" s="1812">
        <v>46621.2</v>
      </c>
      <c r="P148" s="1812">
        <v>46621.2</v>
      </c>
      <c r="Q148" s="1813">
        <v>0</v>
      </c>
    </row>
    <row r="149" spans="1:17" ht="76.5" outlineLevel="5">
      <c r="A149" s="1208" t="s">
        <v>717</v>
      </c>
      <c r="B149" s="1814" t="s">
        <v>3554</v>
      </c>
      <c r="C149" s="1814" t="s">
        <v>3295</v>
      </c>
      <c r="D149" s="1814" t="s">
        <v>3566</v>
      </c>
      <c r="E149" s="1814" t="s">
        <v>3550</v>
      </c>
      <c r="F149" s="1814" t="s">
        <v>3294</v>
      </c>
      <c r="G149" s="1815" t="s">
        <v>156</v>
      </c>
      <c r="H149" s="1814"/>
      <c r="I149" s="1816">
        <v>0</v>
      </c>
      <c r="J149" s="1816">
        <v>0</v>
      </c>
      <c r="K149" s="1816">
        <v>0</v>
      </c>
      <c r="L149" s="1816">
        <v>0</v>
      </c>
      <c r="M149" s="1816">
        <v>0</v>
      </c>
      <c r="N149" s="1816">
        <v>0</v>
      </c>
      <c r="O149" s="1816">
        <v>0</v>
      </c>
      <c r="P149" s="1816">
        <v>46621.2</v>
      </c>
      <c r="Q149" s="1817">
        <v>0</v>
      </c>
    </row>
    <row r="150" spans="1:17" ht="76.5" outlineLevel="5">
      <c r="A150" s="1208" t="s">
        <v>717</v>
      </c>
      <c r="B150" s="1814" t="s">
        <v>3554</v>
      </c>
      <c r="C150" s="1814" t="s">
        <v>3295</v>
      </c>
      <c r="D150" s="1814" t="s">
        <v>3566</v>
      </c>
      <c r="E150" s="1814" t="s">
        <v>3550</v>
      </c>
      <c r="F150" s="1814" t="s">
        <v>3294</v>
      </c>
      <c r="G150" s="1815" t="s">
        <v>156</v>
      </c>
      <c r="H150" s="1814" t="s">
        <v>3241</v>
      </c>
      <c r="I150" s="1816">
        <v>0</v>
      </c>
      <c r="J150" s="1816">
        <v>46621.2</v>
      </c>
      <c r="K150" s="1816">
        <v>46621.2</v>
      </c>
      <c r="L150" s="1816">
        <v>0</v>
      </c>
      <c r="M150" s="1816">
        <v>46621.2</v>
      </c>
      <c r="N150" s="1816">
        <v>46621.2</v>
      </c>
      <c r="O150" s="1816">
        <v>46621.2</v>
      </c>
      <c r="P150" s="1816">
        <v>0</v>
      </c>
      <c r="Q150" s="1817">
        <v>0</v>
      </c>
    </row>
    <row r="151" spans="1:17" outlineLevel="3">
      <c r="A151" s="1212" t="s">
        <v>717</v>
      </c>
      <c r="B151" s="1806" t="s">
        <v>3554</v>
      </c>
      <c r="C151" s="1806" t="s">
        <v>3295</v>
      </c>
      <c r="D151" s="1806" t="s">
        <v>3565</v>
      </c>
      <c r="E151" s="1806"/>
      <c r="F151" s="1806"/>
      <c r="G151" s="1807"/>
      <c r="H151" s="1806"/>
      <c r="I151" s="1808">
        <v>0</v>
      </c>
      <c r="J151" s="1808">
        <v>87810.99</v>
      </c>
      <c r="K151" s="1808">
        <v>87810.99</v>
      </c>
      <c r="L151" s="1808">
        <v>0</v>
      </c>
      <c r="M151" s="1808">
        <v>87810.99</v>
      </c>
      <c r="N151" s="1808">
        <v>87810.99</v>
      </c>
      <c r="O151" s="1808">
        <v>87810.99</v>
      </c>
      <c r="P151" s="1808">
        <v>87810.99</v>
      </c>
      <c r="Q151" s="1809">
        <v>0</v>
      </c>
    </row>
    <row r="152" spans="1:17" outlineLevel="4">
      <c r="A152" s="1210" t="s">
        <v>717</v>
      </c>
      <c r="B152" s="1810" t="s">
        <v>3554</v>
      </c>
      <c r="C152" s="1810" t="s">
        <v>3295</v>
      </c>
      <c r="D152" s="1810" t="s">
        <v>3565</v>
      </c>
      <c r="E152" s="1810" t="s">
        <v>3550</v>
      </c>
      <c r="F152" s="1810"/>
      <c r="G152" s="1811"/>
      <c r="H152" s="1810"/>
      <c r="I152" s="1812">
        <v>0</v>
      </c>
      <c r="J152" s="1812">
        <v>87810.99</v>
      </c>
      <c r="K152" s="1812">
        <v>87810.99</v>
      </c>
      <c r="L152" s="1812">
        <v>0</v>
      </c>
      <c r="M152" s="1812">
        <v>87810.99</v>
      </c>
      <c r="N152" s="1812">
        <v>87810.99</v>
      </c>
      <c r="O152" s="1812">
        <v>87810.99</v>
      </c>
      <c r="P152" s="1812">
        <v>87810.99</v>
      </c>
      <c r="Q152" s="1813">
        <v>0</v>
      </c>
    </row>
    <row r="153" spans="1:17" ht="76.5" outlineLevel="5">
      <c r="A153" s="1208" t="s">
        <v>717</v>
      </c>
      <c r="B153" s="1814" t="s">
        <v>3554</v>
      </c>
      <c r="C153" s="1814" t="s">
        <v>3295</v>
      </c>
      <c r="D153" s="1814" t="s">
        <v>3565</v>
      </c>
      <c r="E153" s="1814" t="s">
        <v>3550</v>
      </c>
      <c r="F153" s="1814" t="s">
        <v>3294</v>
      </c>
      <c r="G153" s="1815" t="s">
        <v>156</v>
      </c>
      <c r="H153" s="1814"/>
      <c r="I153" s="1816">
        <v>0</v>
      </c>
      <c r="J153" s="1816">
        <v>0</v>
      </c>
      <c r="K153" s="1816">
        <v>0</v>
      </c>
      <c r="L153" s="1816">
        <v>0</v>
      </c>
      <c r="M153" s="1816">
        <v>0</v>
      </c>
      <c r="N153" s="1816">
        <v>0</v>
      </c>
      <c r="O153" s="1816">
        <v>0</v>
      </c>
      <c r="P153" s="1816">
        <v>87810.99</v>
      </c>
      <c r="Q153" s="1817">
        <v>0</v>
      </c>
    </row>
    <row r="154" spans="1:17" ht="76.5" outlineLevel="5">
      <c r="A154" s="1208" t="s">
        <v>717</v>
      </c>
      <c r="B154" s="1814" t="s">
        <v>3554</v>
      </c>
      <c r="C154" s="1814" t="s">
        <v>3295</v>
      </c>
      <c r="D154" s="1814" t="s">
        <v>3565</v>
      </c>
      <c r="E154" s="1814" t="s">
        <v>3550</v>
      </c>
      <c r="F154" s="1814" t="s">
        <v>3294</v>
      </c>
      <c r="G154" s="1815" t="s">
        <v>156</v>
      </c>
      <c r="H154" s="1814" t="s">
        <v>3241</v>
      </c>
      <c r="I154" s="1816">
        <v>0</v>
      </c>
      <c r="J154" s="1816">
        <v>87810.99</v>
      </c>
      <c r="K154" s="1816">
        <v>87810.99</v>
      </c>
      <c r="L154" s="1816">
        <v>0</v>
      </c>
      <c r="M154" s="1816">
        <v>87810.99</v>
      </c>
      <c r="N154" s="1816">
        <v>87810.99</v>
      </c>
      <c r="O154" s="1816">
        <v>87810.99</v>
      </c>
      <c r="P154" s="1816">
        <v>0</v>
      </c>
      <c r="Q154" s="1817">
        <v>0</v>
      </c>
    </row>
    <row r="155" spans="1:17" outlineLevel="2">
      <c r="A155" s="1801" t="s">
        <v>717</v>
      </c>
      <c r="B155" s="1802" t="s">
        <v>3554</v>
      </c>
      <c r="C155" s="1802" t="s">
        <v>3291</v>
      </c>
      <c r="D155" s="1802"/>
      <c r="E155" s="1802"/>
      <c r="F155" s="1802"/>
      <c r="G155" s="1803"/>
      <c r="H155" s="1802"/>
      <c r="I155" s="1804">
        <v>54110657.700000003</v>
      </c>
      <c r="J155" s="1804">
        <v>15626930.970000001</v>
      </c>
      <c r="K155" s="1804">
        <v>69737588.670000002</v>
      </c>
      <c r="L155" s="1804">
        <v>0</v>
      </c>
      <c r="M155" s="1804">
        <v>69737588.670000002</v>
      </c>
      <c r="N155" s="1804">
        <v>69737588.670000002</v>
      </c>
      <c r="O155" s="1804">
        <v>69522234.549999997</v>
      </c>
      <c r="P155" s="1804">
        <v>69522234.549999997</v>
      </c>
      <c r="Q155" s="1805">
        <v>215354.12</v>
      </c>
    </row>
    <row r="156" spans="1:17" outlineLevel="3">
      <c r="A156" s="1212" t="s">
        <v>717</v>
      </c>
      <c r="B156" s="1806" t="s">
        <v>3554</v>
      </c>
      <c r="C156" s="1806" t="s">
        <v>3291</v>
      </c>
      <c r="D156" s="1806" t="s">
        <v>3553</v>
      </c>
      <c r="E156" s="1806"/>
      <c r="F156" s="1806"/>
      <c r="G156" s="1807"/>
      <c r="H156" s="1806"/>
      <c r="I156" s="1808">
        <v>2106657.7000000002</v>
      </c>
      <c r="J156" s="1808">
        <v>-869069.03</v>
      </c>
      <c r="K156" s="1808">
        <v>1237588.67</v>
      </c>
      <c r="L156" s="1808">
        <v>0</v>
      </c>
      <c r="M156" s="1808">
        <v>1237588.67</v>
      </c>
      <c r="N156" s="1808">
        <v>1237588.67</v>
      </c>
      <c r="O156" s="1808">
        <v>1022234.55</v>
      </c>
      <c r="P156" s="1808">
        <v>1022234.55</v>
      </c>
      <c r="Q156" s="1809">
        <v>215354.12</v>
      </c>
    </row>
    <row r="157" spans="1:17" outlineLevel="4">
      <c r="A157" s="1210" t="s">
        <v>717</v>
      </c>
      <c r="B157" s="1810" t="s">
        <v>3554</v>
      </c>
      <c r="C157" s="1810" t="s">
        <v>3291</v>
      </c>
      <c r="D157" s="1810" t="s">
        <v>3553</v>
      </c>
      <c r="E157" s="1810" t="s">
        <v>3550</v>
      </c>
      <c r="F157" s="1810"/>
      <c r="G157" s="1811"/>
      <c r="H157" s="1810"/>
      <c r="I157" s="1812">
        <v>2106657.7000000002</v>
      </c>
      <c r="J157" s="1812">
        <v>-869069.03</v>
      </c>
      <c r="K157" s="1812">
        <v>1237588.67</v>
      </c>
      <c r="L157" s="1812">
        <v>0</v>
      </c>
      <c r="M157" s="1812">
        <v>1237588.67</v>
      </c>
      <c r="N157" s="1812">
        <v>1237588.67</v>
      </c>
      <c r="O157" s="1812">
        <v>1022234.55</v>
      </c>
      <c r="P157" s="1812">
        <v>1022234.55</v>
      </c>
      <c r="Q157" s="1813">
        <v>215354.12</v>
      </c>
    </row>
    <row r="158" spans="1:17" ht="51" outlineLevel="5">
      <c r="A158" s="1208" t="s">
        <v>717</v>
      </c>
      <c r="B158" s="1814" t="s">
        <v>3554</v>
      </c>
      <c r="C158" s="1814" t="s">
        <v>3291</v>
      </c>
      <c r="D158" s="1814" t="s">
        <v>3553</v>
      </c>
      <c r="E158" s="1814" t="s">
        <v>3550</v>
      </c>
      <c r="F158" s="1814" t="s">
        <v>3290</v>
      </c>
      <c r="G158" s="1815" t="s">
        <v>50</v>
      </c>
      <c r="H158" s="1814"/>
      <c r="I158" s="1816">
        <v>0</v>
      </c>
      <c r="J158" s="1816">
        <v>0</v>
      </c>
      <c r="K158" s="1816">
        <v>0</v>
      </c>
      <c r="L158" s="1816">
        <v>0</v>
      </c>
      <c r="M158" s="1816">
        <v>0</v>
      </c>
      <c r="N158" s="1816">
        <v>0</v>
      </c>
      <c r="O158" s="1816">
        <v>0</v>
      </c>
      <c r="P158" s="1816">
        <v>1022234.55</v>
      </c>
      <c r="Q158" s="1817">
        <v>0</v>
      </c>
    </row>
    <row r="159" spans="1:17" ht="51" outlineLevel="5">
      <c r="A159" s="1208" t="s">
        <v>717</v>
      </c>
      <c r="B159" s="1814" t="s">
        <v>3554</v>
      </c>
      <c r="C159" s="1814" t="s">
        <v>3291</v>
      </c>
      <c r="D159" s="1814" t="s">
        <v>3553</v>
      </c>
      <c r="E159" s="1814" t="s">
        <v>3550</v>
      </c>
      <c r="F159" s="1814" t="s">
        <v>3290</v>
      </c>
      <c r="G159" s="1815" t="s">
        <v>50</v>
      </c>
      <c r="H159" s="1814" t="s">
        <v>3241</v>
      </c>
      <c r="I159" s="1816">
        <v>2106657.7000000002</v>
      </c>
      <c r="J159" s="1816">
        <v>-869069.03</v>
      </c>
      <c r="K159" s="1816">
        <v>1237588.67</v>
      </c>
      <c r="L159" s="1816">
        <v>0</v>
      </c>
      <c r="M159" s="1816">
        <v>1237588.67</v>
      </c>
      <c r="N159" s="1816">
        <v>1237588.67</v>
      </c>
      <c r="O159" s="1816">
        <v>1022234.55</v>
      </c>
      <c r="P159" s="1816">
        <v>0</v>
      </c>
      <c r="Q159" s="1817">
        <v>215354.12</v>
      </c>
    </row>
    <row r="160" spans="1:17" outlineLevel="3">
      <c r="A160" s="1212" t="s">
        <v>717</v>
      </c>
      <c r="B160" s="1806" t="s">
        <v>3554</v>
      </c>
      <c r="C160" s="1806" t="s">
        <v>3291</v>
      </c>
      <c r="D160" s="1806" t="s">
        <v>3564</v>
      </c>
      <c r="E160" s="1806"/>
      <c r="F160" s="1806"/>
      <c r="G160" s="1807"/>
      <c r="H160" s="1806"/>
      <c r="I160" s="1808">
        <v>52004000</v>
      </c>
      <c r="J160" s="1808">
        <v>16496000</v>
      </c>
      <c r="K160" s="1808">
        <v>68500000</v>
      </c>
      <c r="L160" s="1808">
        <v>0</v>
      </c>
      <c r="M160" s="1808">
        <v>68500000</v>
      </c>
      <c r="N160" s="1808">
        <v>68500000</v>
      </c>
      <c r="O160" s="1808">
        <v>68500000</v>
      </c>
      <c r="P160" s="1808">
        <v>68500000</v>
      </c>
      <c r="Q160" s="1809">
        <v>0</v>
      </c>
    </row>
    <row r="161" spans="1:18" outlineLevel="4">
      <c r="A161" s="1210" t="s">
        <v>717</v>
      </c>
      <c r="B161" s="1810" t="s">
        <v>3554</v>
      </c>
      <c r="C161" s="1810" t="s">
        <v>3291</v>
      </c>
      <c r="D161" s="1810" t="s">
        <v>3564</v>
      </c>
      <c r="E161" s="1810" t="s">
        <v>3550</v>
      </c>
      <c r="F161" s="1810"/>
      <c r="G161" s="1811"/>
      <c r="H161" s="1810"/>
      <c r="I161" s="1812">
        <v>52004000</v>
      </c>
      <c r="J161" s="1812">
        <v>16496000</v>
      </c>
      <c r="K161" s="1812">
        <v>68500000</v>
      </c>
      <c r="L161" s="1812">
        <v>0</v>
      </c>
      <c r="M161" s="1812">
        <v>68500000</v>
      </c>
      <c r="N161" s="1812">
        <v>68500000</v>
      </c>
      <c r="O161" s="1812">
        <v>68500000</v>
      </c>
      <c r="P161" s="1812">
        <v>68500000</v>
      </c>
      <c r="Q161" s="1813">
        <v>0</v>
      </c>
    </row>
    <row r="162" spans="1:18" ht="51" outlineLevel="5">
      <c r="A162" s="1208" t="s">
        <v>717</v>
      </c>
      <c r="B162" s="1814" t="s">
        <v>3554</v>
      </c>
      <c r="C162" s="1814" t="s">
        <v>3291</v>
      </c>
      <c r="D162" s="1814" t="s">
        <v>3564</v>
      </c>
      <c r="E162" s="1814" t="s">
        <v>3550</v>
      </c>
      <c r="F162" s="1814" t="s">
        <v>5407</v>
      </c>
      <c r="G162" s="1815" t="s">
        <v>2928</v>
      </c>
      <c r="H162" s="1814"/>
      <c r="I162" s="1816">
        <v>0</v>
      </c>
      <c r="J162" s="1816">
        <v>0</v>
      </c>
      <c r="K162" s="1816">
        <v>0</v>
      </c>
      <c r="L162" s="1816">
        <v>0</v>
      </c>
      <c r="M162" s="1816">
        <v>0</v>
      </c>
      <c r="N162" s="1816">
        <v>0</v>
      </c>
      <c r="O162" s="1816">
        <v>0</v>
      </c>
      <c r="P162" s="1816">
        <v>900000</v>
      </c>
      <c r="Q162" s="1817">
        <v>0</v>
      </c>
    </row>
    <row r="163" spans="1:18" ht="51" outlineLevel="5">
      <c r="A163" s="1208" t="s">
        <v>717</v>
      </c>
      <c r="B163" s="1814" t="s">
        <v>3554</v>
      </c>
      <c r="C163" s="1814" t="s">
        <v>3291</v>
      </c>
      <c r="D163" s="1814" t="s">
        <v>3564</v>
      </c>
      <c r="E163" s="1814" t="s">
        <v>3550</v>
      </c>
      <c r="F163" s="1814" t="s">
        <v>5407</v>
      </c>
      <c r="G163" s="1815" t="s">
        <v>2928</v>
      </c>
      <c r="H163" s="1814" t="s">
        <v>3241</v>
      </c>
      <c r="I163" s="1816">
        <v>0</v>
      </c>
      <c r="J163" s="1816">
        <v>900000</v>
      </c>
      <c r="K163" s="1816">
        <v>900000</v>
      </c>
      <c r="L163" s="1816">
        <v>0</v>
      </c>
      <c r="M163" s="1816">
        <v>900000</v>
      </c>
      <c r="N163" s="1816">
        <v>900000</v>
      </c>
      <c r="O163" s="1816">
        <v>900000</v>
      </c>
      <c r="P163" s="1816">
        <v>0</v>
      </c>
      <c r="Q163" s="1817">
        <v>0</v>
      </c>
    </row>
    <row r="164" spans="1:18" ht="140.25" outlineLevel="5">
      <c r="A164" s="1208" t="s">
        <v>717</v>
      </c>
      <c r="B164" s="1814" t="s">
        <v>3554</v>
      </c>
      <c r="C164" s="1814" t="s">
        <v>3291</v>
      </c>
      <c r="D164" s="1814" t="s">
        <v>3564</v>
      </c>
      <c r="E164" s="1814" t="s">
        <v>3550</v>
      </c>
      <c r="F164" s="1814" t="s">
        <v>3293</v>
      </c>
      <c r="G164" s="1815" t="s">
        <v>56</v>
      </c>
      <c r="H164" s="1814"/>
      <c r="I164" s="1816">
        <v>0</v>
      </c>
      <c r="J164" s="1816">
        <v>0</v>
      </c>
      <c r="K164" s="1816">
        <v>0</v>
      </c>
      <c r="L164" s="1816">
        <v>0</v>
      </c>
      <c r="M164" s="1816">
        <v>0</v>
      </c>
      <c r="N164" s="1816">
        <v>0</v>
      </c>
      <c r="O164" s="1816">
        <v>0</v>
      </c>
      <c r="P164" s="1816">
        <v>67600000</v>
      </c>
      <c r="Q164" s="1817">
        <v>0</v>
      </c>
    </row>
    <row r="165" spans="1:18" ht="140.25" outlineLevel="5">
      <c r="A165" s="1208" t="s">
        <v>717</v>
      </c>
      <c r="B165" s="1814" t="s">
        <v>3554</v>
      </c>
      <c r="C165" s="1814" t="s">
        <v>3291</v>
      </c>
      <c r="D165" s="1814" t="s">
        <v>3564</v>
      </c>
      <c r="E165" s="1814" t="s">
        <v>3550</v>
      </c>
      <c r="F165" s="1814" t="s">
        <v>3293</v>
      </c>
      <c r="G165" s="1815" t="s">
        <v>56</v>
      </c>
      <c r="H165" s="1814" t="s">
        <v>3241</v>
      </c>
      <c r="I165" s="1816">
        <v>52004000</v>
      </c>
      <c r="J165" s="1816">
        <v>15596000</v>
      </c>
      <c r="K165" s="1816">
        <v>67600000</v>
      </c>
      <c r="L165" s="1816">
        <v>0</v>
      </c>
      <c r="M165" s="1816">
        <v>67600000</v>
      </c>
      <c r="N165" s="1816">
        <v>67600000</v>
      </c>
      <c r="O165" s="1816">
        <v>67600000</v>
      </c>
      <c r="P165" s="1816">
        <v>0</v>
      </c>
      <c r="Q165" s="1817">
        <v>0</v>
      </c>
    </row>
    <row r="166" spans="1:18" outlineLevel="2">
      <c r="A166" s="1801" t="s">
        <v>717</v>
      </c>
      <c r="B166" s="1802" t="s">
        <v>3554</v>
      </c>
      <c r="C166" s="1802" t="s">
        <v>3287</v>
      </c>
      <c r="D166" s="1802"/>
      <c r="E166" s="1802"/>
      <c r="F166" s="1802"/>
      <c r="G166" s="1803"/>
      <c r="H166" s="1802"/>
      <c r="I166" s="1804">
        <v>41400000</v>
      </c>
      <c r="J166" s="1804">
        <v>6400000</v>
      </c>
      <c r="K166" s="1804">
        <v>47800000</v>
      </c>
      <c r="L166" s="1804">
        <v>41400000</v>
      </c>
      <c r="M166" s="1804">
        <v>6400000</v>
      </c>
      <c r="N166" s="1804">
        <v>47800000</v>
      </c>
      <c r="O166" s="1804">
        <v>47800000</v>
      </c>
      <c r="P166" s="1804">
        <v>47800000</v>
      </c>
      <c r="Q166" s="1805">
        <v>0</v>
      </c>
    </row>
    <row r="167" spans="1:18" outlineLevel="3">
      <c r="A167" s="1212" t="s">
        <v>717</v>
      </c>
      <c r="B167" s="1806" t="s">
        <v>3554</v>
      </c>
      <c r="C167" s="1806" t="s">
        <v>3287</v>
      </c>
      <c r="D167" s="1806" t="s">
        <v>3561</v>
      </c>
      <c r="E167" s="1806"/>
      <c r="F167" s="1806"/>
      <c r="G167" s="1807"/>
      <c r="H167" s="1806"/>
      <c r="I167" s="1808">
        <v>41400000</v>
      </c>
      <c r="J167" s="1808">
        <v>6400000</v>
      </c>
      <c r="K167" s="1808">
        <v>47800000</v>
      </c>
      <c r="L167" s="1808">
        <v>41400000</v>
      </c>
      <c r="M167" s="1808">
        <v>6400000</v>
      </c>
      <c r="N167" s="1808">
        <v>47800000</v>
      </c>
      <c r="O167" s="1808">
        <v>47800000</v>
      </c>
      <c r="P167" s="1808">
        <v>47800000</v>
      </c>
      <c r="Q167" s="1809">
        <v>0</v>
      </c>
    </row>
    <row r="168" spans="1:18" outlineLevel="4">
      <c r="A168" s="1210" t="s">
        <v>717</v>
      </c>
      <c r="B168" s="1810" t="s">
        <v>3554</v>
      </c>
      <c r="C168" s="1810" t="s">
        <v>3287</v>
      </c>
      <c r="D168" s="1810" t="s">
        <v>3561</v>
      </c>
      <c r="E168" s="1810" t="s">
        <v>3560</v>
      </c>
      <c r="F168" s="1810"/>
      <c r="G168" s="1811"/>
      <c r="H168" s="1810"/>
      <c r="I168" s="1812">
        <v>0</v>
      </c>
      <c r="J168" s="1812">
        <v>6400000</v>
      </c>
      <c r="K168" s="1812">
        <v>6400000</v>
      </c>
      <c r="L168" s="1812">
        <v>0</v>
      </c>
      <c r="M168" s="1812">
        <v>6400000</v>
      </c>
      <c r="N168" s="1812">
        <v>6400000</v>
      </c>
      <c r="O168" s="1812">
        <v>6400000</v>
      </c>
      <c r="P168" s="1812">
        <v>6400000</v>
      </c>
      <c r="Q168" s="1813">
        <v>0</v>
      </c>
    </row>
    <row r="169" spans="1:18" ht="127.5" outlineLevel="5">
      <c r="A169" s="1208" t="s">
        <v>717</v>
      </c>
      <c r="B169" s="1814" t="s">
        <v>3554</v>
      </c>
      <c r="C169" s="1814" t="s">
        <v>3287</v>
      </c>
      <c r="D169" s="1814" t="s">
        <v>3561</v>
      </c>
      <c r="E169" s="1814" t="s">
        <v>3560</v>
      </c>
      <c r="F169" s="1814" t="s">
        <v>3559</v>
      </c>
      <c r="G169" s="1815" t="s">
        <v>2937</v>
      </c>
      <c r="H169" s="1814"/>
      <c r="I169" s="1816">
        <v>0</v>
      </c>
      <c r="J169" s="1816">
        <v>0</v>
      </c>
      <c r="K169" s="1816">
        <v>0</v>
      </c>
      <c r="L169" s="1816">
        <v>0</v>
      </c>
      <c r="M169" s="1816">
        <v>0</v>
      </c>
      <c r="N169" s="1816">
        <v>0</v>
      </c>
      <c r="O169" s="1816">
        <v>0</v>
      </c>
      <c r="P169" s="1837">
        <v>6400000</v>
      </c>
      <c r="Q169" s="1817">
        <v>0</v>
      </c>
      <c r="R169" s="830">
        <v>6400</v>
      </c>
    </row>
    <row r="170" spans="1:18" ht="127.5" outlineLevel="5">
      <c r="A170" s="1208" t="s">
        <v>717</v>
      </c>
      <c r="B170" s="1814" t="s">
        <v>3554</v>
      </c>
      <c r="C170" s="1814" t="s">
        <v>3287</v>
      </c>
      <c r="D170" s="1814" t="s">
        <v>3561</v>
      </c>
      <c r="E170" s="1814" t="s">
        <v>3560</v>
      </c>
      <c r="F170" s="1814" t="s">
        <v>3559</v>
      </c>
      <c r="G170" s="1815" t="s">
        <v>2937</v>
      </c>
      <c r="H170" s="1814" t="s">
        <v>3241</v>
      </c>
      <c r="I170" s="1816">
        <v>0</v>
      </c>
      <c r="J170" s="1816">
        <v>6400000</v>
      </c>
      <c r="K170" s="1816">
        <v>6400000</v>
      </c>
      <c r="L170" s="1816">
        <v>0</v>
      </c>
      <c r="M170" s="1816">
        <v>6400000</v>
      </c>
      <c r="N170" s="1816">
        <v>6400000</v>
      </c>
      <c r="O170" s="1816">
        <v>6400000</v>
      </c>
      <c r="P170" s="1816">
        <v>0</v>
      </c>
      <c r="Q170" s="1817">
        <v>0</v>
      </c>
    </row>
    <row r="171" spans="1:18" outlineLevel="4">
      <c r="A171" s="1210" t="s">
        <v>717</v>
      </c>
      <c r="B171" s="1810" t="s">
        <v>3554</v>
      </c>
      <c r="C171" s="1810" t="s">
        <v>3287</v>
      </c>
      <c r="D171" s="1810" t="s">
        <v>3561</v>
      </c>
      <c r="E171" s="1810" t="s">
        <v>3563</v>
      </c>
      <c r="F171" s="1810"/>
      <c r="G171" s="1811"/>
      <c r="H171" s="1810"/>
      <c r="I171" s="1812">
        <v>0</v>
      </c>
      <c r="J171" s="1812">
        <v>0</v>
      </c>
      <c r="K171" s="1812">
        <v>0</v>
      </c>
      <c r="L171" s="1812">
        <v>41400000</v>
      </c>
      <c r="M171" s="1812">
        <v>-41400000</v>
      </c>
      <c r="N171" s="1812">
        <v>0</v>
      </c>
      <c r="O171" s="1812">
        <v>0</v>
      </c>
      <c r="P171" s="1812">
        <v>0</v>
      </c>
      <c r="Q171" s="1813">
        <v>0</v>
      </c>
    </row>
    <row r="172" spans="1:18" ht="89.25" outlineLevel="5">
      <c r="A172" s="1208" t="s">
        <v>717</v>
      </c>
      <c r="B172" s="1814" t="s">
        <v>3554</v>
      </c>
      <c r="C172" s="1814" t="s">
        <v>3287</v>
      </c>
      <c r="D172" s="1814" t="s">
        <v>3561</v>
      </c>
      <c r="E172" s="1814" t="s">
        <v>3563</v>
      </c>
      <c r="F172" s="1814" t="s">
        <v>3286</v>
      </c>
      <c r="G172" s="1815" t="s">
        <v>2819</v>
      </c>
      <c r="H172" s="1814" t="s">
        <v>3241</v>
      </c>
      <c r="I172" s="1816">
        <v>0</v>
      </c>
      <c r="J172" s="1816">
        <v>0</v>
      </c>
      <c r="K172" s="1816">
        <v>0</v>
      </c>
      <c r="L172" s="1816">
        <v>41400000</v>
      </c>
      <c r="M172" s="1816">
        <v>-41400000</v>
      </c>
      <c r="N172" s="1816">
        <v>0</v>
      </c>
      <c r="O172" s="1816">
        <v>0</v>
      </c>
      <c r="P172" s="1816">
        <v>0</v>
      </c>
      <c r="Q172" s="1817">
        <v>0</v>
      </c>
    </row>
    <row r="173" spans="1:18" outlineLevel="4">
      <c r="A173" s="1210" t="s">
        <v>717</v>
      </c>
      <c r="B173" s="1810" t="s">
        <v>3554</v>
      </c>
      <c r="C173" s="1810" t="s">
        <v>3287</v>
      </c>
      <c r="D173" s="1810" t="s">
        <v>3561</v>
      </c>
      <c r="E173" s="1810" t="s">
        <v>3562</v>
      </c>
      <c r="F173" s="1810"/>
      <c r="G173" s="1811"/>
      <c r="H173" s="1810"/>
      <c r="I173" s="1812">
        <v>41400000</v>
      </c>
      <c r="J173" s="1812">
        <v>0</v>
      </c>
      <c r="K173" s="1812">
        <v>41400000</v>
      </c>
      <c r="L173" s="1812">
        <v>0</v>
      </c>
      <c r="M173" s="1812">
        <v>41400000</v>
      </c>
      <c r="N173" s="1812">
        <v>41400000</v>
      </c>
      <c r="O173" s="1812">
        <v>41400000</v>
      </c>
      <c r="P173" s="1812">
        <v>41400000</v>
      </c>
      <c r="Q173" s="1813">
        <v>0</v>
      </c>
    </row>
    <row r="174" spans="1:18" ht="89.25" outlineLevel="5">
      <c r="A174" s="1208" t="s">
        <v>717</v>
      </c>
      <c r="B174" s="1814" t="s">
        <v>3554</v>
      </c>
      <c r="C174" s="1814" t="s">
        <v>3287</v>
      </c>
      <c r="D174" s="1814" t="s">
        <v>3561</v>
      </c>
      <c r="E174" s="1814" t="s">
        <v>3562</v>
      </c>
      <c r="F174" s="1814" t="s">
        <v>3286</v>
      </c>
      <c r="G174" s="1815" t="s">
        <v>2819</v>
      </c>
      <c r="H174" s="1814"/>
      <c r="I174" s="1816">
        <v>0</v>
      </c>
      <c r="J174" s="1816">
        <v>0</v>
      </c>
      <c r="K174" s="1816">
        <v>0</v>
      </c>
      <c r="L174" s="1816">
        <v>0</v>
      </c>
      <c r="M174" s="1816">
        <v>0</v>
      </c>
      <c r="N174" s="1816">
        <v>0</v>
      </c>
      <c r="O174" s="1816">
        <v>0</v>
      </c>
      <c r="P174" s="1837">
        <v>41400000</v>
      </c>
      <c r="Q174" s="1817">
        <v>0</v>
      </c>
      <c r="R174" s="830">
        <v>41400</v>
      </c>
    </row>
    <row r="175" spans="1:18" ht="89.25" outlineLevel="5">
      <c r="A175" s="1208" t="s">
        <v>717</v>
      </c>
      <c r="B175" s="1814" t="s">
        <v>3554</v>
      </c>
      <c r="C175" s="1814" t="s">
        <v>3287</v>
      </c>
      <c r="D175" s="1814" t="s">
        <v>3561</v>
      </c>
      <c r="E175" s="1814" t="s">
        <v>3562</v>
      </c>
      <c r="F175" s="1814" t="s">
        <v>3286</v>
      </c>
      <c r="G175" s="1815" t="s">
        <v>2819</v>
      </c>
      <c r="H175" s="1814" t="s">
        <v>3241</v>
      </c>
      <c r="I175" s="1816">
        <v>41400000</v>
      </c>
      <c r="J175" s="1816">
        <v>0</v>
      </c>
      <c r="K175" s="1816">
        <v>41400000</v>
      </c>
      <c r="L175" s="1816">
        <v>0</v>
      </c>
      <c r="M175" s="1816">
        <v>41400000</v>
      </c>
      <c r="N175" s="1816">
        <v>41400000</v>
      </c>
      <c r="O175" s="1816">
        <v>41400000</v>
      </c>
      <c r="P175" s="1816">
        <v>0</v>
      </c>
      <c r="Q175" s="1817">
        <v>0</v>
      </c>
    </row>
    <row r="176" spans="1:18" outlineLevel="2">
      <c r="A176" s="1801" t="s">
        <v>717</v>
      </c>
      <c r="B176" s="1802" t="s">
        <v>3554</v>
      </c>
      <c r="C176" s="1802" t="s">
        <v>3283</v>
      </c>
      <c r="D176" s="1802"/>
      <c r="E176" s="1802"/>
      <c r="F176" s="1802"/>
      <c r="G176" s="1803"/>
      <c r="H176" s="1802"/>
      <c r="I176" s="1804">
        <v>6250845.0700000003</v>
      </c>
      <c r="J176" s="1804">
        <v>-2122547.2000000002</v>
      </c>
      <c r="K176" s="1804">
        <v>4128297.87</v>
      </c>
      <c r="L176" s="1804">
        <v>6832335.21</v>
      </c>
      <c r="M176" s="1804">
        <v>-2704037.34</v>
      </c>
      <c r="N176" s="1804">
        <v>4128297.87</v>
      </c>
      <c r="O176" s="1804">
        <v>4121601</v>
      </c>
      <c r="P176" s="1804">
        <v>4121601</v>
      </c>
      <c r="Q176" s="1805">
        <v>6696.87</v>
      </c>
    </row>
    <row r="177" spans="1:17" outlineLevel="3">
      <c r="A177" s="1212" t="s">
        <v>717</v>
      </c>
      <c r="B177" s="1806" t="s">
        <v>3554</v>
      </c>
      <c r="C177" s="1806" t="s">
        <v>3283</v>
      </c>
      <c r="D177" s="1806" t="s">
        <v>3553</v>
      </c>
      <c r="E177" s="1806"/>
      <c r="F177" s="1806"/>
      <c r="G177" s="1807"/>
      <c r="H177" s="1806"/>
      <c r="I177" s="1808">
        <v>6250845.0700000003</v>
      </c>
      <c r="J177" s="1808">
        <v>-2122547.2000000002</v>
      </c>
      <c r="K177" s="1808">
        <v>4128297.87</v>
      </c>
      <c r="L177" s="1808">
        <v>6832335.21</v>
      </c>
      <c r="M177" s="1808">
        <v>-2704037.34</v>
      </c>
      <c r="N177" s="1808">
        <v>4128297.87</v>
      </c>
      <c r="O177" s="1808">
        <v>4121601</v>
      </c>
      <c r="P177" s="1808">
        <v>4121601</v>
      </c>
      <c r="Q177" s="1809">
        <v>6696.87</v>
      </c>
    </row>
    <row r="178" spans="1:17" outlineLevel="4">
      <c r="A178" s="1210" t="s">
        <v>717</v>
      </c>
      <c r="B178" s="1810" t="s">
        <v>3554</v>
      </c>
      <c r="C178" s="1810" t="s">
        <v>3283</v>
      </c>
      <c r="D178" s="1810" t="s">
        <v>3553</v>
      </c>
      <c r="E178" s="1810"/>
      <c r="F178" s="1810"/>
      <c r="G178" s="1811"/>
      <c r="H178" s="1810"/>
      <c r="I178" s="1812">
        <v>0</v>
      </c>
      <c r="J178" s="1812">
        <v>0</v>
      </c>
      <c r="K178" s="1812">
        <v>0</v>
      </c>
      <c r="L178" s="1812">
        <v>0</v>
      </c>
      <c r="M178" s="1812">
        <v>0</v>
      </c>
      <c r="N178" s="1812">
        <v>0</v>
      </c>
      <c r="O178" s="1812">
        <v>0</v>
      </c>
      <c r="P178" s="1812">
        <v>247296.06</v>
      </c>
      <c r="Q178" s="1813">
        <v>0</v>
      </c>
    </row>
    <row r="179" spans="1:17" outlineLevel="5">
      <c r="A179" s="1208" t="s">
        <v>717</v>
      </c>
      <c r="B179" s="1814" t="s">
        <v>3554</v>
      </c>
      <c r="C179" s="1814" t="s">
        <v>3283</v>
      </c>
      <c r="D179" s="1814" t="s">
        <v>3553</v>
      </c>
      <c r="E179" s="1814"/>
      <c r="F179" s="1814"/>
      <c r="G179" s="1815"/>
      <c r="H179" s="1814"/>
      <c r="I179" s="1816">
        <v>0</v>
      </c>
      <c r="J179" s="1816">
        <v>0</v>
      </c>
      <c r="K179" s="1816">
        <v>0</v>
      </c>
      <c r="L179" s="1816">
        <v>0</v>
      </c>
      <c r="M179" s="1816">
        <v>0</v>
      </c>
      <c r="N179" s="1816">
        <v>0</v>
      </c>
      <c r="O179" s="1816">
        <v>0</v>
      </c>
      <c r="P179" s="1816">
        <v>39110.400000000001</v>
      </c>
      <c r="Q179" s="1817">
        <v>0</v>
      </c>
    </row>
    <row r="180" spans="1:17" ht="63.75" outlineLevel="5">
      <c r="A180" s="1208" t="s">
        <v>717</v>
      </c>
      <c r="B180" s="1814" t="s">
        <v>3554</v>
      </c>
      <c r="C180" s="1814" t="s">
        <v>3283</v>
      </c>
      <c r="D180" s="1814" t="s">
        <v>3553</v>
      </c>
      <c r="E180" s="1814"/>
      <c r="F180" s="1814" t="s">
        <v>3282</v>
      </c>
      <c r="G180" s="1815" t="s">
        <v>3116</v>
      </c>
      <c r="H180" s="1814" t="s">
        <v>3241</v>
      </c>
      <c r="I180" s="1816">
        <v>0</v>
      </c>
      <c r="J180" s="1816">
        <v>0</v>
      </c>
      <c r="K180" s="1816">
        <v>0</v>
      </c>
      <c r="L180" s="1816">
        <v>0</v>
      </c>
      <c r="M180" s="1816">
        <v>0</v>
      </c>
      <c r="N180" s="1816">
        <v>0</v>
      </c>
      <c r="O180" s="1816">
        <v>0</v>
      </c>
      <c r="P180" s="1816">
        <v>208185.66</v>
      </c>
      <c r="Q180" s="1817">
        <v>0</v>
      </c>
    </row>
    <row r="181" spans="1:17" outlineLevel="4">
      <c r="A181" s="1210" t="s">
        <v>717</v>
      </c>
      <c r="B181" s="1810" t="s">
        <v>3554</v>
      </c>
      <c r="C181" s="1810" t="s">
        <v>3283</v>
      </c>
      <c r="D181" s="1810" t="s">
        <v>3553</v>
      </c>
      <c r="E181" s="1810" t="s">
        <v>3558</v>
      </c>
      <c r="F181" s="1810"/>
      <c r="G181" s="1811"/>
      <c r="H181" s="1810"/>
      <c r="I181" s="1812">
        <v>6250845.0700000003</v>
      </c>
      <c r="J181" s="1812">
        <v>-6250845.0700000003</v>
      </c>
      <c r="K181" s="1812">
        <v>0</v>
      </c>
      <c r="L181" s="1812">
        <v>6832335.21</v>
      </c>
      <c r="M181" s="1812">
        <v>-6832335.21</v>
      </c>
      <c r="N181" s="1812">
        <v>0</v>
      </c>
      <c r="O181" s="1812">
        <v>0</v>
      </c>
      <c r="P181" s="1812">
        <v>0</v>
      </c>
      <c r="Q181" s="1813">
        <v>0</v>
      </c>
    </row>
    <row r="182" spans="1:17" ht="63.75" outlineLevel="5">
      <c r="A182" s="1208" t="s">
        <v>717</v>
      </c>
      <c r="B182" s="1814" t="s">
        <v>3554</v>
      </c>
      <c r="C182" s="1814" t="s">
        <v>3283</v>
      </c>
      <c r="D182" s="1814" t="s">
        <v>3553</v>
      </c>
      <c r="E182" s="1814" t="s">
        <v>3558</v>
      </c>
      <c r="F182" s="1814" t="s">
        <v>3282</v>
      </c>
      <c r="G182" s="1815" t="s">
        <v>3116</v>
      </c>
      <c r="H182" s="1814" t="s">
        <v>3257</v>
      </c>
      <c r="I182" s="1816">
        <v>4438100</v>
      </c>
      <c r="J182" s="1816">
        <v>-4438100</v>
      </c>
      <c r="K182" s="1816">
        <v>0</v>
      </c>
      <c r="L182" s="1816">
        <v>4868300</v>
      </c>
      <c r="M182" s="1816">
        <v>-4868300</v>
      </c>
      <c r="N182" s="1816">
        <v>0</v>
      </c>
      <c r="O182" s="1816">
        <v>0</v>
      </c>
      <c r="P182" s="1816">
        <v>0</v>
      </c>
      <c r="Q182" s="1817">
        <v>0</v>
      </c>
    </row>
    <row r="183" spans="1:17" ht="63.75" outlineLevel="5">
      <c r="A183" s="1208" t="s">
        <v>717</v>
      </c>
      <c r="B183" s="1814" t="s">
        <v>3554</v>
      </c>
      <c r="C183" s="1814" t="s">
        <v>3283</v>
      </c>
      <c r="D183" s="1814" t="s">
        <v>3553</v>
      </c>
      <c r="E183" s="1814" t="s">
        <v>3558</v>
      </c>
      <c r="F183" s="1814" t="s">
        <v>3282</v>
      </c>
      <c r="G183" s="1815" t="s">
        <v>3116</v>
      </c>
      <c r="H183" s="1814" t="s">
        <v>3241</v>
      </c>
      <c r="I183" s="1816">
        <v>1812745.07</v>
      </c>
      <c r="J183" s="1816">
        <v>-1812745.07</v>
      </c>
      <c r="K183" s="1816">
        <v>0</v>
      </c>
      <c r="L183" s="1816">
        <v>1964035.21</v>
      </c>
      <c r="M183" s="1816">
        <v>-1964035.21</v>
      </c>
      <c r="N183" s="1816">
        <v>0</v>
      </c>
      <c r="O183" s="1816">
        <v>0</v>
      </c>
      <c r="P183" s="1816">
        <v>0</v>
      </c>
      <c r="Q183" s="1817">
        <v>0</v>
      </c>
    </row>
    <row r="184" spans="1:17" outlineLevel="4">
      <c r="A184" s="1210" t="s">
        <v>717</v>
      </c>
      <c r="B184" s="1810" t="s">
        <v>3554</v>
      </c>
      <c r="C184" s="1810" t="s">
        <v>3283</v>
      </c>
      <c r="D184" s="1810" t="s">
        <v>3553</v>
      </c>
      <c r="E184" s="1810" t="s">
        <v>3557</v>
      </c>
      <c r="F184" s="1810"/>
      <c r="G184" s="1811"/>
      <c r="H184" s="1810"/>
      <c r="I184" s="1812">
        <v>0</v>
      </c>
      <c r="J184" s="1812">
        <v>4128297.87</v>
      </c>
      <c r="K184" s="1812">
        <v>4128297.87</v>
      </c>
      <c r="L184" s="1812">
        <v>0</v>
      </c>
      <c r="M184" s="1812">
        <v>4128297.87</v>
      </c>
      <c r="N184" s="1812">
        <v>4128297.87</v>
      </c>
      <c r="O184" s="1812">
        <v>4121601</v>
      </c>
      <c r="P184" s="1812">
        <v>3874304.94</v>
      </c>
      <c r="Q184" s="1813">
        <v>6696.87</v>
      </c>
    </row>
    <row r="185" spans="1:17" ht="63.75" outlineLevel="5">
      <c r="A185" s="1208" t="s">
        <v>717</v>
      </c>
      <c r="B185" s="1814" t="s">
        <v>3554</v>
      </c>
      <c r="C185" s="1814" t="s">
        <v>3283</v>
      </c>
      <c r="D185" s="1814" t="s">
        <v>3553</v>
      </c>
      <c r="E185" s="1814" t="s">
        <v>3557</v>
      </c>
      <c r="F185" s="1814" t="s">
        <v>3282</v>
      </c>
      <c r="G185" s="1815" t="s">
        <v>3116</v>
      </c>
      <c r="H185" s="1814"/>
      <c r="I185" s="1816">
        <v>0</v>
      </c>
      <c r="J185" s="1816">
        <v>0</v>
      </c>
      <c r="K185" s="1816">
        <v>0</v>
      </c>
      <c r="L185" s="1816">
        <v>0</v>
      </c>
      <c r="M185" s="1816">
        <v>0</v>
      </c>
      <c r="N185" s="1816">
        <v>0</v>
      </c>
      <c r="O185" s="1816">
        <v>0</v>
      </c>
      <c r="P185" s="1816">
        <v>4121601</v>
      </c>
      <c r="Q185" s="1817">
        <v>0</v>
      </c>
    </row>
    <row r="186" spans="1:17" ht="63.75" outlineLevel="5">
      <c r="A186" s="1208" t="s">
        <v>717</v>
      </c>
      <c r="B186" s="1814" t="s">
        <v>3554</v>
      </c>
      <c r="C186" s="1814" t="s">
        <v>3283</v>
      </c>
      <c r="D186" s="1814" t="s">
        <v>3553</v>
      </c>
      <c r="E186" s="1814" t="s">
        <v>3557</v>
      </c>
      <c r="F186" s="1814" t="s">
        <v>3282</v>
      </c>
      <c r="G186" s="1815" t="s">
        <v>3116</v>
      </c>
      <c r="H186" s="1814" t="s">
        <v>3257</v>
      </c>
      <c r="I186" s="1816">
        <v>0</v>
      </c>
      <c r="J186" s="1816">
        <v>3880600</v>
      </c>
      <c r="K186" s="1816">
        <v>3880600</v>
      </c>
      <c r="L186" s="1816">
        <v>0</v>
      </c>
      <c r="M186" s="1816">
        <v>3880600</v>
      </c>
      <c r="N186" s="1816">
        <v>3880600</v>
      </c>
      <c r="O186" s="1816">
        <v>3874304.94</v>
      </c>
      <c r="P186" s="1816">
        <v>3874304.94</v>
      </c>
      <c r="Q186" s="1817">
        <v>6295.06</v>
      </c>
    </row>
    <row r="187" spans="1:17" ht="63.75" outlineLevel="5">
      <c r="A187" s="1208" t="s">
        <v>717</v>
      </c>
      <c r="B187" s="1814" t="s">
        <v>3554</v>
      </c>
      <c r="C187" s="1814" t="s">
        <v>3283</v>
      </c>
      <c r="D187" s="1814" t="s">
        <v>3553</v>
      </c>
      <c r="E187" s="1814" t="s">
        <v>3557</v>
      </c>
      <c r="F187" s="1814" t="s">
        <v>3282</v>
      </c>
      <c r="G187" s="1815" t="s">
        <v>3116</v>
      </c>
      <c r="H187" s="1814" t="s">
        <v>3241</v>
      </c>
      <c r="I187" s="1816">
        <v>0</v>
      </c>
      <c r="J187" s="1816">
        <v>247697.87</v>
      </c>
      <c r="K187" s="1816">
        <v>247697.87</v>
      </c>
      <c r="L187" s="1816">
        <v>0</v>
      </c>
      <c r="M187" s="1816">
        <v>247697.87</v>
      </c>
      <c r="N187" s="1816">
        <v>247697.87</v>
      </c>
      <c r="O187" s="1816">
        <v>247296.06</v>
      </c>
      <c r="P187" s="1816">
        <v>247296.06</v>
      </c>
      <c r="Q187" s="1817">
        <v>401.81</v>
      </c>
    </row>
    <row r="188" spans="1:17" outlineLevel="2">
      <c r="A188" s="1801" t="s">
        <v>717</v>
      </c>
      <c r="B188" s="1802" t="s">
        <v>3554</v>
      </c>
      <c r="C188" s="1802" t="s">
        <v>3280</v>
      </c>
      <c r="D188" s="1802"/>
      <c r="E188" s="1802"/>
      <c r="F188" s="1802"/>
      <c r="G188" s="1803"/>
      <c r="H188" s="1802"/>
      <c r="I188" s="1804">
        <v>15639361.699999999</v>
      </c>
      <c r="J188" s="1804">
        <v>-7964911.3099999996</v>
      </c>
      <c r="K188" s="1804">
        <v>7674450.3899999997</v>
      </c>
      <c r="L188" s="1804">
        <v>12864893.619999999</v>
      </c>
      <c r="M188" s="1804">
        <v>-5190443.2300000004</v>
      </c>
      <c r="N188" s="1804">
        <v>7674450.3899999997</v>
      </c>
      <c r="O188" s="1804">
        <v>7674450.3899999997</v>
      </c>
      <c r="P188" s="1804">
        <v>7674450.3899999997</v>
      </c>
      <c r="Q188" s="1805">
        <v>0</v>
      </c>
    </row>
    <row r="189" spans="1:17" outlineLevel="3">
      <c r="A189" s="1212" t="s">
        <v>717</v>
      </c>
      <c r="B189" s="1806" t="s">
        <v>3554</v>
      </c>
      <c r="C189" s="1806" t="s">
        <v>3280</v>
      </c>
      <c r="D189" s="1806" t="s">
        <v>3553</v>
      </c>
      <c r="E189" s="1806"/>
      <c r="F189" s="1806"/>
      <c r="G189" s="1807"/>
      <c r="H189" s="1806"/>
      <c r="I189" s="1808">
        <v>15639361.699999999</v>
      </c>
      <c r="J189" s="1808">
        <v>-7964911.3099999996</v>
      </c>
      <c r="K189" s="1808">
        <v>7674450.3899999997</v>
      </c>
      <c r="L189" s="1808">
        <v>12864893.619999999</v>
      </c>
      <c r="M189" s="1808">
        <v>-5190443.2300000004</v>
      </c>
      <c r="N189" s="1808">
        <v>7674450.3899999997</v>
      </c>
      <c r="O189" s="1808">
        <v>7674450.3899999997</v>
      </c>
      <c r="P189" s="1808">
        <v>7674450.3899999997</v>
      </c>
      <c r="Q189" s="1809">
        <v>0</v>
      </c>
    </row>
    <row r="190" spans="1:17" outlineLevel="4">
      <c r="A190" s="1210" t="s">
        <v>717</v>
      </c>
      <c r="B190" s="1810" t="s">
        <v>3554</v>
      </c>
      <c r="C190" s="1810" t="s">
        <v>3280</v>
      </c>
      <c r="D190" s="1810" t="s">
        <v>3553</v>
      </c>
      <c r="E190" s="1810"/>
      <c r="F190" s="1810"/>
      <c r="G190" s="1811"/>
      <c r="H190" s="1810"/>
      <c r="I190" s="1812">
        <v>0</v>
      </c>
      <c r="J190" s="1812">
        <v>0</v>
      </c>
      <c r="K190" s="1812">
        <v>0</v>
      </c>
      <c r="L190" s="1812">
        <v>0</v>
      </c>
      <c r="M190" s="1812">
        <v>0</v>
      </c>
      <c r="N190" s="1812">
        <v>0</v>
      </c>
      <c r="O190" s="1812">
        <v>0</v>
      </c>
      <c r="P190" s="1812">
        <v>460467.02</v>
      </c>
      <c r="Q190" s="1813">
        <v>0</v>
      </c>
    </row>
    <row r="191" spans="1:17" ht="51" outlineLevel="5">
      <c r="A191" s="1208" t="s">
        <v>717</v>
      </c>
      <c r="B191" s="1814" t="s">
        <v>3554</v>
      </c>
      <c r="C191" s="1814" t="s">
        <v>3280</v>
      </c>
      <c r="D191" s="1814" t="s">
        <v>3553</v>
      </c>
      <c r="E191" s="1814"/>
      <c r="F191" s="1814" t="s">
        <v>3279</v>
      </c>
      <c r="G191" s="1815" t="s">
        <v>3119</v>
      </c>
      <c r="H191" s="1814" t="s">
        <v>3241</v>
      </c>
      <c r="I191" s="1816">
        <v>0</v>
      </c>
      <c r="J191" s="1816">
        <v>0</v>
      </c>
      <c r="K191" s="1816">
        <v>0</v>
      </c>
      <c r="L191" s="1816">
        <v>0</v>
      </c>
      <c r="M191" s="1816">
        <v>0</v>
      </c>
      <c r="N191" s="1816">
        <v>0</v>
      </c>
      <c r="O191" s="1816">
        <v>0</v>
      </c>
      <c r="P191" s="1816">
        <v>460467.02</v>
      </c>
      <c r="Q191" s="1817">
        <v>0</v>
      </c>
    </row>
    <row r="192" spans="1:17" outlineLevel="4">
      <c r="A192" s="1210" t="s">
        <v>717</v>
      </c>
      <c r="B192" s="1810" t="s">
        <v>3554</v>
      </c>
      <c r="C192" s="1810" t="s">
        <v>3280</v>
      </c>
      <c r="D192" s="1810" t="s">
        <v>3553</v>
      </c>
      <c r="E192" s="1810" t="s">
        <v>3556</v>
      </c>
      <c r="F192" s="1810"/>
      <c r="G192" s="1811"/>
      <c r="H192" s="1810"/>
      <c r="I192" s="1812">
        <v>15639361.699999999</v>
      </c>
      <c r="J192" s="1812">
        <v>-15639361.699999999</v>
      </c>
      <c r="K192" s="1812">
        <v>0</v>
      </c>
      <c r="L192" s="1812">
        <v>12864893.619999999</v>
      </c>
      <c r="M192" s="1812">
        <v>-12864893.619999999</v>
      </c>
      <c r="N192" s="1812">
        <v>0</v>
      </c>
      <c r="O192" s="1812">
        <v>0</v>
      </c>
      <c r="P192" s="1812">
        <v>0</v>
      </c>
      <c r="Q192" s="1813">
        <v>0</v>
      </c>
    </row>
    <row r="193" spans="1:17" ht="51" outlineLevel="5">
      <c r="A193" s="1208" t="s">
        <v>717</v>
      </c>
      <c r="B193" s="1814" t="s">
        <v>3554</v>
      </c>
      <c r="C193" s="1814" t="s">
        <v>3280</v>
      </c>
      <c r="D193" s="1814" t="s">
        <v>3553</v>
      </c>
      <c r="E193" s="1814" t="s">
        <v>3556</v>
      </c>
      <c r="F193" s="1814" t="s">
        <v>3279</v>
      </c>
      <c r="G193" s="1815" t="s">
        <v>3119</v>
      </c>
      <c r="H193" s="1814" t="s">
        <v>3257</v>
      </c>
      <c r="I193" s="1816">
        <v>14701000</v>
      </c>
      <c r="J193" s="1816">
        <v>-14701000</v>
      </c>
      <c r="K193" s="1816">
        <v>0</v>
      </c>
      <c r="L193" s="1816">
        <v>12093000</v>
      </c>
      <c r="M193" s="1816">
        <v>-12093000</v>
      </c>
      <c r="N193" s="1816">
        <v>0</v>
      </c>
      <c r="O193" s="1816">
        <v>0</v>
      </c>
      <c r="P193" s="1816">
        <v>0</v>
      </c>
      <c r="Q193" s="1817">
        <v>0</v>
      </c>
    </row>
    <row r="194" spans="1:17" ht="51" outlineLevel="5">
      <c r="A194" s="1208" t="s">
        <v>717</v>
      </c>
      <c r="B194" s="1814" t="s">
        <v>3554</v>
      </c>
      <c r="C194" s="1814" t="s">
        <v>3280</v>
      </c>
      <c r="D194" s="1814" t="s">
        <v>3553</v>
      </c>
      <c r="E194" s="1814" t="s">
        <v>3556</v>
      </c>
      <c r="F194" s="1814" t="s">
        <v>3279</v>
      </c>
      <c r="G194" s="1815" t="s">
        <v>3119</v>
      </c>
      <c r="H194" s="1814" t="s">
        <v>3241</v>
      </c>
      <c r="I194" s="1816">
        <v>938361.7</v>
      </c>
      <c r="J194" s="1816">
        <v>-938361.7</v>
      </c>
      <c r="K194" s="1816">
        <v>0</v>
      </c>
      <c r="L194" s="1816">
        <v>771893.62</v>
      </c>
      <c r="M194" s="1816">
        <v>-771893.62</v>
      </c>
      <c r="N194" s="1816">
        <v>0</v>
      </c>
      <c r="O194" s="1816">
        <v>0</v>
      </c>
      <c r="P194" s="1816">
        <v>0</v>
      </c>
      <c r="Q194" s="1817">
        <v>0</v>
      </c>
    </row>
    <row r="195" spans="1:17" outlineLevel="4">
      <c r="A195" s="1210" t="s">
        <v>717</v>
      </c>
      <c r="B195" s="1810" t="s">
        <v>3554</v>
      </c>
      <c r="C195" s="1810" t="s">
        <v>3280</v>
      </c>
      <c r="D195" s="1810" t="s">
        <v>3553</v>
      </c>
      <c r="E195" s="1810" t="s">
        <v>3555</v>
      </c>
      <c r="F195" s="1810"/>
      <c r="G195" s="1811"/>
      <c r="H195" s="1810"/>
      <c r="I195" s="1812">
        <v>0</v>
      </c>
      <c r="J195" s="1812">
        <v>7674450.3899999997</v>
      </c>
      <c r="K195" s="1812">
        <v>7674450.3899999997</v>
      </c>
      <c r="L195" s="1812">
        <v>0</v>
      </c>
      <c r="M195" s="1812">
        <v>7674450.3899999997</v>
      </c>
      <c r="N195" s="1812">
        <v>7674450.3899999997</v>
      </c>
      <c r="O195" s="1812">
        <v>7674450.3899999997</v>
      </c>
      <c r="P195" s="1812">
        <v>7213983.3700000001</v>
      </c>
      <c r="Q195" s="1813">
        <v>0</v>
      </c>
    </row>
    <row r="196" spans="1:17" ht="51" outlineLevel="5">
      <c r="A196" s="1208" t="s">
        <v>717</v>
      </c>
      <c r="B196" s="1814" t="s">
        <v>3554</v>
      </c>
      <c r="C196" s="1814" t="s">
        <v>3280</v>
      </c>
      <c r="D196" s="1814" t="s">
        <v>3553</v>
      </c>
      <c r="E196" s="1814" t="s">
        <v>3555</v>
      </c>
      <c r="F196" s="1814" t="s">
        <v>3279</v>
      </c>
      <c r="G196" s="1815" t="s">
        <v>3119</v>
      </c>
      <c r="H196" s="1814"/>
      <c r="I196" s="1816">
        <v>0</v>
      </c>
      <c r="J196" s="1816">
        <v>0</v>
      </c>
      <c r="K196" s="1816">
        <v>0</v>
      </c>
      <c r="L196" s="1816">
        <v>0</v>
      </c>
      <c r="M196" s="1816">
        <v>0</v>
      </c>
      <c r="N196" s="1816">
        <v>0</v>
      </c>
      <c r="O196" s="1816">
        <v>0</v>
      </c>
      <c r="P196" s="1816">
        <v>7674450.3899999997</v>
      </c>
      <c r="Q196" s="1817">
        <v>0</v>
      </c>
    </row>
    <row r="197" spans="1:17" ht="51" outlineLevel="5">
      <c r="A197" s="1208" t="s">
        <v>717</v>
      </c>
      <c r="B197" s="1814" t="s">
        <v>3554</v>
      </c>
      <c r="C197" s="1814" t="s">
        <v>3280</v>
      </c>
      <c r="D197" s="1814" t="s">
        <v>3553</v>
      </c>
      <c r="E197" s="1814" t="s">
        <v>3555</v>
      </c>
      <c r="F197" s="1814" t="s">
        <v>3279</v>
      </c>
      <c r="G197" s="1815" t="s">
        <v>3119</v>
      </c>
      <c r="H197" s="1814" t="s">
        <v>3257</v>
      </c>
      <c r="I197" s="1816">
        <v>0</v>
      </c>
      <c r="J197" s="1816">
        <v>7213983.3700000001</v>
      </c>
      <c r="K197" s="1816">
        <v>7213983.3700000001</v>
      </c>
      <c r="L197" s="1816">
        <v>0</v>
      </c>
      <c r="M197" s="1816">
        <v>7213983.3700000001</v>
      </c>
      <c r="N197" s="1816">
        <v>7213983.3700000001</v>
      </c>
      <c r="O197" s="1816">
        <v>7213983.3700000001</v>
      </c>
      <c r="P197" s="1816">
        <v>7213983.3700000001</v>
      </c>
      <c r="Q197" s="1817">
        <v>0</v>
      </c>
    </row>
    <row r="198" spans="1:17" ht="51" outlineLevel="5">
      <c r="A198" s="1208" t="s">
        <v>717</v>
      </c>
      <c r="B198" s="1814" t="s">
        <v>3554</v>
      </c>
      <c r="C198" s="1814" t="s">
        <v>3280</v>
      </c>
      <c r="D198" s="1814" t="s">
        <v>3553</v>
      </c>
      <c r="E198" s="1814" t="s">
        <v>3555</v>
      </c>
      <c r="F198" s="1814" t="s">
        <v>3279</v>
      </c>
      <c r="G198" s="1815" t="s">
        <v>3119</v>
      </c>
      <c r="H198" s="1814" t="s">
        <v>3241</v>
      </c>
      <c r="I198" s="1816">
        <v>0</v>
      </c>
      <c r="J198" s="1816">
        <v>460467.02</v>
      </c>
      <c r="K198" s="1816">
        <v>460467.02</v>
      </c>
      <c r="L198" s="1816">
        <v>0</v>
      </c>
      <c r="M198" s="1816">
        <v>460467.02</v>
      </c>
      <c r="N198" s="1816">
        <v>460467.02</v>
      </c>
      <c r="O198" s="1816">
        <v>460467.02</v>
      </c>
      <c r="P198" s="1816">
        <v>460467.02</v>
      </c>
      <c r="Q198" s="1817">
        <v>0</v>
      </c>
    </row>
    <row r="199" spans="1:17" outlineLevel="2">
      <c r="A199" s="1801" t="s">
        <v>717</v>
      </c>
      <c r="B199" s="1802" t="s">
        <v>3554</v>
      </c>
      <c r="C199" s="1802" t="s">
        <v>5408</v>
      </c>
      <c r="D199" s="1802"/>
      <c r="E199" s="1802"/>
      <c r="F199" s="1802"/>
      <c r="G199" s="1803"/>
      <c r="H199" s="1802"/>
      <c r="I199" s="1804">
        <v>0</v>
      </c>
      <c r="J199" s="1804">
        <v>1807450.45</v>
      </c>
      <c r="K199" s="1804">
        <v>1807450.45</v>
      </c>
      <c r="L199" s="1804">
        <v>0</v>
      </c>
      <c r="M199" s="1804">
        <v>1807450.45</v>
      </c>
      <c r="N199" s="1804">
        <v>1807450.45</v>
      </c>
      <c r="O199" s="1804">
        <v>1807450.45</v>
      </c>
      <c r="P199" s="1804">
        <v>1807450.45</v>
      </c>
      <c r="Q199" s="1805">
        <v>0</v>
      </c>
    </row>
    <row r="200" spans="1:17" outlineLevel="3">
      <c r="A200" s="1212" t="s">
        <v>717</v>
      </c>
      <c r="B200" s="1806" t="s">
        <v>3554</v>
      </c>
      <c r="C200" s="1806" t="s">
        <v>5408</v>
      </c>
      <c r="D200" s="1806" t="s">
        <v>3565</v>
      </c>
      <c r="E200" s="1806"/>
      <c r="F200" s="1806"/>
      <c r="G200" s="1807"/>
      <c r="H200" s="1806"/>
      <c r="I200" s="1808">
        <v>0</v>
      </c>
      <c r="J200" s="1808">
        <v>1807450.45</v>
      </c>
      <c r="K200" s="1808">
        <v>1807450.45</v>
      </c>
      <c r="L200" s="1808">
        <v>0</v>
      </c>
      <c r="M200" s="1808">
        <v>1807450.45</v>
      </c>
      <c r="N200" s="1808">
        <v>1807450.45</v>
      </c>
      <c r="O200" s="1808">
        <v>1807450.45</v>
      </c>
      <c r="P200" s="1808">
        <v>1807450.45</v>
      </c>
      <c r="Q200" s="1809">
        <v>0</v>
      </c>
    </row>
    <row r="201" spans="1:17" outlineLevel="4">
      <c r="A201" s="1210" t="s">
        <v>717</v>
      </c>
      <c r="B201" s="1810" t="s">
        <v>3554</v>
      </c>
      <c r="C201" s="1810" t="s">
        <v>5408</v>
      </c>
      <c r="D201" s="1810" t="s">
        <v>3565</v>
      </c>
      <c r="E201" s="1810" t="s">
        <v>3550</v>
      </c>
      <c r="F201" s="1810"/>
      <c r="G201" s="1811"/>
      <c r="H201" s="1810"/>
      <c r="I201" s="1812">
        <v>0</v>
      </c>
      <c r="J201" s="1812">
        <v>1807450.45</v>
      </c>
      <c r="K201" s="1812">
        <v>1807450.45</v>
      </c>
      <c r="L201" s="1812">
        <v>0</v>
      </c>
      <c r="M201" s="1812">
        <v>1807450.45</v>
      </c>
      <c r="N201" s="1812">
        <v>1807450.45</v>
      </c>
      <c r="O201" s="1812">
        <v>1807450.45</v>
      </c>
      <c r="P201" s="1812">
        <v>1807450.45</v>
      </c>
      <c r="Q201" s="1813">
        <v>0</v>
      </c>
    </row>
    <row r="202" spans="1:17" ht="25.5" outlineLevel="5">
      <c r="A202" s="1208" t="s">
        <v>717</v>
      </c>
      <c r="B202" s="1814" t="s">
        <v>3554</v>
      </c>
      <c r="C202" s="1814" t="s">
        <v>5408</v>
      </c>
      <c r="D202" s="1814" t="s">
        <v>3565</v>
      </c>
      <c r="E202" s="1814" t="s">
        <v>3550</v>
      </c>
      <c r="F202" s="1814" t="s">
        <v>5409</v>
      </c>
      <c r="G202" s="1815" t="s">
        <v>2749</v>
      </c>
      <c r="H202" s="1814"/>
      <c r="I202" s="1816">
        <v>0</v>
      </c>
      <c r="J202" s="1816">
        <v>0</v>
      </c>
      <c r="K202" s="1816">
        <v>0</v>
      </c>
      <c r="L202" s="1816">
        <v>0</v>
      </c>
      <c r="M202" s="1816">
        <v>0</v>
      </c>
      <c r="N202" s="1816">
        <v>0</v>
      </c>
      <c r="O202" s="1816">
        <v>0</v>
      </c>
      <c r="P202" s="1816">
        <v>1807450.45</v>
      </c>
      <c r="Q202" s="1817">
        <v>0</v>
      </c>
    </row>
    <row r="203" spans="1:17" ht="25.5" outlineLevel="5">
      <c r="A203" s="1208" t="s">
        <v>717</v>
      </c>
      <c r="B203" s="1814" t="s">
        <v>3554</v>
      </c>
      <c r="C203" s="1814" t="s">
        <v>5408</v>
      </c>
      <c r="D203" s="1814" t="s">
        <v>3565</v>
      </c>
      <c r="E203" s="1814" t="s">
        <v>3550</v>
      </c>
      <c r="F203" s="1814" t="s">
        <v>5409</v>
      </c>
      <c r="G203" s="1815" t="s">
        <v>2749</v>
      </c>
      <c r="H203" s="1814" t="s">
        <v>3241</v>
      </c>
      <c r="I203" s="1816">
        <v>0</v>
      </c>
      <c r="J203" s="1816">
        <v>1807450.45</v>
      </c>
      <c r="K203" s="1816">
        <v>1807450.45</v>
      </c>
      <c r="L203" s="1816">
        <v>0</v>
      </c>
      <c r="M203" s="1816">
        <v>1807450.45</v>
      </c>
      <c r="N203" s="1816">
        <v>1807450.45</v>
      </c>
      <c r="O203" s="1816">
        <v>1807450.45</v>
      </c>
      <c r="P203" s="1816">
        <v>0</v>
      </c>
      <c r="Q203" s="1817">
        <v>0</v>
      </c>
    </row>
    <row r="204" spans="1:17" outlineLevel="2">
      <c r="A204" s="1801" t="s">
        <v>717</v>
      </c>
      <c r="B204" s="1802" t="s">
        <v>3554</v>
      </c>
      <c r="C204" s="1802" t="s">
        <v>3276</v>
      </c>
      <c r="D204" s="1802"/>
      <c r="E204" s="1802"/>
      <c r="F204" s="1802"/>
      <c r="G204" s="1803"/>
      <c r="H204" s="1802"/>
      <c r="I204" s="1804">
        <v>4400000</v>
      </c>
      <c r="J204" s="1804">
        <v>0</v>
      </c>
      <c r="K204" s="1804">
        <v>4400000</v>
      </c>
      <c r="L204" s="1804">
        <v>0</v>
      </c>
      <c r="M204" s="1804">
        <v>944664.77</v>
      </c>
      <c r="N204" s="1804">
        <v>944664.77</v>
      </c>
      <c r="O204" s="1804">
        <v>944664.77</v>
      </c>
      <c r="P204" s="1804">
        <v>944664.77</v>
      </c>
      <c r="Q204" s="1805">
        <v>3455335.23</v>
      </c>
    </row>
    <row r="205" spans="1:17" outlineLevel="3">
      <c r="A205" s="1212" t="s">
        <v>717</v>
      </c>
      <c r="B205" s="1806" t="s">
        <v>3554</v>
      </c>
      <c r="C205" s="1806" t="s">
        <v>3276</v>
      </c>
      <c r="D205" s="1806" t="s">
        <v>1702</v>
      </c>
      <c r="E205" s="1806"/>
      <c r="F205" s="1806"/>
      <c r="G205" s="1807"/>
      <c r="H205" s="1806"/>
      <c r="I205" s="1808">
        <v>0</v>
      </c>
      <c r="J205" s="1808">
        <v>4400000</v>
      </c>
      <c r="K205" s="1808">
        <v>4400000</v>
      </c>
      <c r="L205" s="1808">
        <v>0</v>
      </c>
      <c r="M205" s="1808">
        <v>944664.77</v>
      </c>
      <c r="N205" s="1808">
        <v>944664.77</v>
      </c>
      <c r="O205" s="1808">
        <v>944664.77</v>
      </c>
      <c r="P205" s="1808">
        <v>944664.77</v>
      </c>
      <c r="Q205" s="1809">
        <v>3455335.23</v>
      </c>
    </row>
    <row r="206" spans="1:17" outlineLevel="4">
      <c r="A206" s="1210" t="s">
        <v>717</v>
      </c>
      <c r="B206" s="1810" t="s">
        <v>3554</v>
      </c>
      <c r="C206" s="1810" t="s">
        <v>3276</v>
      </c>
      <c r="D206" s="1810" t="s">
        <v>1702</v>
      </c>
      <c r="E206" s="1810" t="s">
        <v>3550</v>
      </c>
      <c r="F206" s="1810"/>
      <c r="G206" s="1811"/>
      <c r="H206" s="1810"/>
      <c r="I206" s="1812">
        <v>0</v>
      </c>
      <c r="J206" s="1812">
        <v>4400000</v>
      </c>
      <c r="K206" s="1812">
        <v>4400000</v>
      </c>
      <c r="L206" s="1812">
        <v>0</v>
      </c>
      <c r="M206" s="1812">
        <v>944664.77</v>
      </c>
      <c r="N206" s="1812">
        <v>944664.77</v>
      </c>
      <c r="O206" s="1812">
        <v>944664.77</v>
      </c>
      <c r="P206" s="1812">
        <v>944664.77</v>
      </c>
      <c r="Q206" s="1813">
        <v>3455335.23</v>
      </c>
    </row>
    <row r="207" spans="1:17" ht="25.5" outlineLevel="5">
      <c r="A207" s="1208" t="s">
        <v>717</v>
      </c>
      <c r="B207" s="1814" t="s">
        <v>3554</v>
      </c>
      <c r="C207" s="1814" t="s">
        <v>3276</v>
      </c>
      <c r="D207" s="1814" t="s">
        <v>1702</v>
      </c>
      <c r="E207" s="1814" t="s">
        <v>3550</v>
      </c>
      <c r="F207" s="1814" t="s">
        <v>3275</v>
      </c>
      <c r="G207" s="1815" t="s">
        <v>3274</v>
      </c>
      <c r="H207" s="1814"/>
      <c r="I207" s="1816">
        <v>0</v>
      </c>
      <c r="J207" s="1816">
        <v>0</v>
      </c>
      <c r="K207" s="1816">
        <v>0</v>
      </c>
      <c r="L207" s="1816">
        <v>0</v>
      </c>
      <c r="M207" s="1816">
        <v>0</v>
      </c>
      <c r="N207" s="1816">
        <v>0</v>
      </c>
      <c r="O207" s="1816">
        <v>0</v>
      </c>
      <c r="P207" s="1816">
        <v>944664.77</v>
      </c>
      <c r="Q207" s="1817">
        <v>0</v>
      </c>
    </row>
    <row r="208" spans="1:17" ht="25.5" outlineLevel="5">
      <c r="A208" s="1208" t="s">
        <v>717</v>
      </c>
      <c r="B208" s="1814" t="s">
        <v>3554</v>
      </c>
      <c r="C208" s="1814" t="s">
        <v>3276</v>
      </c>
      <c r="D208" s="1814" t="s">
        <v>1702</v>
      </c>
      <c r="E208" s="1814" t="s">
        <v>3550</v>
      </c>
      <c r="F208" s="1814" t="s">
        <v>3275</v>
      </c>
      <c r="G208" s="1815" t="s">
        <v>3274</v>
      </c>
      <c r="H208" s="1814" t="s">
        <v>3241</v>
      </c>
      <c r="I208" s="1816">
        <v>0</v>
      </c>
      <c r="J208" s="1816">
        <v>4400000</v>
      </c>
      <c r="K208" s="1816">
        <v>4400000</v>
      </c>
      <c r="L208" s="1816">
        <v>0</v>
      </c>
      <c r="M208" s="1816">
        <v>944664.77</v>
      </c>
      <c r="N208" s="1816">
        <v>944664.77</v>
      </c>
      <c r="O208" s="1816">
        <v>944664.77</v>
      </c>
      <c r="P208" s="1816">
        <v>0</v>
      </c>
      <c r="Q208" s="1817">
        <v>3455335.23</v>
      </c>
    </row>
    <row r="209" spans="1:17" outlineLevel="3">
      <c r="A209" s="1212" t="s">
        <v>717</v>
      </c>
      <c r="B209" s="1806" t="s">
        <v>3554</v>
      </c>
      <c r="C209" s="1806" t="s">
        <v>3276</v>
      </c>
      <c r="D209" s="1806" t="s">
        <v>1583</v>
      </c>
      <c r="E209" s="1806"/>
      <c r="F209" s="1806"/>
      <c r="G209" s="1807"/>
      <c r="H209" s="1806"/>
      <c r="I209" s="1808">
        <v>4400000</v>
      </c>
      <c r="J209" s="1808">
        <v>-4400000</v>
      </c>
      <c r="K209" s="1808">
        <v>0</v>
      </c>
      <c r="L209" s="1808">
        <v>0</v>
      </c>
      <c r="M209" s="1808">
        <v>0</v>
      </c>
      <c r="N209" s="1808">
        <v>0</v>
      </c>
      <c r="O209" s="1808">
        <v>0</v>
      </c>
      <c r="P209" s="1808">
        <v>0</v>
      </c>
      <c r="Q209" s="1809">
        <v>0</v>
      </c>
    </row>
    <row r="210" spans="1:17" outlineLevel="4">
      <c r="A210" s="1210" t="s">
        <v>717</v>
      </c>
      <c r="B210" s="1810" t="s">
        <v>3554</v>
      </c>
      <c r="C210" s="1810" t="s">
        <v>3276</v>
      </c>
      <c r="D210" s="1810" t="s">
        <v>1583</v>
      </c>
      <c r="E210" s="1810" t="s">
        <v>3550</v>
      </c>
      <c r="F210" s="1810"/>
      <c r="G210" s="1811"/>
      <c r="H210" s="1810"/>
      <c r="I210" s="1812">
        <v>4400000</v>
      </c>
      <c r="J210" s="1812">
        <v>-4400000</v>
      </c>
      <c r="K210" s="1812">
        <v>0</v>
      </c>
      <c r="L210" s="1812">
        <v>0</v>
      </c>
      <c r="M210" s="1812">
        <v>0</v>
      </c>
      <c r="N210" s="1812">
        <v>0</v>
      </c>
      <c r="O210" s="1812">
        <v>0</v>
      </c>
      <c r="P210" s="1812">
        <v>0</v>
      </c>
      <c r="Q210" s="1813">
        <v>0</v>
      </c>
    </row>
    <row r="211" spans="1:17" ht="25.5" outlineLevel="5">
      <c r="A211" s="1208" t="s">
        <v>717</v>
      </c>
      <c r="B211" s="1814" t="s">
        <v>3554</v>
      </c>
      <c r="C211" s="1814" t="s">
        <v>3276</v>
      </c>
      <c r="D211" s="1814" t="s">
        <v>1583</v>
      </c>
      <c r="E211" s="1814" t="s">
        <v>3550</v>
      </c>
      <c r="F211" s="1814" t="s">
        <v>3275</v>
      </c>
      <c r="G211" s="1815" t="s">
        <v>3274</v>
      </c>
      <c r="H211" s="1814" t="s">
        <v>3241</v>
      </c>
      <c r="I211" s="1816">
        <v>4400000</v>
      </c>
      <c r="J211" s="1816">
        <v>-4400000</v>
      </c>
      <c r="K211" s="1816">
        <v>0</v>
      </c>
      <c r="L211" s="1816">
        <v>0</v>
      </c>
      <c r="M211" s="1816">
        <v>0</v>
      </c>
      <c r="N211" s="1816">
        <v>0</v>
      </c>
      <c r="O211" s="1816">
        <v>0</v>
      </c>
      <c r="P211" s="1816">
        <v>0</v>
      </c>
      <c r="Q211" s="1817">
        <v>0</v>
      </c>
    </row>
    <row r="212" spans="1:17" outlineLevel="2">
      <c r="A212" s="1801" t="s">
        <v>717</v>
      </c>
      <c r="B212" s="1802" t="s">
        <v>3554</v>
      </c>
      <c r="C212" s="1802" t="s">
        <v>3272</v>
      </c>
      <c r="D212" s="1802"/>
      <c r="E212" s="1802"/>
      <c r="F212" s="1802"/>
      <c r="G212" s="1803"/>
      <c r="H212" s="1802"/>
      <c r="I212" s="1804">
        <v>6000000</v>
      </c>
      <c r="J212" s="1804">
        <v>5927297.7999999998</v>
      </c>
      <c r="K212" s="1804">
        <v>11927297.800000001</v>
      </c>
      <c r="L212" s="1804">
        <v>0</v>
      </c>
      <c r="M212" s="1804">
        <v>11927297.800000001</v>
      </c>
      <c r="N212" s="1804">
        <v>11927297.800000001</v>
      </c>
      <c r="O212" s="1804">
        <v>11927297.800000001</v>
      </c>
      <c r="P212" s="1804">
        <v>11927297.800000001</v>
      </c>
      <c r="Q212" s="1805">
        <v>0</v>
      </c>
    </row>
    <row r="213" spans="1:17" outlineLevel="3">
      <c r="A213" s="1212" t="s">
        <v>717</v>
      </c>
      <c r="B213" s="1806" t="s">
        <v>3554</v>
      </c>
      <c r="C213" s="1806" t="s">
        <v>3272</v>
      </c>
      <c r="D213" s="1806" t="s">
        <v>1702</v>
      </c>
      <c r="E213" s="1806"/>
      <c r="F213" s="1806"/>
      <c r="G213" s="1807"/>
      <c r="H213" s="1806"/>
      <c r="I213" s="1808">
        <v>6000000</v>
      </c>
      <c r="J213" s="1808">
        <v>5927297.7999999998</v>
      </c>
      <c r="K213" s="1808">
        <v>11927297.800000001</v>
      </c>
      <c r="L213" s="1808">
        <v>0</v>
      </c>
      <c r="M213" s="1808">
        <v>11927297.800000001</v>
      </c>
      <c r="N213" s="1808">
        <v>11927297.800000001</v>
      </c>
      <c r="O213" s="1808">
        <v>11927297.800000001</v>
      </c>
      <c r="P213" s="1808">
        <v>11927297.800000001</v>
      </c>
      <c r="Q213" s="1809">
        <v>0</v>
      </c>
    </row>
    <row r="214" spans="1:17" outlineLevel="4">
      <c r="A214" s="1210" t="s">
        <v>717</v>
      </c>
      <c r="B214" s="1810" t="s">
        <v>3554</v>
      </c>
      <c r="C214" s="1810" t="s">
        <v>3272</v>
      </c>
      <c r="D214" s="1810" t="s">
        <v>1702</v>
      </c>
      <c r="E214" s="1810" t="s">
        <v>3550</v>
      </c>
      <c r="F214" s="1810"/>
      <c r="G214" s="1811"/>
      <c r="H214" s="1810"/>
      <c r="I214" s="1812">
        <v>6000000</v>
      </c>
      <c r="J214" s="1812">
        <v>5927297.7999999998</v>
      </c>
      <c r="K214" s="1812">
        <v>11927297.800000001</v>
      </c>
      <c r="L214" s="1812">
        <v>0</v>
      </c>
      <c r="M214" s="1812">
        <v>11927297.800000001</v>
      </c>
      <c r="N214" s="1812">
        <v>11927297.800000001</v>
      </c>
      <c r="O214" s="1812">
        <v>11927297.800000001</v>
      </c>
      <c r="P214" s="1812">
        <v>11927297.800000001</v>
      </c>
      <c r="Q214" s="1813">
        <v>0</v>
      </c>
    </row>
    <row r="215" spans="1:17" ht="38.25" outlineLevel="5">
      <c r="A215" s="1208" t="s">
        <v>717</v>
      </c>
      <c r="B215" s="1814" t="s">
        <v>3554</v>
      </c>
      <c r="C215" s="1814" t="s">
        <v>3272</v>
      </c>
      <c r="D215" s="1814" t="s">
        <v>1702</v>
      </c>
      <c r="E215" s="1814" t="s">
        <v>3550</v>
      </c>
      <c r="F215" s="1814" t="s">
        <v>3271</v>
      </c>
      <c r="G215" s="1815" t="s">
        <v>3270</v>
      </c>
      <c r="H215" s="1814"/>
      <c r="I215" s="1816">
        <v>0</v>
      </c>
      <c r="J215" s="1816">
        <v>0</v>
      </c>
      <c r="K215" s="1816">
        <v>0</v>
      </c>
      <c r="L215" s="1816">
        <v>0</v>
      </c>
      <c r="M215" s="1816">
        <v>0</v>
      </c>
      <c r="N215" s="1816">
        <v>0</v>
      </c>
      <c r="O215" s="1816">
        <v>0</v>
      </c>
      <c r="P215" s="1816">
        <v>11927297.800000001</v>
      </c>
      <c r="Q215" s="1817">
        <v>0</v>
      </c>
    </row>
    <row r="216" spans="1:17" ht="38.25" outlineLevel="5">
      <c r="A216" s="1208" t="s">
        <v>717</v>
      </c>
      <c r="B216" s="1814" t="s">
        <v>3554</v>
      </c>
      <c r="C216" s="1814" t="s">
        <v>3272</v>
      </c>
      <c r="D216" s="1814" t="s">
        <v>1702</v>
      </c>
      <c r="E216" s="1814" t="s">
        <v>3550</v>
      </c>
      <c r="F216" s="1814" t="s">
        <v>3271</v>
      </c>
      <c r="G216" s="1815" t="s">
        <v>3270</v>
      </c>
      <c r="H216" s="1814" t="s">
        <v>3241</v>
      </c>
      <c r="I216" s="1816">
        <v>6000000</v>
      </c>
      <c r="J216" s="1816">
        <v>5927297.7999999998</v>
      </c>
      <c r="K216" s="1816">
        <v>11927297.800000001</v>
      </c>
      <c r="L216" s="1816">
        <v>0</v>
      </c>
      <c r="M216" s="1816">
        <v>11927297.800000001</v>
      </c>
      <c r="N216" s="1816">
        <v>11927297.800000001</v>
      </c>
      <c r="O216" s="1816">
        <v>11927297.800000001</v>
      </c>
      <c r="P216" s="1816">
        <v>0</v>
      </c>
      <c r="Q216" s="1817">
        <v>0</v>
      </c>
    </row>
    <row r="217" spans="1:17" outlineLevel="1">
      <c r="A217" s="1796" t="s">
        <v>717</v>
      </c>
      <c r="B217" s="1797" t="s">
        <v>3547</v>
      </c>
      <c r="C217" s="1797"/>
      <c r="D217" s="1797"/>
      <c r="E217" s="1797"/>
      <c r="F217" s="1797"/>
      <c r="G217" s="1798"/>
      <c r="H217" s="1797"/>
      <c r="I217" s="1799">
        <v>54125195.009999998</v>
      </c>
      <c r="J217" s="1799">
        <v>6867716.0300000003</v>
      </c>
      <c r="K217" s="1799">
        <v>60992911.039999999</v>
      </c>
      <c r="L217" s="1799">
        <v>145000</v>
      </c>
      <c r="M217" s="1799">
        <v>60621365.719999999</v>
      </c>
      <c r="N217" s="1799">
        <v>60766365.719999999</v>
      </c>
      <c r="O217" s="1799">
        <v>60067699.509999998</v>
      </c>
      <c r="P217" s="1799">
        <v>59341085.280000001</v>
      </c>
      <c r="Q217" s="1800">
        <v>925211.53</v>
      </c>
    </row>
    <row r="218" spans="1:17" outlineLevel="2">
      <c r="A218" s="1801" t="s">
        <v>717</v>
      </c>
      <c r="B218" s="1802" t="s">
        <v>3547</v>
      </c>
      <c r="C218" s="1802" t="s">
        <v>3249</v>
      </c>
      <c r="D218" s="1802"/>
      <c r="E218" s="1802"/>
      <c r="F218" s="1802"/>
      <c r="G218" s="1803"/>
      <c r="H218" s="1802"/>
      <c r="I218" s="1804">
        <v>48788951.729999997</v>
      </c>
      <c r="J218" s="1804">
        <v>670848.07999999996</v>
      </c>
      <c r="K218" s="1804">
        <v>49459799.810000002</v>
      </c>
      <c r="L218" s="1804">
        <v>0</v>
      </c>
      <c r="M218" s="1804">
        <v>49233254.490000002</v>
      </c>
      <c r="N218" s="1804">
        <v>49233254.490000002</v>
      </c>
      <c r="O218" s="1804">
        <v>48846190.789999999</v>
      </c>
      <c r="P218" s="1804">
        <v>48145825.210000001</v>
      </c>
      <c r="Q218" s="1805">
        <v>613609.02</v>
      </c>
    </row>
    <row r="219" spans="1:17" outlineLevel="3">
      <c r="A219" s="1212" t="s">
        <v>717</v>
      </c>
      <c r="B219" s="1806" t="s">
        <v>3547</v>
      </c>
      <c r="C219" s="1806" t="s">
        <v>3249</v>
      </c>
      <c r="D219" s="1806" t="s">
        <v>3548</v>
      </c>
      <c r="E219" s="1806"/>
      <c r="F219" s="1806"/>
      <c r="G219" s="1807"/>
      <c r="H219" s="1806"/>
      <c r="I219" s="1808">
        <v>37559325.82</v>
      </c>
      <c r="J219" s="1808">
        <v>516440.73</v>
      </c>
      <c r="K219" s="1808">
        <v>38075766.549999997</v>
      </c>
      <c r="L219" s="1808">
        <v>0</v>
      </c>
      <c r="M219" s="1808">
        <v>38075766.549999997</v>
      </c>
      <c r="N219" s="1808">
        <v>38075766.549999997</v>
      </c>
      <c r="O219" s="1808">
        <v>38075766.549999997</v>
      </c>
      <c r="P219" s="1808">
        <v>38075766.549999997</v>
      </c>
      <c r="Q219" s="1809">
        <v>0</v>
      </c>
    </row>
    <row r="220" spans="1:17" outlineLevel="4">
      <c r="A220" s="1210" t="s">
        <v>717</v>
      </c>
      <c r="B220" s="1810" t="s">
        <v>3547</v>
      </c>
      <c r="C220" s="1810" t="s">
        <v>3249</v>
      </c>
      <c r="D220" s="1810" t="s">
        <v>3548</v>
      </c>
      <c r="E220" s="1810" t="s">
        <v>3550</v>
      </c>
      <c r="F220" s="1810"/>
      <c r="G220" s="1811"/>
      <c r="H220" s="1810"/>
      <c r="I220" s="1812">
        <v>37559325.82</v>
      </c>
      <c r="J220" s="1812">
        <v>516440.73</v>
      </c>
      <c r="K220" s="1812">
        <v>38075766.549999997</v>
      </c>
      <c r="L220" s="1812">
        <v>0</v>
      </c>
      <c r="M220" s="1812">
        <v>38075766.549999997</v>
      </c>
      <c r="N220" s="1812">
        <v>38075766.549999997</v>
      </c>
      <c r="O220" s="1812">
        <v>38075766.549999997</v>
      </c>
      <c r="P220" s="1812">
        <v>38075766.549999997</v>
      </c>
      <c r="Q220" s="1813">
        <v>0</v>
      </c>
    </row>
    <row r="221" spans="1:17" outlineLevel="5">
      <c r="A221" s="1208" t="s">
        <v>717</v>
      </c>
      <c r="B221" s="1814" t="s">
        <v>3547</v>
      </c>
      <c r="C221" s="1814" t="s">
        <v>3249</v>
      </c>
      <c r="D221" s="1814" t="s">
        <v>3548</v>
      </c>
      <c r="E221" s="1814" t="s">
        <v>3550</v>
      </c>
      <c r="F221" s="1814"/>
      <c r="G221" s="1815"/>
      <c r="H221" s="1814"/>
      <c r="I221" s="1816">
        <v>0</v>
      </c>
      <c r="J221" s="1816">
        <v>0</v>
      </c>
      <c r="K221" s="1816">
        <v>0</v>
      </c>
      <c r="L221" s="1816">
        <v>0</v>
      </c>
      <c r="M221" s="1816">
        <v>0</v>
      </c>
      <c r="N221" s="1816">
        <v>0</v>
      </c>
      <c r="O221" s="1816">
        <v>0</v>
      </c>
      <c r="P221" s="1816">
        <v>-1428541.98</v>
      </c>
      <c r="Q221" s="1817">
        <v>0</v>
      </c>
    </row>
    <row r="222" spans="1:17" ht="38.25" outlineLevel="5">
      <c r="A222" s="1208" t="s">
        <v>717</v>
      </c>
      <c r="B222" s="1814" t="s">
        <v>3547</v>
      </c>
      <c r="C222" s="1814" t="s">
        <v>3249</v>
      </c>
      <c r="D222" s="1814" t="s">
        <v>3548</v>
      </c>
      <c r="E222" s="1814" t="s">
        <v>3550</v>
      </c>
      <c r="F222" s="1814" t="s">
        <v>3246</v>
      </c>
      <c r="G222" s="1815" t="s">
        <v>3245</v>
      </c>
      <c r="H222" s="1814"/>
      <c r="I222" s="1816">
        <v>0</v>
      </c>
      <c r="J222" s="1816">
        <v>0</v>
      </c>
      <c r="K222" s="1816">
        <v>0</v>
      </c>
      <c r="L222" s="1816">
        <v>0</v>
      </c>
      <c r="M222" s="1816">
        <v>0</v>
      </c>
      <c r="N222" s="1816">
        <v>0</v>
      </c>
      <c r="O222" s="1816">
        <v>0</v>
      </c>
      <c r="P222" s="1816">
        <v>39503373.530000001</v>
      </c>
      <c r="Q222" s="1817">
        <v>0</v>
      </c>
    </row>
    <row r="223" spans="1:17" ht="38.25" outlineLevel="5">
      <c r="A223" s="1208" t="s">
        <v>717</v>
      </c>
      <c r="B223" s="1814" t="s">
        <v>3547</v>
      </c>
      <c r="C223" s="1814" t="s">
        <v>3249</v>
      </c>
      <c r="D223" s="1814" t="s">
        <v>3548</v>
      </c>
      <c r="E223" s="1814" t="s">
        <v>3550</v>
      </c>
      <c r="F223" s="1814" t="s">
        <v>3246</v>
      </c>
      <c r="G223" s="1815" t="s">
        <v>3245</v>
      </c>
      <c r="H223" s="1814" t="s">
        <v>3241</v>
      </c>
      <c r="I223" s="1816">
        <v>37559325.82</v>
      </c>
      <c r="J223" s="1816">
        <v>516440.73</v>
      </c>
      <c r="K223" s="1816">
        <v>38075766.549999997</v>
      </c>
      <c r="L223" s="1816">
        <v>0</v>
      </c>
      <c r="M223" s="1816">
        <v>38075766.549999997</v>
      </c>
      <c r="N223" s="1816">
        <v>38075766.549999997</v>
      </c>
      <c r="O223" s="1816">
        <v>38075766.549999997</v>
      </c>
      <c r="P223" s="1816">
        <v>935</v>
      </c>
      <c r="Q223" s="1817">
        <v>0</v>
      </c>
    </row>
    <row r="224" spans="1:17" outlineLevel="3">
      <c r="A224" s="1212" t="s">
        <v>717</v>
      </c>
      <c r="B224" s="1806" t="s">
        <v>3547</v>
      </c>
      <c r="C224" s="1806" t="s">
        <v>3249</v>
      </c>
      <c r="D224" s="1806" t="s">
        <v>3552</v>
      </c>
      <c r="E224" s="1806"/>
      <c r="F224" s="1806"/>
      <c r="G224" s="1807"/>
      <c r="H224" s="1806"/>
      <c r="I224" s="1808">
        <v>0</v>
      </c>
      <c r="J224" s="1808">
        <v>0</v>
      </c>
      <c r="K224" s="1808">
        <v>0</v>
      </c>
      <c r="L224" s="1808">
        <v>0</v>
      </c>
      <c r="M224" s="1808">
        <v>0</v>
      </c>
      <c r="N224" s="1808">
        <v>0</v>
      </c>
      <c r="O224" s="1808">
        <v>0</v>
      </c>
      <c r="P224" s="1808">
        <v>0</v>
      </c>
      <c r="Q224" s="1809">
        <v>0</v>
      </c>
    </row>
    <row r="225" spans="1:17" outlineLevel="4">
      <c r="A225" s="1210" t="s">
        <v>717</v>
      </c>
      <c r="B225" s="1810" t="s">
        <v>3547</v>
      </c>
      <c r="C225" s="1810" t="s">
        <v>3249</v>
      </c>
      <c r="D225" s="1810" t="s">
        <v>3552</v>
      </c>
      <c r="E225" s="1810" t="s">
        <v>3550</v>
      </c>
      <c r="F225" s="1810"/>
      <c r="G225" s="1811"/>
      <c r="H225" s="1810"/>
      <c r="I225" s="1812">
        <v>0</v>
      </c>
      <c r="J225" s="1812">
        <v>0</v>
      </c>
      <c r="K225" s="1812">
        <v>0</v>
      </c>
      <c r="L225" s="1812">
        <v>0</v>
      </c>
      <c r="M225" s="1812">
        <v>0</v>
      </c>
      <c r="N225" s="1812">
        <v>0</v>
      </c>
      <c r="O225" s="1812">
        <v>0</v>
      </c>
      <c r="P225" s="1812">
        <v>0</v>
      </c>
      <c r="Q225" s="1813">
        <v>0</v>
      </c>
    </row>
    <row r="226" spans="1:17" outlineLevel="5">
      <c r="A226" s="1208" t="s">
        <v>717</v>
      </c>
      <c r="B226" s="1814" t="s">
        <v>3547</v>
      </c>
      <c r="C226" s="1814" t="s">
        <v>3249</v>
      </c>
      <c r="D226" s="1814" t="s">
        <v>3552</v>
      </c>
      <c r="E226" s="1814" t="s">
        <v>3550</v>
      </c>
      <c r="F226" s="1814"/>
      <c r="G226" s="1815"/>
      <c r="H226" s="1814"/>
      <c r="I226" s="1816">
        <v>0</v>
      </c>
      <c r="J226" s="1816">
        <v>0</v>
      </c>
      <c r="K226" s="1816">
        <v>0</v>
      </c>
      <c r="L226" s="1816">
        <v>0</v>
      </c>
      <c r="M226" s="1816">
        <v>0</v>
      </c>
      <c r="N226" s="1816">
        <v>0</v>
      </c>
      <c r="O226" s="1816">
        <v>0</v>
      </c>
      <c r="P226" s="1816">
        <v>935</v>
      </c>
      <c r="Q226" s="1817">
        <v>0</v>
      </c>
    </row>
    <row r="227" spans="1:17" outlineLevel="5">
      <c r="A227" s="1208" t="s">
        <v>717</v>
      </c>
      <c r="B227" s="1814" t="s">
        <v>3547</v>
      </c>
      <c r="C227" s="1814" t="s">
        <v>3249</v>
      </c>
      <c r="D227" s="1814" t="s">
        <v>3552</v>
      </c>
      <c r="E227" s="1814" t="s">
        <v>3550</v>
      </c>
      <c r="F227" s="1814"/>
      <c r="G227" s="1815"/>
      <c r="H227" s="1814" t="s">
        <v>3241</v>
      </c>
      <c r="I227" s="1816">
        <v>0</v>
      </c>
      <c r="J227" s="1816">
        <v>0</v>
      </c>
      <c r="K227" s="1816">
        <v>0</v>
      </c>
      <c r="L227" s="1816">
        <v>0</v>
      </c>
      <c r="M227" s="1816">
        <v>0</v>
      </c>
      <c r="N227" s="1816">
        <v>0</v>
      </c>
      <c r="O227" s="1816">
        <v>0</v>
      </c>
      <c r="P227" s="1816">
        <v>-835</v>
      </c>
      <c r="Q227" s="1817">
        <v>0</v>
      </c>
    </row>
    <row r="228" spans="1:17" ht="38.25" outlineLevel="5">
      <c r="A228" s="1208" t="s">
        <v>717</v>
      </c>
      <c r="B228" s="1814" t="s">
        <v>3547</v>
      </c>
      <c r="C228" s="1814" t="s">
        <v>3249</v>
      </c>
      <c r="D228" s="1814" t="s">
        <v>3552</v>
      </c>
      <c r="E228" s="1814" t="s">
        <v>3550</v>
      </c>
      <c r="F228" s="1814" t="s">
        <v>3246</v>
      </c>
      <c r="G228" s="1815" t="s">
        <v>3245</v>
      </c>
      <c r="H228" s="1814" t="s">
        <v>3241</v>
      </c>
      <c r="I228" s="1816">
        <v>0</v>
      </c>
      <c r="J228" s="1816">
        <v>0</v>
      </c>
      <c r="K228" s="1816">
        <v>0</v>
      </c>
      <c r="L228" s="1816">
        <v>0</v>
      </c>
      <c r="M228" s="1816">
        <v>0</v>
      </c>
      <c r="N228" s="1816">
        <v>0</v>
      </c>
      <c r="O228" s="1816">
        <v>0</v>
      </c>
      <c r="P228" s="1816">
        <v>-100</v>
      </c>
      <c r="Q228" s="1817">
        <v>0</v>
      </c>
    </row>
    <row r="229" spans="1:17" outlineLevel="3">
      <c r="A229" s="1212" t="s">
        <v>717</v>
      </c>
      <c r="B229" s="1806" t="s">
        <v>3547</v>
      </c>
      <c r="C229" s="1806" t="s">
        <v>3249</v>
      </c>
      <c r="D229" s="1806" t="s">
        <v>3545</v>
      </c>
      <c r="E229" s="1806"/>
      <c r="F229" s="1806"/>
      <c r="G229" s="1807"/>
      <c r="H229" s="1806"/>
      <c r="I229" s="1808">
        <v>11229625.91</v>
      </c>
      <c r="J229" s="1808">
        <v>154407.35</v>
      </c>
      <c r="K229" s="1808">
        <v>11384033.26</v>
      </c>
      <c r="L229" s="1808">
        <v>0</v>
      </c>
      <c r="M229" s="1808">
        <v>11157487.939999999</v>
      </c>
      <c r="N229" s="1808">
        <v>11157487.939999999</v>
      </c>
      <c r="O229" s="1808">
        <v>10770424.24</v>
      </c>
      <c r="P229" s="1808">
        <v>10070058.66</v>
      </c>
      <c r="Q229" s="1809">
        <v>613609.02</v>
      </c>
    </row>
    <row r="230" spans="1:17" outlineLevel="4">
      <c r="A230" s="1210" t="s">
        <v>717</v>
      </c>
      <c r="B230" s="1810" t="s">
        <v>3547</v>
      </c>
      <c r="C230" s="1810" t="s">
        <v>3249</v>
      </c>
      <c r="D230" s="1810" t="s">
        <v>3545</v>
      </c>
      <c r="E230" s="1810" t="s">
        <v>3550</v>
      </c>
      <c r="F230" s="1810"/>
      <c r="G230" s="1811"/>
      <c r="H230" s="1810"/>
      <c r="I230" s="1812">
        <v>11229625.91</v>
      </c>
      <c r="J230" s="1812">
        <v>154407.35</v>
      </c>
      <c r="K230" s="1812">
        <v>11384033.26</v>
      </c>
      <c r="L230" s="1812">
        <v>0</v>
      </c>
      <c r="M230" s="1812">
        <v>11157487.939999999</v>
      </c>
      <c r="N230" s="1812">
        <v>11157487.939999999</v>
      </c>
      <c r="O230" s="1812">
        <v>10770424.24</v>
      </c>
      <c r="P230" s="1812">
        <v>10070058.66</v>
      </c>
      <c r="Q230" s="1813">
        <v>613609.02</v>
      </c>
    </row>
    <row r="231" spans="1:17" ht="38.25" outlineLevel="5">
      <c r="A231" s="1208" t="s">
        <v>717</v>
      </c>
      <c r="B231" s="1814" t="s">
        <v>3547</v>
      </c>
      <c r="C231" s="1814" t="s">
        <v>3249</v>
      </c>
      <c r="D231" s="1814" t="s">
        <v>3545</v>
      </c>
      <c r="E231" s="1814" t="s">
        <v>3550</v>
      </c>
      <c r="F231" s="1814" t="s">
        <v>3246</v>
      </c>
      <c r="G231" s="1815" t="s">
        <v>3245</v>
      </c>
      <c r="H231" s="1814"/>
      <c r="I231" s="1816">
        <v>0</v>
      </c>
      <c r="J231" s="1816">
        <v>0</v>
      </c>
      <c r="K231" s="1816">
        <v>0</v>
      </c>
      <c r="L231" s="1816">
        <v>0</v>
      </c>
      <c r="M231" s="1816">
        <v>0</v>
      </c>
      <c r="N231" s="1816">
        <v>0</v>
      </c>
      <c r="O231" s="1816">
        <v>0</v>
      </c>
      <c r="P231" s="1816">
        <v>10070058.66</v>
      </c>
      <c r="Q231" s="1817">
        <v>0</v>
      </c>
    </row>
    <row r="232" spans="1:17" ht="38.25" outlineLevel="5">
      <c r="A232" s="1208" t="s">
        <v>717</v>
      </c>
      <c r="B232" s="1814" t="s">
        <v>3547</v>
      </c>
      <c r="C232" s="1814" t="s">
        <v>3249</v>
      </c>
      <c r="D232" s="1814" t="s">
        <v>3545</v>
      </c>
      <c r="E232" s="1814" t="s">
        <v>3550</v>
      </c>
      <c r="F232" s="1814" t="s">
        <v>3246</v>
      </c>
      <c r="G232" s="1815" t="s">
        <v>3245</v>
      </c>
      <c r="H232" s="1814" t="s">
        <v>3241</v>
      </c>
      <c r="I232" s="1816">
        <v>11229625.91</v>
      </c>
      <c r="J232" s="1816">
        <v>154407.35</v>
      </c>
      <c r="K232" s="1816">
        <v>11384033.26</v>
      </c>
      <c r="L232" s="1816">
        <v>0</v>
      </c>
      <c r="M232" s="1816">
        <v>11157487.939999999</v>
      </c>
      <c r="N232" s="1816">
        <v>11157487.939999999</v>
      </c>
      <c r="O232" s="1816">
        <v>10770424.24</v>
      </c>
      <c r="P232" s="1816">
        <v>0</v>
      </c>
      <c r="Q232" s="1817">
        <v>613609.02</v>
      </c>
    </row>
    <row r="233" spans="1:17" outlineLevel="2">
      <c r="A233" s="1801" t="s">
        <v>717</v>
      </c>
      <c r="B233" s="1802" t="s">
        <v>3547</v>
      </c>
      <c r="C233" s="1802" t="s">
        <v>3248</v>
      </c>
      <c r="D233" s="1802"/>
      <c r="E233" s="1802"/>
      <c r="F233" s="1802"/>
      <c r="G233" s="1803"/>
      <c r="H233" s="1802"/>
      <c r="I233" s="1804">
        <v>4957943.28</v>
      </c>
      <c r="J233" s="1804">
        <v>0</v>
      </c>
      <c r="K233" s="1804">
        <v>4957943.28</v>
      </c>
      <c r="L233" s="1804">
        <v>145000</v>
      </c>
      <c r="M233" s="1804">
        <v>4812943.28</v>
      </c>
      <c r="N233" s="1804">
        <v>4957943.28</v>
      </c>
      <c r="O233" s="1804">
        <v>4709455.17</v>
      </c>
      <c r="P233" s="1804">
        <v>4699349.51</v>
      </c>
      <c r="Q233" s="1805">
        <v>248488.11</v>
      </c>
    </row>
    <row r="234" spans="1:17" outlineLevel="3">
      <c r="A234" s="1212" t="s">
        <v>717</v>
      </c>
      <c r="B234" s="1806" t="s">
        <v>3547</v>
      </c>
      <c r="C234" s="1806" t="s">
        <v>3248</v>
      </c>
      <c r="D234" s="1806" t="s">
        <v>3552</v>
      </c>
      <c r="E234" s="1806"/>
      <c r="F234" s="1806"/>
      <c r="G234" s="1807"/>
      <c r="H234" s="1806"/>
      <c r="I234" s="1808">
        <v>585125</v>
      </c>
      <c r="J234" s="1808">
        <v>0</v>
      </c>
      <c r="K234" s="1808">
        <v>585125</v>
      </c>
      <c r="L234" s="1808">
        <v>0</v>
      </c>
      <c r="M234" s="1808">
        <v>585125</v>
      </c>
      <c r="N234" s="1808">
        <v>585125</v>
      </c>
      <c r="O234" s="1808">
        <v>521000</v>
      </c>
      <c r="P234" s="1808">
        <v>510996.86</v>
      </c>
      <c r="Q234" s="1809">
        <v>64125</v>
      </c>
    </row>
    <row r="235" spans="1:17" outlineLevel="4">
      <c r="A235" s="1210" t="s">
        <v>717</v>
      </c>
      <c r="B235" s="1810" t="s">
        <v>3547</v>
      </c>
      <c r="C235" s="1810" t="s">
        <v>3248</v>
      </c>
      <c r="D235" s="1810" t="s">
        <v>3552</v>
      </c>
      <c r="E235" s="1810" t="s">
        <v>3550</v>
      </c>
      <c r="F235" s="1810"/>
      <c r="G235" s="1811"/>
      <c r="H235" s="1810"/>
      <c r="I235" s="1812">
        <v>585125</v>
      </c>
      <c r="J235" s="1812">
        <v>0</v>
      </c>
      <c r="K235" s="1812">
        <v>585125</v>
      </c>
      <c r="L235" s="1812">
        <v>0</v>
      </c>
      <c r="M235" s="1812">
        <v>585125</v>
      </c>
      <c r="N235" s="1812">
        <v>585125</v>
      </c>
      <c r="O235" s="1812">
        <v>521000</v>
      </c>
      <c r="P235" s="1812">
        <v>510996.86</v>
      </c>
      <c r="Q235" s="1813">
        <v>64125</v>
      </c>
    </row>
    <row r="236" spans="1:17" outlineLevel="5">
      <c r="A236" s="1208" t="s">
        <v>717</v>
      </c>
      <c r="B236" s="1814" t="s">
        <v>3547</v>
      </c>
      <c r="C236" s="1814" t="s">
        <v>3248</v>
      </c>
      <c r="D236" s="1814" t="s">
        <v>3552</v>
      </c>
      <c r="E236" s="1814" t="s">
        <v>3550</v>
      </c>
      <c r="F236" s="1814"/>
      <c r="G236" s="1815"/>
      <c r="H236" s="1814"/>
      <c r="I236" s="1816">
        <v>0</v>
      </c>
      <c r="J236" s="1816">
        <v>0</v>
      </c>
      <c r="K236" s="1816">
        <v>0</v>
      </c>
      <c r="L236" s="1816">
        <v>0</v>
      </c>
      <c r="M236" s="1816">
        <v>0</v>
      </c>
      <c r="N236" s="1816">
        <v>0</v>
      </c>
      <c r="O236" s="1816">
        <v>0</v>
      </c>
      <c r="P236" s="1816">
        <v>-14635</v>
      </c>
      <c r="Q236" s="1817">
        <v>0</v>
      </c>
    </row>
    <row r="237" spans="1:17" ht="38.25" outlineLevel="5">
      <c r="A237" s="1208" t="s">
        <v>717</v>
      </c>
      <c r="B237" s="1814" t="s">
        <v>3547</v>
      </c>
      <c r="C237" s="1814" t="s">
        <v>3248</v>
      </c>
      <c r="D237" s="1814" t="s">
        <v>3552</v>
      </c>
      <c r="E237" s="1814" t="s">
        <v>3550</v>
      </c>
      <c r="F237" s="1814" t="s">
        <v>3246</v>
      </c>
      <c r="G237" s="1815" t="s">
        <v>3245</v>
      </c>
      <c r="H237" s="1814"/>
      <c r="I237" s="1816">
        <v>0</v>
      </c>
      <c r="J237" s="1816">
        <v>0</v>
      </c>
      <c r="K237" s="1816">
        <v>0</v>
      </c>
      <c r="L237" s="1816">
        <v>0</v>
      </c>
      <c r="M237" s="1816">
        <v>0</v>
      </c>
      <c r="N237" s="1816">
        <v>0</v>
      </c>
      <c r="O237" s="1816">
        <v>0</v>
      </c>
      <c r="P237" s="1816">
        <v>525631.86</v>
      </c>
      <c r="Q237" s="1817">
        <v>0</v>
      </c>
    </row>
    <row r="238" spans="1:17" ht="38.25" outlineLevel="5">
      <c r="A238" s="1208" t="s">
        <v>717</v>
      </c>
      <c r="B238" s="1814" t="s">
        <v>3547</v>
      </c>
      <c r="C238" s="1814" t="s">
        <v>3248</v>
      </c>
      <c r="D238" s="1814" t="s">
        <v>3552</v>
      </c>
      <c r="E238" s="1814" t="s">
        <v>3550</v>
      </c>
      <c r="F238" s="1814" t="s">
        <v>3246</v>
      </c>
      <c r="G238" s="1815" t="s">
        <v>3245</v>
      </c>
      <c r="H238" s="1814" t="s">
        <v>3241</v>
      </c>
      <c r="I238" s="1816">
        <v>585125</v>
      </c>
      <c r="J238" s="1816">
        <v>0</v>
      </c>
      <c r="K238" s="1816">
        <v>585125</v>
      </c>
      <c r="L238" s="1816">
        <v>0</v>
      </c>
      <c r="M238" s="1816">
        <v>585125</v>
      </c>
      <c r="N238" s="1816">
        <v>585125</v>
      </c>
      <c r="O238" s="1816">
        <v>521000</v>
      </c>
      <c r="P238" s="1816">
        <v>0</v>
      </c>
      <c r="Q238" s="1817">
        <v>64125</v>
      </c>
    </row>
    <row r="239" spans="1:17" outlineLevel="3">
      <c r="A239" s="1212" t="s">
        <v>717</v>
      </c>
      <c r="B239" s="1806" t="s">
        <v>3547</v>
      </c>
      <c r="C239" s="1806" t="s">
        <v>3248</v>
      </c>
      <c r="D239" s="1806" t="s">
        <v>3553</v>
      </c>
      <c r="E239" s="1806"/>
      <c r="F239" s="1806"/>
      <c r="G239" s="1807"/>
      <c r="H239" s="1806"/>
      <c r="I239" s="1808">
        <v>4372818.28</v>
      </c>
      <c r="J239" s="1808">
        <v>0</v>
      </c>
      <c r="K239" s="1808">
        <v>4372818.28</v>
      </c>
      <c r="L239" s="1808">
        <v>145000</v>
      </c>
      <c r="M239" s="1808">
        <v>4227818.28</v>
      </c>
      <c r="N239" s="1808">
        <v>4372818.28</v>
      </c>
      <c r="O239" s="1808">
        <v>4188455.17</v>
      </c>
      <c r="P239" s="1808">
        <v>4188352.65</v>
      </c>
      <c r="Q239" s="1809">
        <v>184363.11</v>
      </c>
    </row>
    <row r="240" spans="1:17" outlineLevel="4">
      <c r="A240" s="1210" t="s">
        <v>717</v>
      </c>
      <c r="B240" s="1810" t="s">
        <v>3547</v>
      </c>
      <c r="C240" s="1810" t="s">
        <v>3248</v>
      </c>
      <c r="D240" s="1810" t="s">
        <v>3553</v>
      </c>
      <c r="E240" s="1810" t="s">
        <v>3550</v>
      </c>
      <c r="F240" s="1810"/>
      <c r="G240" s="1811"/>
      <c r="H240" s="1810"/>
      <c r="I240" s="1812">
        <v>4372818.28</v>
      </c>
      <c r="J240" s="1812">
        <v>0</v>
      </c>
      <c r="K240" s="1812">
        <v>4372818.28</v>
      </c>
      <c r="L240" s="1812">
        <v>145000</v>
      </c>
      <c r="M240" s="1812">
        <v>4227818.28</v>
      </c>
      <c r="N240" s="1812">
        <v>4372818.28</v>
      </c>
      <c r="O240" s="1812">
        <v>4188455.17</v>
      </c>
      <c r="P240" s="1812">
        <v>4188352.65</v>
      </c>
      <c r="Q240" s="1813">
        <v>184363.11</v>
      </c>
    </row>
    <row r="241" spans="1:17" ht="38.25" outlineLevel="5">
      <c r="A241" s="1208" t="s">
        <v>717</v>
      </c>
      <c r="B241" s="1814" t="s">
        <v>3547</v>
      </c>
      <c r="C241" s="1814" t="s">
        <v>3248</v>
      </c>
      <c r="D241" s="1814" t="s">
        <v>3553</v>
      </c>
      <c r="E241" s="1814" t="s">
        <v>3550</v>
      </c>
      <c r="F241" s="1814" t="s">
        <v>3246</v>
      </c>
      <c r="G241" s="1815" t="s">
        <v>3245</v>
      </c>
      <c r="H241" s="1814"/>
      <c r="I241" s="1816">
        <v>0</v>
      </c>
      <c r="J241" s="1816">
        <v>0</v>
      </c>
      <c r="K241" s="1816">
        <v>0</v>
      </c>
      <c r="L241" s="1816">
        <v>0</v>
      </c>
      <c r="M241" s="1816">
        <v>0</v>
      </c>
      <c r="N241" s="1816">
        <v>0</v>
      </c>
      <c r="O241" s="1816">
        <v>0</v>
      </c>
      <c r="P241" s="1816">
        <v>4188352.65</v>
      </c>
      <c r="Q241" s="1817">
        <v>0</v>
      </c>
    </row>
    <row r="242" spans="1:17" ht="38.25" outlineLevel="5">
      <c r="A242" s="1208" t="s">
        <v>717</v>
      </c>
      <c r="B242" s="1814" t="s">
        <v>3547</v>
      </c>
      <c r="C242" s="1814" t="s">
        <v>3248</v>
      </c>
      <c r="D242" s="1814" t="s">
        <v>3553</v>
      </c>
      <c r="E242" s="1814" t="s">
        <v>3550</v>
      </c>
      <c r="F242" s="1814" t="s">
        <v>3246</v>
      </c>
      <c r="G242" s="1815" t="s">
        <v>3245</v>
      </c>
      <c r="H242" s="1814" t="s">
        <v>3241</v>
      </c>
      <c r="I242" s="1816">
        <v>4372818.28</v>
      </c>
      <c r="J242" s="1816">
        <v>0</v>
      </c>
      <c r="K242" s="1816">
        <v>4372818.28</v>
      </c>
      <c r="L242" s="1816">
        <v>145000</v>
      </c>
      <c r="M242" s="1816">
        <v>4227818.28</v>
      </c>
      <c r="N242" s="1816">
        <v>4372818.28</v>
      </c>
      <c r="O242" s="1816">
        <v>4188455.17</v>
      </c>
      <c r="P242" s="1816">
        <v>0</v>
      </c>
      <c r="Q242" s="1817">
        <v>184363.11</v>
      </c>
    </row>
    <row r="243" spans="1:17" outlineLevel="2">
      <c r="A243" s="1801" t="s">
        <v>717</v>
      </c>
      <c r="B243" s="1802" t="s">
        <v>3547</v>
      </c>
      <c r="C243" s="1802" t="s">
        <v>3247</v>
      </c>
      <c r="D243" s="1802"/>
      <c r="E243" s="1802"/>
      <c r="F243" s="1802"/>
      <c r="G243" s="1803"/>
      <c r="H243" s="1802"/>
      <c r="I243" s="1804">
        <v>378300</v>
      </c>
      <c r="J243" s="1804">
        <v>0</v>
      </c>
      <c r="K243" s="1804">
        <v>378300</v>
      </c>
      <c r="L243" s="1804">
        <v>0</v>
      </c>
      <c r="M243" s="1804">
        <v>378300</v>
      </c>
      <c r="N243" s="1804">
        <v>378300</v>
      </c>
      <c r="O243" s="1804">
        <v>315185.59999999998</v>
      </c>
      <c r="P243" s="1804">
        <v>299042.61</v>
      </c>
      <c r="Q243" s="1805">
        <v>63114.400000000001</v>
      </c>
    </row>
    <row r="244" spans="1:17" outlineLevel="3">
      <c r="A244" s="1212" t="s">
        <v>717</v>
      </c>
      <c r="B244" s="1806" t="s">
        <v>3547</v>
      </c>
      <c r="C244" s="1806" t="s">
        <v>3247</v>
      </c>
      <c r="D244" s="1806" t="s">
        <v>3552</v>
      </c>
      <c r="E244" s="1806"/>
      <c r="F244" s="1806"/>
      <c r="G244" s="1807"/>
      <c r="H244" s="1806"/>
      <c r="I244" s="1808">
        <v>378300</v>
      </c>
      <c r="J244" s="1808">
        <v>0</v>
      </c>
      <c r="K244" s="1808">
        <v>378300</v>
      </c>
      <c r="L244" s="1808">
        <v>0</v>
      </c>
      <c r="M244" s="1808">
        <v>378300</v>
      </c>
      <c r="N244" s="1808">
        <v>378300</v>
      </c>
      <c r="O244" s="1808">
        <v>315185.59999999998</v>
      </c>
      <c r="P244" s="1808">
        <v>299042.61</v>
      </c>
      <c r="Q244" s="1809">
        <v>63114.400000000001</v>
      </c>
    </row>
    <row r="245" spans="1:17" outlineLevel="4">
      <c r="A245" s="1210" t="s">
        <v>717</v>
      </c>
      <c r="B245" s="1810" t="s">
        <v>3547</v>
      </c>
      <c r="C245" s="1810" t="s">
        <v>3247</v>
      </c>
      <c r="D245" s="1810" t="s">
        <v>3552</v>
      </c>
      <c r="E245" s="1810" t="s">
        <v>3550</v>
      </c>
      <c r="F245" s="1810"/>
      <c r="G245" s="1811"/>
      <c r="H245" s="1810"/>
      <c r="I245" s="1812">
        <v>378300</v>
      </c>
      <c r="J245" s="1812">
        <v>0</v>
      </c>
      <c r="K245" s="1812">
        <v>378300</v>
      </c>
      <c r="L245" s="1812">
        <v>0</v>
      </c>
      <c r="M245" s="1812">
        <v>378300</v>
      </c>
      <c r="N245" s="1812">
        <v>378300</v>
      </c>
      <c r="O245" s="1812">
        <v>315185.59999999998</v>
      </c>
      <c r="P245" s="1812">
        <v>299042.61</v>
      </c>
      <c r="Q245" s="1813">
        <v>63114.400000000001</v>
      </c>
    </row>
    <row r="246" spans="1:17" ht="38.25" outlineLevel="5">
      <c r="A246" s="1208" t="s">
        <v>717</v>
      </c>
      <c r="B246" s="1814" t="s">
        <v>3547</v>
      </c>
      <c r="C246" s="1814" t="s">
        <v>3247</v>
      </c>
      <c r="D246" s="1814" t="s">
        <v>3552</v>
      </c>
      <c r="E246" s="1814" t="s">
        <v>3550</v>
      </c>
      <c r="F246" s="1814" t="s">
        <v>3246</v>
      </c>
      <c r="G246" s="1815" t="s">
        <v>3245</v>
      </c>
      <c r="H246" s="1814"/>
      <c r="I246" s="1816">
        <v>0</v>
      </c>
      <c r="J246" s="1816">
        <v>0</v>
      </c>
      <c r="K246" s="1816">
        <v>0</v>
      </c>
      <c r="L246" s="1816">
        <v>0</v>
      </c>
      <c r="M246" s="1816">
        <v>0</v>
      </c>
      <c r="N246" s="1816">
        <v>0</v>
      </c>
      <c r="O246" s="1816">
        <v>0</v>
      </c>
      <c r="P246" s="1816">
        <v>299042.61</v>
      </c>
      <c r="Q246" s="1817">
        <v>0</v>
      </c>
    </row>
    <row r="247" spans="1:17" ht="38.25" outlineLevel="5">
      <c r="A247" s="1208" t="s">
        <v>717</v>
      </c>
      <c r="B247" s="1814" t="s">
        <v>3547</v>
      </c>
      <c r="C247" s="1814" t="s">
        <v>3247</v>
      </c>
      <c r="D247" s="1814" t="s">
        <v>3552</v>
      </c>
      <c r="E247" s="1814" t="s">
        <v>3550</v>
      </c>
      <c r="F247" s="1814" t="s">
        <v>3246</v>
      </c>
      <c r="G247" s="1815" t="s">
        <v>3245</v>
      </c>
      <c r="H247" s="1814" t="s">
        <v>3241</v>
      </c>
      <c r="I247" s="1816">
        <v>378300</v>
      </c>
      <c r="J247" s="1816">
        <v>0</v>
      </c>
      <c r="K247" s="1816">
        <v>378300</v>
      </c>
      <c r="L247" s="1816">
        <v>0</v>
      </c>
      <c r="M247" s="1816">
        <v>378300</v>
      </c>
      <c r="N247" s="1816">
        <v>378300</v>
      </c>
      <c r="O247" s="1816">
        <v>315185.59999999998</v>
      </c>
      <c r="P247" s="1816">
        <v>0</v>
      </c>
      <c r="Q247" s="1817">
        <v>63114.400000000001</v>
      </c>
    </row>
    <row r="248" spans="1:17" outlineLevel="2">
      <c r="A248" s="1801" t="s">
        <v>717</v>
      </c>
      <c r="B248" s="1802" t="s">
        <v>3547</v>
      </c>
      <c r="C248" s="1802" t="s">
        <v>2471</v>
      </c>
      <c r="D248" s="1802"/>
      <c r="E248" s="1802"/>
      <c r="F248" s="1802"/>
      <c r="G248" s="1803"/>
      <c r="H248" s="1802"/>
      <c r="I248" s="1804">
        <v>0</v>
      </c>
      <c r="J248" s="1804">
        <v>3717159.95</v>
      </c>
      <c r="K248" s="1804">
        <v>3717159.95</v>
      </c>
      <c r="L248" s="1804">
        <v>0</v>
      </c>
      <c r="M248" s="1804">
        <v>3717159.95</v>
      </c>
      <c r="N248" s="1804">
        <v>3717159.95</v>
      </c>
      <c r="O248" s="1804">
        <v>3717159.95</v>
      </c>
      <c r="P248" s="1804">
        <v>3717159.95</v>
      </c>
      <c r="Q248" s="1805">
        <v>0</v>
      </c>
    </row>
    <row r="249" spans="1:17" outlineLevel="3">
      <c r="A249" s="1212" t="s">
        <v>717</v>
      </c>
      <c r="B249" s="1806" t="s">
        <v>3547</v>
      </c>
      <c r="C249" s="1806" t="s">
        <v>2471</v>
      </c>
      <c r="D249" s="1806" t="s">
        <v>3548</v>
      </c>
      <c r="E249" s="1806"/>
      <c r="F249" s="1806"/>
      <c r="G249" s="1807"/>
      <c r="H249" s="1806"/>
      <c r="I249" s="1808">
        <v>0</v>
      </c>
      <c r="J249" s="1808">
        <v>1873358.69</v>
      </c>
      <c r="K249" s="1808">
        <v>1873358.69</v>
      </c>
      <c r="L249" s="1808">
        <v>0</v>
      </c>
      <c r="M249" s="1808">
        <v>1873358.69</v>
      </c>
      <c r="N249" s="1808">
        <v>1873358.69</v>
      </c>
      <c r="O249" s="1808">
        <v>1873358.69</v>
      </c>
      <c r="P249" s="1808">
        <v>1873358.69</v>
      </c>
      <c r="Q249" s="1809">
        <v>0</v>
      </c>
    </row>
    <row r="250" spans="1:17" outlineLevel="4">
      <c r="A250" s="1210" t="s">
        <v>717</v>
      </c>
      <c r="B250" s="1810" t="s">
        <v>3547</v>
      </c>
      <c r="C250" s="1810" t="s">
        <v>2471</v>
      </c>
      <c r="D250" s="1810" t="s">
        <v>3548</v>
      </c>
      <c r="E250" s="1810" t="s">
        <v>3550</v>
      </c>
      <c r="F250" s="1810"/>
      <c r="G250" s="1811"/>
      <c r="H250" s="1810"/>
      <c r="I250" s="1812">
        <v>0</v>
      </c>
      <c r="J250" s="1812">
        <v>1873358.69</v>
      </c>
      <c r="K250" s="1812">
        <v>1873358.69</v>
      </c>
      <c r="L250" s="1812">
        <v>0</v>
      </c>
      <c r="M250" s="1812">
        <v>1873358.69</v>
      </c>
      <c r="N250" s="1812">
        <v>1873358.69</v>
      </c>
      <c r="O250" s="1812">
        <v>1873358.69</v>
      </c>
      <c r="P250" s="1812">
        <v>1873358.69</v>
      </c>
      <c r="Q250" s="1813">
        <v>0</v>
      </c>
    </row>
    <row r="251" spans="1:17" outlineLevel="5">
      <c r="A251" s="1208" t="s">
        <v>717</v>
      </c>
      <c r="B251" s="1814" t="s">
        <v>3547</v>
      </c>
      <c r="C251" s="1814" t="s">
        <v>2471</v>
      </c>
      <c r="D251" s="1814" t="s">
        <v>3548</v>
      </c>
      <c r="E251" s="1814" t="s">
        <v>3550</v>
      </c>
      <c r="F251" s="1814"/>
      <c r="G251" s="1815"/>
      <c r="H251" s="1814"/>
      <c r="I251" s="1816">
        <v>0</v>
      </c>
      <c r="J251" s="1816">
        <v>0</v>
      </c>
      <c r="K251" s="1816">
        <v>0</v>
      </c>
      <c r="L251" s="1816">
        <v>0</v>
      </c>
      <c r="M251" s="1816">
        <v>0</v>
      </c>
      <c r="N251" s="1816">
        <v>0</v>
      </c>
      <c r="O251" s="1816">
        <v>0</v>
      </c>
      <c r="P251" s="1816">
        <v>1442241.98</v>
      </c>
      <c r="Q251" s="1817">
        <v>0</v>
      </c>
    </row>
    <row r="252" spans="1:17" ht="127.5" outlineLevel="5">
      <c r="A252" s="1208" t="s">
        <v>717</v>
      </c>
      <c r="B252" s="1814" t="s">
        <v>3547</v>
      </c>
      <c r="C252" s="1814" t="s">
        <v>2471</v>
      </c>
      <c r="D252" s="1814" t="s">
        <v>3548</v>
      </c>
      <c r="E252" s="1814" t="s">
        <v>3550</v>
      </c>
      <c r="F252" s="1814" t="s">
        <v>3243</v>
      </c>
      <c r="G252" s="1815" t="s">
        <v>3549</v>
      </c>
      <c r="H252" s="1814"/>
      <c r="I252" s="1816">
        <v>0</v>
      </c>
      <c r="J252" s="1816">
        <v>0</v>
      </c>
      <c r="K252" s="1816">
        <v>0</v>
      </c>
      <c r="L252" s="1816">
        <v>0</v>
      </c>
      <c r="M252" s="1816">
        <v>0</v>
      </c>
      <c r="N252" s="1816">
        <v>0</v>
      </c>
      <c r="O252" s="1816">
        <v>0</v>
      </c>
      <c r="P252" s="1816">
        <v>431116.71</v>
      </c>
      <c r="Q252" s="1817">
        <v>0</v>
      </c>
    </row>
    <row r="253" spans="1:17" ht="127.5" outlineLevel="5">
      <c r="A253" s="1208" t="s">
        <v>717</v>
      </c>
      <c r="B253" s="1814" t="s">
        <v>3547</v>
      </c>
      <c r="C253" s="1814" t="s">
        <v>2471</v>
      </c>
      <c r="D253" s="1814" t="s">
        <v>3548</v>
      </c>
      <c r="E253" s="1814" t="s">
        <v>3550</v>
      </c>
      <c r="F253" s="1814" t="s">
        <v>3243</v>
      </c>
      <c r="G253" s="1815" t="s">
        <v>3549</v>
      </c>
      <c r="H253" s="1814" t="s">
        <v>3241</v>
      </c>
      <c r="I253" s="1816">
        <v>0</v>
      </c>
      <c r="J253" s="1816">
        <v>1873358.69</v>
      </c>
      <c r="K253" s="1816">
        <v>1873358.69</v>
      </c>
      <c r="L253" s="1816">
        <v>0</v>
      </c>
      <c r="M253" s="1816">
        <v>1873358.69</v>
      </c>
      <c r="N253" s="1816">
        <v>1873358.69</v>
      </c>
      <c r="O253" s="1816">
        <v>1873358.69</v>
      </c>
      <c r="P253" s="1816">
        <v>0</v>
      </c>
      <c r="Q253" s="1817">
        <v>0</v>
      </c>
    </row>
    <row r="254" spans="1:17" outlineLevel="3">
      <c r="A254" s="1212" t="s">
        <v>717</v>
      </c>
      <c r="B254" s="1806" t="s">
        <v>3547</v>
      </c>
      <c r="C254" s="1806" t="s">
        <v>2471</v>
      </c>
      <c r="D254" s="1806" t="s">
        <v>3545</v>
      </c>
      <c r="E254" s="1806"/>
      <c r="F254" s="1806"/>
      <c r="G254" s="1807"/>
      <c r="H254" s="1806"/>
      <c r="I254" s="1808">
        <v>0</v>
      </c>
      <c r="J254" s="1808">
        <v>542167.06000000006</v>
      </c>
      <c r="K254" s="1808">
        <v>542167.06000000006</v>
      </c>
      <c r="L254" s="1808">
        <v>0</v>
      </c>
      <c r="M254" s="1808">
        <v>542167.06000000006</v>
      </c>
      <c r="N254" s="1808">
        <v>542167.06000000006</v>
      </c>
      <c r="O254" s="1808">
        <v>542167.06000000006</v>
      </c>
      <c r="P254" s="1808">
        <v>542167.06000000006</v>
      </c>
      <c r="Q254" s="1809">
        <v>0</v>
      </c>
    </row>
    <row r="255" spans="1:17" outlineLevel="4">
      <c r="A255" s="1210" t="s">
        <v>717</v>
      </c>
      <c r="B255" s="1810" t="s">
        <v>3547</v>
      </c>
      <c r="C255" s="1810" t="s">
        <v>2471</v>
      </c>
      <c r="D255" s="1810" t="s">
        <v>3545</v>
      </c>
      <c r="E255" s="1810" t="s">
        <v>3550</v>
      </c>
      <c r="F255" s="1810"/>
      <c r="G255" s="1811"/>
      <c r="H255" s="1810"/>
      <c r="I255" s="1812">
        <v>0</v>
      </c>
      <c r="J255" s="1812">
        <v>542167.06000000006</v>
      </c>
      <c r="K255" s="1812">
        <v>542167.06000000006</v>
      </c>
      <c r="L255" s="1812">
        <v>0</v>
      </c>
      <c r="M255" s="1812">
        <v>542167.06000000006</v>
      </c>
      <c r="N255" s="1812">
        <v>542167.06000000006</v>
      </c>
      <c r="O255" s="1812">
        <v>542167.06000000006</v>
      </c>
      <c r="P255" s="1812">
        <v>542167.06000000006</v>
      </c>
      <c r="Q255" s="1813">
        <v>0</v>
      </c>
    </row>
    <row r="256" spans="1:17" ht="127.5" outlineLevel="5">
      <c r="A256" s="1208" t="s">
        <v>717</v>
      </c>
      <c r="B256" s="1814" t="s">
        <v>3547</v>
      </c>
      <c r="C256" s="1814" t="s">
        <v>2471</v>
      </c>
      <c r="D256" s="1814" t="s">
        <v>3545</v>
      </c>
      <c r="E256" s="1814" t="s">
        <v>3550</v>
      </c>
      <c r="F256" s="1814" t="s">
        <v>3243</v>
      </c>
      <c r="G256" s="1815" t="s">
        <v>3549</v>
      </c>
      <c r="H256" s="1814"/>
      <c r="I256" s="1816">
        <v>0</v>
      </c>
      <c r="J256" s="1816">
        <v>0</v>
      </c>
      <c r="K256" s="1816">
        <v>0</v>
      </c>
      <c r="L256" s="1816">
        <v>0</v>
      </c>
      <c r="M256" s="1816">
        <v>0</v>
      </c>
      <c r="N256" s="1816">
        <v>0</v>
      </c>
      <c r="O256" s="1816">
        <v>0</v>
      </c>
      <c r="P256" s="1816">
        <v>542167.06000000006</v>
      </c>
      <c r="Q256" s="1817">
        <v>0</v>
      </c>
    </row>
    <row r="257" spans="1:17" ht="127.5" outlineLevel="5">
      <c r="A257" s="1208" t="s">
        <v>717</v>
      </c>
      <c r="B257" s="1814" t="s">
        <v>3547</v>
      </c>
      <c r="C257" s="1814" t="s">
        <v>2471</v>
      </c>
      <c r="D257" s="1814" t="s">
        <v>3545</v>
      </c>
      <c r="E257" s="1814" t="s">
        <v>3550</v>
      </c>
      <c r="F257" s="1814" t="s">
        <v>3243</v>
      </c>
      <c r="G257" s="1815" t="s">
        <v>3549</v>
      </c>
      <c r="H257" s="1814" t="s">
        <v>3241</v>
      </c>
      <c r="I257" s="1816">
        <v>0</v>
      </c>
      <c r="J257" s="1816">
        <v>542167.06000000006</v>
      </c>
      <c r="K257" s="1816">
        <v>542167.06000000006</v>
      </c>
      <c r="L257" s="1816">
        <v>0</v>
      </c>
      <c r="M257" s="1816">
        <v>542167.06000000006</v>
      </c>
      <c r="N257" s="1816">
        <v>542167.06000000006</v>
      </c>
      <c r="O257" s="1816">
        <v>542167.06000000006</v>
      </c>
      <c r="P257" s="1816">
        <v>0</v>
      </c>
      <c r="Q257" s="1817">
        <v>0</v>
      </c>
    </row>
    <row r="258" spans="1:17" outlineLevel="3">
      <c r="A258" s="1212" t="s">
        <v>717</v>
      </c>
      <c r="B258" s="1806" t="s">
        <v>3547</v>
      </c>
      <c r="C258" s="1806" t="s">
        <v>2471</v>
      </c>
      <c r="D258" s="1806" t="s">
        <v>3551</v>
      </c>
      <c r="E258" s="1806"/>
      <c r="F258" s="1806"/>
      <c r="G258" s="1807"/>
      <c r="H258" s="1806"/>
      <c r="I258" s="1808">
        <v>0</v>
      </c>
      <c r="J258" s="1808">
        <v>1301634.2</v>
      </c>
      <c r="K258" s="1808">
        <v>1301634.2</v>
      </c>
      <c r="L258" s="1808">
        <v>0</v>
      </c>
      <c r="M258" s="1808">
        <v>1301634.2</v>
      </c>
      <c r="N258" s="1808">
        <v>1301634.2</v>
      </c>
      <c r="O258" s="1808">
        <v>1301634.2</v>
      </c>
      <c r="P258" s="1808">
        <v>1301634.2</v>
      </c>
      <c r="Q258" s="1809">
        <v>0</v>
      </c>
    </row>
    <row r="259" spans="1:17" outlineLevel="4">
      <c r="A259" s="1210" t="s">
        <v>717</v>
      </c>
      <c r="B259" s="1810" t="s">
        <v>3547</v>
      </c>
      <c r="C259" s="1810" t="s">
        <v>2471</v>
      </c>
      <c r="D259" s="1810" t="s">
        <v>3551</v>
      </c>
      <c r="E259" s="1810" t="s">
        <v>3550</v>
      </c>
      <c r="F259" s="1810"/>
      <c r="G259" s="1811"/>
      <c r="H259" s="1810"/>
      <c r="I259" s="1812">
        <v>0</v>
      </c>
      <c r="J259" s="1812">
        <v>1301634.2</v>
      </c>
      <c r="K259" s="1812">
        <v>1301634.2</v>
      </c>
      <c r="L259" s="1812">
        <v>0</v>
      </c>
      <c r="M259" s="1812">
        <v>1301634.2</v>
      </c>
      <c r="N259" s="1812">
        <v>1301634.2</v>
      </c>
      <c r="O259" s="1812">
        <v>1301634.2</v>
      </c>
      <c r="P259" s="1812">
        <v>1301634.2</v>
      </c>
      <c r="Q259" s="1813">
        <v>0</v>
      </c>
    </row>
    <row r="260" spans="1:17" ht="127.5" outlineLevel="5">
      <c r="A260" s="1208" t="s">
        <v>717</v>
      </c>
      <c r="B260" s="1814" t="s">
        <v>3547</v>
      </c>
      <c r="C260" s="1814" t="s">
        <v>2471</v>
      </c>
      <c r="D260" s="1814" t="s">
        <v>3551</v>
      </c>
      <c r="E260" s="1814" t="s">
        <v>3550</v>
      </c>
      <c r="F260" s="1814" t="s">
        <v>3243</v>
      </c>
      <c r="G260" s="1815" t="s">
        <v>3549</v>
      </c>
      <c r="H260" s="1814"/>
      <c r="I260" s="1816">
        <v>0</v>
      </c>
      <c r="J260" s="1816">
        <v>0</v>
      </c>
      <c r="K260" s="1816">
        <v>0</v>
      </c>
      <c r="L260" s="1816">
        <v>0</v>
      </c>
      <c r="M260" s="1816">
        <v>0</v>
      </c>
      <c r="N260" s="1816">
        <v>0</v>
      </c>
      <c r="O260" s="1816">
        <v>0</v>
      </c>
      <c r="P260" s="1816">
        <v>1301634.2</v>
      </c>
      <c r="Q260" s="1817">
        <v>0</v>
      </c>
    </row>
    <row r="261" spans="1:17" ht="127.5" outlineLevel="5">
      <c r="A261" s="1208" t="s">
        <v>717</v>
      </c>
      <c r="B261" s="1814" t="s">
        <v>3547</v>
      </c>
      <c r="C261" s="1814" t="s">
        <v>2471</v>
      </c>
      <c r="D261" s="1814" t="s">
        <v>3551</v>
      </c>
      <c r="E261" s="1814" t="s">
        <v>3550</v>
      </c>
      <c r="F261" s="1814" t="s">
        <v>3243</v>
      </c>
      <c r="G261" s="1815" t="s">
        <v>3549</v>
      </c>
      <c r="H261" s="1814" t="s">
        <v>3241</v>
      </c>
      <c r="I261" s="1816">
        <v>0</v>
      </c>
      <c r="J261" s="1816">
        <v>1301634.2</v>
      </c>
      <c r="K261" s="1816">
        <v>1301634.2</v>
      </c>
      <c r="L261" s="1816">
        <v>0</v>
      </c>
      <c r="M261" s="1816">
        <v>1301634.2</v>
      </c>
      <c r="N261" s="1816">
        <v>1301634.2</v>
      </c>
      <c r="O261" s="1816">
        <v>1301634.2</v>
      </c>
      <c r="P261" s="1816">
        <v>0</v>
      </c>
      <c r="Q261" s="1817">
        <v>0</v>
      </c>
    </row>
    <row r="262" spans="1:17" outlineLevel="2">
      <c r="A262" s="1801" t="s">
        <v>717</v>
      </c>
      <c r="B262" s="1802" t="s">
        <v>3547</v>
      </c>
      <c r="C262" s="1802" t="s">
        <v>3546</v>
      </c>
      <c r="D262" s="1802"/>
      <c r="E262" s="1802"/>
      <c r="F262" s="1802"/>
      <c r="G262" s="1803"/>
      <c r="H262" s="1802"/>
      <c r="I262" s="1804">
        <v>0</v>
      </c>
      <c r="J262" s="1804">
        <v>2479708</v>
      </c>
      <c r="K262" s="1804">
        <v>2479708</v>
      </c>
      <c r="L262" s="1804">
        <v>0</v>
      </c>
      <c r="M262" s="1804">
        <v>2479708</v>
      </c>
      <c r="N262" s="1804">
        <v>2479708</v>
      </c>
      <c r="O262" s="1804">
        <v>2479708</v>
      </c>
      <c r="P262" s="1804">
        <v>2479708</v>
      </c>
      <c r="Q262" s="1805">
        <v>0</v>
      </c>
    </row>
    <row r="263" spans="1:17" outlineLevel="3">
      <c r="A263" s="1212" t="s">
        <v>717</v>
      </c>
      <c r="B263" s="1806" t="s">
        <v>3547</v>
      </c>
      <c r="C263" s="1806" t="s">
        <v>3546</v>
      </c>
      <c r="D263" s="1806" t="s">
        <v>3548</v>
      </c>
      <c r="E263" s="1806"/>
      <c r="F263" s="1806"/>
      <c r="G263" s="1807"/>
      <c r="H263" s="1806"/>
      <c r="I263" s="1808">
        <v>0</v>
      </c>
      <c r="J263" s="1808">
        <v>2083073.18</v>
      </c>
      <c r="K263" s="1808">
        <v>2083073.18</v>
      </c>
      <c r="L263" s="1808">
        <v>0</v>
      </c>
      <c r="M263" s="1808">
        <v>2083073.18</v>
      </c>
      <c r="N263" s="1808">
        <v>2083073.18</v>
      </c>
      <c r="O263" s="1808">
        <v>2083073.18</v>
      </c>
      <c r="P263" s="1808">
        <v>2083073.18</v>
      </c>
      <c r="Q263" s="1809">
        <v>0</v>
      </c>
    </row>
    <row r="264" spans="1:17" outlineLevel="4">
      <c r="A264" s="1210" t="s">
        <v>717</v>
      </c>
      <c r="B264" s="1810" t="s">
        <v>3547</v>
      </c>
      <c r="C264" s="1810" t="s">
        <v>3546</v>
      </c>
      <c r="D264" s="1810" t="s">
        <v>3548</v>
      </c>
      <c r="E264" s="1810" t="s">
        <v>3544</v>
      </c>
      <c r="F264" s="1810"/>
      <c r="G264" s="1811"/>
      <c r="H264" s="1810"/>
      <c r="I264" s="1812">
        <v>0</v>
      </c>
      <c r="J264" s="1812">
        <v>2083073.18</v>
      </c>
      <c r="K264" s="1812">
        <v>2083073.18</v>
      </c>
      <c r="L264" s="1812">
        <v>0</v>
      </c>
      <c r="M264" s="1812">
        <v>2083073.18</v>
      </c>
      <c r="N264" s="1812">
        <v>2083073.18</v>
      </c>
      <c r="O264" s="1812">
        <v>2083073.18</v>
      </c>
      <c r="P264" s="1812">
        <v>2083073.18</v>
      </c>
      <c r="Q264" s="1813">
        <v>0</v>
      </c>
    </row>
    <row r="265" spans="1:17" ht="38.25" outlineLevel="5">
      <c r="A265" s="1208" t="s">
        <v>717</v>
      </c>
      <c r="B265" s="1814" t="s">
        <v>3547</v>
      </c>
      <c r="C265" s="1814" t="s">
        <v>3546</v>
      </c>
      <c r="D265" s="1814" t="s">
        <v>3548</v>
      </c>
      <c r="E265" s="1814" t="s">
        <v>3544</v>
      </c>
      <c r="F265" s="1814" t="s">
        <v>3543</v>
      </c>
      <c r="G265" s="1815" t="s">
        <v>3542</v>
      </c>
      <c r="H265" s="1814"/>
      <c r="I265" s="1816">
        <v>0</v>
      </c>
      <c r="J265" s="1816">
        <v>0</v>
      </c>
      <c r="K265" s="1816">
        <v>0</v>
      </c>
      <c r="L265" s="1816">
        <v>0</v>
      </c>
      <c r="M265" s="1816">
        <v>0</v>
      </c>
      <c r="N265" s="1816">
        <v>0</v>
      </c>
      <c r="O265" s="1816">
        <v>0</v>
      </c>
      <c r="P265" s="1816">
        <v>2083073.18</v>
      </c>
      <c r="Q265" s="1817">
        <v>0</v>
      </c>
    </row>
    <row r="266" spans="1:17" ht="38.25" outlineLevel="5">
      <c r="A266" s="1208" t="s">
        <v>717</v>
      </c>
      <c r="B266" s="1814" t="s">
        <v>3547</v>
      </c>
      <c r="C266" s="1814" t="s">
        <v>3546</v>
      </c>
      <c r="D266" s="1814" t="s">
        <v>3548</v>
      </c>
      <c r="E266" s="1814" t="s">
        <v>3544</v>
      </c>
      <c r="F266" s="1814" t="s">
        <v>3543</v>
      </c>
      <c r="G266" s="1815" t="s">
        <v>3542</v>
      </c>
      <c r="H266" s="1814" t="s">
        <v>3257</v>
      </c>
      <c r="I266" s="1816">
        <v>0</v>
      </c>
      <c r="J266" s="1816">
        <v>2083073.18</v>
      </c>
      <c r="K266" s="1816">
        <v>2083073.18</v>
      </c>
      <c r="L266" s="1816">
        <v>0</v>
      </c>
      <c r="M266" s="1816">
        <v>2083073.18</v>
      </c>
      <c r="N266" s="1816">
        <v>2083073.18</v>
      </c>
      <c r="O266" s="1816">
        <v>2083073.18</v>
      </c>
      <c r="P266" s="1816">
        <v>2083073.18</v>
      </c>
      <c r="Q266" s="1817">
        <v>0</v>
      </c>
    </row>
    <row r="267" spans="1:17" outlineLevel="3">
      <c r="A267" s="1212" t="s">
        <v>717</v>
      </c>
      <c r="B267" s="1806" t="s">
        <v>3547</v>
      </c>
      <c r="C267" s="1806" t="s">
        <v>3546</v>
      </c>
      <c r="D267" s="1806" t="s">
        <v>3545</v>
      </c>
      <c r="E267" s="1806"/>
      <c r="F267" s="1806"/>
      <c r="G267" s="1807"/>
      <c r="H267" s="1806"/>
      <c r="I267" s="1808">
        <v>0</v>
      </c>
      <c r="J267" s="1808">
        <v>396634.82</v>
      </c>
      <c r="K267" s="1808">
        <v>396634.82</v>
      </c>
      <c r="L267" s="1808">
        <v>0</v>
      </c>
      <c r="M267" s="1808">
        <v>396634.82</v>
      </c>
      <c r="N267" s="1808">
        <v>396634.82</v>
      </c>
      <c r="O267" s="1808">
        <v>396634.82</v>
      </c>
      <c r="P267" s="1808">
        <v>396634.82</v>
      </c>
      <c r="Q267" s="1809">
        <v>0</v>
      </c>
    </row>
    <row r="268" spans="1:17" outlineLevel="4">
      <c r="A268" s="1210" t="s">
        <v>717</v>
      </c>
      <c r="B268" s="1810" t="s">
        <v>3547</v>
      </c>
      <c r="C268" s="1810" t="s">
        <v>3546</v>
      </c>
      <c r="D268" s="1810" t="s">
        <v>3545</v>
      </c>
      <c r="E268" s="1810" t="s">
        <v>3544</v>
      </c>
      <c r="F268" s="1810"/>
      <c r="G268" s="1811"/>
      <c r="H268" s="1810"/>
      <c r="I268" s="1812">
        <v>0</v>
      </c>
      <c r="J268" s="1812">
        <v>396634.82</v>
      </c>
      <c r="K268" s="1812">
        <v>396634.82</v>
      </c>
      <c r="L268" s="1812">
        <v>0</v>
      </c>
      <c r="M268" s="1812">
        <v>396634.82</v>
      </c>
      <c r="N268" s="1812">
        <v>396634.82</v>
      </c>
      <c r="O268" s="1812">
        <v>396634.82</v>
      </c>
      <c r="P268" s="1812">
        <v>396634.82</v>
      </c>
      <c r="Q268" s="1813">
        <v>0</v>
      </c>
    </row>
    <row r="269" spans="1:17" outlineLevel="5">
      <c r="A269" s="1208" t="s">
        <v>717</v>
      </c>
      <c r="B269" s="1814" t="s">
        <v>3547</v>
      </c>
      <c r="C269" s="1814" t="s">
        <v>3546</v>
      </c>
      <c r="D269" s="1814" t="s">
        <v>3545</v>
      </c>
      <c r="E269" s="1814" t="s">
        <v>3544</v>
      </c>
      <c r="F269" s="1814"/>
      <c r="G269" s="1815"/>
      <c r="H269" s="1814"/>
      <c r="I269" s="1816">
        <v>0</v>
      </c>
      <c r="J269" s="1816">
        <v>0</v>
      </c>
      <c r="K269" s="1816">
        <v>0</v>
      </c>
      <c r="L269" s="1816">
        <v>0</v>
      </c>
      <c r="M269" s="1816">
        <v>0</v>
      </c>
      <c r="N269" s="1816">
        <v>0</v>
      </c>
      <c r="O269" s="1816">
        <v>0</v>
      </c>
      <c r="P269" s="1816">
        <v>392468.73</v>
      </c>
      <c r="Q269" s="1817">
        <v>0</v>
      </c>
    </row>
    <row r="270" spans="1:17" ht="38.25" outlineLevel="5">
      <c r="A270" s="1208" t="s">
        <v>717</v>
      </c>
      <c r="B270" s="1814" t="s">
        <v>3547</v>
      </c>
      <c r="C270" s="1814" t="s">
        <v>3546</v>
      </c>
      <c r="D270" s="1814" t="s">
        <v>3545</v>
      </c>
      <c r="E270" s="1814" t="s">
        <v>3544</v>
      </c>
      <c r="F270" s="1814" t="s">
        <v>3543</v>
      </c>
      <c r="G270" s="1815" t="s">
        <v>3542</v>
      </c>
      <c r="H270" s="1814"/>
      <c r="I270" s="1816">
        <v>0</v>
      </c>
      <c r="J270" s="1816">
        <v>0</v>
      </c>
      <c r="K270" s="1816">
        <v>0</v>
      </c>
      <c r="L270" s="1816">
        <v>0</v>
      </c>
      <c r="M270" s="1816">
        <v>0</v>
      </c>
      <c r="N270" s="1816">
        <v>0</v>
      </c>
      <c r="O270" s="1816">
        <v>0</v>
      </c>
      <c r="P270" s="1816">
        <v>4166.09</v>
      </c>
      <c r="Q270" s="1817">
        <v>0</v>
      </c>
    </row>
    <row r="271" spans="1:17" ht="38.25" outlineLevel="5">
      <c r="A271" s="1208" t="s">
        <v>717</v>
      </c>
      <c r="B271" s="1814" t="s">
        <v>3547</v>
      </c>
      <c r="C271" s="1814" t="s">
        <v>3546</v>
      </c>
      <c r="D271" s="1814" t="s">
        <v>3545</v>
      </c>
      <c r="E271" s="1814" t="s">
        <v>3544</v>
      </c>
      <c r="F271" s="1814" t="s">
        <v>3543</v>
      </c>
      <c r="G271" s="1815" t="s">
        <v>3542</v>
      </c>
      <c r="H271" s="1814" t="s">
        <v>3257</v>
      </c>
      <c r="I271" s="1816">
        <v>0</v>
      </c>
      <c r="J271" s="1816">
        <v>396634.82</v>
      </c>
      <c r="K271" s="1816">
        <v>396634.82</v>
      </c>
      <c r="L271" s="1816">
        <v>0</v>
      </c>
      <c r="M271" s="1816">
        <v>396634.82</v>
      </c>
      <c r="N271" s="1816">
        <v>396634.82</v>
      </c>
      <c r="O271" s="1816">
        <v>396634.82</v>
      </c>
      <c r="P271" s="1816">
        <v>396634.82</v>
      </c>
      <c r="Q271" s="1817">
        <v>0</v>
      </c>
    </row>
    <row r="272" spans="1:17" ht="15.75" thickBot="1">
      <c r="A272" s="1818"/>
      <c r="B272" s="1819"/>
      <c r="C272" s="1819"/>
      <c r="D272" s="1819"/>
      <c r="E272" s="1819"/>
      <c r="F272" s="1819"/>
      <c r="G272" s="1819"/>
      <c r="H272" s="1819"/>
      <c r="I272" s="1819"/>
      <c r="J272" s="1819"/>
      <c r="K272" s="1819"/>
      <c r="L272" s="1819"/>
      <c r="M272" s="1819"/>
      <c r="N272" s="1819"/>
      <c r="O272" s="1819"/>
      <c r="P272" s="1819"/>
      <c r="Q272" s="1820"/>
    </row>
    <row r="273" spans="1:18" ht="15.75" thickBot="1">
      <c r="A273" s="1821" t="s">
        <v>2525</v>
      </c>
      <c r="B273" s="1822"/>
      <c r="C273" s="1822"/>
      <c r="D273" s="1822"/>
      <c r="E273" s="1822"/>
      <c r="F273" s="1822"/>
      <c r="G273" s="1822"/>
      <c r="H273" s="1822"/>
      <c r="I273" s="1823">
        <v>1345983197</v>
      </c>
      <c r="J273" s="1823">
        <v>144489310.00999999</v>
      </c>
      <c r="K273" s="1823">
        <v>1490472507.01</v>
      </c>
      <c r="L273" s="1823">
        <v>105730101.17</v>
      </c>
      <c r="M273" s="1823">
        <v>1380476059.6099999</v>
      </c>
      <c r="N273" s="1823">
        <v>1486206160.78</v>
      </c>
      <c r="O273" s="1823">
        <v>1483700723.8699999</v>
      </c>
      <c r="P273" s="1823">
        <v>1482974109.6400001</v>
      </c>
      <c r="Q273" s="1824">
        <v>6771783.1399999997</v>
      </c>
    </row>
    <row r="274" spans="1:18">
      <c r="A274" s="1825"/>
      <c r="B274" s="1825"/>
      <c r="C274" s="1825"/>
      <c r="D274" s="1825"/>
      <c r="E274" s="1825"/>
      <c r="F274" s="1825"/>
      <c r="G274" s="1826" t="s">
        <v>5410</v>
      </c>
      <c r="H274" s="1827" t="s">
        <v>10</v>
      </c>
      <c r="I274" s="1827"/>
      <c r="J274" s="1827"/>
      <c r="K274" s="1828">
        <f>K67+K86+K186+K197+K266+K271</f>
        <v>18716916.789999999</v>
      </c>
      <c r="L274" s="1828">
        <f t="shared" ref="L274:Q274" si="0">L67+L86+L186+L197+L266+L271</f>
        <v>0</v>
      </c>
      <c r="M274" s="1828">
        <f t="shared" si="0"/>
        <v>18716916.789999999</v>
      </c>
      <c r="N274" s="1828">
        <f t="shared" si="0"/>
        <v>18716916.789999999</v>
      </c>
      <c r="O274" s="1828">
        <f t="shared" si="0"/>
        <v>18710621.73</v>
      </c>
      <c r="P274" s="1828">
        <f t="shared" si="0"/>
        <v>18710621.73</v>
      </c>
      <c r="Q274" s="1828">
        <f t="shared" si="0"/>
        <v>6295.06</v>
      </c>
      <c r="R274" s="1829">
        <f>K274-P274</f>
        <v>6295.0599999986589</v>
      </c>
    </row>
    <row r="275" spans="1:18">
      <c r="A275" s="1830"/>
      <c r="B275" s="1831"/>
      <c r="C275" s="1831"/>
      <c r="D275" s="1831"/>
      <c r="E275" s="1831"/>
      <c r="F275" s="1831"/>
      <c r="G275" s="1831"/>
      <c r="H275" s="1832" t="s">
        <v>9</v>
      </c>
      <c r="I275" s="1832"/>
      <c r="J275" s="1832"/>
      <c r="K275" s="1833">
        <f>K273-K274</f>
        <v>1471755590.22</v>
      </c>
      <c r="L275" s="1833">
        <f t="shared" ref="L275:Q275" si="1">L273-L274</f>
        <v>105730101.17</v>
      </c>
      <c r="M275" s="1833">
        <f t="shared" si="1"/>
        <v>1361759142.8199999</v>
      </c>
      <c r="N275" s="1833">
        <f t="shared" si="1"/>
        <v>1467489243.99</v>
      </c>
      <c r="O275" s="1833">
        <f t="shared" si="1"/>
        <v>1464990102.1399999</v>
      </c>
      <c r="P275" s="1833">
        <f t="shared" si="1"/>
        <v>1464263487.9100001</v>
      </c>
      <c r="Q275" s="1833">
        <f t="shared" si="1"/>
        <v>6765488.0800000001</v>
      </c>
      <c r="R275" s="1829">
        <f>K275-P275</f>
        <v>7492102.3099999428</v>
      </c>
    </row>
    <row r="276" spans="1:18">
      <c r="H276" s="1193" t="s">
        <v>3540</v>
      </c>
      <c r="K276" s="1194">
        <f>K248</f>
        <v>3717159.95</v>
      </c>
      <c r="L276" s="1194">
        <f t="shared" ref="L276:Q276" si="2">L248</f>
        <v>0</v>
      </c>
      <c r="M276" s="1194">
        <f t="shared" si="2"/>
        <v>3717159.95</v>
      </c>
      <c r="N276" s="1194">
        <f t="shared" si="2"/>
        <v>3717159.95</v>
      </c>
      <c r="O276" s="1194">
        <f t="shared" si="2"/>
        <v>3717159.95</v>
      </c>
      <c r="P276" s="1194">
        <f t="shared" si="2"/>
        <v>3717159.95</v>
      </c>
      <c r="Q276" s="1194">
        <f t="shared" si="2"/>
        <v>0</v>
      </c>
    </row>
    <row r="277" spans="1:18">
      <c r="H277" s="1193" t="s">
        <v>3539</v>
      </c>
      <c r="K277" s="1194">
        <f>K88</f>
        <v>3950250</v>
      </c>
      <c r="L277" s="1194">
        <f t="shared" ref="L277:Q277" si="3">L88</f>
        <v>0</v>
      </c>
      <c r="M277" s="1194">
        <f t="shared" si="3"/>
        <v>3950250</v>
      </c>
      <c r="N277" s="1194">
        <f t="shared" si="3"/>
        <v>3950250</v>
      </c>
      <c r="O277" s="1194">
        <f t="shared" si="3"/>
        <v>3950250</v>
      </c>
      <c r="P277" s="1194">
        <f t="shared" si="3"/>
        <v>3950250</v>
      </c>
      <c r="Q277" s="1194">
        <f t="shared" si="3"/>
        <v>0</v>
      </c>
    </row>
    <row r="278" spans="1:18">
      <c r="H278" s="1193" t="s">
        <v>3538</v>
      </c>
      <c r="K278" s="1192">
        <f>K262</f>
        <v>2479708</v>
      </c>
      <c r="L278" s="1192">
        <f t="shared" ref="L278:Q278" si="4">L262</f>
        <v>0</v>
      </c>
      <c r="M278" s="1192">
        <f t="shared" si="4"/>
        <v>2479708</v>
      </c>
      <c r="N278" s="1192">
        <f t="shared" si="4"/>
        <v>2479708</v>
      </c>
      <c r="O278" s="1192">
        <f t="shared" si="4"/>
        <v>2479708</v>
      </c>
      <c r="P278" s="1192">
        <f t="shared" si="4"/>
        <v>2479708</v>
      </c>
      <c r="Q278" s="1192">
        <f t="shared" si="4"/>
        <v>0</v>
      </c>
    </row>
  </sheetData>
  <autoFilter ref="A5:Q271"/>
  <mergeCells count="3">
    <mergeCell ref="A1:Q1"/>
    <mergeCell ref="A2:Q2"/>
    <mergeCell ref="A3:Q3"/>
  </mergeCells>
  <pageMargins left="0.70866141732283472" right="0.70866141732283472" top="0" bottom="0" header="0.31496062992125984" footer="0.31496062992125984"/>
  <pageSetup paperSize="9" scale="67"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780"/>
  <sheetViews>
    <sheetView zoomScaleNormal="100" workbookViewId="0">
      <pane xSplit="3" ySplit="4" topLeftCell="D291" activePane="bottomRight" state="frozen"/>
      <selection activeCell="J305" sqref="J305:J310"/>
      <selection pane="topRight"/>
      <selection pane="bottomLeft"/>
      <selection pane="bottomRight" activeCell="F302" sqref="F302"/>
    </sheetView>
  </sheetViews>
  <sheetFormatPr defaultRowHeight="15" outlineLevelRow="1"/>
  <cols>
    <col min="1" max="1" width="6.28515625" style="1922" customWidth="1"/>
    <col min="2" max="2" width="36.42578125" style="1923" customWidth="1"/>
    <col min="3" max="4" width="8.85546875" style="1924" customWidth="1"/>
    <col min="5" max="5" width="17.140625" style="1924" customWidth="1"/>
    <col min="6" max="6" width="18" style="1924" customWidth="1"/>
    <col min="7" max="7" width="15" style="1924" customWidth="1"/>
    <col min="8" max="8" width="11.7109375" style="1924" customWidth="1"/>
    <col min="9" max="9" width="15.5703125" style="1924" customWidth="1"/>
    <col min="10" max="10" width="43.42578125" style="1924" customWidth="1"/>
    <col min="11" max="11" width="32.7109375" style="1924" customWidth="1"/>
    <col min="12" max="12" width="0.140625" style="1914" hidden="1" customWidth="1"/>
    <col min="13" max="13" width="12.85546875" style="1914" customWidth="1"/>
    <col min="14" max="14" width="39.85546875" style="1914" customWidth="1"/>
    <col min="15" max="15" width="12.5703125" style="1914" customWidth="1"/>
    <col min="16" max="16" width="13.5703125" style="1914" customWidth="1"/>
    <col min="17" max="16384" width="9.140625" style="1914"/>
  </cols>
  <sheetData>
    <row r="1" spans="1:15" ht="15.75" customHeight="1">
      <c r="A1" s="3481" t="s">
        <v>3231</v>
      </c>
      <c r="B1" s="3481"/>
      <c r="C1" s="3481"/>
      <c r="D1" s="3481"/>
      <c r="E1" s="3481"/>
      <c r="F1" s="3481"/>
      <c r="G1" s="3481"/>
      <c r="H1" s="3481"/>
      <c r="I1" s="3481"/>
      <c r="J1" s="3481"/>
      <c r="K1" s="3481"/>
    </row>
    <row r="2" spans="1:15">
      <c r="A2" s="3482"/>
      <c r="B2" s="3482"/>
      <c r="C2" s="3482"/>
      <c r="D2" s="3482"/>
      <c r="E2" s="3482"/>
      <c r="F2" s="3482"/>
      <c r="G2" s="3482"/>
      <c r="H2" s="3482"/>
      <c r="I2" s="3482"/>
      <c r="J2" s="3482"/>
      <c r="K2" s="3482"/>
    </row>
    <row r="3" spans="1:15" ht="39.75" customHeight="1">
      <c r="A3" s="3483" t="s">
        <v>1</v>
      </c>
      <c r="B3" s="3484" t="s">
        <v>2</v>
      </c>
      <c r="C3" s="3485" t="s">
        <v>3</v>
      </c>
      <c r="D3" s="3486" t="s">
        <v>4</v>
      </c>
      <c r="E3" s="3486"/>
      <c r="F3" s="3486"/>
      <c r="G3" s="3486"/>
      <c r="H3" s="3486"/>
      <c r="I3" s="3486"/>
      <c r="J3" s="3485" t="s">
        <v>5</v>
      </c>
      <c r="K3" s="3485" t="s">
        <v>6</v>
      </c>
    </row>
    <row r="4" spans="1:15" ht="36.75" customHeight="1">
      <c r="A4" s="3483"/>
      <c r="B4" s="3484"/>
      <c r="C4" s="3485"/>
      <c r="D4" s="1915" t="s">
        <v>7</v>
      </c>
      <c r="E4" s="1915" t="s">
        <v>8</v>
      </c>
      <c r="F4" s="1915" t="s">
        <v>9</v>
      </c>
      <c r="G4" s="1915" t="s">
        <v>10</v>
      </c>
      <c r="H4" s="1915" t="s">
        <v>11</v>
      </c>
      <c r="I4" s="1915" t="s">
        <v>12</v>
      </c>
      <c r="J4" s="3485"/>
      <c r="K4" s="3485"/>
    </row>
    <row r="5" spans="1:15" ht="15" customHeight="1">
      <c r="A5" s="3483"/>
      <c r="B5" s="3484" t="s">
        <v>3230</v>
      </c>
      <c r="C5" s="3485" t="s">
        <v>2989</v>
      </c>
      <c r="D5" s="1915" t="s">
        <v>8</v>
      </c>
      <c r="E5" s="1916">
        <f t="shared" ref="E5:E28" si="0">SUM(F5:I5)</f>
        <v>11447375.396334751</v>
      </c>
      <c r="F5" s="1916">
        <f>SUM(F6:F10)</f>
        <v>10052389.86231</v>
      </c>
      <c r="G5" s="1916">
        <f>SUM(G6:G10)</f>
        <v>1184784.5228500001</v>
      </c>
      <c r="H5" s="1916">
        <f>SUM(H6:H10)</f>
        <v>210201.01117475086</v>
      </c>
      <c r="I5" s="1916">
        <f>SUM(I6:I10)</f>
        <v>0</v>
      </c>
      <c r="J5" s="3485"/>
      <c r="K5" s="3485" t="s">
        <v>3229</v>
      </c>
      <c r="M5" s="1914">
        <f>E11+E17</f>
        <v>11447375.396334751</v>
      </c>
    </row>
    <row r="6" spans="1:15">
      <c r="A6" s="3483"/>
      <c r="B6" s="3484"/>
      <c r="C6" s="3485"/>
      <c r="D6" s="1915">
        <v>2021</v>
      </c>
      <c r="E6" s="1916">
        <f t="shared" si="0"/>
        <v>1613228.6017916503</v>
      </c>
      <c r="F6" s="1916">
        <f>F24+F174+F348+F762</f>
        <v>1267910.29015</v>
      </c>
      <c r="G6" s="1916">
        <f t="shared" ref="F6:I10" si="1">G24+G174+G348+G762</f>
        <v>301879.99800000002</v>
      </c>
      <c r="H6" s="1916">
        <f t="shared" si="1"/>
        <v>43438.313641650384</v>
      </c>
      <c r="I6" s="1916">
        <f t="shared" si="1"/>
        <v>0</v>
      </c>
      <c r="J6" s="3485"/>
      <c r="K6" s="3485"/>
    </row>
    <row r="7" spans="1:15">
      <c r="A7" s="3483"/>
      <c r="B7" s="3484"/>
      <c r="C7" s="3485"/>
      <c r="D7" s="1915">
        <v>2022</v>
      </c>
      <c r="E7" s="1916">
        <f t="shared" si="0"/>
        <v>2883391.4108731011</v>
      </c>
      <c r="F7" s="1916">
        <f>F25+F175+F349+F763</f>
        <v>2558971.7024200005</v>
      </c>
      <c r="G7" s="1916">
        <f t="shared" si="1"/>
        <v>244045.77</v>
      </c>
      <c r="H7" s="1916">
        <f t="shared" si="1"/>
        <v>80373.93845310052</v>
      </c>
      <c r="I7" s="1916">
        <f t="shared" si="1"/>
        <v>0</v>
      </c>
      <c r="J7" s="3485"/>
      <c r="K7" s="3485"/>
    </row>
    <row r="8" spans="1:15">
      <c r="A8" s="3483"/>
      <c r="B8" s="3484"/>
      <c r="C8" s="3485"/>
      <c r="D8" s="1915">
        <v>2023</v>
      </c>
      <c r="E8" s="1916">
        <f t="shared" si="0"/>
        <v>2154380.0654199999</v>
      </c>
      <c r="F8" s="1916">
        <f>F26+F176+F350+F764</f>
        <v>1676033.8114900002</v>
      </c>
      <c r="G8" s="1916">
        <f t="shared" si="1"/>
        <v>436920.95484999998</v>
      </c>
      <c r="H8" s="1916">
        <f t="shared" si="1"/>
        <v>41425.299079999975</v>
      </c>
      <c r="I8" s="1916">
        <f t="shared" si="1"/>
        <v>0</v>
      </c>
      <c r="J8" s="3485"/>
      <c r="K8" s="3485"/>
    </row>
    <row r="9" spans="1:15">
      <c r="A9" s="3483"/>
      <c r="B9" s="3484"/>
      <c r="C9" s="3485"/>
      <c r="D9" s="1915">
        <v>2024</v>
      </c>
      <c r="E9" s="1916">
        <f t="shared" si="0"/>
        <v>2805670.42025</v>
      </c>
      <c r="F9" s="1916">
        <f t="shared" si="1"/>
        <v>2679889.19025</v>
      </c>
      <c r="G9" s="1916">
        <f t="shared" si="1"/>
        <v>97937.8</v>
      </c>
      <c r="H9" s="1916">
        <f t="shared" si="1"/>
        <v>27843.43</v>
      </c>
      <c r="I9" s="1916">
        <f t="shared" si="1"/>
        <v>0</v>
      </c>
      <c r="J9" s="3485"/>
      <c r="K9" s="3485"/>
    </row>
    <row r="10" spans="1:15">
      <c r="A10" s="3483"/>
      <c r="B10" s="3484"/>
      <c r="C10" s="3485"/>
      <c r="D10" s="1915">
        <v>2025</v>
      </c>
      <c r="E10" s="1916">
        <f t="shared" si="0"/>
        <v>1990704.8979999998</v>
      </c>
      <c r="F10" s="1916">
        <f t="shared" si="1"/>
        <v>1869584.8679999998</v>
      </c>
      <c r="G10" s="1916">
        <f t="shared" si="1"/>
        <v>104000</v>
      </c>
      <c r="H10" s="1916">
        <f t="shared" si="1"/>
        <v>17120.03</v>
      </c>
      <c r="I10" s="1916">
        <f t="shared" si="1"/>
        <v>0</v>
      </c>
      <c r="J10" s="3485"/>
      <c r="K10" s="3485"/>
    </row>
    <row r="11" spans="1:15">
      <c r="A11" s="3483"/>
      <c r="B11" s="3484" t="s">
        <v>3228</v>
      </c>
      <c r="C11" s="3485" t="s">
        <v>2989</v>
      </c>
      <c r="D11" s="1915" t="s">
        <v>8</v>
      </c>
      <c r="E11" s="1916">
        <f t="shared" ref="E11:E22" si="2">SUM(F11:I11)</f>
        <v>7214774.7817478431</v>
      </c>
      <c r="F11" s="1916">
        <f>SUM(F12:F16)</f>
        <v>6783287.5325200008</v>
      </c>
      <c r="G11" s="1916">
        <f t="shared" ref="G11:H11" si="3">SUM(G12:G16)</f>
        <v>324977.18385000003</v>
      </c>
      <c r="H11" s="1916">
        <f t="shared" si="3"/>
        <v>106510.06537784266</v>
      </c>
      <c r="I11" s="1916">
        <v>0</v>
      </c>
      <c r="J11" s="3485"/>
      <c r="K11" s="3485" t="s">
        <v>2799</v>
      </c>
    </row>
    <row r="12" spans="1:15">
      <c r="A12" s="3483"/>
      <c r="B12" s="3484"/>
      <c r="C12" s="3485"/>
      <c r="D12" s="1915">
        <v>2021</v>
      </c>
      <c r="E12" s="1916">
        <f t="shared" si="2"/>
        <v>1143437.1402100001</v>
      </c>
      <c r="F12" s="1916">
        <f t="shared" ref="F12:H16" si="4">F6-F18</f>
        <v>1079783.2501300001</v>
      </c>
      <c r="G12" s="1916">
        <f t="shared" si="4"/>
        <v>44391.299000000028</v>
      </c>
      <c r="H12" s="1916">
        <f t="shared" si="4"/>
        <v>19262.591080000006</v>
      </c>
      <c r="I12" s="1916">
        <v>0</v>
      </c>
      <c r="J12" s="3485"/>
      <c r="K12" s="3485"/>
      <c r="M12" s="1914" t="s">
        <v>9</v>
      </c>
      <c r="N12" s="1914" t="s">
        <v>10</v>
      </c>
      <c r="O12" s="1914" t="s">
        <v>11</v>
      </c>
    </row>
    <row r="13" spans="1:15">
      <c r="A13" s="3483"/>
      <c r="B13" s="3484"/>
      <c r="C13" s="3485"/>
      <c r="D13" s="1915">
        <v>2022</v>
      </c>
      <c r="E13" s="1916">
        <f t="shared" si="2"/>
        <v>1725609.8373178432</v>
      </c>
      <c r="F13" s="1916">
        <f t="shared" si="4"/>
        <v>1637815.2563600005</v>
      </c>
      <c r="G13" s="1916">
        <f t="shared" si="4"/>
        <v>66437.87</v>
      </c>
      <c r="H13" s="1916">
        <f t="shared" si="4"/>
        <v>21356.710957842668</v>
      </c>
      <c r="I13" s="1916">
        <v>0</v>
      </c>
      <c r="J13" s="3485"/>
      <c r="K13" s="3485"/>
      <c r="M13" s="1917">
        <f>SUM(F25,F175,F379,F391,F469,F481,F487,F493,F499,F553,F583,F643,F649,F655,F661,F679,F739,F763)</f>
        <v>1637815.2563600005</v>
      </c>
      <c r="N13" s="1914">
        <f>SUM(G25,G175,G379,G391,G469,G481,G487,G493,G499,G553,G583,G643,G649,G655,G661,G679,G739,G763)</f>
        <v>66437.87</v>
      </c>
      <c r="O13" s="1914">
        <f>SUM(H25,H175,H379,H391,H469,H481,H487,H493,H499,H553,H583,H643,H649,H655,H661,H679,H739,H763)</f>
        <v>21356.710957842668</v>
      </c>
    </row>
    <row r="14" spans="1:15">
      <c r="A14" s="3483"/>
      <c r="B14" s="3484"/>
      <c r="C14" s="3485"/>
      <c r="D14" s="1915">
        <v>2023</v>
      </c>
      <c r="E14" s="1916">
        <f t="shared" si="2"/>
        <v>1506558.2592200004</v>
      </c>
      <c r="F14" s="1918">
        <f>F8-F20</f>
        <v>1461119.3410300002</v>
      </c>
      <c r="G14" s="1918">
        <f>G8-G20</f>
        <v>12210.214849999989</v>
      </c>
      <c r="H14" s="1916">
        <f t="shared" si="4"/>
        <v>33228.70334</v>
      </c>
      <c r="I14" s="1916">
        <v>0</v>
      </c>
      <c r="J14" s="3485"/>
      <c r="K14" s="3485"/>
    </row>
    <row r="15" spans="1:15">
      <c r="A15" s="3483"/>
      <c r="B15" s="3484"/>
      <c r="C15" s="3485"/>
      <c r="D15" s="1915">
        <v>2024</v>
      </c>
      <c r="E15" s="1916">
        <f t="shared" si="2"/>
        <v>1409882.4470000002</v>
      </c>
      <c r="F15" s="1916">
        <f t="shared" si="4"/>
        <v>1295613.6170000001</v>
      </c>
      <c r="G15" s="1916">
        <f t="shared" si="4"/>
        <v>97937.8</v>
      </c>
      <c r="H15" s="1916">
        <f t="shared" si="4"/>
        <v>16331.03</v>
      </c>
      <c r="I15" s="1916">
        <v>0</v>
      </c>
      <c r="J15" s="3485"/>
      <c r="K15" s="3485"/>
      <c r="M15" s="1914">
        <f t="shared" ref="M15:O16" si="5">SUM(F27,F177,F381,F393,F471,F483,F489,F495,F501,F555,F585,F645,F651,F657,F663,F681,F741,F765)</f>
        <v>1295613.6170000001</v>
      </c>
      <c r="N15" s="1914">
        <f t="shared" si="5"/>
        <v>97937.8</v>
      </c>
      <c r="O15" s="1914">
        <f t="shared" si="5"/>
        <v>16331.03</v>
      </c>
    </row>
    <row r="16" spans="1:15">
      <c r="A16" s="3483"/>
      <c r="B16" s="3484"/>
      <c r="C16" s="3485"/>
      <c r="D16" s="1915">
        <v>2025</v>
      </c>
      <c r="E16" s="1916">
        <f t="shared" si="2"/>
        <v>1429287.0979999998</v>
      </c>
      <c r="F16" s="1916">
        <f t="shared" si="4"/>
        <v>1308956.0679999997</v>
      </c>
      <c r="G16" s="1916">
        <f t="shared" si="4"/>
        <v>104000</v>
      </c>
      <c r="H16" s="1916">
        <f t="shared" si="4"/>
        <v>16331.029999999999</v>
      </c>
      <c r="I16" s="1916">
        <v>0</v>
      </c>
      <c r="J16" s="3485"/>
      <c r="K16" s="3485"/>
      <c r="M16" s="1914">
        <f t="shared" si="5"/>
        <v>1308956.068</v>
      </c>
      <c r="N16" s="1914">
        <f t="shared" si="5"/>
        <v>104000</v>
      </c>
      <c r="O16" s="1914">
        <f t="shared" si="5"/>
        <v>16331.03</v>
      </c>
    </row>
    <row r="17" spans="1:12">
      <c r="A17" s="3483"/>
      <c r="B17" s="3484" t="s">
        <v>3227</v>
      </c>
      <c r="C17" s="3485" t="s">
        <v>3115</v>
      </c>
      <c r="D17" s="1915" t="s">
        <v>8</v>
      </c>
      <c r="E17" s="1916">
        <f t="shared" si="2"/>
        <v>4232600.6145869074</v>
      </c>
      <c r="F17" s="1916">
        <f>F18+F19+F20+F21+F22</f>
        <v>3269102.3297899999</v>
      </c>
      <c r="G17" s="1916">
        <f t="shared" ref="G17:H17" si="6">G18+G19+G20+G21+G22</f>
        <v>859807.33899999992</v>
      </c>
      <c r="H17" s="1916">
        <f t="shared" si="6"/>
        <v>103690.9457969082</v>
      </c>
      <c r="I17" s="1916">
        <f t="shared" ref="I17" si="7">I18+I19+I20+I21</f>
        <v>0</v>
      </c>
      <c r="J17" s="3485"/>
      <c r="K17" s="3485" t="s">
        <v>2657</v>
      </c>
    </row>
    <row r="18" spans="1:12">
      <c r="A18" s="3483"/>
      <c r="B18" s="3484"/>
      <c r="C18" s="3485"/>
      <c r="D18" s="1915">
        <v>2021</v>
      </c>
      <c r="E18" s="1916">
        <f t="shared" si="2"/>
        <v>469791.46158165036</v>
      </c>
      <c r="F18" s="1916">
        <f t="shared" ref="F18:H22" si="8">F360+F366+F372+F384+F414+F426+F432+F462+F504+F510+F516+F522+F534+F540+F558+F564+F570+F576+F588+F594+F600+F606+F612+F618+F624+F630+F636+F666+F672+F696+F744+F750+F756+F450+F714+F702</f>
        <v>188127.04001999999</v>
      </c>
      <c r="G18" s="1916">
        <f t="shared" si="8"/>
        <v>257488.69899999999</v>
      </c>
      <c r="H18" s="1916">
        <f t="shared" si="8"/>
        <v>24175.722561650378</v>
      </c>
      <c r="I18" s="1916">
        <f t="shared" ref="I18:I22" si="9">I6-I12</f>
        <v>0</v>
      </c>
      <c r="J18" s="3485"/>
      <c r="K18" s="3485"/>
    </row>
    <row r="19" spans="1:12">
      <c r="A19" s="3483"/>
      <c r="B19" s="3484"/>
      <c r="C19" s="3485"/>
      <c r="D19" s="1915">
        <v>2022</v>
      </c>
      <c r="E19" s="1916">
        <f t="shared" si="2"/>
        <v>1157781.5735552579</v>
      </c>
      <c r="F19" s="1916">
        <f t="shared" si="8"/>
        <v>921156.4460600001</v>
      </c>
      <c r="G19" s="1916">
        <f t="shared" si="8"/>
        <v>177607.9</v>
      </c>
      <c r="H19" s="1916">
        <f t="shared" si="8"/>
        <v>59017.227495257852</v>
      </c>
      <c r="I19" s="1916">
        <f t="shared" si="9"/>
        <v>0</v>
      </c>
      <c r="J19" s="3485"/>
      <c r="K19" s="3485"/>
    </row>
    <row r="20" spans="1:12">
      <c r="A20" s="3483"/>
      <c r="B20" s="3484"/>
      <c r="C20" s="3485"/>
      <c r="D20" s="1915">
        <v>2023</v>
      </c>
      <c r="E20" s="1916">
        <f>SUM(F20:I20)</f>
        <v>647821.80619999999</v>
      </c>
      <c r="F20" s="1916">
        <f>F362+F368+F374+F386+F416+F428+F434+F464+F506+F512+F518+F524+F536+F542+F560+F566+F572+F578+F590+F596+F602+F608+F614+F620+F626+F632+F638+F668+F674+F698+F746+F752+F758+F452+F716+F704</f>
        <v>214914.47045999998</v>
      </c>
      <c r="G20" s="1916">
        <f>G362+G368+G374+G386+G416+G428+G434+G464+G506+G512+G518+G524+G536+G542+G560+G566+G572+G578+G590+G596+G602+G608+G614+G620+G626+G632+G638+G668+G674+G698+G746+G752+G758+G452+G716+G704+G710</f>
        <v>424710.74</v>
      </c>
      <c r="H20" s="1916">
        <f t="shared" si="8"/>
        <v>8196.5957399999752</v>
      </c>
      <c r="I20" s="1916">
        <f t="shared" ref="I20" si="10">I362+I368+I374+I386+I416+I428+I434+I464+I506+I512+I518+I524+I536+I542+I554+I560+I566+I572+I578+I590+I596+I602+I608+I614+I620+I626+I632+I638+I668+I674+I698+I746+I752+I758+I452+I716</f>
        <v>0</v>
      </c>
      <c r="J20" s="3485"/>
      <c r="K20" s="3485"/>
    </row>
    <row r="21" spans="1:12">
      <c r="A21" s="3483"/>
      <c r="B21" s="3484"/>
      <c r="C21" s="3485"/>
      <c r="D21" s="1915">
        <v>2024</v>
      </c>
      <c r="E21" s="1916">
        <f t="shared" si="2"/>
        <v>1395787.9732499998</v>
      </c>
      <c r="F21" s="1916">
        <f>F363+F369+F375+F387+F417+F429+F435+F465+F507+F513+F519+F525+F537+F543+F561+F567+F573+F579+F591+F597+F603+F609+F615+F621+F627+F633+F639+F669+F675+F747+F753+F759+F453+F717+F693</f>
        <v>1384275.5732499999</v>
      </c>
      <c r="G21" s="1916">
        <f t="shared" si="8"/>
        <v>0</v>
      </c>
      <c r="H21" s="1916">
        <f t="shared" si="8"/>
        <v>11512.4</v>
      </c>
      <c r="I21" s="1916">
        <f t="shared" ref="I21" si="11">I363+I369+I375+I387+I417+I429+I435+I465+I507+I513+I519+I525+I537+I543+I555+I561+I567+I573+I579+I591+I597+I603+I609+I615+I621+I627+I633+I639+I669+I675+I699+I747+I753+I759+I453+I717+I718</f>
        <v>0</v>
      </c>
      <c r="J21" s="3485"/>
      <c r="K21" s="3485"/>
    </row>
    <row r="22" spans="1:12">
      <c r="A22" s="3483"/>
      <c r="B22" s="3484"/>
      <c r="C22" s="3485"/>
      <c r="D22" s="1915">
        <v>2025</v>
      </c>
      <c r="E22" s="1916">
        <f t="shared" si="2"/>
        <v>561417.80000000005</v>
      </c>
      <c r="F22" s="1916">
        <f>F364+F370+F376+F388+F418+F430+F436+F466+F508+F514+F520+F526+F538+F544+F562+F568+F574+F580+F592+F598+F604+F610+F616+F622+F628+F634+F640+F670+F676+F748+F754+F760+F454+F718+F694</f>
        <v>560628.80000000005</v>
      </c>
      <c r="G22" s="1916">
        <f t="shared" si="8"/>
        <v>0</v>
      </c>
      <c r="H22" s="1916">
        <f t="shared" si="8"/>
        <v>789</v>
      </c>
      <c r="I22" s="1916">
        <f t="shared" si="9"/>
        <v>0</v>
      </c>
      <c r="J22" s="3485"/>
      <c r="K22" s="3485"/>
    </row>
    <row r="23" spans="1:12" ht="15" customHeight="1">
      <c r="A23" s="3483" t="s">
        <v>687</v>
      </c>
      <c r="B23" s="3484" t="s">
        <v>2910</v>
      </c>
      <c r="C23" s="3485" t="s">
        <v>2989</v>
      </c>
      <c r="D23" s="1915" t="s">
        <v>8</v>
      </c>
      <c r="E23" s="1916">
        <f t="shared" si="0"/>
        <v>1140882.7094399999</v>
      </c>
      <c r="F23" s="1916">
        <f>SUM(F24:F28)</f>
        <v>1104713.6106199999</v>
      </c>
      <c r="G23" s="1916">
        <f>SUM(G24:G28)</f>
        <v>23683.307479999996</v>
      </c>
      <c r="H23" s="1916">
        <f>SUM(H24:H28)</f>
        <v>12485.79134</v>
      </c>
      <c r="I23" s="1916">
        <f>SUM(I24:I28)</f>
        <v>0</v>
      </c>
      <c r="J23" s="3485"/>
      <c r="K23" s="3485" t="s">
        <v>3066</v>
      </c>
      <c r="L23" s="3487" t="s">
        <v>3226</v>
      </c>
    </row>
    <row r="24" spans="1:12">
      <c r="A24" s="3483"/>
      <c r="B24" s="3484"/>
      <c r="C24" s="3485"/>
      <c r="D24" s="1915">
        <v>2021</v>
      </c>
      <c r="E24" s="1916">
        <f t="shared" si="0"/>
        <v>138607.88275000002</v>
      </c>
      <c r="F24" s="1916">
        <f t="shared" ref="F24:I28" si="12">F30+F48+F144</f>
        <v>118407.68375000001</v>
      </c>
      <c r="G24" s="1916">
        <f t="shared" si="12"/>
        <v>20200.198999999997</v>
      </c>
      <c r="H24" s="1916">
        <f t="shared" si="12"/>
        <v>0</v>
      </c>
      <c r="I24" s="1916">
        <f t="shared" si="12"/>
        <v>0</v>
      </c>
      <c r="J24" s="3485"/>
      <c r="K24" s="3485"/>
      <c r="L24" s="3487"/>
    </row>
    <row r="25" spans="1:12">
      <c r="A25" s="3483"/>
      <c r="B25" s="3484"/>
      <c r="C25" s="3485"/>
      <c r="D25" s="1915">
        <v>2022</v>
      </c>
      <c r="E25" s="1916">
        <f t="shared" si="0"/>
        <v>284204.41166000004</v>
      </c>
      <c r="F25" s="1916">
        <f t="shared" si="12"/>
        <v>281836.93466000003</v>
      </c>
      <c r="G25" s="1916">
        <f t="shared" si="12"/>
        <v>2367.4769999999999</v>
      </c>
      <c r="H25" s="1916">
        <f t="shared" si="12"/>
        <v>0</v>
      </c>
      <c r="I25" s="1916">
        <f t="shared" si="12"/>
        <v>0</v>
      </c>
      <c r="J25" s="3485"/>
      <c r="K25" s="3485"/>
      <c r="L25" s="3487"/>
    </row>
    <row r="26" spans="1:12">
      <c r="A26" s="3483"/>
      <c r="B26" s="3484"/>
      <c r="C26" s="3485"/>
      <c r="D26" s="1915">
        <v>2023</v>
      </c>
      <c r="E26" s="1916">
        <f t="shared" si="0"/>
        <v>296877.74302999995</v>
      </c>
      <c r="F26" s="1916">
        <f>F32+F50+F146</f>
        <v>283276.32020999998</v>
      </c>
      <c r="G26" s="1916">
        <f t="shared" si="12"/>
        <v>1115.63148</v>
      </c>
      <c r="H26" s="1916">
        <f t="shared" si="12"/>
        <v>12485.79134</v>
      </c>
      <c r="I26" s="1916">
        <f t="shared" si="12"/>
        <v>0</v>
      </c>
      <c r="J26" s="3485"/>
      <c r="K26" s="3485"/>
      <c r="L26" s="3487"/>
    </row>
    <row r="27" spans="1:12">
      <c r="A27" s="3483"/>
      <c r="B27" s="3484"/>
      <c r="C27" s="3485"/>
      <c r="D27" s="1915">
        <v>2024</v>
      </c>
      <c r="E27" s="1916">
        <f t="shared" si="0"/>
        <v>210596.33600000001</v>
      </c>
      <c r="F27" s="1916">
        <f t="shared" si="12"/>
        <v>210596.33600000001</v>
      </c>
      <c r="G27" s="1916">
        <f t="shared" si="12"/>
        <v>0</v>
      </c>
      <c r="H27" s="1916">
        <f t="shared" si="12"/>
        <v>0</v>
      </c>
      <c r="I27" s="1916">
        <f t="shared" si="12"/>
        <v>0</v>
      </c>
      <c r="J27" s="3485"/>
      <c r="K27" s="3485"/>
      <c r="L27" s="3487"/>
    </row>
    <row r="28" spans="1:12">
      <c r="A28" s="3483"/>
      <c r="B28" s="3484"/>
      <c r="C28" s="3485"/>
      <c r="D28" s="1915">
        <v>2025</v>
      </c>
      <c r="E28" s="1916">
        <f t="shared" si="0"/>
        <v>210596.33600000001</v>
      </c>
      <c r="F28" s="1916">
        <f t="shared" si="12"/>
        <v>210596.33600000001</v>
      </c>
      <c r="G28" s="1916">
        <f t="shared" si="12"/>
        <v>0</v>
      </c>
      <c r="H28" s="1916">
        <f t="shared" si="12"/>
        <v>0</v>
      </c>
      <c r="I28" s="1916">
        <f t="shared" si="12"/>
        <v>0</v>
      </c>
      <c r="J28" s="3485"/>
      <c r="K28" s="3485"/>
      <c r="L28" s="3487"/>
    </row>
    <row r="29" spans="1:12">
      <c r="A29" s="3483" t="s">
        <v>3225</v>
      </c>
      <c r="B29" s="3484" t="s">
        <v>2893</v>
      </c>
      <c r="C29" s="3485" t="s">
        <v>2989</v>
      </c>
      <c r="D29" s="1915" t="s">
        <v>8</v>
      </c>
      <c r="E29" s="1916">
        <f t="shared" ref="E29:E40" si="13">SUM(F29:I29)</f>
        <v>3054.4259999999999</v>
      </c>
      <c r="F29" s="1916">
        <f>SUM(F30:F34)</f>
        <v>3054.4259999999999</v>
      </c>
      <c r="G29" s="1916">
        <f>SUM(G30:G34)</f>
        <v>0</v>
      </c>
      <c r="H29" s="1916">
        <f>SUM(H30:H34)</f>
        <v>0</v>
      </c>
      <c r="I29" s="1916">
        <f>SUM(I30:I34)</f>
        <v>0</v>
      </c>
      <c r="J29" s="3485" t="s">
        <v>3224</v>
      </c>
      <c r="K29" s="3485" t="s">
        <v>3223</v>
      </c>
      <c r="L29" s="3487"/>
    </row>
    <row r="30" spans="1:12">
      <c r="A30" s="3483"/>
      <c r="B30" s="3484"/>
      <c r="C30" s="3485"/>
      <c r="D30" s="1915">
        <v>2021</v>
      </c>
      <c r="E30" s="1916">
        <f t="shared" si="13"/>
        <v>3054.4259999999999</v>
      </c>
      <c r="F30" s="1916">
        <f t="shared" ref="F30:I34" si="14">F36+F42</f>
        <v>3054.4259999999999</v>
      </c>
      <c r="G30" s="1916">
        <f t="shared" si="14"/>
        <v>0</v>
      </c>
      <c r="H30" s="1916">
        <f t="shared" si="14"/>
        <v>0</v>
      </c>
      <c r="I30" s="1916">
        <f t="shared" si="14"/>
        <v>0</v>
      </c>
      <c r="J30" s="3485"/>
      <c r="K30" s="3485"/>
      <c r="L30" s="3487"/>
    </row>
    <row r="31" spans="1:12">
      <c r="A31" s="3483"/>
      <c r="B31" s="3484"/>
      <c r="C31" s="3485"/>
      <c r="D31" s="1915">
        <v>2022</v>
      </c>
      <c r="E31" s="1916">
        <f t="shared" si="13"/>
        <v>0</v>
      </c>
      <c r="F31" s="1916">
        <f t="shared" si="14"/>
        <v>0</v>
      </c>
      <c r="G31" s="1916">
        <f t="shared" si="14"/>
        <v>0</v>
      </c>
      <c r="H31" s="1916">
        <f t="shared" si="14"/>
        <v>0</v>
      </c>
      <c r="I31" s="1916">
        <f t="shared" si="14"/>
        <v>0</v>
      </c>
      <c r="J31" s="3485"/>
      <c r="K31" s="3485"/>
      <c r="L31" s="3487"/>
    </row>
    <row r="32" spans="1:12">
      <c r="A32" s="3483"/>
      <c r="B32" s="3484"/>
      <c r="C32" s="3485"/>
      <c r="D32" s="1915">
        <v>2023</v>
      </c>
      <c r="E32" s="1916">
        <f t="shared" si="13"/>
        <v>0</v>
      </c>
      <c r="F32" s="1916">
        <f t="shared" si="14"/>
        <v>0</v>
      </c>
      <c r="G32" s="1916">
        <f t="shared" si="14"/>
        <v>0</v>
      </c>
      <c r="H32" s="1916">
        <f t="shared" si="14"/>
        <v>0</v>
      </c>
      <c r="I32" s="1916">
        <f t="shared" si="14"/>
        <v>0</v>
      </c>
      <c r="J32" s="3485"/>
      <c r="K32" s="3485"/>
      <c r="L32" s="3487"/>
    </row>
    <row r="33" spans="1:12">
      <c r="A33" s="3483"/>
      <c r="B33" s="3484"/>
      <c r="C33" s="3485"/>
      <c r="D33" s="1915">
        <v>2024</v>
      </c>
      <c r="E33" s="1916">
        <f t="shared" si="13"/>
        <v>0</v>
      </c>
      <c r="F33" s="1916">
        <f t="shared" si="14"/>
        <v>0</v>
      </c>
      <c r="G33" s="1916">
        <f t="shared" si="14"/>
        <v>0</v>
      </c>
      <c r="H33" s="1916">
        <f t="shared" si="14"/>
        <v>0</v>
      </c>
      <c r="I33" s="1916">
        <f t="shared" si="14"/>
        <v>0</v>
      </c>
      <c r="J33" s="3485"/>
      <c r="K33" s="3485"/>
      <c r="L33" s="3487"/>
    </row>
    <row r="34" spans="1:12">
      <c r="A34" s="3483"/>
      <c r="B34" s="3484"/>
      <c r="C34" s="3485"/>
      <c r="D34" s="1915">
        <v>2025</v>
      </c>
      <c r="E34" s="1916">
        <f t="shared" si="13"/>
        <v>0</v>
      </c>
      <c r="F34" s="1916">
        <f t="shared" si="14"/>
        <v>0</v>
      </c>
      <c r="G34" s="1916">
        <f t="shared" si="14"/>
        <v>0</v>
      </c>
      <c r="H34" s="1916">
        <f t="shared" si="14"/>
        <v>0</v>
      </c>
      <c r="I34" s="1916">
        <f t="shared" si="14"/>
        <v>0</v>
      </c>
      <c r="J34" s="3485"/>
      <c r="K34" s="3485"/>
      <c r="L34" s="3487"/>
    </row>
    <row r="35" spans="1:12">
      <c r="A35" s="3483" t="s">
        <v>3222</v>
      </c>
      <c r="B35" s="3484" t="s">
        <v>654</v>
      </c>
      <c r="C35" s="3485" t="s">
        <v>3220</v>
      </c>
      <c r="D35" s="1915" t="s">
        <v>8</v>
      </c>
      <c r="E35" s="1916">
        <f t="shared" si="13"/>
        <v>0</v>
      </c>
      <c r="F35" s="1916">
        <f>SUM(F36:F40)</f>
        <v>0</v>
      </c>
      <c r="G35" s="1916">
        <f>SUM(G36:G40)</f>
        <v>0</v>
      </c>
      <c r="H35" s="1916">
        <f>SUM(H36:H40)</f>
        <v>0</v>
      </c>
      <c r="I35" s="1916">
        <f>SUM(I36:I40)</f>
        <v>0</v>
      </c>
      <c r="J35" s="3485" t="s">
        <v>3221</v>
      </c>
      <c r="K35" s="3485" t="s">
        <v>3066</v>
      </c>
    </row>
    <row r="36" spans="1:12">
      <c r="A36" s="3483"/>
      <c r="B36" s="3484"/>
      <c r="C36" s="3485"/>
      <c r="D36" s="1915">
        <v>2021</v>
      </c>
      <c r="E36" s="1916">
        <f t="shared" si="13"/>
        <v>0</v>
      </c>
      <c r="F36" s="1916">
        <v>0</v>
      </c>
      <c r="G36" s="1916">
        <v>0</v>
      </c>
      <c r="H36" s="1916">
        <v>0</v>
      </c>
      <c r="I36" s="1916">
        <v>0</v>
      </c>
      <c r="J36" s="3485"/>
      <c r="K36" s="3485"/>
    </row>
    <row r="37" spans="1:12">
      <c r="A37" s="3483"/>
      <c r="B37" s="3484"/>
      <c r="C37" s="3485"/>
      <c r="D37" s="1915">
        <v>2022</v>
      </c>
      <c r="E37" s="1916">
        <f t="shared" si="13"/>
        <v>0</v>
      </c>
      <c r="F37" s="1916">
        <v>0</v>
      </c>
      <c r="G37" s="1916">
        <v>0</v>
      </c>
      <c r="H37" s="1916">
        <v>0</v>
      </c>
      <c r="I37" s="1916">
        <v>0</v>
      </c>
      <c r="J37" s="3485"/>
      <c r="K37" s="3485"/>
    </row>
    <row r="38" spans="1:12">
      <c r="A38" s="3483"/>
      <c r="B38" s="3484"/>
      <c r="C38" s="3485"/>
      <c r="D38" s="1915">
        <v>2023</v>
      </c>
      <c r="E38" s="1916">
        <f t="shared" si="13"/>
        <v>0</v>
      </c>
      <c r="F38" s="1916">
        <v>0</v>
      </c>
      <c r="G38" s="1916">
        <v>0</v>
      </c>
      <c r="H38" s="1916">
        <v>0</v>
      </c>
      <c r="I38" s="1916">
        <v>0</v>
      </c>
      <c r="J38" s="3485"/>
      <c r="K38" s="3485"/>
    </row>
    <row r="39" spans="1:12">
      <c r="A39" s="3483"/>
      <c r="B39" s="3484"/>
      <c r="C39" s="3485"/>
      <c r="D39" s="1915">
        <v>2024</v>
      </c>
      <c r="E39" s="1916">
        <f t="shared" si="13"/>
        <v>0</v>
      </c>
      <c r="F39" s="1916">
        <v>0</v>
      </c>
      <c r="G39" s="1916">
        <v>0</v>
      </c>
      <c r="H39" s="1916">
        <v>0</v>
      </c>
      <c r="I39" s="1916">
        <v>0</v>
      </c>
      <c r="J39" s="3485"/>
      <c r="K39" s="3485"/>
    </row>
    <row r="40" spans="1:12">
      <c r="A40" s="3483"/>
      <c r="B40" s="3484"/>
      <c r="C40" s="3485"/>
      <c r="D40" s="1915">
        <v>2025</v>
      </c>
      <c r="E40" s="1916">
        <f t="shared" si="13"/>
        <v>0</v>
      </c>
      <c r="F40" s="1916">
        <v>0</v>
      </c>
      <c r="G40" s="1916">
        <v>0</v>
      </c>
      <c r="H40" s="1916">
        <v>0</v>
      </c>
      <c r="I40" s="1916">
        <v>0</v>
      </c>
      <c r="J40" s="3485"/>
      <c r="K40" s="3485"/>
    </row>
    <row r="41" spans="1:12">
      <c r="A41" s="3483" t="s">
        <v>468</v>
      </c>
      <c r="B41" s="3484" t="s">
        <v>2901</v>
      </c>
      <c r="C41" s="3485" t="s">
        <v>3220</v>
      </c>
      <c r="D41" s="1915" t="s">
        <v>8</v>
      </c>
      <c r="E41" s="1916">
        <f>SUM(E42:E46)</f>
        <v>3054.4259999999999</v>
      </c>
      <c r="F41" s="1916">
        <f>SUM(F42:F46)</f>
        <v>3054.4259999999999</v>
      </c>
      <c r="G41" s="1916">
        <f>SUM(G42:G46)</f>
        <v>0</v>
      </c>
      <c r="H41" s="1916">
        <f>SUM(H42:H46)</f>
        <v>0</v>
      </c>
      <c r="I41" s="1916">
        <f>SUM(I42:I46)</f>
        <v>0</v>
      </c>
      <c r="J41" s="3485" t="s">
        <v>3219</v>
      </c>
      <c r="K41" s="3485" t="s">
        <v>3218</v>
      </c>
      <c r="L41" s="3487"/>
    </row>
    <row r="42" spans="1:12">
      <c r="A42" s="3483"/>
      <c r="B42" s="3484"/>
      <c r="C42" s="3485"/>
      <c r="D42" s="1915">
        <v>2021</v>
      </c>
      <c r="E42" s="1916">
        <f t="shared" ref="E42:E105" si="15">SUM(F42:I42)</f>
        <v>3054.4259999999999</v>
      </c>
      <c r="F42" s="1916">
        <v>3054.4259999999999</v>
      </c>
      <c r="G42" s="1916">
        <v>0</v>
      </c>
      <c r="H42" s="1916">
        <v>0</v>
      </c>
      <c r="I42" s="1916">
        <v>0</v>
      </c>
      <c r="J42" s="3485"/>
      <c r="K42" s="3485"/>
      <c r="L42" s="3487"/>
    </row>
    <row r="43" spans="1:12">
      <c r="A43" s="3483"/>
      <c r="B43" s="3484"/>
      <c r="C43" s="3485"/>
      <c r="D43" s="1915">
        <v>2022</v>
      </c>
      <c r="E43" s="1916">
        <f t="shared" si="15"/>
        <v>0</v>
      </c>
      <c r="F43" s="1916">
        <v>0</v>
      </c>
      <c r="G43" s="1916">
        <v>0</v>
      </c>
      <c r="H43" s="1916">
        <v>0</v>
      </c>
      <c r="I43" s="1916">
        <v>0</v>
      </c>
      <c r="J43" s="3485"/>
      <c r="K43" s="3485"/>
      <c r="L43" s="3487"/>
    </row>
    <row r="44" spans="1:12">
      <c r="A44" s="3483"/>
      <c r="B44" s="3484"/>
      <c r="C44" s="3485"/>
      <c r="D44" s="1915">
        <v>2023</v>
      </c>
      <c r="E44" s="1916">
        <f t="shared" si="15"/>
        <v>0</v>
      </c>
      <c r="F44" s="1916">
        <v>0</v>
      </c>
      <c r="G44" s="1916">
        <v>0</v>
      </c>
      <c r="H44" s="1916">
        <v>0</v>
      </c>
      <c r="I44" s="1916">
        <v>0</v>
      </c>
      <c r="J44" s="3485"/>
      <c r="K44" s="3485"/>
      <c r="L44" s="3487"/>
    </row>
    <row r="45" spans="1:12">
      <c r="A45" s="3483"/>
      <c r="B45" s="3484"/>
      <c r="C45" s="3485"/>
      <c r="D45" s="1915">
        <v>2024</v>
      </c>
      <c r="E45" s="1916">
        <f t="shared" si="15"/>
        <v>0</v>
      </c>
      <c r="F45" s="1916">
        <v>0</v>
      </c>
      <c r="G45" s="1916">
        <v>0</v>
      </c>
      <c r="H45" s="1916">
        <v>0</v>
      </c>
      <c r="I45" s="1916">
        <v>0</v>
      </c>
      <c r="J45" s="3485"/>
      <c r="K45" s="3485"/>
      <c r="L45" s="3487"/>
    </row>
    <row r="46" spans="1:12">
      <c r="A46" s="3483"/>
      <c r="B46" s="3484"/>
      <c r="C46" s="3485"/>
      <c r="D46" s="1915">
        <v>2025</v>
      </c>
      <c r="E46" s="1916">
        <f t="shared" si="15"/>
        <v>0</v>
      </c>
      <c r="F46" s="1916">
        <v>0</v>
      </c>
      <c r="G46" s="1916">
        <v>0</v>
      </c>
      <c r="H46" s="1916">
        <v>0</v>
      </c>
      <c r="I46" s="1916">
        <v>0</v>
      </c>
      <c r="J46" s="3485"/>
      <c r="K46" s="3485"/>
      <c r="L46" s="3487"/>
    </row>
    <row r="47" spans="1:12" ht="27.75" customHeight="1">
      <c r="A47" s="3483" t="s">
        <v>3217</v>
      </c>
      <c r="B47" s="3484" t="s">
        <v>3216</v>
      </c>
      <c r="C47" s="3485" t="s">
        <v>2989</v>
      </c>
      <c r="D47" s="1915" t="s">
        <v>8</v>
      </c>
      <c r="E47" s="1916">
        <f t="shared" si="15"/>
        <v>1076273.99869</v>
      </c>
      <c r="F47" s="1916">
        <f>SUM(F48:F52)</f>
        <v>1063788.20735</v>
      </c>
      <c r="G47" s="1916">
        <f>SUM(G48:G52)</f>
        <v>0</v>
      </c>
      <c r="H47" s="1916">
        <f>SUM(H48:H52)</f>
        <v>12485.79134</v>
      </c>
      <c r="I47" s="1916">
        <f>SUM(I48:I52)</f>
        <v>0</v>
      </c>
      <c r="J47" s="3485" t="s">
        <v>3215</v>
      </c>
      <c r="K47" s="3485" t="s">
        <v>3066</v>
      </c>
    </row>
    <row r="48" spans="1:12" ht="27.75" customHeight="1">
      <c r="A48" s="3483"/>
      <c r="B48" s="3484"/>
      <c r="C48" s="3485"/>
      <c r="D48" s="1915">
        <v>2021</v>
      </c>
      <c r="E48" s="1916">
        <f t="shared" si="15"/>
        <v>108436.894</v>
      </c>
      <c r="F48" s="1916">
        <f t="shared" ref="F48:F49" si="16">SUM(F54+F60+F66+F72+F78+F84+F90+F102+F108+F114+F132)</f>
        <v>108436.894</v>
      </c>
      <c r="G48" s="1916">
        <f t="shared" ref="G48:I52" si="17">SUM(G54+G60+G66+G72+G78+G84+G90+G102+G108+G114)</f>
        <v>0</v>
      </c>
      <c r="H48" s="1916">
        <f t="shared" si="17"/>
        <v>0</v>
      </c>
      <c r="I48" s="1916">
        <f t="shared" si="17"/>
        <v>0</v>
      </c>
      <c r="J48" s="3485"/>
      <c r="K48" s="3485"/>
    </row>
    <row r="49" spans="1:11" ht="27.75" customHeight="1">
      <c r="A49" s="3483"/>
      <c r="B49" s="3484"/>
      <c r="C49" s="3485"/>
      <c r="D49" s="1915">
        <v>2022</v>
      </c>
      <c r="E49" s="1916">
        <f t="shared" si="15"/>
        <v>274226.68966000003</v>
      </c>
      <c r="F49" s="1916">
        <f t="shared" si="16"/>
        <v>274226.68966000003</v>
      </c>
      <c r="G49" s="1916">
        <f t="shared" si="17"/>
        <v>0</v>
      </c>
      <c r="H49" s="1916">
        <f t="shared" si="17"/>
        <v>0</v>
      </c>
      <c r="I49" s="1916">
        <f t="shared" si="17"/>
        <v>0</v>
      </c>
      <c r="J49" s="3485"/>
      <c r="K49" s="3485"/>
    </row>
    <row r="50" spans="1:11" ht="27.75" customHeight="1">
      <c r="A50" s="3483"/>
      <c r="B50" s="3484"/>
      <c r="C50" s="3485"/>
      <c r="D50" s="1915">
        <v>2023</v>
      </c>
      <c r="E50" s="1916">
        <f t="shared" si="15"/>
        <v>286735.94302999997</v>
      </c>
      <c r="F50" s="1916">
        <f>SUM(F56+F62+F68+F74+F80+F86+F92+F104+F110+F116+F134+F122+F128+F140)</f>
        <v>274250.15168999997</v>
      </c>
      <c r="G50" s="1916">
        <f>SUM(G56+G62+G68+G74+G80+G86+G92+G104+G110+G116+G134+G122+G128)</f>
        <v>0</v>
      </c>
      <c r="H50" s="1916">
        <f>SUM(H56+H62+H68+H74+H80+H86+H92+H104+H110+H116+H134+H122+H128)</f>
        <v>12485.79134</v>
      </c>
      <c r="I50" s="1916">
        <f t="shared" si="17"/>
        <v>0</v>
      </c>
      <c r="J50" s="3485"/>
      <c r="K50" s="3485"/>
    </row>
    <row r="51" spans="1:11" ht="27.75" customHeight="1">
      <c r="A51" s="3483"/>
      <c r="B51" s="3484"/>
      <c r="C51" s="3485"/>
      <c r="D51" s="1915">
        <v>2024</v>
      </c>
      <c r="E51" s="1916">
        <f t="shared" si="15"/>
        <v>203437.236</v>
      </c>
      <c r="F51" s="1916">
        <f t="shared" ref="F51:F52" si="18">SUM(F57+F63+F69+F75+F81+F87+F93+F105+F111+F117+F135+F123+F129)</f>
        <v>203437.236</v>
      </c>
      <c r="G51" s="1916">
        <f t="shared" si="17"/>
        <v>0</v>
      </c>
      <c r="H51" s="1916">
        <f t="shared" si="17"/>
        <v>0</v>
      </c>
      <c r="I51" s="1916">
        <f t="shared" si="17"/>
        <v>0</v>
      </c>
      <c r="J51" s="3485"/>
      <c r="K51" s="3485"/>
    </row>
    <row r="52" spans="1:11" ht="27.75" customHeight="1">
      <c r="A52" s="3483"/>
      <c r="B52" s="3484"/>
      <c r="C52" s="3485"/>
      <c r="D52" s="1915">
        <v>2025</v>
      </c>
      <c r="E52" s="1916">
        <f t="shared" si="15"/>
        <v>203437.236</v>
      </c>
      <c r="F52" s="1916">
        <f t="shared" si="18"/>
        <v>203437.236</v>
      </c>
      <c r="G52" s="1916">
        <f t="shared" si="17"/>
        <v>0</v>
      </c>
      <c r="H52" s="1916">
        <f t="shared" si="17"/>
        <v>0</v>
      </c>
      <c r="I52" s="1916">
        <f t="shared" si="17"/>
        <v>0</v>
      </c>
      <c r="J52" s="3485"/>
      <c r="K52" s="3485"/>
    </row>
    <row r="53" spans="1:11" ht="15" customHeight="1">
      <c r="A53" s="3483" t="s">
        <v>3214</v>
      </c>
      <c r="B53" s="3484" t="s">
        <v>3213</v>
      </c>
      <c r="C53" s="3485" t="s">
        <v>2989</v>
      </c>
      <c r="D53" s="1915" t="s">
        <v>8</v>
      </c>
      <c r="E53" s="1916">
        <f t="shared" si="15"/>
        <v>209200</v>
      </c>
      <c r="F53" s="1916">
        <f>SUM(F54:F58)</f>
        <v>209200</v>
      </c>
      <c r="G53" s="1916">
        <f>SUM(G54:G58)</f>
        <v>0</v>
      </c>
      <c r="H53" s="1916">
        <f>SUM(H54:H58)</f>
        <v>0</v>
      </c>
      <c r="I53" s="1916">
        <f>SUM(I54:I58)</f>
        <v>0</v>
      </c>
      <c r="J53" s="3485" t="s">
        <v>3212</v>
      </c>
      <c r="K53" s="3485" t="s">
        <v>2799</v>
      </c>
    </row>
    <row r="54" spans="1:11">
      <c r="A54" s="3483"/>
      <c r="B54" s="3484"/>
      <c r="C54" s="3485"/>
      <c r="D54" s="1915">
        <v>2021</v>
      </c>
      <c r="E54" s="1916">
        <f t="shared" si="15"/>
        <v>43000</v>
      </c>
      <c r="F54" s="1916">
        <v>43000</v>
      </c>
      <c r="G54" s="1916">
        <v>0</v>
      </c>
      <c r="H54" s="1916">
        <v>0</v>
      </c>
      <c r="I54" s="1916">
        <v>0</v>
      </c>
      <c r="J54" s="3485"/>
      <c r="K54" s="3485"/>
    </row>
    <row r="55" spans="1:11">
      <c r="A55" s="3483"/>
      <c r="B55" s="3484"/>
      <c r="C55" s="3485"/>
      <c r="D55" s="1915">
        <v>2022</v>
      </c>
      <c r="E55" s="1916">
        <f t="shared" si="15"/>
        <v>45000</v>
      </c>
      <c r="F55" s="1916">
        <v>45000</v>
      </c>
      <c r="G55" s="1916">
        <v>0</v>
      </c>
      <c r="H55" s="1916">
        <v>0</v>
      </c>
      <c r="I55" s="1916">
        <v>0</v>
      </c>
      <c r="J55" s="3485"/>
      <c r="K55" s="3485"/>
    </row>
    <row r="56" spans="1:11">
      <c r="A56" s="3483"/>
      <c r="B56" s="3484"/>
      <c r="C56" s="3485"/>
      <c r="D56" s="1915">
        <v>2023</v>
      </c>
      <c r="E56" s="1916">
        <f t="shared" si="15"/>
        <v>61200</v>
      </c>
      <c r="F56" s="1919">
        <f>30000+10000+9000+12200</f>
        <v>61200</v>
      </c>
      <c r="G56" s="1916">
        <v>0</v>
      </c>
      <c r="H56" s="1916">
        <v>0</v>
      </c>
      <c r="I56" s="1916">
        <v>0</v>
      </c>
      <c r="J56" s="3485"/>
      <c r="K56" s="3485"/>
    </row>
    <row r="57" spans="1:11">
      <c r="A57" s="3483"/>
      <c r="B57" s="3484"/>
      <c r="C57" s="3485"/>
      <c r="D57" s="1915">
        <v>2024</v>
      </c>
      <c r="E57" s="1916">
        <f t="shared" si="15"/>
        <v>30000</v>
      </c>
      <c r="F57" s="1916">
        <v>30000</v>
      </c>
      <c r="G57" s="1916">
        <v>0</v>
      </c>
      <c r="H57" s="1916">
        <v>0</v>
      </c>
      <c r="I57" s="1916">
        <v>0</v>
      </c>
      <c r="J57" s="3485"/>
      <c r="K57" s="3485"/>
    </row>
    <row r="58" spans="1:11">
      <c r="A58" s="3483"/>
      <c r="B58" s="3484"/>
      <c r="C58" s="3485"/>
      <c r="D58" s="1915">
        <v>2025</v>
      </c>
      <c r="E58" s="1916">
        <f t="shared" si="15"/>
        <v>30000</v>
      </c>
      <c r="F58" s="1916">
        <v>30000</v>
      </c>
      <c r="G58" s="1916">
        <v>0</v>
      </c>
      <c r="H58" s="1916">
        <v>0</v>
      </c>
      <c r="I58" s="1916">
        <v>0</v>
      </c>
      <c r="J58" s="3485"/>
      <c r="K58" s="3485"/>
    </row>
    <row r="59" spans="1:11" ht="13.5" customHeight="1" outlineLevel="1">
      <c r="A59" s="3483" t="s">
        <v>3211</v>
      </c>
      <c r="B59" s="3484" t="s">
        <v>3210</v>
      </c>
      <c r="C59" s="3485">
        <v>2021</v>
      </c>
      <c r="D59" s="1915" t="s">
        <v>8</v>
      </c>
      <c r="E59" s="1916">
        <f t="shared" si="15"/>
        <v>0</v>
      </c>
      <c r="F59" s="1916">
        <f>SUM(F60:F64)</f>
        <v>0</v>
      </c>
      <c r="G59" s="1916">
        <f>SUM(G60:G64)</f>
        <v>0</v>
      </c>
      <c r="H59" s="1916">
        <f>SUM(H60:H64)</f>
        <v>0</v>
      </c>
      <c r="I59" s="1916">
        <f>SUM(I60:I64)</f>
        <v>0</v>
      </c>
      <c r="J59" s="3485" t="s">
        <v>3209</v>
      </c>
      <c r="K59" s="3485" t="s">
        <v>2799</v>
      </c>
    </row>
    <row r="60" spans="1:11" ht="13.5" customHeight="1" outlineLevel="1">
      <c r="A60" s="3483"/>
      <c r="B60" s="3484"/>
      <c r="C60" s="3485"/>
      <c r="D60" s="1915">
        <v>2021</v>
      </c>
      <c r="E60" s="1916">
        <f t="shared" si="15"/>
        <v>0</v>
      </c>
      <c r="F60" s="1916">
        <v>0</v>
      </c>
      <c r="G60" s="1916">
        <v>0</v>
      </c>
      <c r="H60" s="1916">
        <v>0</v>
      </c>
      <c r="I60" s="1916">
        <v>0</v>
      </c>
      <c r="J60" s="3485"/>
      <c r="K60" s="3485"/>
    </row>
    <row r="61" spans="1:11" ht="13.5" customHeight="1" outlineLevel="1">
      <c r="A61" s="3483"/>
      <c r="B61" s="3484"/>
      <c r="C61" s="3485"/>
      <c r="D61" s="1915">
        <v>2022</v>
      </c>
      <c r="E61" s="1916">
        <f t="shared" si="15"/>
        <v>0</v>
      </c>
      <c r="F61" s="1916">
        <v>0</v>
      </c>
      <c r="G61" s="1916">
        <v>0</v>
      </c>
      <c r="H61" s="1916">
        <v>0</v>
      </c>
      <c r="I61" s="1916">
        <v>0</v>
      </c>
      <c r="J61" s="3485"/>
      <c r="K61" s="3485"/>
    </row>
    <row r="62" spans="1:11" ht="13.5" customHeight="1" outlineLevel="1">
      <c r="A62" s="3483"/>
      <c r="B62" s="3484"/>
      <c r="C62" s="3485"/>
      <c r="D62" s="1915">
        <v>2023</v>
      </c>
      <c r="E62" s="1916">
        <f t="shared" si="15"/>
        <v>0</v>
      </c>
      <c r="F62" s="1916">
        <v>0</v>
      </c>
      <c r="G62" s="1916">
        <v>0</v>
      </c>
      <c r="H62" s="1916">
        <v>0</v>
      </c>
      <c r="I62" s="1916">
        <v>0</v>
      </c>
      <c r="J62" s="3485"/>
      <c r="K62" s="3485"/>
    </row>
    <row r="63" spans="1:11" ht="13.5" customHeight="1" outlineLevel="1">
      <c r="A63" s="3483"/>
      <c r="B63" s="3484"/>
      <c r="C63" s="3485"/>
      <c r="D63" s="1915">
        <v>2024</v>
      </c>
      <c r="E63" s="1916">
        <f t="shared" si="15"/>
        <v>0</v>
      </c>
      <c r="F63" s="1916">
        <v>0</v>
      </c>
      <c r="G63" s="1916">
        <v>0</v>
      </c>
      <c r="H63" s="1916">
        <v>0</v>
      </c>
      <c r="I63" s="1916">
        <v>0</v>
      </c>
      <c r="J63" s="3485"/>
      <c r="K63" s="3485"/>
    </row>
    <row r="64" spans="1:11" ht="13.5" customHeight="1" outlineLevel="1">
      <c r="A64" s="3483"/>
      <c r="B64" s="3484"/>
      <c r="C64" s="3485"/>
      <c r="D64" s="1915">
        <v>2025</v>
      </c>
      <c r="E64" s="1916">
        <f t="shared" si="15"/>
        <v>0</v>
      </c>
      <c r="F64" s="1916">
        <v>0</v>
      </c>
      <c r="G64" s="1916">
        <v>0</v>
      </c>
      <c r="H64" s="1916">
        <v>0</v>
      </c>
      <c r="I64" s="1916">
        <v>0</v>
      </c>
      <c r="J64" s="3485"/>
      <c r="K64" s="3485"/>
    </row>
    <row r="65" spans="1:13" ht="13.5" customHeight="1" outlineLevel="1">
      <c r="A65" s="3483" t="s">
        <v>3208</v>
      </c>
      <c r="B65" s="3484" t="s">
        <v>3207</v>
      </c>
      <c r="C65" s="3485" t="s">
        <v>2989</v>
      </c>
      <c r="D65" s="1915" t="s">
        <v>8</v>
      </c>
      <c r="E65" s="1916">
        <f t="shared" si="15"/>
        <v>202993.769</v>
      </c>
      <c r="F65" s="1916">
        <f>SUM(F66:F70)</f>
        <v>202993.769</v>
      </c>
      <c r="G65" s="1916">
        <f>SUM(G66:G70)</f>
        <v>0</v>
      </c>
      <c r="H65" s="1916">
        <f>SUM(H66:H70)</f>
        <v>0</v>
      </c>
      <c r="I65" s="1916">
        <f>SUM(I66:I70)</f>
        <v>0</v>
      </c>
      <c r="J65" s="3485" t="s">
        <v>3206</v>
      </c>
      <c r="K65" s="3485" t="s">
        <v>2799</v>
      </c>
    </row>
    <row r="66" spans="1:13" ht="13.5" customHeight="1" outlineLevel="1">
      <c r="A66" s="3483"/>
      <c r="B66" s="3484"/>
      <c r="C66" s="3485"/>
      <c r="D66" s="1915">
        <v>2021</v>
      </c>
      <c r="E66" s="1916">
        <f t="shared" si="15"/>
        <v>33993.769</v>
      </c>
      <c r="F66" s="1916">
        <v>33993.769</v>
      </c>
      <c r="G66" s="1916">
        <v>0</v>
      </c>
      <c r="H66" s="1916">
        <v>0</v>
      </c>
      <c r="I66" s="1916">
        <v>0</v>
      </c>
      <c r="J66" s="3485"/>
      <c r="K66" s="3485"/>
    </row>
    <row r="67" spans="1:13" ht="13.5" customHeight="1" outlineLevel="1">
      <c r="A67" s="3483"/>
      <c r="B67" s="3484"/>
      <c r="C67" s="3485"/>
      <c r="D67" s="1915">
        <v>2022</v>
      </c>
      <c r="E67" s="1916">
        <f t="shared" si="15"/>
        <v>40000</v>
      </c>
      <c r="F67" s="1916">
        <v>40000</v>
      </c>
      <c r="G67" s="1916">
        <v>0</v>
      </c>
      <c r="H67" s="1916">
        <v>0</v>
      </c>
      <c r="I67" s="1916">
        <v>0</v>
      </c>
      <c r="J67" s="3485"/>
      <c r="K67" s="3485"/>
    </row>
    <row r="68" spans="1:13" ht="13.5" customHeight="1" outlineLevel="1">
      <c r="A68" s="3483"/>
      <c r="B68" s="3484"/>
      <c r="C68" s="3485"/>
      <c r="D68" s="1915">
        <v>2023</v>
      </c>
      <c r="E68" s="1916">
        <f t="shared" si="15"/>
        <v>49000</v>
      </c>
      <c r="F68" s="1919">
        <f>40000+9000</f>
        <v>49000</v>
      </c>
      <c r="G68" s="1916">
        <v>0</v>
      </c>
      <c r="H68" s="1916">
        <v>0</v>
      </c>
      <c r="I68" s="1916">
        <v>0</v>
      </c>
      <c r="J68" s="3485"/>
      <c r="K68" s="3485"/>
    </row>
    <row r="69" spans="1:13" ht="13.5" customHeight="1" outlineLevel="1">
      <c r="A69" s="3483"/>
      <c r="B69" s="3484"/>
      <c r="C69" s="3485"/>
      <c r="D69" s="1915">
        <v>2024</v>
      </c>
      <c r="E69" s="1916">
        <f t="shared" si="15"/>
        <v>40000</v>
      </c>
      <c r="F69" s="1916">
        <v>40000</v>
      </c>
      <c r="G69" s="1916">
        <v>0</v>
      </c>
      <c r="H69" s="1916">
        <v>0</v>
      </c>
      <c r="I69" s="1916">
        <v>0</v>
      </c>
      <c r="J69" s="3485"/>
      <c r="K69" s="3485"/>
    </row>
    <row r="70" spans="1:13" ht="13.5" customHeight="1" outlineLevel="1">
      <c r="A70" s="3483"/>
      <c r="B70" s="3484"/>
      <c r="C70" s="3485"/>
      <c r="D70" s="1915">
        <v>2025</v>
      </c>
      <c r="E70" s="1916">
        <f t="shared" si="15"/>
        <v>40000</v>
      </c>
      <c r="F70" s="1916">
        <v>40000</v>
      </c>
      <c r="G70" s="1916">
        <v>0</v>
      </c>
      <c r="H70" s="1916">
        <v>0</v>
      </c>
      <c r="I70" s="1916">
        <v>0</v>
      </c>
      <c r="J70" s="3485"/>
      <c r="K70" s="3485"/>
    </row>
    <row r="71" spans="1:13" ht="13.5" customHeight="1" outlineLevel="1">
      <c r="A71" s="3483" t="s">
        <v>3205</v>
      </c>
      <c r="B71" s="3484" t="s">
        <v>3613</v>
      </c>
      <c r="C71" s="3485" t="s">
        <v>2989</v>
      </c>
      <c r="D71" s="1915" t="s">
        <v>8</v>
      </c>
      <c r="E71" s="1916">
        <f t="shared" si="15"/>
        <v>18034.921689999999</v>
      </c>
      <c r="F71" s="1916">
        <f>SUM(F72:F76)</f>
        <v>18034.921689999999</v>
      </c>
      <c r="G71" s="1916">
        <f>SUM(G72:G76)</f>
        <v>0</v>
      </c>
      <c r="H71" s="1916">
        <f>SUM(H72:H76)</f>
        <v>0</v>
      </c>
      <c r="I71" s="1916">
        <f>SUM(I72:I76)</f>
        <v>0</v>
      </c>
      <c r="J71" s="3485" t="s">
        <v>2810</v>
      </c>
      <c r="K71" s="3485" t="s">
        <v>2799</v>
      </c>
    </row>
    <row r="72" spans="1:13" ht="13.5" customHeight="1" outlineLevel="1">
      <c r="A72" s="3483"/>
      <c r="B72" s="3484"/>
      <c r="C72" s="3485"/>
      <c r="D72" s="1915">
        <v>2021</v>
      </c>
      <c r="E72" s="1916">
        <f t="shared" si="15"/>
        <v>2000</v>
      </c>
      <c r="F72" s="1916">
        <v>2000</v>
      </c>
      <c r="G72" s="1916">
        <v>0</v>
      </c>
      <c r="H72" s="1916">
        <v>0</v>
      </c>
      <c r="I72" s="1916">
        <v>0</v>
      </c>
      <c r="J72" s="3485"/>
      <c r="K72" s="3485"/>
    </row>
    <row r="73" spans="1:13" ht="13.5" customHeight="1" outlineLevel="1">
      <c r="A73" s="3483"/>
      <c r="B73" s="3484"/>
      <c r="C73" s="3485"/>
      <c r="D73" s="1915">
        <v>2022</v>
      </c>
      <c r="E73" s="1916">
        <f t="shared" si="15"/>
        <v>2900</v>
      </c>
      <c r="F73" s="1916">
        <v>2900</v>
      </c>
      <c r="G73" s="1916">
        <v>0</v>
      </c>
      <c r="H73" s="1916">
        <v>0</v>
      </c>
      <c r="I73" s="1916">
        <v>0</v>
      </c>
      <c r="J73" s="3485"/>
      <c r="K73" s="3485"/>
    </row>
    <row r="74" spans="1:13" ht="13.5" customHeight="1" outlineLevel="1">
      <c r="A74" s="3483"/>
      <c r="B74" s="3484"/>
      <c r="C74" s="3485"/>
      <c r="D74" s="1915">
        <v>2023</v>
      </c>
      <c r="E74" s="1916">
        <f t="shared" si="15"/>
        <v>1934.9216900000004</v>
      </c>
      <c r="F74" s="1918">
        <f>5600-3148.56931-134.432-300-82.077</f>
        <v>1934.9216900000004</v>
      </c>
      <c r="G74" s="1916">
        <v>0</v>
      </c>
      <c r="H74" s="1916">
        <v>0</v>
      </c>
      <c r="I74" s="1916">
        <v>0</v>
      </c>
      <c r="J74" s="3485"/>
      <c r="K74" s="3485"/>
      <c r="M74" s="1914" t="s">
        <v>3614</v>
      </c>
    </row>
    <row r="75" spans="1:13" ht="13.5" customHeight="1" outlineLevel="1">
      <c r="A75" s="3483"/>
      <c r="B75" s="3484"/>
      <c r="C75" s="3485"/>
      <c r="D75" s="1915">
        <v>2024</v>
      </c>
      <c r="E75" s="1916">
        <f t="shared" si="15"/>
        <v>5600</v>
      </c>
      <c r="F75" s="1916">
        <v>5600</v>
      </c>
      <c r="G75" s="1916">
        <v>0</v>
      </c>
      <c r="H75" s="1916">
        <v>0</v>
      </c>
      <c r="I75" s="1916">
        <v>0</v>
      </c>
      <c r="J75" s="3485"/>
      <c r="K75" s="3485"/>
    </row>
    <row r="76" spans="1:13" ht="13.5" customHeight="1" outlineLevel="1">
      <c r="A76" s="3483"/>
      <c r="B76" s="3484"/>
      <c r="C76" s="3485"/>
      <c r="D76" s="1915">
        <v>2025</v>
      </c>
      <c r="E76" s="1916">
        <f t="shared" si="15"/>
        <v>5600</v>
      </c>
      <c r="F76" s="1916">
        <v>5600</v>
      </c>
      <c r="G76" s="1916">
        <v>0</v>
      </c>
      <c r="H76" s="1916">
        <v>0</v>
      </c>
      <c r="I76" s="1916">
        <v>0</v>
      </c>
      <c r="J76" s="3485"/>
      <c r="K76" s="3485"/>
    </row>
    <row r="77" spans="1:13" ht="13.5" customHeight="1" outlineLevel="1">
      <c r="A77" s="3483" t="s">
        <v>3204</v>
      </c>
      <c r="B77" s="3484" t="s">
        <v>3203</v>
      </c>
      <c r="C77" s="3485" t="s">
        <v>2989</v>
      </c>
      <c r="D77" s="1915" t="s">
        <v>8</v>
      </c>
      <c r="E77" s="1916">
        <f t="shared" si="15"/>
        <v>251750.26500000001</v>
      </c>
      <c r="F77" s="1916">
        <f>SUM(F78:F82)</f>
        <v>251750.26500000001</v>
      </c>
      <c r="G77" s="1916">
        <f>SUM(G78:G82)</f>
        <v>0</v>
      </c>
      <c r="H77" s="1916">
        <f>SUM(H78:H82)</f>
        <v>0</v>
      </c>
      <c r="I77" s="1916">
        <f>SUM(I78:I82)</f>
        <v>0</v>
      </c>
      <c r="J77" s="3485" t="s">
        <v>2811</v>
      </c>
      <c r="K77" s="3485" t="s">
        <v>3066</v>
      </c>
    </row>
    <row r="78" spans="1:13" ht="13.5" customHeight="1" outlineLevel="1">
      <c r="A78" s="3483"/>
      <c r="B78" s="3484"/>
      <c r="C78" s="3485"/>
      <c r="D78" s="1915">
        <v>2021</v>
      </c>
      <c r="E78" s="1916">
        <f t="shared" si="15"/>
        <v>29443.125</v>
      </c>
      <c r="F78" s="1916">
        <f>29443125/1000</f>
        <v>29443.125</v>
      </c>
      <c r="G78" s="1916">
        <v>0</v>
      </c>
      <c r="H78" s="1916">
        <v>0</v>
      </c>
      <c r="I78" s="1916">
        <v>0</v>
      </c>
      <c r="J78" s="3485"/>
      <c r="K78" s="3485"/>
    </row>
    <row r="79" spans="1:13" ht="13.5" customHeight="1" outlineLevel="1">
      <c r="A79" s="3483"/>
      <c r="B79" s="3484"/>
      <c r="C79" s="3485"/>
      <c r="D79" s="1915">
        <v>2022</v>
      </c>
      <c r="E79" s="1916">
        <f t="shared" si="15"/>
        <v>99747.438999999998</v>
      </c>
      <c r="F79" s="1916">
        <v>99747.438999999998</v>
      </c>
      <c r="G79" s="1916">
        <v>0</v>
      </c>
      <c r="H79" s="1916">
        <v>0</v>
      </c>
      <c r="I79" s="1916">
        <v>0</v>
      </c>
      <c r="J79" s="3485"/>
      <c r="K79" s="3485"/>
    </row>
    <row r="80" spans="1:13" ht="13.5" customHeight="1" outlineLevel="1">
      <c r="A80" s="3483"/>
      <c r="B80" s="3484"/>
      <c r="C80" s="3485"/>
      <c r="D80" s="1915">
        <v>2023</v>
      </c>
      <c r="E80" s="1916">
        <f t="shared" si="15"/>
        <v>74885.229000000007</v>
      </c>
      <c r="F80" s="1918">
        <f>56948.035+1000+16937.194</f>
        <v>74885.229000000007</v>
      </c>
      <c r="G80" s="1916">
        <v>0</v>
      </c>
      <c r="H80" s="1916">
        <v>0</v>
      </c>
      <c r="I80" s="1916">
        <v>0</v>
      </c>
      <c r="J80" s="3485"/>
      <c r="K80" s="3485"/>
    </row>
    <row r="81" spans="1:11" ht="13.5" customHeight="1" outlineLevel="1">
      <c r="A81" s="3483"/>
      <c r="B81" s="3484"/>
      <c r="C81" s="3485"/>
      <c r="D81" s="1915">
        <v>2024</v>
      </c>
      <c r="E81" s="1916">
        <f t="shared" si="15"/>
        <v>23837.236000000001</v>
      </c>
      <c r="F81" s="1916">
        <v>23837.236000000001</v>
      </c>
      <c r="G81" s="1916">
        <v>0</v>
      </c>
      <c r="H81" s="1916">
        <v>0</v>
      </c>
      <c r="I81" s="1916">
        <v>0</v>
      </c>
      <c r="J81" s="3485"/>
      <c r="K81" s="3485"/>
    </row>
    <row r="82" spans="1:11" ht="13.5" customHeight="1" outlineLevel="1">
      <c r="A82" s="3483"/>
      <c r="B82" s="3484"/>
      <c r="C82" s="3485"/>
      <c r="D82" s="1915">
        <v>2025</v>
      </c>
      <c r="E82" s="1916">
        <f t="shared" si="15"/>
        <v>23837.236000000001</v>
      </c>
      <c r="F82" s="1916">
        <v>23837.236000000001</v>
      </c>
      <c r="G82" s="1916">
        <v>0</v>
      </c>
      <c r="H82" s="1916">
        <v>0</v>
      </c>
      <c r="I82" s="1916">
        <v>0</v>
      </c>
      <c r="J82" s="3485"/>
      <c r="K82" s="3485"/>
    </row>
    <row r="83" spans="1:11" ht="13.5" customHeight="1" outlineLevel="1">
      <c r="A83" s="3483" t="s">
        <v>2908</v>
      </c>
      <c r="B83" s="3484" t="s">
        <v>2903</v>
      </c>
      <c r="C83" s="3485" t="s">
        <v>3017</v>
      </c>
      <c r="D83" s="1915" t="s">
        <v>8</v>
      </c>
      <c r="E83" s="1916">
        <f t="shared" si="15"/>
        <v>80000</v>
      </c>
      <c r="F83" s="1916">
        <f>SUM(F84:F88)</f>
        <v>80000</v>
      </c>
      <c r="G83" s="1916">
        <f>SUM(G84:G88)</f>
        <v>0</v>
      </c>
      <c r="H83" s="1916">
        <f>SUM(H84:H88)</f>
        <v>0</v>
      </c>
      <c r="I83" s="1916">
        <f>SUM(I84:I88)</f>
        <v>0</v>
      </c>
      <c r="J83" s="3485" t="s">
        <v>3202</v>
      </c>
      <c r="K83" s="3485" t="s">
        <v>2799</v>
      </c>
    </row>
    <row r="84" spans="1:11" ht="13.5" customHeight="1" outlineLevel="1">
      <c r="A84" s="3483"/>
      <c r="B84" s="3484"/>
      <c r="C84" s="3485"/>
      <c r="D84" s="1915">
        <v>2021</v>
      </c>
      <c r="E84" s="1916">
        <f t="shared" si="15"/>
        <v>0</v>
      </c>
      <c r="F84" s="1916">
        <v>0</v>
      </c>
      <c r="G84" s="1916">
        <v>0</v>
      </c>
      <c r="H84" s="1916">
        <v>0</v>
      </c>
      <c r="I84" s="1916">
        <v>0</v>
      </c>
      <c r="J84" s="3485"/>
      <c r="K84" s="3485"/>
    </row>
    <row r="85" spans="1:11" ht="13.5" customHeight="1" outlineLevel="1">
      <c r="A85" s="3483"/>
      <c r="B85" s="3484"/>
      <c r="C85" s="3485"/>
      <c r="D85" s="1915">
        <v>2022</v>
      </c>
      <c r="E85" s="1916">
        <f t="shared" si="15"/>
        <v>20000</v>
      </c>
      <c r="F85" s="1916">
        <v>20000</v>
      </c>
      <c r="G85" s="1916">
        <v>0</v>
      </c>
      <c r="H85" s="1916">
        <v>0</v>
      </c>
      <c r="I85" s="1916">
        <v>0</v>
      </c>
      <c r="J85" s="3485"/>
      <c r="K85" s="3485"/>
    </row>
    <row r="86" spans="1:11" ht="13.5" customHeight="1" outlineLevel="1">
      <c r="A86" s="3483"/>
      <c r="B86" s="3484"/>
      <c r="C86" s="3485"/>
      <c r="D86" s="1915">
        <v>2023</v>
      </c>
      <c r="E86" s="1916">
        <f t="shared" si="15"/>
        <v>20000</v>
      </c>
      <c r="F86" s="1916">
        <v>20000</v>
      </c>
      <c r="G86" s="1916">
        <v>0</v>
      </c>
      <c r="H86" s="1916">
        <v>0</v>
      </c>
      <c r="I86" s="1916">
        <v>0</v>
      </c>
      <c r="J86" s="3485"/>
      <c r="K86" s="3485"/>
    </row>
    <row r="87" spans="1:11" ht="13.5" customHeight="1" outlineLevel="1">
      <c r="A87" s="3483"/>
      <c r="B87" s="3484"/>
      <c r="C87" s="3485"/>
      <c r="D87" s="1915">
        <v>2024</v>
      </c>
      <c r="E87" s="1916">
        <f t="shared" si="15"/>
        <v>20000</v>
      </c>
      <c r="F87" s="1916">
        <v>20000</v>
      </c>
      <c r="G87" s="1916">
        <v>0</v>
      </c>
      <c r="H87" s="1916">
        <v>0</v>
      </c>
      <c r="I87" s="1916">
        <v>0</v>
      </c>
      <c r="J87" s="3485"/>
      <c r="K87" s="3485"/>
    </row>
    <row r="88" spans="1:11" ht="13.5" customHeight="1" outlineLevel="1">
      <c r="A88" s="3483"/>
      <c r="B88" s="3484"/>
      <c r="C88" s="3485"/>
      <c r="D88" s="1915">
        <v>2025</v>
      </c>
      <c r="E88" s="1916">
        <f t="shared" si="15"/>
        <v>20000</v>
      </c>
      <c r="F88" s="1916">
        <v>20000</v>
      </c>
      <c r="G88" s="1916">
        <v>0</v>
      </c>
      <c r="H88" s="1916">
        <v>0</v>
      </c>
      <c r="I88" s="1916">
        <v>0</v>
      </c>
      <c r="J88" s="3485"/>
      <c r="K88" s="3485"/>
    </row>
    <row r="89" spans="1:11" ht="13.5" customHeight="1" outlineLevel="1">
      <c r="A89" s="3483" t="s">
        <v>2912</v>
      </c>
      <c r="B89" s="3484" t="s">
        <v>2904</v>
      </c>
      <c r="C89" s="3485" t="s">
        <v>2989</v>
      </c>
      <c r="D89" s="1915" t="s">
        <v>8</v>
      </c>
      <c r="E89" s="1916">
        <f t="shared" si="15"/>
        <v>3220</v>
      </c>
      <c r="F89" s="1916">
        <f>SUM(F90:F94)</f>
        <v>3220</v>
      </c>
      <c r="G89" s="1916">
        <f>SUM(G90:G94)</f>
        <v>0</v>
      </c>
      <c r="H89" s="1916">
        <f>SUM(H90:H94)</f>
        <v>0</v>
      </c>
      <c r="I89" s="1916">
        <f>SUM(I90:I94)</f>
        <v>0</v>
      </c>
      <c r="J89" s="3485" t="s">
        <v>3201</v>
      </c>
      <c r="K89" s="3485" t="s">
        <v>2799</v>
      </c>
    </row>
    <row r="90" spans="1:11" ht="13.5" customHeight="1" outlineLevel="1">
      <c r="A90" s="3483"/>
      <c r="B90" s="3484"/>
      <c r="C90" s="3485"/>
      <c r="D90" s="1915">
        <v>2021</v>
      </c>
      <c r="E90" s="1916">
        <f t="shared" si="15"/>
        <v>0</v>
      </c>
      <c r="F90" s="1916">
        <v>0</v>
      </c>
      <c r="G90" s="1916">
        <v>0</v>
      </c>
      <c r="H90" s="1916">
        <v>0</v>
      </c>
      <c r="I90" s="1916">
        <v>0</v>
      </c>
      <c r="J90" s="3485"/>
      <c r="K90" s="3485"/>
    </row>
    <row r="91" spans="1:11" ht="13.5" customHeight="1" outlineLevel="1">
      <c r="A91" s="3483"/>
      <c r="B91" s="3484"/>
      <c r="C91" s="3485"/>
      <c r="D91" s="1915">
        <v>2022</v>
      </c>
      <c r="E91" s="1916">
        <f t="shared" si="15"/>
        <v>3220</v>
      </c>
      <c r="F91" s="1916">
        <f>3360-140</f>
        <v>3220</v>
      </c>
      <c r="G91" s="1916">
        <v>0</v>
      </c>
      <c r="H91" s="1916">
        <v>0</v>
      </c>
      <c r="I91" s="1916">
        <v>0</v>
      </c>
      <c r="J91" s="3485"/>
      <c r="K91" s="3485"/>
    </row>
    <row r="92" spans="1:11" ht="13.5" customHeight="1" outlineLevel="1">
      <c r="A92" s="3483"/>
      <c r="B92" s="3484"/>
      <c r="C92" s="3485"/>
      <c r="D92" s="1915">
        <v>2023</v>
      </c>
      <c r="E92" s="1916">
        <f t="shared" si="15"/>
        <v>0</v>
      </c>
      <c r="F92" s="1916">
        <v>0</v>
      </c>
      <c r="G92" s="1916">
        <v>0</v>
      </c>
      <c r="H92" s="1916">
        <v>0</v>
      </c>
      <c r="I92" s="1916">
        <v>0</v>
      </c>
      <c r="J92" s="3485"/>
      <c r="K92" s="3485"/>
    </row>
    <row r="93" spans="1:11" ht="13.5" customHeight="1" outlineLevel="1">
      <c r="A93" s="3483"/>
      <c r="B93" s="3484"/>
      <c r="C93" s="3485"/>
      <c r="D93" s="1915">
        <v>2024</v>
      </c>
      <c r="E93" s="1916">
        <f t="shared" si="15"/>
        <v>0</v>
      </c>
      <c r="F93" s="1916">
        <v>0</v>
      </c>
      <c r="G93" s="1916">
        <v>0</v>
      </c>
      <c r="H93" s="1916">
        <v>0</v>
      </c>
      <c r="I93" s="1916">
        <v>0</v>
      </c>
      <c r="J93" s="3485"/>
      <c r="K93" s="3485"/>
    </row>
    <row r="94" spans="1:11" ht="13.5" customHeight="1" outlineLevel="1">
      <c r="A94" s="3483"/>
      <c r="B94" s="3484"/>
      <c r="C94" s="3485"/>
      <c r="D94" s="1915">
        <v>2025</v>
      </c>
      <c r="E94" s="1916">
        <f t="shared" si="15"/>
        <v>0</v>
      </c>
      <c r="F94" s="1916">
        <v>0</v>
      </c>
      <c r="G94" s="1916">
        <v>0</v>
      </c>
      <c r="H94" s="1916">
        <v>0</v>
      </c>
      <c r="I94" s="1916">
        <v>0</v>
      </c>
      <c r="J94" s="3485"/>
      <c r="K94" s="3485"/>
    </row>
    <row r="95" spans="1:11" ht="23.25" customHeight="1" outlineLevel="1">
      <c r="A95" s="3483" t="s">
        <v>3200</v>
      </c>
      <c r="B95" s="3484" t="s">
        <v>3199</v>
      </c>
      <c r="C95" s="3485" t="s">
        <v>3198</v>
      </c>
      <c r="D95" s="1915" t="s">
        <v>8</v>
      </c>
      <c r="E95" s="1916">
        <f t="shared" si="15"/>
        <v>0</v>
      </c>
      <c r="F95" s="1916">
        <f>SUM(F96:F100)</f>
        <v>0</v>
      </c>
      <c r="G95" s="1916">
        <f>SUM(G96:G100)</f>
        <v>0</v>
      </c>
      <c r="H95" s="1916">
        <f>SUM(H96:H100)</f>
        <v>0</v>
      </c>
      <c r="I95" s="1916">
        <f>SUM(I96:I100)</f>
        <v>0</v>
      </c>
      <c r="J95" s="3485" t="s">
        <v>3197</v>
      </c>
      <c r="K95" s="3485" t="s">
        <v>2799</v>
      </c>
    </row>
    <row r="96" spans="1:11" ht="13.5" customHeight="1" outlineLevel="1">
      <c r="A96" s="3483"/>
      <c r="B96" s="3484"/>
      <c r="C96" s="3485"/>
      <c r="D96" s="1915">
        <v>2021</v>
      </c>
      <c r="E96" s="1916">
        <f t="shared" si="15"/>
        <v>0</v>
      </c>
      <c r="F96" s="1916">
        <v>0</v>
      </c>
      <c r="G96" s="1916">
        <v>0</v>
      </c>
      <c r="H96" s="1916">
        <v>0</v>
      </c>
      <c r="I96" s="1916">
        <v>0</v>
      </c>
      <c r="J96" s="3485"/>
      <c r="K96" s="3485"/>
    </row>
    <row r="97" spans="1:11" ht="13.5" customHeight="1" outlineLevel="1">
      <c r="A97" s="3483"/>
      <c r="B97" s="3484"/>
      <c r="C97" s="3485"/>
      <c r="D97" s="1915">
        <v>2022</v>
      </c>
      <c r="E97" s="1916">
        <f t="shared" si="15"/>
        <v>0</v>
      </c>
      <c r="F97" s="1916">
        <v>0</v>
      </c>
      <c r="G97" s="1916">
        <v>0</v>
      </c>
      <c r="H97" s="1916">
        <v>0</v>
      </c>
      <c r="I97" s="1916">
        <v>0</v>
      </c>
      <c r="J97" s="3485"/>
      <c r="K97" s="3485"/>
    </row>
    <row r="98" spans="1:11" ht="13.5" customHeight="1" outlineLevel="1">
      <c r="A98" s="3483"/>
      <c r="B98" s="3484"/>
      <c r="C98" s="3485"/>
      <c r="D98" s="1915">
        <v>2023</v>
      </c>
      <c r="E98" s="1916">
        <f t="shared" si="15"/>
        <v>0</v>
      </c>
      <c r="F98" s="1916">
        <v>0</v>
      </c>
      <c r="G98" s="1916">
        <v>0</v>
      </c>
      <c r="H98" s="1916">
        <v>0</v>
      </c>
      <c r="I98" s="1916">
        <v>0</v>
      </c>
      <c r="J98" s="3485"/>
      <c r="K98" s="3485"/>
    </row>
    <row r="99" spans="1:11" ht="13.5" customHeight="1" outlineLevel="1">
      <c r="A99" s="3483"/>
      <c r="B99" s="3484"/>
      <c r="C99" s="3485"/>
      <c r="D99" s="1915">
        <v>2024</v>
      </c>
      <c r="E99" s="1916">
        <f t="shared" si="15"/>
        <v>0</v>
      </c>
      <c r="F99" s="1916">
        <v>0</v>
      </c>
      <c r="G99" s="1916">
        <v>0</v>
      </c>
      <c r="H99" s="1916">
        <v>0</v>
      </c>
      <c r="I99" s="1916">
        <v>0</v>
      </c>
      <c r="J99" s="3485"/>
      <c r="K99" s="3485"/>
    </row>
    <row r="100" spans="1:11" ht="13.5" customHeight="1" outlineLevel="1">
      <c r="A100" s="3483"/>
      <c r="B100" s="3484"/>
      <c r="C100" s="3485"/>
      <c r="D100" s="1915">
        <v>2025</v>
      </c>
      <c r="E100" s="1916">
        <v>0</v>
      </c>
      <c r="F100" s="1916">
        <v>0</v>
      </c>
      <c r="G100" s="1916">
        <v>0</v>
      </c>
      <c r="H100" s="1916">
        <v>0</v>
      </c>
      <c r="I100" s="1916">
        <v>0</v>
      </c>
      <c r="J100" s="3485"/>
      <c r="K100" s="3485"/>
    </row>
    <row r="101" spans="1:11" ht="13.5" customHeight="1" outlineLevel="1">
      <c r="A101" s="3483" t="s">
        <v>2913</v>
      </c>
      <c r="B101" s="3484" t="s">
        <v>2905</v>
      </c>
      <c r="C101" s="3485" t="s">
        <v>2989</v>
      </c>
      <c r="D101" s="1915" t="s">
        <v>8</v>
      </c>
      <c r="E101" s="1916">
        <f t="shared" si="15"/>
        <v>95500</v>
      </c>
      <c r="F101" s="1916">
        <f>SUM(F102:F106)</f>
        <v>95500</v>
      </c>
      <c r="G101" s="1916">
        <f>SUM(G102:G106)</f>
        <v>0</v>
      </c>
      <c r="H101" s="1916">
        <f>SUM(H102:H106)</f>
        <v>0</v>
      </c>
      <c r="I101" s="1916">
        <f>SUM(I102:I106)</f>
        <v>0</v>
      </c>
      <c r="J101" s="3485" t="s">
        <v>3196</v>
      </c>
      <c r="K101" s="3485" t="s">
        <v>2852</v>
      </c>
    </row>
    <row r="102" spans="1:11" ht="13.5" customHeight="1" outlineLevel="1">
      <c r="A102" s="3483"/>
      <c r="B102" s="3484"/>
      <c r="C102" s="3485"/>
      <c r="D102" s="1915">
        <v>2021</v>
      </c>
      <c r="E102" s="1916">
        <f t="shared" si="15"/>
        <v>0</v>
      </c>
      <c r="F102" s="1916">
        <v>0</v>
      </c>
      <c r="G102" s="1916">
        <v>0</v>
      </c>
      <c r="H102" s="1916">
        <v>0</v>
      </c>
      <c r="I102" s="1916">
        <v>0</v>
      </c>
      <c r="J102" s="3485"/>
      <c r="K102" s="3485"/>
    </row>
    <row r="103" spans="1:11" ht="13.5" customHeight="1" outlineLevel="1">
      <c r="A103" s="3483"/>
      <c r="B103" s="3484"/>
      <c r="C103" s="3485"/>
      <c r="D103" s="1915">
        <v>2022</v>
      </c>
      <c r="E103" s="1916">
        <f t="shared" si="15"/>
        <v>21000</v>
      </c>
      <c r="F103" s="1916">
        <v>21000</v>
      </c>
      <c r="G103" s="1916">
        <v>0</v>
      </c>
      <c r="H103" s="1916">
        <v>0</v>
      </c>
      <c r="I103" s="1916">
        <v>0</v>
      </c>
      <c r="J103" s="3485"/>
      <c r="K103" s="3485"/>
    </row>
    <row r="104" spans="1:11" ht="13.5" customHeight="1" outlineLevel="1">
      <c r="A104" s="3483"/>
      <c r="B104" s="3484"/>
      <c r="C104" s="3485"/>
      <c r="D104" s="1915">
        <v>2023</v>
      </c>
      <c r="E104" s="1916">
        <f t="shared" si="15"/>
        <v>22500</v>
      </c>
      <c r="F104" s="1918">
        <f>26000-3500</f>
        <v>22500</v>
      </c>
      <c r="G104" s="1916">
        <v>0</v>
      </c>
      <c r="H104" s="1916">
        <v>0</v>
      </c>
      <c r="I104" s="1916">
        <v>0</v>
      </c>
      <c r="J104" s="3485"/>
      <c r="K104" s="3485"/>
    </row>
    <row r="105" spans="1:11" ht="13.5" customHeight="1" outlineLevel="1">
      <c r="A105" s="3483"/>
      <c r="B105" s="3484"/>
      <c r="C105" s="3485"/>
      <c r="D105" s="1915">
        <v>2024</v>
      </c>
      <c r="E105" s="1916">
        <f t="shared" si="15"/>
        <v>26000</v>
      </c>
      <c r="F105" s="1916">
        <v>26000</v>
      </c>
      <c r="G105" s="1916">
        <v>0</v>
      </c>
      <c r="H105" s="1916">
        <v>0</v>
      </c>
      <c r="I105" s="1916">
        <v>0</v>
      </c>
      <c r="J105" s="3485"/>
      <c r="K105" s="3485"/>
    </row>
    <row r="106" spans="1:11" ht="13.5" customHeight="1" outlineLevel="1">
      <c r="A106" s="3483"/>
      <c r="B106" s="3484"/>
      <c r="C106" s="3485"/>
      <c r="D106" s="1915">
        <v>2025</v>
      </c>
      <c r="E106" s="1916">
        <f t="shared" ref="E106:H120" si="19">SUM(F106:I106)</f>
        <v>26000</v>
      </c>
      <c r="F106" s="1916">
        <v>26000</v>
      </c>
      <c r="G106" s="1916">
        <v>0</v>
      </c>
      <c r="H106" s="1916">
        <v>0</v>
      </c>
      <c r="I106" s="1916">
        <v>0</v>
      </c>
      <c r="J106" s="3485"/>
      <c r="K106" s="3485"/>
    </row>
    <row r="107" spans="1:11" ht="18" customHeight="1" outlineLevel="1">
      <c r="A107" s="3483" t="s">
        <v>2914</v>
      </c>
      <c r="B107" s="3484" t="s">
        <v>2906</v>
      </c>
      <c r="C107" s="3485" t="s">
        <v>2999</v>
      </c>
      <c r="D107" s="1915" t="s">
        <v>8</v>
      </c>
      <c r="E107" s="1916">
        <f t="shared" si="19"/>
        <v>9000</v>
      </c>
      <c r="F107" s="1916">
        <f>SUM(F108:F112)</f>
        <v>9000</v>
      </c>
      <c r="G107" s="1916">
        <f>SUM(G108:G112)</f>
        <v>0</v>
      </c>
      <c r="H107" s="1916">
        <f>SUM(H108:H112)</f>
        <v>0</v>
      </c>
      <c r="I107" s="1916">
        <f>SUM(I108:I112)</f>
        <v>0</v>
      </c>
      <c r="J107" s="3485" t="s">
        <v>3191</v>
      </c>
      <c r="K107" s="3485" t="s">
        <v>2852</v>
      </c>
    </row>
    <row r="108" spans="1:11" ht="22.5" customHeight="1" outlineLevel="1">
      <c r="A108" s="3483"/>
      <c r="B108" s="3484"/>
      <c r="C108" s="3485"/>
      <c r="D108" s="1915">
        <v>2021</v>
      </c>
      <c r="E108" s="1916">
        <f t="shared" si="19"/>
        <v>0</v>
      </c>
      <c r="F108" s="1916">
        <v>0</v>
      </c>
      <c r="G108" s="1916">
        <v>0</v>
      </c>
      <c r="H108" s="1916">
        <v>0</v>
      </c>
      <c r="I108" s="1916">
        <v>0</v>
      </c>
      <c r="J108" s="3485"/>
      <c r="K108" s="3485"/>
    </row>
    <row r="109" spans="1:11" ht="26.25" customHeight="1" outlineLevel="1">
      <c r="A109" s="3483"/>
      <c r="B109" s="3484"/>
      <c r="C109" s="3485"/>
      <c r="D109" s="1915">
        <v>2022</v>
      </c>
      <c r="E109" s="1916">
        <f t="shared" si="19"/>
        <v>9000</v>
      </c>
      <c r="F109" s="1916">
        <v>9000</v>
      </c>
      <c r="G109" s="1916">
        <v>0</v>
      </c>
      <c r="H109" s="1916">
        <v>0</v>
      </c>
      <c r="I109" s="1916">
        <v>0</v>
      </c>
      <c r="J109" s="3485"/>
      <c r="K109" s="3485"/>
    </row>
    <row r="110" spans="1:11" ht="32.25" customHeight="1" outlineLevel="1">
      <c r="A110" s="3483"/>
      <c r="B110" s="3484"/>
      <c r="C110" s="3485"/>
      <c r="D110" s="1915">
        <v>2023</v>
      </c>
      <c r="E110" s="1916">
        <f t="shared" si="19"/>
        <v>0</v>
      </c>
      <c r="F110" s="1916">
        <v>0</v>
      </c>
      <c r="G110" s="1916">
        <v>0</v>
      </c>
      <c r="H110" s="1916">
        <v>0</v>
      </c>
      <c r="I110" s="1916">
        <v>0</v>
      </c>
      <c r="J110" s="3485"/>
      <c r="K110" s="3485"/>
    </row>
    <row r="111" spans="1:11" ht="22.5" customHeight="1" outlineLevel="1">
      <c r="A111" s="3483"/>
      <c r="B111" s="3484"/>
      <c r="C111" s="3485"/>
      <c r="D111" s="1915">
        <v>2024</v>
      </c>
      <c r="E111" s="1916">
        <f t="shared" si="19"/>
        <v>0</v>
      </c>
      <c r="F111" s="1916">
        <v>0</v>
      </c>
      <c r="G111" s="1916">
        <v>0</v>
      </c>
      <c r="H111" s="1916">
        <v>0</v>
      </c>
      <c r="I111" s="1916">
        <v>0</v>
      </c>
      <c r="J111" s="3485"/>
      <c r="K111" s="3485"/>
    </row>
    <row r="112" spans="1:11" ht="21" customHeight="1" outlineLevel="1">
      <c r="A112" s="3483"/>
      <c r="B112" s="3484"/>
      <c r="C112" s="3485"/>
      <c r="D112" s="1915">
        <v>2025</v>
      </c>
      <c r="E112" s="1916">
        <f t="shared" si="19"/>
        <v>0</v>
      </c>
      <c r="F112" s="1916">
        <v>0</v>
      </c>
      <c r="G112" s="1916">
        <v>0</v>
      </c>
      <c r="H112" s="1916">
        <v>0</v>
      </c>
      <c r="I112" s="1916">
        <v>0</v>
      </c>
      <c r="J112" s="3485"/>
      <c r="K112" s="3485"/>
    </row>
    <row r="113" spans="1:11" ht="15.75" customHeight="1" outlineLevel="1">
      <c r="A113" s="3483" t="s">
        <v>2915</v>
      </c>
      <c r="B113" s="3484" t="s">
        <v>2907</v>
      </c>
      <c r="C113" s="3485">
        <v>2022</v>
      </c>
      <c r="D113" s="1915" t="s">
        <v>8</v>
      </c>
      <c r="E113" s="1916">
        <f>SUM(F113:I113)</f>
        <v>33359.250659999998</v>
      </c>
      <c r="F113" s="1916">
        <f>SUM(F114:F118)</f>
        <v>33359.250659999998</v>
      </c>
      <c r="G113" s="1916">
        <f>SUM(G114:G118)</f>
        <v>0</v>
      </c>
      <c r="H113" s="1916">
        <f>SUM(H114:H118)</f>
        <v>0</v>
      </c>
      <c r="I113" s="1916">
        <f>SUM(I114:I118)</f>
        <v>0</v>
      </c>
      <c r="J113" s="3485" t="s">
        <v>3191</v>
      </c>
      <c r="K113" s="3485" t="s">
        <v>2852</v>
      </c>
    </row>
    <row r="114" spans="1:11" ht="15.75" customHeight="1" outlineLevel="1">
      <c r="A114" s="3483"/>
      <c r="B114" s="3484"/>
      <c r="C114" s="3485"/>
      <c r="D114" s="1915">
        <v>2021</v>
      </c>
      <c r="E114" s="1916">
        <f t="shared" si="19"/>
        <v>0</v>
      </c>
      <c r="F114" s="1916">
        <v>0</v>
      </c>
      <c r="G114" s="1916">
        <v>0</v>
      </c>
      <c r="H114" s="1916">
        <v>0</v>
      </c>
      <c r="I114" s="1916">
        <v>0</v>
      </c>
      <c r="J114" s="3485"/>
      <c r="K114" s="3485"/>
    </row>
    <row r="115" spans="1:11" ht="15.75" customHeight="1" outlineLevel="1">
      <c r="A115" s="3483"/>
      <c r="B115" s="3484"/>
      <c r="C115" s="3485"/>
      <c r="D115" s="1915">
        <v>2022</v>
      </c>
      <c r="E115" s="1916">
        <f t="shared" si="19"/>
        <v>33359.250659999998</v>
      </c>
      <c r="F115" s="1916">
        <f>33194.388+164.86266</f>
        <v>33359.250659999998</v>
      </c>
      <c r="G115" s="1916">
        <v>0</v>
      </c>
      <c r="H115" s="1916">
        <v>0</v>
      </c>
      <c r="I115" s="1916">
        <v>0</v>
      </c>
      <c r="J115" s="3485"/>
      <c r="K115" s="3485"/>
    </row>
    <row r="116" spans="1:11" ht="15.75" customHeight="1" outlineLevel="1">
      <c r="A116" s="3483"/>
      <c r="B116" s="3484"/>
      <c r="C116" s="3485"/>
      <c r="D116" s="1915">
        <v>2023</v>
      </c>
      <c r="E116" s="1916">
        <f t="shared" si="19"/>
        <v>0</v>
      </c>
      <c r="F116" s="1916">
        <f t="shared" si="19"/>
        <v>0</v>
      </c>
      <c r="G116" s="1916">
        <f t="shared" si="19"/>
        <v>0</v>
      </c>
      <c r="H116" s="1916">
        <f t="shared" si="19"/>
        <v>0</v>
      </c>
      <c r="I116" s="1916">
        <v>0</v>
      </c>
      <c r="J116" s="3485"/>
      <c r="K116" s="3485"/>
    </row>
    <row r="117" spans="1:11" ht="15.75" customHeight="1" outlineLevel="1">
      <c r="A117" s="3483"/>
      <c r="B117" s="3484"/>
      <c r="C117" s="3485"/>
      <c r="D117" s="1915">
        <v>2024</v>
      </c>
      <c r="E117" s="1916">
        <f t="shared" si="19"/>
        <v>0</v>
      </c>
      <c r="F117" s="1916">
        <f t="shared" si="19"/>
        <v>0</v>
      </c>
      <c r="G117" s="1916">
        <f t="shared" si="19"/>
        <v>0</v>
      </c>
      <c r="H117" s="1916">
        <f t="shared" si="19"/>
        <v>0</v>
      </c>
      <c r="I117" s="1916">
        <v>0</v>
      </c>
      <c r="J117" s="3485"/>
      <c r="K117" s="3485"/>
    </row>
    <row r="118" spans="1:11" ht="15.75" customHeight="1" outlineLevel="1">
      <c r="A118" s="3483"/>
      <c r="B118" s="3484"/>
      <c r="C118" s="3485"/>
      <c r="D118" s="1915">
        <v>2025</v>
      </c>
      <c r="E118" s="1916">
        <f t="shared" si="19"/>
        <v>0</v>
      </c>
      <c r="F118" s="1916">
        <f t="shared" si="19"/>
        <v>0</v>
      </c>
      <c r="G118" s="1916">
        <f t="shared" si="19"/>
        <v>0</v>
      </c>
      <c r="H118" s="1916">
        <f t="shared" si="19"/>
        <v>0</v>
      </c>
      <c r="I118" s="1916">
        <v>0</v>
      </c>
      <c r="J118" s="3485"/>
      <c r="K118" s="3485"/>
    </row>
    <row r="119" spans="1:11" ht="15.75" customHeight="1" outlineLevel="1">
      <c r="A119" s="3483" t="s">
        <v>3195</v>
      </c>
      <c r="B119" s="3484" t="s">
        <v>3194</v>
      </c>
      <c r="C119" s="3485" t="s">
        <v>3188</v>
      </c>
      <c r="D119" s="1915" t="s">
        <v>8</v>
      </c>
      <c r="E119" s="1916">
        <f t="shared" si="19"/>
        <v>32210.526320000001</v>
      </c>
      <c r="F119" s="1916">
        <f>SUM(F120:F124)</f>
        <v>27000</v>
      </c>
      <c r="G119" s="1916">
        <f>SUM(G120:G124)</f>
        <v>0</v>
      </c>
      <c r="H119" s="1916">
        <f>SUM(H120:H124)</f>
        <v>5210.5263199999999</v>
      </c>
      <c r="I119" s="1916">
        <f>SUM(I120:I124)</f>
        <v>0</v>
      </c>
      <c r="J119" s="3488" t="s">
        <v>5458</v>
      </c>
      <c r="K119" s="3485" t="s">
        <v>2852</v>
      </c>
    </row>
    <row r="120" spans="1:11" ht="15.75" customHeight="1" outlineLevel="1">
      <c r="A120" s="3483"/>
      <c r="B120" s="3484"/>
      <c r="C120" s="3485"/>
      <c r="D120" s="1915">
        <v>2021</v>
      </c>
      <c r="E120" s="1916">
        <f t="shared" si="19"/>
        <v>0</v>
      </c>
      <c r="F120" s="1916">
        <v>0</v>
      </c>
      <c r="G120" s="1916">
        <v>0</v>
      </c>
      <c r="H120" s="1916">
        <v>0</v>
      </c>
      <c r="I120" s="1916">
        <v>0</v>
      </c>
      <c r="J120" s="3489"/>
      <c r="K120" s="3485"/>
    </row>
    <row r="121" spans="1:11" ht="15.75" customHeight="1" outlineLevel="1">
      <c r="A121" s="3483"/>
      <c r="B121" s="3484"/>
      <c r="C121" s="3485"/>
      <c r="D121" s="1915">
        <v>2022</v>
      </c>
      <c r="E121" s="1916">
        <f t="shared" ref="E121:E190" si="20">SUM(F121:I121)</f>
        <v>0</v>
      </c>
      <c r="F121" s="1916">
        <v>0</v>
      </c>
      <c r="G121" s="1916">
        <v>0</v>
      </c>
      <c r="H121" s="1916">
        <v>0</v>
      </c>
      <c r="I121" s="1916">
        <v>0</v>
      </c>
      <c r="J121" s="3489"/>
      <c r="K121" s="3485"/>
    </row>
    <row r="122" spans="1:11" ht="15.75" customHeight="1" outlineLevel="1">
      <c r="A122" s="3483"/>
      <c r="B122" s="3484"/>
      <c r="C122" s="3485"/>
      <c r="D122" s="1915">
        <v>2023</v>
      </c>
      <c r="E122" s="1916">
        <f t="shared" si="20"/>
        <v>14210.526320000001</v>
      </c>
      <c r="F122" s="1916">
        <v>9000</v>
      </c>
      <c r="G122" s="1916">
        <v>0</v>
      </c>
      <c r="H122" s="1916">
        <v>5210.5263199999999</v>
      </c>
      <c r="I122" s="1916">
        <v>0</v>
      </c>
      <c r="J122" s="3489"/>
      <c r="K122" s="3485"/>
    </row>
    <row r="123" spans="1:11" ht="15.75" customHeight="1" outlineLevel="1">
      <c r="A123" s="3483"/>
      <c r="B123" s="3484"/>
      <c r="C123" s="3485"/>
      <c r="D123" s="1915">
        <v>2024</v>
      </c>
      <c r="E123" s="1916">
        <f t="shared" si="20"/>
        <v>9000</v>
      </c>
      <c r="F123" s="1916">
        <v>9000</v>
      </c>
      <c r="G123" s="1916">
        <v>0</v>
      </c>
      <c r="H123" s="1916">
        <v>0</v>
      </c>
      <c r="I123" s="1916">
        <v>0</v>
      </c>
      <c r="J123" s="3489"/>
      <c r="K123" s="3485"/>
    </row>
    <row r="124" spans="1:11" ht="15.75" customHeight="1" outlineLevel="1">
      <c r="A124" s="3483"/>
      <c r="B124" s="3484"/>
      <c r="C124" s="3485"/>
      <c r="D124" s="1915">
        <v>2025</v>
      </c>
      <c r="E124" s="1916">
        <f t="shared" si="20"/>
        <v>9000</v>
      </c>
      <c r="F124" s="1916">
        <v>9000</v>
      </c>
      <c r="G124" s="1916">
        <v>0</v>
      </c>
      <c r="H124" s="1916">
        <v>0</v>
      </c>
      <c r="I124" s="1916">
        <v>0</v>
      </c>
      <c r="J124" s="3490"/>
      <c r="K124" s="3485"/>
    </row>
    <row r="125" spans="1:11" ht="15.75" customHeight="1" outlineLevel="1">
      <c r="A125" s="3483" t="s">
        <v>3193</v>
      </c>
      <c r="B125" s="3484" t="s">
        <v>3192</v>
      </c>
      <c r="C125" s="3485" t="s">
        <v>3188</v>
      </c>
      <c r="D125" s="1915" t="s">
        <v>8</v>
      </c>
      <c r="E125" s="1916">
        <f t="shared" si="20"/>
        <v>112275.26502000001</v>
      </c>
      <c r="F125" s="1916">
        <f>SUM(F126:F130)</f>
        <v>105000</v>
      </c>
      <c r="G125" s="1916">
        <f>SUM(G126:G130)</f>
        <v>0</v>
      </c>
      <c r="H125" s="1916">
        <f>SUM(H126:H130)</f>
        <v>7275.2650199999998</v>
      </c>
      <c r="I125" s="1916">
        <f>SUM(I126:I130)</f>
        <v>0</v>
      </c>
      <c r="J125" s="3488" t="s">
        <v>5441</v>
      </c>
      <c r="K125" s="3485" t="s">
        <v>2852</v>
      </c>
    </row>
    <row r="126" spans="1:11" ht="15.75" customHeight="1" outlineLevel="1">
      <c r="A126" s="3483"/>
      <c r="B126" s="3484"/>
      <c r="C126" s="3485"/>
      <c r="D126" s="1915">
        <v>2021</v>
      </c>
      <c r="E126" s="1916">
        <f t="shared" si="20"/>
        <v>0</v>
      </c>
      <c r="F126" s="1916">
        <v>0</v>
      </c>
      <c r="G126" s="1916">
        <f t="shared" ref="G126:H130" si="21">SUM(H126:K126)</f>
        <v>0</v>
      </c>
      <c r="H126" s="1916">
        <f t="shared" si="21"/>
        <v>0</v>
      </c>
      <c r="I126" s="1916">
        <v>0</v>
      </c>
      <c r="J126" s="3489"/>
      <c r="K126" s="3485"/>
    </row>
    <row r="127" spans="1:11" ht="15.75" customHeight="1" outlineLevel="1">
      <c r="A127" s="3483"/>
      <c r="B127" s="3484"/>
      <c r="C127" s="3485"/>
      <c r="D127" s="1915">
        <v>2022</v>
      </c>
      <c r="E127" s="1916">
        <f t="shared" si="20"/>
        <v>0</v>
      </c>
      <c r="F127" s="1916">
        <v>0</v>
      </c>
      <c r="G127" s="1916">
        <f t="shared" si="21"/>
        <v>0</v>
      </c>
      <c r="H127" s="1916">
        <f t="shared" si="21"/>
        <v>0</v>
      </c>
      <c r="I127" s="1916">
        <v>0</v>
      </c>
      <c r="J127" s="3489"/>
      <c r="K127" s="3485"/>
    </row>
    <row r="128" spans="1:11" ht="15.75" customHeight="1" outlineLevel="1">
      <c r="A128" s="3483"/>
      <c r="B128" s="3484"/>
      <c r="C128" s="3485"/>
      <c r="D128" s="1915">
        <v>2023</v>
      </c>
      <c r="E128" s="1916">
        <f t="shared" si="20"/>
        <v>42275.265019999999</v>
      </c>
      <c r="F128" s="1916">
        <v>35000</v>
      </c>
      <c r="G128" s="1916"/>
      <c r="H128" s="1916">
        <v>7275.2650199999998</v>
      </c>
      <c r="I128" s="1916">
        <v>0</v>
      </c>
      <c r="J128" s="3489"/>
      <c r="K128" s="3485"/>
    </row>
    <row r="129" spans="1:11" ht="15.75" customHeight="1" outlineLevel="1">
      <c r="A129" s="3483"/>
      <c r="B129" s="3484"/>
      <c r="C129" s="3485"/>
      <c r="D129" s="1915">
        <v>2024</v>
      </c>
      <c r="E129" s="1916">
        <f t="shared" si="20"/>
        <v>35000</v>
      </c>
      <c r="F129" s="1916">
        <v>35000</v>
      </c>
      <c r="G129" s="1916">
        <f t="shared" si="21"/>
        <v>0</v>
      </c>
      <c r="H129" s="1916">
        <f t="shared" si="21"/>
        <v>0</v>
      </c>
      <c r="I129" s="1916">
        <v>0</v>
      </c>
      <c r="J129" s="3489"/>
      <c r="K129" s="3485"/>
    </row>
    <row r="130" spans="1:11" ht="15.75" customHeight="1" outlineLevel="1">
      <c r="A130" s="3483"/>
      <c r="B130" s="3484"/>
      <c r="C130" s="3485"/>
      <c r="D130" s="1915">
        <v>2025</v>
      </c>
      <c r="E130" s="1916">
        <f t="shared" si="20"/>
        <v>35000</v>
      </c>
      <c r="F130" s="1916">
        <v>35000</v>
      </c>
      <c r="G130" s="1916">
        <f t="shared" si="21"/>
        <v>0</v>
      </c>
      <c r="H130" s="1916">
        <f t="shared" si="21"/>
        <v>0</v>
      </c>
      <c r="I130" s="1916">
        <v>0</v>
      </c>
      <c r="J130" s="3490"/>
      <c r="K130" s="3485"/>
    </row>
    <row r="131" spans="1:11" ht="15.75" customHeight="1" outlineLevel="1">
      <c r="A131" s="3483" t="s">
        <v>3190</v>
      </c>
      <c r="B131" s="3484" t="s">
        <v>3189</v>
      </c>
      <c r="C131" s="3485" t="s">
        <v>3188</v>
      </c>
      <c r="D131" s="1915" t="s">
        <v>8</v>
      </c>
      <c r="E131" s="1916">
        <f t="shared" si="20"/>
        <v>28730.001</v>
      </c>
      <c r="F131" s="1916">
        <f>SUM(F132:F136)</f>
        <v>28730.001</v>
      </c>
      <c r="G131" s="1916">
        <f t="shared" ref="G131:H143" si="22">SUM(G132:G136)</f>
        <v>0</v>
      </c>
      <c r="H131" s="1916">
        <f t="shared" si="22"/>
        <v>0</v>
      </c>
      <c r="I131" s="1916">
        <f>SUM(I132:I136)</f>
        <v>0</v>
      </c>
      <c r="J131" s="3485" t="s">
        <v>3187</v>
      </c>
      <c r="K131" s="3485" t="s">
        <v>2799</v>
      </c>
    </row>
    <row r="132" spans="1:11" ht="15.75" customHeight="1" outlineLevel="1">
      <c r="A132" s="3483"/>
      <c r="B132" s="3484"/>
      <c r="C132" s="3485"/>
      <c r="D132" s="1915">
        <v>2021</v>
      </c>
      <c r="E132" s="1916">
        <f t="shared" si="20"/>
        <v>0</v>
      </c>
      <c r="F132" s="1916">
        <v>0</v>
      </c>
      <c r="G132" s="1916">
        <v>0</v>
      </c>
      <c r="H132" s="1916">
        <v>0</v>
      </c>
      <c r="I132" s="1916">
        <v>0</v>
      </c>
      <c r="J132" s="3485"/>
      <c r="K132" s="3485"/>
    </row>
    <row r="133" spans="1:11" ht="15.75" customHeight="1" outlineLevel="1">
      <c r="A133" s="3483"/>
      <c r="B133" s="3484"/>
      <c r="C133" s="3485"/>
      <c r="D133" s="1915">
        <v>2022</v>
      </c>
      <c r="E133" s="1916">
        <f t="shared" si="20"/>
        <v>0</v>
      </c>
      <c r="F133" s="1916">
        <v>0</v>
      </c>
      <c r="G133" s="1916">
        <v>0</v>
      </c>
      <c r="H133" s="1916">
        <v>0</v>
      </c>
      <c r="I133" s="1916">
        <v>0</v>
      </c>
      <c r="J133" s="3485"/>
      <c r="K133" s="3485"/>
    </row>
    <row r="134" spans="1:11" ht="15.75" customHeight="1" outlineLevel="1">
      <c r="A134" s="3483"/>
      <c r="B134" s="3484"/>
      <c r="C134" s="3485"/>
      <c r="D134" s="1915">
        <v>2023</v>
      </c>
      <c r="E134" s="1916">
        <f t="shared" si="20"/>
        <v>730.00100000000009</v>
      </c>
      <c r="F134" s="1918">
        <f>14000-5000-8105.321-164.678</f>
        <v>730.00100000000009</v>
      </c>
      <c r="G134" s="1916">
        <v>0</v>
      </c>
      <c r="H134" s="1916">
        <v>0</v>
      </c>
      <c r="I134" s="1916">
        <v>0</v>
      </c>
      <c r="J134" s="3485"/>
      <c r="K134" s="3485"/>
    </row>
    <row r="135" spans="1:11" ht="15.75" customHeight="1" outlineLevel="1">
      <c r="A135" s="3483"/>
      <c r="B135" s="3484"/>
      <c r="C135" s="3485"/>
      <c r="D135" s="1915">
        <v>2024</v>
      </c>
      <c r="E135" s="1916">
        <f t="shared" si="20"/>
        <v>14000</v>
      </c>
      <c r="F135" s="1916">
        <v>14000</v>
      </c>
      <c r="G135" s="1916">
        <v>0</v>
      </c>
      <c r="H135" s="1916">
        <v>0</v>
      </c>
      <c r="I135" s="1916">
        <v>0</v>
      </c>
      <c r="J135" s="3485"/>
      <c r="K135" s="3485"/>
    </row>
    <row r="136" spans="1:11" ht="15.75" customHeight="1" outlineLevel="1">
      <c r="A136" s="3483"/>
      <c r="B136" s="3484"/>
      <c r="C136" s="3485"/>
      <c r="D136" s="1915">
        <v>2025</v>
      </c>
      <c r="E136" s="1916">
        <f t="shared" si="20"/>
        <v>14000</v>
      </c>
      <c r="F136" s="1916">
        <v>14000</v>
      </c>
      <c r="G136" s="1916">
        <v>0</v>
      </c>
      <c r="H136" s="1916">
        <v>0</v>
      </c>
      <c r="I136" s="1916">
        <v>0</v>
      </c>
      <c r="J136" s="3485"/>
      <c r="K136" s="3485"/>
    </row>
    <row r="137" spans="1:11" ht="15.75" customHeight="1" outlineLevel="1">
      <c r="A137" s="3483" t="s">
        <v>3615</v>
      </c>
      <c r="B137" s="3484" t="s">
        <v>3616</v>
      </c>
      <c r="C137" s="3485" t="s">
        <v>3188</v>
      </c>
      <c r="D137" s="1915" t="s">
        <v>8</v>
      </c>
      <c r="E137" s="1916">
        <f>SUM(E138:E142)</f>
        <v>0</v>
      </c>
      <c r="F137" s="1916">
        <v>0</v>
      </c>
      <c r="G137" s="1916">
        <v>0</v>
      </c>
      <c r="H137" s="1916">
        <v>0</v>
      </c>
      <c r="I137" s="1916">
        <v>0</v>
      </c>
      <c r="J137" s="3485" t="s">
        <v>3617</v>
      </c>
      <c r="K137" s="3485" t="s">
        <v>2799</v>
      </c>
    </row>
    <row r="138" spans="1:11" ht="15.75" customHeight="1" outlineLevel="1">
      <c r="A138" s="3483"/>
      <c r="B138" s="3484"/>
      <c r="C138" s="3485"/>
      <c r="D138" s="1915">
        <v>2021</v>
      </c>
      <c r="E138" s="1916">
        <f>SUM(F138:I138)</f>
        <v>0</v>
      </c>
      <c r="F138" s="1916">
        <v>0</v>
      </c>
      <c r="G138" s="1916">
        <v>0</v>
      </c>
      <c r="H138" s="1916">
        <v>0</v>
      </c>
      <c r="I138" s="1916">
        <v>0</v>
      </c>
      <c r="J138" s="3485"/>
      <c r="K138" s="3485"/>
    </row>
    <row r="139" spans="1:11" ht="15.75" customHeight="1" outlineLevel="1">
      <c r="A139" s="3483"/>
      <c r="B139" s="3484"/>
      <c r="C139" s="3485"/>
      <c r="D139" s="1915">
        <v>2022</v>
      </c>
      <c r="E139" s="1916">
        <f>SUM(F139:I139)</f>
        <v>0</v>
      </c>
      <c r="F139" s="1916">
        <v>0</v>
      </c>
      <c r="G139" s="1916">
        <v>0</v>
      </c>
      <c r="H139" s="1916">
        <v>0</v>
      </c>
      <c r="I139" s="1916">
        <v>0</v>
      </c>
      <c r="J139" s="3485"/>
      <c r="K139" s="3485"/>
    </row>
    <row r="140" spans="1:11" ht="15.75" customHeight="1" outlineLevel="1">
      <c r="A140" s="3483"/>
      <c r="B140" s="3484"/>
      <c r="C140" s="3485"/>
      <c r="D140" s="1915">
        <v>2023</v>
      </c>
      <c r="E140" s="1916">
        <f>SUM(F140:I140)</f>
        <v>0</v>
      </c>
      <c r="F140" s="1918">
        <v>0</v>
      </c>
      <c r="G140" s="1916">
        <v>0</v>
      </c>
      <c r="H140" s="1916"/>
      <c r="I140" s="1916">
        <v>0</v>
      </c>
      <c r="J140" s="3485"/>
      <c r="K140" s="3485"/>
    </row>
    <row r="141" spans="1:11" ht="15.75" customHeight="1" outlineLevel="1">
      <c r="A141" s="3483"/>
      <c r="B141" s="3484"/>
      <c r="C141" s="3485"/>
      <c r="D141" s="1915">
        <v>2024</v>
      </c>
      <c r="E141" s="1916">
        <f>SUM(F141:I141)</f>
        <v>0</v>
      </c>
      <c r="F141" s="1916">
        <v>0</v>
      </c>
      <c r="G141" s="1916">
        <v>0</v>
      </c>
      <c r="H141" s="1916">
        <v>0</v>
      </c>
      <c r="I141" s="1916">
        <v>0</v>
      </c>
      <c r="J141" s="3485"/>
      <c r="K141" s="3485"/>
    </row>
    <row r="142" spans="1:11" ht="15.75" customHeight="1" outlineLevel="1">
      <c r="A142" s="3483"/>
      <c r="B142" s="3484"/>
      <c r="C142" s="3485"/>
      <c r="D142" s="1915">
        <v>2025</v>
      </c>
      <c r="E142" s="1916">
        <f>SUM(F142:I142)</f>
        <v>0</v>
      </c>
      <c r="F142" s="1916">
        <v>0</v>
      </c>
      <c r="G142" s="1916">
        <v>0</v>
      </c>
      <c r="H142" s="1916">
        <v>0</v>
      </c>
      <c r="I142" s="1916">
        <v>0</v>
      </c>
      <c r="J142" s="3485"/>
      <c r="K142" s="3485"/>
    </row>
    <row r="143" spans="1:11" ht="15" customHeight="1" outlineLevel="1">
      <c r="A143" s="3483" t="s">
        <v>3186</v>
      </c>
      <c r="B143" s="3484" t="s">
        <v>631</v>
      </c>
      <c r="C143" s="3485" t="s">
        <v>2989</v>
      </c>
      <c r="D143" s="1915" t="s">
        <v>8</v>
      </c>
      <c r="E143" s="1916">
        <f t="shared" si="20"/>
        <v>61554.284749999992</v>
      </c>
      <c r="F143" s="1916">
        <f>SUM(F144:F148)</f>
        <v>37870.977269999996</v>
      </c>
      <c r="G143" s="1916">
        <f t="shared" si="22"/>
        <v>23683.307479999996</v>
      </c>
      <c r="H143" s="1916">
        <f>SUM(H144:H148)</f>
        <v>0</v>
      </c>
      <c r="I143" s="1916">
        <f>SUM(I144:I148)</f>
        <v>0</v>
      </c>
      <c r="J143" s="3485" t="s">
        <v>3185</v>
      </c>
      <c r="K143" s="3485" t="s">
        <v>3175</v>
      </c>
    </row>
    <row r="144" spans="1:11" outlineLevel="1">
      <c r="A144" s="3483"/>
      <c r="B144" s="3484"/>
      <c r="C144" s="3485"/>
      <c r="D144" s="1915">
        <v>2021</v>
      </c>
      <c r="E144" s="1916">
        <f t="shared" si="20"/>
        <v>27116.562749999997</v>
      </c>
      <c r="F144" s="1916">
        <f t="shared" ref="F144:I148" si="23">F156+F168+F150+F162</f>
        <v>6916.3637500000004</v>
      </c>
      <c r="G144" s="1916">
        <f t="shared" si="23"/>
        <v>20200.198999999997</v>
      </c>
      <c r="H144" s="1916">
        <f t="shared" si="23"/>
        <v>0</v>
      </c>
      <c r="I144" s="1916">
        <f t="shared" si="23"/>
        <v>0</v>
      </c>
      <c r="J144" s="3485"/>
      <c r="K144" s="3485"/>
    </row>
    <row r="145" spans="1:12" outlineLevel="1">
      <c r="A145" s="3483"/>
      <c r="B145" s="3484"/>
      <c r="C145" s="3485"/>
      <c r="D145" s="1915">
        <v>2022</v>
      </c>
      <c r="E145" s="1916">
        <f t="shared" si="20"/>
        <v>9977.7219999999998</v>
      </c>
      <c r="F145" s="1916">
        <f t="shared" si="23"/>
        <v>7610.2449999999999</v>
      </c>
      <c r="G145" s="1916">
        <f t="shared" si="23"/>
        <v>2367.4769999999999</v>
      </c>
      <c r="H145" s="1916">
        <f t="shared" si="23"/>
        <v>0</v>
      </c>
      <c r="I145" s="1916">
        <f t="shared" si="23"/>
        <v>0</v>
      </c>
      <c r="J145" s="3485"/>
      <c r="K145" s="3485"/>
    </row>
    <row r="146" spans="1:12" outlineLevel="1">
      <c r="A146" s="3483"/>
      <c r="B146" s="3484"/>
      <c r="C146" s="3485"/>
      <c r="D146" s="1915">
        <v>2023</v>
      </c>
      <c r="E146" s="1916">
        <f t="shared" si="20"/>
        <v>10141.799999999999</v>
      </c>
      <c r="F146" s="1916">
        <f t="shared" si="23"/>
        <v>9026.1685199999993</v>
      </c>
      <c r="G146" s="1916">
        <f t="shared" si="23"/>
        <v>1115.63148</v>
      </c>
      <c r="H146" s="1916">
        <f t="shared" si="23"/>
        <v>0</v>
      </c>
      <c r="I146" s="1916">
        <f t="shared" si="23"/>
        <v>0</v>
      </c>
      <c r="J146" s="3485"/>
      <c r="K146" s="3485"/>
    </row>
    <row r="147" spans="1:12" outlineLevel="1">
      <c r="A147" s="3483"/>
      <c r="B147" s="3484"/>
      <c r="C147" s="3485"/>
      <c r="D147" s="1915">
        <v>2024</v>
      </c>
      <c r="E147" s="1916">
        <f t="shared" si="20"/>
        <v>7159.1</v>
      </c>
      <c r="F147" s="1916">
        <f t="shared" si="23"/>
        <v>7159.1</v>
      </c>
      <c r="G147" s="1916">
        <f t="shared" si="23"/>
        <v>0</v>
      </c>
      <c r="H147" s="1916">
        <f t="shared" si="23"/>
        <v>0</v>
      </c>
      <c r="I147" s="1916">
        <f t="shared" si="23"/>
        <v>0</v>
      </c>
      <c r="J147" s="3485"/>
      <c r="K147" s="3485"/>
    </row>
    <row r="148" spans="1:12" outlineLevel="1">
      <c r="A148" s="3483"/>
      <c r="B148" s="3484"/>
      <c r="C148" s="3485"/>
      <c r="D148" s="1915">
        <v>2025</v>
      </c>
      <c r="E148" s="1916">
        <f t="shared" si="20"/>
        <v>7159.1</v>
      </c>
      <c r="F148" s="1916">
        <f t="shared" si="23"/>
        <v>7159.1</v>
      </c>
      <c r="G148" s="1916">
        <f t="shared" si="23"/>
        <v>0</v>
      </c>
      <c r="H148" s="1916">
        <f t="shared" si="23"/>
        <v>0</v>
      </c>
      <c r="I148" s="1916">
        <f t="shared" si="23"/>
        <v>0</v>
      </c>
      <c r="J148" s="3485"/>
      <c r="K148" s="3485"/>
    </row>
    <row r="149" spans="1:12" outlineLevel="1">
      <c r="A149" s="3483" t="s">
        <v>3184</v>
      </c>
      <c r="B149" s="3484" t="s">
        <v>655</v>
      </c>
      <c r="C149" s="3485" t="s">
        <v>3115</v>
      </c>
      <c r="D149" s="1915" t="s">
        <v>8</v>
      </c>
      <c r="E149" s="1916">
        <f t="shared" si="20"/>
        <v>5045.5297499999997</v>
      </c>
      <c r="F149" s="1916">
        <f>SUM(F150:F154)</f>
        <v>302.73126999999999</v>
      </c>
      <c r="G149" s="1916">
        <f>SUM(G150:G154)</f>
        <v>4742.7984799999995</v>
      </c>
      <c r="H149" s="1916">
        <f>SUM(H150:H154)</f>
        <v>0</v>
      </c>
      <c r="I149" s="1916">
        <f>SUM(I150:I154)</f>
        <v>0</v>
      </c>
      <c r="J149" s="3485" t="s">
        <v>3611</v>
      </c>
      <c r="K149" s="3485" t="s">
        <v>3182</v>
      </c>
    </row>
    <row r="150" spans="1:12" outlineLevel="1">
      <c r="A150" s="3483"/>
      <c r="B150" s="3484"/>
      <c r="C150" s="3485"/>
      <c r="D150" s="1915">
        <v>2021</v>
      </c>
      <c r="E150" s="1916">
        <f t="shared" si="20"/>
        <v>1340.09575</v>
      </c>
      <c r="F150" s="1916">
        <v>80.405749999999998</v>
      </c>
      <c r="G150" s="1916">
        <v>1259.69</v>
      </c>
      <c r="H150" s="1916">
        <v>0</v>
      </c>
      <c r="I150" s="1916">
        <v>0</v>
      </c>
      <c r="J150" s="3485"/>
      <c r="K150" s="3485"/>
    </row>
    <row r="151" spans="1:12" outlineLevel="1">
      <c r="A151" s="3483"/>
      <c r="B151" s="3484"/>
      <c r="C151" s="3485"/>
      <c r="D151" s="1915">
        <v>2022</v>
      </c>
      <c r="E151" s="1916">
        <f t="shared" si="20"/>
        <v>2518.5919999999996</v>
      </c>
      <c r="F151" s="1916">
        <v>151.11500000000001</v>
      </c>
      <c r="G151" s="1916">
        <v>2367.4769999999999</v>
      </c>
      <c r="H151" s="1916">
        <v>0</v>
      </c>
      <c r="I151" s="1916">
        <v>0</v>
      </c>
      <c r="J151" s="3485"/>
      <c r="K151" s="3485"/>
    </row>
    <row r="152" spans="1:12" outlineLevel="1">
      <c r="A152" s="3483"/>
      <c r="B152" s="3484"/>
      <c r="C152" s="3485"/>
      <c r="D152" s="1915">
        <v>2023</v>
      </c>
      <c r="E152" s="1916">
        <f t="shared" si="20"/>
        <v>1186.8420000000001</v>
      </c>
      <c r="F152" s="1916">
        <v>71.210520000000002</v>
      </c>
      <c r="G152" s="1916">
        <v>1115.63148</v>
      </c>
      <c r="H152" s="1916">
        <v>0</v>
      </c>
      <c r="I152" s="1916">
        <v>0</v>
      </c>
      <c r="J152" s="3485"/>
      <c r="K152" s="3485"/>
    </row>
    <row r="153" spans="1:12" outlineLevel="1">
      <c r="A153" s="3483"/>
      <c r="B153" s="3484"/>
      <c r="C153" s="3485"/>
      <c r="D153" s="1915">
        <v>2024</v>
      </c>
      <c r="E153" s="1916">
        <f t="shared" si="20"/>
        <v>0</v>
      </c>
      <c r="F153" s="1916">
        <v>0</v>
      </c>
      <c r="G153" s="1916">
        <v>0</v>
      </c>
      <c r="H153" s="1916">
        <v>0</v>
      </c>
      <c r="I153" s="1916">
        <v>0</v>
      </c>
      <c r="J153" s="3485"/>
      <c r="K153" s="3485"/>
    </row>
    <row r="154" spans="1:12" outlineLevel="1">
      <c r="A154" s="3483"/>
      <c r="B154" s="3484"/>
      <c r="C154" s="3485"/>
      <c r="D154" s="1915">
        <v>2025</v>
      </c>
      <c r="E154" s="1916">
        <f t="shared" si="20"/>
        <v>0</v>
      </c>
      <c r="F154" s="1916">
        <v>0</v>
      </c>
      <c r="G154" s="1916">
        <v>0</v>
      </c>
      <c r="H154" s="1916">
        <v>0</v>
      </c>
      <c r="I154" s="1916">
        <v>0</v>
      </c>
      <c r="J154" s="3485"/>
      <c r="K154" s="3485"/>
    </row>
    <row r="155" spans="1:12" ht="15" customHeight="1" outlineLevel="1">
      <c r="A155" s="3483" t="s">
        <v>3181</v>
      </c>
      <c r="B155" s="3484" t="s">
        <v>3180</v>
      </c>
      <c r="C155" s="3485" t="s">
        <v>2989</v>
      </c>
      <c r="D155" s="1915" t="s">
        <v>8</v>
      </c>
      <c r="E155" s="1916">
        <f t="shared" si="20"/>
        <v>14562.969000000001</v>
      </c>
      <c r="F155" s="1916">
        <f>SUM(F156:F160)</f>
        <v>14562.969000000001</v>
      </c>
      <c r="G155" s="1916">
        <f>SUM(G156:G160)</f>
        <v>0</v>
      </c>
      <c r="H155" s="1916">
        <f>SUM(H156:H160)</f>
        <v>0</v>
      </c>
      <c r="I155" s="1916">
        <f>SUM(I156:I160)</f>
        <v>0</v>
      </c>
      <c r="J155" s="3485" t="s">
        <v>25</v>
      </c>
      <c r="K155" s="3485" t="s">
        <v>2799</v>
      </c>
      <c r="L155" s="3487"/>
    </row>
    <row r="156" spans="1:12" outlineLevel="1">
      <c r="A156" s="3483"/>
      <c r="B156" s="3484"/>
      <c r="C156" s="3485"/>
      <c r="D156" s="1915">
        <v>2021</v>
      </c>
      <c r="E156" s="1916">
        <f t="shared" si="20"/>
        <v>1631.52</v>
      </c>
      <c r="F156" s="1916">
        <v>1631.52</v>
      </c>
      <c r="G156" s="1916">
        <v>0</v>
      </c>
      <c r="H156" s="1916">
        <v>0</v>
      </c>
      <c r="I156" s="1916">
        <v>0</v>
      </c>
      <c r="J156" s="3485"/>
      <c r="K156" s="3485"/>
      <c r="L156" s="3487"/>
    </row>
    <row r="157" spans="1:12" outlineLevel="1">
      <c r="A157" s="3483"/>
      <c r="B157" s="3484"/>
      <c r="C157" s="3485"/>
      <c r="D157" s="1915">
        <v>2022</v>
      </c>
      <c r="E157" s="1916">
        <f t="shared" si="20"/>
        <v>3459.13</v>
      </c>
      <c r="F157" s="1916">
        <v>3459.13</v>
      </c>
      <c r="G157" s="1916">
        <v>0</v>
      </c>
      <c r="H157" s="1916">
        <v>0</v>
      </c>
      <c r="I157" s="1916">
        <v>0</v>
      </c>
      <c r="J157" s="3485"/>
      <c r="K157" s="3485"/>
      <c r="L157" s="3487"/>
    </row>
    <row r="158" spans="1:12" outlineLevel="1">
      <c r="A158" s="3483"/>
      <c r="B158" s="3484"/>
      <c r="C158" s="3485"/>
      <c r="D158" s="1915">
        <v>2023</v>
      </c>
      <c r="E158" s="1916">
        <f t="shared" si="20"/>
        <v>3154.1189999999997</v>
      </c>
      <c r="F158" s="1920">
        <f>3159.1-4.981</f>
        <v>3154.1189999999997</v>
      </c>
      <c r="G158" s="1916">
        <v>0</v>
      </c>
      <c r="H158" s="1916">
        <v>0</v>
      </c>
      <c r="I158" s="1916">
        <v>0</v>
      </c>
      <c r="J158" s="3485"/>
      <c r="K158" s="3485"/>
      <c r="L158" s="3487"/>
    </row>
    <row r="159" spans="1:12" outlineLevel="1">
      <c r="A159" s="3483"/>
      <c r="B159" s="3484"/>
      <c r="C159" s="3485"/>
      <c r="D159" s="1915">
        <v>2024</v>
      </c>
      <c r="E159" s="1916">
        <f t="shared" si="20"/>
        <v>3159.1</v>
      </c>
      <c r="F159" s="1916">
        <v>3159.1</v>
      </c>
      <c r="G159" s="1916">
        <v>0</v>
      </c>
      <c r="H159" s="1916">
        <v>0</v>
      </c>
      <c r="I159" s="1916">
        <v>0</v>
      </c>
      <c r="J159" s="3485"/>
      <c r="K159" s="3485"/>
      <c r="L159" s="3487"/>
    </row>
    <row r="160" spans="1:12" outlineLevel="1">
      <c r="A160" s="3483"/>
      <c r="B160" s="3484"/>
      <c r="C160" s="3485"/>
      <c r="D160" s="1915">
        <v>2025</v>
      </c>
      <c r="E160" s="1916">
        <f t="shared" si="20"/>
        <v>3159.1</v>
      </c>
      <c r="F160" s="1916">
        <v>3159.1</v>
      </c>
      <c r="G160" s="1916">
        <v>0</v>
      </c>
      <c r="H160" s="1916">
        <v>0</v>
      </c>
      <c r="I160" s="1916">
        <v>0</v>
      </c>
      <c r="J160" s="3485"/>
      <c r="K160" s="3485"/>
      <c r="L160" s="3487"/>
    </row>
    <row r="161" spans="1:12" ht="18" customHeight="1" outlineLevel="1">
      <c r="A161" s="3483" t="s">
        <v>3179</v>
      </c>
      <c r="B161" s="3484" t="s">
        <v>3178</v>
      </c>
      <c r="C161" s="3485" t="s">
        <v>2989</v>
      </c>
      <c r="D161" s="1915" t="s">
        <v>8</v>
      </c>
      <c r="E161" s="1916">
        <f t="shared" si="20"/>
        <v>21796.309000000001</v>
      </c>
      <c r="F161" s="1916">
        <f>SUM(F162:F166)</f>
        <v>21796.309000000001</v>
      </c>
      <c r="G161" s="1916">
        <f>SUM(G162:G166)</f>
        <v>0</v>
      </c>
      <c r="H161" s="1916">
        <f>SUM(H162:H166)</f>
        <v>0</v>
      </c>
      <c r="I161" s="1916">
        <f>SUM(I162:I166)</f>
        <v>0</v>
      </c>
      <c r="J161" s="3485" t="s">
        <v>2851</v>
      </c>
      <c r="K161" s="3485" t="s">
        <v>2852</v>
      </c>
    </row>
    <row r="162" spans="1:12" ht="18" customHeight="1" outlineLevel="1">
      <c r="A162" s="3483"/>
      <c r="B162" s="3484"/>
      <c r="C162" s="3485"/>
      <c r="D162" s="1915">
        <v>2021</v>
      </c>
      <c r="E162" s="1916">
        <f t="shared" si="20"/>
        <v>3995.47</v>
      </c>
      <c r="F162" s="1916">
        <v>3995.47</v>
      </c>
      <c r="G162" s="1916">
        <v>0</v>
      </c>
      <c r="H162" s="1916">
        <v>0</v>
      </c>
      <c r="I162" s="1916">
        <v>0</v>
      </c>
      <c r="J162" s="3485"/>
      <c r="K162" s="3485"/>
    </row>
    <row r="163" spans="1:12" ht="18" customHeight="1" outlineLevel="1">
      <c r="A163" s="3483"/>
      <c r="B163" s="3484"/>
      <c r="C163" s="3485"/>
      <c r="D163" s="1915">
        <v>2022</v>
      </c>
      <c r="E163" s="1916">
        <f t="shared" si="20"/>
        <v>4000</v>
      </c>
      <c r="F163" s="1916">
        <v>4000</v>
      </c>
      <c r="G163" s="1916">
        <v>0</v>
      </c>
      <c r="H163" s="1916">
        <v>0</v>
      </c>
      <c r="I163" s="1916">
        <v>0</v>
      </c>
      <c r="J163" s="3485"/>
      <c r="K163" s="3485"/>
    </row>
    <row r="164" spans="1:12" ht="18" customHeight="1" outlineLevel="1">
      <c r="A164" s="3483"/>
      <c r="B164" s="3484"/>
      <c r="C164" s="3485"/>
      <c r="D164" s="1915">
        <v>2023</v>
      </c>
      <c r="E164" s="1916">
        <f t="shared" si="20"/>
        <v>5800.8389999999999</v>
      </c>
      <c r="F164" s="1918">
        <f>4000+164.678+1500+136.161</f>
        <v>5800.8389999999999</v>
      </c>
      <c r="G164" s="1916">
        <v>0</v>
      </c>
      <c r="H164" s="1916">
        <v>0</v>
      </c>
      <c r="I164" s="1916">
        <v>0</v>
      </c>
      <c r="J164" s="3485"/>
      <c r="K164" s="3485"/>
    </row>
    <row r="165" spans="1:12" ht="18" customHeight="1" outlineLevel="1">
      <c r="A165" s="3483"/>
      <c r="B165" s="3484"/>
      <c r="C165" s="3485"/>
      <c r="D165" s="1915">
        <v>2024</v>
      </c>
      <c r="E165" s="1916">
        <f t="shared" si="20"/>
        <v>4000</v>
      </c>
      <c r="F165" s="1916">
        <v>4000</v>
      </c>
      <c r="G165" s="1916">
        <v>0</v>
      </c>
      <c r="H165" s="1916">
        <v>0</v>
      </c>
      <c r="I165" s="1916">
        <v>0</v>
      </c>
      <c r="J165" s="3485"/>
      <c r="K165" s="3485"/>
    </row>
    <row r="166" spans="1:12" ht="18" customHeight="1" outlineLevel="1">
      <c r="A166" s="3483"/>
      <c r="B166" s="3484"/>
      <c r="C166" s="3485"/>
      <c r="D166" s="1915">
        <v>2025</v>
      </c>
      <c r="E166" s="1916">
        <f t="shared" si="20"/>
        <v>4000</v>
      </c>
      <c r="F166" s="1916">
        <v>4000</v>
      </c>
      <c r="G166" s="1916">
        <v>0</v>
      </c>
      <c r="H166" s="1916">
        <v>0</v>
      </c>
      <c r="I166" s="1916">
        <v>0</v>
      </c>
      <c r="J166" s="3485"/>
      <c r="K166" s="3485"/>
    </row>
    <row r="167" spans="1:12" ht="13.5" customHeight="1" outlineLevel="1">
      <c r="A167" s="3483" t="s">
        <v>3177</v>
      </c>
      <c r="B167" s="3484" t="s">
        <v>655</v>
      </c>
      <c r="C167" s="3485" t="s">
        <v>3115</v>
      </c>
      <c r="D167" s="1915" t="s">
        <v>8</v>
      </c>
      <c r="E167" s="1916">
        <f t="shared" si="20"/>
        <v>20149.476999999999</v>
      </c>
      <c r="F167" s="1916">
        <f>SUM(F168:F172)</f>
        <v>1208.9680000000001</v>
      </c>
      <c r="G167" s="1916">
        <f>SUM(G168:G172)</f>
        <v>18940.508999999998</v>
      </c>
      <c r="H167" s="1916">
        <f>SUM(H168:H172)</f>
        <v>0</v>
      </c>
      <c r="I167" s="1916">
        <f>SUM(I168:I172)</f>
        <v>0</v>
      </c>
      <c r="J167" s="3485" t="s">
        <v>3176</v>
      </c>
      <c r="K167" s="3485" t="s">
        <v>2852</v>
      </c>
    </row>
    <row r="168" spans="1:12" ht="13.5" customHeight="1" outlineLevel="1">
      <c r="A168" s="3483"/>
      <c r="B168" s="3484"/>
      <c r="C168" s="3485"/>
      <c r="D168" s="1915">
        <v>2021</v>
      </c>
      <c r="E168" s="1916">
        <f t="shared" si="20"/>
        <v>20149.476999999999</v>
      </c>
      <c r="F168" s="1916">
        <v>1208.9680000000001</v>
      </c>
      <c r="G168" s="1916">
        <v>18940.508999999998</v>
      </c>
      <c r="H168" s="1916">
        <v>0</v>
      </c>
      <c r="I168" s="1916">
        <v>0</v>
      </c>
      <c r="J168" s="3485"/>
      <c r="K168" s="3485"/>
    </row>
    <row r="169" spans="1:12" ht="13.5" customHeight="1" outlineLevel="1">
      <c r="A169" s="3483"/>
      <c r="B169" s="3484"/>
      <c r="C169" s="3485"/>
      <c r="D169" s="1915">
        <v>2022</v>
      </c>
      <c r="E169" s="1916">
        <f t="shared" si="20"/>
        <v>0</v>
      </c>
      <c r="F169" s="1916">
        <v>0</v>
      </c>
      <c r="G169" s="1916">
        <v>0</v>
      </c>
      <c r="H169" s="1916">
        <v>0</v>
      </c>
      <c r="I169" s="1916">
        <v>0</v>
      </c>
      <c r="J169" s="3485"/>
      <c r="K169" s="3485"/>
    </row>
    <row r="170" spans="1:12" ht="13.5" customHeight="1" outlineLevel="1">
      <c r="A170" s="3483"/>
      <c r="B170" s="3484"/>
      <c r="C170" s="3485"/>
      <c r="D170" s="1915">
        <v>2023</v>
      </c>
      <c r="E170" s="1916">
        <f t="shared" si="20"/>
        <v>0</v>
      </c>
      <c r="F170" s="1916">
        <v>0</v>
      </c>
      <c r="G170" s="1916">
        <v>0</v>
      </c>
      <c r="H170" s="1916">
        <v>0</v>
      </c>
      <c r="I170" s="1916">
        <v>0</v>
      </c>
      <c r="J170" s="3485"/>
      <c r="K170" s="3485"/>
    </row>
    <row r="171" spans="1:12" ht="13.5" customHeight="1" outlineLevel="1">
      <c r="A171" s="3483"/>
      <c r="B171" s="3484"/>
      <c r="C171" s="3485"/>
      <c r="D171" s="1915">
        <v>2024</v>
      </c>
      <c r="E171" s="1916">
        <f t="shared" si="20"/>
        <v>0</v>
      </c>
      <c r="F171" s="1916">
        <v>0</v>
      </c>
      <c r="G171" s="1916">
        <v>0</v>
      </c>
      <c r="H171" s="1916">
        <v>0</v>
      </c>
      <c r="I171" s="1916">
        <v>0</v>
      </c>
      <c r="J171" s="3485"/>
      <c r="K171" s="3485"/>
    </row>
    <row r="172" spans="1:12" ht="13.5" customHeight="1" outlineLevel="1">
      <c r="A172" s="3483"/>
      <c r="B172" s="3484"/>
      <c r="C172" s="3485"/>
      <c r="D172" s="1915">
        <v>2025</v>
      </c>
      <c r="E172" s="1916">
        <f t="shared" si="20"/>
        <v>0</v>
      </c>
      <c r="F172" s="1916">
        <v>0</v>
      </c>
      <c r="G172" s="1916">
        <v>0</v>
      </c>
      <c r="H172" s="1916">
        <v>0</v>
      </c>
      <c r="I172" s="1916">
        <v>0</v>
      </c>
      <c r="J172" s="3485"/>
      <c r="K172" s="3485"/>
    </row>
    <row r="173" spans="1:12" ht="15" customHeight="1">
      <c r="A173" s="3483" t="s">
        <v>485</v>
      </c>
      <c r="B173" s="3484" t="s">
        <v>2916</v>
      </c>
      <c r="C173" s="3485" t="s">
        <v>2989</v>
      </c>
      <c r="D173" s="1915" t="s">
        <v>8</v>
      </c>
      <c r="E173" s="1916">
        <f t="shared" si="20"/>
        <v>5248206.8447800009</v>
      </c>
      <c r="F173" s="1916">
        <f>SUM(F174:F178)</f>
        <v>5091259.8912000004</v>
      </c>
      <c r="G173" s="1916">
        <f>SUM(G174:G178)</f>
        <v>71412.78336999999</v>
      </c>
      <c r="H173" s="1916">
        <f>SUM(H174:H178)</f>
        <v>85534.170209999997</v>
      </c>
      <c r="I173" s="1916">
        <f>SUM(I174:I178)</f>
        <v>0</v>
      </c>
      <c r="J173" s="3485"/>
      <c r="K173" s="3485" t="s">
        <v>3175</v>
      </c>
      <c r="L173" s="1914" t="s">
        <v>3174</v>
      </c>
    </row>
    <row r="174" spans="1:12">
      <c r="A174" s="3483"/>
      <c r="B174" s="3484"/>
      <c r="C174" s="3485"/>
      <c r="D174" s="1915">
        <v>2021</v>
      </c>
      <c r="E174" s="1916">
        <f t="shared" si="20"/>
        <v>891879.98959000001</v>
      </c>
      <c r="F174" s="1916">
        <f t="shared" ref="F174:I178" si="24">F180+F312+F330</f>
        <v>854371.18938</v>
      </c>
      <c r="G174" s="1916">
        <f t="shared" si="24"/>
        <v>24191.1</v>
      </c>
      <c r="H174" s="1916">
        <f t="shared" si="24"/>
        <v>13317.700210000001</v>
      </c>
      <c r="I174" s="1916">
        <f t="shared" si="24"/>
        <v>0</v>
      </c>
      <c r="J174" s="3485"/>
      <c r="K174" s="3485"/>
    </row>
    <row r="175" spans="1:12">
      <c r="A175" s="3483"/>
      <c r="B175" s="3484"/>
      <c r="C175" s="3485"/>
      <c r="D175" s="1915">
        <v>2022</v>
      </c>
      <c r="E175" s="1916">
        <f t="shared" si="20"/>
        <v>1227311.4540000001</v>
      </c>
      <c r="F175" s="1916">
        <f t="shared" si="24"/>
        <v>1191344.9740000002</v>
      </c>
      <c r="G175" s="1916">
        <f t="shared" si="24"/>
        <v>16189.3</v>
      </c>
      <c r="H175" s="1916">
        <f t="shared" si="24"/>
        <v>19777.18</v>
      </c>
      <c r="I175" s="1916">
        <f t="shared" si="24"/>
        <v>0</v>
      </c>
      <c r="J175" s="3485"/>
      <c r="K175" s="3485"/>
    </row>
    <row r="176" spans="1:12">
      <c r="A176" s="3483"/>
      <c r="B176" s="3484"/>
      <c r="C176" s="3485"/>
      <c r="D176" s="1915">
        <v>2023</v>
      </c>
      <c r="E176" s="1916">
        <f t="shared" si="20"/>
        <v>1113485.8361899999</v>
      </c>
      <c r="F176" s="1916">
        <f t="shared" si="24"/>
        <v>1082614.0228200001</v>
      </c>
      <c r="G176" s="1916">
        <f t="shared" si="24"/>
        <v>11094.58337</v>
      </c>
      <c r="H176" s="1916">
        <f t="shared" si="24"/>
        <v>19777.23</v>
      </c>
      <c r="I176" s="1916">
        <f t="shared" si="24"/>
        <v>0</v>
      </c>
      <c r="J176" s="3485"/>
      <c r="K176" s="3485"/>
    </row>
    <row r="177" spans="1:13">
      <c r="A177" s="3483"/>
      <c r="B177" s="3484"/>
      <c r="C177" s="3485"/>
      <c r="D177" s="1915">
        <v>2024</v>
      </c>
      <c r="E177" s="1916">
        <f t="shared" si="20"/>
        <v>1018527.559</v>
      </c>
      <c r="F177" s="1916">
        <f t="shared" si="24"/>
        <v>982258.72899999993</v>
      </c>
      <c r="G177" s="1916">
        <f t="shared" si="24"/>
        <v>19937.8</v>
      </c>
      <c r="H177" s="1916">
        <f t="shared" si="24"/>
        <v>16331.03</v>
      </c>
      <c r="I177" s="1916">
        <f t="shared" si="24"/>
        <v>0</v>
      </c>
      <c r="J177" s="3485"/>
      <c r="K177" s="3485"/>
    </row>
    <row r="178" spans="1:13">
      <c r="A178" s="3483"/>
      <c r="B178" s="3484"/>
      <c r="C178" s="3485"/>
      <c r="D178" s="1915">
        <v>2025</v>
      </c>
      <c r="E178" s="1916">
        <f t="shared" si="20"/>
        <v>997002.00600000005</v>
      </c>
      <c r="F178" s="1916">
        <f t="shared" si="24"/>
        <v>980670.97600000002</v>
      </c>
      <c r="G178" s="1916">
        <f t="shared" si="24"/>
        <v>0</v>
      </c>
      <c r="H178" s="1916">
        <f t="shared" si="24"/>
        <v>16331.03</v>
      </c>
      <c r="I178" s="1916">
        <f t="shared" si="24"/>
        <v>0</v>
      </c>
      <c r="J178" s="3485"/>
      <c r="K178" s="3485"/>
    </row>
    <row r="179" spans="1:13" ht="13.5" customHeight="1" outlineLevel="1">
      <c r="A179" s="3483" t="s">
        <v>3173</v>
      </c>
      <c r="B179" s="3484" t="s">
        <v>3172</v>
      </c>
      <c r="C179" s="3485" t="s">
        <v>2989</v>
      </c>
      <c r="D179" s="1915" t="s">
        <v>8</v>
      </c>
      <c r="E179" s="1916">
        <f t="shared" si="20"/>
        <v>4862062.9226299999</v>
      </c>
      <c r="F179" s="1916">
        <f>SUM(F180:F184)</f>
        <v>4862062.9226299999</v>
      </c>
      <c r="G179" s="1916">
        <f>SUM(G180:G184)</f>
        <v>0</v>
      </c>
      <c r="H179" s="1916">
        <f>SUM(H180:H184)</f>
        <v>0</v>
      </c>
      <c r="I179" s="1916">
        <f>SUM(I180:I184)</f>
        <v>0</v>
      </c>
      <c r="J179" s="3485" t="s">
        <v>3171</v>
      </c>
      <c r="K179" s="3485" t="s">
        <v>3066</v>
      </c>
      <c r="L179" s="3487"/>
    </row>
    <row r="180" spans="1:13" ht="13.5" customHeight="1" outlineLevel="1">
      <c r="A180" s="3483"/>
      <c r="B180" s="3484"/>
      <c r="C180" s="3485"/>
      <c r="D180" s="1915">
        <v>2021</v>
      </c>
      <c r="E180" s="1916">
        <f t="shared" si="20"/>
        <v>809865.57669999998</v>
      </c>
      <c r="F180" s="1916">
        <f>F186+F192+F198+F204+F210+F216++F222+F228+F234+F240+F246+F252+F258+F264+F270+F276+F282+F288+F300+F294</f>
        <v>809865.57669999998</v>
      </c>
      <c r="G180" s="1916">
        <f t="shared" ref="G180:I184" si="25">G186+G192+G198+G204+G210+G216++G222+G228+G234+G240+G246+G252+G258+G264+G270+G276+G282+G288+G300</f>
        <v>0</v>
      </c>
      <c r="H180" s="1916">
        <f t="shared" si="25"/>
        <v>0</v>
      </c>
      <c r="I180" s="1916">
        <f t="shared" si="25"/>
        <v>0</v>
      </c>
      <c r="J180" s="3485"/>
      <c r="K180" s="3485"/>
      <c r="L180" s="3487"/>
    </row>
    <row r="181" spans="1:13" ht="13.5" customHeight="1" outlineLevel="1">
      <c r="A181" s="3483"/>
      <c r="B181" s="3484"/>
      <c r="C181" s="3485"/>
      <c r="D181" s="1915">
        <v>2022</v>
      </c>
      <c r="E181" s="1916">
        <f t="shared" si="20"/>
        <v>1140833.8970000001</v>
      </c>
      <c r="F181" s="1916">
        <f>F187+F193+F199+F205+F211+F217++F223+F229+F235+F241+F247+F253+F259+F265+F271+F277+F283+F289+F301</f>
        <v>1140833.8970000001</v>
      </c>
      <c r="G181" s="1916">
        <f t="shared" si="25"/>
        <v>0</v>
      </c>
      <c r="H181" s="1916">
        <f t="shared" si="25"/>
        <v>0</v>
      </c>
      <c r="I181" s="1916">
        <f t="shared" si="25"/>
        <v>0</v>
      </c>
      <c r="J181" s="3485"/>
      <c r="K181" s="3485"/>
      <c r="L181" s="3487"/>
    </row>
    <row r="182" spans="1:13" ht="13.5" customHeight="1" outlineLevel="1">
      <c r="A182" s="3483"/>
      <c r="B182" s="3484"/>
      <c r="C182" s="3485"/>
      <c r="D182" s="1915">
        <v>2023</v>
      </c>
      <c r="E182" s="1916">
        <f t="shared" si="20"/>
        <v>1034105.8579300002</v>
      </c>
      <c r="F182" s="1916">
        <f>F188+F194+F200+F206+F212+F218++F224+F230+F236+F242+F248+F254+F260+F266+F272+F278+F284+F290+F302+F308</f>
        <v>1034105.8579300002</v>
      </c>
      <c r="G182" s="1916">
        <f t="shared" si="25"/>
        <v>0</v>
      </c>
      <c r="H182" s="1916">
        <f t="shared" si="25"/>
        <v>0</v>
      </c>
      <c r="I182" s="1916">
        <f t="shared" si="25"/>
        <v>0</v>
      </c>
      <c r="J182" s="3485"/>
      <c r="K182" s="3485"/>
      <c r="L182" s="3487"/>
    </row>
    <row r="183" spans="1:13" ht="13.5" customHeight="1" outlineLevel="1">
      <c r="A183" s="3483"/>
      <c r="B183" s="3484"/>
      <c r="C183" s="3485"/>
      <c r="D183" s="1915">
        <v>2024</v>
      </c>
      <c r="E183" s="1916">
        <f t="shared" si="20"/>
        <v>937986.61499999999</v>
      </c>
      <c r="F183" s="1916">
        <f t="shared" ref="F183:F184" si="26">F189+F195+F201+F207+F213+F219++F225+F231+F237+F243+F249+F255+F261+F267+F273+F279+F285+F291+F303</f>
        <v>937986.61499999999</v>
      </c>
      <c r="G183" s="1916">
        <f t="shared" si="25"/>
        <v>0</v>
      </c>
      <c r="H183" s="1916">
        <f t="shared" si="25"/>
        <v>0</v>
      </c>
      <c r="I183" s="1916">
        <f t="shared" si="25"/>
        <v>0</v>
      </c>
      <c r="J183" s="3485"/>
      <c r="K183" s="3485"/>
      <c r="L183" s="3487"/>
    </row>
    <row r="184" spans="1:13" ht="13.5" customHeight="1" outlineLevel="1">
      <c r="A184" s="3483"/>
      <c r="B184" s="3484"/>
      <c r="C184" s="3485"/>
      <c r="D184" s="1915">
        <v>2025</v>
      </c>
      <c r="E184" s="1916">
        <f t="shared" si="20"/>
        <v>939270.97600000002</v>
      </c>
      <c r="F184" s="1916">
        <f t="shared" si="26"/>
        <v>939270.97600000002</v>
      </c>
      <c r="G184" s="1916">
        <f t="shared" si="25"/>
        <v>0</v>
      </c>
      <c r="H184" s="1916">
        <f t="shared" si="25"/>
        <v>0</v>
      </c>
      <c r="I184" s="1916">
        <f t="shared" si="25"/>
        <v>0</v>
      </c>
      <c r="J184" s="3485"/>
      <c r="K184" s="3485"/>
      <c r="L184" s="3487"/>
    </row>
    <row r="185" spans="1:13" ht="13.5" customHeight="1" outlineLevel="1">
      <c r="A185" s="3483" t="s">
        <v>3170</v>
      </c>
      <c r="B185" s="3484" t="s">
        <v>50</v>
      </c>
      <c r="C185" s="3485" t="s">
        <v>2989</v>
      </c>
      <c r="D185" s="1915" t="s">
        <v>8</v>
      </c>
      <c r="E185" s="1916">
        <f t="shared" si="20"/>
        <v>12900.54667</v>
      </c>
      <c r="F185" s="1916">
        <f>SUM(F186:F190)</f>
        <v>12900.54667</v>
      </c>
      <c r="G185" s="1916">
        <f>SUM(G186:G190)</f>
        <v>0</v>
      </c>
      <c r="H185" s="1916">
        <f>SUM(H186:H190)</f>
        <v>0</v>
      </c>
      <c r="I185" s="1916">
        <f>SUM(I186:I190)</f>
        <v>0</v>
      </c>
      <c r="J185" s="3485" t="s">
        <v>3169</v>
      </c>
      <c r="K185" s="3485" t="s">
        <v>2799</v>
      </c>
      <c r="L185" s="3487"/>
    </row>
    <row r="186" spans="1:13" ht="13.5" customHeight="1" outlineLevel="1">
      <c r="A186" s="3483"/>
      <c r="B186" s="3484"/>
      <c r="C186" s="3485"/>
      <c r="D186" s="1915">
        <v>2021</v>
      </c>
      <c r="E186" s="1916">
        <f t="shared" si="20"/>
        <v>2106.6577000000002</v>
      </c>
      <c r="F186" s="1916">
        <f>2106.6577</f>
        <v>2106.6577000000002</v>
      </c>
      <c r="G186" s="1916">
        <v>0</v>
      </c>
      <c r="H186" s="1916">
        <v>0</v>
      </c>
      <c r="I186" s="1916">
        <v>0</v>
      </c>
      <c r="J186" s="3485"/>
      <c r="K186" s="3485"/>
      <c r="L186" s="3487"/>
    </row>
    <row r="187" spans="1:13" ht="13.5" customHeight="1" outlineLevel="1">
      <c r="A187" s="3483"/>
      <c r="B187" s="3484"/>
      <c r="C187" s="3485"/>
      <c r="D187" s="1915">
        <v>2022</v>
      </c>
      <c r="E187" s="1916">
        <f t="shared" si="20"/>
        <v>5343.0770000000002</v>
      </c>
      <c r="F187" s="1916">
        <f>5912.957-569.88</f>
        <v>5343.0770000000002</v>
      </c>
      <c r="G187" s="1916">
        <v>0</v>
      </c>
      <c r="H187" s="1916">
        <v>0</v>
      </c>
      <c r="I187" s="1916">
        <v>0</v>
      </c>
      <c r="J187" s="3485"/>
      <c r="K187" s="3485"/>
      <c r="L187" s="3487"/>
    </row>
    <row r="188" spans="1:13" ht="13.5" customHeight="1" outlineLevel="1">
      <c r="A188" s="3483"/>
      <c r="B188" s="3484"/>
      <c r="C188" s="3485"/>
      <c r="D188" s="1915">
        <v>2023</v>
      </c>
      <c r="E188" s="1916">
        <f t="shared" si="20"/>
        <v>1237.58797</v>
      </c>
      <c r="F188" s="1918">
        <f>2106.657+(30930.97/1000)-900</f>
        <v>1237.58797</v>
      </c>
      <c r="G188" s="1916">
        <v>0</v>
      </c>
      <c r="H188" s="1916">
        <v>0</v>
      </c>
      <c r="I188" s="1916">
        <v>0</v>
      </c>
      <c r="J188" s="3485"/>
      <c r="K188" s="3485"/>
      <c r="L188" s="3487"/>
      <c r="M188" s="1914" t="s">
        <v>3618</v>
      </c>
    </row>
    <row r="189" spans="1:13" ht="13.5" customHeight="1" outlineLevel="1">
      <c r="A189" s="3483"/>
      <c r="B189" s="3484"/>
      <c r="C189" s="3485"/>
      <c r="D189" s="1915">
        <v>2024</v>
      </c>
      <c r="E189" s="1916">
        <f t="shared" si="20"/>
        <v>2106.6570000000002</v>
      </c>
      <c r="F189" s="1916">
        <v>2106.6570000000002</v>
      </c>
      <c r="G189" s="1916">
        <v>0</v>
      </c>
      <c r="H189" s="1916">
        <v>0</v>
      </c>
      <c r="I189" s="1916">
        <v>0</v>
      </c>
      <c r="J189" s="3485"/>
      <c r="K189" s="3485"/>
      <c r="L189" s="3487"/>
    </row>
    <row r="190" spans="1:13" ht="13.5" customHeight="1" outlineLevel="1">
      <c r="A190" s="3483"/>
      <c r="B190" s="3484"/>
      <c r="C190" s="3485"/>
      <c r="D190" s="1915">
        <v>2025</v>
      </c>
      <c r="E190" s="1916">
        <f t="shared" si="20"/>
        <v>2106.567</v>
      </c>
      <c r="F190" s="1916">
        <v>2106.567</v>
      </c>
      <c r="G190" s="1916">
        <f>+G196+G202+G208+G232</f>
        <v>0</v>
      </c>
      <c r="H190" s="1916">
        <v>0</v>
      </c>
      <c r="I190" s="1916">
        <v>0</v>
      </c>
      <c r="J190" s="3485"/>
      <c r="K190" s="3485"/>
      <c r="L190" s="3487"/>
    </row>
    <row r="191" spans="1:13" ht="26.25" customHeight="1" outlineLevel="1">
      <c r="A191" s="3483" t="s">
        <v>3168</v>
      </c>
      <c r="B191" s="3484" t="s">
        <v>2918</v>
      </c>
      <c r="C191" s="3485" t="s">
        <v>2989</v>
      </c>
      <c r="D191" s="1915" t="s">
        <v>8</v>
      </c>
      <c r="E191" s="1916">
        <f t="shared" ref="E191:E254" si="27">SUM(F191:I191)</f>
        <v>224763.99966</v>
      </c>
      <c r="F191" s="1916">
        <f>SUM(F192:F196)</f>
        <v>224763.99966</v>
      </c>
      <c r="G191" s="1916">
        <f>SUM(G192:G196)</f>
        <v>0</v>
      </c>
      <c r="H191" s="1916">
        <f>SUM(H192:H196)</f>
        <v>0</v>
      </c>
      <c r="I191" s="1916">
        <f>SUM(I192:I196)</f>
        <v>0</v>
      </c>
      <c r="J191" s="3485" t="s">
        <v>2849</v>
      </c>
      <c r="K191" s="3485" t="s">
        <v>2799</v>
      </c>
    </row>
    <row r="192" spans="1:13" ht="22.5" customHeight="1" outlineLevel="1">
      <c r="A192" s="3483"/>
      <c r="B192" s="3484"/>
      <c r="C192" s="3485"/>
      <c r="D192" s="1915">
        <v>2021</v>
      </c>
      <c r="E192" s="1916">
        <f t="shared" si="27"/>
        <v>456</v>
      </c>
      <c r="F192" s="1916">
        <v>456</v>
      </c>
      <c r="G192" s="1916">
        <v>0</v>
      </c>
      <c r="H192" s="1916">
        <v>0</v>
      </c>
      <c r="I192" s="1916">
        <v>0</v>
      </c>
      <c r="J192" s="3485"/>
      <c r="K192" s="3485"/>
    </row>
    <row r="193" spans="1:11" ht="21.75" customHeight="1" outlineLevel="1">
      <c r="A193" s="3483"/>
      <c r="B193" s="3484"/>
      <c r="C193" s="3485"/>
      <c r="D193" s="1915">
        <v>2022</v>
      </c>
      <c r="E193" s="1916">
        <f t="shared" si="27"/>
        <v>52700</v>
      </c>
      <c r="F193" s="1916">
        <v>52700</v>
      </c>
      <c r="G193" s="1916">
        <v>0</v>
      </c>
      <c r="H193" s="1916">
        <v>0</v>
      </c>
      <c r="I193" s="1916">
        <v>0</v>
      </c>
      <c r="J193" s="3485"/>
      <c r="K193" s="3485"/>
    </row>
    <row r="194" spans="1:11" ht="24" customHeight="1" outlineLevel="1">
      <c r="A194" s="3483"/>
      <c r="B194" s="3484"/>
      <c r="C194" s="3485"/>
      <c r="D194" s="1915">
        <v>2023</v>
      </c>
      <c r="E194" s="1916">
        <f t="shared" si="27"/>
        <v>67599.999660000001</v>
      </c>
      <c r="F194" s="1918">
        <f>52004+7490.67866+8105.321</f>
        <v>67599.999660000001</v>
      </c>
      <c r="G194" s="1916">
        <v>0</v>
      </c>
      <c r="H194" s="1916">
        <v>0</v>
      </c>
      <c r="I194" s="1916">
        <v>0</v>
      </c>
      <c r="J194" s="3485"/>
      <c r="K194" s="3485"/>
    </row>
    <row r="195" spans="1:11" ht="24.75" customHeight="1" outlineLevel="1">
      <c r="A195" s="3483"/>
      <c r="B195" s="3484"/>
      <c r="C195" s="3485"/>
      <c r="D195" s="1915">
        <v>2024</v>
      </c>
      <c r="E195" s="1916">
        <f t="shared" si="27"/>
        <v>52004</v>
      </c>
      <c r="F195" s="1916">
        <v>52004</v>
      </c>
      <c r="G195" s="1916">
        <v>0</v>
      </c>
      <c r="H195" s="1916">
        <v>0</v>
      </c>
      <c r="I195" s="1916">
        <v>0</v>
      </c>
      <c r="J195" s="3485"/>
      <c r="K195" s="3485"/>
    </row>
    <row r="196" spans="1:11" ht="24" customHeight="1" outlineLevel="1">
      <c r="A196" s="3483"/>
      <c r="B196" s="3484"/>
      <c r="C196" s="3485"/>
      <c r="D196" s="1915">
        <v>2025</v>
      </c>
      <c r="E196" s="1916">
        <f t="shared" si="27"/>
        <v>52004</v>
      </c>
      <c r="F196" s="1916">
        <v>52004</v>
      </c>
      <c r="G196" s="1916">
        <v>0</v>
      </c>
      <c r="H196" s="1916">
        <v>0</v>
      </c>
      <c r="I196" s="1916">
        <v>0</v>
      </c>
      <c r="J196" s="3485"/>
      <c r="K196" s="3485"/>
    </row>
    <row r="197" spans="1:11" ht="15.75" customHeight="1" outlineLevel="1">
      <c r="A197" s="3483" t="s">
        <v>3167</v>
      </c>
      <c r="B197" s="3484" t="s">
        <v>3166</v>
      </c>
      <c r="C197" s="3485" t="s">
        <v>2989</v>
      </c>
      <c r="D197" s="1915" t="s">
        <v>8</v>
      </c>
      <c r="E197" s="1916">
        <f t="shared" si="27"/>
        <v>123.97999999999999</v>
      </c>
      <c r="F197" s="1916">
        <f>SUM(F198:F202)</f>
        <v>123.97999999999999</v>
      </c>
      <c r="G197" s="1916">
        <f>SUM(G198:G202)</f>
        <v>0</v>
      </c>
      <c r="H197" s="1916">
        <f>SUM(H198:H202)</f>
        <v>0</v>
      </c>
      <c r="I197" s="1916">
        <f>SUM(I198:I202)</f>
        <v>0</v>
      </c>
      <c r="J197" s="3485" t="s">
        <v>3165</v>
      </c>
      <c r="K197" s="3485" t="s">
        <v>3164</v>
      </c>
    </row>
    <row r="198" spans="1:11" ht="15.75" customHeight="1" outlineLevel="1">
      <c r="A198" s="3483"/>
      <c r="B198" s="3484"/>
      <c r="C198" s="3485"/>
      <c r="D198" s="1915">
        <v>2021</v>
      </c>
      <c r="E198" s="1916">
        <f t="shared" si="27"/>
        <v>27.77</v>
      </c>
      <c r="F198" s="1916">
        <f>27770/1000</f>
        <v>27.77</v>
      </c>
      <c r="G198" s="1916">
        <v>0</v>
      </c>
      <c r="H198" s="1916">
        <v>0</v>
      </c>
      <c r="I198" s="1916">
        <v>0</v>
      </c>
      <c r="J198" s="3485"/>
      <c r="K198" s="3485"/>
    </row>
    <row r="199" spans="1:11" ht="15.75" customHeight="1" outlineLevel="1">
      <c r="A199" s="3483"/>
      <c r="B199" s="3484"/>
      <c r="C199" s="3485"/>
      <c r="D199" s="1915">
        <v>2022</v>
      </c>
      <c r="E199" s="1916">
        <f t="shared" si="27"/>
        <v>0</v>
      </c>
      <c r="F199" s="1916">
        <v>0</v>
      </c>
      <c r="G199" s="1916">
        <v>0</v>
      </c>
      <c r="H199" s="1916">
        <v>0</v>
      </c>
      <c r="I199" s="1916">
        <v>0</v>
      </c>
      <c r="J199" s="3485"/>
      <c r="K199" s="3485"/>
    </row>
    <row r="200" spans="1:11" ht="15.75" customHeight="1" outlineLevel="1">
      <c r="A200" s="3483"/>
      <c r="B200" s="3484"/>
      <c r="C200" s="3485"/>
      <c r="D200" s="1915">
        <v>2023</v>
      </c>
      <c r="E200" s="1916">
        <f t="shared" si="27"/>
        <v>32.07</v>
      </c>
      <c r="F200" s="1918">
        <v>32.07</v>
      </c>
      <c r="G200" s="1916">
        <v>0</v>
      </c>
      <c r="H200" s="1916">
        <v>0</v>
      </c>
      <c r="I200" s="1916">
        <v>0</v>
      </c>
      <c r="J200" s="3485"/>
      <c r="K200" s="3485"/>
    </row>
    <row r="201" spans="1:11" ht="15.75" customHeight="1" outlineLevel="1">
      <c r="A201" s="3483"/>
      <c r="B201" s="3484"/>
      <c r="C201" s="3485"/>
      <c r="D201" s="1915">
        <v>2024</v>
      </c>
      <c r="E201" s="1916">
        <f t="shared" si="27"/>
        <v>32.07</v>
      </c>
      <c r="F201" s="1916">
        <v>32.07</v>
      </c>
      <c r="G201" s="1916">
        <v>0</v>
      </c>
      <c r="H201" s="1916">
        <v>0</v>
      </c>
      <c r="I201" s="1916">
        <v>0</v>
      </c>
      <c r="J201" s="3485"/>
      <c r="K201" s="3485"/>
    </row>
    <row r="202" spans="1:11" ht="15.75" customHeight="1" outlineLevel="1">
      <c r="A202" s="3483"/>
      <c r="B202" s="3484"/>
      <c r="C202" s="3485"/>
      <c r="D202" s="1915">
        <v>2025</v>
      </c>
      <c r="E202" s="1916">
        <f t="shared" si="27"/>
        <v>32.07</v>
      </c>
      <c r="F202" s="1916">
        <v>32.07</v>
      </c>
      <c r="G202" s="1916">
        <v>0</v>
      </c>
      <c r="H202" s="1916">
        <v>0</v>
      </c>
      <c r="I202" s="1916">
        <v>0</v>
      </c>
      <c r="J202" s="3485"/>
      <c r="K202" s="3485"/>
    </row>
    <row r="203" spans="1:11" ht="13.5" customHeight="1" outlineLevel="1">
      <c r="A203" s="3483" t="s">
        <v>3163</v>
      </c>
      <c r="B203" s="3484" t="s">
        <v>22</v>
      </c>
      <c r="C203" s="3485" t="s">
        <v>2989</v>
      </c>
      <c r="D203" s="1915" t="s">
        <v>8</v>
      </c>
      <c r="E203" s="1916">
        <f t="shared" si="27"/>
        <v>4289859.1152999997</v>
      </c>
      <c r="F203" s="1916">
        <f>SUM(F204:F208)</f>
        <v>4289859.1152999997</v>
      </c>
      <c r="G203" s="1916">
        <f>SUM(G204:G208)</f>
        <v>0</v>
      </c>
      <c r="H203" s="1916">
        <f>SUM(H204:H208)</f>
        <v>0</v>
      </c>
      <c r="I203" s="1916">
        <f>SUM(I204:I208)</f>
        <v>0</v>
      </c>
      <c r="J203" s="3485" t="s">
        <v>2680</v>
      </c>
      <c r="K203" s="3485" t="s">
        <v>3160</v>
      </c>
    </row>
    <row r="204" spans="1:11" ht="13.5" customHeight="1" outlineLevel="1">
      <c r="A204" s="3483"/>
      <c r="B204" s="3484"/>
      <c r="C204" s="3485"/>
      <c r="D204" s="1915">
        <v>2021</v>
      </c>
      <c r="E204" s="1916">
        <f t="shared" si="27"/>
        <v>766375.9</v>
      </c>
      <c r="F204" s="1916">
        <v>766375.9</v>
      </c>
      <c r="G204" s="1916">
        <v>0</v>
      </c>
      <c r="H204" s="1916">
        <v>0</v>
      </c>
      <c r="I204" s="1916">
        <v>0</v>
      </c>
      <c r="J204" s="3485"/>
      <c r="K204" s="3485"/>
    </row>
    <row r="205" spans="1:11" ht="13.5" customHeight="1" outlineLevel="1">
      <c r="A205" s="3483"/>
      <c r="B205" s="3484"/>
      <c r="C205" s="3485"/>
      <c r="D205" s="1915">
        <v>2022</v>
      </c>
      <c r="E205" s="1916">
        <f t="shared" si="27"/>
        <v>914197.98699999996</v>
      </c>
      <c r="F205" s="1916">
        <f>879682.2+21426+13089.787</f>
        <v>914197.98699999996</v>
      </c>
      <c r="G205" s="1916">
        <v>0</v>
      </c>
      <c r="H205" s="1916">
        <v>0</v>
      </c>
      <c r="I205" s="1916">
        <v>0</v>
      </c>
      <c r="J205" s="3485"/>
      <c r="K205" s="3485"/>
    </row>
    <row r="206" spans="1:11" ht="13.5" customHeight="1" outlineLevel="1">
      <c r="A206" s="3483"/>
      <c r="B206" s="3484"/>
      <c r="C206" s="3485"/>
      <c r="D206" s="1915">
        <v>2023</v>
      </c>
      <c r="E206" s="1916">
        <f t="shared" si="27"/>
        <v>905061.93929999997</v>
      </c>
      <c r="F206" s="1918">
        <f>850537.551+27982.345+11890.5953+14651.448</f>
        <v>905061.93929999997</v>
      </c>
      <c r="G206" s="1916">
        <v>0</v>
      </c>
      <c r="H206" s="1916">
        <v>0</v>
      </c>
      <c r="I206" s="1916">
        <v>0</v>
      </c>
      <c r="J206" s="3485"/>
      <c r="K206" s="3485"/>
    </row>
    <row r="207" spans="1:11" ht="13.5" customHeight="1" outlineLevel="1">
      <c r="A207" s="3483"/>
      <c r="B207" s="3484"/>
      <c r="C207" s="3485"/>
      <c r="D207" s="1915">
        <v>2024</v>
      </c>
      <c r="E207" s="1916">
        <f t="shared" si="27"/>
        <v>851469.41899999999</v>
      </c>
      <c r="F207" s="1916">
        <v>851469.41899999999</v>
      </c>
      <c r="G207" s="1916">
        <v>0</v>
      </c>
      <c r="H207" s="1916">
        <v>0</v>
      </c>
      <c r="I207" s="1916">
        <v>0</v>
      </c>
      <c r="J207" s="3485"/>
      <c r="K207" s="3485"/>
    </row>
    <row r="208" spans="1:11" ht="13.5" customHeight="1" outlineLevel="1">
      <c r="A208" s="3483"/>
      <c r="B208" s="3484"/>
      <c r="C208" s="3485"/>
      <c r="D208" s="1915">
        <v>2025</v>
      </c>
      <c r="E208" s="1916">
        <f t="shared" si="27"/>
        <v>852753.87</v>
      </c>
      <c r="F208" s="1916">
        <v>852753.87</v>
      </c>
      <c r="G208" s="1916">
        <v>0</v>
      </c>
      <c r="H208" s="1916">
        <v>0</v>
      </c>
      <c r="I208" s="1916">
        <v>0</v>
      </c>
      <c r="J208" s="3485"/>
      <c r="K208" s="3485"/>
    </row>
    <row r="209" spans="1:11" ht="18.75" customHeight="1" outlineLevel="1">
      <c r="A209" s="3483" t="s">
        <v>3162</v>
      </c>
      <c r="B209" s="3484" t="s">
        <v>62</v>
      </c>
      <c r="C209" s="3485" t="s">
        <v>2989</v>
      </c>
      <c r="D209" s="1915" t="s">
        <v>8</v>
      </c>
      <c r="E209" s="1916">
        <f t="shared" si="27"/>
        <v>20589.341</v>
      </c>
      <c r="F209" s="1916">
        <f>SUM(F210:F214)</f>
        <v>20589.341</v>
      </c>
      <c r="G209" s="1916">
        <f>SUM(G210:G214)</f>
        <v>0</v>
      </c>
      <c r="H209" s="1916">
        <f>SUM(H210:H214)</f>
        <v>0</v>
      </c>
      <c r="I209" s="1916">
        <f>SUM(I210:I214)</f>
        <v>0</v>
      </c>
      <c r="J209" s="3485" t="s">
        <v>3161</v>
      </c>
      <c r="K209" s="3485" t="s">
        <v>3160</v>
      </c>
    </row>
    <row r="210" spans="1:11" ht="18.75" customHeight="1" outlineLevel="1">
      <c r="A210" s="3483"/>
      <c r="B210" s="3484"/>
      <c r="C210" s="3485"/>
      <c r="D210" s="1915">
        <v>2021</v>
      </c>
      <c r="E210" s="1916">
        <f t="shared" si="27"/>
        <v>3811.2820000000002</v>
      </c>
      <c r="F210" s="1916">
        <v>3811.2820000000002</v>
      </c>
      <c r="G210" s="1916">
        <v>0</v>
      </c>
      <c r="H210" s="1916">
        <v>0</v>
      </c>
      <c r="I210" s="1916">
        <v>0</v>
      </c>
      <c r="J210" s="3485"/>
      <c r="K210" s="3485"/>
    </row>
    <row r="211" spans="1:11" ht="18.75" customHeight="1" outlineLevel="1">
      <c r="A211" s="3483"/>
      <c r="B211" s="3484"/>
      <c r="C211" s="3485"/>
      <c r="D211" s="1915">
        <v>2022</v>
      </c>
      <c r="E211" s="1916">
        <f t="shared" si="27"/>
        <v>3588.2230000000004</v>
      </c>
      <c r="F211" s="1916">
        <f>3561.3+109.88-82.957</f>
        <v>3588.2230000000004</v>
      </c>
      <c r="G211" s="1916">
        <v>0</v>
      </c>
      <c r="H211" s="1916">
        <v>0</v>
      </c>
      <c r="I211" s="1916">
        <v>0</v>
      </c>
      <c r="J211" s="3485"/>
      <c r="K211" s="3485"/>
    </row>
    <row r="212" spans="1:11" ht="18.75" customHeight="1" outlineLevel="1">
      <c r="A212" s="3483"/>
      <c r="B212" s="3484"/>
      <c r="C212" s="3485"/>
      <c r="D212" s="1915">
        <v>2023</v>
      </c>
      <c r="E212" s="1916">
        <f t="shared" si="27"/>
        <v>6067.2359999999999</v>
      </c>
      <c r="F212" s="1918">
        <f>3561.3+2000+118.878+82.077+300+4.981</f>
        <v>6067.2359999999999</v>
      </c>
      <c r="G212" s="1916">
        <v>0</v>
      </c>
      <c r="H212" s="1916">
        <v>0</v>
      </c>
      <c r="I212" s="1916">
        <v>0</v>
      </c>
      <c r="J212" s="3485"/>
      <c r="K212" s="3485"/>
    </row>
    <row r="213" spans="1:11" ht="18.75" customHeight="1" outlineLevel="1">
      <c r="A213" s="3483"/>
      <c r="B213" s="3484"/>
      <c r="C213" s="3485"/>
      <c r="D213" s="1915">
        <v>2024</v>
      </c>
      <c r="E213" s="1916">
        <f t="shared" si="27"/>
        <v>3561.3</v>
      </c>
      <c r="F213" s="1916">
        <v>3561.3</v>
      </c>
      <c r="G213" s="1916">
        <v>0</v>
      </c>
      <c r="H213" s="1916">
        <v>0</v>
      </c>
      <c r="I213" s="1916">
        <v>0</v>
      </c>
      <c r="J213" s="3485"/>
      <c r="K213" s="3485"/>
    </row>
    <row r="214" spans="1:11" ht="18.75" customHeight="1" outlineLevel="1">
      <c r="A214" s="3483"/>
      <c r="B214" s="3484"/>
      <c r="C214" s="3485"/>
      <c r="D214" s="1915">
        <v>2025</v>
      </c>
      <c r="E214" s="1916">
        <f t="shared" si="27"/>
        <v>3561.3</v>
      </c>
      <c r="F214" s="1916">
        <v>3561.3</v>
      </c>
      <c r="G214" s="1916">
        <v>0</v>
      </c>
      <c r="H214" s="1916">
        <v>0</v>
      </c>
      <c r="I214" s="1916">
        <v>0</v>
      </c>
      <c r="J214" s="3485"/>
      <c r="K214" s="3485"/>
    </row>
    <row r="215" spans="1:11" ht="14.25" customHeight="1" outlineLevel="1">
      <c r="A215" s="3483" t="s">
        <v>3159</v>
      </c>
      <c r="B215" s="3484" t="s">
        <v>3158</v>
      </c>
      <c r="C215" s="3485" t="s">
        <v>2989</v>
      </c>
      <c r="D215" s="1915" t="s">
        <v>8</v>
      </c>
      <c r="E215" s="1916">
        <f t="shared" si="27"/>
        <v>26988.080000000002</v>
      </c>
      <c r="F215" s="1916">
        <f>SUM(F216:F220)</f>
        <v>26988.080000000002</v>
      </c>
      <c r="G215" s="1916">
        <f>SUM(G216:G220)</f>
        <v>0</v>
      </c>
      <c r="H215" s="1916">
        <f>SUM(H216:H220)</f>
        <v>0</v>
      </c>
      <c r="I215" s="1916">
        <f>SUM(I216:I220)</f>
        <v>0</v>
      </c>
      <c r="J215" s="3485" t="s">
        <v>3157</v>
      </c>
      <c r="K215" s="3485" t="s">
        <v>3156</v>
      </c>
    </row>
    <row r="216" spans="1:11" ht="13.5" customHeight="1" outlineLevel="1">
      <c r="A216" s="3483"/>
      <c r="B216" s="3484"/>
      <c r="C216" s="3485"/>
      <c r="D216" s="1915">
        <v>2021</v>
      </c>
      <c r="E216" s="1916">
        <f t="shared" si="27"/>
        <v>26988.080000000002</v>
      </c>
      <c r="F216" s="1916">
        <v>26988.080000000002</v>
      </c>
      <c r="G216" s="1916">
        <v>0</v>
      </c>
      <c r="H216" s="1916">
        <v>0</v>
      </c>
      <c r="I216" s="1916">
        <v>0</v>
      </c>
      <c r="J216" s="3485"/>
      <c r="K216" s="3485"/>
    </row>
    <row r="217" spans="1:11" ht="13.5" customHeight="1" outlineLevel="1">
      <c r="A217" s="3483"/>
      <c r="B217" s="3484"/>
      <c r="C217" s="3485"/>
      <c r="D217" s="1915">
        <v>2022</v>
      </c>
      <c r="E217" s="1916">
        <f t="shared" si="27"/>
        <v>0</v>
      </c>
      <c r="F217" s="1916">
        <v>0</v>
      </c>
      <c r="G217" s="1916">
        <v>0</v>
      </c>
      <c r="H217" s="1916">
        <v>0</v>
      </c>
      <c r="I217" s="1916">
        <v>0</v>
      </c>
      <c r="J217" s="3485"/>
      <c r="K217" s="3485"/>
    </row>
    <row r="218" spans="1:11" ht="13.5" customHeight="1" outlineLevel="1">
      <c r="A218" s="3483"/>
      <c r="B218" s="3484"/>
      <c r="C218" s="3485"/>
      <c r="D218" s="1915">
        <v>2023</v>
      </c>
      <c r="E218" s="1916">
        <f t="shared" si="27"/>
        <v>0</v>
      </c>
      <c r="F218" s="1918">
        <v>0</v>
      </c>
      <c r="G218" s="1916">
        <v>0</v>
      </c>
      <c r="H218" s="1916">
        <v>0</v>
      </c>
      <c r="I218" s="1916">
        <v>0</v>
      </c>
      <c r="J218" s="3485"/>
      <c r="K218" s="3485"/>
    </row>
    <row r="219" spans="1:11" ht="13.5" customHeight="1" outlineLevel="1">
      <c r="A219" s="3483"/>
      <c r="B219" s="3484"/>
      <c r="C219" s="3485"/>
      <c r="D219" s="1915">
        <v>2024</v>
      </c>
      <c r="E219" s="1916">
        <f t="shared" si="27"/>
        <v>0</v>
      </c>
      <c r="F219" s="1916">
        <v>0</v>
      </c>
      <c r="G219" s="1916">
        <v>0</v>
      </c>
      <c r="H219" s="1916">
        <v>0</v>
      </c>
      <c r="I219" s="1916">
        <v>0</v>
      </c>
      <c r="J219" s="3485"/>
      <c r="K219" s="3485"/>
    </row>
    <row r="220" spans="1:11" ht="19.5" customHeight="1" outlineLevel="1">
      <c r="A220" s="3483"/>
      <c r="B220" s="3484"/>
      <c r="C220" s="3485"/>
      <c r="D220" s="1915">
        <v>2025</v>
      </c>
      <c r="E220" s="1916">
        <f t="shared" si="27"/>
        <v>0</v>
      </c>
      <c r="F220" s="1916">
        <v>0</v>
      </c>
      <c r="G220" s="1916">
        <v>0</v>
      </c>
      <c r="H220" s="1916">
        <v>0</v>
      </c>
      <c r="I220" s="1916">
        <v>0</v>
      </c>
      <c r="J220" s="3485"/>
      <c r="K220" s="3485"/>
    </row>
    <row r="221" spans="1:11" ht="14.25" customHeight="1" outlineLevel="1">
      <c r="A221" s="3483" t="s">
        <v>3155</v>
      </c>
      <c r="B221" s="3484" t="s">
        <v>3154</v>
      </c>
      <c r="C221" s="3485" t="s">
        <v>2989</v>
      </c>
      <c r="D221" s="1915" t="s">
        <v>8</v>
      </c>
      <c r="E221" s="1916">
        <f t="shared" si="27"/>
        <v>0</v>
      </c>
      <c r="F221" s="1916">
        <f>SUM(F222:F226)</f>
        <v>0</v>
      </c>
      <c r="G221" s="1916">
        <f>SUM(G222:G226)</f>
        <v>0</v>
      </c>
      <c r="H221" s="1916">
        <f>SUM(H222:H226)</f>
        <v>0</v>
      </c>
      <c r="I221" s="1916">
        <f>SUM(I222:I226)</f>
        <v>0</v>
      </c>
      <c r="J221" s="3485" t="s">
        <v>3153</v>
      </c>
      <c r="K221" s="3485" t="s">
        <v>2855</v>
      </c>
    </row>
    <row r="222" spans="1:11" ht="13.5" customHeight="1" outlineLevel="1">
      <c r="A222" s="3483"/>
      <c r="B222" s="3484"/>
      <c r="C222" s="3485"/>
      <c r="D222" s="1915">
        <v>2021</v>
      </c>
      <c r="E222" s="1916">
        <f t="shared" si="27"/>
        <v>0</v>
      </c>
      <c r="F222" s="1916">
        <v>0</v>
      </c>
      <c r="G222" s="1916">
        <v>0</v>
      </c>
      <c r="H222" s="1916">
        <v>0</v>
      </c>
      <c r="I222" s="1916">
        <v>0</v>
      </c>
      <c r="J222" s="3485"/>
      <c r="K222" s="3485"/>
    </row>
    <row r="223" spans="1:11" ht="13.5" customHeight="1" outlineLevel="1">
      <c r="A223" s="3483"/>
      <c r="B223" s="3484"/>
      <c r="C223" s="3485"/>
      <c r="D223" s="1915">
        <v>2022</v>
      </c>
      <c r="E223" s="1916">
        <f t="shared" si="27"/>
        <v>0</v>
      </c>
      <c r="F223" s="1916">
        <v>0</v>
      </c>
      <c r="G223" s="1916">
        <v>0</v>
      </c>
      <c r="H223" s="1916">
        <v>0</v>
      </c>
      <c r="I223" s="1916">
        <v>0</v>
      </c>
      <c r="J223" s="3485"/>
      <c r="K223" s="3485"/>
    </row>
    <row r="224" spans="1:11" ht="13.5" customHeight="1" outlineLevel="1">
      <c r="A224" s="3483"/>
      <c r="B224" s="3484"/>
      <c r="C224" s="3485"/>
      <c r="D224" s="1915">
        <v>2023</v>
      </c>
      <c r="E224" s="1916">
        <f t="shared" si="27"/>
        <v>0</v>
      </c>
      <c r="F224" s="1918">
        <v>0</v>
      </c>
      <c r="G224" s="1916">
        <v>0</v>
      </c>
      <c r="H224" s="1916">
        <v>0</v>
      </c>
      <c r="I224" s="1916">
        <v>0</v>
      </c>
      <c r="J224" s="3485"/>
      <c r="K224" s="3485"/>
    </row>
    <row r="225" spans="1:13" ht="13.5" customHeight="1" outlineLevel="1">
      <c r="A225" s="3483"/>
      <c r="B225" s="3484"/>
      <c r="C225" s="3485"/>
      <c r="D225" s="1915">
        <v>2024</v>
      </c>
      <c r="E225" s="1916">
        <f t="shared" si="27"/>
        <v>0</v>
      </c>
      <c r="F225" s="1916">
        <v>0</v>
      </c>
      <c r="G225" s="1916">
        <v>0</v>
      </c>
      <c r="H225" s="1916">
        <v>0</v>
      </c>
      <c r="I225" s="1916">
        <v>0</v>
      </c>
      <c r="J225" s="3485"/>
      <c r="K225" s="3485"/>
    </row>
    <row r="226" spans="1:13" ht="19.5" customHeight="1" outlineLevel="1">
      <c r="A226" s="3483"/>
      <c r="B226" s="3484"/>
      <c r="C226" s="3485"/>
      <c r="D226" s="1915">
        <v>2025</v>
      </c>
      <c r="E226" s="1916">
        <f t="shared" si="27"/>
        <v>0</v>
      </c>
      <c r="F226" s="1916">
        <v>0</v>
      </c>
      <c r="G226" s="1916">
        <v>0</v>
      </c>
      <c r="H226" s="1916">
        <v>0</v>
      </c>
      <c r="I226" s="1916">
        <v>0</v>
      </c>
      <c r="J226" s="3485"/>
      <c r="K226" s="3485"/>
    </row>
    <row r="227" spans="1:13" ht="14.25" customHeight="1" outlineLevel="1">
      <c r="A227" s="3483" t="s">
        <v>3152</v>
      </c>
      <c r="B227" s="3484" t="s">
        <v>156</v>
      </c>
      <c r="C227" s="3485" t="s">
        <v>2989</v>
      </c>
      <c r="D227" s="1915" t="s">
        <v>8</v>
      </c>
      <c r="E227" s="1916">
        <f t="shared" si="27"/>
        <v>368.27599999999995</v>
      </c>
      <c r="F227" s="1916">
        <f>SUM(F228:F232)</f>
        <v>368.27599999999995</v>
      </c>
      <c r="G227" s="1916">
        <f>SUM(G228:G232)</f>
        <v>0</v>
      </c>
      <c r="H227" s="1916">
        <f>SUM(H228:H232)</f>
        <v>0</v>
      </c>
      <c r="I227" s="1916">
        <f>SUM(I228:I232)</f>
        <v>0</v>
      </c>
      <c r="J227" s="3485" t="s">
        <v>2816</v>
      </c>
      <c r="K227" s="3485" t="s">
        <v>66</v>
      </c>
    </row>
    <row r="228" spans="1:13" ht="13.5" customHeight="1" outlineLevel="1">
      <c r="A228" s="3483"/>
      <c r="B228" s="3484"/>
      <c r="C228" s="3485"/>
      <c r="D228" s="1915">
        <v>2021</v>
      </c>
      <c r="E228" s="1916">
        <f t="shared" si="27"/>
        <v>150.887</v>
      </c>
      <c r="F228" s="1916">
        <v>150.887</v>
      </c>
      <c r="G228" s="1916">
        <v>0</v>
      </c>
      <c r="H228" s="1916">
        <v>0</v>
      </c>
      <c r="I228" s="1916">
        <v>0</v>
      </c>
      <c r="J228" s="3485"/>
      <c r="K228" s="3485"/>
    </row>
    <row r="229" spans="1:13" ht="13.5" customHeight="1" outlineLevel="1">
      <c r="A229" s="3483"/>
      <c r="B229" s="3484"/>
      <c r="C229" s="3485"/>
      <c r="D229" s="1915">
        <v>2022</v>
      </c>
      <c r="E229" s="1916">
        <f t="shared" si="27"/>
        <v>82.956999999999994</v>
      </c>
      <c r="F229" s="1916">
        <v>82.956999999999994</v>
      </c>
      <c r="G229" s="1916">
        <v>0</v>
      </c>
      <c r="H229" s="1916">
        <v>0</v>
      </c>
      <c r="I229" s="1916">
        <v>0</v>
      </c>
      <c r="J229" s="3485"/>
      <c r="K229" s="3485"/>
    </row>
    <row r="230" spans="1:13" ht="13.5" customHeight="1" outlineLevel="1">
      <c r="A230" s="3483"/>
      <c r="B230" s="3484"/>
      <c r="C230" s="3485"/>
      <c r="D230" s="1915">
        <v>2023</v>
      </c>
      <c r="E230" s="1916">
        <f t="shared" si="27"/>
        <v>134.43199999999999</v>
      </c>
      <c r="F230" s="1918">
        <v>134.43199999999999</v>
      </c>
      <c r="G230" s="1916">
        <v>0</v>
      </c>
      <c r="H230" s="1916">
        <v>0</v>
      </c>
      <c r="I230" s="1916">
        <v>0</v>
      </c>
      <c r="J230" s="3485"/>
      <c r="K230" s="3485"/>
      <c r="M230" s="1914" t="s">
        <v>3619</v>
      </c>
    </row>
    <row r="231" spans="1:13" ht="13.5" customHeight="1" outlineLevel="1">
      <c r="A231" s="3483"/>
      <c r="B231" s="3484"/>
      <c r="C231" s="3485"/>
      <c r="D231" s="1915">
        <v>2024</v>
      </c>
      <c r="E231" s="1916">
        <f t="shared" si="27"/>
        <v>0</v>
      </c>
      <c r="F231" s="1916">
        <v>0</v>
      </c>
      <c r="G231" s="1916">
        <v>0</v>
      </c>
      <c r="H231" s="1916">
        <v>0</v>
      </c>
      <c r="I231" s="1916">
        <v>0</v>
      </c>
      <c r="J231" s="3485"/>
      <c r="K231" s="3485"/>
    </row>
    <row r="232" spans="1:13" ht="19.5" customHeight="1" outlineLevel="1">
      <c r="A232" s="3483"/>
      <c r="B232" s="3484"/>
      <c r="C232" s="3485"/>
      <c r="D232" s="1915">
        <v>2025</v>
      </c>
      <c r="E232" s="1916">
        <f t="shared" si="27"/>
        <v>0</v>
      </c>
      <c r="F232" s="1916">
        <v>0</v>
      </c>
      <c r="G232" s="1916">
        <v>0</v>
      </c>
      <c r="H232" s="1916">
        <v>0</v>
      </c>
      <c r="I232" s="1916">
        <v>0</v>
      </c>
      <c r="J232" s="3485"/>
      <c r="K232" s="3485"/>
    </row>
    <row r="233" spans="1:13" ht="16.5" customHeight="1" outlineLevel="1">
      <c r="A233" s="3483" t="s">
        <v>2853</v>
      </c>
      <c r="B233" s="3484" t="s">
        <v>2854</v>
      </c>
      <c r="C233" s="3485" t="s">
        <v>2989</v>
      </c>
      <c r="D233" s="1915" t="s">
        <v>8</v>
      </c>
      <c r="E233" s="1916">
        <f t="shared" si="27"/>
        <v>595</v>
      </c>
      <c r="F233" s="1916">
        <f>SUM(F234:F238)</f>
        <v>595</v>
      </c>
      <c r="G233" s="1916">
        <f>SUM(G234:G238)</f>
        <v>0</v>
      </c>
      <c r="H233" s="1916">
        <f>SUM(H234:H238)</f>
        <v>0</v>
      </c>
      <c r="I233" s="1916">
        <f>SUM(I234:I238)</f>
        <v>0</v>
      </c>
      <c r="J233" s="3485" t="s">
        <v>3151</v>
      </c>
      <c r="K233" s="3485" t="s">
        <v>2855</v>
      </c>
    </row>
    <row r="234" spans="1:13" ht="16.5" customHeight="1" outlineLevel="1">
      <c r="A234" s="3483"/>
      <c r="B234" s="3484"/>
      <c r="C234" s="3485"/>
      <c r="D234" s="1915">
        <v>2021</v>
      </c>
      <c r="E234" s="1916">
        <f t="shared" si="27"/>
        <v>595</v>
      </c>
      <c r="F234" s="1916">
        <v>595</v>
      </c>
      <c r="G234" s="1916">
        <v>0</v>
      </c>
      <c r="H234" s="1916">
        <v>0</v>
      </c>
      <c r="I234" s="1916">
        <v>0</v>
      </c>
      <c r="J234" s="3485"/>
      <c r="K234" s="3485"/>
    </row>
    <row r="235" spans="1:13" ht="16.5" customHeight="1" outlineLevel="1">
      <c r="A235" s="3483"/>
      <c r="B235" s="3484"/>
      <c r="C235" s="3485"/>
      <c r="D235" s="1915">
        <v>2022</v>
      </c>
      <c r="E235" s="1916">
        <f t="shared" si="27"/>
        <v>0</v>
      </c>
      <c r="F235" s="1916">
        <v>0</v>
      </c>
      <c r="G235" s="1916">
        <v>0</v>
      </c>
      <c r="H235" s="1916">
        <v>0</v>
      </c>
      <c r="I235" s="1916">
        <v>0</v>
      </c>
      <c r="J235" s="3485"/>
      <c r="K235" s="3485"/>
    </row>
    <row r="236" spans="1:13" ht="16.5" customHeight="1" outlineLevel="1">
      <c r="A236" s="3483"/>
      <c r="B236" s="3484"/>
      <c r="C236" s="3485"/>
      <c r="D236" s="1915">
        <v>2023</v>
      </c>
      <c r="E236" s="1916">
        <f t="shared" si="27"/>
        <v>0</v>
      </c>
      <c r="F236" s="1918">
        <v>0</v>
      </c>
      <c r="G236" s="1916">
        <v>0</v>
      </c>
      <c r="H236" s="1916">
        <v>0</v>
      </c>
      <c r="I236" s="1916">
        <v>0</v>
      </c>
      <c r="J236" s="3485"/>
      <c r="K236" s="3485"/>
    </row>
    <row r="237" spans="1:13" ht="16.5" customHeight="1" outlineLevel="1">
      <c r="A237" s="3483"/>
      <c r="B237" s="3484"/>
      <c r="C237" s="3485"/>
      <c r="D237" s="1915">
        <v>2024</v>
      </c>
      <c r="E237" s="1916">
        <f t="shared" si="27"/>
        <v>0</v>
      </c>
      <c r="F237" s="1916">
        <v>0</v>
      </c>
      <c r="G237" s="1916">
        <v>0</v>
      </c>
      <c r="H237" s="1916">
        <v>0</v>
      </c>
      <c r="I237" s="1916">
        <v>0</v>
      </c>
      <c r="J237" s="3485"/>
      <c r="K237" s="3485"/>
    </row>
    <row r="238" spans="1:13" ht="16.5" customHeight="1" outlineLevel="1">
      <c r="A238" s="3483"/>
      <c r="B238" s="3484"/>
      <c r="C238" s="3485"/>
      <c r="D238" s="1915">
        <v>2025</v>
      </c>
      <c r="E238" s="1916">
        <f t="shared" si="27"/>
        <v>0</v>
      </c>
      <c r="F238" s="1916">
        <v>0</v>
      </c>
      <c r="G238" s="1916">
        <v>0</v>
      </c>
      <c r="H238" s="1916">
        <v>0</v>
      </c>
      <c r="I238" s="1916">
        <v>0</v>
      </c>
      <c r="J238" s="3485"/>
      <c r="K238" s="3485"/>
    </row>
    <row r="239" spans="1:13" ht="16.5" customHeight="1" outlineLevel="1">
      <c r="A239" s="3483" t="s">
        <v>2919</v>
      </c>
      <c r="B239" s="3484" t="s">
        <v>2920</v>
      </c>
      <c r="C239" s="3485" t="s">
        <v>2989</v>
      </c>
      <c r="D239" s="1915" t="s">
        <v>8</v>
      </c>
      <c r="E239" s="1916">
        <f t="shared" si="27"/>
        <v>8626</v>
      </c>
      <c r="F239" s="1916">
        <f>SUM(F240:F244)</f>
        <v>8626</v>
      </c>
      <c r="G239" s="1916">
        <f>SUM(G240:G244)</f>
        <v>0</v>
      </c>
      <c r="H239" s="1916">
        <f>SUM(H240:H244)</f>
        <v>0</v>
      </c>
      <c r="I239" s="1916">
        <f>SUM(I240:I244)</f>
        <v>0</v>
      </c>
      <c r="J239" s="3485" t="s">
        <v>3150</v>
      </c>
      <c r="K239" s="3485" t="s">
        <v>3052</v>
      </c>
    </row>
    <row r="240" spans="1:13" ht="16.5" customHeight="1" outlineLevel="1">
      <c r="A240" s="3483"/>
      <c r="B240" s="3484"/>
      <c r="C240" s="3485"/>
      <c r="D240" s="1915">
        <v>2021</v>
      </c>
      <c r="E240" s="1916">
        <f t="shared" si="27"/>
        <v>8626</v>
      </c>
      <c r="F240" s="1916">
        <v>8626</v>
      </c>
      <c r="G240" s="1916">
        <v>0</v>
      </c>
      <c r="H240" s="1916">
        <v>0</v>
      </c>
      <c r="I240" s="1916">
        <v>0</v>
      </c>
      <c r="J240" s="3485"/>
      <c r="K240" s="3485"/>
    </row>
    <row r="241" spans="1:11" ht="16.5" customHeight="1" outlineLevel="1">
      <c r="A241" s="3483"/>
      <c r="B241" s="3484"/>
      <c r="C241" s="3485"/>
      <c r="D241" s="1915">
        <v>2022</v>
      </c>
      <c r="E241" s="1916">
        <f t="shared" si="27"/>
        <v>0</v>
      </c>
      <c r="F241" s="1916">
        <v>0</v>
      </c>
      <c r="G241" s="1916">
        <v>0</v>
      </c>
      <c r="H241" s="1916">
        <v>0</v>
      </c>
      <c r="I241" s="1916">
        <v>0</v>
      </c>
      <c r="J241" s="3485"/>
      <c r="K241" s="3485"/>
    </row>
    <row r="242" spans="1:11" ht="16.5" customHeight="1" outlineLevel="1">
      <c r="A242" s="3483"/>
      <c r="B242" s="3484"/>
      <c r="C242" s="3485"/>
      <c r="D242" s="1915">
        <v>2023</v>
      </c>
      <c r="E242" s="1916">
        <f t="shared" si="27"/>
        <v>0</v>
      </c>
      <c r="F242" s="1918">
        <v>0</v>
      </c>
      <c r="G242" s="1916">
        <v>0</v>
      </c>
      <c r="H242" s="1916">
        <v>0</v>
      </c>
      <c r="I242" s="1916">
        <v>0</v>
      </c>
      <c r="J242" s="3485"/>
      <c r="K242" s="3485"/>
    </row>
    <row r="243" spans="1:11" ht="16.5" customHeight="1" outlineLevel="1">
      <c r="A243" s="3483"/>
      <c r="B243" s="3484"/>
      <c r="C243" s="3485"/>
      <c r="D243" s="1915">
        <v>2024</v>
      </c>
      <c r="E243" s="1916">
        <f t="shared" si="27"/>
        <v>0</v>
      </c>
      <c r="F243" s="1916">
        <v>0</v>
      </c>
      <c r="G243" s="1916">
        <v>0</v>
      </c>
      <c r="H243" s="1916">
        <v>0</v>
      </c>
      <c r="I243" s="1916">
        <v>0</v>
      </c>
      <c r="J243" s="3485"/>
      <c r="K243" s="3485"/>
    </row>
    <row r="244" spans="1:11" ht="16.5" customHeight="1" outlineLevel="1">
      <c r="A244" s="3483"/>
      <c r="B244" s="3484"/>
      <c r="C244" s="3485"/>
      <c r="D244" s="1915">
        <v>2025</v>
      </c>
      <c r="E244" s="1916">
        <f t="shared" si="27"/>
        <v>0</v>
      </c>
      <c r="F244" s="1916">
        <v>0</v>
      </c>
      <c r="G244" s="1916">
        <v>0</v>
      </c>
      <c r="H244" s="1916">
        <v>0</v>
      </c>
      <c r="I244" s="1916">
        <v>0</v>
      </c>
      <c r="J244" s="3485"/>
      <c r="K244" s="3485"/>
    </row>
    <row r="245" spans="1:11" ht="16.5" customHeight="1" outlineLevel="1">
      <c r="A245" s="3483" t="s">
        <v>2921</v>
      </c>
      <c r="B245" s="3484" t="s">
        <v>3149</v>
      </c>
      <c r="C245" s="3485" t="s">
        <v>2989</v>
      </c>
      <c r="D245" s="1915" t="s">
        <v>8</v>
      </c>
      <c r="E245" s="1916">
        <f t="shared" si="27"/>
        <v>35337.443999999996</v>
      </c>
      <c r="F245" s="1916">
        <f>SUM(F246:F250)</f>
        <v>35337.443999999996</v>
      </c>
      <c r="G245" s="1916">
        <f>SUM(G246:G250)</f>
        <v>0</v>
      </c>
      <c r="H245" s="1916">
        <f>SUM(H246:H250)</f>
        <v>0</v>
      </c>
      <c r="I245" s="1916">
        <f>SUM(I246:I250)</f>
        <v>0</v>
      </c>
      <c r="J245" s="3485" t="s">
        <v>3148</v>
      </c>
      <c r="K245" s="3485" t="s">
        <v>3147</v>
      </c>
    </row>
    <row r="246" spans="1:11" ht="16.5" customHeight="1" outlineLevel="1">
      <c r="A246" s="3483"/>
      <c r="B246" s="3484"/>
      <c r="C246" s="3485"/>
      <c r="D246" s="1915">
        <v>2021</v>
      </c>
      <c r="E246" s="1916">
        <f t="shared" si="27"/>
        <v>0</v>
      </c>
      <c r="F246" s="1916">
        <v>0</v>
      </c>
      <c r="G246" s="1916">
        <v>0</v>
      </c>
      <c r="H246" s="1916">
        <v>0</v>
      </c>
      <c r="I246" s="1916">
        <v>0</v>
      </c>
      <c r="J246" s="3485"/>
      <c r="K246" s="3485"/>
    </row>
    <row r="247" spans="1:11" ht="16.5" customHeight="1" outlineLevel="1">
      <c r="A247" s="3483"/>
      <c r="B247" s="3484"/>
      <c r="C247" s="3485"/>
      <c r="D247" s="1915">
        <v>2022</v>
      </c>
      <c r="E247" s="1916">
        <f t="shared" si="27"/>
        <v>35337.442999999999</v>
      </c>
      <c r="F247" s="1916">
        <f>22000+1017.443+12000+13089.787+320-13089.787</f>
        <v>35337.442999999999</v>
      </c>
      <c r="G247" s="1916">
        <v>0</v>
      </c>
      <c r="H247" s="1916">
        <v>0</v>
      </c>
      <c r="I247" s="1916">
        <v>0</v>
      </c>
      <c r="J247" s="3485"/>
      <c r="K247" s="3485"/>
    </row>
    <row r="248" spans="1:11" ht="16.5" customHeight="1" outlineLevel="1">
      <c r="A248" s="3483"/>
      <c r="B248" s="3484"/>
      <c r="C248" s="3485"/>
      <c r="D248" s="1915">
        <v>2023</v>
      </c>
      <c r="E248" s="1916">
        <f t="shared" si="27"/>
        <v>9.9999999991950972E-4</v>
      </c>
      <c r="F248" s="1918">
        <f>5000-4863.17-136.829</f>
        <v>9.9999999991950972E-4</v>
      </c>
      <c r="G248" s="1916">
        <v>0</v>
      </c>
      <c r="H248" s="1916">
        <v>0</v>
      </c>
      <c r="I248" s="1916">
        <v>0</v>
      </c>
      <c r="J248" s="3485"/>
      <c r="K248" s="3485"/>
    </row>
    <row r="249" spans="1:11" ht="16.5" customHeight="1" outlineLevel="1">
      <c r="A249" s="3483"/>
      <c r="B249" s="3484"/>
      <c r="C249" s="3485"/>
      <c r="D249" s="1915">
        <v>2024</v>
      </c>
      <c r="E249" s="1916">
        <f t="shared" si="27"/>
        <v>0</v>
      </c>
      <c r="F249" s="1916">
        <v>0</v>
      </c>
      <c r="G249" s="1916">
        <v>0</v>
      </c>
      <c r="H249" s="1916">
        <v>0</v>
      </c>
      <c r="I249" s="1916">
        <v>0</v>
      </c>
      <c r="J249" s="3485"/>
      <c r="K249" s="3485"/>
    </row>
    <row r="250" spans="1:11" ht="16.5" customHeight="1" outlineLevel="1">
      <c r="A250" s="3483"/>
      <c r="B250" s="3484"/>
      <c r="C250" s="3485"/>
      <c r="D250" s="1915">
        <v>2025</v>
      </c>
      <c r="E250" s="1916">
        <f t="shared" si="27"/>
        <v>0</v>
      </c>
      <c r="F250" s="1916">
        <v>0</v>
      </c>
      <c r="G250" s="1916">
        <v>0</v>
      </c>
      <c r="H250" s="1916">
        <v>0</v>
      </c>
      <c r="I250" s="1916">
        <v>0</v>
      </c>
      <c r="J250" s="3485"/>
      <c r="K250" s="3485"/>
    </row>
    <row r="251" spans="1:11" ht="16.5" customHeight="1" outlineLevel="1">
      <c r="A251" s="3483" t="s">
        <v>2923</v>
      </c>
      <c r="B251" s="3484" t="s">
        <v>2924</v>
      </c>
      <c r="C251" s="3485" t="s">
        <v>2989</v>
      </c>
      <c r="D251" s="1915" t="s">
        <v>8</v>
      </c>
      <c r="E251" s="1916">
        <f t="shared" si="27"/>
        <v>534</v>
      </c>
      <c r="F251" s="1916">
        <f>SUM(F252:F256)</f>
        <v>534</v>
      </c>
      <c r="G251" s="1916">
        <f>SUM(G252:G256)</f>
        <v>0</v>
      </c>
      <c r="H251" s="1916">
        <f>SUM(H252:H256)</f>
        <v>0</v>
      </c>
      <c r="I251" s="1916">
        <f>SUM(I252:I256)</f>
        <v>0</v>
      </c>
      <c r="J251" s="3485" t="s">
        <v>3146</v>
      </c>
      <c r="K251" s="3485" t="s">
        <v>3145</v>
      </c>
    </row>
    <row r="252" spans="1:11" ht="16.5" customHeight="1" outlineLevel="1">
      <c r="A252" s="3483"/>
      <c r="B252" s="3484"/>
      <c r="C252" s="3485"/>
      <c r="D252" s="1915">
        <v>2021</v>
      </c>
      <c r="E252" s="1916">
        <f t="shared" si="27"/>
        <v>534</v>
      </c>
      <c r="F252" s="1916">
        <v>534</v>
      </c>
      <c r="G252" s="1916">
        <v>0</v>
      </c>
      <c r="H252" s="1916">
        <v>0</v>
      </c>
      <c r="I252" s="1916">
        <v>0</v>
      </c>
      <c r="J252" s="3485"/>
      <c r="K252" s="3485"/>
    </row>
    <row r="253" spans="1:11" ht="16.5" customHeight="1" outlineLevel="1">
      <c r="A253" s="3483"/>
      <c r="B253" s="3484"/>
      <c r="C253" s="3485"/>
      <c r="D253" s="1915">
        <v>2022</v>
      </c>
      <c r="E253" s="1916">
        <f t="shared" si="27"/>
        <v>0</v>
      </c>
      <c r="F253" s="1916">
        <v>0</v>
      </c>
      <c r="G253" s="1916">
        <v>0</v>
      </c>
      <c r="H253" s="1916">
        <v>0</v>
      </c>
      <c r="I253" s="1916">
        <v>0</v>
      </c>
      <c r="J253" s="3485"/>
      <c r="K253" s="3485"/>
    </row>
    <row r="254" spans="1:11" ht="16.5" customHeight="1" outlineLevel="1">
      <c r="A254" s="3483"/>
      <c r="B254" s="3484"/>
      <c r="C254" s="3485"/>
      <c r="D254" s="1915">
        <v>2023</v>
      </c>
      <c r="E254" s="1916">
        <f t="shared" si="27"/>
        <v>0</v>
      </c>
      <c r="F254" s="1918">
        <v>0</v>
      </c>
      <c r="G254" s="1916">
        <v>0</v>
      </c>
      <c r="H254" s="1916">
        <v>0</v>
      </c>
      <c r="I254" s="1916">
        <v>0</v>
      </c>
      <c r="J254" s="3485"/>
      <c r="K254" s="3485"/>
    </row>
    <row r="255" spans="1:11" ht="16.5" customHeight="1" outlineLevel="1">
      <c r="A255" s="3483"/>
      <c r="B255" s="3484"/>
      <c r="C255" s="3485"/>
      <c r="D255" s="1915">
        <v>2024</v>
      </c>
      <c r="E255" s="1916">
        <f t="shared" ref="E255:E316" si="28">SUM(F255:I255)</f>
        <v>0</v>
      </c>
      <c r="F255" s="1916">
        <v>0</v>
      </c>
      <c r="G255" s="1916">
        <v>0</v>
      </c>
      <c r="H255" s="1916">
        <v>0</v>
      </c>
      <c r="I255" s="1916">
        <v>0</v>
      </c>
      <c r="J255" s="3485"/>
      <c r="K255" s="3485"/>
    </row>
    <row r="256" spans="1:11" ht="16.5" customHeight="1" outlineLevel="1">
      <c r="A256" s="3483"/>
      <c r="B256" s="3484"/>
      <c r="C256" s="3485"/>
      <c r="D256" s="1915">
        <v>2025</v>
      </c>
      <c r="E256" s="1916">
        <f t="shared" si="28"/>
        <v>0</v>
      </c>
      <c r="F256" s="1916">
        <v>0</v>
      </c>
      <c r="G256" s="1916">
        <v>0</v>
      </c>
      <c r="H256" s="1916">
        <v>0</v>
      </c>
      <c r="I256" s="1916">
        <v>0</v>
      </c>
      <c r="J256" s="3485"/>
      <c r="K256" s="3485"/>
    </row>
    <row r="257" spans="1:11" ht="16.5" customHeight="1" outlineLevel="1">
      <c r="A257" s="3483" t="s">
        <v>2925</v>
      </c>
      <c r="B257" s="3484" t="s">
        <v>2926</v>
      </c>
      <c r="C257" s="3485" t="s">
        <v>2989</v>
      </c>
      <c r="D257" s="1915" t="s">
        <v>8</v>
      </c>
      <c r="E257" s="1916">
        <f t="shared" si="28"/>
        <v>194</v>
      </c>
      <c r="F257" s="1916">
        <f>SUM(F258:F262)</f>
        <v>194</v>
      </c>
      <c r="G257" s="1916">
        <f>SUM(G258:G262)</f>
        <v>0</v>
      </c>
      <c r="H257" s="1916">
        <f>SUM(H258:H262)</f>
        <v>0</v>
      </c>
      <c r="I257" s="1916">
        <f>SUM(I258:I262)</f>
        <v>0</v>
      </c>
      <c r="J257" s="3485" t="s">
        <v>3144</v>
      </c>
      <c r="K257" s="3485" t="s">
        <v>2799</v>
      </c>
    </row>
    <row r="258" spans="1:11" ht="16.5" customHeight="1" outlineLevel="1">
      <c r="A258" s="3483"/>
      <c r="B258" s="3484"/>
      <c r="C258" s="3485"/>
      <c r="D258" s="1915">
        <v>2021</v>
      </c>
      <c r="E258" s="1916">
        <f t="shared" si="28"/>
        <v>194</v>
      </c>
      <c r="F258" s="1916">
        <v>194</v>
      </c>
      <c r="G258" s="1916">
        <v>0</v>
      </c>
      <c r="H258" s="1916">
        <v>0</v>
      </c>
      <c r="I258" s="1916">
        <v>0</v>
      </c>
      <c r="J258" s="3485"/>
      <c r="K258" s="3485"/>
    </row>
    <row r="259" spans="1:11" ht="16.5" customHeight="1" outlineLevel="1">
      <c r="A259" s="3483"/>
      <c r="B259" s="3484"/>
      <c r="C259" s="3485"/>
      <c r="D259" s="1915">
        <v>2022</v>
      </c>
      <c r="E259" s="1916">
        <f t="shared" si="28"/>
        <v>0</v>
      </c>
      <c r="F259" s="1916">
        <v>0</v>
      </c>
      <c r="G259" s="1916">
        <v>0</v>
      </c>
      <c r="H259" s="1916">
        <v>0</v>
      </c>
      <c r="I259" s="1916">
        <v>0</v>
      </c>
      <c r="J259" s="3485"/>
      <c r="K259" s="3485"/>
    </row>
    <row r="260" spans="1:11" ht="16.5" customHeight="1" outlineLevel="1">
      <c r="A260" s="3483"/>
      <c r="B260" s="3484"/>
      <c r="C260" s="3485"/>
      <c r="D260" s="1915">
        <v>2023</v>
      </c>
      <c r="E260" s="1916">
        <f t="shared" si="28"/>
        <v>0</v>
      </c>
      <c r="F260" s="1918">
        <v>0</v>
      </c>
      <c r="G260" s="1916">
        <v>0</v>
      </c>
      <c r="H260" s="1916">
        <v>0</v>
      </c>
      <c r="I260" s="1916">
        <v>0</v>
      </c>
      <c r="J260" s="3485"/>
      <c r="K260" s="3485"/>
    </row>
    <row r="261" spans="1:11" ht="16.5" customHeight="1" outlineLevel="1">
      <c r="A261" s="3483"/>
      <c r="B261" s="3484"/>
      <c r="C261" s="3485"/>
      <c r="D261" s="1915">
        <v>2024</v>
      </c>
      <c r="E261" s="1916">
        <f t="shared" si="28"/>
        <v>0</v>
      </c>
      <c r="F261" s="1916">
        <v>0</v>
      </c>
      <c r="G261" s="1916">
        <v>0</v>
      </c>
      <c r="H261" s="1916">
        <v>0</v>
      </c>
      <c r="I261" s="1916">
        <v>0</v>
      </c>
      <c r="J261" s="3485"/>
      <c r="K261" s="3485"/>
    </row>
    <row r="262" spans="1:11" ht="16.5" customHeight="1" outlineLevel="1">
      <c r="A262" s="3483"/>
      <c r="B262" s="3484"/>
      <c r="C262" s="3485"/>
      <c r="D262" s="1915">
        <v>2025</v>
      </c>
      <c r="E262" s="1916">
        <f t="shared" si="28"/>
        <v>0</v>
      </c>
      <c r="F262" s="1916">
        <v>0</v>
      </c>
      <c r="G262" s="1916">
        <v>0</v>
      </c>
      <c r="H262" s="1916">
        <v>0</v>
      </c>
      <c r="I262" s="1916">
        <v>0</v>
      </c>
      <c r="J262" s="3485"/>
      <c r="K262" s="3485"/>
    </row>
    <row r="263" spans="1:11" ht="16.5" customHeight="1" outlineLevel="1">
      <c r="A263" s="3483" t="s">
        <v>2927</v>
      </c>
      <c r="B263" s="3484" t="s">
        <v>2928</v>
      </c>
      <c r="C263" s="3485" t="s">
        <v>3017</v>
      </c>
      <c r="D263" s="1915" t="s">
        <v>8</v>
      </c>
      <c r="E263" s="1916">
        <f t="shared" si="28"/>
        <v>1800</v>
      </c>
      <c r="F263" s="1916">
        <f>SUM(F264:F268)</f>
        <v>1800</v>
      </c>
      <c r="G263" s="1916">
        <f>SUM(G264:G268)</f>
        <v>0</v>
      </c>
      <c r="H263" s="1916">
        <f>SUM(H264:H268)</f>
        <v>0</v>
      </c>
      <c r="I263" s="1916">
        <f>SUM(I264:I268)</f>
        <v>0</v>
      </c>
      <c r="J263" s="3485" t="s">
        <v>3143</v>
      </c>
      <c r="K263" s="3485" t="s">
        <v>2799</v>
      </c>
    </row>
    <row r="264" spans="1:11" ht="16.5" customHeight="1" outlineLevel="1">
      <c r="A264" s="3483"/>
      <c r="B264" s="3484"/>
      <c r="C264" s="3485"/>
      <c r="D264" s="1915">
        <v>2021</v>
      </c>
      <c r="E264" s="1916">
        <f t="shared" si="28"/>
        <v>0</v>
      </c>
      <c r="F264" s="1916">
        <v>0</v>
      </c>
      <c r="G264" s="1916">
        <v>0</v>
      </c>
      <c r="H264" s="1916">
        <v>0</v>
      </c>
      <c r="I264" s="1916">
        <v>0</v>
      </c>
      <c r="J264" s="3485"/>
      <c r="K264" s="3485"/>
    </row>
    <row r="265" spans="1:11" ht="16.5" customHeight="1" outlineLevel="1">
      <c r="A265" s="3483"/>
      <c r="B265" s="3484"/>
      <c r="C265" s="3485"/>
      <c r="D265" s="1915">
        <v>2022</v>
      </c>
      <c r="E265" s="1916">
        <v>900</v>
      </c>
      <c r="F265" s="1916">
        <v>900</v>
      </c>
      <c r="G265" s="1916">
        <v>0</v>
      </c>
      <c r="H265" s="1916">
        <v>0</v>
      </c>
      <c r="I265" s="1916">
        <v>0</v>
      </c>
      <c r="J265" s="3485"/>
      <c r="K265" s="3485"/>
    </row>
    <row r="266" spans="1:11" ht="16.5" customHeight="1" outlineLevel="1">
      <c r="A266" s="3483"/>
      <c r="B266" s="3484"/>
      <c r="C266" s="3485"/>
      <c r="D266" s="1915">
        <v>2023</v>
      </c>
      <c r="E266" s="1916">
        <f t="shared" si="28"/>
        <v>900</v>
      </c>
      <c r="F266" s="1918">
        <v>900</v>
      </c>
      <c r="G266" s="1916">
        <v>0</v>
      </c>
      <c r="H266" s="1916">
        <v>0</v>
      </c>
      <c r="I266" s="1916">
        <v>0</v>
      </c>
      <c r="J266" s="3485"/>
      <c r="K266" s="3485"/>
    </row>
    <row r="267" spans="1:11" ht="16.5" customHeight="1" outlineLevel="1">
      <c r="A267" s="3483"/>
      <c r="B267" s="3484"/>
      <c r="C267" s="3485"/>
      <c r="D267" s="1915">
        <v>2024</v>
      </c>
      <c r="E267" s="1916">
        <f t="shared" si="28"/>
        <v>0</v>
      </c>
      <c r="F267" s="1916">
        <v>0</v>
      </c>
      <c r="G267" s="1916">
        <v>0</v>
      </c>
      <c r="H267" s="1916">
        <v>0</v>
      </c>
      <c r="I267" s="1916">
        <v>0</v>
      </c>
      <c r="J267" s="3485"/>
      <c r="K267" s="3485"/>
    </row>
    <row r="268" spans="1:11" ht="16.5" customHeight="1" outlineLevel="1">
      <c r="A268" s="3483"/>
      <c r="B268" s="3484"/>
      <c r="C268" s="3485"/>
      <c r="D268" s="1915">
        <v>2025</v>
      </c>
      <c r="E268" s="1916">
        <f t="shared" si="28"/>
        <v>0</v>
      </c>
      <c r="F268" s="1916">
        <v>0</v>
      </c>
      <c r="G268" s="1916">
        <v>0</v>
      </c>
      <c r="H268" s="1916">
        <v>0</v>
      </c>
      <c r="I268" s="1916">
        <v>0</v>
      </c>
      <c r="J268" s="3485"/>
      <c r="K268" s="3485"/>
    </row>
    <row r="269" spans="1:11" ht="16.5" customHeight="1" outlineLevel="1">
      <c r="A269" s="3483" t="s">
        <v>2929</v>
      </c>
      <c r="B269" s="3484" t="s">
        <v>2930</v>
      </c>
      <c r="C269" s="3485" t="s">
        <v>3017</v>
      </c>
      <c r="D269" s="1915" t="s">
        <v>8</v>
      </c>
      <c r="E269" s="1916">
        <f t="shared" si="28"/>
        <v>117456.592</v>
      </c>
      <c r="F269" s="1916">
        <f>SUM(F270:F274)</f>
        <v>117456.592</v>
      </c>
      <c r="G269" s="1916">
        <f>SUM(G270:G274)</f>
        <v>0</v>
      </c>
      <c r="H269" s="1916">
        <f>SUM(H270:H274)</f>
        <v>0</v>
      </c>
      <c r="I269" s="1916">
        <f>SUM(I270:I274)</f>
        <v>0</v>
      </c>
      <c r="J269" s="3485" t="s">
        <v>2930</v>
      </c>
      <c r="K269" s="3485" t="s">
        <v>3034</v>
      </c>
    </row>
    <row r="270" spans="1:11" ht="16.5" customHeight="1" outlineLevel="1">
      <c r="A270" s="3483"/>
      <c r="B270" s="3484"/>
      <c r="C270" s="3485"/>
      <c r="D270" s="1915">
        <v>2021</v>
      </c>
      <c r="E270" s="1916">
        <f t="shared" si="28"/>
        <v>0</v>
      </c>
      <c r="F270" s="1916">
        <v>0</v>
      </c>
      <c r="G270" s="1916">
        <v>0</v>
      </c>
      <c r="H270" s="1916">
        <v>0</v>
      </c>
      <c r="I270" s="1916">
        <v>0</v>
      </c>
      <c r="J270" s="3485"/>
      <c r="K270" s="3485"/>
    </row>
    <row r="271" spans="1:11" ht="16.5" customHeight="1" outlineLevel="1">
      <c r="A271" s="3483"/>
      <c r="B271" s="3484"/>
      <c r="C271" s="3485"/>
      <c r="D271" s="1915">
        <v>2022</v>
      </c>
      <c r="E271" s="1916">
        <f t="shared" si="28"/>
        <v>24779.228999999999</v>
      </c>
      <c r="F271" s="1916">
        <v>24779.228999999999</v>
      </c>
      <c r="G271" s="1916">
        <v>0</v>
      </c>
      <c r="H271" s="1916">
        <v>0</v>
      </c>
      <c r="I271" s="1916">
        <v>0</v>
      </c>
      <c r="J271" s="3485"/>
      <c r="K271" s="3485"/>
    </row>
    <row r="272" spans="1:11" ht="16.5" customHeight="1" outlineLevel="1">
      <c r="A272" s="3483"/>
      <c r="B272" s="3484"/>
      <c r="C272" s="3485"/>
      <c r="D272" s="1915">
        <v>2023</v>
      </c>
      <c r="E272" s="1916">
        <f t="shared" si="28"/>
        <v>35051.025000000001</v>
      </c>
      <c r="F272" s="1918">
        <f>25184.8+5003.055+4863.17</f>
        <v>35051.025000000001</v>
      </c>
      <c r="G272" s="1916">
        <v>0</v>
      </c>
      <c r="H272" s="1916">
        <v>0</v>
      </c>
      <c r="I272" s="1916">
        <v>0</v>
      </c>
      <c r="J272" s="3485"/>
      <c r="K272" s="3485"/>
    </row>
    <row r="273" spans="1:11" ht="16.5" customHeight="1" outlineLevel="1">
      <c r="A273" s="3483"/>
      <c r="B273" s="3484"/>
      <c r="C273" s="3485"/>
      <c r="D273" s="1915">
        <v>2024</v>
      </c>
      <c r="E273" s="1916">
        <f t="shared" si="28"/>
        <v>28813.169000000002</v>
      </c>
      <c r="F273" s="1916">
        <v>28813.169000000002</v>
      </c>
      <c r="G273" s="1916">
        <v>0</v>
      </c>
      <c r="H273" s="1916">
        <v>0</v>
      </c>
      <c r="I273" s="1916">
        <v>0</v>
      </c>
      <c r="J273" s="3485"/>
      <c r="K273" s="3485"/>
    </row>
    <row r="274" spans="1:11" ht="16.5" customHeight="1" outlineLevel="1">
      <c r="A274" s="3483"/>
      <c r="B274" s="3484"/>
      <c r="C274" s="3485"/>
      <c r="D274" s="1915">
        <v>2025</v>
      </c>
      <c r="E274" s="1916">
        <f t="shared" si="28"/>
        <v>28813.169000000002</v>
      </c>
      <c r="F274" s="1916">
        <v>28813.169000000002</v>
      </c>
      <c r="G274" s="1916">
        <v>0</v>
      </c>
      <c r="H274" s="1916">
        <v>0</v>
      </c>
      <c r="I274" s="1916">
        <v>0</v>
      </c>
      <c r="J274" s="3485"/>
      <c r="K274" s="3485"/>
    </row>
    <row r="275" spans="1:11" ht="16.5" customHeight="1" outlineLevel="1">
      <c r="A275" s="3483" t="s">
        <v>2931</v>
      </c>
      <c r="B275" s="3484" t="s">
        <v>3142</v>
      </c>
      <c r="C275" s="3485">
        <v>2022</v>
      </c>
      <c r="D275" s="1915" t="s">
        <v>8</v>
      </c>
      <c r="E275" s="1916">
        <f t="shared" si="28"/>
        <v>0</v>
      </c>
      <c r="F275" s="1916">
        <f>SUM(F276:F280)</f>
        <v>0</v>
      </c>
      <c r="G275" s="1916">
        <f>SUM(G276:G280)</f>
        <v>0</v>
      </c>
      <c r="H275" s="1916">
        <f>SUM(H276:H280)</f>
        <v>0</v>
      </c>
      <c r="I275" s="1916">
        <f>SUM(I276:I280)</f>
        <v>0</v>
      </c>
      <c r="J275" s="3485" t="s">
        <v>3141</v>
      </c>
      <c r="K275" s="3485" t="s">
        <v>3140</v>
      </c>
    </row>
    <row r="276" spans="1:11" ht="16.5" customHeight="1" outlineLevel="1">
      <c r="A276" s="3483"/>
      <c r="B276" s="3484"/>
      <c r="C276" s="3485"/>
      <c r="D276" s="1915">
        <v>2021</v>
      </c>
      <c r="E276" s="1916">
        <f t="shared" si="28"/>
        <v>0</v>
      </c>
      <c r="F276" s="1916">
        <v>0</v>
      </c>
      <c r="G276" s="1916">
        <v>0</v>
      </c>
      <c r="H276" s="1916">
        <v>0</v>
      </c>
      <c r="I276" s="1916">
        <v>0</v>
      </c>
      <c r="J276" s="3485"/>
      <c r="K276" s="3485"/>
    </row>
    <row r="277" spans="1:11" ht="16.5" customHeight="1" outlineLevel="1">
      <c r="A277" s="3483"/>
      <c r="B277" s="3484"/>
      <c r="C277" s="3485"/>
      <c r="D277" s="1915">
        <v>2022</v>
      </c>
      <c r="E277" s="1916">
        <f t="shared" si="28"/>
        <v>0</v>
      </c>
      <c r="F277" s="1916">
        <v>0</v>
      </c>
      <c r="G277" s="1916">
        <v>0</v>
      </c>
      <c r="H277" s="1916">
        <v>0</v>
      </c>
      <c r="I277" s="1916">
        <v>0</v>
      </c>
      <c r="J277" s="3485"/>
      <c r="K277" s="3485"/>
    </row>
    <row r="278" spans="1:11" ht="16.5" customHeight="1" outlineLevel="1">
      <c r="A278" s="3483"/>
      <c r="B278" s="3484"/>
      <c r="C278" s="3485"/>
      <c r="D278" s="1915">
        <v>2023</v>
      </c>
      <c r="E278" s="1916">
        <f t="shared" si="28"/>
        <v>0</v>
      </c>
      <c r="F278" s="1916">
        <v>0</v>
      </c>
      <c r="G278" s="1916">
        <v>0</v>
      </c>
      <c r="H278" s="1916">
        <v>0</v>
      </c>
      <c r="I278" s="1916">
        <v>0</v>
      </c>
      <c r="J278" s="3485"/>
      <c r="K278" s="3485"/>
    </row>
    <row r="279" spans="1:11" ht="16.5" customHeight="1" outlineLevel="1">
      <c r="A279" s="3483"/>
      <c r="B279" s="3484"/>
      <c r="C279" s="3485"/>
      <c r="D279" s="1915">
        <v>2024</v>
      </c>
      <c r="E279" s="1916">
        <f t="shared" si="28"/>
        <v>0</v>
      </c>
      <c r="F279" s="1916">
        <v>0</v>
      </c>
      <c r="G279" s="1916">
        <v>0</v>
      </c>
      <c r="H279" s="1916">
        <v>0</v>
      </c>
      <c r="I279" s="1916">
        <v>0</v>
      </c>
      <c r="J279" s="3485"/>
      <c r="K279" s="3485"/>
    </row>
    <row r="280" spans="1:11" ht="16.5" customHeight="1" outlineLevel="1">
      <c r="A280" s="3483"/>
      <c r="B280" s="3484"/>
      <c r="C280" s="3485"/>
      <c r="D280" s="1915">
        <v>2025</v>
      </c>
      <c r="E280" s="1916">
        <f t="shared" si="28"/>
        <v>0</v>
      </c>
      <c r="F280" s="1916">
        <v>0</v>
      </c>
      <c r="G280" s="1916">
        <v>0</v>
      </c>
      <c r="H280" s="1916">
        <v>0</v>
      </c>
      <c r="I280" s="1916">
        <v>0</v>
      </c>
      <c r="J280" s="3485"/>
      <c r="K280" s="3485"/>
    </row>
    <row r="281" spans="1:11" ht="15.75" customHeight="1" outlineLevel="1">
      <c r="A281" s="3483" t="s">
        <v>2932</v>
      </c>
      <c r="B281" s="3484" t="s">
        <v>2933</v>
      </c>
      <c r="C281" s="3485">
        <v>2022</v>
      </c>
      <c r="D281" s="1915" t="s">
        <v>8</v>
      </c>
      <c r="E281" s="1916">
        <f t="shared" si="28"/>
        <v>17927.877</v>
      </c>
      <c r="F281" s="1916">
        <f>SUM(F282:F286)</f>
        <v>17927.877</v>
      </c>
      <c r="G281" s="1916">
        <f>SUM(G282:G286)</f>
        <v>0</v>
      </c>
      <c r="H281" s="1916">
        <f>SUM(H282:H286)</f>
        <v>0</v>
      </c>
      <c r="I281" s="1916">
        <f>SUM(I282:I286)</f>
        <v>0</v>
      </c>
      <c r="J281" s="3485" t="s">
        <v>3139</v>
      </c>
      <c r="K281" s="3485" t="s">
        <v>3138</v>
      </c>
    </row>
    <row r="282" spans="1:11" outlineLevel="1">
      <c r="A282" s="3483"/>
      <c r="B282" s="3484"/>
      <c r="C282" s="3485"/>
      <c r="D282" s="1915">
        <v>2021</v>
      </c>
      <c r="E282" s="1916">
        <f t="shared" si="28"/>
        <v>0</v>
      </c>
      <c r="F282" s="1916">
        <v>0</v>
      </c>
      <c r="G282" s="1916">
        <v>0</v>
      </c>
      <c r="H282" s="1916">
        <v>0</v>
      </c>
      <c r="I282" s="1916">
        <v>0</v>
      </c>
      <c r="J282" s="3485"/>
      <c r="K282" s="3485"/>
    </row>
    <row r="283" spans="1:11" outlineLevel="1">
      <c r="A283" s="3483"/>
      <c r="B283" s="3484"/>
      <c r="C283" s="3485"/>
      <c r="D283" s="1915">
        <v>2022</v>
      </c>
      <c r="E283" s="1916">
        <f t="shared" si="28"/>
        <v>17927.877</v>
      </c>
      <c r="F283" s="1916">
        <v>17927.877</v>
      </c>
      <c r="G283" s="1916">
        <v>0</v>
      </c>
      <c r="H283" s="1916">
        <v>0</v>
      </c>
      <c r="I283" s="1916">
        <v>0</v>
      </c>
      <c r="J283" s="3485"/>
      <c r="K283" s="3485"/>
    </row>
    <row r="284" spans="1:11" outlineLevel="1">
      <c r="A284" s="3483"/>
      <c r="B284" s="3484"/>
      <c r="C284" s="3485"/>
      <c r="D284" s="1915">
        <v>2023</v>
      </c>
      <c r="E284" s="1916">
        <f t="shared" si="28"/>
        <v>0</v>
      </c>
      <c r="F284" s="1916">
        <v>0</v>
      </c>
      <c r="G284" s="1916">
        <v>0</v>
      </c>
      <c r="H284" s="1916">
        <v>0</v>
      </c>
      <c r="I284" s="1916">
        <v>0</v>
      </c>
      <c r="J284" s="3485"/>
      <c r="K284" s="3485"/>
    </row>
    <row r="285" spans="1:11" outlineLevel="1">
      <c r="A285" s="3483"/>
      <c r="B285" s="3484"/>
      <c r="C285" s="3485"/>
      <c r="D285" s="1915">
        <v>2024</v>
      </c>
      <c r="E285" s="1916">
        <f t="shared" si="28"/>
        <v>0</v>
      </c>
      <c r="F285" s="1916">
        <v>0</v>
      </c>
      <c r="G285" s="1916">
        <v>0</v>
      </c>
      <c r="H285" s="1916">
        <v>0</v>
      </c>
      <c r="I285" s="1916">
        <v>0</v>
      </c>
      <c r="J285" s="3485"/>
      <c r="K285" s="3485"/>
    </row>
    <row r="286" spans="1:11" outlineLevel="1">
      <c r="A286" s="3483"/>
      <c r="B286" s="3484"/>
      <c r="C286" s="3485"/>
      <c r="D286" s="1915">
        <v>2025</v>
      </c>
      <c r="E286" s="1916">
        <f t="shared" si="28"/>
        <v>0</v>
      </c>
      <c r="F286" s="1916">
        <v>0</v>
      </c>
      <c r="G286" s="1916">
        <v>0</v>
      </c>
      <c r="H286" s="1916">
        <v>0</v>
      </c>
      <c r="I286" s="1916">
        <v>0</v>
      </c>
      <c r="J286" s="3485"/>
      <c r="K286" s="3485"/>
    </row>
    <row r="287" spans="1:11" ht="15.75" customHeight="1" outlineLevel="1">
      <c r="A287" s="3483" t="s">
        <v>2934</v>
      </c>
      <c r="B287" s="3484" t="s">
        <v>3137</v>
      </c>
      <c r="C287" s="3485">
        <v>2022</v>
      </c>
      <c r="D287" s="1915" t="s">
        <v>8</v>
      </c>
      <c r="E287" s="1916">
        <f t="shared" si="28"/>
        <v>82491</v>
      </c>
      <c r="F287" s="1916">
        <f>SUM(F288:F292)</f>
        <v>82491</v>
      </c>
      <c r="G287" s="1916">
        <f>SUM(G288:G292)</f>
        <v>0</v>
      </c>
      <c r="H287" s="1916">
        <f>SUM(H288:H292)</f>
        <v>0</v>
      </c>
      <c r="I287" s="1916">
        <f>SUM(I288:I292)</f>
        <v>0</v>
      </c>
      <c r="J287" s="3485" t="s">
        <v>3136</v>
      </c>
      <c r="K287" s="3485" t="s">
        <v>3034</v>
      </c>
    </row>
    <row r="288" spans="1:11" ht="15" customHeight="1" outlineLevel="1">
      <c r="A288" s="3483"/>
      <c r="B288" s="3484"/>
      <c r="C288" s="3485"/>
      <c r="D288" s="1915">
        <v>2021</v>
      </c>
      <c r="E288" s="1916">
        <f t="shared" si="28"/>
        <v>0</v>
      </c>
      <c r="F288" s="1916">
        <v>0</v>
      </c>
      <c r="G288" s="1916">
        <v>0</v>
      </c>
      <c r="H288" s="1916">
        <v>0</v>
      </c>
      <c r="I288" s="1916">
        <v>0</v>
      </c>
      <c r="J288" s="3485"/>
      <c r="K288" s="3485"/>
    </row>
    <row r="289" spans="1:11" ht="15" customHeight="1" outlineLevel="1">
      <c r="A289" s="3483"/>
      <c r="B289" s="3484"/>
      <c r="C289" s="3485"/>
      <c r="D289" s="1915">
        <v>2022</v>
      </c>
      <c r="E289" s="1916">
        <f t="shared" si="28"/>
        <v>82491</v>
      </c>
      <c r="F289" s="1916">
        <f>56859.756+25631.244</f>
        <v>82491</v>
      </c>
      <c r="G289" s="1916">
        <v>0</v>
      </c>
      <c r="H289" s="1916">
        <v>0</v>
      </c>
      <c r="I289" s="1916">
        <v>0</v>
      </c>
      <c r="J289" s="3485"/>
      <c r="K289" s="3485"/>
    </row>
    <row r="290" spans="1:11" ht="15" customHeight="1" outlineLevel="1">
      <c r="A290" s="3483"/>
      <c r="B290" s="3484"/>
      <c r="C290" s="3485"/>
      <c r="D290" s="1915">
        <v>2023</v>
      </c>
      <c r="E290" s="1916">
        <f t="shared" si="28"/>
        <v>0</v>
      </c>
      <c r="F290" s="1916">
        <v>0</v>
      </c>
      <c r="G290" s="1916">
        <v>0</v>
      </c>
      <c r="H290" s="1916">
        <v>0</v>
      </c>
      <c r="I290" s="1916">
        <v>0</v>
      </c>
      <c r="J290" s="3485"/>
      <c r="K290" s="3485"/>
    </row>
    <row r="291" spans="1:11" ht="15" customHeight="1" outlineLevel="1">
      <c r="A291" s="3483"/>
      <c r="B291" s="3484"/>
      <c r="C291" s="3485"/>
      <c r="D291" s="1915">
        <v>2024</v>
      </c>
      <c r="E291" s="1916">
        <f t="shared" si="28"/>
        <v>0</v>
      </c>
      <c r="F291" s="1916">
        <v>0</v>
      </c>
      <c r="G291" s="1916">
        <v>0</v>
      </c>
      <c r="H291" s="1916">
        <v>0</v>
      </c>
      <c r="I291" s="1916">
        <v>0</v>
      </c>
      <c r="J291" s="3485"/>
      <c r="K291" s="3485"/>
    </row>
    <row r="292" spans="1:11" ht="15" customHeight="1" outlineLevel="1">
      <c r="A292" s="3483"/>
      <c r="B292" s="3484"/>
      <c r="C292" s="3485"/>
      <c r="D292" s="1915">
        <v>2025</v>
      </c>
      <c r="E292" s="1916">
        <f t="shared" si="28"/>
        <v>0</v>
      </c>
      <c r="F292" s="1916">
        <v>0</v>
      </c>
      <c r="G292" s="1916">
        <v>0</v>
      </c>
      <c r="H292" s="1916">
        <v>0</v>
      </c>
      <c r="I292" s="1916">
        <v>0</v>
      </c>
      <c r="J292" s="3485"/>
      <c r="K292" s="3485"/>
    </row>
    <row r="293" spans="1:11" outlineLevel="1">
      <c r="A293" s="3483" t="s">
        <v>2935</v>
      </c>
      <c r="B293" s="3484" t="s">
        <v>3135</v>
      </c>
      <c r="C293" s="3485">
        <v>2022</v>
      </c>
      <c r="D293" s="1915" t="s">
        <v>8</v>
      </c>
      <c r="E293" s="1916">
        <f t="shared" si="28"/>
        <v>0</v>
      </c>
      <c r="F293" s="1916">
        <f>SUM(F294:F298)</f>
        <v>0</v>
      </c>
      <c r="G293" s="1916">
        <f>SUM(G294:G298)</f>
        <v>0</v>
      </c>
      <c r="H293" s="1916">
        <f>SUM(H294:H298)</f>
        <v>0</v>
      </c>
      <c r="I293" s="1916">
        <f>SUM(I294:I298)</f>
        <v>0</v>
      </c>
      <c r="J293" s="3485" t="s">
        <v>3134</v>
      </c>
      <c r="K293" s="3485" t="s">
        <v>3034</v>
      </c>
    </row>
    <row r="294" spans="1:11" outlineLevel="1">
      <c r="A294" s="3483"/>
      <c r="B294" s="3484"/>
      <c r="C294" s="3485"/>
      <c r="D294" s="1915">
        <v>2021</v>
      </c>
      <c r="E294" s="1916">
        <f t="shared" si="28"/>
        <v>0</v>
      </c>
      <c r="F294" s="1916">
        <v>0</v>
      </c>
      <c r="G294" s="1916">
        <v>0</v>
      </c>
      <c r="H294" s="1916">
        <v>0</v>
      </c>
      <c r="I294" s="1916">
        <v>0</v>
      </c>
      <c r="J294" s="3485"/>
      <c r="K294" s="3485"/>
    </row>
    <row r="295" spans="1:11" outlineLevel="1">
      <c r="A295" s="3483"/>
      <c r="B295" s="3484"/>
      <c r="C295" s="3485"/>
      <c r="D295" s="1915">
        <v>2022</v>
      </c>
      <c r="E295" s="1916">
        <f t="shared" si="28"/>
        <v>0</v>
      </c>
      <c r="F295" s="1916">
        <v>0</v>
      </c>
      <c r="G295" s="1916">
        <v>0</v>
      </c>
      <c r="H295" s="1916">
        <v>0</v>
      </c>
      <c r="I295" s="1916">
        <v>0</v>
      </c>
      <c r="J295" s="3485"/>
      <c r="K295" s="3485"/>
    </row>
    <row r="296" spans="1:11" outlineLevel="1">
      <c r="A296" s="3483"/>
      <c r="B296" s="3484"/>
      <c r="C296" s="3485"/>
      <c r="D296" s="1915">
        <v>2023</v>
      </c>
      <c r="E296" s="1916">
        <f t="shared" si="28"/>
        <v>0</v>
      </c>
      <c r="F296" s="1916">
        <v>0</v>
      </c>
      <c r="G296" s="1916">
        <v>0</v>
      </c>
      <c r="H296" s="1916">
        <v>0</v>
      </c>
      <c r="I296" s="1916">
        <v>0</v>
      </c>
      <c r="J296" s="3485"/>
      <c r="K296" s="3485"/>
    </row>
    <row r="297" spans="1:11" outlineLevel="1">
      <c r="A297" s="3483"/>
      <c r="B297" s="3484"/>
      <c r="C297" s="3485"/>
      <c r="D297" s="1915">
        <v>2024</v>
      </c>
      <c r="E297" s="1916">
        <f t="shared" si="28"/>
        <v>0</v>
      </c>
      <c r="F297" s="1916">
        <v>0</v>
      </c>
      <c r="G297" s="1916">
        <v>0</v>
      </c>
      <c r="H297" s="1916">
        <v>0</v>
      </c>
      <c r="I297" s="1916">
        <v>0</v>
      </c>
      <c r="J297" s="3485"/>
      <c r="K297" s="3485"/>
    </row>
    <row r="298" spans="1:11" outlineLevel="1">
      <c r="A298" s="3483"/>
      <c r="B298" s="3484"/>
      <c r="C298" s="3485"/>
      <c r="D298" s="1915">
        <v>2025</v>
      </c>
      <c r="E298" s="1916">
        <f t="shared" si="28"/>
        <v>0</v>
      </c>
      <c r="F298" s="1916">
        <v>0</v>
      </c>
      <c r="G298" s="1916">
        <v>0</v>
      </c>
      <c r="H298" s="1916">
        <v>0</v>
      </c>
      <c r="I298" s="1916">
        <v>0</v>
      </c>
      <c r="J298" s="3485"/>
      <c r="K298" s="3485"/>
    </row>
    <row r="299" spans="1:11" outlineLevel="1">
      <c r="A299" s="3483" t="s">
        <v>3133</v>
      </c>
      <c r="B299" s="3484" t="s">
        <v>3132</v>
      </c>
      <c r="C299" s="3485">
        <v>2022</v>
      </c>
      <c r="D299" s="1915" t="s">
        <v>8</v>
      </c>
      <c r="E299" s="1916">
        <f t="shared" si="28"/>
        <v>8470.5329999999994</v>
      </c>
      <c r="F299" s="1916">
        <f>SUM(F300:F304)</f>
        <v>8470.5329999999994</v>
      </c>
      <c r="G299" s="1916">
        <f>SUM(G300:G304)</f>
        <v>0</v>
      </c>
      <c r="H299" s="1916">
        <f>SUM(H300:H304)</f>
        <v>0</v>
      </c>
      <c r="I299" s="1916">
        <f>SUM(I300:I304)</f>
        <v>0</v>
      </c>
      <c r="J299" s="3485" t="s">
        <v>3131</v>
      </c>
      <c r="K299" s="3485" t="s">
        <v>3034</v>
      </c>
    </row>
    <row r="300" spans="1:11" outlineLevel="1">
      <c r="A300" s="3483"/>
      <c r="B300" s="3484"/>
      <c r="C300" s="3485"/>
      <c r="D300" s="1915">
        <v>2021</v>
      </c>
      <c r="E300" s="1916">
        <f t="shared" si="28"/>
        <v>0</v>
      </c>
      <c r="F300" s="1916">
        <v>0</v>
      </c>
      <c r="G300" s="1916">
        <v>0</v>
      </c>
      <c r="H300" s="1916">
        <v>0</v>
      </c>
      <c r="I300" s="1916">
        <v>0</v>
      </c>
      <c r="J300" s="3485"/>
      <c r="K300" s="3485"/>
    </row>
    <row r="301" spans="1:11" outlineLevel="1">
      <c r="A301" s="3483"/>
      <c r="B301" s="3484"/>
      <c r="C301" s="3485"/>
      <c r="D301" s="1915">
        <v>2022</v>
      </c>
      <c r="E301" s="1916">
        <f t="shared" si="28"/>
        <v>3486.1039999999998</v>
      </c>
      <c r="F301" s="1916">
        <f>1682.37+32.07+1771.664</f>
        <v>3486.1039999999998</v>
      </c>
      <c r="G301" s="1916">
        <v>0</v>
      </c>
      <c r="H301" s="1916">
        <v>0</v>
      </c>
      <c r="I301" s="1916">
        <v>0</v>
      </c>
      <c r="J301" s="3485"/>
      <c r="K301" s="3485"/>
    </row>
    <row r="302" spans="1:11" outlineLevel="1">
      <c r="A302" s="3483"/>
      <c r="B302" s="3484"/>
      <c r="C302" s="3485"/>
      <c r="D302" s="1915">
        <v>2023</v>
      </c>
      <c r="E302" s="1916">
        <f t="shared" si="28"/>
        <v>4984.4290000000001</v>
      </c>
      <c r="F302" s="1918">
        <f>3628.395+1356.034</f>
        <v>4984.4290000000001</v>
      </c>
      <c r="G302" s="1916">
        <v>0</v>
      </c>
      <c r="H302" s="1916">
        <v>0</v>
      </c>
      <c r="I302" s="1916">
        <v>0</v>
      </c>
      <c r="J302" s="3485"/>
      <c r="K302" s="3485"/>
    </row>
    <row r="303" spans="1:11" outlineLevel="1">
      <c r="A303" s="3483"/>
      <c r="B303" s="3484"/>
      <c r="C303" s="3485"/>
      <c r="D303" s="1915">
        <v>2024</v>
      </c>
      <c r="E303" s="1916">
        <f t="shared" si="28"/>
        <v>0</v>
      </c>
      <c r="F303" s="1916">
        <v>0</v>
      </c>
      <c r="G303" s="1916">
        <v>0</v>
      </c>
      <c r="H303" s="1916">
        <v>0</v>
      </c>
      <c r="I303" s="1916">
        <v>0</v>
      </c>
      <c r="J303" s="3485"/>
      <c r="K303" s="3485"/>
    </row>
    <row r="304" spans="1:11" outlineLevel="1">
      <c r="A304" s="3483"/>
      <c r="B304" s="3484"/>
      <c r="C304" s="3485"/>
      <c r="D304" s="1915">
        <v>2025</v>
      </c>
      <c r="E304" s="1916">
        <f t="shared" si="28"/>
        <v>0</v>
      </c>
      <c r="F304" s="1916">
        <v>0</v>
      </c>
      <c r="G304" s="1916">
        <v>0</v>
      </c>
      <c r="H304" s="1916">
        <v>0</v>
      </c>
      <c r="I304" s="1916">
        <v>0</v>
      </c>
      <c r="J304" s="3485"/>
      <c r="K304" s="3485"/>
    </row>
    <row r="305" spans="1:11" ht="20.100000000000001" customHeight="1" outlineLevel="1">
      <c r="A305" s="3483" t="s">
        <v>3130</v>
      </c>
      <c r="B305" s="3484" t="s">
        <v>3129</v>
      </c>
      <c r="C305" s="3485" t="s">
        <v>2989</v>
      </c>
      <c r="D305" s="1915" t="s">
        <v>8</v>
      </c>
      <c r="E305" s="1916">
        <f>SUM(E306:E310)</f>
        <v>13037.137999999999</v>
      </c>
      <c r="F305" s="1916">
        <f>SUM(F306:F310)</f>
        <v>13037.137999999999</v>
      </c>
      <c r="G305" s="1916">
        <f>SUM(G306:G310)</f>
        <v>0</v>
      </c>
      <c r="H305" s="1916">
        <f>SUM(H306:H310)</f>
        <v>0</v>
      </c>
      <c r="I305" s="1916">
        <f>SUM(I306:I310)</f>
        <v>0</v>
      </c>
      <c r="J305" s="3485" t="s">
        <v>3128</v>
      </c>
      <c r="K305" s="3485" t="s">
        <v>3127</v>
      </c>
    </row>
    <row r="306" spans="1:11" ht="20.100000000000001" customHeight="1" outlineLevel="1">
      <c r="A306" s="3483"/>
      <c r="B306" s="3484"/>
      <c r="C306" s="3485"/>
      <c r="D306" s="1915">
        <v>2021</v>
      </c>
      <c r="E306" s="1916">
        <f t="shared" ref="E306:E310" si="29">SUM(F306:I306)</f>
        <v>0</v>
      </c>
      <c r="F306" s="1916">
        <v>0</v>
      </c>
      <c r="G306" s="1916">
        <v>0</v>
      </c>
      <c r="H306" s="1916">
        <v>0</v>
      </c>
      <c r="I306" s="1916">
        <v>0</v>
      </c>
      <c r="J306" s="3485"/>
      <c r="K306" s="3485"/>
    </row>
    <row r="307" spans="1:11" ht="20.100000000000001" customHeight="1" outlineLevel="1">
      <c r="A307" s="3483"/>
      <c r="B307" s="3484"/>
      <c r="C307" s="3485"/>
      <c r="D307" s="1915">
        <v>2022</v>
      </c>
      <c r="E307" s="1916">
        <f t="shared" si="29"/>
        <v>0</v>
      </c>
      <c r="F307" s="1916">
        <v>0</v>
      </c>
      <c r="G307" s="1916">
        <v>0</v>
      </c>
      <c r="H307" s="1916">
        <v>0</v>
      </c>
      <c r="I307" s="1916">
        <v>0</v>
      </c>
      <c r="J307" s="3485"/>
      <c r="K307" s="3485"/>
    </row>
    <row r="308" spans="1:11" ht="20.100000000000001" customHeight="1" outlineLevel="1">
      <c r="A308" s="3483"/>
      <c r="B308" s="3484"/>
      <c r="C308" s="3485"/>
      <c r="D308" s="1915">
        <v>2023</v>
      </c>
      <c r="E308" s="1916">
        <f t="shared" si="29"/>
        <v>13037.137999999999</v>
      </c>
      <c r="F308" s="1918">
        <f>16200.622-1807.45-1356.034</f>
        <v>13037.137999999999</v>
      </c>
      <c r="G308" s="1916">
        <v>0</v>
      </c>
      <c r="H308" s="1916">
        <v>0</v>
      </c>
      <c r="I308" s="1916">
        <v>0</v>
      </c>
      <c r="J308" s="3485"/>
      <c r="K308" s="3485"/>
    </row>
    <row r="309" spans="1:11" ht="20.100000000000001" customHeight="1" outlineLevel="1">
      <c r="A309" s="3483"/>
      <c r="B309" s="3484"/>
      <c r="C309" s="3485"/>
      <c r="D309" s="1915">
        <v>2024</v>
      </c>
      <c r="E309" s="1916">
        <f t="shared" si="29"/>
        <v>0</v>
      </c>
      <c r="F309" s="1916">
        <v>0</v>
      </c>
      <c r="G309" s="1916">
        <v>0</v>
      </c>
      <c r="H309" s="1916">
        <v>0</v>
      </c>
      <c r="I309" s="1916">
        <v>0</v>
      </c>
      <c r="J309" s="3485"/>
      <c r="K309" s="3485"/>
    </row>
    <row r="310" spans="1:11" ht="20.100000000000001" customHeight="1" outlineLevel="1">
      <c r="A310" s="3483"/>
      <c r="B310" s="3484"/>
      <c r="C310" s="3485"/>
      <c r="D310" s="1915">
        <v>2025</v>
      </c>
      <c r="E310" s="1916">
        <f t="shared" si="29"/>
        <v>0</v>
      </c>
      <c r="F310" s="1916">
        <v>0</v>
      </c>
      <c r="G310" s="1916">
        <v>0</v>
      </c>
      <c r="H310" s="1916">
        <v>0</v>
      </c>
      <c r="I310" s="1916">
        <v>0</v>
      </c>
      <c r="J310" s="3485"/>
      <c r="K310" s="3485"/>
    </row>
    <row r="311" spans="1:11" ht="36.75" customHeight="1" outlineLevel="1">
      <c r="A311" s="3483" t="s">
        <v>3126</v>
      </c>
      <c r="B311" s="3484" t="s">
        <v>2936</v>
      </c>
      <c r="C311" s="3485" t="s">
        <v>2989</v>
      </c>
      <c r="D311" s="1915" t="s">
        <v>8</v>
      </c>
      <c r="E311" s="1916">
        <f t="shared" si="28"/>
        <v>305334.17021000001</v>
      </c>
      <c r="F311" s="1916">
        <f>SUM(F312:F316)</f>
        <v>219800</v>
      </c>
      <c r="G311" s="1916">
        <f>SUM(G312:G316)</f>
        <v>0</v>
      </c>
      <c r="H311" s="1916">
        <f>SUM(H312:H316)</f>
        <v>85534.170209999997</v>
      </c>
      <c r="I311" s="1916">
        <f>SUM(I312:I316)</f>
        <v>0</v>
      </c>
      <c r="J311" s="3485" t="s">
        <v>3125</v>
      </c>
      <c r="K311" s="3485" t="s">
        <v>2852</v>
      </c>
    </row>
    <row r="312" spans="1:11" ht="30.75" customHeight="1" outlineLevel="1">
      <c r="A312" s="3483"/>
      <c r="B312" s="3484"/>
      <c r="C312" s="3485"/>
      <c r="D312" s="1915">
        <v>2021</v>
      </c>
      <c r="E312" s="1916">
        <f t="shared" si="28"/>
        <v>54717.700210000003</v>
      </c>
      <c r="F312" s="1916">
        <f t="shared" ref="F312:I316" si="30">F324+F318</f>
        <v>41400</v>
      </c>
      <c r="G312" s="1916">
        <f t="shared" si="30"/>
        <v>0</v>
      </c>
      <c r="H312" s="1916">
        <f t="shared" si="30"/>
        <v>13317.700210000001</v>
      </c>
      <c r="I312" s="1916">
        <f t="shared" si="30"/>
        <v>0</v>
      </c>
      <c r="J312" s="3485"/>
      <c r="K312" s="3485"/>
    </row>
    <row r="313" spans="1:11" ht="40.5" customHeight="1" outlineLevel="1">
      <c r="A313" s="3483"/>
      <c r="B313" s="3484"/>
      <c r="C313" s="3485"/>
      <c r="D313" s="1915">
        <v>2022</v>
      </c>
      <c r="E313" s="1916">
        <f t="shared" si="28"/>
        <v>67577.179999999993</v>
      </c>
      <c r="F313" s="1916">
        <f t="shared" si="30"/>
        <v>47800</v>
      </c>
      <c r="G313" s="1916">
        <f t="shared" si="30"/>
        <v>0</v>
      </c>
      <c r="H313" s="1916">
        <f t="shared" si="30"/>
        <v>19777.18</v>
      </c>
      <c r="I313" s="1916">
        <f t="shared" si="30"/>
        <v>0</v>
      </c>
      <c r="J313" s="3485"/>
      <c r="K313" s="3485"/>
    </row>
    <row r="314" spans="1:11" ht="35.25" customHeight="1" outlineLevel="1">
      <c r="A314" s="3483"/>
      <c r="B314" s="3484"/>
      <c r="C314" s="3485"/>
      <c r="D314" s="1915">
        <v>2023</v>
      </c>
      <c r="E314" s="1916">
        <f t="shared" si="28"/>
        <v>67577.23</v>
      </c>
      <c r="F314" s="1916">
        <f t="shared" si="30"/>
        <v>47800</v>
      </c>
      <c r="G314" s="1916">
        <f t="shared" si="30"/>
        <v>0</v>
      </c>
      <c r="H314" s="1916">
        <f t="shared" si="30"/>
        <v>19777.23</v>
      </c>
      <c r="I314" s="1916">
        <f t="shared" si="30"/>
        <v>0</v>
      </c>
      <c r="J314" s="3485"/>
      <c r="K314" s="3485"/>
    </row>
    <row r="315" spans="1:11" ht="30" customHeight="1" outlineLevel="1">
      <c r="A315" s="3483"/>
      <c r="B315" s="3484"/>
      <c r="C315" s="3485"/>
      <c r="D315" s="1915">
        <v>2024</v>
      </c>
      <c r="E315" s="1916">
        <f t="shared" si="28"/>
        <v>57731.03</v>
      </c>
      <c r="F315" s="1916">
        <f t="shared" si="30"/>
        <v>41400</v>
      </c>
      <c r="G315" s="1916">
        <f t="shared" si="30"/>
        <v>0</v>
      </c>
      <c r="H315" s="1916">
        <f t="shared" si="30"/>
        <v>16331.03</v>
      </c>
      <c r="I315" s="1916">
        <f t="shared" si="30"/>
        <v>0</v>
      </c>
      <c r="J315" s="3485"/>
      <c r="K315" s="3485"/>
    </row>
    <row r="316" spans="1:11" ht="33.75" customHeight="1" outlineLevel="1">
      <c r="A316" s="3483"/>
      <c r="B316" s="3484"/>
      <c r="C316" s="3485"/>
      <c r="D316" s="1915">
        <v>2025</v>
      </c>
      <c r="E316" s="1916">
        <f t="shared" si="28"/>
        <v>57731.03</v>
      </c>
      <c r="F316" s="1916">
        <f t="shared" si="30"/>
        <v>41400</v>
      </c>
      <c r="G316" s="1916">
        <f t="shared" si="30"/>
        <v>0</v>
      </c>
      <c r="H316" s="1916">
        <f t="shared" si="30"/>
        <v>16331.03</v>
      </c>
      <c r="I316" s="1916">
        <f t="shared" si="30"/>
        <v>0</v>
      </c>
      <c r="J316" s="3485"/>
      <c r="K316" s="3485"/>
    </row>
    <row r="317" spans="1:11" ht="17.100000000000001" customHeight="1" outlineLevel="1">
      <c r="A317" s="3483" t="s">
        <v>3124</v>
      </c>
      <c r="B317" s="3484" t="s">
        <v>2937</v>
      </c>
      <c r="C317" s="3485">
        <v>2021</v>
      </c>
      <c r="D317" s="1915" t="s">
        <v>8</v>
      </c>
      <c r="E317" s="1916">
        <f>SUM(E318:E322)</f>
        <v>29493.268840000001</v>
      </c>
      <c r="F317" s="1916">
        <f>SUM(F318:F322)</f>
        <v>19200</v>
      </c>
      <c r="G317" s="1916">
        <f>SUM(G318:G322)</f>
        <v>0</v>
      </c>
      <c r="H317" s="1916">
        <f>SUM(H318:H322)</f>
        <v>10293.268840000001</v>
      </c>
      <c r="I317" s="1916">
        <f>SUM(I318:I322)</f>
        <v>0</v>
      </c>
      <c r="J317" s="3485" t="s">
        <v>2818</v>
      </c>
      <c r="K317" s="3485" t="s">
        <v>2852</v>
      </c>
    </row>
    <row r="318" spans="1:11" ht="27" customHeight="1" outlineLevel="1">
      <c r="A318" s="3483"/>
      <c r="B318" s="3484"/>
      <c r="C318" s="3485"/>
      <c r="D318" s="1915">
        <v>2021</v>
      </c>
      <c r="E318" s="1916">
        <f t="shared" ref="E318:E322" si="31">SUM(F318:I318)</f>
        <v>9800.9188400000003</v>
      </c>
      <c r="F318" s="1916">
        <v>6400</v>
      </c>
      <c r="G318" s="1916">
        <v>0</v>
      </c>
      <c r="H318" s="1916">
        <v>3400.9188399999998</v>
      </c>
      <c r="I318" s="1916">
        <v>0</v>
      </c>
      <c r="J318" s="3485"/>
      <c r="K318" s="3485"/>
    </row>
    <row r="319" spans="1:11" ht="23.25" customHeight="1" outlineLevel="1">
      <c r="A319" s="3483"/>
      <c r="B319" s="3484"/>
      <c r="C319" s="3485"/>
      <c r="D319" s="1915">
        <v>2022</v>
      </c>
      <c r="E319" s="1916">
        <f t="shared" si="31"/>
        <v>9846.15</v>
      </c>
      <c r="F319" s="1916">
        <v>6400</v>
      </c>
      <c r="G319" s="1916">
        <v>0</v>
      </c>
      <c r="H319" s="1916">
        <v>3446.15</v>
      </c>
      <c r="I319" s="1916">
        <v>0</v>
      </c>
      <c r="J319" s="3485"/>
      <c r="K319" s="3485"/>
    </row>
    <row r="320" spans="1:11" ht="25.5" customHeight="1" outlineLevel="1">
      <c r="A320" s="3483"/>
      <c r="B320" s="3484"/>
      <c r="C320" s="3485"/>
      <c r="D320" s="1915">
        <v>2023</v>
      </c>
      <c r="E320" s="1916">
        <f t="shared" si="31"/>
        <v>9846.2000000000007</v>
      </c>
      <c r="F320" s="1916">
        <v>6400</v>
      </c>
      <c r="G320" s="1916">
        <v>0</v>
      </c>
      <c r="H320" s="1916">
        <v>3446.2</v>
      </c>
      <c r="I320" s="1916">
        <v>0</v>
      </c>
      <c r="J320" s="3485"/>
      <c r="K320" s="3485"/>
    </row>
    <row r="321" spans="1:11" ht="25.5" customHeight="1" outlineLevel="1">
      <c r="A321" s="3483"/>
      <c r="B321" s="3484"/>
      <c r="C321" s="3485"/>
      <c r="D321" s="1915">
        <v>2024</v>
      </c>
      <c r="E321" s="1916">
        <f t="shared" si="31"/>
        <v>0</v>
      </c>
      <c r="F321" s="1916">
        <v>0</v>
      </c>
      <c r="G321" s="1916">
        <v>0</v>
      </c>
      <c r="H321" s="1916">
        <v>0</v>
      </c>
      <c r="I321" s="1916">
        <v>0</v>
      </c>
      <c r="J321" s="3485"/>
      <c r="K321" s="3485"/>
    </row>
    <row r="322" spans="1:11" ht="21.75" customHeight="1" outlineLevel="1">
      <c r="A322" s="3483"/>
      <c r="B322" s="3484"/>
      <c r="C322" s="3485"/>
      <c r="D322" s="1915">
        <v>2025</v>
      </c>
      <c r="E322" s="1916">
        <f t="shared" si="31"/>
        <v>0</v>
      </c>
      <c r="F322" s="1916">
        <v>0</v>
      </c>
      <c r="G322" s="1916">
        <v>0</v>
      </c>
      <c r="H322" s="1916">
        <v>0</v>
      </c>
      <c r="I322" s="1916">
        <v>0</v>
      </c>
      <c r="J322" s="3485"/>
      <c r="K322" s="3485"/>
    </row>
    <row r="323" spans="1:11" ht="20.100000000000001" customHeight="1" outlineLevel="1">
      <c r="A323" s="3483" t="s">
        <v>3123</v>
      </c>
      <c r="B323" s="3484" t="s">
        <v>2819</v>
      </c>
      <c r="C323" s="3485" t="s">
        <v>2989</v>
      </c>
      <c r="D323" s="1915" t="s">
        <v>8</v>
      </c>
      <c r="E323" s="1916">
        <f>SUM(E324:E328)</f>
        <v>275840.90136999998</v>
      </c>
      <c r="F323" s="1916">
        <f>SUM(F324:F328)</f>
        <v>200600</v>
      </c>
      <c r="G323" s="1916">
        <f>SUM(G324:G328)</f>
        <v>0</v>
      </c>
      <c r="H323" s="1916">
        <f>SUM(H324:H328)</f>
        <v>75240.901370000007</v>
      </c>
      <c r="I323" s="1916">
        <f>SUM(I324:I328)</f>
        <v>0</v>
      </c>
      <c r="J323" s="3485" t="s">
        <v>2820</v>
      </c>
      <c r="K323" s="3485" t="s">
        <v>2852</v>
      </c>
    </row>
    <row r="324" spans="1:11" ht="20.100000000000001" customHeight="1" outlineLevel="1">
      <c r="A324" s="3483"/>
      <c r="B324" s="3484"/>
      <c r="C324" s="3485"/>
      <c r="D324" s="1915">
        <v>2021</v>
      </c>
      <c r="E324" s="1916">
        <f t="shared" ref="E324:E358" si="32">SUM(F324:I324)</f>
        <v>44916.781369999997</v>
      </c>
      <c r="F324" s="1916">
        <v>35000</v>
      </c>
      <c r="G324" s="1916">
        <v>0</v>
      </c>
      <c r="H324" s="1916">
        <v>9916.7813700000006</v>
      </c>
      <c r="I324" s="1916">
        <v>0</v>
      </c>
      <c r="J324" s="3485"/>
      <c r="K324" s="3485"/>
    </row>
    <row r="325" spans="1:11" ht="20.100000000000001" customHeight="1" outlineLevel="1">
      <c r="A325" s="3483"/>
      <c r="B325" s="3484"/>
      <c r="C325" s="3485"/>
      <c r="D325" s="1915">
        <v>2022</v>
      </c>
      <c r="E325" s="1916">
        <f t="shared" si="32"/>
        <v>57731.03</v>
      </c>
      <c r="F325" s="1916">
        <v>41400</v>
      </c>
      <c r="G325" s="1916">
        <v>0</v>
      </c>
      <c r="H325" s="1916">
        <v>16331.03</v>
      </c>
      <c r="I325" s="1916">
        <v>0</v>
      </c>
      <c r="J325" s="3485"/>
      <c r="K325" s="3485"/>
    </row>
    <row r="326" spans="1:11" ht="20.100000000000001" customHeight="1" outlineLevel="1">
      <c r="A326" s="3483"/>
      <c r="B326" s="3484"/>
      <c r="C326" s="3485"/>
      <c r="D326" s="1915">
        <v>2023</v>
      </c>
      <c r="E326" s="1916">
        <f t="shared" si="32"/>
        <v>57731.03</v>
      </c>
      <c r="F326" s="1916">
        <v>41400</v>
      </c>
      <c r="G326" s="1916">
        <v>0</v>
      </c>
      <c r="H326" s="1916">
        <v>16331.03</v>
      </c>
      <c r="I326" s="1916">
        <v>0</v>
      </c>
      <c r="J326" s="3485"/>
      <c r="K326" s="3485"/>
    </row>
    <row r="327" spans="1:11" ht="20.100000000000001" customHeight="1" outlineLevel="1">
      <c r="A327" s="3483"/>
      <c r="B327" s="3484"/>
      <c r="C327" s="3485"/>
      <c r="D327" s="1915">
        <v>2024</v>
      </c>
      <c r="E327" s="1916">
        <f t="shared" si="32"/>
        <v>57731.03</v>
      </c>
      <c r="F327" s="1916">
        <v>41400</v>
      </c>
      <c r="G327" s="1916">
        <v>0</v>
      </c>
      <c r="H327" s="1916">
        <v>16331.03</v>
      </c>
      <c r="I327" s="1916">
        <v>0</v>
      </c>
      <c r="J327" s="3485"/>
      <c r="K327" s="3485"/>
    </row>
    <row r="328" spans="1:11" ht="20.100000000000001" customHeight="1" outlineLevel="1">
      <c r="A328" s="3483"/>
      <c r="B328" s="3484"/>
      <c r="C328" s="3485"/>
      <c r="D328" s="1915">
        <v>2025</v>
      </c>
      <c r="E328" s="1916">
        <f t="shared" si="32"/>
        <v>57731.03</v>
      </c>
      <c r="F328" s="1916">
        <v>41400</v>
      </c>
      <c r="G328" s="1916">
        <v>0</v>
      </c>
      <c r="H328" s="1916">
        <v>16331.03</v>
      </c>
      <c r="I328" s="1916">
        <v>0</v>
      </c>
      <c r="J328" s="3485"/>
      <c r="K328" s="3485"/>
    </row>
    <row r="329" spans="1:11" ht="15.75" customHeight="1" outlineLevel="1">
      <c r="A329" s="3483" t="s">
        <v>3122</v>
      </c>
      <c r="B329" s="3484" t="s">
        <v>631</v>
      </c>
      <c r="C329" s="3485" t="s">
        <v>3115</v>
      </c>
      <c r="D329" s="1915" t="s">
        <v>8</v>
      </c>
      <c r="E329" s="1916">
        <f t="shared" si="32"/>
        <v>80809.751939999987</v>
      </c>
      <c r="F329" s="1916">
        <f>SUM(F330:F334)</f>
        <v>9396.9685700000009</v>
      </c>
      <c r="G329" s="1916">
        <f>SUM(G330:G334)</f>
        <v>71412.78336999999</v>
      </c>
      <c r="H329" s="1916">
        <f>SUM(H330:H334)</f>
        <v>0</v>
      </c>
      <c r="I329" s="1916">
        <f>SUM(I330:I334)</f>
        <v>0</v>
      </c>
      <c r="J329" s="3485" t="s">
        <v>3121</v>
      </c>
      <c r="K329" s="3485" t="s">
        <v>3066</v>
      </c>
    </row>
    <row r="330" spans="1:11" outlineLevel="1">
      <c r="A330" s="3483"/>
      <c r="B330" s="3484"/>
      <c r="C330" s="3485"/>
      <c r="D330" s="1915">
        <v>2021</v>
      </c>
      <c r="E330" s="1916">
        <f t="shared" si="32"/>
        <v>27296.712679999997</v>
      </c>
      <c r="F330" s="1916">
        <f t="shared" ref="F330:I334" si="33">F336+F342</f>
        <v>3105.6126800000002</v>
      </c>
      <c r="G330" s="1916">
        <f t="shared" si="33"/>
        <v>24191.1</v>
      </c>
      <c r="H330" s="1916">
        <f t="shared" si="33"/>
        <v>0</v>
      </c>
      <c r="I330" s="1916">
        <f t="shared" si="33"/>
        <v>0</v>
      </c>
      <c r="J330" s="3485"/>
      <c r="K330" s="3485"/>
    </row>
    <row r="331" spans="1:11" outlineLevel="1">
      <c r="A331" s="3483"/>
      <c r="B331" s="3484"/>
      <c r="C331" s="3485"/>
      <c r="D331" s="1915">
        <v>2022</v>
      </c>
      <c r="E331" s="1916">
        <f t="shared" si="32"/>
        <v>18900.377</v>
      </c>
      <c r="F331" s="1916">
        <f t="shared" si="33"/>
        <v>2711.0770000000002</v>
      </c>
      <c r="G331" s="1916">
        <f t="shared" si="33"/>
        <v>16189.3</v>
      </c>
      <c r="H331" s="1916">
        <f t="shared" si="33"/>
        <v>0</v>
      </c>
      <c r="I331" s="1916">
        <f t="shared" si="33"/>
        <v>0</v>
      </c>
      <c r="J331" s="3485"/>
      <c r="K331" s="3485"/>
    </row>
    <row r="332" spans="1:11" outlineLevel="1">
      <c r="A332" s="3483"/>
      <c r="B332" s="3484"/>
      <c r="C332" s="3485"/>
      <c r="D332" s="1915">
        <v>2023</v>
      </c>
      <c r="E332" s="1916">
        <f t="shared" si="32"/>
        <v>11802.74826</v>
      </c>
      <c r="F332" s="1916">
        <f t="shared" si="33"/>
        <v>708.16489000000001</v>
      </c>
      <c r="G332" s="1916">
        <f t="shared" si="33"/>
        <v>11094.58337</v>
      </c>
      <c r="H332" s="1916">
        <f t="shared" si="33"/>
        <v>0</v>
      </c>
      <c r="I332" s="1916">
        <f t="shared" si="33"/>
        <v>0</v>
      </c>
      <c r="J332" s="3485"/>
      <c r="K332" s="3485"/>
    </row>
    <row r="333" spans="1:11" outlineLevel="1">
      <c r="A333" s="3483"/>
      <c r="B333" s="3484"/>
      <c r="C333" s="3485"/>
      <c r="D333" s="1915">
        <v>2024</v>
      </c>
      <c r="E333" s="1916">
        <f t="shared" si="32"/>
        <v>22809.914000000001</v>
      </c>
      <c r="F333" s="1916">
        <f t="shared" si="33"/>
        <v>2872.114</v>
      </c>
      <c r="G333" s="1916">
        <f t="shared" si="33"/>
        <v>19937.8</v>
      </c>
      <c r="H333" s="1916">
        <f t="shared" si="33"/>
        <v>0</v>
      </c>
      <c r="I333" s="1916">
        <f t="shared" si="33"/>
        <v>0</v>
      </c>
      <c r="J333" s="3485"/>
      <c r="K333" s="3485"/>
    </row>
    <row r="334" spans="1:11" outlineLevel="1">
      <c r="A334" s="3483"/>
      <c r="B334" s="3484"/>
      <c r="C334" s="3485"/>
      <c r="D334" s="1915">
        <v>2025</v>
      </c>
      <c r="E334" s="1916">
        <f t="shared" si="32"/>
        <v>0</v>
      </c>
      <c r="F334" s="1916">
        <f t="shared" si="33"/>
        <v>0</v>
      </c>
      <c r="G334" s="1916">
        <f t="shared" si="33"/>
        <v>0</v>
      </c>
      <c r="H334" s="1916">
        <f t="shared" si="33"/>
        <v>0</v>
      </c>
      <c r="I334" s="1916">
        <f t="shared" si="33"/>
        <v>0</v>
      </c>
      <c r="J334" s="3485"/>
      <c r="K334" s="3485"/>
    </row>
    <row r="335" spans="1:11" ht="19.5" customHeight="1" outlineLevel="1">
      <c r="A335" s="3483" t="s">
        <v>3120</v>
      </c>
      <c r="B335" s="3484" t="s">
        <v>3119</v>
      </c>
      <c r="C335" s="3485" t="s">
        <v>3115</v>
      </c>
      <c r="D335" s="1915" t="s">
        <v>8</v>
      </c>
      <c r="E335" s="1916">
        <f t="shared" si="32"/>
        <v>56905.539389999998</v>
      </c>
      <c r="F335" s="1916">
        <f>SUM(F336:F340)</f>
        <v>3414.2560199999998</v>
      </c>
      <c r="G335" s="1916">
        <f>SUM(G336:G340)</f>
        <v>53491.283369999997</v>
      </c>
      <c r="H335" s="1916">
        <f>SUM(H336:H340)</f>
        <v>0</v>
      </c>
      <c r="I335" s="1916">
        <f>SUM(I336:I340)</f>
        <v>0</v>
      </c>
      <c r="J335" s="3485" t="s">
        <v>3620</v>
      </c>
      <c r="K335" s="3485" t="s">
        <v>2852</v>
      </c>
    </row>
    <row r="336" spans="1:11" ht="15" customHeight="1" outlineLevel="1">
      <c r="A336" s="3483"/>
      <c r="B336" s="3484"/>
      <c r="C336" s="3485"/>
      <c r="D336" s="1915">
        <v>2021</v>
      </c>
      <c r="E336" s="1916">
        <f t="shared" si="32"/>
        <v>20914.599999999999</v>
      </c>
      <c r="F336" s="1916">
        <v>1254.8</v>
      </c>
      <c r="G336" s="1916">
        <v>19659.8</v>
      </c>
      <c r="H336" s="1916">
        <v>0</v>
      </c>
      <c r="I336" s="1916">
        <v>0</v>
      </c>
      <c r="J336" s="3485"/>
      <c r="K336" s="3485"/>
    </row>
    <row r="337" spans="1:11" ht="16.5" customHeight="1" outlineLevel="1">
      <c r="A337" s="3483"/>
      <c r="B337" s="3484"/>
      <c r="C337" s="3485"/>
      <c r="D337" s="1915">
        <v>2022</v>
      </c>
      <c r="E337" s="1916">
        <f t="shared" si="32"/>
        <v>12043.617</v>
      </c>
      <c r="F337" s="1916">
        <v>722.61699999999996</v>
      </c>
      <c r="G337" s="1916">
        <v>11321</v>
      </c>
      <c r="H337" s="1916">
        <v>0</v>
      </c>
      <c r="I337" s="1916">
        <v>0</v>
      </c>
      <c r="J337" s="3485"/>
      <c r="K337" s="3485"/>
    </row>
    <row r="338" spans="1:11" ht="14.25" customHeight="1" outlineLevel="1">
      <c r="A338" s="3483"/>
      <c r="B338" s="3484"/>
      <c r="C338" s="3485"/>
      <c r="D338" s="1915">
        <v>2023</v>
      </c>
      <c r="E338" s="1916">
        <f t="shared" si="32"/>
        <v>7674.45039</v>
      </c>
      <c r="F338" s="1916">
        <v>460.46701999999999</v>
      </c>
      <c r="G338" s="1916">
        <v>7213.9833699999999</v>
      </c>
      <c r="H338" s="1916">
        <v>0</v>
      </c>
      <c r="I338" s="1916">
        <v>0</v>
      </c>
      <c r="J338" s="3485"/>
      <c r="K338" s="3485"/>
    </row>
    <row r="339" spans="1:11" ht="12.75" customHeight="1" outlineLevel="1">
      <c r="A339" s="3483"/>
      <c r="B339" s="3484"/>
      <c r="C339" s="3485"/>
      <c r="D339" s="1915">
        <v>2024</v>
      </c>
      <c r="E339" s="1916">
        <f t="shared" si="32"/>
        <v>16272.871999999999</v>
      </c>
      <c r="F339" s="1916">
        <v>976.37199999999996</v>
      </c>
      <c r="G339" s="1916">
        <v>15296.5</v>
      </c>
      <c r="H339" s="1916">
        <v>0</v>
      </c>
      <c r="I339" s="1916">
        <v>0</v>
      </c>
      <c r="J339" s="3485"/>
      <c r="K339" s="3485"/>
    </row>
    <row r="340" spans="1:11" ht="14.25" customHeight="1" outlineLevel="1">
      <c r="A340" s="3483"/>
      <c r="B340" s="3484"/>
      <c r="C340" s="3485"/>
      <c r="D340" s="1915">
        <v>2025</v>
      </c>
      <c r="E340" s="1916">
        <f t="shared" si="32"/>
        <v>0</v>
      </c>
      <c r="F340" s="1916">
        <v>0</v>
      </c>
      <c r="G340" s="1916">
        <v>0</v>
      </c>
      <c r="H340" s="1916">
        <v>0</v>
      </c>
      <c r="I340" s="1916">
        <v>0</v>
      </c>
      <c r="J340" s="3485"/>
      <c r="K340" s="3485"/>
    </row>
    <row r="341" spans="1:11" ht="15.95" customHeight="1">
      <c r="A341" s="3483" t="s">
        <v>3117</v>
      </c>
      <c r="B341" s="3484" t="s">
        <v>3116</v>
      </c>
      <c r="C341" s="3485" t="s">
        <v>3115</v>
      </c>
      <c r="D341" s="1915" t="s">
        <v>8</v>
      </c>
      <c r="E341" s="1916">
        <f t="shared" si="32"/>
        <v>23904.21255</v>
      </c>
      <c r="F341" s="1916">
        <f>SUM(F342:F346)</f>
        <v>5982.7125500000002</v>
      </c>
      <c r="G341" s="1916">
        <f>SUM(G342:G346)</f>
        <v>17921.5</v>
      </c>
      <c r="H341" s="1916">
        <f>SUM(H342:H346)</f>
        <v>0</v>
      </c>
      <c r="I341" s="1916">
        <f>SUM(I342:I346)</f>
        <v>0</v>
      </c>
      <c r="J341" s="3485" t="s">
        <v>3114</v>
      </c>
      <c r="K341" s="3485" t="s">
        <v>3066</v>
      </c>
    </row>
    <row r="342" spans="1:11" ht="15.95" customHeight="1">
      <c r="A342" s="3483"/>
      <c r="B342" s="3484"/>
      <c r="C342" s="3485"/>
      <c r="D342" s="1915">
        <v>2021</v>
      </c>
      <c r="E342" s="1916">
        <f t="shared" si="32"/>
        <v>6382.1126800000002</v>
      </c>
      <c r="F342" s="1916">
        <v>1850.81268</v>
      </c>
      <c r="G342" s="1916">
        <v>4531.3</v>
      </c>
      <c r="H342" s="1916">
        <v>0</v>
      </c>
      <c r="I342" s="1916">
        <v>0</v>
      </c>
      <c r="J342" s="3485"/>
      <c r="K342" s="3485"/>
    </row>
    <row r="343" spans="1:11" ht="15.95" customHeight="1">
      <c r="A343" s="3483"/>
      <c r="B343" s="3484"/>
      <c r="C343" s="3485"/>
      <c r="D343" s="1915">
        <v>2022</v>
      </c>
      <c r="E343" s="1916">
        <f t="shared" si="32"/>
        <v>6856.76</v>
      </c>
      <c r="F343" s="1916">
        <v>1988.46</v>
      </c>
      <c r="G343" s="1916">
        <v>4868.3</v>
      </c>
      <c r="H343" s="1916">
        <v>0</v>
      </c>
      <c r="I343" s="1916">
        <v>0</v>
      </c>
      <c r="J343" s="3485"/>
      <c r="K343" s="3485"/>
    </row>
    <row r="344" spans="1:11" ht="15.95" customHeight="1">
      <c r="A344" s="3483"/>
      <c r="B344" s="3484"/>
      <c r="C344" s="3485"/>
      <c r="D344" s="1915">
        <v>2023</v>
      </c>
      <c r="E344" s="1916">
        <f t="shared" si="32"/>
        <v>4128.2978700000003</v>
      </c>
      <c r="F344" s="1916">
        <f>1812.41254-1564.71467</f>
        <v>247.69786999999997</v>
      </c>
      <c r="G344" s="1916">
        <v>3880.6</v>
      </c>
      <c r="H344" s="1916">
        <v>0</v>
      </c>
      <c r="I344" s="1916">
        <v>0</v>
      </c>
      <c r="J344" s="3485"/>
      <c r="K344" s="3485"/>
    </row>
    <row r="345" spans="1:11" ht="15.95" customHeight="1">
      <c r="A345" s="3483"/>
      <c r="B345" s="3484"/>
      <c r="C345" s="3485"/>
      <c r="D345" s="1915">
        <v>2024</v>
      </c>
      <c r="E345" s="1916">
        <f t="shared" si="32"/>
        <v>6537.0420000000004</v>
      </c>
      <c r="F345" s="1916">
        <v>1895.742</v>
      </c>
      <c r="G345" s="1916">
        <v>4641.3</v>
      </c>
      <c r="H345" s="1916">
        <v>0</v>
      </c>
      <c r="I345" s="1916">
        <v>0</v>
      </c>
      <c r="J345" s="3485"/>
      <c r="K345" s="3485"/>
    </row>
    <row r="346" spans="1:11" ht="15.95" customHeight="1">
      <c r="A346" s="3483"/>
      <c r="B346" s="3484"/>
      <c r="C346" s="3485"/>
      <c r="D346" s="1915">
        <v>2025</v>
      </c>
      <c r="E346" s="1916">
        <f t="shared" si="32"/>
        <v>0</v>
      </c>
      <c r="F346" s="1916">
        <v>0</v>
      </c>
      <c r="G346" s="1916">
        <v>0</v>
      </c>
      <c r="H346" s="1916">
        <v>0</v>
      </c>
      <c r="I346" s="1916">
        <v>0</v>
      </c>
      <c r="J346" s="3485"/>
      <c r="K346" s="3485"/>
    </row>
    <row r="347" spans="1:11" ht="15" customHeight="1" outlineLevel="1">
      <c r="A347" s="3483" t="s">
        <v>688</v>
      </c>
      <c r="B347" s="3484" t="s">
        <v>77</v>
      </c>
      <c r="C347" s="3485" t="s">
        <v>2989</v>
      </c>
      <c r="D347" s="1915" t="s">
        <v>8</v>
      </c>
      <c r="E347" s="1916">
        <f>SUM(F347:I347)</f>
        <v>4803601.9561147513</v>
      </c>
      <c r="F347" s="1916">
        <f>SUM(F348:F352)</f>
        <v>3601732.4744899999</v>
      </c>
      <c r="G347" s="1916">
        <f>SUM(G348:G352)</f>
        <v>1089688.432</v>
      </c>
      <c r="H347" s="1916">
        <f>SUM(H348:H352)</f>
        <v>112181.04962475087</v>
      </c>
      <c r="I347" s="1916">
        <v>0</v>
      </c>
      <c r="J347" s="3485"/>
      <c r="K347" s="3485" t="s">
        <v>3113</v>
      </c>
    </row>
    <row r="348" spans="1:11" outlineLevel="1">
      <c r="A348" s="3483"/>
      <c r="B348" s="3484"/>
      <c r="C348" s="3485"/>
      <c r="D348" s="1915">
        <v>2021</v>
      </c>
      <c r="E348" s="1916">
        <f t="shared" si="32"/>
        <v>542284.02945165033</v>
      </c>
      <c r="F348" s="1916">
        <f>F354+F474+F732+F678+F690+F714</f>
        <v>254674.71701999998</v>
      </c>
      <c r="G348" s="1916">
        <f t="shared" ref="G348:H348" si="34">G354+G474+G732+G678+G690+G714</f>
        <v>257488.69899999999</v>
      </c>
      <c r="H348" s="1916">
        <f t="shared" si="34"/>
        <v>30120.613431650385</v>
      </c>
      <c r="I348" s="1916">
        <f t="shared" ref="I348:I352" si="35">I354+I474+I732+I678+I690</f>
        <v>0</v>
      </c>
      <c r="J348" s="3485"/>
      <c r="K348" s="3485"/>
    </row>
    <row r="349" spans="1:11" outlineLevel="1">
      <c r="A349" s="3483"/>
      <c r="B349" s="3484"/>
      <c r="C349" s="3485"/>
      <c r="D349" s="1915">
        <v>2022</v>
      </c>
      <c r="E349" s="1916">
        <f t="shared" si="32"/>
        <v>1321007.9192131003</v>
      </c>
      <c r="F349" s="1916">
        <f t="shared" ref="F349:H352" si="36">F355+F475+F733+F679+F691+F715</f>
        <v>1034922.16776</v>
      </c>
      <c r="G349" s="1916">
        <f t="shared" si="36"/>
        <v>225488.99299999999</v>
      </c>
      <c r="H349" s="1916">
        <f t="shared" si="36"/>
        <v>60596.75845310052</v>
      </c>
      <c r="I349" s="1916">
        <f t="shared" si="35"/>
        <v>0</v>
      </c>
      <c r="J349" s="3485"/>
      <c r="K349" s="3485"/>
    </row>
    <row r="350" spans="1:11" outlineLevel="1">
      <c r="A350" s="3483"/>
      <c r="B350" s="3484"/>
      <c r="C350" s="3485"/>
      <c r="D350" s="1915">
        <v>2023</v>
      </c>
      <c r="E350" s="1916">
        <f t="shared" si="32"/>
        <v>689220.44319999998</v>
      </c>
      <c r="F350" s="1916">
        <f t="shared" si="36"/>
        <v>255347.42546</v>
      </c>
      <c r="G350" s="1916">
        <f t="shared" si="36"/>
        <v>424710.74</v>
      </c>
      <c r="H350" s="1916">
        <f t="shared" si="36"/>
        <v>9162.2777399999759</v>
      </c>
      <c r="I350" s="1916">
        <f t="shared" si="35"/>
        <v>0</v>
      </c>
      <c r="J350" s="3485"/>
      <c r="K350" s="3485"/>
    </row>
    <row r="351" spans="1:11" outlineLevel="1">
      <c r="A351" s="3483"/>
      <c r="B351" s="3484"/>
      <c r="C351" s="3485"/>
      <c r="D351" s="1915">
        <v>2024</v>
      </c>
      <c r="E351" s="1916">
        <f t="shared" si="32"/>
        <v>1522297.1272499999</v>
      </c>
      <c r="F351" s="1916">
        <f t="shared" si="36"/>
        <v>1432784.72725</v>
      </c>
      <c r="G351" s="1916">
        <f t="shared" si="36"/>
        <v>78000</v>
      </c>
      <c r="H351" s="1916">
        <f t="shared" si="36"/>
        <v>11512.4</v>
      </c>
      <c r="I351" s="1916">
        <f t="shared" si="35"/>
        <v>0</v>
      </c>
      <c r="J351" s="3485"/>
      <c r="K351" s="3485"/>
    </row>
    <row r="352" spans="1:11" outlineLevel="1">
      <c r="A352" s="3483"/>
      <c r="B352" s="3484"/>
      <c r="C352" s="3485"/>
      <c r="D352" s="1915">
        <v>2025</v>
      </c>
      <c r="E352" s="1916">
        <f t="shared" si="32"/>
        <v>728792.43700000003</v>
      </c>
      <c r="F352" s="1916">
        <f>F358+F478+F736+F682+F694+F718</f>
        <v>624003.43700000003</v>
      </c>
      <c r="G352" s="1916">
        <f t="shared" si="36"/>
        <v>104000</v>
      </c>
      <c r="H352" s="1916">
        <f t="shared" si="36"/>
        <v>789</v>
      </c>
      <c r="I352" s="1916">
        <f t="shared" si="35"/>
        <v>0</v>
      </c>
      <c r="J352" s="3485"/>
      <c r="K352" s="3485"/>
    </row>
    <row r="353" spans="1:12" ht="14.25" customHeight="1" outlineLevel="1">
      <c r="A353" s="3483" t="s">
        <v>3112</v>
      </c>
      <c r="B353" s="3484" t="s">
        <v>80</v>
      </c>
      <c r="C353" s="3485" t="s">
        <v>2989</v>
      </c>
      <c r="D353" s="1915" t="s">
        <v>8</v>
      </c>
      <c r="E353" s="1916">
        <f t="shared" si="32"/>
        <v>281420.94170292461</v>
      </c>
      <c r="F353" s="1916">
        <f>SUM(F354:F358)</f>
        <v>236674.3248</v>
      </c>
      <c r="G353" s="1916">
        <f>SUM(G354:G358)</f>
        <v>0</v>
      </c>
      <c r="H353" s="1916">
        <f>SUM(H354:H358)</f>
        <v>44746.61690292463</v>
      </c>
      <c r="I353" s="1916">
        <v>0</v>
      </c>
      <c r="J353" s="3485" t="s">
        <v>3111</v>
      </c>
      <c r="K353" s="3485" t="s">
        <v>3110</v>
      </c>
    </row>
    <row r="354" spans="1:12" ht="14.25" customHeight="1" outlineLevel="1">
      <c r="A354" s="3483"/>
      <c r="B354" s="3484"/>
      <c r="C354" s="3485"/>
      <c r="D354" s="1915">
        <v>2021</v>
      </c>
      <c r="E354" s="1916">
        <f t="shared" si="32"/>
        <v>69576.494685752899</v>
      </c>
      <c r="F354" s="1916">
        <f>F360+F366+F372+F378+F384+F390+F396+F402+F408+F414+F420+F426+F432+F438+F444+F450+F456</f>
        <v>55989.257299999997</v>
      </c>
      <c r="G354" s="1916">
        <f t="shared" ref="F354:H358" si="37">G360+G366+G372+G378+G384+G390+G396+G402+G408+G414+G420+G426+G432+G438+G444+G450+G456</f>
        <v>0</v>
      </c>
      <c r="H354" s="1916">
        <f t="shared" si="37"/>
        <v>13587.237385752907</v>
      </c>
      <c r="I354" s="1916">
        <v>0</v>
      </c>
      <c r="J354" s="3485"/>
      <c r="K354" s="3485"/>
    </row>
    <row r="355" spans="1:12" ht="14.25" customHeight="1" outlineLevel="1">
      <c r="A355" s="3483"/>
      <c r="B355" s="3484"/>
      <c r="C355" s="3485"/>
      <c r="D355" s="1915">
        <v>2022</v>
      </c>
      <c r="E355" s="1916">
        <f t="shared" si="32"/>
        <v>199844.44701717171</v>
      </c>
      <c r="F355" s="1916">
        <f>F361+F367+F373+F379+F385+F391+F397+F403+F409+F415+F421+F427+F433+F439+F445+F451+F457+F463</f>
        <v>171685.0675</v>
      </c>
      <c r="G355" s="1916">
        <f t="shared" si="37"/>
        <v>0</v>
      </c>
      <c r="H355" s="1916">
        <f>H361+H367+H373+H379+H385+H391+H397+H403+H409+H415+H421+H427+H433+H439+H445+H451+H457+H463</f>
        <v>28159.379517171721</v>
      </c>
      <c r="I355" s="1916">
        <v>0</v>
      </c>
      <c r="J355" s="3485"/>
      <c r="K355" s="3485"/>
      <c r="L355" s="1914" t="s">
        <v>3108</v>
      </c>
    </row>
    <row r="356" spans="1:12" ht="14.25" customHeight="1" outlineLevel="1">
      <c r="A356" s="3483"/>
      <c r="B356" s="3484"/>
      <c r="C356" s="3485"/>
      <c r="D356" s="1915">
        <v>2023</v>
      </c>
      <c r="E356" s="1916">
        <f t="shared" si="32"/>
        <v>12000</v>
      </c>
      <c r="F356" s="1916">
        <f t="shared" si="37"/>
        <v>9000</v>
      </c>
      <c r="G356" s="1916">
        <f>G362+G368+G374+G380+G386+G392+G398+G404+G410+G416+G422+G428+G434+G440+G446+G452+G458+G470</f>
        <v>0</v>
      </c>
      <c r="H356" s="1916">
        <f t="shared" si="37"/>
        <v>3000</v>
      </c>
      <c r="I356" s="1916">
        <v>0</v>
      </c>
      <c r="J356" s="3485"/>
      <c r="K356" s="3485"/>
    </row>
    <row r="357" spans="1:12" ht="14.25" customHeight="1" outlineLevel="1">
      <c r="A357" s="3483"/>
      <c r="B357" s="3484"/>
      <c r="C357" s="3485"/>
      <c r="D357" s="1915">
        <v>2024</v>
      </c>
      <c r="E357" s="1916">
        <f t="shared" si="32"/>
        <v>0</v>
      </c>
      <c r="F357" s="1916">
        <f t="shared" si="37"/>
        <v>0</v>
      </c>
      <c r="G357" s="1916">
        <f t="shared" si="37"/>
        <v>0</v>
      </c>
      <c r="H357" s="1916">
        <f t="shared" si="37"/>
        <v>0</v>
      </c>
      <c r="I357" s="1916">
        <v>0</v>
      </c>
      <c r="J357" s="3485"/>
      <c r="K357" s="3485"/>
    </row>
    <row r="358" spans="1:12" ht="14.25" customHeight="1" outlineLevel="1">
      <c r="A358" s="3483"/>
      <c r="B358" s="3484"/>
      <c r="C358" s="3485"/>
      <c r="D358" s="1915">
        <v>2025</v>
      </c>
      <c r="E358" s="1916">
        <f t="shared" si="32"/>
        <v>0</v>
      </c>
      <c r="F358" s="1916">
        <f t="shared" si="37"/>
        <v>0</v>
      </c>
      <c r="G358" s="1916">
        <f t="shared" si="37"/>
        <v>0</v>
      </c>
      <c r="H358" s="1916">
        <f t="shared" si="37"/>
        <v>0</v>
      </c>
      <c r="I358" s="1916">
        <v>0</v>
      </c>
      <c r="J358" s="3485"/>
      <c r="K358" s="3485"/>
    </row>
    <row r="359" spans="1:12" ht="12" customHeight="1" outlineLevel="1">
      <c r="A359" s="3483" t="s">
        <v>3109</v>
      </c>
      <c r="B359" s="3484" t="s">
        <v>2823</v>
      </c>
      <c r="C359" s="3485" t="s">
        <v>3069</v>
      </c>
      <c r="D359" s="1915" t="s">
        <v>8</v>
      </c>
      <c r="E359" s="1916">
        <f>SUM(E360:E364)</f>
        <v>6584.2777657004835</v>
      </c>
      <c r="F359" s="1916">
        <f>SUM(F360:F364)</f>
        <v>5451.7819900000004</v>
      </c>
      <c r="G359" s="1916">
        <f>SUM(G360:G364)</f>
        <v>0</v>
      </c>
      <c r="H359" s="1916">
        <f>SUM(H360:H364)</f>
        <v>1132.4957757004834</v>
      </c>
      <c r="I359" s="1916">
        <f>SUM(I360:I364)</f>
        <v>0</v>
      </c>
      <c r="J359" s="3485" t="s">
        <v>2824</v>
      </c>
      <c r="K359" s="3485" t="s">
        <v>2993</v>
      </c>
    </row>
    <row r="360" spans="1:12" ht="12" customHeight="1" outlineLevel="1">
      <c r="A360" s="3483"/>
      <c r="B360" s="3484"/>
      <c r="C360" s="3485"/>
      <c r="D360" s="1915">
        <v>2021</v>
      </c>
      <c r="E360" s="1916">
        <f t="shared" ref="E360:E364" si="38">SUM(F360:I360)</f>
        <v>6584.2777657004835</v>
      </c>
      <c r="F360" s="1916">
        <v>5451.7819900000004</v>
      </c>
      <c r="G360" s="1916">
        <v>0</v>
      </c>
      <c r="H360" s="1916">
        <f>F360/82.8*17.2</f>
        <v>1132.4957757004834</v>
      </c>
      <c r="I360" s="1916">
        <v>0</v>
      </c>
      <c r="J360" s="3485"/>
      <c r="K360" s="3485"/>
    </row>
    <row r="361" spans="1:12" ht="12" customHeight="1" outlineLevel="1">
      <c r="A361" s="3483"/>
      <c r="B361" s="3484"/>
      <c r="C361" s="3485"/>
      <c r="D361" s="1915">
        <v>2022</v>
      </c>
      <c r="E361" s="1916">
        <f t="shared" si="38"/>
        <v>0</v>
      </c>
      <c r="F361" s="1916">
        <v>0</v>
      </c>
      <c r="G361" s="1916">
        <v>0</v>
      </c>
      <c r="H361" s="1916">
        <v>0</v>
      </c>
      <c r="I361" s="1916">
        <v>0</v>
      </c>
      <c r="J361" s="3485"/>
      <c r="K361" s="3485"/>
      <c r="L361" s="1914" t="s">
        <v>3108</v>
      </c>
    </row>
    <row r="362" spans="1:12" ht="12" customHeight="1" outlineLevel="1">
      <c r="A362" s="3483"/>
      <c r="B362" s="3484"/>
      <c r="C362" s="3485"/>
      <c r="D362" s="1915">
        <v>2023</v>
      </c>
      <c r="E362" s="1916">
        <f t="shared" si="38"/>
        <v>0</v>
      </c>
      <c r="F362" s="1916">
        <v>0</v>
      </c>
      <c r="G362" s="1916">
        <v>0</v>
      </c>
      <c r="H362" s="1916">
        <v>0</v>
      </c>
      <c r="I362" s="1916">
        <v>0</v>
      </c>
      <c r="J362" s="3485"/>
      <c r="K362" s="3485"/>
    </row>
    <row r="363" spans="1:12" ht="12" customHeight="1" outlineLevel="1">
      <c r="A363" s="3483"/>
      <c r="B363" s="3484"/>
      <c r="C363" s="3485"/>
      <c r="D363" s="1915">
        <v>2024</v>
      </c>
      <c r="E363" s="1916">
        <f t="shared" si="38"/>
        <v>0</v>
      </c>
      <c r="F363" s="1916">
        <v>0</v>
      </c>
      <c r="G363" s="1916">
        <v>0</v>
      </c>
      <c r="H363" s="1916">
        <v>0</v>
      </c>
      <c r="I363" s="1916">
        <v>0</v>
      </c>
      <c r="J363" s="3485"/>
      <c r="K363" s="3485"/>
    </row>
    <row r="364" spans="1:12" ht="12" customHeight="1" outlineLevel="1">
      <c r="A364" s="3483"/>
      <c r="B364" s="3484"/>
      <c r="C364" s="3485"/>
      <c r="D364" s="1915">
        <v>2025</v>
      </c>
      <c r="E364" s="1916">
        <f t="shared" si="38"/>
        <v>0</v>
      </c>
      <c r="F364" s="1916">
        <v>0</v>
      </c>
      <c r="G364" s="1916">
        <v>0</v>
      </c>
      <c r="H364" s="1916">
        <v>0</v>
      </c>
      <c r="I364" s="1916">
        <v>0</v>
      </c>
      <c r="J364" s="3485"/>
      <c r="K364" s="3485"/>
    </row>
    <row r="365" spans="1:12" ht="15" customHeight="1" outlineLevel="1">
      <c r="A365" s="3483" t="s">
        <v>3107</v>
      </c>
      <c r="B365" s="3484" t="s">
        <v>3106</v>
      </c>
      <c r="C365" s="3485">
        <v>2021</v>
      </c>
      <c r="D365" s="1915" t="s">
        <v>8</v>
      </c>
      <c r="E365" s="1916">
        <f>SUM(E366:E370)</f>
        <v>42104.816920052421</v>
      </c>
      <c r="F365" s="1916">
        <f>SUM(F366:F370)</f>
        <v>32125.975309999998</v>
      </c>
      <c r="G365" s="1916">
        <f>SUM(G366:G370)</f>
        <v>0</v>
      </c>
      <c r="H365" s="1916">
        <f>SUM(H366:H370)</f>
        <v>9978.8416100524246</v>
      </c>
      <c r="I365" s="1916">
        <f>SUM(I366:I370)</f>
        <v>0</v>
      </c>
      <c r="J365" s="3485" t="s">
        <v>2825</v>
      </c>
      <c r="K365" s="3485" t="s">
        <v>2993</v>
      </c>
    </row>
    <row r="366" spans="1:12" ht="15" customHeight="1" outlineLevel="1">
      <c r="A366" s="3483"/>
      <c r="B366" s="3484"/>
      <c r="C366" s="3485"/>
      <c r="D366" s="1915">
        <v>2021</v>
      </c>
      <c r="E366" s="1916">
        <f t="shared" ref="E366:E429" si="39">SUM(F366:I366)</f>
        <v>42104.816920052421</v>
      </c>
      <c r="F366" s="1916">
        <f>32125975.31/1000</f>
        <v>32125.975309999998</v>
      </c>
      <c r="G366" s="1916">
        <v>0</v>
      </c>
      <c r="H366" s="1916">
        <f>F366/76.3*23.7</f>
        <v>9978.8416100524246</v>
      </c>
      <c r="I366" s="1916">
        <v>0</v>
      </c>
      <c r="J366" s="3485"/>
      <c r="K366" s="3485"/>
    </row>
    <row r="367" spans="1:12" outlineLevel="1">
      <c r="A367" s="3483"/>
      <c r="B367" s="3484"/>
      <c r="C367" s="3485"/>
      <c r="D367" s="1915">
        <v>2022</v>
      </c>
      <c r="E367" s="1916">
        <f t="shared" si="39"/>
        <v>0</v>
      </c>
      <c r="F367" s="1916">
        <v>0</v>
      </c>
      <c r="G367" s="1916">
        <v>0</v>
      </c>
      <c r="H367" s="1916">
        <v>0</v>
      </c>
      <c r="I367" s="1916">
        <v>0</v>
      </c>
      <c r="J367" s="3485"/>
      <c r="K367" s="3485"/>
    </row>
    <row r="368" spans="1:12" outlineLevel="1">
      <c r="A368" s="3483"/>
      <c r="B368" s="3484"/>
      <c r="C368" s="3485"/>
      <c r="D368" s="1915">
        <v>2023</v>
      </c>
      <c r="E368" s="1916">
        <f t="shared" si="39"/>
        <v>0</v>
      </c>
      <c r="F368" s="1916">
        <v>0</v>
      </c>
      <c r="G368" s="1916">
        <v>0</v>
      </c>
      <c r="H368" s="1916">
        <v>0</v>
      </c>
      <c r="I368" s="1916">
        <v>0</v>
      </c>
      <c r="J368" s="3485"/>
      <c r="K368" s="3485"/>
    </row>
    <row r="369" spans="1:12" outlineLevel="1">
      <c r="A369" s="3483"/>
      <c r="B369" s="3484"/>
      <c r="C369" s="3485"/>
      <c r="D369" s="1915">
        <v>2024</v>
      </c>
      <c r="E369" s="1916">
        <f t="shared" si="39"/>
        <v>0</v>
      </c>
      <c r="F369" s="1916">
        <v>0</v>
      </c>
      <c r="G369" s="1916">
        <v>0</v>
      </c>
      <c r="H369" s="1916">
        <v>0</v>
      </c>
      <c r="I369" s="1916">
        <v>0</v>
      </c>
      <c r="J369" s="3485"/>
      <c r="K369" s="3485"/>
    </row>
    <row r="370" spans="1:12" ht="14.25" customHeight="1" outlineLevel="1">
      <c r="A370" s="3483"/>
      <c r="B370" s="3484"/>
      <c r="C370" s="3485"/>
      <c r="D370" s="1915">
        <v>2025</v>
      </c>
      <c r="E370" s="1916">
        <f t="shared" si="39"/>
        <v>0</v>
      </c>
      <c r="F370" s="1916">
        <v>0</v>
      </c>
      <c r="G370" s="1916">
        <v>0</v>
      </c>
      <c r="H370" s="1916">
        <v>0</v>
      </c>
      <c r="I370" s="1916">
        <v>0</v>
      </c>
      <c r="J370" s="3485"/>
      <c r="K370" s="3485"/>
    </row>
    <row r="371" spans="1:12" ht="18" customHeight="1" outlineLevel="1">
      <c r="A371" s="3483" t="s">
        <v>3105</v>
      </c>
      <c r="B371" s="3484" t="s">
        <v>3104</v>
      </c>
      <c r="C371" s="3485">
        <v>2021</v>
      </c>
      <c r="D371" s="1915" t="s">
        <v>8</v>
      </c>
      <c r="E371" s="1916">
        <f t="shared" si="39"/>
        <v>1505.5</v>
      </c>
      <c r="F371" s="1916">
        <f>SUM(F372:F376)</f>
        <v>1505.5</v>
      </c>
      <c r="G371" s="1916">
        <f>SUM(G372:G376)</f>
        <v>0</v>
      </c>
      <c r="H371" s="1916">
        <f>SUM(H372:H376)</f>
        <v>0</v>
      </c>
      <c r="I371" s="1916">
        <f>SUM(I372:I376)</f>
        <v>0</v>
      </c>
      <c r="J371" s="3485" t="s">
        <v>2857</v>
      </c>
      <c r="K371" s="3485" t="s">
        <v>2890</v>
      </c>
    </row>
    <row r="372" spans="1:12" ht="16.5" customHeight="1" outlineLevel="1">
      <c r="A372" s="3483"/>
      <c r="B372" s="3484"/>
      <c r="C372" s="3485"/>
      <c r="D372" s="1915">
        <v>2021</v>
      </c>
      <c r="E372" s="1916">
        <f t="shared" si="39"/>
        <v>1505.5</v>
      </c>
      <c r="F372" s="1916">
        <v>1505.5</v>
      </c>
      <c r="G372" s="1916">
        <v>0</v>
      </c>
      <c r="H372" s="1916">
        <v>0</v>
      </c>
      <c r="I372" s="1916">
        <v>0</v>
      </c>
      <c r="J372" s="3485"/>
      <c r="K372" s="3485"/>
    </row>
    <row r="373" spans="1:12" ht="15.75" customHeight="1" outlineLevel="1">
      <c r="A373" s="3483"/>
      <c r="B373" s="3484"/>
      <c r="C373" s="3485"/>
      <c r="D373" s="1915">
        <v>2022</v>
      </c>
      <c r="E373" s="1916">
        <f t="shared" si="39"/>
        <v>0</v>
      </c>
      <c r="F373" s="1916">
        <v>0</v>
      </c>
      <c r="G373" s="1916">
        <v>0</v>
      </c>
      <c r="H373" s="1916">
        <v>0</v>
      </c>
      <c r="I373" s="1916">
        <v>0</v>
      </c>
      <c r="J373" s="3485"/>
      <c r="K373" s="3485"/>
    </row>
    <row r="374" spans="1:12" ht="14.25" customHeight="1" outlineLevel="1">
      <c r="A374" s="3483"/>
      <c r="B374" s="3484"/>
      <c r="C374" s="3485"/>
      <c r="D374" s="1915">
        <v>2023</v>
      </c>
      <c r="E374" s="1916">
        <f t="shared" si="39"/>
        <v>0</v>
      </c>
      <c r="F374" s="1916">
        <v>0</v>
      </c>
      <c r="G374" s="1916">
        <v>0</v>
      </c>
      <c r="H374" s="1916">
        <v>0</v>
      </c>
      <c r="I374" s="1916">
        <v>0</v>
      </c>
      <c r="J374" s="3485"/>
      <c r="K374" s="3485"/>
    </row>
    <row r="375" spans="1:12" ht="15" customHeight="1" outlineLevel="1">
      <c r="A375" s="3483"/>
      <c r="B375" s="3484"/>
      <c r="C375" s="3485"/>
      <c r="D375" s="1915">
        <v>2024</v>
      </c>
      <c r="E375" s="1916">
        <f t="shared" si="39"/>
        <v>0</v>
      </c>
      <c r="F375" s="1916">
        <v>0</v>
      </c>
      <c r="G375" s="1916">
        <v>0</v>
      </c>
      <c r="H375" s="1916">
        <v>0</v>
      </c>
      <c r="I375" s="1916">
        <v>0</v>
      </c>
      <c r="J375" s="3485"/>
      <c r="K375" s="3485"/>
    </row>
    <row r="376" spans="1:12" ht="15.75" customHeight="1" outlineLevel="1">
      <c r="A376" s="3483"/>
      <c r="B376" s="3484"/>
      <c r="C376" s="3485"/>
      <c r="D376" s="1915">
        <v>2025</v>
      </c>
      <c r="E376" s="1916">
        <f t="shared" si="39"/>
        <v>0</v>
      </c>
      <c r="F376" s="1916">
        <v>0</v>
      </c>
      <c r="G376" s="1916">
        <v>0</v>
      </c>
      <c r="H376" s="1916">
        <v>0</v>
      </c>
      <c r="I376" s="1916">
        <v>0</v>
      </c>
      <c r="J376" s="3485"/>
      <c r="K376" s="3485"/>
    </row>
    <row r="377" spans="1:12" ht="15" customHeight="1" outlineLevel="1">
      <c r="A377" s="3483" t="s">
        <v>3103</v>
      </c>
      <c r="B377" s="3484" t="s">
        <v>2856</v>
      </c>
      <c r="C377" s="3485">
        <v>2021</v>
      </c>
      <c r="D377" s="1915" t="s">
        <v>8</v>
      </c>
      <c r="E377" s="1916">
        <f t="shared" si="39"/>
        <v>0</v>
      </c>
      <c r="F377" s="1916">
        <f>SUM(F378:F382)</f>
        <v>0</v>
      </c>
      <c r="G377" s="1916">
        <f>SUM(G378:G382)</f>
        <v>0</v>
      </c>
      <c r="H377" s="1916">
        <f>SUM(H378:H382)</f>
        <v>0</v>
      </c>
      <c r="I377" s="1916">
        <f>SUM(I378:I382)</f>
        <v>0</v>
      </c>
      <c r="J377" s="3485" t="s">
        <v>2858</v>
      </c>
      <c r="K377" s="3485" t="s">
        <v>2852</v>
      </c>
      <c r="L377" s="1914" t="s">
        <v>3102</v>
      </c>
    </row>
    <row r="378" spans="1:12" ht="15" customHeight="1" outlineLevel="1">
      <c r="A378" s="3483"/>
      <c r="B378" s="3484"/>
      <c r="C378" s="3485"/>
      <c r="D378" s="1915">
        <v>2021</v>
      </c>
      <c r="E378" s="1916">
        <f t="shared" si="39"/>
        <v>0</v>
      </c>
      <c r="F378" s="1916">
        <v>0</v>
      </c>
      <c r="G378" s="1916">
        <v>0</v>
      </c>
      <c r="H378" s="1916">
        <v>0</v>
      </c>
      <c r="I378" s="1916">
        <v>0</v>
      </c>
      <c r="J378" s="3485"/>
      <c r="K378" s="3485"/>
    </row>
    <row r="379" spans="1:12" ht="15" customHeight="1" outlineLevel="1">
      <c r="A379" s="3483"/>
      <c r="B379" s="3484"/>
      <c r="C379" s="3485"/>
      <c r="D379" s="1915">
        <v>2022</v>
      </c>
      <c r="E379" s="1916">
        <f t="shared" si="39"/>
        <v>0</v>
      </c>
      <c r="F379" s="1916">
        <v>0</v>
      </c>
      <c r="G379" s="1916">
        <v>0</v>
      </c>
      <c r="H379" s="1916">
        <v>0</v>
      </c>
      <c r="I379" s="1916">
        <v>0</v>
      </c>
      <c r="J379" s="3485"/>
      <c r="K379" s="3485"/>
    </row>
    <row r="380" spans="1:12" ht="15" customHeight="1" outlineLevel="1">
      <c r="A380" s="3483"/>
      <c r="B380" s="3484"/>
      <c r="C380" s="3485"/>
      <c r="D380" s="1915">
        <v>2023</v>
      </c>
      <c r="E380" s="1916">
        <f t="shared" si="39"/>
        <v>0</v>
      </c>
      <c r="F380" s="1916">
        <v>0</v>
      </c>
      <c r="G380" s="1916">
        <v>0</v>
      </c>
      <c r="H380" s="1916">
        <v>0</v>
      </c>
      <c r="I380" s="1916">
        <v>0</v>
      </c>
      <c r="J380" s="3485"/>
      <c r="K380" s="3485"/>
    </row>
    <row r="381" spans="1:12" ht="15" customHeight="1" outlineLevel="1">
      <c r="A381" s="3483"/>
      <c r="B381" s="3484"/>
      <c r="C381" s="3485"/>
      <c r="D381" s="1915">
        <v>2024</v>
      </c>
      <c r="E381" s="1916">
        <f t="shared" si="39"/>
        <v>0</v>
      </c>
      <c r="F381" s="1916">
        <v>0</v>
      </c>
      <c r="G381" s="1916">
        <v>0</v>
      </c>
      <c r="H381" s="1916">
        <v>0</v>
      </c>
      <c r="I381" s="1916">
        <v>0</v>
      </c>
      <c r="J381" s="3485"/>
      <c r="K381" s="3485"/>
    </row>
    <row r="382" spans="1:12" ht="15" customHeight="1" outlineLevel="1">
      <c r="A382" s="3483"/>
      <c r="B382" s="3484"/>
      <c r="C382" s="3485"/>
      <c r="D382" s="1915">
        <v>2025</v>
      </c>
      <c r="E382" s="1916">
        <f t="shared" si="39"/>
        <v>0</v>
      </c>
      <c r="F382" s="1916">
        <v>0</v>
      </c>
      <c r="G382" s="1916">
        <v>0</v>
      </c>
      <c r="H382" s="1916">
        <v>0</v>
      </c>
      <c r="I382" s="1916">
        <v>0</v>
      </c>
      <c r="J382" s="3485"/>
      <c r="K382" s="3485"/>
    </row>
    <row r="383" spans="1:12" ht="15" customHeight="1" outlineLevel="1">
      <c r="A383" s="3483" t="s">
        <v>3101</v>
      </c>
      <c r="B383" s="3484" t="s">
        <v>2859</v>
      </c>
      <c r="C383" s="3485" t="s">
        <v>3069</v>
      </c>
      <c r="D383" s="1915" t="s">
        <v>8</v>
      </c>
      <c r="E383" s="1916">
        <f t="shared" si="39"/>
        <v>131225.81</v>
      </c>
      <c r="F383" s="1916">
        <f>SUM(F384:F388)</f>
        <v>98555.157500000001</v>
      </c>
      <c r="G383" s="1916">
        <f>SUM(G384:G388)</f>
        <v>0</v>
      </c>
      <c r="H383" s="1916">
        <f>SUM(H384:H388)</f>
        <v>32670.652500000004</v>
      </c>
      <c r="I383" s="1916">
        <f>SUM(I384:I388)</f>
        <v>0</v>
      </c>
      <c r="J383" s="3485" t="s">
        <v>5459</v>
      </c>
      <c r="K383" s="3485" t="s">
        <v>2993</v>
      </c>
    </row>
    <row r="384" spans="1:12" ht="15" customHeight="1" outlineLevel="1">
      <c r="A384" s="3483"/>
      <c r="B384" s="3484"/>
      <c r="C384" s="3485"/>
      <c r="D384" s="1915">
        <v>2021</v>
      </c>
      <c r="E384" s="1916">
        <f t="shared" si="39"/>
        <v>10446.799999999999</v>
      </c>
      <c r="F384" s="1916">
        <v>7970.9</v>
      </c>
      <c r="G384" s="1916">
        <v>0</v>
      </c>
      <c r="H384" s="1916">
        <v>2475.9</v>
      </c>
      <c r="I384" s="1916">
        <v>0</v>
      </c>
      <c r="J384" s="3485"/>
      <c r="K384" s="3485"/>
    </row>
    <row r="385" spans="1:12" ht="15" customHeight="1" outlineLevel="1">
      <c r="A385" s="3483"/>
      <c r="B385" s="3484"/>
      <c r="C385" s="3485"/>
      <c r="D385" s="1915">
        <v>2022</v>
      </c>
      <c r="E385" s="1916">
        <f t="shared" si="39"/>
        <v>108779.01000000001</v>
      </c>
      <c r="F385" s="1916">
        <v>81584.257500000007</v>
      </c>
      <c r="G385" s="1916">
        <v>0</v>
      </c>
      <c r="H385" s="1916">
        <f>F385/75*25</f>
        <v>27194.752500000002</v>
      </c>
      <c r="I385" s="1916">
        <v>0</v>
      </c>
      <c r="J385" s="3485"/>
      <c r="K385" s="3485"/>
    </row>
    <row r="386" spans="1:12" ht="15" customHeight="1" outlineLevel="1">
      <c r="A386" s="3483"/>
      <c r="B386" s="3484"/>
      <c r="C386" s="3485"/>
      <c r="D386" s="1915">
        <v>2023</v>
      </c>
      <c r="E386" s="1916">
        <f t="shared" si="39"/>
        <v>12000</v>
      </c>
      <c r="F386" s="1916">
        <v>9000</v>
      </c>
      <c r="G386" s="1916">
        <v>0</v>
      </c>
      <c r="H386" s="1916">
        <v>3000</v>
      </c>
      <c r="I386" s="1916">
        <v>0</v>
      </c>
      <c r="J386" s="3485"/>
      <c r="K386" s="3485"/>
    </row>
    <row r="387" spans="1:12" ht="15" customHeight="1" outlineLevel="1">
      <c r="A387" s="3483"/>
      <c r="B387" s="3484"/>
      <c r="C387" s="3485"/>
      <c r="D387" s="1915">
        <v>2024</v>
      </c>
      <c r="E387" s="1916">
        <f t="shared" si="39"/>
        <v>0</v>
      </c>
      <c r="F387" s="1916">
        <v>0</v>
      </c>
      <c r="G387" s="1916">
        <v>0</v>
      </c>
      <c r="H387" s="1916">
        <v>0</v>
      </c>
      <c r="I387" s="1916">
        <v>0</v>
      </c>
      <c r="J387" s="3485"/>
      <c r="K387" s="3485"/>
    </row>
    <row r="388" spans="1:12" ht="15" customHeight="1" outlineLevel="1">
      <c r="A388" s="3483"/>
      <c r="B388" s="3484"/>
      <c r="C388" s="3485"/>
      <c r="D388" s="1915">
        <v>2025</v>
      </c>
      <c r="E388" s="1916">
        <f t="shared" si="39"/>
        <v>0</v>
      </c>
      <c r="F388" s="1916">
        <v>0</v>
      </c>
      <c r="G388" s="1916">
        <v>0</v>
      </c>
      <c r="H388" s="1916">
        <v>0</v>
      </c>
      <c r="I388" s="1916">
        <v>0</v>
      </c>
      <c r="J388" s="3485"/>
      <c r="K388" s="3485"/>
    </row>
    <row r="389" spans="1:12" ht="15" customHeight="1" outlineLevel="1">
      <c r="A389" s="3483" t="s">
        <v>3099</v>
      </c>
      <c r="B389" s="3484" t="s">
        <v>2938</v>
      </c>
      <c r="C389" s="3485">
        <v>2021</v>
      </c>
      <c r="D389" s="1915" t="s">
        <v>8</v>
      </c>
      <c r="E389" s="1916">
        <f t="shared" si="39"/>
        <v>8935.1</v>
      </c>
      <c r="F389" s="1916">
        <f>SUM(F390:F394)</f>
        <v>8935.1</v>
      </c>
      <c r="G389" s="1916">
        <f>SUM(G390:G394)</f>
        <v>0</v>
      </c>
      <c r="H389" s="1916">
        <f>SUM(H390:H394)</f>
        <v>0</v>
      </c>
      <c r="I389" s="1916">
        <f>SUM(I390:I394)</f>
        <v>0</v>
      </c>
      <c r="J389" s="3485" t="s">
        <v>3098</v>
      </c>
      <c r="K389" s="3485" t="s">
        <v>3052</v>
      </c>
      <c r="L389" s="3487" t="s">
        <v>3097</v>
      </c>
    </row>
    <row r="390" spans="1:12" ht="15" customHeight="1" outlineLevel="1">
      <c r="A390" s="3483"/>
      <c r="B390" s="3484"/>
      <c r="C390" s="3485"/>
      <c r="D390" s="1915">
        <v>2021</v>
      </c>
      <c r="E390" s="1916">
        <f t="shared" si="39"/>
        <v>8935.1</v>
      </c>
      <c r="F390" s="1916">
        <v>8935.1</v>
      </c>
      <c r="G390" s="1916">
        <v>0</v>
      </c>
      <c r="H390" s="1916">
        <v>0</v>
      </c>
      <c r="I390" s="1916">
        <v>0</v>
      </c>
      <c r="J390" s="3485"/>
      <c r="K390" s="3485"/>
      <c r="L390" s="3487"/>
    </row>
    <row r="391" spans="1:12" ht="15" customHeight="1" outlineLevel="1">
      <c r="A391" s="3483"/>
      <c r="B391" s="3484"/>
      <c r="C391" s="3485"/>
      <c r="D391" s="1915">
        <v>2022</v>
      </c>
      <c r="E391" s="1916">
        <f t="shared" si="39"/>
        <v>0</v>
      </c>
      <c r="F391" s="1916">
        <v>0</v>
      </c>
      <c r="G391" s="1916">
        <v>0</v>
      </c>
      <c r="H391" s="1916">
        <v>0</v>
      </c>
      <c r="I391" s="1916">
        <v>0</v>
      </c>
      <c r="J391" s="3485"/>
      <c r="K391" s="3485"/>
      <c r="L391" s="3487"/>
    </row>
    <row r="392" spans="1:12" ht="15" customHeight="1" outlineLevel="1">
      <c r="A392" s="3483"/>
      <c r="B392" s="3484"/>
      <c r="C392" s="3485"/>
      <c r="D392" s="1915">
        <v>2023</v>
      </c>
      <c r="E392" s="1916">
        <f t="shared" si="39"/>
        <v>0</v>
      </c>
      <c r="F392" s="1916">
        <v>0</v>
      </c>
      <c r="G392" s="1916">
        <v>0</v>
      </c>
      <c r="H392" s="1916">
        <v>0</v>
      </c>
      <c r="I392" s="1916">
        <v>0</v>
      </c>
      <c r="J392" s="3485"/>
      <c r="K392" s="3485"/>
      <c r="L392" s="3487"/>
    </row>
    <row r="393" spans="1:12" ht="15" customHeight="1" outlineLevel="1">
      <c r="A393" s="3483"/>
      <c r="B393" s="3484"/>
      <c r="C393" s="3485"/>
      <c r="D393" s="1915">
        <v>2024</v>
      </c>
      <c r="E393" s="1916">
        <f t="shared" si="39"/>
        <v>0</v>
      </c>
      <c r="F393" s="1916">
        <v>0</v>
      </c>
      <c r="G393" s="1916">
        <v>0</v>
      </c>
      <c r="H393" s="1916">
        <v>0</v>
      </c>
      <c r="I393" s="1916">
        <v>0</v>
      </c>
      <c r="J393" s="3485"/>
      <c r="K393" s="3485"/>
      <c r="L393" s="3487"/>
    </row>
    <row r="394" spans="1:12" ht="15" customHeight="1" outlineLevel="1">
      <c r="A394" s="3483"/>
      <c r="B394" s="3484"/>
      <c r="C394" s="3485"/>
      <c r="D394" s="1915">
        <v>2025</v>
      </c>
      <c r="E394" s="1916">
        <f t="shared" si="39"/>
        <v>0</v>
      </c>
      <c r="F394" s="1916">
        <v>0</v>
      </c>
      <c r="G394" s="1916">
        <v>0</v>
      </c>
      <c r="H394" s="1916">
        <v>0</v>
      </c>
      <c r="I394" s="1916">
        <v>0</v>
      </c>
      <c r="J394" s="3485"/>
      <c r="K394" s="3485"/>
      <c r="L394" s="3487"/>
    </row>
    <row r="395" spans="1:12" ht="15" customHeight="1" outlineLevel="1">
      <c r="A395" s="3483" t="s">
        <v>3096</v>
      </c>
      <c r="B395" s="3484" t="s">
        <v>2939</v>
      </c>
      <c r="C395" s="3485">
        <v>2022</v>
      </c>
      <c r="D395" s="1915" t="s">
        <v>8</v>
      </c>
      <c r="E395" s="1916">
        <f t="shared" si="39"/>
        <v>0</v>
      </c>
      <c r="F395" s="1916">
        <f>SUM(F396:F400)</f>
        <v>0</v>
      </c>
      <c r="G395" s="1916">
        <f>SUM(G396:G400)</f>
        <v>0</v>
      </c>
      <c r="H395" s="1916">
        <f>SUM(H396:H400)</f>
        <v>0</v>
      </c>
      <c r="I395" s="1916">
        <f>SUM(I396:I400)</f>
        <v>0</v>
      </c>
      <c r="J395" s="3485" t="s">
        <v>3095</v>
      </c>
      <c r="K395" s="3485" t="s">
        <v>2993</v>
      </c>
      <c r="L395" s="3487" t="s">
        <v>3081</v>
      </c>
    </row>
    <row r="396" spans="1:12" ht="15" customHeight="1" outlineLevel="1">
      <c r="A396" s="3483"/>
      <c r="B396" s="3484"/>
      <c r="C396" s="3485"/>
      <c r="D396" s="1915">
        <v>2021</v>
      </c>
      <c r="E396" s="1916">
        <f t="shared" si="39"/>
        <v>0</v>
      </c>
      <c r="F396" s="1916">
        <v>0</v>
      </c>
      <c r="G396" s="1916">
        <v>0</v>
      </c>
      <c r="H396" s="1916">
        <v>0</v>
      </c>
      <c r="I396" s="1916">
        <v>0</v>
      </c>
      <c r="J396" s="3485"/>
      <c r="K396" s="3485"/>
      <c r="L396" s="3487"/>
    </row>
    <row r="397" spans="1:12" ht="15" customHeight="1" outlineLevel="1">
      <c r="A397" s="3483"/>
      <c r="B397" s="3484"/>
      <c r="C397" s="3485"/>
      <c r="D397" s="1915">
        <v>2022</v>
      </c>
      <c r="E397" s="1916">
        <f t="shared" si="39"/>
        <v>0</v>
      </c>
      <c r="F397" s="1916">
        <v>0</v>
      </c>
      <c r="G397" s="1916">
        <v>0</v>
      </c>
      <c r="H397" s="1916">
        <v>0</v>
      </c>
      <c r="I397" s="1916">
        <v>0</v>
      </c>
      <c r="J397" s="3485"/>
      <c r="K397" s="3485"/>
      <c r="L397" s="3487"/>
    </row>
    <row r="398" spans="1:12" ht="15" customHeight="1" outlineLevel="1">
      <c r="A398" s="3483"/>
      <c r="B398" s="3484"/>
      <c r="C398" s="3485"/>
      <c r="D398" s="1915">
        <v>2023</v>
      </c>
      <c r="E398" s="1916">
        <f t="shared" si="39"/>
        <v>0</v>
      </c>
      <c r="F398" s="1916">
        <v>0</v>
      </c>
      <c r="G398" s="1916">
        <v>0</v>
      </c>
      <c r="H398" s="1916">
        <v>0</v>
      </c>
      <c r="I398" s="1916">
        <v>0</v>
      </c>
      <c r="J398" s="3485"/>
      <c r="K398" s="3485"/>
      <c r="L398" s="3487"/>
    </row>
    <row r="399" spans="1:12" ht="15" customHeight="1" outlineLevel="1">
      <c r="A399" s="3483"/>
      <c r="B399" s="3484"/>
      <c r="C399" s="3485"/>
      <c r="D399" s="1915">
        <v>2024</v>
      </c>
      <c r="E399" s="1916">
        <f t="shared" si="39"/>
        <v>0</v>
      </c>
      <c r="F399" s="1916">
        <v>0</v>
      </c>
      <c r="G399" s="1916">
        <v>0</v>
      </c>
      <c r="H399" s="1916">
        <v>0</v>
      </c>
      <c r="I399" s="1916">
        <v>0</v>
      </c>
      <c r="J399" s="3485"/>
      <c r="K399" s="3485"/>
      <c r="L399" s="3487"/>
    </row>
    <row r="400" spans="1:12" ht="15" customHeight="1" outlineLevel="1">
      <c r="A400" s="3483"/>
      <c r="B400" s="3484"/>
      <c r="C400" s="3485"/>
      <c r="D400" s="1915">
        <v>2025</v>
      </c>
      <c r="E400" s="1916">
        <f t="shared" si="39"/>
        <v>0</v>
      </c>
      <c r="F400" s="1916">
        <v>0</v>
      </c>
      <c r="G400" s="1916">
        <v>0</v>
      </c>
      <c r="H400" s="1916">
        <v>0</v>
      </c>
      <c r="I400" s="1916">
        <v>0</v>
      </c>
      <c r="J400" s="3485"/>
      <c r="K400" s="3485"/>
      <c r="L400" s="3487"/>
    </row>
    <row r="401" spans="1:12" ht="15" customHeight="1" outlineLevel="1">
      <c r="A401" s="3483" t="s">
        <v>3094</v>
      </c>
      <c r="B401" s="3484" t="s">
        <v>2940</v>
      </c>
      <c r="C401" s="3485">
        <v>2023</v>
      </c>
      <c r="D401" s="1915" t="s">
        <v>8</v>
      </c>
      <c r="E401" s="1916">
        <f t="shared" si="39"/>
        <v>0</v>
      </c>
      <c r="F401" s="1916">
        <f>SUM(F402:F406)</f>
        <v>0</v>
      </c>
      <c r="G401" s="1916">
        <f>SUM(G402:G406)</f>
        <v>0</v>
      </c>
      <c r="H401" s="1916">
        <f>SUM(H402:H406)</f>
        <v>0</v>
      </c>
      <c r="I401" s="1916">
        <f>SUM(I402:I406)</f>
        <v>0</v>
      </c>
      <c r="J401" s="3485" t="s">
        <v>3093</v>
      </c>
      <c r="K401" s="3485" t="s">
        <v>3077</v>
      </c>
      <c r="L401" s="3487" t="s">
        <v>3081</v>
      </c>
    </row>
    <row r="402" spans="1:12" ht="15" customHeight="1" outlineLevel="1">
      <c r="A402" s="3483"/>
      <c r="B402" s="3484"/>
      <c r="C402" s="3485"/>
      <c r="D402" s="1915">
        <v>2021</v>
      </c>
      <c r="E402" s="1916">
        <f t="shared" si="39"/>
        <v>0</v>
      </c>
      <c r="F402" s="1916">
        <v>0</v>
      </c>
      <c r="G402" s="1916">
        <v>0</v>
      </c>
      <c r="H402" s="1916">
        <v>0</v>
      </c>
      <c r="I402" s="1916">
        <v>0</v>
      </c>
      <c r="J402" s="3485"/>
      <c r="K402" s="3485"/>
      <c r="L402" s="3487"/>
    </row>
    <row r="403" spans="1:12" ht="15" customHeight="1" outlineLevel="1">
      <c r="A403" s="3483"/>
      <c r="B403" s="3484"/>
      <c r="C403" s="3485"/>
      <c r="D403" s="1915">
        <v>2022</v>
      </c>
      <c r="E403" s="1916">
        <f t="shared" si="39"/>
        <v>0</v>
      </c>
      <c r="F403" s="1916">
        <v>0</v>
      </c>
      <c r="G403" s="1916">
        <v>0</v>
      </c>
      <c r="H403" s="1916">
        <v>0</v>
      </c>
      <c r="I403" s="1916">
        <v>0</v>
      </c>
      <c r="J403" s="3485"/>
      <c r="K403" s="3485"/>
      <c r="L403" s="3487"/>
    </row>
    <row r="404" spans="1:12" ht="15" customHeight="1" outlineLevel="1">
      <c r="A404" s="3483"/>
      <c r="B404" s="3484"/>
      <c r="C404" s="3485"/>
      <c r="D404" s="1915">
        <v>2023</v>
      </c>
      <c r="E404" s="1916">
        <f t="shared" si="39"/>
        <v>0</v>
      </c>
      <c r="F404" s="1916">
        <v>0</v>
      </c>
      <c r="G404" s="1916">
        <v>0</v>
      </c>
      <c r="H404" s="1916">
        <v>0</v>
      </c>
      <c r="I404" s="1916">
        <v>0</v>
      </c>
      <c r="J404" s="3485"/>
      <c r="K404" s="3485"/>
      <c r="L404" s="3487"/>
    </row>
    <row r="405" spans="1:12" ht="15" customHeight="1" outlineLevel="1">
      <c r="A405" s="3483"/>
      <c r="B405" s="3484"/>
      <c r="C405" s="3485"/>
      <c r="D405" s="1915">
        <v>2024</v>
      </c>
      <c r="E405" s="1916">
        <f t="shared" si="39"/>
        <v>0</v>
      </c>
      <c r="F405" s="1916">
        <v>0</v>
      </c>
      <c r="G405" s="1916">
        <v>0</v>
      </c>
      <c r="H405" s="1916">
        <v>0</v>
      </c>
      <c r="I405" s="1916">
        <v>0</v>
      </c>
      <c r="J405" s="3485"/>
      <c r="K405" s="3485"/>
      <c r="L405" s="3487"/>
    </row>
    <row r="406" spans="1:12" ht="15" customHeight="1" outlineLevel="1">
      <c r="A406" s="3483"/>
      <c r="B406" s="3484"/>
      <c r="C406" s="3485"/>
      <c r="D406" s="1915">
        <v>2025</v>
      </c>
      <c r="E406" s="1916">
        <f t="shared" si="39"/>
        <v>0</v>
      </c>
      <c r="F406" s="1916">
        <v>0</v>
      </c>
      <c r="G406" s="1916">
        <v>0</v>
      </c>
      <c r="H406" s="1916">
        <v>0</v>
      </c>
      <c r="I406" s="1916">
        <v>0</v>
      </c>
      <c r="J406" s="3485"/>
      <c r="K406" s="3485"/>
      <c r="L406" s="3487"/>
    </row>
    <row r="407" spans="1:12" ht="15" customHeight="1" outlineLevel="1">
      <c r="A407" s="3483" t="s">
        <v>3092</v>
      </c>
      <c r="B407" s="3484" t="s">
        <v>2941</v>
      </c>
      <c r="C407" s="3485">
        <v>2022</v>
      </c>
      <c r="D407" s="1915" t="s">
        <v>8</v>
      </c>
      <c r="E407" s="1916">
        <f t="shared" si="39"/>
        <v>0</v>
      </c>
      <c r="F407" s="1916">
        <f>SUM(F408:F412)</f>
        <v>0</v>
      </c>
      <c r="G407" s="1916">
        <f>SUM(G408:G412)</f>
        <v>0</v>
      </c>
      <c r="H407" s="1916">
        <f>SUM(H408:H412)</f>
        <v>0</v>
      </c>
      <c r="I407" s="1916">
        <f>SUM(I408:I412)</f>
        <v>0</v>
      </c>
      <c r="J407" s="3485" t="s">
        <v>3091</v>
      </c>
      <c r="K407" s="3485" t="s">
        <v>3090</v>
      </c>
    </row>
    <row r="408" spans="1:12" ht="15" customHeight="1" outlineLevel="1">
      <c r="A408" s="3483"/>
      <c r="B408" s="3484"/>
      <c r="C408" s="3485"/>
      <c r="D408" s="1915">
        <v>2021</v>
      </c>
      <c r="E408" s="1916">
        <f t="shared" si="39"/>
        <v>0</v>
      </c>
      <c r="F408" s="1916">
        <v>0</v>
      </c>
      <c r="G408" s="1916">
        <v>0</v>
      </c>
      <c r="H408" s="1916">
        <v>0</v>
      </c>
      <c r="I408" s="1916">
        <v>0</v>
      </c>
      <c r="J408" s="3485"/>
      <c r="K408" s="3485"/>
    </row>
    <row r="409" spans="1:12" ht="15" customHeight="1" outlineLevel="1">
      <c r="A409" s="3483"/>
      <c r="B409" s="3484"/>
      <c r="C409" s="3485"/>
      <c r="D409" s="1915">
        <v>2022</v>
      </c>
      <c r="E409" s="1916">
        <f t="shared" si="39"/>
        <v>0</v>
      </c>
      <c r="F409" s="1916">
        <f>6000-6000</f>
        <v>0</v>
      </c>
      <c r="G409" s="1916">
        <v>0</v>
      </c>
      <c r="H409" s="1916">
        <v>0</v>
      </c>
      <c r="I409" s="1916">
        <v>0</v>
      </c>
      <c r="J409" s="3485"/>
      <c r="K409" s="3485"/>
    </row>
    <row r="410" spans="1:12" ht="15" customHeight="1" outlineLevel="1">
      <c r="A410" s="3483"/>
      <c r="B410" s="3484"/>
      <c r="C410" s="3485"/>
      <c r="D410" s="1915">
        <v>2023</v>
      </c>
      <c r="E410" s="1916">
        <f t="shared" si="39"/>
        <v>0</v>
      </c>
      <c r="F410" s="1916">
        <v>0</v>
      </c>
      <c r="G410" s="1916">
        <v>0</v>
      </c>
      <c r="H410" s="1916">
        <v>0</v>
      </c>
      <c r="I410" s="1916">
        <v>0</v>
      </c>
      <c r="J410" s="3485"/>
      <c r="K410" s="3485"/>
    </row>
    <row r="411" spans="1:12" ht="15" customHeight="1" outlineLevel="1">
      <c r="A411" s="3483"/>
      <c r="B411" s="3484"/>
      <c r="C411" s="3485"/>
      <c r="D411" s="1915">
        <v>2024</v>
      </c>
      <c r="E411" s="1916">
        <f t="shared" si="39"/>
        <v>0</v>
      </c>
      <c r="F411" s="1916">
        <v>0</v>
      </c>
      <c r="G411" s="1916">
        <v>0</v>
      </c>
      <c r="H411" s="1916">
        <v>0</v>
      </c>
      <c r="I411" s="1916">
        <v>0</v>
      </c>
      <c r="J411" s="3485"/>
      <c r="K411" s="3485"/>
    </row>
    <row r="412" spans="1:12" ht="15" customHeight="1" outlineLevel="1">
      <c r="A412" s="3483"/>
      <c r="B412" s="3484"/>
      <c r="C412" s="3485"/>
      <c r="D412" s="1915">
        <v>2025</v>
      </c>
      <c r="E412" s="1916">
        <f t="shared" si="39"/>
        <v>0</v>
      </c>
      <c r="F412" s="1916">
        <v>0</v>
      </c>
      <c r="G412" s="1916">
        <v>0</v>
      </c>
      <c r="H412" s="1916">
        <v>0</v>
      </c>
      <c r="I412" s="1916">
        <v>0</v>
      </c>
      <c r="J412" s="3485"/>
      <c r="K412" s="3485"/>
    </row>
    <row r="413" spans="1:12" ht="15" customHeight="1" outlineLevel="1">
      <c r="A413" s="3483" t="s">
        <v>3089</v>
      </c>
      <c r="B413" s="3484" t="s">
        <v>2942</v>
      </c>
      <c r="C413" s="3485">
        <v>2022</v>
      </c>
      <c r="D413" s="1915" t="s">
        <v>8</v>
      </c>
      <c r="E413" s="1916">
        <f t="shared" si="39"/>
        <v>5000</v>
      </c>
      <c r="F413" s="1916">
        <f>SUM(F414:F418)</f>
        <v>4750</v>
      </c>
      <c r="G413" s="1916">
        <f>SUM(G414:G418)</f>
        <v>0</v>
      </c>
      <c r="H413" s="1916">
        <f>SUM(H414:H418)</f>
        <v>250</v>
      </c>
      <c r="I413" s="1916">
        <f>SUM(I414:I418)</f>
        <v>0</v>
      </c>
      <c r="J413" s="3485" t="s">
        <v>3088</v>
      </c>
      <c r="K413" s="3485" t="s">
        <v>2993</v>
      </c>
    </row>
    <row r="414" spans="1:12" ht="15" customHeight="1" outlineLevel="1">
      <c r="A414" s="3483"/>
      <c r="B414" s="3484"/>
      <c r="C414" s="3485"/>
      <c r="D414" s="1915">
        <v>2021</v>
      </c>
      <c r="E414" s="1916">
        <f t="shared" si="39"/>
        <v>0</v>
      </c>
      <c r="F414" s="1916">
        <v>0</v>
      </c>
      <c r="G414" s="1916">
        <v>0</v>
      </c>
      <c r="H414" s="1916">
        <v>0</v>
      </c>
      <c r="I414" s="1916">
        <v>0</v>
      </c>
      <c r="J414" s="3485"/>
      <c r="K414" s="3485"/>
    </row>
    <row r="415" spans="1:12" ht="15" customHeight="1" outlineLevel="1">
      <c r="A415" s="3483"/>
      <c r="B415" s="3484"/>
      <c r="C415" s="3485"/>
      <c r="D415" s="1915">
        <v>2022</v>
      </c>
      <c r="E415" s="1916">
        <f t="shared" si="39"/>
        <v>5000</v>
      </c>
      <c r="F415" s="1916">
        <f>4750000/1000</f>
        <v>4750</v>
      </c>
      <c r="G415" s="1916">
        <v>0</v>
      </c>
      <c r="H415" s="1916">
        <f>F415*5%/95%</f>
        <v>250</v>
      </c>
      <c r="I415" s="1916">
        <v>0</v>
      </c>
      <c r="J415" s="3485"/>
      <c r="K415" s="3485"/>
    </row>
    <row r="416" spans="1:12" ht="15" customHeight="1" outlineLevel="1">
      <c r="A416" s="3483"/>
      <c r="B416" s="3484"/>
      <c r="C416" s="3485"/>
      <c r="D416" s="1915">
        <v>2023</v>
      </c>
      <c r="E416" s="1916">
        <f t="shared" si="39"/>
        <v>0</v>
      </c>
      <c r="F416" s="1916">
        <v>0</v>
      </c>
      <c r="G416" s="1916">
        <v>0</v>
      </c>
      <c r="H416" s="1916">
        <v>0</v>
      </c>
      <c r="I416" s="1916">
        <v>0</v>
      </c>
      <c r="J416" s="3485"/>
      <c r="K416" s="3485"/>
    </row>
    <row r="417" spans="1:12" ht="15" customHeight="1" outlineLevel="1">
      <c r="A417" s="3483"/>
      <c r="B417" s="3484"/>
      <c r="C417" s="3485"/>
      <c r="D417" s="1915">
        <v>2024</v>
      </c>
      <c r="E417" s="1916">
        <f t="shared" si="39"/>
        <v>0</v>
      </c>
      <c r="F417" s="1916">
        <v>0</v>
      </c>
      <c r="G417" s="1916">
        <v>0</v>
      </c>
      <c r="H417" s="1916">
        <v>0</v>
      </c>
      <c r="I417" s="1916">
        <v>0</v>
      </c>
      <c r="J417" s="3485"/>
      <c r="K417" s="3485"/>
    </row>
    <row r="418" spans="1:12" ht="15" customHeight="1" outlineLevel="1">
      <c r="A418" s="3483"/>
      <c r="B418" s="3484"/>
      <c r="C418" s="3485"/>
      <c r="D418" s="1915">
        <v>2025</v>
      </c>
      <c r="E418" s="1916">
        <f t="shared" si="39"/>
        <v>0</v>
      </c>
      <c r="F418" s="1916">
        <v>0</v>
      </c>
      <c r="G418" s="1916">
        <v>0</v>
      </c>
      <c r="H418" s="1916">
        <v>0</v>
      </c>
      <c r="I418" s="1916">
        <v>0</v>
      </c>
      <c r="J418" s="3485"/>
      <c r="K418" s="3485"/>
    </row>
    <row r="419" spans="1:12" ht="15" customHeight="1" outlineLevel="1">
      <c r="A419" s="3483" t="s">
        <v>3087</v>
      </c>
      <c r="B419" s="3484" t="s">
        <v>2943</v>
      </c>
      <c r="C419" s="3485">
        <v>2022</v>
      </c>
      <c r="D419" s="1915" t="s">
        <v>8</v>
      </c>
      <c r="E419" s="1916">
        <f t="shared" si="39"/>
        <v>0</v>
      </c>
      <c r="F419" s="1916">
        <f>SUM(F420:F424)</f>
        <v>0</v>
      </c>
      <c r="G419" s="1916">
        <f t="shared" ref="G419:G449" si="40">SUM(G420:G424)</f>
        <v>0</v>
      </c>
      <c r="H419" s="1916">
        <f>SUM(H420:H424)</f>
        <v>0</v>
      </c>
      <c r="I419" s="1916">
        <f t="shared" ref="I419:I467" si="41">SUM(I420:I424)</f>
        <v>0</v>
      </c>
      <c r="J419" s="3485" t="s">
        <v>3086</v>
      </c>
      <c r="K419" s="3485" t="s">
        <v>2993</v>
      </c>
    </row>
    <row r="420" spans="1:12" ht="15" customHeight="1" outlineLevel="1">
      <c r="A420" s="3483"/>
      <c r="B420" s="3484"/>
      <c r="C420" s="3485"/>
      <c r="D420" s="1915">
        <v>2021</v>
      </c>
      <c r="E420" s="1916">
        <f t="shared" si="39"/>
        <v>0</v>
      </c>
      <c r="F420" s="1916">
        <v>0</v>
      </c>
      <c r="G420" s="1916">
        <f t="shared" si="40"/>
        <v>0</v>
      </c>
      <c r="H420" s="1916">
        <v>0</v>
      </c>
      <c r="I420" s="1916">
        <f t="shared" si="41"/>
        <v>0</v>
      </c>
      <c r="J420" s="3485"/>
      <c r="K420" s="3485"/>
    </row>
    <row r="421" spans="1:12" ht="15" customHeight="1" outlineLevel="1">
      <c r="A421" s="3483"/>
      <c r="B421" s="3484"/>
      <c r="C421" s="3485"/>
      <c r="D421" s="1915">
        <v>2022</v>
      </c>
      <c r="E421" s="1916">
        <f t="shared" si="39"/>
        <v>0</v>
      </c>
      <c r="F421" s="1916">
        <v>0</v>
      </c>
      <c r="G421" s="1916">
        <f t="shared" si="40"/>
        <v>0</v>
      </c>
      <c r="H421" s="1916">
        <v>0</v>
      </c>
      <c r="I421" s="1916">
        <f t="shared" si="41"/>
        <v>0</v>
      </c>
      <c r="J421" s="3485"/>
      <c r="K421" s="3485"/>
    </row>
    <row r="422" spans="1:12" ht="15" customHeight="1" outlineLevel="1">
      <c r="A422" s="3483"/>
      <c r="B422" s="3484"/>
      <c r="C422" s="3485"/>
      <c r="D422" s="1915">
        <v>2023</v>
      </c>
      <c r="E422" s="1916">
        <f t="shared" si="39"/>
        <v>0</v>
      </c>
      <c r="F422" s="1916">
        <v>0</v>
      </c>
      <c r="G422" s="1916">
        <f t="shared" si="40"/>
        <v>0</v>
      </c>
      <c r="H422" s="1916">
        <v>0</v>
      </c>
      <c r="I422" s="1916">
        <f t="shared" si="41"/>
        <v>0</v>
      </c>
      <c r="J422" s="3485"/>
      <c r="K422" s="3485"/>
    </row>
    <row r="423" spans="1:12" ht="15" customHeight="1" outlineLevel="1">
      <c r="A423" s="3483"/>
      <c r="B423" s="3484"/>
      <c r="C423" s="3485"/>
      <c r="D423" s="1915">
        <v>2024</v>
      </c>
      <c r="E423" s="1916">
        <f t="shared" si="39"/>
        <v>0</v>
      </c>
      <c r="F423" s="1916">
        <v>0</v>
      </c>
      <c r="G423" s="1916">
        <f t="shared" si="40"/>
        <v>0</v>
      </c>
      <c r="H423" s="1916">
        <v>0</v>
      </c>
      <c r="I423" s="1916">
        <f t="shared" si="41"/>
        <v>0</v>
      </c>
      <c r="J423" s="3485"/>
      <c r="K423" s="3485"/>
    </row>
    <row r="424" spans="1:12" ht="15" customHeight="1" outlineLevel="1">
      <c r="A424" s="3483"/>
      <c r="B424" s="3484"/>
      <c r="C424" s="3485"/>
      <c r="D424" s="1915">
        <v>2025</v>
      </c>
      <c r="E424" s="1916">
        <f t="shared" si="39"/>
        <v>0</v>
      </c>
      <c r="F424" s="1916">
        <v>0</v>
      </c>
      <c r="G424" s="1916">
        <f t="shared" si="40"/>
        <v>0</v>
      </c>
      <c r="H424" s="1916">
        <v>0</v>
      </c>
      <c r="I424" s="1916">
        <f t="shared" si="41"/>
        <v>0</v>
      </c>
      <c r="J424" s="3485"/>
      <c r="K424" s="3485"/>
    </row>
    <row r="425" spans="1:12" ht="15" customHeight="1" outlineLevel="1">
      <c r="A425" s="3483" t="s">
        <v>3085</v>
      </c>
      <c r="B425" s="3484" t="s">
        <v>2944</v>
      </c>
      <c r="C425" s="3485">
        <v>2022</v>
      </c>
      <c r="D425" s="1915" t="s">
        <v>8</v>
      </c>
      <c r="E425" s="1916">
        <f t="shared" si="39"/>
        <v>6815.7889999999998</v>
      </c>
      <c r="F425" s="1916">
        <f>SUM(F426:F430)</f>
        <v>6475</v>
      </c>
      <c r="G425" s="1916">
        <f t="shared" si="40"/>
        <v>0</v>
      </c>
      <c r="H425" s="1916">
        <f>SUM(H426:H430)</f>
        <v>340.78899999999999</v>
      </c>
      <c r="I425" s="1916">
        <f t="shared" si="41"/>
        <v>0</v>
      </c>
      <c r="J425" s="3485" t="s">
        <v>3084</v>
      </c>
      <c r="K425" s="3485" t="s">
        <v>2993</v>
      </c>
    </row>
    <row r="426" spans="1:12" ht="15" customHeight="1" outlineLevel="1">
      <c r="A426" s="3483"/>
      <c r="B426" s="3484"/>
      <c r="C426" s="3485"/>
      <c r="D426" s="1915">
        <v>2021</v>
      </c>
      <c r="E426" s="1916">
        <f t="shared" si="39"/>
        <v>0</v>
      </c>
      <c r="F426" s="1916">
        <v>0</v>
      </c>
      <c r="G426" s="1916">
        <v>0</v>
      </c>
      <c r="H426" s="1916">
        <v>0</v>
      </c>
      <c r="I426" s="1916">
        <f t="shared" si="41"/>
        <v>0</v>
      </c>
      <c r="J426" s="3485"/>
      <c r="K426" s="3485"/>
    </row>
    <row r="427" spans="1:12" ht="15" customHeight="1" outlineLevel="1">
      <c r="A427" s="3483"/>
      <c r="B427" s="3484"/>
      <c r="C427" s="3485"/>
      <c r="D427" s="1915">
        <v>2022</v>
      </c>
      <c r="E427" s="1916">
        <f t="shared" si="39"/>
        <v>6815.7889999999998</v>
      </c>
      <c r="F427" s="1916">
        <v>6475</v>
      </c>
      <c r="G427" s="1916">
        <v>0</v>
      </c>
      <c r="H427" s="1916">
        <v>340.78899999999999</v>
      </c>
      <c r="I427" s="1916">
        <f t="shared" si="41"/>
        <v>0</v>
      </c>
      <c r="J427" s="3485"/>
      <c r="K427" s="3485"/>
    </row>
    <row r="428" spans="1:12" ht="15" customHeight="1" outlineLevel="1">
      <c r="A428" s="3483"/>
      <c r="B428" s="3484"/>
      <c r="C428" s="3485"/>
      <c r="D428" s="1915">
        <v>2023</v>
      </c>
      <c r="E428" s="1916">
        <f t="shared" si="39"/>
        <v>0</v>
      </c>
      <c r="F428" s="1916">
        <v>0</v>
      </c>
      <c r="G428" s="1916">
        <v>0</v>
      </c>
      <c r="H428" s="1916">
        <v>0</v>
      </c>
      <c r="I428" s="1916">
        <f t="shared" si="41"/>
        <v>0</v>
      </c>
      <c r="J428" s="3485"/>
      <c r="K428" s="3485"/>
    </row>
    <row r="429" spans="1:12" ht="15" customHeight="1" outlineLevel="1">
      <c r="A429" s="3483"/>
      <c r="B429" s="3484"/>
      <c r="C429" s="3485"/>
      <c r="D429" s="1915">
        <v>2024</v>
      </c>
      <c r="E429" s="1916">
        <f t="shared" si="39"/>
        <v>0</v>
      </c>
      <c r="F429" s="1916">
        <v>0</v>
      </c>
      <c r="G429" s="1916">
        <v>0</v>
      </c>
      <c r="H429" s="1916">
        <v>0</v>
      </c>
      <c r="I429" s="1916">
        <f t="shared" si="41"/>
        <v>0</v>
      </c>
      <c r="J429" s="3485"/>
      <c r="K429" s="3485"/>
    </row>
    <row r="430" spans="1:12" ht="15" customHeight="1" outlineLevel="1">
      <c r="A430" s="3483"/>
      <c r="B430" s="3484"/>
      <c r="C430" s="3485"/>
      <c r="D430" s="1915">
        <v>2025</v>
      </c>
      <c r="E430" s="1916">
        <f t="shared" ref="E430:E493" si="42">SUM(F430:I430)</f>
        <v>0</v>
      </c>
      <c r="F430" s="1916">
        <v>0</v>
      </c>
      <c r="G430" s="1916">
        <v>0</v>
      </c>
      <c r="H430" s="1916">
        <v>0</v>
      </c>
      <c r="I430" s="1916">
        <f t="shared" si="41"/>
        <v>0</v>
      </c>
      <c r="J430" s="3485"/>
      <c r="K430" s="3485"/>
    </row>
    <row r="431" spans="1:12" ht="15" customHeight="1" outlineLevel="1">
      <c r="A431" s="3483" t="s">
        <v>3083</v>
      </c>
      <c r="B431" s="3484" t="s">
        <v>2945</v>
      </c>
      <c r="C431" s="3485">
        <v>2022</v>
      </c>
      <c r="D431" s="1915" t="s">
        <v>8</v>
      </c>
      <c r="E431" s="1916">
        <f t="shared" si="42"/>
        <v>6717.1717171717173</v>
      </c>
      <c r="F431" s="1916">
        <f>SUM(F432:F436)</f>
        <v>6650</v>
      </c>
      <c r="G431" s="1916">
        <v>0</v>
      </c>
      <c r="H431" s="1916">
        <f>SUM(H432:H436)</f>
        <v>67.171717171717177</v>
      </c>
      <c r="I431" s="1916">
        <f t="shared" si="41"/>
        <v>0</v>
      </c>
      <c r="J431" s="3485" t="s">
        <v>3082</v>
      </c>
      <c r="K431" s="3485" t="s">
        <v>2993</v>
      </c>
      <c r="L431" s="3487" t="s">
        <v>3081</v>
      </c>
    </row>
    <row r="432" spans="1:12" ht="15" customHeight="1" outlineLevel="1">
      <c r="A432" s="3483"/>
      <c r="B432" s="3484"/>
      <c r="C432" s="3485"/>
      <c r="D432" s="1915">
        <v>2021</v>
      </c>
      <c r="E432" s="1916">
        <f t="shared" si="42"/>
        <v>0</v>
      </c>
      <c r="F432" s="1916">
        <v>0</v>
      </c>
      <c r="G432" s="1916">
        <v>0</v>
      </c>
      <c r="H432" s="1916">
        <v>0</v>
      </c>
      <c r="I432" s="1916">
        <f t="shared" si="41"/>
        <v>0</v>
      </c>
      <c r="J432" s="3485"/>
      <c r="K432" s="3485"/>
      <c r="L432" s="3487"/>
    </row>
    <row r="433" spans="1:12" ht="15" customHeight="1" outlineLevel="1">
      <c r="A433" s="3483"/>
      <c r="B433" s="3484"/>
      <c r="C433" s="3485"/>
      <c r="D433" s="1915">
        <v>2022</v>
      </c>
      <c r="E433" s="1916">
        <f t="shared" si="42"/>
        <v>6717.1717171717173</v>
      </c>
      <c r="F433" s="1916">
        <v>6650</v>
      </c>
      <c r="G433" s="1916">
        <v>0</v>
      </c>
      <c r="H433" s="1916">
        <f>F433/99*1</f>
        <v>67.171717171717177</v>
      </c>
      <c r="I433" s="1916">
        <f t="shared" si="41"/>
        <v>0</v>
      </c>
      <c r="J433" s="3485"/>
      <c r="K433" s="3485"/>
      <c r="L433" s="3487"/>
    </row>
    <row r="434" spans="1:12" ht="15" customHeight="1" outlineLevel="1">
      <c r="A434" s="3483"/>
      <c r="B434" s="3484"/>
      <c r="C434" s="3485"/>
      <c r="D434" s="1915">
        <v>2023</v>
      </c>
      <c r="E434" s="1916">
        <f t="shared" si="42"/>
        <v>0</v>
      </c>
      <c r="F434" s="1916">
        <v>0</v>
      </c>
      <c r="G434" s="1916">
        <v>0</v>
      </c>
      <c r="H434" s="1916">
        <v>0</v>
      </c>
      <c r="I434" s="1916">
        <f t="shared" si="41"/>
        <v>0</v>
      </c>
      <c r="J434" s="3485"/>
      <c r="K434" s="3485"/>
      <c r="L434" s="3487"/>
    </row>
    <row r="435" spans="1:12" ht="15" customHeight="1" outlineLevel="1">
      <c r="A435" s="3483"/>
      <c r="B435" s="3484"/>
      <c r="C435" s="3485"/>
      <c r="D435" s="1915">
        <v>2024</v>
      </c>
      <c r="E435" s="1916">
        <f t="shared" si="42"/>
        <v>0</v>
      </c>
      <c r="F435" s="1916">
        <v>0</v>
      </c>
      <c r="G435" s="1916">
        <v>0</v>
      </c>
      <c r="H435" s="1916">
        <v>0</v>
      </c>
      <c r="I435" s="1916">
        <f t="shared" si="41"/>
        <v>0</v>
      </c>
      <c r="J435" s="3485"/>
      <c r="K435" s="3485"/>
      <c r="L435" s="3487"/>
    </row>
    <row r="436" spans="1:12" ht="15" customHeight="1" outlineLevel="1">
      <c r="A436" s="3483"/>
      <c r="B436" s="3484"/>
      <c r="C436" s="3485"/>
      <c r="D436" s="1915">
        <v>2025</v>
      </c>
      <c r="E436" s="1916">
        <f t="shared" si="42"/>
        <v>0</v>
      </c>
      <c r="F436" s="1916">
        <v>0</v>
      </c>
      <c r="G436" s="1916">
        <v>0</v>
      </c>
      <c r="H436" s="1916">
        <v>0</v>
      </c>
      <c r="I436" s="1916">
        <f t="shared" si="41"/>
        <v>0</v>
      </c>
      <c r="J436" s="3485"/>
      <c r="K436" s="3485"/>
      <c r="L436" s="3487"/>
    </row>
    <row r="437" spans="1:12" ht="17.25" customHeight="1" outlineLevel="1">
      <c r="A437" s="3483" t="s">
        <v>3080</v>
      </c>
      <c r="B437" s="3484" t="s">
        <v>2946</v>
      </c>
      <c r="C437" s="3485">
        <v>2023</v>
      </c>
      <c r="D437" s="1915" t="s">
        <v>8</v>
      </c>
      <c r="E437" s="1916">
        <f t="shared" si="42"/>
        <v>0</v>
      </c>
      <c r="F437" s="1916">
        <f>SUM(F438:F442)</f>
        <v>0</v>
      </c>
      <c r="G437" s="1916">
        <v>0</v>
      </c>
      <c r="H437" s="1916">
        <f>SUM(H438:H442)</f>
        <v>0</v>
      </c>
      <c r="I437" s="1916">
        <f t="shared" si="41"/>
        <v>0</v>
      </c>
      <c r="J437" s="3485" t="s">
        <v>3079</v>
      </c>
      <c r="K437" s="3485" t="s">
        <v>3077</v>
      </c>
    </row>
    <row r="438" spans="1:12" ht="17.25" customHeight="1" outlineLevel="1">
      <c r="A438" s="3483"/>
      <c r="B438" s="3484"/>
      <c r="C438" s="3485"/>
      <c r="D438" s="1915">
        <v>2021</v>
      </c>
      <c r="E438" s="1916">
        <f t="shared" si="42"/>
        <v>0</v>
      </c>
      <c r="F438" s="1916">
        <v>0</v>
      </c>
      <c r="G438" s="1916">
        <v>0</v>
      </c>
      <c r="H438" s="1916">
        <v>0</v>
      </c>
      <c r="I438" s="1916">
        <v>0</v>
      </c>
      <c r="J438" s="3485"/>
      <c r="K438" s="3485"/>
    </row>
    <row r="439" spans="1:12" ht="17.25" customHeight="1" outlineLevel="1">
      <c r="A439" s="3483"/>
      <c r="B439" s="3484"/>
      <c r="C439" s="3485"/>
      <c r="D439" s="1915">
        <v>2022</v>
      </c>
      <c r="E439" s="1916">
        <f t="shared" si="42"/>
        <v>0</v>
      </c>
      <c r="F439" s="1916">
        <v>0</v>
      </c>
      <c r="G439" s="1916">
        <v>0</v>
      </c>
      <c r="H439" s="1916">
        <v>0</v>
      </c>
      <c r="I439" s="1916">
        <v>0</v>
      </c>
      <c r="J439" s="3485"/>
      <c r="K439" s="3485"/>
    </row>
    <row r="440" spans="1:12" ht="17.25" customHeight="1" outlineLevel="1">
      <c r="A440" s="3483"/>
      <c r="B440" s="3484"/>
      <c r="C440" s="3485"/>
      <c r="D440" s="1915">
        <v>2023</v>
      </c>
      <c r="E440" s="1916">
        <f t="shared" si="42"/>
        <v>0</v>
      </c>
      <c r="F440" s="1916">
        <v>0</v>
      </c>
      <c r="G440" s="1916">
        <v>0</v>
      </c>
      <c r="H440" s="1916">
        <v>0</v>
      </c>
      <c r="I440" s="1916">
        <v>0</v>
      </c>
      <c r="J440" s="3485"/>
      <c r="K440" s="3485"/>
    </row>
    <row r="441" spans="1:12" ht="17.25" customHeight="1" outlineLevel="1">
      <c r="A441" s="3483"/>
      <c r="B441" s="3484"/>
      <c r="C441" s="3485"/>
      <c r="D441" s="1915">
        <v>2024</v>
      </c>
      <c r="E441" s="1916">
        <f t="shared" si="42"/>
        <v>0</v>
      </c>
      <c r="F441" s="1916">
        <v>0</v>
      </c>
      <c r="G441" s="1916">
        <v>0</v>
      </c>
      <c r="H441" s="1916">
        <v>0</v>
      </c>
      <c r="I441" s="1916">
        <v>0</v>
      </c>
      <c r="J441" s="3485"/>
      <c r="K441" s="3485"/>
    </row>
    <row r="442" spans="1:12" ht="17.25" customHeight="1" outlineLevel="1">
      <c r="A442" s="3483"/>
      <c r="B442" s="3484"/>
      <c r="C442" s="3485"/>
      <c r="D442" s="1915">
        <v>2025</v>
      </c>
      <c r="E442" s="1916">
        <f t="shared" si="42"/>
        <v>0</v>
      </c>
      <c r="F442" s="1916">
        <v>0</v>
      </c>
      <c r="G442" s="1916">
        <v>0</v>
      </c>
      <c r="H442" s="1916">
        <v>0</v>
      </c>
      <c r="I442" s="1916">
        <v>0</v>
      </c>
      <c r="J442" s="3485"/>
      <c r="K442" s="3485"/>
    </row>
    <row r="443" spans="1:12" ht="15" customHeight="1" outlineLevel="1">
      <c r="A443" s="3483" t="s">
        <v>588</v>
      </c>
      <c r="B443" s="3484" t="s">
        <v>2947</v>
      </c>
      <c r="C443" s="3485">
        <v>2022</v>
      </c>
      <c r="D443" s="1915" t="s">
        <v>8</v>
      </c>
      <c r="E443" s="1916">
        <f t="shared" si="42"/>
        <v>0</v>
      </c>
      <c r="F443" s="1916">
        <f>SUM(F444:F448)</f>
        <v>0</v>
      </c>
      <c r="G443" s="1916">
        <f t="shared" si="40"/>
        <v>0</v>
      </c>
      <c r="H443" s="1916">
        <f>SUM(H444:H448)</f>
        <v>0</v>
      </c>
      <c r="I443" s="1916">
        <f t="shared" si="41"/>
        <v>0</v>
      </c>
      <c r="J443" s="3485" t="s">
        <v>3078</v>
      </c>
      <c r="K443" s="3485" t="s">
        <v>2993</v>
      </c>
      <c r="L443" s="3487"/>
    </row>
    <row r="444" spans="1:12" ht="15" customHeight="1" outlineLevel="1">
      <c r="A444" s="3483"/>
      <c r="B444" s="3484"/>
      <c r="C444" s="3485"/>
      <c r="D444" s="1915">
        <v>2021</v>
      </c>
      <c r="E444" s="1916">
        <f t="shared" si="42"/>
        <v>0</v>
      </c>
      <c r="F444" s="1916">
        <v>0</v>
      </c>
      <c r="G444" s="1916">
        <v>0</v>
      </c>
      <c r="H444" s="1916">
        <v>0</v>
      </c>
      <c r="I444" s="1916">
        <v>0</v>
      </c>
      <c r="J444" s="3485"/>
      <c r="K444" s="3485"/>
      <c r="L444" s="3487"/>
    </row>
    <row r="445" spans="1:12" ht="15" customHeight="1" outlineLevel="1">
      <c r="A445" s="3483"/>
      <c r="B445" s="3484"/>
      <c r="C445" s="3485"/>
      <c r="D445" s="1915">
        <v>2022</v>
      </c>
      <c r="E445" s="1916">
        <f t="shared" si="42"/>
        <v>0</v>
      </c>
      <c r="F445" s="1916">
        <v>0</v>
      </c>
      <c r="G445" s="1916">
        <v>0</v>
      </c>
      <c r="H445" s="1916">
        <v>0</v>
      </c>
      <c r="I445" s="1916">
        <v>0</v>
      </c>
      <c r="J445" s="3485"/>
      <c r="K445" s="3485"/>
      <c r="L445" s="3487"/>
    </row>
    <row r="446" spans="1:12" ht="15" customHeight="1" outlineLevel="1">
      <c r="A446" s="3483"/>
      <c r="B446" s="3484"/>
      <c r="C446" s="3485"/>
      <c r="D446" s="1915">
        <v>2023</v>
      </c>
      <c r="E446" s="1916">
        <f t="shared" si="42"/>
        <v>0</v>
      </c>
      <c r="F446" s="1916">
        <v>0</v>
      </c>
      <c r="G446" s="1916">
        <v>0</v>
      </c>
      <c r="H446" s="1916">
        <v>0</v>
      </c>
      <c r="I446" s="1916">
        <v>0</v>
      </c>
      <c r="J446" s="3485"/>
      <c r="K446" s="3485"/>
      <c r="L446" s="3487"/>
    </row>
    <row r="447" spans="1:12" ht="15" customHeight="1" outlineLevel="1">
      <c r="A447" s="3483"/>
      <c r="B447" s="3484"/>
      <c r="C447" s="3485"/>
      <c r="D447" s="1915">
        <v>2024</v>
      </c>
      <c r="E447" s="1916">
        <f t="shared" si="42"/>
        <v>0</v>
      </c>
      <c r="F447" s="1916">
        <v>0</v>
      </c>
      <c r="G447" s="1916">
        <v>0</v>
      </c>
      <c r="H447" s="1916">
        <v>0</v>
      </c>
      <c r="I447" s="1916">
        <v>0</v>
      </c>
      <c r="J447" s="3485"/>
      <c r="K447" s="3485"/>
      <c r="L447" s="3487"/>
    </row>
    <row r="448" spans="1:12" ht="15" customHeight="1" outlineLevel="1">
      <c r="A448" s="3483"/>
      <c r="B448" s="3484"/>
      <c r="C448" s="3485"/>
      <c r="D448" s="1915">
        <v>2025</v>
      </c>
      <c r="E448" s="1916">
        <f t="shared" si="42"/>
        <v>0</v>
      </c>
      <c r="F448" s="1916">
        <v>0</v>
      </c>
      <c r="G448" s="1916">
        <v>0</v>
      </c>
      <c r="H448" s="1916">
        <v>0</v>
      </c>
      <c r="I448" s="1916">
        <v>0</v>
      </c>
      <c r="J448" s="3485"/>
      <c r="K448" s="3485"/>
      <c r="L448" s="3487"/>
    </row>
    <row r="449" spans="1:12" ht="15" customHeight="1" outlineLevel="1">
      <c r="A449" s="3483" t="s">
        <v>592</v>
      </c>
      <c r="B449" s="3484" t="s">
        <v>2948</v>
      </c>
      <c r="C449" s="3485" t="s">
        <v>3042</v>
      </c>
      <c r="D449" s="1915" t="s">
        <v>8</v>
      </c>
      <c r="E449" s="1916">
        <f t="shared" si="42"/>
        <v>66399.149999999994</v>
      </c>
      <c r="F449" s="1916">
        <f>SUM(F450:F454)</f>
        <v>66399.149999999994</v>
      </c>
      <c r="G449" s="1916">
        <f t="shared" si="40"/>
        <v>0</v>
      </c>
      <c r="H449" s="1916">
        <f>SUM(H450:H454)</f>
        <v>0</v>
      </c>
      <c r="I449" s="1916">
        <f t="shared" si="41"/>
        <v>0</v>
      </c>
      <c r="J449" s="3485" t="s">
        <v>3041</v>
      </c>
      <c r="K449" s="3485" t="s">
        <v>3077</v>
      </c>
    </row>
    <row r="450" spans="1:12" ht="15" customHeight="1" outlineLevel="1">
      <c r="A450" s="3483"/>
      <c r="B450" s="3484"/>
      <c r="C450" s="3485"/>
      <c r="D450" s="1915">
        <v>2021</v>
      </c>
      <c r="E450" s="1916">
        <f t="shared" si="42"/>
        <v>0</v>
      </c>
      <c r="F450" s="1916">
        <v>0</v>
      </c>
      <c r="G450" s="1916">
        <v>0</v>
      </c>
      <c r="H450" s="1916">
        <v>0</v>
      </c>
      <c r="I450" s="1916">
        <v>0</v>
      </c>
      <c r="J450" s="3485"/>
      <c r="K450" s="3485"/>
    </row>
    <row r="451" spans="1:12" ht="15" customHeight="1" outlineLevel="1">
      <c r="A451" s="3483"/>
      <c r="B451" s="3484"/>
      <c r="C451" s="3485"/>
      <c r="D451" s="1915">
        <v>2022</v>
      </c>
      <c r="E451" s="1916">
        <f t="shared" si="42"/>
        <v>66399.149999999994</v>
      </c>
      <c r="F451" s="1916">
        <f>200000-21582.6-112018.25</f>
        <v>66399.149999999994</v>
      </c>
      <c r="G451" s="1916">
        <v>0</v>
      </c>
      <c r="H451" s="1916">
        <v>0</v>
      </c>
      <c r="I451" s="1916">
        <v>0</v>
      </c>
      <c r="J451" s="3485"/>
      <c r="K451" s="3485"/>
    </row>
    <row r="452" spans="1:12" ht="15" customHeight="1" outlineLevel="1">
      <c r="A452" s="3483"/>
      <c r="B452" s="3484"/>
      <c r="C452" s="3485"/>
      <c r="D452" s="1915">
        <v>2023</v>
      </c>
      <c r="E452" s="1916">
        <f t="shared" si="42"/>
        <v>0</v>
      </c>
      <c r="F452" s="1916">
        <v>0</v>
      </c>
      <c r="G452" s="1916">
        <v>0</v>
      </c>
      <c r="H452" s="1916">
        <v>0</v>
      </c>
      <c r="I452" s="1916">
        <v>0</v>
      </c>
      <c r="J452" s="3485"/>
      <c r="K452" s="3485"/>
    </row>
    <row r="453" spans="1:12" ht="15" customHeight="1" outlineLevel="1">
      <c r="A453" s="3483"/>
      <c r="B453" s="3484"/>
      <c r="C453" s="3485"/>
      <c r="D453" s="1915">
        <v>2024</v>
      </c>
      <c r="E453" s="1916">
        <f t="shared" si="42"/>
        <v>0</v>
      </c>
      <c r="F453" s="1916">
        <v>0</v>
      </c>
      <c r="G453" s="1916">
        <v>0</v>
      </c>
      <c r="H453" s="1916">
        <v>0</v>
      </c>
      <c r="I453" s="1916">
        <v>0</v>
      </c>
      <c r="J453" s="3485"/>
      <c r="K453" s="3485"/>
    </row>
    <row r="454" spans="1:12" ht="15" customHeight="1" outlineLevel="1">
      <c r="A454" s="3483"/>
      <c r="B454" s="3484"/>
      <c r="C454" s="3485"/>
      <c r="D454" s="1915">
        <v>2025</v>
      </c>
      <c r="E454" s="1916">
        <f t="shared" si="42"/>
        <v>0</v>
      </c>
      <c r="F454" s="1916">
        <v>0</v>
      </c>
      <c r="G454" s="1916">
        <v>0</v>
      </c>
      <c r="H454" s="1916">
        <v>0</v>
      </c>
      <c r="I454" s="1916">
        <v>0</v>
      </c>
      <c r="J454" s="3485"/>
      <c r="K454" s="3485"/>
    </row>
    <row r="455" spans="1:12" ht="15" customHeight="1" outlineLevel="1">
      <c r="A455" s="3483" t="s">
        <v>594</v>
      </c>
      <c r="B455" s="3484" t="s">
        <v>2949</v>
      </c>
      <c r="C455" s="3485">
        <v>2022</v>
      </c>
      <c r="D455" s="1915" t="s">
        <v>8</v>
      </c>
      <c r="E455" s="1916">
        <f t="shared" si="42"/>
        <v>0</v>
      </c>
      <c r="F455" s="1916">
        <f t="shared" ref="F455:H467" si="43">SUM(F456:F460)</f>
        <v>0</v>
      </c>
      <c r="G455" s="1916">
        <f t="shared" si="43"/>
        <v>0</v>
      </c>
      <c r="H455" s="1916">
        <f t="shared" si="43"/>
        <v>0</v>
      </c>
      <c r="I455" s="1916">
        <f t="shared" si="41"/>
        <v>0</v>
      </c>
      <c r="J455" s="3485" t="s">
        <v>3076</v>
      </c>
      <c r="K455" s="3485" t="s">
        <v>2993</v>
      </c>
    </row>
    <row r="456" spans="1:12" ht="15" customHeight="1" outlineLevel="1">
      <c r="A456" s="3483"/>
      <c r="B456" s="3484"/>
      <c r="C456" s="3485"/>
      <c r="D456" s="1915">
        <v>2021</v>
      </c>
      <c r="E456" s="1916">
        <f t="shared" si="42"/>
        <v>0</v>
      </c>
      <c r="F456" s="1916">
        <v>0</v>
      </c>
      <c r="G456" s="1916">
        <v>0</v>
      </c>
      <c r="H456" s="1916">
        <v>0</v>
      </c>
      <c r="I456" s="1916">
        <v>0</v>
      </c>
      <c r="J456" s="3485"/>
      <c r="K456" s="3485"/>
    </row>
    <row r="457" spans="1:12" ht="15" customHeight="1" outlineLevel="1">
      <c r="A457" s="3483"/>
      <c r="B457" s="3484"/>
      <c r="C457" s="3485"/>
      <c r="D457" s="1915">
        <v>2022</v>
      </c>
      <c r="E457" s="1916">
        <f t="shared" si="42"/>
        <v>0</v>
      </c>
      <c r="F457" s="1916">
        <v>0</v>
      </c>
      <c r="G457" s="1916">
        <v>0</v>
      </c>
      <c r="H457" s="1916">
        <v>0</v>
      </c>
      <c r="I457" s="1916">
        <v>0</v>
      </c>
      <c r="J457" s="3485"/>
      <c r="K457" s="3485"/>
    </row>
    <row r="458" spans="1:12" ht="15" customHeight="1" outlineLevel="1">
      <c r="A458" s="3483"/>
      <c r="B458" s="3484"/>
      <c r="C458" s="3485"/>
      <c r="D458" s="1915">
        <v>2023</v>
      </c>
      <c r="E458" s="1916">
        <f t="shared" si="42"/>
        <v>0</v>
      </c>
      <c r="F458" s="1916">
        <v>0</v>
      </c>
      <c r="G458" s="1916">
        <v>0</v>
      </c>
      <c r="H458" s="1916">
        <v>0</v>
      </c>
      <c r="I458" s="1916">
        <v>0</v>
      </c>
      <c r="J458" s="3485"/>
      <c r="K458" s="3485"/>
    </row>
    <row r="459" spans="1:12" ht="15" customHeight="1" outlineLevel="1">
      <c r="A459" s="3483"/>
      <c r="B459" s="3484"/>
      <c r="C459" s="3485"/>
      <c r="D459" s="1915">
        <v>2024</v>
      </c>
      <c r="E459" s="1916">
        <f t="shared" si="42"/>
        <v>0</v>
      </c>
      <c r="F459" s="1916">
        <v>0</v>
      </c>
      <c r="G459" s="1916">
        <v>0</v>
      </c>
      <c r="H459" s="1916">
        <v>0</v>
      </c>
      <c r="I459" s="1916">
        <v>0</v>
      </c>
      <c r="J459" s="3485"/>
      <c r="K459" s="3485"/>
    </row>
    <row r="460" spans="1:12" ht="15" customHeight="1" outlineLevel="1">
      <c r="A460" s="3483"/>
      <c r="B460" s="3484"/>
      <c r="C460" s="3485"/>
      <c r="D460" s="1915">
        <v>2025</v>
      </c>
      <c r="E460" s="1916">
        <f t="shared" si="42"/>
        <v>0</v>
      </c>
      <c r="F460" s="1916">
        <v>0</v>
      </c>
      <c r="G460" s="1916">
        <v>0</v>
      </c>
      <c r="H460" s="1916">
        <v>0</v>
      </c>
      <c r="I460" s="1916">
        <v>0</v>
      </c>
      <c r="J460" s="3485"/>
      <c r="K460" s="3485"/>
    </row>
    <row r="461" spans="1:12" ht="15" customHeight="1" outlineLevel="1">
      <c r="A461" s="3483" t="s">
        <v>596</v>
      </c>
      <c r="B461" s="3484" t="s">
        <v>3075</v>
      </c>
      <c r="C461" s="3485">
        <v>2022</v>
      </c>
      <c r="D461" s="1915" t="s">
        <v>8</v>
      </c>
      <c r="E461" s="1916">
        <f t="shared" si="42"/>
        <v>6133.3262999999997</v>
      </c>
      <c r="F461" s="1916">
        <f t="shared" si="43"/>
        <v>5826.66</v>
      </c>
      <c r="G461" s="1916">
        <v>0</v>
      </c>
      <c r="H461" s="1916">
        <f t="shared" si="43"/>
        <v>306.66629999999998</v>
      </c>
      <c r="I461" s="1916">
        <f t="shared" si="41"/>
        <v>0</v>
      </c>
      <c r="J461" s="3485" t="s">
        <v>3074</v>
      </c>
      <c r="K461" s="3485" t="s">
        <v>2993</v>
      </c>
      <c r="L461" s="3487"/>
    </row>
    <row r="462" spans="1:12" outlineLevel="1">
      <c r="A462" s="3483"/>
      <c r="B462" s="3484"/>
      <c r="C462" s="3485"/>
      <c r="D462" s="1915">
        <v>2021</v>
      </c>
      <c r="E462" s="1916">
        <f t="shared" si="42"/>
        <v>0</v>
      </c>
      <c r="F462" s="1916">
        <v>0</v>
      </c>
      <c r="G462" s="1916">
        <v>0</v>
      </c>
      <c r="H462" s="1916">
        <v>0</v>
      </c>
      <c r="I462" s="1916">
        <v>0</v>
      </c>
      <c r="J462" s="3485"/>
      <c r="K462" s="3485"/>
      <c r="L462" s="3487"/>
    </row>
    <row r="463" spans="1:12" outlineLevel="1">
      <c r="A463" s="3483"/>
      <c r="B463" s="3484"/>
      <c r="C463" s="3485"/>
      <c r="D463" s="1915">
        <v>2022</v>
      </c>
      <c r="E463" s="1916">
        <f t="shared" si="42"/>
        <v>6133.3262999999997</v>
      </c>
      <c r="F463" s="1916">
        <v>5826.66</v>
      </c>
      <c r="G463" s="1916">
        <v>0</v>
      </c>
      <c r="H463" s="1916">
        <v>306.66629999999998</v>
      </c>
      <c r="I463" s="1916">
        <v>0</v>
      </c>
      <c r="J463" s="3485"/>
      <c r="K463" s="3485"/>
      <c r="L463" s="3487"/>
    </row>
    <row r="464" spans="1:12" outlineLevel="1">
      <c r="A464" s="3483"/>
      <c r="B464" s="3484"/>
      <c r="C464" s="3485"/>
      <c r="D464" s="1915">
        <v>2023</v>
      </c>
      <c r="E464" s="1916">
        <f t="shared" si="42"/>
        <v>0</v>
      </c>
      <c r="F464" s="1916">
        <v>0</v>
      </c>
      <c r="G464" s="1916">
        <v>0</v>
      </c>
      <c r="H464" s="1916">
        <v>0</v>
      </c>
      <c r="I464" s="1916">
        <v>0</v>
      </c>
      <c r="J464" s="3485"/>
      <c r="K464" s="3485"/>
    </row>
    <row r="465" spans="1:11" outlineLevel="1">
      <c r="A465" s="3483"/>
      <c r="B465" s="3484"/>
      <c r="C465" s="3485"/>
      <c r="D465" s="1915">
        <v>2024</v>
      </c>
      <c r="E465" s="1916">
        <f t="shared" si="42"/>
        <v>0</v>
      </c>
      <c r="F465" s="1916">
        <v>0</v>
      </c>
      <c r="G465" s="1916">
        <v>0</v>
      </c>
      <c r="H465" s="1916">
        <v>0</v>
      </c>
      <c r="I465" s="1916">
        <v>0</v>
      </c>
      <c r="J465" s="3485"/>
      <c r="K465" s="3485"/>
    </row>
    <row r="466" spans="1:11" outlineLevel="1">
      <c r="A466" s="3483"/>
      <c r="B466" s="3484"/>
      <c r="C466" s="3485"/>
      <c r="D466" s="1915">
        <v>2025</v>
      </c>
      <c r="E466" s="1916">
        <f t="shared" si="42"/>
        <v>0</v>
      </c>
      <c r="F466" s="1916">
        <v>0</v>
      </c>
      <c r="G466" s="1916">
        <v>0</v>
      </c>
      <c r="H466" s="1916">
        <v>0</v>
      </c>
      <c r="I466" s="1916">
        <v>0</v>
      </c>
      <c r="J466" s="3485"/>
      <c r="K466" s="3485"/>
    </row>
    <row r="467" spans="1:11" outlineLevel="1">
      <c r="A467" s="3483" t="s">
        <v>598</v>
      </c>
      <c r="B467" s="3484" t="s">
        <v>3073</v>
      </c>
      <c r="C467" s="3485">
        <v>2023</v>
      </c>
      <c r="D467" s="1915" t="s">
        <v>8</v>
      </c>
      <c r="E467" s="1916">
        <f t="shared" si="42"/>
        <v>0</v>
      </c>
      <c r="F467" s="1916">
        <f t="shared" si="43"/>
        <v>0</v>
      </c>
      <c r="G467" s="1916">
        <f t="shared" si="43"/>
        <v>0</v>
      </c>
      <c r="H467" s="1916">
        <f t="shared" si="43"/>
        <v>0</v>
      </c>
      <c r="I467" s="1916">
        <f t="shared" si="41"/>
        <v>0</v>
      </c>
      <c r="J467" s="3485" t="s">
        <v>3072</v>
      </c>
      <c r="K467" s="3485" t="s">
        <v>2799</v>
      </c>
    </row>
    <row r="468" spans="1:11" outlineLevel="1">
      <c r="A468" s="3483"/>
      <c r="B468" s="3484"/>
      <c r="C468" s="3485"/>
      <c r="D468" s="1915">
        <v>2021</v>
      </c>
      <c r="E468" s="1916">
        <f t="shared" si="42"/>
        <v>0</v>
      </c>
      <c r="F468" s="1916">
        <v>0</v>
      </c>
      <c r="G468" s="1916">
        <v>0</v>
      </c>
      <c r="H468" s="1916">
        <v>0</v>
      </c>
      <c r="I468" s="1916">
        <v>0</v>
      </c>
      <c r="J468" s="3485"/>
      <c r="K468" s="3485"/>
    </row>
    <row r="469" spans="1:11" outlineLevel="1">
      <c r="A469" s="3483"/>
      <c r="B469" s="3484"/>
      <c r="C469" s="3485"/>
      <c r="D469" s="1915">
        <v>2022</v>
      </c>
      <c r="E469" s="1916">
        <f t="shared" si="42"/>
        <v>0</v>
      </c>
      <c r="F469" s="1916">
        <v>0</v>
      </c>
      <c r="G469" s="1916">
        <v>0</v>
      </c>
      <c r="H469" s="1916">
        <v>0</v>
      </c>
      <c r="I469" s="1916">
        <v>0</v>
      </c>
      <c r="J469" s="3485"/>
      <c r="K469" s="3485"/>
    </row>
    <row r="470" spans="1:11" outlineLevel="1">
      <c r="A470" s="3483"/>
      <c r="B470" s="3484"/>
      <c r="C470" s="3485"/>
      <c r="D470" s="1915">
        <v>2023</v>
      </c>
      <c r="E470" s="1916">
        <f t="shared" si="42"/>
        <v>0</v>
      </c>
      <c r="F470" s="1916">
        <v>0</v>
      </c>
      <c r="G470" s="1916">
        <v>0</v>
      </c>
      <c r="H470" s="1916">
        <v>0</v>
      </c>
      <c r="I470" s="1916">
        <v>0</v>
      </c>
      <c r="J470" s="3485"/>
      <c r="K470" s="3485"/>
    </row>
    <row r="471" spans="1:11" outlineLevel="1">
      <c r="A471" s="3483"/>
      <c r="B471" s="3484"/>
      <c r="C471" s="3485"/>
      <c r="D471" s="1915">
        <v>2024</v>
      </c>
      <c r="E471" s="1916">
        <f t="shared" si="42"/>
        <v>0</v>
      </c>
      <c r="F471" s="1916">
        <v>0</v>
      </c>
      <c r="G471" s="1916">
        <v>0</v>
      </c>
      <c r="H471" s="1916">
        <v>0</v>
      </c>
      <c r="I471" s="1916">
        <v>0</v>
      </c>
      <c r="J471" s="3485"/>
      <c r="K471" s="3485"/>
    </row>
    <row r="472" spans="1:11" outlineLevel="1">
      <c r="A472" s="3483"/>
      <c r="B472" s="3484"/>
      <c r="C472" s="3485"/>
      <c r="D472" s="1915">
        <v>2025</v>
      </c>
      <c r="E472" s="1916">
        <f t="shared" si="42"/>
        <v>0</v>
      </c>
      <c r="F472" s="1916">
        <v>0</v>
      </c>
      <c r="G472" s="1916">
        <v>0</v>
      </c>
      <c r="H472" s="1916">
        <v>0</v>
      </c>
      <c r="I472" s="1916">
        <v>0</v>
      </c>
      <c r="J472" s="3485"/>
      <c r="K472" s="3485"/>
    </row>
    <row r="473" spans="1:11" ht="17.100000000000001" customHeight="1" outlineLevel="1">
      <c r="A473" s="3483" t="s">
        <v>3071</v>
      </c>
      <c r="B473" s="3484" t="s">
        <v>2720</v>
      </c>
      <c r="C473" s="3485" t="s">
        <v>2989</v>
      </c>
      <c r="D473" s="1915" t="s">
        <v>8</v>
      </c>
      <c r="E473" s="1916">
        <f t="shared" si="42"/>
        <v>712855.56776182621</v>
      </c>
      <c r="F473" s="1916">
        <f t="shared" ref="F473" si="44">SUM(F474:F478)</f>
        <v>677870.77304999996</v>
      </c>
      <c r="G473" s="1916">
        <f>SUM(G474:G478)</f>
        <v>0</v>
      </c>
      <c r="H473" s="1916">
        <f>SUM(H474:H478)</f>
        <v>34984.794711826275</v>
      </c>
      <c r="I473" s="1916">
        <f t="shared" ref="I473:I475" si="45">SUM(I480:I484)</f>
        <v>0</v>
      </c>
      <c r="J473" s="3485" t="s">
        <v>2826</v>
      </c>
      <c r="K473" s="3485" t="s">
        <v>3070</v>
      </c>
    </row>
    <row r="474" spans="1:11" ht="17.100000000000001" customHeight="1" outlineLevel="1">
      <c r="A474" s="3483"/>
      <c r="B474" s="3484"/>
      <c r="C474" s="3485"/>
      <c r="D474" s="1915">
        <v>2021</v>
      </c>
      <c r="E474" s="1916">
        <f t="shared" si="42"/>
        <v>195224.35576589749</v>
      </c>
      <c r="F474" s="1916">
        <f>SUM(F480+F486+F492+F498+F504+F510+F516+F522+F528+F534+F540+F546+F552+F558+F564+F570+F576+F582+F588+F594+F600+F606+F612+F618+F624+F630+F636+F642+F648)</f>
        <v>179524.59972</v>
      </c>
      <c r="G474" s="1916">
        <f t="shared" ref="G474:I478" si="46">SUM(G480+G486+G492+G498+G504+G510+G516+G522+G528+G534+G540+G546+G552+G558+G564+G570+G576+G582+G588+G594+G600+G606+G612+G618+G624+G630+G636+G642+G648)</f>
        <v>0</v>
      </c>
      <c r="H474" s="1916">
        <f>SUM(H480+H486+H492+H498+H504+H510+H516+H522+H528+H534+H540+H546+H552+H558+H564+H570+H576+H582+H588+H594+H600+H606+H612+H618+H624+H630+H636+H642+H648)</f>
        <v>15699.756045897479</v>
      </c>
      <c r="I474" s="1916">
        <f t="shared" si="45"/>
        <v>0</v>
      </c>
      <c r="J474" s="3485"/>
      <c r="K474" s="3485"/>
    </row>
    <row r="475" spans="1:11" ht="17.100000000000001" customHeight="1" outlineLevel="1">
      <c r="A475" s="3483"/>
      <c r="B475" s="3484"/>
      <c r="C475" s="3485"/>
      <c r="D475" s="1915">
        <v>2022</v>
      </c>
      <c r="E475" s="1916">
        <f t="shared" si="42"/>
        <v>369218.75899592874</v>
      </c>
      <c r="F475" s="1916">
        <f>SUM(F481+F487+F493+F499+F505+F511+F517+F523+F529+F535+F541+F547+F553+F559+F565+F571+F577+F583+F589+F595+F601+F607+F613+F619+F625+F631+F637+F643+F649+F655+F661+F667+F673)</f>
        <v>355399.40232999995</v>
      </c>
      <c r="G475" s="1916">
        <f t="shared" si="46"/>
        <v>0</v>
      </c>
      <c r="H475" s="1916">
        <f>SUM(H481+H487+H493+H499+H505+H511+H517+H523+H529+H535+H541+H547+H553+H559+H565+H571+H577+H583+H589+H595+H601+H607+H613+H619+H625+H631+H637+H643+H649+H655+H661+H667+H673)</f>
        <v>13819.356665928797</v>
      </c>
      <c r="I475" s="1916">
        <f t="shared" si="45"/>
        <v>0</v>
      </c>
      <c r="J475" s="3485"/>
      <c r="K475" s="3485"/>
    </row>
    <row r="476" spans="1:11" ht="17.100000000000001" customHeight="1" outlineLevel="1">
      <c r="A476" s="3483"/>
      <c r="B476" s="3484"/>
      <c r="C476" s="3485"/>
      <c r="D476" s="1915">
        <v>2023</v>
      </c>
      <c r="E476" s="1916">
        <f t="shared" si="42"/>
        <v>127612.45300000001</v>
      </c>
      <c r="F476" s="1916">
        <f t="shared" ref="F476:F478" si="47">SUM(F482+F488+F494+F500+F506+F512+F518+F524+F530+F536+F542+F548+F554+F560+F566+F572+F578+F584+F590+F596+F602+F608+F614+F620+F626+F632+F638+F644+F650)</f>
        <v>122146.77100000001</v>
      </c>
      <c r="G476" s="1916">
        <f t="shared" si="46"/>
        <v>0</v>
      </c>
      <c r="H476" s="1916">
        <f t="shared" si="46"/>
        <v>5465.6819999999998</v>
      </c>
      <c r="I476" s="1916">
        <f t="shared" si="46"/>
        <v>0</v>
      </c>
      <c r="J476" s="3485"/>
      <c r="K476" s="3485"/>
    </row>
    <row r="477" spans="1:11" outlineLevel="1">
      <c r="A477" s="3483"/>
      <c r="B477" s="3484"/>
      <c r="C477" s="3485"/>
      <c r="D477" s="1915">
        <v>2024</v>
      </c>
      <c r="E477" s="1916">
        <f t="shared" si="42"/>
        <v>10400</v>
      </c>
      <c r="F477" s="1916">
        <f t="shared" si="47"/>
        <v>10400</v>
      </c>
      <c r="G477" s="1916">
        <f t="shared" si="46"/>
        <v>0</v>
      </c>
      <c r="H477" s="1916">
        <f t="shared" si="46"/>
        <v>0</v>
      </c>
      <c r="I477" s="1916">
        <f t="shared" si="46"/>
        <v>0</v>
      </c>
      <c r="J477" s="3485"/>
      <c r="K477" s="3485"/>
    </row>
    <row r="478" spans="1:11" outlineLevel="1">
      <c r="A478" s="3483"/>
      <c r="B478" s="3484"/>
      <c r="C478" s="3485"/>
      <c r="D478" s="1915">
        <v>2025</v>
      </c>
      <c r="E478" s="1916">
        <f t="shared" si="42"/>
        <v>10400</v>
      </c>
      <c r="F478" s="1916">
        <f t="shared" si="47"/>
        <v>10400</v>
      </c>
      <c r="G478" s="1916">
        <f t="shared" si="46"/>
        <v>0</v>
      </c>
      <c r="H478" s="1916">
        <f t="shared" si="46"/>
        <v>0</v>
      </c>
      <c r="I478" s="1916">
        <f t="shared" si="46"/>
        <v>0</v>
      </c>
      <c r="J478" s="3485"/>
      <c r="K478" s="3485"/>
    </row>
    <row r="479" spans="1:11" ht="17.100000000000001" customHeight="1" outlineLevel="1">
      <c r="A479" s="3483" t="s">
        <v>602</v>
      </c>
      <c r="B479" s="3484" t="s">
        <v>2827</v>
      </c>
      <c r="C479" s="3485" t="s">
        <v>3069</v>
      </c>
      <c r="D479" s="1915" t="s">
        <v>8</v>
      </c>
      <c r="E479" s="1916">
        <f t="shared" si="42"/>
        <v>54408.455999999998</v>
      </c>
      <c r="F479" s="1916">
        <f>SUM(F480:F484)</f>
        <v>50810.661</v>
      </c>
      <c r="G479" s="1916">
        <f>SUM(G480:G484)</f>
        <v>0</v>
      </c>
      <c r="H479" s="1916">
        <f>SUM(H480:H484)</f>
        <v>3597.7950000000001</v>
      </c>
      <c r="I479" s="1916">
        <f>SUM(I480:I484)</f>
        <v>0</v>
      </c>
      <c r="J479" s="3488" t="s">
        <v>5447</v>
      </c>
      <c r="K479" s="3485" t="s">
        <v>3027</v>
      </c>
    </row>
    <row r="480" spans="1:11" ht="17.100000000000001" customHeight="1" outlineLevel="1">
      <c r="A480" s="3483"/>
      <c r="B480" s="3484"/>
      <c r="C480" s="3485"/>
      <c r="D480" s="1915">
        <v>2021</v>
      </c>
      <c r="E480" s="1916">
        <f t="shared" si="42"/>
        <v>27027.03</v>
      </c>
      <c r="F480" s="1916">
        <v>25000</v>
      </c>
      <c r="G480" s="1916">
        <v>0</v>
      </c>
      <c r="H480" s="1916">
        <v>2027.03</v>
      </c>
      <c r="I480" s="1916">
        <v>0</v>
      </c>
      <c r="J480" s="3489"/>
      <c r="K480" s="3485"/>
    </row>
    <row r="481" spans="1:11" ht="17.100000000000001" customHeight="1" outlineLevel="1">
      <c r="A481" s="3483"/>
      <c r="B481" s="3484"/>
      <c r="C481" s="3485"/>
      <c r="D481" s="1915">
        <v>2022</v>
      </c>
      <c r="E481" s="1916">
        <f t="shared" si="42"/>
        <v>8067.7860000000001</v>
      </c>
      <c r="F481" s="1916">
        <v>7462.7030000000004</v>
      </c>
      <c r="G481" s="1916">
        <v>0</v>
      </c>
      <c r="H481" s="1916">
        <v>605.08299999999997</v>
      </c>
      <c r="I481" s="1916">
        <v>0</v>
      </c>
      <c r="J481" s="3489"/>
      <c r="K481" s="3485"/>
    </row>
    <row r="482" spans="1:11" ht="17.100000000000001" customHeight="1" outlineLevel="1">
      <c r="A482" s="3483"/>
      <c r="B482" s="3484"/>
      <c r="C482" s="3485"/>
      <c r="D482" s="1915">
        <v>2023</v>
      </c>
      <c r="E482" s="1916">
        <f t="shared" si="42"/>
        <v>19313.64</v>
      </c>
      <c r="F482" s="1916">
        <f>24463.944-6115.986</f>
        <v>18347.957999999999</v>
      </c>
      <c r="G482" s="1916">
        <v>0</v>
      </c>
      <c r="H482" s="1916">
        <v>965.68200000000002</v>
      </c>
      <c r="I482" s="1916">
        <v>0</v>
      </c>
      <c r="J482" s="3489"/>
      <c r="K482" s="3485"/>
    </row>
    <row r="483" spans="1:11" outlineLevel="1">
      <c r="A483" s="3483"/>
      <c r="B483" s="3484"/>
      <c r="C483" s="3485"/>
      <c r="D483" s="1915">
        <v>2024</v>
      </c>
      <c r="E483" s="1916">
        <f t="shared" si="42"/>
        <v>0</v>
      </c>
      <c r="F483" s="1916">
        <v>0</v>
      </c>
      <c r="G483" s="1916">
        <v>0</v>
      </c>
      <c r="H483" s="1916">
        <v>0</v>
      </c>
      <c r="I483" s="1916">
        <f>НОВЫЙ!Q90</f>
        <v>0</v>
      </c>
      <c r="J483" s="3489"/>
      <c r="K483" s="3485"/>
    </row>
    <row r="484" spans="1:11" outlineLevel="1">
      <c r="A484" s="3483"/>
      <c r="B484" s="3484"/>
      <c r="C484" s="3485"/>
      <c r="D484" s="1915">
        <v>2025</v>
      </c>
      <c r="E484" s="1916">
        <f t="shared" si="42"/>
        <v>0</v>
      </c>
      <c r="F484" s="1916">
        <v>0</v>
      </c>
      <c r="G484" s="1916">
        <v>0</v>
      </c>
      <c r="H484" s="1916">
        <v>0</v>
      </c>
      <c r="I484" s="1916">
        <v>0</v>
      </c>
      <c r="J484" s="3490"/>
      <c r="K484" s="3485"/>
    </row>
    <row r="485" spans="1:11" ht="17.100000000000001" customHeight="1" outlineLevel="1">
      <c r="A485" s="3483" t="s">
        <v>2967</v>
      </c>
      <c r="B485" s="3484" t="s">
        <v>106</v>
      </c>
      <c r="C485" s="3485" t="s">
        <v>2989</v>
      </c>
      <c r="D485" s="1915" t="s">
        <v>8</v>
      </c>
      <c r="E485" s="1916">
        <f t="shared" si="42"/>
        <v>72406.856999999989</v>
      </c>
      <c r="F485" s="1916">
        <f>SUM(F486:F490)</f>
        <v>72406.856999999989</v>
      </c>
      <c r="G485" s="1916">
        <f>SUM(G486:G490)</f>
        <v>0</v>
      </c>
      <c r="H485" s="1916">
        <f>SUM(H486:H490)</f>
        <v>0</v>
      </c>
      <c r="I485" s="1916">
        <f>SUM(I486:I490)</f>
        <v>0</v>
      </c>
      <c r="J485" s="3485" t="s">
        <v>3067</v>
      </c>
      <c r="K485" s="3485" t="s">
        <v>3052</v>
      </c>
    </row>
    <row r="486" spans="1:11" ht="17.100000000000001" customHeight="1" outlineLevel="1">
      <c r="A486" s="3483"/>
      <c r="B486" s="3484"/>
      <c r="C486" s="3485"/>
      <c r="D486" s="1915">
        <v>2021</v>
      </c>
      <c r="E486" s="1916">
        <f t="shared" si="42"/>
        <v>6000</v>
      </c>
      <c r="F486" s="1916">
        <v>6000</v>
      </c>
      <c r="G486" s="1916">
        <v>0</v>
      </c>
      <c r="H486" s="1916">
        <v>0</v>
      </c>
      <c r="I486" s="1916">
        <v>0</v>
      </c>
      <c r="J486" s="3485"/>
      <c r="K486" s="3485"/>
    </row>
    <row r="487" spans="1:11" ht="17.100000000000001" customHeight="1" outlineLevel="1">
      <c r="A487" s="3483"/>
      <c r="B487" s="3484"/>
      <c r="C487" s="3485"/>
      <c r="D487" s="1915">
        <v>2022</v>
      </c>
      <c r="E487" s="1916">
        <f t="shared" si="42"/>
        <v>42479.56</v>
      </c>
      <c r="F487" s="1916">
        <v>42479.56</v>
      </c>
      <c r="G487" s="1916">
        <v>0</v>
      </c>
      <c r="H487" s="1916">
        <v>0</v>
      </c>
      <c r="I487" s="1916">
        <v>0</v>
      </c>
      <c r="J487" s="3485"/>
      <c r="K487" s="3485"/>
    </row>
    <row r="488" spans="1:11" ht="17.100000000000001" customHeight="1" outlineLevel="1">
      <c r="A488" s="3483"/>
      <c r="B488" s="3484"/>
      <c r="C488" s="3485"/>
      <c r="D488" s="1915">
        <v>2023</v>
      </c>
      <c r="E488" s="1916">
        <f t="shared" si="42"/>
        <v>11927.296999999999</v>
      </c>
      <c r="F488" s="1918">
        <f>6000+5927.297</f>
        <v>11927.296999999999</v>
      </c>
      <c r="G488" s="1916">
        <v>0</v>
      </c>
      <c r="H488" s="1916">
        <v>0</v>
      </c>
      <c r="I488" s="1916">
        <v>0</v>
      </c>
      <c r="J488" s="3485"/>
      <c r="K488" s="3485"/>
    </row>
    <row r="489" spans="1:11" outlineLevel="1">
      <c r="A489" s="3483"/>
      <c r="B489" s="3484"/>
      <c r="C489" s="3485"/>
      <c r="D489" s="1915">
        <v>2024</v>
      </c>
      <c r="E489" s="1916">
        <f t="shared" si="42"/>
        <v>6000</v>
      </c>
      <c r="F489" s="1921">
        <f>6000</f>
        <v>6000</v>
      </c>
      <c r="G489" s="1916">
        <v>0</v>
      </c>
      <c r="H489" s="1916">
        <v>0</v>
      </c>
      <c r="I489" s="1916">
        <v>0</v>
      </c>
      <c r="J489" s="3485"/>
      <c r="K489" s="3485"/>
    </row>
    <row r="490" spans="1:11" outlineLevel="1">
      <c r="A490" s="3483"/>
      <c r="B490" s="3484"/>
      <c r="C490" s="3485"/>
      <c r="D490" s="1915">
        <v>2025</v>
      </c>
      <c r="E490" s="1916">
        <f t="shared" si="42"/>
        <v>6000</v>
      </c>
      <c r="F490" s="1916">
        <v>6000</v>
      </c>
      <c r="G490" s="1916">
        <v>0</v>
      </c>
      <c r="H490" s="1916">
        <v>0</v>
      </c>
      <c r="I490" s="1916">
        <v>0</v>
      </c>
      <c r="J490" s="3485"/>
      <c r="K490" s="3485"/>
    </row>
    <row r="491" spans="1:11" ht="17.100000000000001" customHeight="1" outlineLevel="1">
      <c r="A491" s="3483" t="s">
        <v>2968</v>
      </c>
      <c r="B491" s="3484" t="s">
        <v>2749</v>
      </c>
      <c r="C491" s="3485" t="s">
        <v>2999</v>
      </c>
      <c r="D491" s="1915" t="s">
        <v>8</v>
      </c>
      <c r="E491" s="1916">
        <f t="shared" si="42"/>
        <v>31683.69587</v>
      </c>
      <c r="F491" s="1916">
        <f>SUM(F492:F496)</f>
        <v>31683.69587</v>
      </c>
      <c r="G491" s="1916">
        <f>SUM(G492:G496)</f>
        <v>0</v>
      </c>
      <c r="H491" s="1916">
        <f>SUM(H492:H496)</f>
        <v>0</v>
      </c>
      <c r="I491" s="1916">
        <f>SUM(I492:I496)</f>
        <v>0</v>
      </c>
      <c r="J491" s="3485" t="s">
        <v>2829</v>
      </c>
      <c r="K491" s="3485" t="s">
        <v>3066</v>
      </c>
    </row>
    <row r="492" spans="1:11" ht="17.100000000000001" customHeight="1" outlineLevel="1">
      <c r="A492" s="3483"/>
      <c r="B492" s="3484"/>
      <c r="C492" s="3485"/>
      <c r="D492" s="1915">
        <v>2021</v>
      </c>
      <c r="E492" s="1916">
        <f t="shared" si="42"/>
        <v>3963.1770000000001</v>
      </c>
      <c r="F492" s="1916">
        <f>3963177/1000</f>
        <v>3963.1770000000001</v>
      </c>
      <c r="G492" s="1916">
        <v>0</v>
      </c>
      <c r="H492" s="1916">
        <v>0</v>
      </c>
      <c r="I492" s="1916">
        <v>0</v>
      </c>
      <c r="J492" s="3485"/>
      <c r="K492" s="3485"/>
    </row>
    <row r="493" spans="1:11" ht="17.100000000000001" customHeight="1" outlineLevel="1">
      <c r="A493" s="3483"/>
      <c r="B493" s="3484"/>
      <c r="C493" s="3485"/>
      <c r="D493" s="1915">
        <v>2022</v>
      </c>
      <c r="E493" s="1916">
        <f t="shared" si="42"/>
        <v>25913.068869999999</v>
      </c>
      <c r="F493" s="1916">
        <f>32144.3+6312.158-13089.787+546.39787</f>
        <v>25913.068869999999</v>
      </c>
      <c r="G493" s="1916">
        <v>0</v>
      </c>
      <c r="H493" s="1916">
        <v>0</v>
      </c>
      <c r="I493" s="1916">
        <v>0</v>
      </c>
      <c r="J493" s="3485"/>
      <c r="K493" s="3485"/>
    </row>
    <row r="494" spans="1:11" ht="17.100000000000001" customHeight="1" outlineLevel="1">
      <c r="A494" s="3483"/>
      <c r="B494" s="3484"/>
      <c r="C494" s="3485"/>
      <c r="D494" s="1915">
        <v>2023</v>
      </c>
      <c r="E494" s="1916">
        <f t="shared" ref="E494:E557" si="48">SUM(F494:I494)</f>
        <v>1807.45</v>
      </c>
      <c r="F494" s="1918">
        <v>1807.45</v>
      </c>
      <c r="G494" s="1916">
        <v>0</v>
      </c>
      <c r="H494" s="1916">
        <v>0</v>
      </c>
      <c r="I494" s="1916">
        <v>0</v>
      </c>
      <c r="J494" s="3485"/>
      <c r="K494" s="3485"/>
    </row>
    <row r="495" spans="1:11" outlineLevel="1">
      <c r="A495" s="3483"/>
      <c r="B495" s="3484"/>
      <c r="C495" s="3485"/>
      <c r="D495" s="1915">
        <v>2024</v>
      </c>
      <c r="E495" s="1916">
        <f t="shared" si="48"/>
        <v>0</v>
      </c>
      <c r="F495" s="1916">
        <v>0</v>
      </c>
      <c r="G495" s="1916">
        <v>0</v>
      </c>
      <c r="H495" s="1916">
        <v>0</v>
      </c>
      <c r="I495" s="1916">
        <v>0</v>
      </c>
      <c r="J495" s="3485"/>
      <c r="K495" s="3485"/>
    </row>
    <row r="496" spans="1:11" outlineLevel="1">
      <c r="A496" s="3483"/>
      <c r="B496" s="3484"/>
      <c r="C496" s="3485"/>
      <c r="D496" s="1915">
        <v>2025</v>
      </c>
      <c r="E496" s="1916">
        <f t="shared" si="48"/>
        <v>0</v>
      </c>
      <c r="F496" s="1916">
        <v>0</v>
      </c>
      <c r="G496" s="1916">
        <v>0</v>
      </c>
      <c r="H496" s="1916">
        <v>0</v>
      </c>
      <c r="I496" s="1916">
        <v>0</v>
      </c>
      <c r="J496" s="3485"/>
      <c r="K496" s="3485"/>
    </row>
    <row r="497" spans="1:11" ht="17.100000000000001" customHeight="1" outlineLevel="1">
      <c r="A497" s="3483" t="s">
        <v>2969</v>
      </c>
      <c r="B497" s="3484" t="s">
        <v>3065</v>
      </c>
      <c r="C497" s="3485">
        <v>2021</v>
      </c>
      <c r="D497" s="1915" t="s">
        <v>8</v>
      </c>
      <c r="E497" s="1916">
        <f t="shared" si="48"/>
        <v>22778.260870000002</v>
      </c>
      <c r="F497" s="1916">
        <f>SUM(F498:F502)</f>
        <v>18860.400000000001</v>
      </c>
      <c r="G497" s="1916">
        <f>SUM(G498:G502)</f>
        <v>0</v>
      </c>
      <c r="H497" s="1916">
        <f>SUM(H498:H502)</f>
        <v>3917.86087</v>
      </c>
      <c r="I497" s="1916">
        <f>SUM(I498:I502)</f>
        <v>0</v>
      </c>
      <c r="J497" s="3485" t="s">
        <v>2830</v>
      </c>
      <c r="K497" s="3485" t="s">
        <v>3027</v>
      </c>
    </row>
    <row r="498" spans="1:11" ht="17.100000000000001" customHeight="1" outlineLevel="1">
      <c r="A498" s="3483"/>
      <c r="B498" s="3484"/>
      <c r="C498" s="3485"/>
      <c r="D498" s="1915">
        <v>2021</v>
      </c>
      <c r="E498" s="1916">
        <f t="shared" si="48"/>
        <v>22778.260870000002</v>
      </c>
      <c r="F498" s="1916">
        <v>18860.400000000001</v>
      </c>
      <c r="G498" s="1916">
        <v>0</v>
      </c>
      <c r="H498" s="1916">
        <v>3917.86087</v>
      </c>
      <c r="I498" s="1916">
        <v>0</v>
      </c>
      <c r="J498" s="3485"/>
      <c r="K498" s="3485"/>
    </row>
    <row r="499" spans="1:11" ht="17.100000000000001" customHeight="1" outlineLevel="1">
      <c r="A499" s="3483"/>
      <c r="B499" s="3484"/>
      <c r="C499" s="3485"/>
      <c r="D499" s="1915">
        <v>2022</v>
      </c>
      <c r="E499" s="1916">
        <v>0</v>
      </c>
      <c r="F499" s="1916">
        <v>0</v>
      </c>
      <c r="G499" s="1916">
        <v>0</v>
      </c>
      <c r="H499" s="1916">
        <v>0</v>
      </c>
      <c r="I499" s="1916">
        <v>0</v>
      </c>
      <c r="J499" s="3485"/>
      <c r="K499" s="3485"/>
    </row>
    <row r="500" spans="1:11" ht="17.100000000000001" customHeight="1" outlineLevel="1">
      <c r="A500" s="3483"/>
      <c r="B500" s="3484"/>
      <c r="C500" s="3485"/>
      <c r="D500" s="1915">
        <v>2023</v>
      </c>
      <c r="E500" s="1916">
        <v>0</v>
      </c>
      <c r="F500" s="1916">
        <v>0</v>
      </c>
      <c r="G500" s="1916">
        <v>0</v>
      </c>
      <c r="H500" s="1916">
        <v>0</v>
      </c>
      <c r="I500" s="1916">
        <v>0</v>
      </c>
      <c r="J500" s="3485"/>
      <c r="K500" s="3485"/>
    </row>
    <row r="501" spans="1:11" outlineLevel="1">
      <c r="A501" s="3483"/>
      <c r="B501" s="3484"/>
      <c r="C501" s="3485"/>
      <c r="D501" s="1915">
        <v>2024</v>
      </c>
      <c r="E501" s="1916">
        <v>0</v>
      </c>
      <c r="F501" s="1916">
        <v>0</v>
      </c>
      <c r="G501" s="1916">
        <v>0</v>
      </c>
      <c r="H501" s="1916">
        <v>0</v>
      </c>
      <c r="I501" s="1916">
        <v>0</v>
      </c>
      <c r="J501" s="3485"/>
      <c r="K501" s="3485"/>
    </row>
    <row r="502" spans="1:11" outlineLevel="1">
      <c r="A502" s="3483"/>
      <c r="B502" s="3484"/>
      <c r="C502" s="3485"/>
      <c r="D502" s="1915">
        <v>2025</v>
      </c>
      <c r="E502" s="1916">
        <v>0</v>
      </c>
      <c r="F502" s="1916">
        <v>0</v>
      </c>
      <c r="G502" s="1916">
        <v>0</v>
      </c>
      <c r="H502" s="1916">
        <v>0</v>
      </c>
      <c r="I502" s="1916">
        <v>0</v>
      </c>
      <c r="J502" s="3485"/>
      <c r="K502" s="3485"/>
    </row>
    <row r="503" spans="1:11" ht="17.100000000000001" customHeight="1" outlineLevel="1">
      <c r="A503" s="3483" t="s">
        <v>2970</v>
      </c>
      <c r="B503" s="3484" t="s">
        <v>2831</v>
      </c>
      <c r="C503" s="3485">
        <v>2021</v>
      </c>
      <c r="D503" s="1915" t="s">
        <v>8</v>
      </c>
      <c r="E503" s="1916">
        <f t="shared" si="48"/>
        <v>13210.697336842104</v>
      </c>
      <c r="F503" s="1916">
        <f>SUM(F504:F508)</f>
        <v>12550.162469999999</v>
      </c>
      <c r="G503" s="1916">
        <f>SUM(G504:G508)</f>
        <v>0</v>
      </c>
      <c r="H503" s="1916">
        <f>SUM(H504:H508)</f>
        <v>660.5348668421052</v>
      </c>
      <c r="I503" s="1916">
        <f>SUM(I504:I508)</f>
        <v>0</v>
      </c>
      <c r="J503" s="3485" t="s">
        <v>2832</v>
      </c>
      <c r="K503" s="3485" t="s">
        <v>2993</v>
      </c>
    </row>
    <row r="504" spans="1:11" ht="17.100000000000001" customHeight="1" outlineLevel="1">
      <c r="A504" s="3483"/>
      <c r="B504" s="3484"/>
      <c r="C504" s="3485"/>
      <c r="D504" s="1915">
        <v>2021</v>
      </c>
      <c r="E504" s="1916">
        <f t="shared" si="48"/>
        <v>13210.697336842104</v>
      </c>
      <c r="F504" s="1916">
        <v>12550.162469999999</v>
      </c>
      <c r="G504" s="1916">
        <v>0</v>
      </c>
      <c r="H504" s="1916">
        <f>F504/95*5</f>
        <v>660.5348668421052</v>
      </c>
      <c r="I504" s="1916">
        <v>0</v>
      </c>
      <c r="J504" s="3485"/>
      <c r="K504" s="3485"/>
    </row>
    <row r="505" spans="1:11" ht="17.100000000000001" customHeight="1" outlineLevel="1">
      <c r="A505" s="3483"/>
      <c r="B505" s="3484"/>
      <c r="C505" s="3485"/>
      <c r="D505" s="1915">
        <v>2022</v>
      </c>
      <c r="E505" s="1916">
        <v>0</v>
      </c>
      <c r="F505" s="1916">
        <v>0</v>
      </c>
      <c r="G505" s="1916">
        <v>0</v>
      </c>
      <c r="H505" s="1916">
        <v>0</v>
      </c>
      <c r="I505" s="1916">
        <v>0</v>
      </c>
      <c r="J505" s="3485"/>
      <c r="K505" s="3485"/>
    </row>
    <row r="506" spans="1:11" ht="17.100000000000001" customHeight="1" outlineLevel="1">
      <c r="A506" s="3483"/>
      <c r="B506" s="3484"/>
      <c r="C506" s="3485"/>
      <c r="D506" s="1915">
        <v>2023</v>
      </c>
      <c r="E506" s="1916">
        <v>0</v>
      </c>
      <c r="F506" s="1916">
        <v>0</v>
      </c>
      <c r="G506" s="1916">
        <v>0</v>
      </c>
      <c r="H506" s="1916">
        <v>0</v>
      </c>
      <c r="I506" s="1916">
        <v>0</v>
      </c>
      <c r="J506" s="3485"/>
      <c r="K506" s="3485"/>
    </row>
    <row r="507" spans="1:11" outlineLevel="1">
      <c r="A507" s="3483"/>
      <c r="B507" s="3484"/>
      <c r="C507" s="3485"/>
      <c r="D507" s="1915">
        <v>2024</v>
      </c>
      <c r="E507" s="1916">
        <v>0</v>
      </c>
      <c r="F507" s="1916">
        <v>0</v>
      </c>
      <c r="G507" s="1916">
        <v>0</v>
      </c>
      <c r="H507" s="1916">
        <v>0</v>
      </c>
      <c r="I507" s="1916">
        <v>0</v>
      </c>
      <c r="J507" s="3485"/>
      <c r="K507" s="3485"/>
    </row>
    <row r="508" spans="1:11" outlineLevel="1">
      <c r="A508" s="3483"/>
      <c r="B508" s="3484"/>
      <c r="C508" s="3485"/>
      <c r="D508" s="1915">
        <v>2025</v>
      </c>
      <c r="E508" s="1916">
        <v>0</v>
      </c>
      <c r="F508" s="1916">
        <v>0</v>
      </c>
      <c r="G508" s="1916">
        <v>0</v>
      </c>
      <c r="H508" s="1916">
        <v>0</v>
      </c>
      <c r="I508" s="1916">
        <v>0</v>
      </c>
      <c r="J508" s="3485"/>
      <c r="K508" s="3485"/>
    </row>
    <row r="509" spans="1:11" ht="17.100000000000001" customHeight="1" outlineLevel="1">
      <c r="A509" s="3483" t="s">
        <v>2971</v>
      </c>
      <c r="B509" s="3484" t="s">
        <v>2833</v>
      </c>
      <c r="C509" s="3485">
        <v>2021</v>
      </c>
      <c r="D509" s="1915" t="s">
        <v>8</v>
      </c>
      <c r="E509" s="1916">
        <f t="shared" si="48"/>
        <v>7451.59</v>
      </c>
      <c r="F509" s="1916">
        <f>SUM(F510:F514)</f>
        <v>7079.0105000000003</v>
      </c>
      <c r="G509" s="1916">
        <f>SUM(G510:G514)</f>
        <v>0</v>
      </c>
      <c r="H509" s="1916">
        <f>SUM(H510:H514)</f>
        <v>372.5795</v>
      </c>
      <c r="I509" s="1916">
        <f>SUM(I510:I514)</f>
        <v>0</v>
      </c>
      <c r="J509" s="3485" t="s">
        <v>2834</v>
      </c>
      <c r="K509" s="3485" t="s">
        <v>2993</v>
      </c>
    </row>
    <row r="510" spans="1:11" ht="17.100000000000001" customHeight="1" outlineLevel="1">
      <c r="A510" s="3483"/>
      <c r="B510" s="3484"/>
      <c r="C510" s="3485"/>
      <c r="D510" s="1915">
        <v>2021</v>
      </c>
      <c r="E510" s="1916">
        <f t="shared" si="48"/>
        <v>7451.59</v>
      </c>
      <c r="F510" s="1916">
        <v>7079.0105000000003</v>
      </c>
      <c r="G510" s="1916">
        <v>0</v>
      </c>
      <c r="H510" s="1916">
        <f>F510/95*5</f>
        <v>372.5795</v>
      </c>
      <c r="I510" s="1916">
        <v>0</v>
      </c>
      <c r="J510" s="3485"/>
      <c r="K510" s="3485"/>
    </row>
    <row r="511" spans="1:11" ht="17.100000000000001" customHeight="1" outlineLevel="1">
      <c r="A511" s="3483"/>
      <c r="B511" s="3484"/>
      <c r="C511" s="3485"/>
      <c r="D511" s="1915">
        <v>2022</v>
      </c>
      <c r="E511" s="1916">
        <v>0</v>
      </c>
      <c r="F511" s="1916">
        <v>0</v>
      </c>
      <c r="G511" s="1916">
        <v>0</v>
      </c>
      <c r="H511" s="1916">
        <v>0</v>
      </c>
      <c r="I511" s="1916">
        <v>0</v>
      </c>
      <c r="J511" s="3485"/>
      <c r="K511" s="3485"/>
    </row>
    <row r="512" spans="1:11" ht="17.100000000000001" customHeight="1" outlineLevel="1">
      <c r="A512" s="3483"/>
      <c r="B512" s="3484"/>
      <c r="C512" s="3485"/>
      <c r="D512" s="1915">
        <v>2023</v>
      </c>
      <c r="E512" s="1916">
        <v>0</v>
      </c>
      <c r="F512" s="1916">
        <v>0</v>
      </c>
      <c r="G512" s="1916">
        <v>0</v>
      </c>
      <c r="H512" s="1916">
        <v>0</v>
      </c>
      <c r="I512" s="1916">
        <v>0</v>
      </c>
      <c r="J512" s="3485"/>
      <c r="K512" s="3485"/>
    </row>
    <row r="513" spans="1:11" outlineLevel="1">
      <c r="A513" s="3483"/>
      <c r="B513" s="3484"/>
      <c r="C513" s="3485"/>
      <c r="D513" s="1915">
        <v>2024</v>
      </c>
      <c r="E513" s="1916">
        <v>0</v>
      </c>
      <c r="F513" s="1916">
        <v>0</v>
      </c>
      <c r="G513" s="1916">
        <v>0</v>
      </c>
      <c r="H513" s="1916">
        <v>0</v>
      </c>
      <c r="I513" s="1916">
        <v>0</v>
      </c>
      <c r="J513" s="3485"/>
      <c r="K513" s="3485"/>
    </row>
    <row r="514" spans="1:11" outlineLevel="1">
      <c r="A514" s="3483"/>
      <c r="B514" s="3484"/>
      <c r="C514" s="3485"/>
      <c r="D514" s="1915">
        <v>2025</v>
      </c>
      <c r="E514" s="1916">
        <v>0</v>
      </c>
      <c r="F514" s="1916">
        <v>0</v>
      </c>
      <c r="G514" s="1916">
        <v>0</v>
      </c>
      <c r="H514" s="1916">
        <v>0</v>
      </c>
      <c r="I514" s="1916">
        <v>0</v>
      </c>
      <c r="J514" s="3485"/>
      <c r="K514" s="3485"/>
    </row>
    <row r="515" spans="1:11" ht="17.100000000000001" customHeight="1" outlineLevel="1">
      <c r="A515" s="3483" t="s">
        <v>2972</v>
      </c>
      <c r="B515" s="3484" t="s">
        <v>2836</v>
      </c>
      <c r="C515" s="3485">
        <v>2021</v>
      </c>
      <c r="D515" s="1915" t="s">
        <v>8</v>
      </c>
      <c r="E515" s="1916">
        <f t="shared" si="48"/>
        <v>50013.516600000003</v>
      </c>
      <c r="F515" s="1916">
        <f>SUM(F516:F520)</f>
        <v>47512.840770000003</v>
      </c>
      <c r="G515" s="1916">
        <f>SUM(G516:G520)</f>
        <v>0</v>
      </c>
      <c r="H515" s="1916">
        <f>SUM(H516:H520)</f>
        <v>2500.6758300000001</v>
      </c>
      <c r="I515" s="1916">
        <f>SUM(I516:I520)</f>
        <v>0</v>
      </c>
      <c r="J515" s="3485" t="s">
        <v>2835</v>
      </c>
      <c r="K515" s="3485" t="s">
        <v>2993</v>
      </c>
    </row>
    <row r="516" spans="1:11" ht="17.100000000000001" customHeight="1" outlineLevel="1">
      <c r="A516" s="3483"/>
      <c r="B516" s="3484"/>
      <c r="C516" s="3485"/>
      <c r="D516" s="1915">
        <v>2021</v>
      </c>
      <c r="E516" s="1916">
        <f t="shared" si="48"/>
        <v>50013.516600000003</v>
      </c>
      <c r="F516" s="1916">
        <v>47512.840770000003</v>
      </c>
      <c r="G516" s="1916">
        <v>0</v>
      </c>
      <c r="H516" s="1916">
        <f>F516/95*5</f>
        <v>2500.6758300000001</v>
      </c>
      <c r="I516" s="1916">
        <v>0</v>
      </c>
      <c r="J516" s="3485"/>
      <c r="K516" s="3485"/>
    </row>
    <row r="517" spans="1:11" ht="17.100000000000001" customHeight="1" outlineLevel="1">
      <c r="A517" s="3483"/>
      <c r="B517" s="3484"/>
      <c r="C517" s="3485"/>
      <c r="D517" s="1915">
        <v>2022</v>
      </c>
      <c r="E517" s="1916">
        <v>0</v>
      </c>
      <c r="F517" s="1916">
        <v>0</v>
      </c>
      <c r="G517" s="1916">
        <v>0</v>
      </c>
      <c r="H517" s="1916">
        <v>0</v>
      </c>
      <c r="I517" s="1916">
        <v>0</v>
      </c>
      <c r="J517" s="3485"/>
      <c r="K517" s="3485"/>
    </row>
    <row r="518" spans="1:11" ht="17.100000000000001" customHeight="1" outlineLevel="1">
      <c r="A518" s="3483"/>
      <c r="B518" s="3484"/>
      <c r="C518" s="3485"/>
      <c r="D518" s="1915">
        <v>2023</v>
      </c>
      <c r="E518" s="1916">
        <v>0</v>
      </c>
      <c r="F518" s="1916">
        <v>0</v>
      </c>
      <c r="G518" s="1916">
        <v>0</v>
      </c>
      <c r="H518" s="1916">
        <v>0</v>
      </c>
      <c r="I518" s="1916">
        <v>0</v>
      </c>
      <c r="J518" s="3485"/>
      <c r="K518" s="3485"/>
    </row>
    <row r="519" spans="1:11" outlineLevel="1">
      <c r="A519" s="3483"/>
      <c r="B519" s="3484"/>
      <c r="C519" s="3485"/>
      <c r="D519" s="1915">
        <v>2024</v>
      </c>
      <c r="E519" s="1916">
        <v>0</v>
      </c>
      <c r="F519" s="1916">
        <v>0</v>
      </c>
      <c r="G519" s="1916">
        <v>0</v>
      </c>
      <c r="H519" s="1916">
        <v>0</v>
      </c>
      <c r="I519" s="1916">
        <v>0</v>
      </c>
      <c r="J519" s="3485"/>
      <c r="K519" s="3485"/>
    </row>
    <row r="520" spans="1:11" ht="20.25" customHeight="1" outlineLevel="1">
      <c r="A520" s="3483"/>
      <c r="B520" s="3484"/>
      <c r="C520" s="3485"/>
      <c r="D520" s="1915">
        <v>2025</v>
      </c>
      <c r="E520" s="1916">
        <v>0</v>
      </c>
      <c r="F520" s="1916">
        <v>0</v>
      </c>
      <c r="G520" s="1916">
        <v>0</v>
      </c>
      <c r="H520" s="1916">
        <v>0</v>
      </c>
      <c r="I520" s="1916">
        <v>0</v>
      </c>
      <c r="J520" s="3485"/>
      <c r="K520" s="3485"/>
    </row>
    <row r="521" spans="1:11" ht="16.5" customHeight="1" outlineLevel="1">
      <c r="A521" s="3483" t="s">
        <v>2973</v>
      </c>
      <c r="B521" s="3484" t="s">
        <v>2862</v>
      </c>
      <c r="C521" s="3485">
        <v>2021</v>
      </c>
      <c r="D521" s="1915" t="s">
        <v>8</v>
      </c>
      <c r="E521" s="1916">
        <f t="shared" si="48"/>
        <v>9928.3460643185299</v>
      </c>
      <c r="F521" s="1916">
        <f>SUM(F522:F526)</f>
        <v>6483.2099799999996</v>
      </c>
      <c r="G521" s="1916">
        <f>SUM(G522:G526)</f>
        <v>0</v>
      </c>
      <c r="H521" s="1916">
        <f>SUM(H522:H526)</f>
        <v>3445.1360843185298</v>
      </c>
      <c r="I521" s="1916">
        <f>SUM(I522:I526)</f>
        <v>0</v>
      </c>
      <c r="J521" s="3485" t="s">
        <v>2900</v>
      </c>
      <c r="K521" s="3485" t="s">
        <v>2993</v>
      </c>
    </row>
    <row r="522" spans="1:11" ht="21.75" customHeight="1" outlineLevel="1">
      <c r="A522" s="3483"/>
      <c r="B522" s="3484"/>
      <c r="C522" s="3485"/>
      <c r="D522" s="1915">
        <v>2021</v>
      </c>
      <c r="E522" s="1916">
        <f t="shared" si="48"/>
        <v>9928.3460643185299</v>
      </c>
      <c r="F522" s="1916">
        <v>6483.2099799999996</v>
      </c>
      <c r="G522" s="1916">
        <v>0</v>
      </c>
      <c r="H522" s="1916">
        <f>F522/65.3*34.7</f>
        <v>3445.1360843185298</v>
      </c>
      <c r="I522" s="1916">
        <v>0</v>
      </c>
      <c r="J522" s="3485"/>
      <c r="K522" s="3485"/>
    </row>
    <row r="523" spans="1:11" ht="26.25" customHeight="1" outlineLevel="1">
      <c r="A523" s="3483"/>
      <c r="B523" s="3484"/>
      <c r="C523" s="3485"/>
      <c r="D523" s="1915">
        <v>2022</v>
      </c>
      <c r="E523" s="1916">
        <v>0</v>
      </c>
      <c r="F523" s="1916">
        <v>0</v>
      </c>
      <c r="G523" s="1916">
        <v>0</v>
      </c>
      <c r="H523" s="1916">
        <v>0</v>
      </c>
      <c r="I523" s="1916">
        <v>0</v>
      </c>
      <c r="J523" s="3485"/>
      <c r="K523" s="3485"/>
    </row>
    <row r="524" spans="1:11" ht="20.25" customHeight="1" outlineLevel="1">
      <c r="A524" s="3483"/>
      <c r="B524" s="3484"/>
      <c r="C524" s="3485"/>
      <c r="D524" s="1915">
        <v>2023</v>
      </c>
      <c r="E524" s="1916">
        <v>0</v>
      </c>
      <c r="F524" s="1916">
        <v>0</v>
      </c>
      <c r="G524" s="1916">
        <v>0</v>
      </c>
      <c r="H524" s="1916">
        <v>0</v>
      </c>
      <c r="I524" s="1916">
        <v>0</v>
      </c>
      <c r="J524" s="3485"/>
      <c r="K524" s="3485"/>
    </row>
    <row r="525" spans="1:11" ht="20.25" customHeight="1" outlineLevel="1">
      <c r="A525" s="3483"/>
      <c r="B525" s="3484"/>
      <c r="C525" s="3485"/>
      <c r="D525" s="1915">
        <v>2024</v>
      </c>
      <c r="E525" s="1916">
        <v>0</v>
      </c>
      <c r="F525" s="1916">
        <v>0</v>
      </c>
      <c r="G525" s="1916">
        <v>0</v>
      </c>
      <c r="H525" s="1916">
        <v>0</v>
      </c>
      <c r="I525" s="1916">
        <v>0</v>
      </c>
      <c r="J525" s="3485"/>
      <c r="K525" s="3485"/>
    </row>
    <row r="526" spans="1:11" ht="18.75" customHeight="1" outlineLevel="1">
      <c r="A526" s="3483"/>
      <c r="B526" s="3484"/>
      <c r="C526" s="3485"/>
      <c r="D526" s="1915">
        <v>2025</v>
      </c>
      <c r="E526" s="1916">
        <v>0</v>
      </c>
      <c r="F526" s="1916">
        <v>0</v>
      </c>
      <c r="G526" s="1916">
        <v>0</v>
      </c>
      <c r="H526" s="1916">
        <v>0</v>
      </c>
      <c r="I526" s="1916">
        <v>0</v>
      </c>
      <c r="J526" s="3485"/>
      <c r="K526" s="3485"/>
    </row>
    <row r="527" spans="1:11" ht="15" customHeight="1" outlineLevel="1">
      <c r="A527" s="3483" t="s">
        <v>2974</v>
      </c>
      <c r="B527" s="3484" t="s">
        <v>3064</v>
      </c>
      <c r="C527" s="3485">
        <v>2021</v>
      </c>
      <c r="D527" s="1915" t="s">
        <v>8</v>
      </c>
      <c r="E527" s="1916">
        <f t="shared" si="48"/>
        <v>0</v>
      </c>
      <c r="F527" s="1916">
        <f>SUM(F528:F532)</f>
        <v>0</v>
      </c>
      <c r="G527" s="1916">
        <f>SUM(G528:G532)</f>
        <v>0</v>
      </c>
      <c r="H527" s="1916">
        <f>SUM(H528:H532)</f>
        <v>0</v>
      </c>
      <c r="I527" s="1916">
        <f>SUM(I528:I532)</f>
        <v>0</v>
      </c>
      <c r="J527" s="3485" t="s">
        <v>2837</v>
      </c>
      <c r="K527" s="3485" t="s">
        <v>2993</v>
      </c>
    </row>
    <row r="528" spans="1:11" ht="15" customHeight="1" outlineLevel="1">
      <c r="A528" s="3483"/>
      <c r="B528" s="3484"/>
      <c r="C528" s="3485"/>
      <c r="D528" s="1915">
        <v>2021</v>
      </c>
      <c r="E528" s="1916">
        <f t="shared" si="48"/>
        <v>0</v>
      </c>
      <c r="F528" s="1916">
        <v>0</v>
      </c>
      <c r="G528" s="1916">
        <v>0</v>
      </c>
      <c r="H528" s="1916">
        <f>F528/95*5</f>
        <v>0</v>
      </c>
      <c r="I528" s="1916">
        <v>0</v>
      </c>
      <c r="J528" s="3485"/>
      <c r="K528" s="3485"/>
    </row>
    <row r="529" spans="1:11" ht="15" customHeight="1" outlineLevel="1">
      <c r="A529" s="3483"/>
      <c r="B529" s="3484"/>
      <c r="C529" s="3485"/>
      <c r="D529" s="1915">
        <v>2022</v>
      </c>
      <c r="E529" s="1916">
        <v>0</v>
      </c>
      <c r="F529" s="1916">
        <v>0</v>
      </c>
      <c r="G529" s="1916">
        <v>0</v>
      </c>
      <c r="H529" s="1916">
        <v>0</v>
      </c>
      <c r="I529" s="1916">
        <v>0</v>
      </c>
      <c r="J529" s="3485"/>
      <c r="K529" s="3485"/>
    </row>
    <row r="530" spans="1:11" ht="15" customHeight="1" outlineLevel="1">
      <c r="A530" s="3483"/>
      <c r="B530" s="3484"/>
      <c r="C530" s="3485"/>
      <c r="D530" s="1915">
        <v>2023</v>
      </c>
      <c r="E530" s="1916">
        <v>0</v>
      </c>
      <c r="F530" s="1916">
        <v>0</v>
      </c>
      <c r="G530" s="1916">
        <v>0</v>
      </c>
      <c r="H530" s="1916">
        <v>0</v>
      </c>
      <c r="I530" s="1916">
        <v>0</v>
      </c>
      <c r="J530" s="3485"/>
      <c r="K530" s="3485"/>
    </row>
    <row r="531" spans="1:11" ht="15" customHeight="1" outlineLevel="1">
      <c r="A531" s="3483"/>
      <c r="B531" s="3484"/>
      <c r="C531" s="3485"/>
      <c r="D531" s="1915">
        <v>2024</v>
      </c>
      <c r="E531" s="1916">
        <v>0</v>
      </c>
      <c r="F531" s="1916">
        <v>0</v>
      </c>
      <c r="G531" s="1916">
        <v>0</v>
      </c>
      <c r="H531" s="1916">
        <v>0</v>
      </c>
      <c r="I531" s="1916">
        <v>0</v>
      </c>
      <c r="J531" s="3485"/>
      <c r="K531" s="3485"/>
    </row>
    <row r="532" spans="1:11" ht="15" customHeight="1" outlineLevel="1">
      <c r="A532" s="3483"/>
      <c r="B532" s="3484"/>
      <c r="C532" s="3485"/>
      <c r="D532" s="1915">
        <v>2025</v>
      </c>
      <c r="E532" s="1916">
        <v>0</v>
      </c>
      <c r="F532" s="1916">
        <v>0</v>
      </c>
      <c r="G532" s="1916">
        <v>0</v>
      </c>
      <c r="H532" s="1916">
        <v>0</v>
      </c>
      <c r="I532" s="1916">
        <v>0</v>
      </c>
      <c r="J532" s="3485"/>
      <c r="K532" s="3485"/>
    </row>
    <row r="533" spans="1:11" ht="15" customHeight="1" outlineLevel="1">
      <c r="A533" s="3483" t="s">
        <v>2975</v>
      </c>
      <c r="B533" s="3484" t="s">
        <v>3063</v>
      </c>
      <c r="C533" s="3485">
        <v>2021</v>
      </c>
      <c r="D533" s="1915" t="s">
        <v>8</v>
      </c>
      <c r="E533" s="1916">
        <f t="shared" si="48"/>
        <v>28829.676842105262</v>
      </c>
      <c r="F533" s="1916">
        <f>SUM(F534:F538)</f>
        <v>27388.192999999999</v>
      </c>
      <c r="G533" s="1916">
        <f>SUM(G534:G538)</f>
        <v>0</v>
      </c>
      <c r="H533" s="1916">
        <f>SUM(H534:H538)</f>
        <v>1441.483842105263</v>
      </c>
      <c r="I533" s="1916">
        <f>SUM(I534:I538)</f>
        <v>0</v>
      </c>
      <c r="J533" s="3485" t="s">
        <v>2838</v>
      </c>
      <c r="K533" s="3485" t="s">
        <v>2993</v>
      </c>
    </row>
    <row r="534" spans="1:11" ht="15" customHeight="1" outlineLevel="1">
      <c r="A534" s="3483"/>
      <c r="B534" s="3484"/>
      <c r="C534" s="3485"/>
      <c r="D534" s="1915">
        <v>2021</v>
      </c>
      <c r="E534" s="1916">
        <f t="shared" si="48"/>
        <v>28829.676842105262</v>
      </c>
      <c r="F534" s="1916">
        <v>27388.192999999999</v>
      </c>
      <c r="G534" s="1916">
        <v>0</v>
      </c>
      <c r="H534" s="1916">
        <f>F534/95*5</f>
        <v>1441.483842105263</v>
      </c>
      <c r="I534" s="1916">
        <v>0</v>
      </c>
      <c r="J534" s="3485"/>
      <c r="K534" s="3485"/>
    </row>
    <row r="535" spans="1:11" ht="15" customHeight="1" outlineLevel="1">
      <c r="A535" s="3483"/>
      <c r="B535" s="3484"/>
      <c r="C535" s="3485"/>
      <c r="D535" s="1915">
        <v>2022</v>
      </c>
      <c r="E535" s="1916">
        <v>0</v>
      </c>
      <c r="F535" s="1916">
        <v>0</v>
      </c>
      <c r="G535" s="1916">
        <v>0</v>
      </c>
      <c r="H535" s="1916">
        <v>0</v>
      </c>
      <c r="I535" s="1916">
        <v>0</v>
      </c>
      <c r="J535" s="3485"/>
      <c r="K535" s="3485"/>
    </row>
    <row r="536" spans="1:11" ht="15" customHeight="1" outlineLevel="1">
      <c r="A536" s="3483"/>
      <c r="B536" s="3484"/>
      <c r="C536" s="3485"/>
      <c r="D536" s="1915">
        <v>2023</v>
      </c>
      <c r="E536" s="1916">
        <v>0</v>
      </c>
      <c r="F536" s="1916">
        <v>0</v>
      </c>
      <c r="G536" s="1916">
        <v>0</v>
      </c>
      <c r="H536" s="1916">
        <v>0</v>
      </c>
      <c r="I536" s="1916">
        <v>0</v>
      </c>
      <c r="J536" s="3485"/>
      <c r="K536" s="3485"/>
    </row>
    <row r="537" spans="1:11" ht="15" customHeight="1" outlineLevel="1">
      <c r="A537" s="3483"/>
      <c r="B537" s="3484"/>
      <c r="C537" s="3485"/>
      <c r="D537" s="1915">
        <v>2024</v>
      </c>
      <c r="E537" s="1916">
        <v>0</v>
      </c>
      <c r="F537" s="1916">
        <v>0</v>
      </c>
      <c r="G537" s="1916">
        <v>0</v>
      </c>
      <c r="H537" s="1916">
        <v>0</v>
      </c>
      <c r="I537" s="1916">
        <v>0</v>
      </c>
      <c r="J537" s="3485"/>
      <c r="K537" s="3485"/>
    </row>
    <row r="538" spans="1:11" ht="13.5" customHeight="1" outlineLevel="1">
      <c r="A538" s="3483"/>
      <c r="B538" s="3484"/>
      <c r="C538" s="3485"/>
      <c r="D538" s="1915">
        <v>2025</v>
      </c>
      <c r="E538" s="1916">
        <v>0</v>
      </c>
      <c r="F538" s="1916">
        <v>0</v>
      </c>
      <c r="G538" s="1916">
        <v>0</v>
      </c>
      <c r="H538" s="1916">
        <v>0</v>
      </c>
      <c r="I538" s="1916">
        <v>0</v>
      </c>
      <c r="J538" s="3485"/>
      <c r="K538" s="3485"/>
    </row>
    <row r="539" spans="1:11" ht="16.5" customHeight="1" outlineLevel="1">
      <c r="A539" s="3483" t="s">
        <v>2976</v>
      </c>
      <c r="B539" s="3484" t="s">
        <v>2860</v>
      </c>
      <c r="C539" s="3485" t="s">
        <v>2999</v>
      </c>
      <c r="D539" s="1915" t="s">
        <v>8</v>
      </c>
      <c r="E539" s="1916">
        <f t="shared" si="48"/>
        <v>4724.9217200000003</v>
      </c>
      <c r="F539" s="1916">
        <f>SUM(F540:F544)</f>
        <v>4431.9217200000003</v>
      </c>
      <c r="G539" s="1916">
        <f>SUM(G540:G544)</f>
        <v>0</v>
      </c>
      <c r="H539" s="1916">
        <f>SUM(H540:H544)</f>
        <v>293</v>
      </c>
      <c r="I539" s="1916">
        <f>SUM(I540:I544)</f>
        <v>0</v>
      </c>
      <c r="J539" s="3485" t="s">
        <v>3062</v>
      </c>
      <c r="K539" s="3485" t="s">
        <v>2993</v>
      </c>
    </row>
    <row r="540" spans="1:11" ht="15" customHeight="1" outlineLevel="1">
      <c r="A540" s="3483"/>
      <c r="B540" s="3484"/>
      <c r="C540" s="3485"/>
      <c r="D540" s="1915">
        <v>2021</v>
      </c>
      <c r="E540" s="1916">
        <f t="shared" si="48"/>
        <v>2270.6600000000003</v>
      </c>
      <c r="F540" s="1916">
        <v>2100.36</v>
      </c>
      <c r="G540" s="1916">
        <v>0</v>
      </c>
      <c r="H540" s="1916">
        <v>170.3</v>
      </c>
      <c r="I540" s="1916">
        <v>0</v>
      </c>
      <c r="J540" s="3485"/>
      <c r="K540" s="3485"/>
    </row>
    <row r="541" spans="1:11" ht="18.75" customHeight="1" outlineLevel="1">
      <c r="A541" s="3483"/>
      <c r="B541" s="3484"/>
      <c r="C541" s="3485"/>
      <c r="D541" s="1915">
        <v>2022</v>
      </c>
      <c r="E541" s="1916">
        <f t="shared" si="48"/>
        <v>2454.26172</v>
      </c>
      <c r="F541" s="1916">
        <v>2331.5617200000002</v>
      </c>
      <c r="G541" s="1916">
        <v>0</v>
      </c>
      <c r="H541" s="1916">
        <v>122.7</v>
      </c>
      <c r="I541" s="1916">
        <v>0</v>
      </c>
      <c r="J541" s="3485"/>
      <c r="K541" s="3485"/>
    </row>
    <row r="542" spans="1:11" ht="17.25" customHeight="1" outlineLevel="1">
      <c r="A542" s="3483"/>
      <c r="B542" s="3484"/>
      <c r="C542" s="3485"/>
      <c r="D542" s="1915">
        <v>2023</v>
      </c>
      <c r="E542" s="1916">
        <f t="shared" si="48"/>
        <v>0</v>
      </c>
      <c r="F542" s="1916">
        <v>0</v>
      </c>
      <c r="G542" s="1916">
        <v>0</v>
      </c>
      <c r="H542" s="1916">
        <v>0</v>
      </c>
      <c r="I542" s="1916">
        <v>0</v>
      </c>
      <c r="J542" s="3485"/>
      <c r="K542" s="3485"/>
    </row>
    <row r="543" spans="1:11" ht="15" customHeight="1" outlineLevel="1">
      <c r="A543" s="3483"/>
      <c r="B543" s="3484"/>
      <c r="C543" s="3485"/>
      <c r="D543" s="1915">
        <v>2024</v>
      </c>
      <c r="E543" s="1916">
        <f t="shared" si="48"/>
        <v>0</v>
      </c>
      <c r="F543" s="1916">
        <v>0</v>
      </c>
      <c r="G543" s="1916">
        <v>0</v>
      </c>
      <c r="H543" s="1916">
        <v>0</v>
      </c>
      <c r="I543" s="1916">
        <v>0</v>
      </c>
      <c r="J543" s="3485"/>
      <c r="K543" s="3485"/>
    </row>
    <row r="544" spans="1:11" ht="14.25" customHeight="1" outlineLevel="1">
      <c r="A544" s="3483"/>
      <c r="B544" s="3484"/>
      <c r="C544" s="3485"/>
      <c r="D544" s="1915">
        <v>2025</v>
      </c>
      <c r="E544" s="1916">
        <f t="shared" si="48"/>
        <v>0</v>
      </c>
      <c r="F544" s="1916">
        <v>0</v>
      </c>
      <c r="G544" s="1916">
        <v>0</v>
      </c>
      <c r="H544" s="1916">
        <v>0</v>
      </c>
      <c r="I544" s="1916">
        <v>0</v>
      </c>
      <c r="J544" s="3485"/>
      <c r="K544" s="3485"/>
    </row>
    <row r="545" spans="1:11" ht="12.75" customHeight="1" outlineLevel="1">
      <c r="A545" s="3483" t="s">
        <v>2977</v>
      </c>
      <c r="B545" s="3484" t="s">
        <v>3061</v>
      </c>
      <c r="C545" s="3485">
        <v>2021</v>
      </c>
      <c r="D545" s="1915" t="s">
        <v>8</v>
      </c>
      <c r="E545" s="1916">
        <f t="shared" si="48"/>
        <v>0</v>
      </c>
      <c r="F545" s="1916">
        <v>0</v>
      </c>
      <c r="G545" s="1916">
        <v>0</v>
      </c>
      <c r="H545" s="1916">
        <v>0</v>
      </c>
      <c r="I545" s="1916">
        <v>0</v>
      </c>
      <c r="J545" s="3485" t="s">
        <v>3060</v>
      </c>
      <c r="K545" s="3485" t="s">
        <v>168</v>
      </c>
    </row>
    <row r="546" spans="1:11" ht="12.75" customHeight="1" outlineLevel="1">
      <c r="A546" s="3483"/>
      <c r="B546" s="3484"/>
      <c r="C546" s="3485"/>
      <c r="D546" s="1915">
        <v>2021</v>
      </c>
      <c r="E546" s="1916">
        <f t="shared" si="48"/>
        <v>0</v>
      </c>
      <c r="F546" s="1916">
        <v>0</v>
      </c>
      <c r="G546" s="1916">
        <v>0</v>
      </c>
      <c r="H546" s="1916">
        <v>0</v>
      </c>
      <c r="I546" s="1916">
        <v>0</v>
      </c>
      <c r="J546" s="3485"/>
      <c r="K546" s="3485"/>
    </row>
    <row r="547" spans="1:11" ht="12.75" customHeight="1" outlineLevel="1">
      <c r="A547" s="3483"/>
      <c r="B547" s="3484"/>
      <c r="C547" s="3485"/>
      <c r="D547" s="1915">
        <v>2022</v>
      </c>
      <c r="E547" s="1916">
        <f t="shared" si="48"/>
        <v>0</v>
      </c>
      <c r="F547" s="1916">
        <v>0</v>
      </c>
      <c r="G547" s="1916">
        <v>0</v>
      </c>
      <c r="H547" s="1916">
        <v>0</v>
      </c>
      <c r="I547" s="1916">
        <v>0</v>
      </c>
      <c r="J547" s="3485"/>
      <c r="K547" s="3485"/>
    </row>
    <row r="548" spans="1:11" ht="12.75" customHeight="1" outlineLevel="1">
      <c r="A548" s="3483"/>
      <c r="B548" s="3484"/>
      <c r="C548" s="3485"/>
      <c r="D548" s="1915">
        <v>2023</v>
      </c>
      <c r="E548" s="1916">
        <f t="shared" si="48"/>
        <v>0</v>
      </c>
      <c r="F548" s="1916">
        <v>0</v>
      </c>
      <c r="G548" s="1916">
        <v>0</v>
      </c>
      <c r="H548" s="1916">
        <v>0</v>
      </c>
      <c r="I548" s="1916">
        <v>0</v>
      </c>
      <c r="J548" s="3485"/>
      <c r="K548" s="3485"/>
    </row>
    <row r="549" spans="1:11" ht="12.75" customHeight="1" outlineLevel="1">
      <c r="A549" s="3483"/>
      <c r="B549" s="3484"/>
      <c r="C549" s="3485"/>
      <c r="D549" s="1915">
        <v>2024</v>
      </c>
      <c r="E549" s="1916">
        <f t="shared" si="48"/>
        <v>0</v>
      </c>
      <c r="F549" s="1916">
        <v>0</v>
      </c>
      <c r="G549" s="1916">
        <v>0</v>
      </c>
      <c r="H549" s="1916">
        <v>0</v>
      </c>
      <c r="I549" s="1916">
        <v>0</v>
      </c>
      <c r="J549" s="3485"/>
      <c r="K549" s="3485"/>
    </row>
    <row r="550" spans="1:11" ht="12.75" customHeight="1" outlineLevel="1">
      <c r="A550" s="3483"/>
      <c r="B550" s="3484"/>
      <c r="C550" s="3485"/>
      <c r="D550" s="1915">
        <v>2025</v>
      </c>
      <c r="E550" s="1916">
        <f t="shared" si="48"/>
        <v>0</v>
      </c>
      <c r="F550" s="1916">
        <v>0</v>
      </c>
      <c r="G550" s="1916">
        <v>0</v>
      </c>
      <c r="H550" s="1916">
        <v>0</v>
      </c>
      <c r="I550" s="1916">
        <v>0</v>
      </c>
      <c r="J550" s="3485"/>
      <c r="K550" s="3485"/>
    </row>
    <row r="551" spans="1:11" ht="12.75" customHeight="1" outlineLevel="1">
      <c r="A551" s="3483" t="s">
        <v>2978</v>
      </c>
      <c r="B551" s="3484" t="s">
        <v>2861</v>
      </c>
      <c r="C551" s="3485">
        <v>2021</v>
      </c>
      <c r="D551" s="1915" t="s">
        <v>8</v>
      </c>
      <c r="E551" s="1916">
        <f t="shared" si="48"/>
        <v>468.3</v>
      </c>
      <c r="F551" s="1916">
        <f>SUM(F552:F556)</f>
        <v>468.3</v>
      </c>
      <c r="G551" s="1916">
        <f>SUM(G552:G556)</f>
        <v>0</v>
      </c>
      <c r="H551" s="1916">
        <f>SUM(H552:H556)</f>
        <v>0</v>
      </c>
      <c r="I551" s="1916">
        <f>SUM(I552:I556)</f>
        <v>0</v>
      </c>
      <c r="J551" s="3485" t="s">
        <v>3059</v>
      </c>
      <c r="K551" s="3485" t="s">
        <v>3034</v>
      </c>
    </row>
    <row r="552" spans="1:11" ht="12.75" customHeight="1" outlineLevel="1">
      <c r="A552" s="3483"/>
      <c r="B552" s="3484"/>
      <c r="C552" s="3485"/>
      <c r="D552" s="1915">
        <v>2021</v>
      </c>
      <c r="E552" s="1916">
        <f t="shared" si="48"/>
        <v>468.3</v>
      </c>
      <c r="F552" s="1916">
        <v>468.3</v>
      </c>
      <c r="G552" s="1916">
        <v>0</v>
      </c>
      <c r="H552" s="1916">
        <v>0</v>
      </c>
      <c r="I552" s="1916">
        <v>0</v>
      </c>
      <c r="J552" s="3485"/>
      <c r="K552" s="3485"/>
    </row>
    <row r="553" spans="1:11" ht="12.75" customHeight="1" outlineLevel="1">
      <c r="A553" s="3483"/>
      <c r="B553" s="3484"/>
      <c r="C553" s="3485"/>
      <c r="D553" s="1915">
        <v>2022</v>
      </c>
      <c r="E553" s="1916">
        <f t="shared" si="48"/>
        <v>0</v>
      </c>
      <c r="F553" s="1916">
        <v>0</v>
      </c>
      <c r="G553" s="1916">
        <v>0</v>
      </c>
      <c r="H553" s="1916">
        <v>0</v>
      </c>
      <c r="I553" s="1916">
        <v>0</v>
      </c>
      <c r="J553" s="3485"/>
      <c r="K553" s="3485"/>
    </row>
    <row r="554" spans="1:11" ht="12.75" customHeight="1" outlineLevel="1">
      <c r="A554" s="3483"/>
      <c r="B554" s="3484"/>
      <c r="C554" s="3485"/>
      <c r="D554" s="1915">
        <v>2023</v>
      </c>
      <c r="E554" s="1916">
        <f t="shared" si="48"/>
        <v>0</v>
      </c>
      <c r="F554" s="1916">
        <v>0</v>
      </c>
      <c r="G554" s="1916">
        <v>0</v>
      </c>
      <c r="H554" s="1916">
        <v>0</v>
      </c>
      <c r="I554" s="1916">
        <v>0</v>
      </c>
      <c r="J554" s="3485"/>
      <c r="K554" s="3485"/>
    </row>
    <row r="555" spans="1:11" ht="12.75" customHeight="1" outlineLevel="1">
      <c r="A555" s="3483"/>
      <c r="B555" s="3484"/>
      <c r="C555" s="3485"/>
      <c r="D555" s="1915">
        <v>2024</v>
      </c>
      <c r="E555" s="1916">
        <f t="shared" si="48"/>
        <v>0</v>
      </c>
      <c r="F555" s="1916">
        <v>0</v>
      </c>
      <c r="G555" s="1916">
        <v>0</v>
      </c>
      <c r="H555" s="1916">
        <v>0</v>
      </c>
      <c r="I555" s="1916">
        <v>0</v>
      </c>
      <c r="J555" s="3485"/>
      <c r="K555" s="3485"/>
    </row>
    <row r="556" spans="1:11" ht="12.75" customHeight="1" outlineLevel="1">
      <c r="A556" s="3483"/>
      <c r="B556" s="3484"/>
      <c r="C556" s="3485"/>
      <c r="D556" s="1915">
        <v>2025</v>
      </c>
      <c r="E556" s="1916">
        <f t="shared" si="48"/>
        <v>0</v>
      </c>
      <c r="F556" s="1916">
        <v>0</v>
      </c>
      <c r="G556" s="1916">
        <v>0</v>
      </c>
      <c r="H556" s="1916">
        <v>0</v>
      </c>
      <c r="I556" s="1916">
        <v>0</v>
      </c>
      <c r="J556" s="3485"/>
      <c r="K556" s="3485"/>
    </row>
    <row r="557" spans="1:11" ht="18" customHeight="1" outlineLevel="1">
      <c r="A557" s="3483" t="s">
        <v>250</v>
      </c>
      <c r="B557" s="3484" t="s">
        <v>2950</v>
      </c>
      <c r="C557" s="3485">
        <v>2021</v>
      </c>
      <c r="D557" s="1915" t="s">
        <v>8</v>
      </c>
      <c r="E557" s="1916">
        <f t="shared" si="48"/>
        <v>8226.4694736842102</v>
      </c>
      <c r="F557" s="1916">
        <f>SUM(F558:F562)</f>
        <v>7815.1459999999997</v>
      </c>
      <c r="G557" s="1916">
        <f>SUM(G558:G562)</f>
        <v>0</v>
      </c>
      <c r="H557" s="1916">
        <f>SUM(H558:H562)</f>
        <v>411.32347368421051</v>
      </c>
      <c r="I557" s="1916">
        <f>SUM(I558:I562)</f>
        <v>0</v>
      </c>
      <c r="J557" s="3485" t="s">
        <v>3058</v>
      </c>
      <c r="K557" s="3485" t="s">
        <v>2993</v>
      </c>
    </row>
    <row r="558" spans="1:11" ht="18" customHeight="1" outlineLevel="1">
      <c r="A558" s="3483"/>
      <c r="B558" s="3484"/>
      <c r="C558" s="3485"/>
      <c r="D558" s="1915">
        <v>2021</v>
      </c>
      <c r="E558" s="1916">
        <f t="shared" ref="E558:E621" si="49">SUM(F558:I558)</f>
        <v>8226.4694736842102</v>
      </c>
      <c r="F558" s="1916">
        <v>7815.1459999999997</v>
      </c>
      <c r="G558" s="1916">
        <v>0</v>
      </c>
      <c r="H558" s="1916">
        <f t="shared" ref="H558:H559" si="50">F558/95*5</f>
        <v>411.32347368421051</v>
      </c>
      <c r="I558" s="1916">
        <v>0</v>
      </c>
      <c r="J558" s="3485"/>
      <c r="K558" s="3485"/>
    </row>
    <row r="559" spans="1:11" ht="18" customHeight="1" outlineLevel="1">
      <c r="A559" s="3483"/>
      <c r="B559" s="3484"/>
      <c r="C559" s="3485"/>
      <c r="D559" s="1915">
        <v>2022</v>
      </c>
      <c r="E559" s="1916">
        <f t="shared" si="49"/>
        <v>0</v>
      </c>
      <c r="F559" s="1916">
        <v>0</v>
      </c>
      <c r="G559" s="1916">
        <v>0</v>
      </c>
      <c r="H559" s="1916">
        <f t="shared" si="50"/>
        <v>0</v>
      </c>
      <c r="I559" s="1916">
        <v>0</v>
      </c>
      <c r="J559" s="3485"/>
      <c r="K559" s="3485"/>
    </row>
    <row r="560" spans="1:11" ht="18" customHeight="1" outlineLevel="1">
      <c r="A560" s="3483"/>
      <c r="B560" s="3484"/>
      <c r="C560" s="3485"/>
      <c r="D560" s="1915">
        <v>2023</v>
      </c>
      <c r="E560" s="1916">
        <f t="shared" si="49"/>
        <v>0</v>
      </c>
      <c r="F560" s="1916">
        <v>0</v>
      </c>
      <c r="G560" s="1916">
        <v>0</v>
      </c>
      <c r="H560" s="1916">
        <v>0</v>
      </c>
      <c r="I560" s="1916">
        <v>0</v>
      </c>
      <c r="J560" s="3485"/>
      <c r="K560" s="3485"/>
    </row>
    <row r="561" spans="1:11" ht="18" customHeight="1" outlineLevel="1">
      <c r="A561" s="3483"/>
      <c r="B561" s="3484"/>
      <c r="C561" s="3485"/>
      <c r="D561" s="1915">
        <v>2024</v>
      </c>
      <c r="E561" s="1916">
        <f t="shared" si="49"/>
        <v>0</v>
      </c>
      <c r="F561" s="1916">
        <v>0</v>
      </c>
      <c r="G561" s="1916">
        <v>0</v>
      </c>
      <c r="H561" s="1916">
        <v>0</v>
      </c>
      <c r="I561" s="1916">
        <v>0</v>
      </c>
      <c r="J561" s="3485"/>
      <c r="K561" s="3485"/>
    </row>
    <row r="562" spans="1:11" ht="18" customHeight="1" outlineLevel="1">
      <c r="A562" s="3483"/>
      <c r="B562" s="3484"/>
      <c r="C562" s="3485"/>
      <c r="D562" s="1915">
        <v>2025</v>
      </c>
      <c r="E562" s="1916">
        <f t="shared" si="49"/>
        <v>0</v>
      </c>
      <c r="F562" s="1916">
        <v>0</v>
      </c>
      <c r="G562" s="1916">
        <v>0</v>
      </c>
      <c r="H562" s="1916">
        <v>0</v>
      </c>
      <c r="I562" s="1916">
        <v>0</v>
      </c>
      <c r="J562" s="3485"/>
      <c r="K562" s="3485"/>
    </row>
    <row r="563" spans="1:11" ht="18" customHeight="1" outlineLevel="1">
      <c r="A563" s="3483" t="s">
        <v>2979</v>
      </c>
      <c r="B563" s="3484" t="s">
        <v>2951</v>
      </c>
      <c r="C563" s="3485">
        <v>2021</v>
      </c>
      <c r="D563" s="1915" t="s">
        <v>8</v>
      </c>
      <c r="E563" s="1916">
        <f t="shared" si="49"/>
        <v>15056.631578947368</v>
      </c>
      <c r="F563" s="1916">
        <f>SUM(F564:F568)</f>
        <v>14303.8</v>
      </c>
      <c r="G563" s="1916">
        <f>SUM(G564:G568)</f>
        <v>0</v>
      </c>
      <c r="H563" s="1916">
        <f>SUM(H564:H568)</f>
        <v>752.83157894736837</v>
      </c>
      <c r="I563" s="1916">
        <v>0</v>
      </c>
      <c r="J563" s="3485" t="s">
        <v>3057</v>
      </c>
      <c r="K563" s="3485" t="s">
        <v>2993</v>
      </c>
    </row>
    <row r="564" spans="1:11" ht="18" customHeight="1" outlineLevel="1">
      <c r="A564" s="3483"/>
      <c r="B564" s="3484"/>
      <c r="C564" s="3485"/>
      <c r="D564" s="1915">
        <v>2021</v>
      </c>
      <c r="E564" s="1916">
        <f t="shared" si="49"/>
        <v>15056.631578947368</v>
      </c>
      <c r="F564" s="1916">
        <v>14303.8</v>
      </c>
      <c r="G564" s="1916">
        <v>0</v>
      </c>
      <c r="H564" s="1916">
        <f>F564/95*5</f>
        <v>752.83157894736837</v>
      </c>
      <c r="I564" s="1916">
        <v>0</v>
      </c>
      <c r="J564" s="3485"/>
      <c r="K564" s="3485"/>
    </row>
    <row r="565" spans="1:11" ht="18" customHeight="1" outlineLevel="1">
      <c r="A565" s="3483"/>
      <c r="B565" s="3484"/>
      <c r="C565" s="3485"/>
      <c r="D565" s="1915">
        <v>2022</v>
      </c>
      <c r="E565" s="1916">
        <f t="shared" si="49"/>
        <v>0</v>
      </c>
      <c r="F565" s="1916">
        <v>0</v>
      </c>
      <c r="G565" s="1916">
        <v>0</v>
      </c>
      <c r="H565" s="1916">
        <v>0</v>
      </c>
      <c r="I565" s="1916">
        <v>0</v>
      </c>
      <c r="J565" s="3485"/>
      <c r="K565" s="3485"/>
    </row>
    <row r="566" spans="1:11" ht="18" customHeight="1" outlineLevel="1">
      <c r="A566" s="3483"/>
      <c r="B566" s="3484"/>
      <c r="C566" s="3485"/>
      <c r="D566" s="1915">
        <v>2023</v>
      </c>
      <c r="E566" s="1916">
        <f t="shared" si="49"/>
        <v>0</v>
      </c>
      <c r="F566" s="1916">
        <v>0</v>
      </c>
      <c r="G566" s="1916">
        <v>0</v>
      </c>
      <c r="H566" s="1916">
        <v>0</v>
      </c>
      <c r="I566" s="1916">
        <v>0</v>
      </c>
      <c r="J566" s="3485"/>
      <c r="K566" s="3485"/>
    </row>
    <row r="567" spans="1:11" ht="18" customHeight="1" outlineLevel="1">
      <c r="A567" s="3483"/>
      <c r="B567" s="3484"/>
      <c r="C567" s="3485"/>
      <c r="D567" s="1915">
        <v>2024</v>
      </c>
      <c r="E567" s="1916">
        <f t="shared" si="49"/>
        <v>0</v>
      </c>
      <c r="F567" s="1916">
        <v>0</v>
      </c>
      <c r="G567" s="1916">
        <v>0</v>
      </c>
      <c r="H567" s="1916">
        <v>0</v>
      </c>
      <c r="I567" s="1916">
        <v>0</v>
      </c>
      <c r="J567" s="3485"/>
      <c r="K567" s="3485"/>
    </row>
    <row r="568" spans="1:11" ht="18" customHeight="1" outlineLevel="1">
      <c r="A568" s="3483"/>
      <c r="B568" s="3484"/>
      <c r="C568" s="3485"/>
      <c r="D568" s="1915">
        <v>2025</v>
      </c>
      <c r="E568" s="1916">
        <f t="shared" si="49"/>
        <v>0</v>
      </c>
      <c r="F568" s="1916">
        <v>0</v>
      </c>
      <c r="G568" s="1916">
        <v>0</v>
      </c>
      <c r="H568" s="1916">
        <v>0</v>
      </c>
      <c r="I568" s="1916">
        <v>0</v>
      </c>
      <c r="J568" s="3485"/>
      <c r="K568" s="3485"/>
    </row>
    <row r="569" spans="1:11" ht="12.75" customHeight="1" outlineLevel="1">
      <c r="A569" s="3483" t="s">
        <v>257</v>
      </c>
      <c r="B569" s="3484" t="s">
        <v>2952</v>
      </c>
      <c r="C569" s="3485">
        <v>2022</v>
      </c>
      <c r="D569" s="1915" t="s">
        <v>8</v>
      </c>
      <c r="E569" s="1916">
        <f t="shared" si="49"/>
        <v>20912.768100000001</v>
      </c>
      <c r="F569" s="1916">
        <f>SUM(F570:F574)</f>
        <v>20912.768100000001</v>
      </c>
      <c r="G569" s="1916">
        <f>SUM(G570:G574)</f>
        <v>0</v>
      </c>
      <c r="H569" s="1916">
        <f>SUM(H570:H574)</f>
        <v>0</v>
      </c>
      <c r="I569" s="1916">
        <f>SUM(I570:I574)</f>
        <v>0</v>
      </c>
      <c r="J569" s="3485" t="s">
        <v>3056</v>
      </c>
      <c r="K569" s="3485" t="s">
        <v>3055</v>
      </c>
    </row>
    <row r="570" spans="1:11" ht="12.75" customHeight="1" outlineLevel="1">
      <c r="A570" s="3483"/>
      <c r="B570" s="3484"/>
      <c r="C570" s="3485"/>
      <c r="D570" s="1915">
        <v>2021</v>
      </c>
      <c r="E570" s="1916">
        <f t="shared" si="49"/>
        <v>0</v>
      </c>
      <c r="F570" s="1916">
        <v>0</v>
      </c>
      <c r="G570" s="1916">
        <v>0</v>
      </c>
      <c r="H570" s="1916">
        <v>0</v>
      </c>
      <c r="I570" s="1916">
        <v>0</v>
      </c>
      <c r="J570" s="3485"/>
      <c r="K570" s="3485"/>
    </row>
    <row r="571" spans="1:11" ht="12.75" customHeight="1" outlineLevel="1">
      <c r="A571" s="3483"/>
      <c r="B571" s="3484"/>
      <c r="C571" s="3485"/>
      <c r="D571" s="1915">
        <v>2022</v>
      </c>
      <c r="E571" s="1916">
        <f t="shared" si="49"/>
        <v>20912.768100000001</v>
      </c>
      <c r="F571" s="1916">
        <v>20912.768100000001</v>
      </c>
      <c r="G571" s="1916">
        <v>0</v>
      </c>
      <c r="H571" s="1916">
        <v>0</v>
      </c>
      <c r="I571" s="1916">
        <v>0</v>
      </c>
      <c r="J571" s="3485"/>
      <c r="K571" s="3485"/>
    </row>
    <row r="572" spans="1:11" ht="12.75" customHeight="1" outlineLevel="1">
      <c r="A572" s="3483"/>
      <c r="B572" s="3484"/>
      <c r="C572" s="3485"/>
      <c r="D572" s="1915">
        <v>2023</v>
      </c>
      <c r="E572" s="1916">
        <f t="shared" si="49"/>
        <v>0</v>
      </c>
      <c r="F572" s="1916">
        <v>0</v>
      </c>
      <c r="G572" s="1916">
        <v>0</v>
      </c>
      <c r="H572" s="1916">
        <v>0</v>
      </c>
      <c r="I572" s="1916">
        <v>0</v>
      </c>
      <c r="J572" s="3485"/>
      <c r="K572" s="3485"/>
    </row>
    <row r="573" spans="1:11" ht="12.75" customHeight="1" outlineLevel="1">
      <c r="A573" s="3483"/>
      <c r="B573" s="3484"/>
      <c r="C573" s="3485"/>
      <c r="D573" s="1915">
        <v>2024</v>
      </c>
      <c r="E573" s="1916">
        <f t="shared" si="49"/>
        <v>0</v>
      </c>
      <c r="F573" s="1916">
        <v>0</v>
      </c>
      <c r="G573" s="1916">
        <v>0</v>
      </c>
      <c r="H573" s="1916">
        <v>0</v>
      </c>
      <c r="I573" s="1916">
        <v>0</v>
      </c>
      <c r="J573" s="3485"/>
      <c r="K573" s="3485"/>
    </row>
    <row r="574" spans="1:11" ht="12.75" customHeight="1" outlineLevel="1">
      <c r="A574" s="3483"/>
      <c r="B574" s="3484"/>
      <c r="C574" s="3485"/>
      <c r="D574" s="1915">
        <v>2025</v>
      </c>
      <c r="E574" s="1916">
        <f t="shared" si="49"/>
        <v>0</v>
      </c>
      <c r="F574" s="1916">
        <v>0</v>
      </c>
      <c r="G574" s="1916">
        <v>0</v>
      </c>
      <c r="H574" s="1916">
        <v>0</v>
      </c>
      <c r="I574" s="1916">
        <v>0</v>
      </c>
      <c r="J574" s="3485"/>
      <c r="K574" s="3485"/>
    </row>
    <row r="575" spans="1:11" ht="12.75" customHeight="1" outlineLevel="1">
      <c r="A575" s="3483" t="s">
        <v>260</v>
      </c>
      <c r="B575" s="3484" t="s">
        <v>2953</v>
      </c>
      <c r="C575" s="3485" t="s">
        <v>3042</v>
      </c>
      <c r="D575" s="1915" t="s">
        <v>8</v>
      </c>
      <c r="E575" s="1916">
        <f t="shared" si="49"/>
        <v>150000</v>
      </c>
      <c r="F575" s="1916">
        <f>SUM(F576:F580)</f>
        <v>142500</v>
      </c>
      <c r="G575" s="1916">
        <f>SUM(G576:G580)</f>
        <v>0</v>
      </c>
      <c r="H575" s="1916">
        <f>SUM(H576:H580)</f>
        <v>7500</v>
      </c>
      <c r="I575" s="1916">
        <f>SUM(I576:I580)</f>
        <v>0</v>
      </c>
      <c r="J575" s="3485" t="s">
        <v>3054</v>
      </c>
      <c r="K575" s="3485" t="s">
        <v>2993</v>
      </c>
    </row>
    <row r="576" spans="1:11" ht="12.75" customHeight="1" outlineLevel="1">
      <c r="A576" s="3483"/>
      <c r="B576" s="3484"/>
      <c r="C576" s="3485"/>
      <c r="D576" s="1915">
        <v>2021</v>
      </c>
      <c r="E576" s="1916">
        <f t="shared" si="49"/>
        <v>0</v>
      </c>
      <c r="F576" s="1916">
        <v>0</v>
      </c>
      <c r="G576" s="1916">
        <v>0</v>
      </c>
      <c r="H576" s="1916">
        <v>0</v>
      </c>
      <c r="I576" s="1916">
        <v>0</v>
      </c>
      <c r="J576" s="3485"/>
      <c r="K576" s="3485"/>
    </row>
    <row r="577" spans="1:11" ht="12.75" customHeight="1" outlineLevel="1">
      <c r="A577" s="3483"/>
      <c r="B577" s="3484"/>
      <c r="C577" s="3485"/>
      <c r="D577" s="1915">
        <v>2022</v>
      </c>
      <c r="E577" s="1916">
        <f t="shared" si="49"/>
        <v>70000</v>
      </c>
      <c r="F577" s="1916">
        <v>66500</v>
      </c>
      <c r="G577" s="1916">
        <v>0</v>
      </c>
      <c r="H577" s="1916">
        <v>3500</v>
      </c>
      <c r="I577" s="1916">
        <v>0</v>
      </c>
      <c r="J577" s="3485"/>
      <c r="K577" s="3485"/>
    </row>
    <row r="578" spans="1:11" ht="12.75" customHeight="1" outlineLevel="1">
      <c r="A578" s="3483"/>
      <c r="B578" s="3484"/>
      <c r="C578" s="3485"/>
      <c r="D578" s="1915">
        <v>2023</v>
      </c>
      <c r="E578" s="1916">
        <f t="shared" si="49"/>
        <v>80000</v>
      </c>
      <c r="F578" s="1916">
        <v>76000</v>
      </c>
      <c r="G578" s="1916">
        <v>0</v>
      </c>
      <c r="H578" s="1916">
        <v>4000</v>
      </c>
      <c r="I578" s="1916">
        <v>0</v>
      </c>
      <c r="J578" s="3485"/>
      <c r="K578" s="3485"/>
    </row>
    <row r="579" spans="1:11" ht="12.75" customHeight="1" outlineLevel="1">
      <c r="A579" s="3483"/>
      <c r="B579" s="3484"/>
      <c r="C579" s="3485"/>
      <c r="D579" s="1915">
        <v>2024</v>
      </c>
      <c r="E579" s="1916">
        <f t="shared" si="49"/>
        <v>0</v>
      </c>
      <c r="F579" s="1916">
        <v>0</v>
      </c>
      <c r="G579" s="1916">
        <v>0</v>
      </c>
      <c r="H579" s="1916">
        <v>0</v>
      </c>
      <c r="I579" s="1916">
        <v>0</v>
      </c>
      <c r="J579" s="3485"/>
      <c r="K579" s="3485"/>
    </row>
    <row r="580" spans="1:11" outlineLevel="1">
      <c r="A580" s="3483"/>
      <c r="B580" s="3484"/>
      <c r="C580" s="3485"/>
      <c r="D580" s="1915">
        <v>2025</v>
      </c>
      <c r="E580" s="1916">
        <f t="shared" si="49"/>
        <v>0</v>
      </c>
      <c r="F580" s="1916">
        <v>0</v>
      </c>
      <c r="G580" s="1916">
        <v>0</v>
      </c>
      <c r="H580" s="1916">
        <v>0</v>
      </c>
      <c r="I580" s="1916">
        <v>0</v>
      </c>
      <c r="J580" s="3485"/>
      <c r="K580" s="3485"/>
    </row>
    <row r="581" spans="1:11" ht="14.25" customHeight="1" outlineLevel="1">
      <c r="A581" s="3483" t="s">
        <v>2981</v>
      </c>
      <c r="B581" s="3484" t="s">
        <v>2954</v>
      </c>
      <c r="C581" s="3485" t="s">
        <v>3017</v>
      </c>
      <c r="D581" s="1915" t="s">
        <v>8</v>
      </c>
      <c r="E581" s="1916">
        <f t="shared" si="49"/>
        <v>17600</v>
      </c>
      <c r="F581" s="1916">
        <f>SUM(F582:F586)</f>
        <v>17600</v>
      </c>
      <c r="G581" s="1916">
        <f>SUM(G582:G586)</f>
        <v>0</v>
      </c>
      <c r="H581" s="1916">
        <f>SUM(H582:H586)</f>
        <v>0</v>
      </c>
      <c r="I581" s="1916">
        <f>SUM(I582:I586)</f>
        <v>0</v>
      </c>
      <c r="J581" s="3485" t="s">
        <v>3053</v>
      </c>
      <c r="K581" s="3485" t="s">
        <v>3052</v>
      </c>
    </row>
    <row r="582" spans="1:11" ht="12.75" customHeight="1" outlineLevel="1">
      <c r="A582" s="3483"/>
      <c r="B582" s="3484"/>
      <c r="C582" s="3485"/>
      <c r="D582" s="1915">
        <v>2021</v>
      </c>
      <c r="E582" s="1916">
        <f t="shared" si="49"/>
        <v>0</v>
      </c>
      <c r="F582" s="1916">
        <v>0</v>
      </c>
      <c r="G582" s="1916">
        <v>0</v>
      </c>
      <c r="H582" s="1916">
        <v>0</v>
      </c>
      <c r="I582" s="1916">
        <v>0</v>
      </c>
      <c r="J582" s="3485"/>
      <c r="K582" s="3485"/>
    </row>
    <row r="583" spans="1:11" ht="14.25" customHeight="1" outlineLevel="1">
      <c r="A583" s="3483"/>
      <c r="B583" s="3484"/>
      <c r="C583" s="3485"/>
      <c r="D583" s="1915">
        <v>2022</v>
      </c>
      <c r="E583" s="1916">
        <f t="shared" si="49"/>
        <v>4400</v>
      </c>
      <c r="F583" s="1916">
        <v>4400</v>
      </c>
      <c r="G583" s="1916">
        <v>0</v>
      </c>
      <c r="H583" s="1916">
        <v>0</v>
      </c>
      <c r="I583" s="1916">
        <v>0</v>
      </c>
      <c r="J583" s="3485"/>
      <c r="K583" s="3485"/>
    </row>
    <row r="584" spans="1:11" ht="14.25" customHeight="1" outlineLevel="1">
      <c r="A584" s="3483"/>
      <c r="B584" s="3484"/>
      <c r="C584" s="3485"/>
      <c r="D584" s="1915">
        <v>2023</v>
      </c>
      <c r="E584" s="1916">
        <f t="shared" si="49"/>
        <v>4400</v>
      </c>
      <c r="F584" s="1916">
        <v>4400</v>
      </c>
      <c r="G584" s="1916">
        <v>0</v>
      </c>
      <c r="H584" s="1916">
        <v>0</v>
      </c>
      <c r="I584" s="1916">
        <v>0</v>
      </c>
      <c r="J584" s="3485"/>
      <c r="K584" s="3485"/>
    </row>
    <row r="585" spans="1:11" ht="12" customHeight="1" outlineLevel="1">
      <c r="A585" s="3483"/>
      <c r="B585" s="3484"/>
      <c r="C585" s="3485"/>
      <c r="D585" s="1915">
        <v>2024</v>
      </c>
      <c r="E585" s="1916">
        <f t="shared" si="49"/>
        <v>4400</v>
      </c>
      <c r="F585" s="1916">
        <v>4400</v>
      </c>
      <c r="G585" s="1916">
        <v>0</v>
      </c>
      <c r="H585" s="1916">
        <v>0</v>
      </c>
      <c r="I585" s="1916">
        <v>0</v>
      </c>
      <c r="J585" s="3485"/>
      <c r="K585" s="3485"/>
    </row>
    <row r="586" spans="1:11" ht="15" customHeight="1" outlineLevel="1">
      <c r="A586" s="3483"/>
      <c r="B586" s="3484"/>
      <c r="C586" s="3485"/>
      <c r="D586" s="1915">
        <v>2025</v>
      </c>
      <c r="E586" s="1916">
        <f t="shared" si="49"/>
        <v>4400</v>
      </c>
      <c r="F586" s="1916">
        <v>4400</v>
      </c>
      <c r="G586" s="1916">
        <v>0</v>
      </c>
      <c r="H586" s="1916">
        <v>0</v>
      </c>
      <c r="I586" s="1916">
        <v>0</v>
      </c>
      <c r="J586" s="3485"/>
      <c r="K586" s="3485"/>
    </row>
    <row r="587" spans="1:11" ht="12.75" customHeight="1" outlineLevel="1">
      <c r="A587" s="3483" t="s">
        <v>2982</v>
      </c>
      <c r="B587" s="3484" t="s">
        <v>3051</v>
      </c>
      <c r="C587" s="3485">
        <v>2022</v>
      </c>
      <c r="D587" s="1915" t="s">
        <v>8</v>
      </c>
      <c r="E587" s="1916">
        <f t="shared" si="49"/>
        <v>65500</v>
      </c>
      <c r="F587" s="1916">
        <f>SUM(F588:F592)</f>
        <v>62225</v>
      </c>
      <c r="G587" s="1916">
        <f>SUM(G588:G592)</f>
        <v>0</v>
      </c>
      <c r="H587" s="1916">
        <f>SUM(H588:H592)</f>
        <v>3275</v>
      </c>
      <c r="I587" s="1916">
        <f>SUM(I588:I592)</f>
        <v>0</v>
      </c>
      <c r="J587" s="3485" t="s">
        <v>3050</v>
      </c>
      <c r="K587" s="3485" t="s">
        <v>2993</v>
      </c>
    </row>
    <row r="588" spans="1:11" ht="12.75" customHeight="1" outlineLevel="1">
      <c r="A588" s="3483"/>
      <c r="B588" s="3484"/>
      <c r="C588" s="3485"/>
      <c r="D588" s="1915">
        <v>2021</v>
      </c>
      <c r="E588" s="1916">
        <f t="shared" si="49"/>
        <v>0</v>
      </c>
      <c r="F588" s="1916">
        <v>0</v>
      </c>
      <c r="G588" s="1916">
        <v>0</v>
      </c>
      <c r="H588" s="1916">
        <v>0</v>
      </c>
      <c r="I588" s="1916">
        <v>0</v>
      </c>
      <c r="J588" s="3485"/>
      <c r="K588" s="3485"/>
    </row>
    <row r="589" spans="1:11" ht="12.75" customHeight="1" outlineLevel="1">
      <c r="A589" s="3483"/>
      <c r="B589" s="3484"/>
      <c r="C589" s="3485"/>
      <c r="D589" s="1915">
        <v>2022</v>
      </c>
      <c r="E589" s="1916">
        <f t="shared" si="49"/>
        <v>65500</v>
      </c>
      <c r="F589" s="1916">
        <v>62225</v>
      </c>
      <c r="G589" s="1916">
        <v>0</v>
      </c>
      <c r="H589" s="1916">
        <v>3275</v>
      </c>
      <c r="I589" s="1916">
        <v>0</v>
      </c>
      <c r="J589" s="3485"/>
      <c r="K589" s="3485"/>
    </row>
    <row r="590" spans="1:11" ht="12.75" customHeight="1" outlineLevel="1">
      <c r="A590" s="3483"/>
      <c r="B590" s="3484"/>
      <c r="C590" s="3485"/>
      <c r="D590" s="1915">
        <v>2023</v>
      </c>
      <c r="E590" s="1916">
        <f t="shared" si="49"/>
        <v>0</v>
      </c>
      <c r="F590" s="1916">
        <v>0</v>
      </c>
      <c r="G590" s="1916">
        <v>0</v>
      </c>
      <c r="H590" s="1916">
        <v>0</v>
      </c>
      <c r="I590" s="1916">
        <v>0</v>
      </c>
      <c r="J590" s="3485"/>
      <c r="K590" s="3485"/>
    </row>
    <row r="591" spans="1:11" ht="12.75" customHeight="1" outlineLevel="1">
      <c r="A591" s="3483"/>
      <c r="B591" s="3484"/>
      <c r="C591" s="3485"/>
      <c r="D591" s="1915">
        <v>2024</v>
      </c>
      <c r="E591" s="1916">
        <f t="shared" si="49"/>
        <v>0</v>
      </c>
      <c r="F591" s="1916">
        <v>0</v>
      </c>
      <c r="G591" s="1916">
        <v>0</v>
      </c>
      <c r="H591" s="1916">
        <v>0</v>
      </c>
      <c r="I591" s="1916">
        <v>0</v>
      </c>
      <c r="J591" s="3485"/>
      <c r="K591" s="3485"/>
    </row>
    <row r="592" spans="1:11" ht="12.75" customHeight="1" outlineLevel="1">
      <c r="A592" s="3483"/>
      <c r="B592" s="3484"/>
      <c r="C592" s="3485"/>
      <c r="D592" s="1915">
        <v>2025</v>
      </c>
      <c r="E592" s="1916">
        <f t="shared" si="49"/>
        <v>0</v>
      </c>
      <c r="F592" s="1916">
        <v>0</v>
      </c>
      <c r="G592" s="1916">
        <v>0</v>
      </c>
      <c r="H592" s="1916">
        <v>0</v>
      </c>
      <c r="I592" s="1916">
        <v>0</v>
      </c>
      <c r="J592" s="3485"/>
      <c r="K592" s="3485"/>
    </row>
    <row r="593" spans="1:11" ht="12.75" customHeight="1" outlineLevel="1">
      <c r="A593" s="3483" t="s">
        <v>2983</v>
      </c>
      <c r="B593" s="3484" t="s">
        <v>2955</v>
      </c>
      <c r="C593" s="3485">
        <v>2022</v>
      </c>
      <c r="D593" s="1915" t="s">
        <v>8</v>
      </c>
      <c r="E593" s="1916">
        <f t="shared" si="49"/>
        <v>3010.9325454545456</v>
      </c>
      <c r="F593" s="1916">
        <f>SUM(F594:F598)</f>
        <v>2980.8232200000002</v>
      </c>
      <c r="G593" s="1916">
        <f t="shared" ref="G593:G635" si="51">SUM(G594:G598)</f>
        <v>0</v>
      </c>
      <c r="H593" s="1916">
        <f>SUM(H594:H598)</f>
        <v>30.109325454545456</v>
      </c>
      <c r="I593" s="1916">
        <f t="shared" ref="I593:I629" si="52">SUM(I594:I598)</f>
        <v>0</v>
      </c>
      <c r="J593" s="3485" t="s">
        <v>3049</v>
      </c>
      <c r="K593" s="3485" t="s">
        <v>2993</v>
      </c>
    </row>
    <row r="594" spans="1:11" ht="12.75" customHeight="1" outlineLevel="1">
      <c r="A594" s="3483"/>
      <c r="B594" s="3484"/>
      <c r="C594" s="3485"/>
      <c r="D594" s="1915">
        <v>2021</v>
      </c>
      <c r="E594" s="1916">
        <f t="shared" si="49"/>
        <v>0</v>
      </c>
      <c r="F594" s="1916"/>
      <c r="G594" s="1916">
        <f t="shared" si="51"/>
        <v>0</v>
      </c>
      <c r="H594" s="1916"/>
      <c r="I594" s="1916">
        <f t="shared" si="52"/>
        <v>0</v>
      </c>
      <c r="J594" s="3485"/>
      <c r="K594" s="3485"/>
    </row>
    <row r="595" spans="1:11" ht="12.75" customHeight="1" outlineLevel="1">
      <c r="A595" s="3483"/>
      <c r="B595" s="3484"/>
      <c r="C595" s="3485"/>
      <c r="D595" s="1915">
        <v>2022</v>
      </c>
      <c r="E595" s="1916">
        <f t="shared" si="49"/>
        <v>3010.9325454545456</v>
      </c>
      <c r="F595" s="1916">
        <v>2980.8232200000002</v>
      </c>
      <c r="G595" s="1916">
        <f t="shared" si="51"/>
        <v>0</v>
      </c>
      <c r="H595" s="1916">
        <f>F595/99*1</f>
        <v>30.109325454545456</v>
      </c>
      <c r="I595" s="1916">
        <f t="shared" si="52"/>
        <v>0</v>
      </c>
      <c r="J595" s="3485"/>
      <c r="K595" s="3485"/>
    </row>
    <row r="596" spans="1:11" ht="12.75" customHeight="1" outlineLevel="1">
      <c r="A596" s="3483"/>
      <c r="B596" s="3484"/>
      <c r="C596" s="3485"/>
      <c r="D596" s="1915">
        <v>2023</v>
      </c>
      <c r="E596" s="1916">
        <f t="shared" si="49"/>
        <v>0</v>
      </c>
      <c r="F596" s="1916"/>
      <c r="G596" s="1916">
        <f t="shared" si="51"/>
        <v>0</v>
      </c>
      <c r="H596" s="1916"/>
      <c r="I596" s="1916">
        <f t="shared" si="52"/>
        <v>0</v>
      </c>
      <c r="J596" s="3485"/>
      <c r="K596" s="3485"/>
    </row>
    <row r="597" spans="1:11" ht="12.75" customHeight="1" outlineLevel="1">
      <c r="A597" s="3483"/>
      <c r="B597" s="3484"/>
      <c r="C597" s="3485"/>
      <c r="D597" s="1915">
        <v>2024</v>
      </c>
      <c r="E597" s="1916">
        <f t="shared" si="49"/>
        <v>0</v>
      </c>
      <c r="F597" s="1916"/>
      <c r="G597" s="1916">
        <f t="shared" si="51"/>
        <v>0</v>
      </c>
      <c r="H597" s="1916"/>
      <c r="I597" s="1916">
        <f t="shared" si="52"/>
        <v>0</v>
      </c>
      <c r="J597" s="3485"/>
      <c r="K597" s="3485"/>
    </row>
    <row r="598" spans="1:11" ht="12.75" customHeight="1" outlineLevel="1">
      <c r="A598" s="3483"/>
      <c r="B598" s="3484"/>
      <c r="C598" s="3485"/>
      <c r="D598" s="1915">
        <v>2025</v>
      </c>
      <c r="E598" s="1916">
        <f t="shared" si="49"/>
        <v>0</v>
      </c>
      <c r="F598" s="1916"/>
      <c r="G598" s="1916">
        <f t="shared" si="51"/>
        <v>0</v>
      </c>
      <c r="H598" s="1916"/>
      <c r="I598" s="1916">
        <f t="shared" si="52"/>
        <v>0</v>
      </c>
      <c r="J598" s="3485"/>
      <c r="K598" s="3485"/>
    </row>
    <row r="599" spans="1:11" ht="12.75" customHeight="1" outlineLevel="1">
      <c r="A599" s="3483" t="s">
        <v>2984</v>
      </c>
      <c r="B599" s="3484" t="s">
        <v>2956</v>
      </c>
      <c r="C599" s="3485">
        <v>2022</v>
      </c>
      <c r="D599" s="1915" t="s">
        <v>8</v>
      </c>
      <c r="E599" s="1916">
        <f t="shared" si="49"/>
        <v>9956.0763399999996</v>
      </c>
      <c r="F599" s="1916">
        <f>SUM(F600:F604)</f>
        <v>9458.2733399999997</v>
      </c>
      <c r="G599" s="1916">
        <f t="shared" si="51"/>
        <v>0</v>
      </c>
      <c r="H599" s="1916">
        <f>SUM(H600:H604)</f>
        <v>497.803</v>
      </c>
      <c r="I599" s="1916">
        <f t="shared" si="52"/>
        <v>0</v>
      </c>
      <c r="J599" s="3485" t="s">
        <v>3048</v>
      </c>
      <c r="K599" s="3485" t="s">
        <v>2993</v>
      </c>
    </row>
    <row r="600" spans="1:11" ht="12.75" customHeight="1" outlineLevel="1">
      <c r="A600" s="3483"/>
      <c r="B600" s="3484"/>
      <c r="C600" s="3485"/>
      <c r="D600" s="1915">
        <v>2021</v>
      </c>
      <c r="E600" s="1916">
        <f t="shared" si="49"/>
        <v>0</v>
      </c>
      <c r="F600" s="1916">
        <v>0</v>
      </c>
      <c r="G600" s="1916">
        <f t="shared" si="51"/>
        <v>0</v>
      </c>
      <c r="H600" s="1916">
        <v>0</v>
      </c>
      <c r="I600" s="1916">
        <f t="shared" si="52"/>
        <v>0</v>
      </c>
      <c r="J600" s="3485"/>
      <c r="K600" s="3485"/>
    </row>
    <row r="601" spans="1:11" ht="12.75" customHeight="1" outlineLevel="1">
      <c r="A601" s="3483"/>
      <c r="B601" s="3484"/>
      <c r="C601" s="3485"/>
      <c r="D601" s="1915">
        <v>2022</v>
      </c>
      <c r="E601" s="1916">
        <f t="shared" si="49"/>
        <v>9956.0763399999996</v>
      </c>
      <c r="F601" s="1916">
        <v>9458.2733399999997</v>
      </c>
      <c r="G601" s="1916">
        <f t="shared" si="51"/>
        <v>0</v>
      </c>
      <c r="H601" s="1916">
        <v>497.803</v>
      </c>
      <c r="I601" s="1916">
        <f t="shared" si="52"/>
        <v>0</v>
      </c>
      <c r="J601" s="3485"/>
      <c r="K601" s="3485"/>
    </row>
    <row r="602" spans="1:11" ht="12.75" customHeight="1" outlineLevel="1">
      <c r="A602" s="3483"/>
      <c r="B602" s="3484"/>
      <c r="C602" s="3485"/>
      <c r="D602" s="1915">
        <v>2023</v>
      </c>
      <c r="E602" s="1916">
        <f t="shared" si="49"/>
        <v>0</v>
      </c>
      <c r="F602" s="1916">
        <v>0</v>
      </c>
      <c r="G602" s="1916">
        <f t="shared" si="51"/>
        <v>0</v>
      </c>
      <c r="H602" s="1916">
        <v>0</v>
      </c>
      <c r="I602" s="1916">
        <f t="shared" si="52"/>
        <v>0</v>
      </c>
      <c r="J602" s="3485"/>
      <c r="K602" s="3485"/>
    </row>
    <row r="603" spans="1:11" ht="12.75" customHeight="1" outlineLevel="1">
      <c r="A603" s="3483"/>
      <c r="B603" s="3484"/>
      <c r="C603" s="3485"/>
      <c r="D603" s="1915">
        <v>2024</v>
      </c>
      <c r="E603" s="1916">
        <f t="shared" si="49"/>
        <v>0</v>
      </c>
      <c r="F603" s="1916">
        <v>0</v>
      </c>
      <c r="G603" s="1916">
        <f t="shared" si="51"/>
        <v>0</v>
      </c>
      <c r="H603" s="1916">
        <v>0</v>
      </c>
      <c r="I603" s="1916">
        <f t="shared" si="52"/>
        <v>0</v>
      </c>
      <c r="J603" s="3485"/>
      <c r="K603" s="3485"/>
    </row>
    <row r="604" spans="1:11" ht="12.75" customHeight="1" outlineLevel="1">
      <c r="A604" s="3483"/>
      <c r="B604" s="3484"/>
      <c r="C604" s="3485"/>
      <c r="D604" s="1915">
        <v>2025</v>
      </c>
      <c r="E604" s="1916">
        <f t="shared" si="49"/>
        <v>0</v>
      </c>
      <c r="F604" s="1916">
        <v>0</v>
      </c>
      <c r="G604" s="1916">
        <f t="shared" si="51"/>
        <v>0</v>
      </c>
      <c r="H604" s="1916">
        <v>0</v>
      </c>
      <c r="I604" s="1916">
        <f t="shared" si="52"/>
        <v>0</v>
      </c>
      <c r="J604" s="3485"/>
      <c r="K604" s="3485"/>
    </row>
    <row r="605" spans="1:11" ht="12.75" customHeight="1" outlineLevel="1">
      <c r="A605" s="3483" t="s">
        <v>603</v>
      </c>
      <c r="B605" s="3484" t="s">
        <v>2957</v>
      </c>
      <c r="C605" s="3485">
        <v>2022</v>
      </c>
      <c r="D605" s="1915" t="s">
        <v>8</v>
      </c>
      <c r="E605" s="1916">
        <f t="shared" si="49"/>
        <v>3320.7358421052631</v>
      </c>
      <c r="F605" s="1916">
        <f>SUM(F606:F610)</f>
        <v>3154.6990500000002</v>
      </c>
      <c r="G605" s="1916">
        <f t="shared" si="51"/>
        <v>0</v>
      </c>
      <c r="H605" s="1916">
        <f>SUM(H606:H610)</f>
        <v>166.03679210526315</v>
      </c>
      <c r="I605" s="1916">
        <f t="shared" si="52"/>
        <v>0</v>
      </c>
      <c r="J605" s="3485" t="s">
        <v>3047</v>
      </c>
      <c r="K605" s="3485" t="s">
        <v>2993</v>
      </c>
    </row>
    <row r="606" spans="1:11" ht="12.75" customHeight="1" outlineLevel="1">
      <c r="A606" s="3483"/>
      <c r="B606" s="3484"/>
      <c r="C606" s="3485"/>
      <c r="D606" s="1915">
        <v>2021</v>
      </c>
      <c r="E606" s="1916">
        <f t="shared" si="49"/>
        <v>0</v>
      </c>
      <c r="F606" s="1916">
        <v>0</v>
      </c>
      <c r="G606" s="1916">
        <f t="shared" si="51"/>
        <v>0</v>
      </c>
      <c r="H606" s="1916">
        <v>0</v>
      </c>
      <c r="I606" s="1916">
        <f t="shared" si="52"/>
        <v>0</v>
      </c>
      <c r="J606" s="3485"/>
      <c r="K606" s="3485"/>
    </row>
    <row r="607" spans="1:11" ht="12.75" customHeight="1" outlineLevel="1">
      <c r="A607" s="3483"/>
      <c r="B607" s="3484"/>
      <c r="C607" s="3485"/>
      <c r="D607" s="1915">
        <v>2022</v>
      </c>
      <c r="E607" s="1916">
        <f t="shared" si="49"/>
        <v>3320.7358421052631</v>
      </c>
      <c r="F607" s="1916">
        <v>3154.6990500000002</v>
      </c>
      <c r="G607" s="1916">
        <f t="shared" si="51"/>
        <v>0</v>
      </c>
      <c r="H607" s="1916">
        <f>F607/95*5</f>
        <v>166.03679210526315</v>
      </c>
      <c r="I607" s="1916">
        <f t="shared" si="52"/>
        <v>0</v>
      </c>
      <c r="J607" s="3485"/>
      <c r="K607" s="3485"/>
    </row>
    <row r="608" spans="1:11" ht="12.75" customHeight="1" outlineLevel="1">
      <c r="A608" s="3483"/>
      <c r="B608" s="3484"/>
      <c r="C608" s="3485"/>
      <c r="D608" s="1915">
        <v>2023</v>
      </c>
      <c r="E608" s="1916">
        <f t="shared" si="49"/>
        <v>0</v>
      </c>
      <c r="F608" s="1916">
        <v>0</v>
      </c>
      <c r="G608" s="1916">
        <f t="shared" si="51"/>
        <v>0</v>
      </c>
      <c r="H608" s="1916">
        <v>0</v>
      </c>
      <c r="I608" s="1916">
        <f t="shared" si="52"/>
        <v>0</v>
      </c>
      <c r="J608" s="3485"/>
      <c r="K608" s="3485"/>
    </row>
    <row r="609" spans="1:11" ht="12.75" customHeight="1" outlineLevel="1">
      <c r="A609" s="3483"/>
      <c r="B609" s="3484"/>
      <c r="C609" s="3485"/>
      <c r="D609" s="1915">
        <v>2024</v>
      </c>
      <c r="E609" s="1916">
        <f t="shared" si="49"/>
        <v>0</v>
      </c>
      <c r="F609" s="1916">
        <v>0</v>
      </c>
      <c r="G609" s="1916">
        <f t="shared" si="51"/>
        <v>0</v>
      </c>
      <c r="H609" s="1916">
        <v>0</v>
      </c>
      <c r="I609" s="1916">
        <f t="shared" si="52"/>
        <v>0</v>
      </c>
      <c r="J609" s="3485"/>
      <c r="K609" s="3485"/>
    </row>
    <row r="610" spans="1:11" ht="12.75" customHeight="1" outlineLevel="1">
      <c r="A610" s="3483"/>
      <c r="B610" s="3484"/>
      <c r="C610" s="3485"/>
      <c r="D610" s="1915">
        <v>2025</v>
      </c>
      <c r="E610" s="1916">
        <f t="shared" si="49"/>
        <v>0</v>
      </c>
      <c r="F610" s="1916">
        <v>0</v>
      </c>
      <c r="G610" s="1916">
        <f t="shared" si="51"/>
        <v>0</v>
      </c>
      <c r="H610" s="1916">
        <v>0</v>
      </c>
      <c r="I610" s="1916">
        <f t="shared" si="52"/>
        <v>0</v>
      </c>
      <c r="J610" s="3485"/>
      <c r="K610" s="3485"/>
    </row>
    <row r="611" spans="1:11" ht="12.75" customHeight="1" outlineLevel="1">
      <c r="A611" s="3483" t="s">
        <v>606</v>
      </c>
      <c r="B611" s="3484" t="s">
        <v>2958</v>
      </c>
      <c r="C611" s="3485">
        <v>2022</v>
      </c>
      <c r="D611" s="1915" t="s">
        <v>8</v>
      </c>
      <c r="E611" s="1916">
        <f t="shared" si="49"/>
        <v>17129.317905263157</v>
      </c>
      <c r="F611" s="1916">
        <f>SUM(F612:F616)</f>
        <v>16272.852010000001</v>
      </c>
      <c r="G611" s="1916">
        <f t="shared" si="51"/>
        <v>0</v>
      </c>
      <c r="H611" s="1916">
        <f>SUM(H612:H616)</f>
        <v>856.4658952631579</v>
      </c>
      <c r="I611" s="1916">
        <f t="shared" si="52"/>
        <v>0</v>
      </c>
      <c r="J611" s="3485" t="s">
        <v>3046</v>
      </c>
      <c r="K611" s="3485" t="s">
        <v>2993</v>
      </c>
    </row>
    <row r="612" spans="1:11" ht="12.75" customHeight="1" outlineLevel="1">
      <c r="A612" s="3483"/>
      <c r="B612" s="3484"/>
      <c r="C612" s="3485"/>
      <c r="D612" s="1915">
        <v>2021</v>
      </c>
      <c r="E612" s="1916">
        <f t="shared" si="49"/>
        <v>0</v>
      </c>
      <c r="F612" s="1916">
        <v>0</v>
      </c>
      <c r="G612" s="1916">
        <f t="shared" si="51"/>
        <v>0</v>
      </c>
      <c r="H612" s="1916">
        <v>0</v>
      </c>
      <c r="I612" s="1916">
        <f t="shared" si="52"/>
        <v>0</v>
      </c>
      <c r="J612" s="3485"/>
      <c r="K612" s="3485"/>
    </row>
    <row r="613" spans="1:11" ht="12.75" customHeight="1" outlineLevel="1">
      <c r="A613" s="3483"/>
      <c r="B613" s="3484"/>
      <c r="C613" s="3485"/>
      <c r="D613" s="1915">
        <v>2022</v>
      </c>
      <c r="E613" s="1916">
        <f t="shared" si="49"/>
        <v>17129.317905263157</v>
      </c>
      <c r="F613" s="1916">
        <v>16272.852010000001</v>
      </c>
      <c r="G613" s="1916">
        <f t="shared" si="51"/>
        <v>0</v>
      </c>
      <c r="H613" s="1916">
        <f>F613/95*5</f>
        <v>856.4658952631579</v>
      </c>
      <c r="I613" s="1916">
        <f t="shared" si="52"/>
        <v>0</v>
      </c>
      <c r="J613" s="3485"/>
      <c r="K613" s="3485"/>
    </row>
    <row r="614" spans="1:11" ht="12.75" customHeight="1" outlineLevel="1">
      <c r="A614" s="3483"/>
      <c r="B614" s="3484"/>
      <c r="C614" s="3485"/>
      <c r="D614" s="1915">
        <v>2023</v>
      </c>
      <c r="E614" s="1916">
        <f t="shared" si="49"/>
        <v>0</v>
      </c>
      <c r="F614" s="1916">
        <v>0</v>
      </c>
      <c r="G614" s="1916">
        <f t="shared" si="51"/>
        <v>0</v>
      </c>
      <c r="H614" s="1916">
        <v>0</v>
      </c>
      <c r="I614" s="1916">
        <f t="shared" si="52"/>
        <v>0</v>
      </c>
      <c r="J614" s="3485"/>
      <c r="K614" s="3485"/>
    </row>
    <row r="615" spans="1:11" ht="12.75" customHeight="1" outlineLevel="1">
      <c r="A615" s="3483"/>
      <c r="B615" s="3484"/>
      <c r="C615" s="3485"/>
      <c r="D615" s="1915">
        <v>2024</v>
      </c>
      <c r="E615" s="1916">
        <f t="shared" si="49"/>
        <v>0</v>
      </c>
      <c r="F615" s="1916">
        <v>0</v>
      </c>
      <c r="G615" s="1916">
        <f t="shared" si="51"/>
        <v>0</v>
      </c>
      <c r="H615" s="1916">
        <v>0</v>
      </c>
      <c r="I615" s="1916">
        <f t="shared" si="52"/>
        <v>0</v>
      </c>
      <c r="J615" s="3485"/>
      <c r="K615" s="3485"/>
    </row>
    <row r="616" spans="1:11" ht="12.75" customHeight="1" outlineLevel="1">
      <c r="A616" s="3483"/>
      <c r="B616" s="3484"/>
      <c r="C616" s="3485"/>
      <c r="D616" s="1915">
        <v>2025</v>
      </c>
      <c r="E616" s="1916">
        <f t="shared" si="49"/>
        <v>0</v>
      </c>
      <c r="F616" s="1916">
        <v>0</v>
      </c>
      <c r="G616" s="1916">
        <f t="shared" si="51"/>
        <v>0</v>
      </c>
      <c r="H616" s="1916">
        <v>0</v>
      </c>
      <c r="I616" s="1916">
        <f t="shared" si="52"/>
        <v>0</v>
      </c>
      <c r="J616" s="3485"/>
      <c r="K616" s="3485"/>
    </row>
    <row r="617" spans="1:11" ht="12.75" customHeight="1" outlineLevel="1">
      <c r="A617" s="3483" t="s">
        <v>609</v>
      </c>
      <c r="B617" s="3484" t="s">
        <v>2959</v>
      </c>
      <c r="C617" s="3485">
        <v>2022</v>
      </c>
      <c r="D617" s="1915" t="s">
        <v>8</v>
      </c>
      <c r="E617" s="1916">
        <f t="shared" si="49"/>
        <v>5286.9536799999996</v>
      </c>
      <c r="F617" s="1916">
        <f>SUM(F618:F622)</f>
        <v>5022.6066799999999</v>
      </c>
      <c r="G617" s="1916">
        <f t="shared" si="51"/>
        <v>0</v>
      </c>
      <c r="H617" s="1916">
        <f>SUM(H618:H622)</f>
        <v>264.34699999999998</v>
      </c>
      <c r="I617" s="1916">
        <f t="shared" si="52"/>
        <v>0</v>
      </c>
      <c r="J617" s="3485" t="s">
        <v>3045</v>
      </c>
      <c r="K617" s="3485" t="s">
        <v>2993</v>
      </c>
    </row>
    <row r="618" spans="1:11" ht="12.75" customHeight="1" outlineLevel="1">
      <c r="A618" s="3483"/>
      <c r="B618" s="3484"/>
      <c r="C618" s="3485"/>
      <c r="D618" s="1915">
        <v>2021</v>
      </c>
      <c r="E618" s="1916">
        <f t="shared" si="49"/>
        <v>0</v>
      </c>
      <c r="F618" s="1916">
        <v>0</v>
      </c>
      <c r="G618" s="1916">
        <f t="shared" si="51"/>
        <v>0</v>
      </c>
      <c r="H618" s="1916">
        <v>0</v>
      </c>
      <c r="I618" s="1916">
        <f t="shared" si="52"/>
        <v>0</v>
      </c>
      <c r="J618" s="3485"/>
      <c r="K618" s="3485"/>
    </row>
    <row r="619" spans="1:11" ht="12.75" customHeight="1" outlineLevel="1">
      <c r="A619" s="3483"/>
      <c r="B619" s="3484"/>
      <c r="C619" s="3485"/>
      <c r="D619" s="1915">
        <v>2022</v>
      </c>
      <c r="E619" s="1916">
        <f t="shared" si="49"/>
        <v>5286.9536799999996</v>
      </c>
      <c r="F619" s="1916">
        <v>5022.6066799999999</v>
      </c>
      <c r="G619" s="1916">
        <f t="shared" si="51"/>
        <v>0</v>
      </c>
      <c r="H619" s="1916">
        <v>264.34699999999998</v>
      </c>
      <c r="I619" s="1916">
        <f t="shared" si="52"/>
        <v>0</v>
      </c>
      <c r="J619" s="3485"/>
      <c r="K619" s="3485"/>
    </row>
    <row r="620" spans="1:11" ht="12.75" customHeight="1" outlineLevel="1">
      <c r="A620" s="3483"/>
      <c r="B620" s="3484"/>
      <c r="C620" s="3485"/>
      <c r="D620" s="1915">
        <v>2023</v>
      </c>
      <c r="E620" s="1916">
        <f t="shared" si="49"/>
        <v>0</v>
      </c>
      <c r="F620" s="1916">
        <v>0</v>
      </c>
      <c r="G620" s="1916">
        <f t="shared" si="51"/>
        <v>0</v>
      </c>
      <c r="H620" s="1916">
        <v>0</v>
      </c>
      <c r="I620" s="1916">
        <f t="shared" si="52"/>
        <v>0</v>
      </c>
      <c r="J620" s="3485"/>
      <c r="K620" s="3485"/>
    </row>
    <row r="621" spans="1:11" ht="12.75" customHeight="1" outlineLevel="1">
      <c r="A621" s="3483"/>
      <c r="B621" s="3484"/>
      <c r="C621" s="3485"/>
      <c r="D621" s="1915">
        <v>2024</v>
      </c>
      <c r="E621" s="1916">
        <f t="shared" si="49"/>
        <v>0</v>
      </c>
      <c r="F621" s="1916">
        <v>0</v>
      </c>
      <c r="G621" s="1916">
        <f t="shared" si="51"/>
        <v>0</v>
      </c>
      <c r="H621" s="1916">
        <v>0</v>
      </c>
      <c r="I621" s="1916">
        <f t="shared" si="52"/>
        <v>0</v>
      </c>
      <c r="J621" s="3485"/>
      <c r="K621" s="3485"/>
    </row>
    <row r="622" spans="1:11" ht="12.75" customHeight="1" outlineLevel="1">
      <c r="A622" s="3483"/>
      <c r="B622" s="3484"/>
      <c r="C622" s="3485"/>
      <c r="D622" s="1915">
        <v>2025</v>
      </c>
      <c r="E622" s="1916">
        <f t="shared" ref="E622:F685" si="53">SUM(F622:I622)</f>
        <v>0</v>
      </c>
      <c r="F622" s="1916">
        <v>0</v>
      </c>
      <c r="G622" s="1916">
        <f t="shared" si="51"/>
        <v>0</v>
      </c>
      <c r="H622" s="1916">
        <v>0</v>
      </c>
      <c r="I622" s="1916">
        <f t="shared" si="52"/>
        <v>0</v>
      </c>
      <c r="J622" s="3485"/>
      <c r="K622" s="3485"/>
    </row>
    <row r="623" spans="1:11" ht="12.75" customHeight="1" outlineLevel="1">
      <c r="A623" s="3483" t="s">
        <v>611</v>
      </c>
      <c r="B623" s="3484" t="s">
        <v>2960</v>
      </c>
      <c r="C623" s="3485">
        <v>2022</v>
      </c>
      <c r="D623" s="1915" t="s">
        <v>8</v>
      </c>
      <c r="E623" s="1916">
        <f t="shared" si="53"/>
        <v>2973.9789052631577</v>
      </c>
      <c r="F623" s="1916">
        <f>SUM(F624:F628)</f>
        <v>2825.2799599999998</v>
      </c>
      <c r="G623" s="1916">
        <f t="shared" si="51"/>
        <v>0</v>
      </c>
      <c r="H623" s="1916">
        <f>SUM(H624:H628)</f>
        <v>148.69894526315787</v>
      </c>
      <c r="I623" s="1916">
        <f t="shared" si="52"/>
        <v>0</v>
      </c>
      <c r="J623" s="3485" t="s">
        <v>3044</v>
      </c>
      <c r="K623" s="3485" t="s">
        <v>2993</v>
      </c>
    </row>
    <row r="624" spans="1:11" ht="12.75" customHeight="1" outlineLevel="1">
      <c r="A624" s="3483"/>
      <c r="B624" s="3484"/>
      <c r="C624" s="3485"/>
      <c r="D624" s="1915">
        <v>2021</v>
      </c>
      <c r="E624" s="1916">
        <f t="shared" si="53"/>
        <v>0</v>
      </c>
      <c r="F624" s="1916">
        <v>0</v>
      </c>
      <c r="G624" s="1916">
        <f t="shared" si="51"/>
        <v>0</v>
      </c>
      <c r="H624" s="1916">
        <v>0</v>
      </c>
      <c r="I624" s="1916">
        <v>0</v>
      </c>
      <c r="J624" s="3485"/>
      <c r="K624" s="3485"/>
    </row>
    <row r="625" spans="1:11" ht="12.75" customHeight="1" outlineLevel="1">
      <c r="A625" s="3483"/>
      <c r="B625" s="3484"/>
      <c r="C625" s="3485"/>
      <c r="D625" s="1915">
        <v>2022</v>
      </c>
      <c r="E625" s="1916">
        <f t="shared" si="53"/>
        <v>2973.9789052631577</v>
      </c>
      <c r="F625" s="1916">
        <v>2825.2799599999998</v>
      </c>
      <c r="G625" s="1916">
        <f t="shared" si="51"/>
        <v>0</v>
      </c>
      <c r="H625" s="1916">
        <f>F625/95*5</f>
        <v>148.69894526315787</v>
      </c>
      <c r="I625" s="1916">
        <v>0</v>
      </c>
      <c r="J625" s="3485"/>
      <c r="K625" s="3485"/>
    </row>
    <row r="626" spans="1:11" ht="12.75" customHeight="1" outlineLevel="1">
      <c r="A626" s="3483"/>
      <c r="B626" s="3484"/>
      <c r="C626" s="3485"/>
      <c r="D626" s="1915">
        <v>2023</v>
      </c>
      <c r="E626" s="1916">
        <f t="shared" si="53"/>
        <v>0</v>
      </c>
      <c r="F626" s="1916">
        <v>0</v>
      </c>
      <c r="G626" s="1916">
        <v>0</v>
      </c>
      <c r="H626" s="1916">
        <v>0</v>
      </c>
      <c r="I626" s="1916">
        <v>0</v>
      </c>
      <c r="J626" s="3485"/>
      <c r="K626" s="3485"/>
    </row>
    <row r="627" spans="1:11" ht="12.75" customHeight="1" outlineLevel="1">
      <c r="A627" s="3483"/>
      <c r="B627" s="3484"/>
      <c r="C627" s="3485"/>
      <c r="D627" s="1915">
        <v>2024</v>
      </c>
      <c r="E627" s="1916">
        <f t="shared" si="53"/>
        <v>0</v>
      </c>
      <c r="F627" s="1916">
        <v>0</v>
      </c>
      <c r="G627" s="1916">
        <v>0</v>
      </c>
      <c r="H627" s="1916">
        <v>0</v>
      </c>
      <c r="I627" s="1916">
        <v>0</v>
      </c>
      <c r="J627" s="3485"/>
      <c r="K627" s="3485"/>
    </row>
    <row r="628" spans="1:11" ht="12.75" customHeight="1" outlineLevel="1">
      <c r="A628" s="3483"/>
      <c r="B628" s="3484"/>
      <c r="C628" s="3485"/>
      <c r="D628" s="1915">
        <v>2025</v>
      </c>
      <c r="E628" s="1916">
        <f t="shared" si="53"/>
        <v>0</v>
      </c>
      <c r="F628" s="1916">
        <v>0</v>
      </c>
      <c r="G628" s="1916">
        <v>0</v>
      </c>
      <c r="H628" s="1916">
        <v>0</v>
      </c>
      <c r="I628" s="1916">
        <v>0</v>
      </c>
      <c r="J628" s="3485"/>
      <c r="K628" s="3485"/>
    </row>
    <row r="629" spans="1:11" ht="12.75" customHeight="1" outlineLevel="1">
      <c r="A629" s="3483" t="s">
        <v>613</v>
      </c>
      <c r="B629" s="3484" t="s">
        <v>2961</v>
      </c>
      <c r="C629" s="3485" t="s">
        <v>3042</v>
      </c>
      <c r="D629" s="1915" t="s">
        <v>8</v>
      </c>
      <c r="E629" s="1916">
        <f t="shared" si="53"/>
        <v>26151.575000000001</v>
      </c>
      <c r="F629" s="1916">
        <f>SUM(F630:F634)</f>
        <v>24843.99625</v>
      </c>
      <c r="G629" s="1916">
        <f t="shared" si="51"/>
        <v>0</v>
      </c>
      <c r="H629" s="1916">
        <f>SUM(H630:H634)</f>
        <v>1307.5787500000001</v>
      </c>
      <c r="I629" s="1916">
        <f t="shared" si="52"/>
        <v>0</v>
      </c>
      <c r="J629" s="3485" t="s">
        <v>3043</v>
      </c>
      <c r="K629" s="3485" t="s">
        <v>2993</v>
      </c>
    </row>
    <row r="630" spans="1:11" ht="12.75" customHeight="1" outlineLevel="1">
      <c r="A630" s="3483"/>
      <c r="B630" s="3484"/>
      <c r="C630" s="3485"/>
      <c r="D630" s="1915">
        <v>2021</v>
      </c>
      <c r="E630" s="1916">
        <f t="shared" si="53"/>
        <v>0</v>
      </c>
      <c r="F630" s="1916">
        <v>0</v>
      </c>
      <c r="G630" s="1916">
        <v>0</v>
      </c>
      <c r="H630" s="1916">
        <v>0</v>
      </c>
      <c r="I630" s="1916">
        <f>SUM(I631:I634)</f>
        <v>0</v>
      </c>
      <c r="J630" s="3485"/>
      <c r="K630" s="3485"/>
    </row>
    <row r="631" spans="1:11" ht="12.75" customHeight="1" outlineLevel="1">
      <c r="A631" s="3483"/>
      <c r="B631" s="3484"/>
      <c r="C631" s="3485"/>
      <c r="D631" s="1915">
        <v>2022</v>
      </c>
      <c r="E631" s="1916">
        <f t="shared" si="53"/>
        <v>16151.575000000001</v>
      </c>
      <c r="F631" s="1916">
        <v>15343.99625</v>
      </c>
      <c r="G631" s="1916">
        <v>0</v>
      </c>
      <c r="H631" s="1916">
        <f>F631*5/95</f>
        <v>807.57875000000001</v>
      </c>
      <c r="I631" s="1916">
        <f>SUM(I632:I634)</f>
        <v>0</v>
      </c>
      <c r="J631" s="3485"/>
      <c r="K631" s="3485"/>
    </row>
    <row r="632" spans="1:11" ht="12.75" customHeight="1" outlineLevel="1">
      <c r="A632" s="3483"/>
      <c r="B632" s="3484"/>
      <c r="C632" s="3485"/>
      <c r="D632" s="1915">
        <v>2023</v>
      </c>
      <c r="E632" s="1916">
        <f t="shared" si="53"/>
        <v>10000</v>
      </c>
      <c r="F632" s="1916">
        <v>9500</v>
      </c>
      <c r="G632" s="1916">
        <v>0</v>
      </c>
      <c r="H632" s="1916">
        <v>500</v>
      </c>
      <c r="I632" s="1916">
        <f>SUM(I633:I634)</f>
        <v>0</v>
      </c>
      <c r="J632" s="3485"/>
      <c r="K632" s="3485"/>
    </row>
    <row r="633" spans="1:11" ht="12.75" customHeight="1" outlineLevel="1">
      <c r="A633" s="3483"/>
      <c r="B633" s="3484"/>
      <c r="C633" s="3485"/>
      <c r="D633" s="1915">
        <v>2024</v>
      </c>
      <c r="E633" s="1916">
        <f t="shared" si="53"/>
        <v>0</v>
      </c>
      <c r="F633" s="1916">
        <v>0</v>
      </c>
      <c r="G633" s="1916">
        <v>0</v>
      </c>
      <c r="H633" s="1916">
        <v>0</v>
      </c>
      <c r="I633" s="1916">
        <v>0</v>
      </c>
      <c r="J633" s="3485"/>
      <c r="K633" s="3485"/>
    </row>
    <row r="634" spans="1:11" ht="12.75" customHeight="1" outlineLevel="1">
      <c r="A634" s="3483"/>
      <c r="B634" s="3484"/>
      <c r="C634" s="3485"/>
      <c r="D634" s="1915">
        <v>2025</v>
      </c>
      <c r="E634" s="1916">
        <f t="shared" si="53"/>
        <v>0</v>
      </c>
      <c r="F634" s="1916">
        <v>0</v>
      </c>
      <c r="G634" s="1916">
        <v>0</v>
      </c>
      <c r="H634" s="1916">
        <v>0</v>
      </c>
      <c r="I634" s="1916">
        <v>0</v>
      </c>
      <c r="J634" s="3485"/>
      <c r="K634" s="3485"/>
    </row>
    <row r="635" spans="1:11" ht="12.75" customHeight="1" outlineLevel="1">
      <c r="A635" s="3483" t="s">
        <v>615</v>
      </c>
      <c r="B635" s="3484" t="s">
        <v>2962</v>
      </c>
      <c r="C635" s="3485" t="s">
        <v>3042</v>
      </c>
      <c r="D635" s="1915" t="s">
        <v>8</v>
      </c>
      <c r="E635" s="1916">
        <f t="shared" si="53"/>
        <v>11451.6183</v>
      </c>
      <c r="F635" s="1916">
        <f>SUM(F636:F640)</f>
        <v>11451.6183</v>
      </c>
      <c r="G635" s="1916">
        <f t="shared" si="51"/>
        <v>0</v>
      </c>
      <c r="H635" s="1916">
        <f>SUM(H636:H640)</f>
        <v>0</v>
      </c>
      <c r="I635" s="1916">
        <f>SUM(I636:I640)</f>
        <v>0</v>
      </c>
      <c r="J635" s="3485" t="s">
        <v>3621</v>
      </c>
      <c r="K635" s="3485" t="s">
        <v>3040</v>
      </c>
    </row>
    <row r="636" spans="1:11" ht="12.75" customHeight="1" outlineLevel="1">
      <c r="A636" s="3483"/>
      <c r="B636" s="3484"/>
      <c r="C636" s="3485"/>
      <c r="D636" s="1915">
        <v>2021</v>
      </c>
      <c r="E636" s="1916">
        <f t="shared" si="53"/>
        <v>0</v>
      </c>
      <c r="F636" s="1916">
        <v>0</v>
      </c>
      <c r="G636" s="1916">
        <v>0</v>
      </c>
      <c r="H636" s="1916">
        <v>0</v>
      </c>
      <c r="I636" s="1916">
        <v>0</v>
      </c>
      <c r="J636" s="3485"/>
      <c r="K636" s="3485"/>
    </row>
    <row r="637" spans="1:11" ht="12.75" customHeight="1" outlineLevel="1">
      <c r="A637" s="3483"/>
      <c r="B637" s="3484"/>
      <c r="C637" s="3485"/>
      <c r="D637" s="1915">
        <v>2022</v>
      </c>
      <c r="E637" s="1916">
        <f t="shared" si="53"/>
        <v>11287.552299999999</v>
      </c>
      <c r="F637" s="1916">
        <v>11287.552299999999</v>
      </c>
      <c r="G637" s="1916">
        <v>0</v>
      </c>
      <c r="H637" s="1916">
        <v>0</v>
      </c>
      <c r="I637" s="1916">
        <v>0</v>
      </c>
      <c r="J637" s="3485"/>
      <c r="K637" s="3485"/>
    </row>
    <row r="638" spans="1:11" ht="12.75" customHeight="1" outlineLevel="1">
      <c r="A638" s="3483"/>
      <c r="B638" s="3484"/>
      <c r="C638" s="3485"/>
      <c r="D638" s="1915">
        <v>2023</v>
      </c>
      <c r="E638" s="1916">
        <f t="shared" si="53"/>
        <v>164.066</v>
      </c>
      <c r="F638" s="1916">
        <v>164.066</v>
      </c>
      <c r="G638" s="1916">
        <v>0</v>
      </c>
      <c r="H638" s="1916">
        <v>0</v>
      </c>
      <c r="I638" s="1916">
        <v>0</v>
      </c>
      <c r="J638" s="3485"/>
      <c r="K638" s="3485"/>
    </row>
    <row r="639" spans="1:11" ht="12.75" customHeight="1" outlineLevel="1">
      <c r="A639" s="3483"/>
      <c r="B639" s="3484"/>
      <c r="C639" s="3485"/>
      <c r="D639" s="1915">
        <v>2024</v>
      </c>
      <c r="E639" s="1916">
        <f t="shared" si="53"/>
        <v>0</v>
      </c>
      <c r="F639" s="1916">
        <v>0</v>
      </c>
      <c r="G639" s="1916">
        <v>0</v>
      </c>
      <c r="H639" s="1916">
        <v>0</v>
      </c>
      <c r="I639" s="1916">
        <v>0</v>
      </c>
      <c r="J639" s="3485"/>
      <c r="K639" s="3485"/>
    </row>
    <row r="640" spans="1:11" ht="12.75" customHeight="1" outlineLevel="1">
      <c r="A640" s="3483"/>
      <c r="B640" s="3484"/>
      <c r="C640" s="3485"/>
      <c r="D640" s="1915">
        <v>2025</v>
      </c>
      <c r="E640" s="1916">
        <f t="shared" si="53"/>
        <v>0</v>
      </c>
      <c r="F640" s="1916">
        <v>0</v>
      </c>
      <c r="G640" s="1916">
        <v>0</v>
      </c>
      <c r="H640" s="1916">
        <v>0</v>
      </c>
      <c r="I640" s="1916">
        <v>0</v>
      </c>
      <c r="J640" s="3485"/>
      <c r="K640" s="3485"/>
    </row>
    <row r="641" spans="1:11" ht="12.75" customHeight="1" outlineLevel="1">
      <c r="A641" s="3483" t="s">
        <v>3039</v>
      </c>
      <c r="B641" s="3484" t="s">
        <v>3038</v>
      </c>
      <c r="C641" s="3485">
        <v>2022</v>
      </c>
      <c r="D641" s="1915" t="s">
        <v>8</v>
      </c>
      <c r="E641" s="1916">
        <f t="shared" si="53"/>
        <v>2900</v>
      </c>
      <c r="F641" s="1916">
        <f>SUM(F642:F646)</f>
        <v>2900</v>
      </c>
      <c r="G641" s="1916">
        <f t="shared" ref="G641:I653" si="54">SUM(G642:G646)</f>
        <v>0</v>
      </c>
      <c r="H641" s="1916">
        <f>SUM(H642:H646)</f>
        <v>0</v>
      </c>
      <c r="I641" s="1916">
        <f>SUM(I642:I646)</f>
        <v>0</v>
      </c>
      <c r="J641" s="3485" t="s">
        <v>3037</v>
      </c>
      <c r="K641" s="3485" t="s">
        <v>3034</v>
      </c>
    </row>
    <row r="642" spans="1:11" ht="12.75" customHeight="1" outlineLevel="1">
      <c r="A642" s="3483"/>
      <c r="B642" s="3484"/>
      <c r="C642" s="3485"/>
      <c r="D642" s="1915">
        <v>2021</v>
      </c>
      <c r="E642" s="1916">
        <f t="shared" si="53"/>
        <v>0</v>
      </c>
      <c r="F642" s="1916">
        <v>0</v>
      </c>
      <c r="G642" s="1916">
        <v>0</v>
      </c>
      <c r="H642" s="1916">
        <v>0</v>
      </c>
      <c r="I642" s="1916">
        <v>0</v>
      </c>
      <c r="J642" s="3485"/>
      <c r="K642" s="3485"/>
    </row>
    <row r="643" spans="1:11" ht="12.75" customHeight="1" outlineLevel="1">
      <c r="A643" s="3483"/>
      <c r="B643" s="3484"/>
      <c r="C643" s="3485"/>
      <c r="D643" s="1915">
        <v>2022</v>
      </c>
      <c r="E643" s="1916">
        <f t="shared" si="53"/>
        <v>2900</v>
      </c>
      <c r="F643" s="1916">
        <v>2900</v>
      </c>
      <c r="G643" s="1916">
        <v>0</v>
      </c>
      <c r="H643" s="1916">
        <v>0</v>
      </c>
      <c r="I643" s="1916">
        <v>0</v>
      </c>
      <c r="J643" s="3485"/>
      <c r="K643" s="3485"/>
    </row>
    <row r="644" spans="1:11" ht="12.75" customHeight="1" outlineLevel="1">
      <c r="A644" s="3483"/>
      <c r="B644" s="3484"/>
      <c r="C644" s="3485"/>
      <c r="D644" s="1915">
        <v>2023</v>
      </c>
      <c r="E644" s="1916">
        <f t="shared" si="53"/>
        <v>0</v>
      </c>
      <c r="F644" s="1916">
        <v>0</v>
      </c>
      <c r="G644" s="1916">
        <v>0</v>
      </c>
      <c r="H644" s="1916">
        <v>0</v>
      </c>
      <c r="I644" s="1916">
        <v>0</v>
      </c>
      <c r="J644" s="3485"/>
      <c r="K644" s="3485"/>
    </row>
    <row r="645" spans="1:11" ht="12.75" customHeight="1" outlineLevel="1">
      <c r="A645" s="3483"/>
      <c r="B645" s="3484"/>
      <c r="C645" s="3485"/>
      <c r="D645" s="1915">
        <v>2024</v>
      </c>
      <c r="E645" s="1916">
        <f t="shared" si="53"/>
        <v>0</v>
      </c>
      <c r="F645" s="1916">
        <v>0</v>
      </c>
      <c r="G645" s="1916">
        <v>0</v>
      </c>
      <c r="H645" s="1916">
        <v>0</v>
      </c>
      <c r="I645" s="1916">
        <v>0</v>
      </c>
      <c r="J645" s="3485"/>
      <c r="K645" s="3485"/>
    </row>
    <row r="646" spans="1:11" ht="12.75" customHeight="1" outlineLevel="1">
      <c r="A646" s="3483"/>
      <c r="B646" s="3484"/>
      <c r="C646" s="3485"/>
      <c r="D646" s="1915">
        <v>2025</v>
      </c>
      <c r="E646" s="1916">
        <f t="shared" si="53"/>
        <v>0</v>
      </c>
      <c r="F646" s="1916">
        <v>0</v>
      </c>
      <c r="G646" s="1916">
        <v>0</v>
      </c>
      <c r="H646" s="1916">
        <v>0</v>
      </c>
      <c r="I646" s="1916">
        <v>0</v>
      </c>
      <c r="J646" s="3485"/>
      <c r="K646" s="3485"/>
    </row>
    <row r="647" spans="1:11" ht="12.75" customHeight="1" outlineLevel="1">
      <c r="A647" s="3483" t="s">
        <v>3036</v>
      </c>
      <c r="B647" s="3484" t="s">
        <v>2963</v>
      </c>
      <c r="C647" s="3485">
        <v>2022</v>
      </c>
      <c r="D647" s="1915" t="s">
        <v>8</v>
      </c>
      <c r="E647" s="1916">
        <f t="shared" si="53"/>
        <v>0</v>
      </c>
      <c r="F647" s="1916">
        <f>SUM(F648:F652)</f>
        <v>0</v>
      </c>
      <c r="G647" s="1916">
        <f t="shared" si="54"/>
        <v>0</v>
      </c>
      <c r="H647" s="1916">
        <f>SUM(H648:H652)</f>
        <v>0</v>
      </c>
      <c r="I647" s="1916">
        <f>SUM(I648:I652)</f>
        <v>0</v>
      </c>
      <c r="J647" s="3485" t="s">
        <v>3035</v>
      </c>
      <c r="K647" s="3485" t="s">
        <v>3034</v>
      </c>
    </row>
    <row r="648" spans="1:11" ht="12.75" customHeight="1" outlineLevel="1">
      <c r="A648" s="3483"/>
      <c r="B648" s="3484"/>
      <c r="C648" s="3485"/>
      <c r="D648" s="1915">
        <v>2021</v>
      </c>
      <c r="E648" s="1916">
        <f t="shared" si="53"/>
        <v>0</v>
      </c>
      <c r="F648" s="1916">
        <v>0</v>
      </c>
      <c r="G648" s="1916">
        <v>0</v>
      </c>
      <c r="H648" s="1916">
        <v>0</v>
      </c>
      <c r="I648" s="1916">
        <v>0</v>
      </c>
      <c r="J648" s="3485"/>
      <c r="K648" s="3485"/>
    </row>
    <row r="649" spans="1:11" ht="12.75" customHeight="1" outlineLevel="1">
      <c r="A649" s="3483"/>
      <c r="B649" s="3484"/>
      <c r="C649" s="3485"/>
      <c r="D649" s="1915">
        <v>2022</v>
      </c>
      <c r="E649" s="1916">
        <f t="shared" si="53"/>
        <v>0</v>
      </c>
      <c r="F649" s="1916">
        <v>0</v>
      </c>
      <c r="G649" s="1916">
        <v>0</v>
      </c>
      <c r="H649" s="1916">
        <v>0</v>
      </c>
      <c r="I649" s="1916">
        <v>0</v>
      </c>
      <c r="J649" s="3485"/>
      <c r="K649" s="3485"/>
    </row>
    <row r="650" spans="1:11" ht="12.75" customHeight="1" outlineLevel="1">
      <c r="A650" s="3483"/>
      <c r="B650" s="3484"/>
      <c r="C650" s="3485"/>
      <c r="D650" s="1915">
        <v>2023</v>
      </c>
      <c r="E650" s="1916">
        <f t="shared" si="53"/>
        <v>0</v>
      </c>
      <c r="F650" s="1916">
        <v>0</v>
      </c>
      <c r="G650" s="1916">
        <v>0</v>
      </c>
      <c r="H650" s="1916">
        <v>0</v>
      </c>
      <c r="I650" s="1916">
        <v>0</v>
      </c>
      <c r="J650" s="3485"/>
      <c r="K650" s="3485"/>
    </row>
    <row r="651" spans="1:11" ht="12.75" customHeight="1" outlineLevel="1">
      <c r="A651" s="3483"/>
      <c r="B651" s="3484"/>
      <c r="C651" s="3485"/>
      <c r="D651" s="1915">
        <v>2024</v>
      </c>
      <c r="E651" s="1916">
        <f t="shared" si="53"/>
        <v>0</v>
      </c>
      <c r="F651" s="1916">
        <v>0</v>
      </c>
      <c r="G651" s="1916">
        <v>0</v>
      </c>
      <c r="H651" s="1916">
        <v>0</v>
      </c>
      <c r="I651" s="1916">
        <v>0</v>
      </c>
      <c r="J651" s="3485"/>
      <c r="K651" s="3485"/>
    </row>
    <row r="652" spans="1:11" ht="12.75" customHeight="1" outlineLevel="1">
      <c r="A652" s="3483"/>
      <c r="B652" s="3484"/>
      <c r="C652" s="3485"/>
      <c r="D652" s="1915">
        <v>2025</v>
      </c>
      <c r="E652" s="1916">
        <f t="shared" si="53"/>
        <v>0</v>
      </c>
      <c r="F652" s="1916">
        <v>0</v>
      </c>
      <c r="G652" s="1916">
        <v>0</v>
      </c>
      <c r="H652" s="1916">
        <v>0</v>
      </c>
      <c r="I652" s="1916">
        <v>0</v>
      </c>
      <c r="J652" s="3485"/>
      <c r="K652" s="3485"/>
    </row>
    <row r="653" spans="1:11" ht="15.75" customHeight="1" outlineLevel="1">
      <c r="A653" s="3483" t="s">
        <v>3033</v>
      </c>
      <c r="B653" s="3484" t="s">
        <v>3032</v>
      </c>
      <c r="C653" s="3485">
        <v>2022</v>
      </c>
      <c r="D653" s="1915" t="s">
        <v>8</v>
      </c>
      <c r="E653" s="1916">
        <f t="shared" si="53"/>
        <v>964.12733015494632</v>
      </c>
      <c r="F653" s="1916">
        <f>SUM(F654:F658)</f>
        <v>808.90282999999999</v>
      </c>
      <c r="G653" s="1916">
        <f t="shared" si="54"/>
        <v>0</v>
      </c>
      <c r="H653" s="1916">
        <f t="shared" si="54"/>
        <v>155.22450015494636</v>
      </c>
      <c r="I653" s="1916">
        <f t="shared" si="54"/>
        <v>0</v>
      </c>
      <c r="J653" s="3485" t="s">
        <v>3031</v>
      </c>
      <c r="K653" s="3485" t="s">
        <v>3027</v>
      </c>
    </row>
    <row r="654" spans="1:11" ht="15.75" customHeight="1" outlineLevel="1">
      <c r="A654" s="3483"/>
      <c r="B654" s="3484"/>
      <c r="C654" s="3485"/>
      <c r="D654" s="1915">
        <v>2021</v>
      </c>
      <c r="E654" s="1916">
        <f t="shared" si="53"/>
        <v>0</v>
      </c>
      <c r="F654" s="1916">
        <v>0</v>
      </c>
      <c r="G654" s="1916">
        <v>0</v>
      </c>
      <c r="H654" s="1916">
        <v>0</v>
      </c>
      <c r="I654" s="1916">
        <v>0</v>
      </c>
      <c r="J654" s="3485"/>
      <c r="K654" s="3485"/>
    </row>
    <row r="655" spans="1:11" ht="19.5" customHeight="1" outlineLevel="1">
      <c r="A655" s="3483"/>
      <c r="B655" s="3484"/>
      <c r="C655" s="3485"/>
      <c r="D655" s="1915">
        <v>2022</v>
      </c>
      <c r="E655" s="1916">
        <f t="shared" si="53"/>
        <v>964.12733015494632</v>
      </c>
      <c r="F655" s="1916">
        <f>808.944-0.04117</f>
        <v>808.90282999999999</v>
      </c>
      <c r="G655" s="1916">
        <v>0</v>
      </c>
      <c r="H655" s="1916">
        <f>F655*16.1/83.9</f>
        <v>155.22450015494636</v>
      </c>
      <c r="I655" s="1916">
        <v>0</v>
      </c>
      <c r="J655" s="3485"/>
      <c r="K655" s="3485"/>
    </row>
    <row r="656" spans="1:11" ht="18" customHeight="1" outlineLevel="1">
      <c r="A656" s="3483"/>
      <c r="B656" s="3484"/>
      <c r="C656" s="3485"/>
      <c r="D656" s="1915">
        <v>2023</v>
      </c>
      <c r="E656" s="1916">
        <f t="shared" si="53"/>
        <v>0</v>
      </c>
      <c r="F656" s="1916">
        <v>0</v>
      </c>
      <c r="G656" s="1916">
        <v>0</v>
      </c>
      <c r="H656" s="1916">
        <v>0</v>
      </c>
      <c r="I656" s="1916">
        <v>0</v>
      </c>
      <c r="J656" s="3485"/>
      <c r="K656" s="3485"/>
    </row>
    <row r="657" spans="1:11" ht="16.5" customHeight="1" outlineLevel="1">
      <c r="A657" s="3483"/>
      <c r="B657" s="3484"/>
      <c r="C657" s="3485"/>
      <c r="D657" s="1915">
        <v>2024</v>
      </c>
      <c r="E657" s="1916">
        <f t="shared" si="53"/>
        <v>0</v>
      </c>
      <c r="F657" s="1916">
        <v>0</v>
      </c>
      <c r="G657" s="1916">
        <v>0</v>
      </c>
      <c r="H657" s="1916">
        <v>0</v>
      </c>
      <c r="I657" s="1916">
        <v>0</v>
      </c>
      <c r="J657" s="3485"/>
      <c r="K657" s="3485"/>
    </row>
    <row r="658" spans="1:11" ht="16.5" customHeight="1" outlineLevel="1">
      <c r="A658" s="3483"/>
      <c r="B658" s="3484"/>
      <c r="C658" s="3485"/>
      <c r="D658" s="1915">
        <v>2025</v>
      </c>
      <c r="E658" s="1916">
        <f t="shared" si="53"/>
        <v>0</v>
      </c>
      <c r="F658" s="1916">
        <v>0</v>
      </c>
      <c r="G658" s="1916">
        <v>0</v>
      </c>
      <c r="H658" s="1916">
        <v>0</v>
      </c>
      <c r="I658" s="1916">
        <v>0</v>
      </c>
      <c r="J658" s="3485"/>
      <c r="K658" s="3485"/>
    </row>
    <row r="659" spans="1:11" ht="11.25" customHeight="1" outlineLevel="1">
      <c r="A659" s="3483" t="s">
        <v>3030</v>
      </c>
      <c r="B659" s="3484" t="s">
        <v>3029</v>
      </c>
      <c r="C659" s="3485">
        <v>2022</v>
      </c>
      <c r="D659" s="1915" t="s">
        <v>8</v>
      </c>
      <c r="E659" s="1916">
        <f t="shared" si="53"/>
        <v>5088.3444576877237</v>
      </c>
      <c r="F659" s="1916">
        <f>SUM(F660:F664)</f>
        <v>4269.1210000000001</v>
      </c>
      <c r="G659" s="1916">
        <f t="shared" ref="G659:I677" si="55">SUM(G660:G664)</f>
        <v>0</v>
      </c>
      <c r="H659" s="1916">
        <f t="shared" si="55"/>
        <v>819.22345768772345</v>
      </c>
      <c r="I659" s="1916">
        <f t="shared" si="55"/>
        <v>0</v>
      </c>
      <c r="J659" s="3485" t="s">
        <v>3028</v>
      </c>
      <c r="K659" s="3485" t="s">
        <v>3027</v>
      </c>
    </row>
    <row r="660" spans="1:11" ht="11.25" customHeight="1" outlineLevel="1">
      <c r="A660" s="3483"/>
      <c r="B660" s="3484"/>
      <c r="C660" s="3485"/>
      <c r="D660" s="1915">
        <v>2021</v>
      </c>
      <c r="E660" s="1916">
        <f t="shared" si="53"/>
        <v>0</v>
      </c>
      <c r="F660" s="1916">
        <v>0</v>
      </c>
      <c r="G660" s="1916">
        <v>0</v>
      </c>
      <c r="H660" s="1916">
        <v>0</v>
      </c>
      <c r="I660" s="1916">
        <v>0</v>
      </c>
      <c r="J660" s="3485"/>
      <c r="K660" s="3485"/>
    </row>
    <row r="661" spans="1:11" ht="11.25" customHeight="1" outlineLevel="1">
      <c r="A661" s="3483"/>
      <c r="B661" s="3484"/>
      <c r="C661" s="3485"/>
      <c r="D661" s="1915">
        <v>2022</v>
      </c>
      <c r="E661" s="1916">
        <f t="shared" si="53"/>
        <v>5088.3444576877237</v>
      </c>
      <c r="F661" s="1916">
        <f>4677.411-408.29</f>
        <v>4269.1210000000001</v>
      </c>
      <c r="G661" s="1916">
        <v>0</v>
      </c>
      <c r="H661" s="1916">
        <f>F661*16.1/83.9</f>
        <v>819.22345768772345</v>
      </c>
      <c r="I661" s="1916">
        <v>0</v>
      </c>
      <c r="J661" s="3485"/>
      <c r="K661" s="3485"/>
    </row>
    <row r="662" spans="1:11" ht="11.25" customHeight="1" outlineLevel="1">
      <c r="A662" s="3483"/>
      <c r="B662" s="3484"/>
      <c r="C662" s="3485"/>
      <c r="D662" s="1915">
        <v>2023</v>
      </c>
      <c r="E662" s="1916">
        <f t="shared" si="53"/>
        <v>0</v>
      </c>
      <c r="F662" s="1916">
        <v>0</v>
      </c>
      <c r="G662" s="1916">
        <v>0</v>
      </c>
      <c r="H662" s="1916">
        <v>0</v>
      </c>
      <c r="I662" s="1916">
        <v>0</v>
      </c>
      <c r="J662" s="3485"/>
      <c r="K662" s="3485"/>
    </row>
    <row r="663" spans="1:11" ht="11.25" customHeight="1" outlineLevel="1">
      <c r="A663" s="3483"/>
      <c r="B663" s="3484"/>
      <c r="C663" s="3485"/>
      <c r="D663" s="1915">
        <v>2024</v>
      </c>
      <c r="E663" s="1916">
        <f t="shared" si="53"/>
        <v>0</v>
      </c>
      <c r="F663" s="1916">
        <v>0</v>
      </c>
      <c r="G663" s="1916">
        <v>0</v>
      </c>
      <c r="H663" s="1916">
        <v>0</v>
      </c>
      <c r="I663" s="1916">
        <v>0</v>
      </c>
      <c r="J663" s="3485"/>
      <c r="K663" s="3485"/>
    </row>
    <row r="664" spans="1:11" ht="11.25" customHeight="1" outlineLevel="1">
      <c r="A664" s="3483"/>
      <c r="B664" s="3484"/>
      <c r="C664" s="3485"/>
      <c r="D664" s="1915">
        <v>2025</v>
      </c>
      <c r="E664" s="1916">
        <f t="shared" si="53"/>
        <v>0</v>
      </c>
      <c r="F664" s="1916">
        <v>0</v>
      </c>
      <c r="G664" s="1916">
        <v>0</v>
      </c>
      <c r="H664" s="1916">
        <v>0</v>
      </c>
      <c r="I664" s="1916">
        <v>0</v>
      </c>
      <c r="J664" s="3485"/>
      <c r="K664" s="3485"/>
    </row>
    <row r="665" spans="1:11" ht="11.25" customHeight="1" outlineLevel="1">
      <c r="A665" s="3483" t="s">
        <v>3026</v>
      </c>
      <c r="B665" s="3484" t="s">
        <v>3025</v>
      </c>
      <c r="C665" s="3485">
        <v>2022</v>
      </c>
      <c r="D665" s="1915" t="s">
        <v>8</v>
      </c>
      <c r="E665" s="1916">
        <f t="shared" si="53"/>
        <v>35550</v>
      </c>
      <c r="F665" s="1916">
        <f>SUM(F666:F670)</f>
        <v>33772.5</v>
      </c>
      <c r="G665" s="1916">
        <v>0</v>
      </c>
      <c r="H665" s="1916">
        <f>SUM(H666:H670)</f>
        <v>1777.5</v>
      </c>
      <c r="I665" s="1916">
        <v>0</v>
      </c>
      <c r="J665" s="3485" t="s">
        <v>3024</v>
      </c>
      <c r="K665" s="3485" t="s">
        <v>3020</v>
      </c>
    </row>
    <row r="666" spans="1:11" ht="11.25" customHeight="1" outlineLevel="1">
      <c r="A666" s="3483"/>
      <c r="B666" s="3484"/>
      <c r="C666" s="3485"/>
      <c r="D666" s="1915">
        <v>2021</v>
      </c>
      <c r="E666" s="1916">
        <f t="shared" si="53"/>
        <v>0</v>
      </c>
      <c r="F666" s="1916">
        <v>0</v>
      </c>
      <c r="G666" s="1916">
        <v>0</v>
      </c>
      <c r="H666" s="1916">
        <v>0</v>
      </c>
      <c r="I666" s="1916">
        <v>0</v>
      </c>
      <c r="J666" s="3485"/>
      <c r="K666" s="3485"/>
    </row>
    <row r="667" spans="1:11" ht="11.25" customHeight="1" outlineLevel="1">
      <c r="A667" s="3483"/>
      <c r="B667" s="3484"/>
      <c r="C667" s="3485"/>
      <c r="D667" s="1915">
        <v>2022</v>
      </c>
      <c r="E667" s="1916">
        <f t="shared" si="53"/>
        <v>35550</v>
      </c>
      <c r="F667" s="1916">
        <v>33772.5</v>
      </c>
      <c r="G667" s="1916">
        <v>0</v>
      </c>
      <c r="H667" s="1916">
        <f>F667*5/95</f>
        <v>1777.5</v>
      </c>
      <c r="I667" s="1916">
        <v>0</v>
      </c>
      <c r="J667" s="3485"/>
      <c r="K667" s="3485"/>
    </row>
    <row r="668" spans="1:11" ht="11.25" customHeight="1" outlineLevel="1">
      <c r="A668" s="3483"/>
      <c r="B668" s="3484"/>
      <c r="C668" s="3485"/>
      <c r="D668" s="1915">
        <v>2023</v>
      </c>
      <c r="E668" s="1916">
        <f t="shared" si="53"/>
        <v>0</v>
      </c>
      <c r="F668" s="1916">
        <v>0</v>
      </c>
      <c r="G668" s="1916">
        <v>0</v>
      </c>
      <c r="H668" s="1916">
        <v>0</v>
      </c>
      <c r="I668" s="1916">
        <v>0</v>
      </c>
      <c r="J668" s="3485"/>
      <c r="K668" s="3485"/>
    </row>
    <row r="669" spans="1:11" ht="11.25" customHeight="1" outlineLevel="1">
      <c r="A669" s="3483"/>
      <c r="B669" s="3484"/>
      <c r="C669" s="3485"/>
      <c r="D669" s="1915">
        <v>2024</v>
      </c>
      <c r="E669" s="1916">
        <f t="shared" si="53"/>
        <v>0</v>
      </c>
      <c r="F669" s="1916">
        <v>0</v>
      </c>
      <c r="G669" s="1916">
        <v>0</v>
      </c>
      <c r="H669" s="1916">
        <v>0</v>
      </c>
      <c r="I669" s="1916">
        <v>0</v>
      </c>
      <c r="J669" s="3485"/>
      <c r="K669" s="3485"/>
    </row>
    <row r="670" spans="1:11" ht="11.25" customHeight="1" outlineLevel="1">
      <c r="A670" s="3483"/>
      <c r="B670" s="3484"/>
      <c r="C670" s="3485"/>
      <c r="D670" s="1915">
        <v>2025</v>
      </c>
      <c r="E670" s="1916">
        <f t="shared" si="53"/>
        <v>0</v>
      </c>
      <c r="F670" s="1916">
        <v>0</v>
      </c>
      <c r="G670" s="1916">
        <v>0</v>
      </c>
      <c r="H670" s="1916">
        <v>0</v>
      </c>
      <c r="I670" s="1916">
        <v>0</v>
      </c>
      <c r="J670" s="3485"/>
      <c r="K670" s="3485"/>
    </row>
    <row r="671" spans="1:11" ht="11.25" customHeight="1" outlineLevel="1">
      <c r="A671" s="3483" t="s">
        <v>3023</v>
      </c>
      <c r="B671" s="3484" t="s">
        <v>3022</v>
      </c>
      <c r="C671" s="3485">
        <v>2022</v>
      </c>
      <c r="D671" s="1915" t="s">
        <v>8</v>
      </c>
      <c r="E671" s="1916">
        <f t="shared" si="53"/>
        <v>15871.72</v>
      </c>
      <c r="F671" s="1916">
        <f>SUM(F672:F676)</f>
        <v>15078.134</v>
      </c>
      <c r="G671" s="1916">
        <v>0</v>
      </c>
      <c r="H671" s="1916">
        <f>SUM(H672:H676)</f>
        <v>793.58600000000001</v>
      </c>
      <c r="I671" s="1916">
        <v>0</v>
      </c>
      <c r="J671" s="3485" t="s">
        <v>3021</v>
      </c>
      <c r="K671" s="3485" t="s">
        <v>3020</v>
      </c>
    </row>
    <row r="672" spans="1:11" ht="11.25" customHeight="1" outlineLevel="1">
      <c r="A672" s="3483"/>
      <c r="B672" s="3484"/>
      <c r="C672" s="3485"/>
      <c r="D672" s="1915">
        <v>2021</v>
      </c>
      <c r="E672" s="1916">
        <f t="shared" si="53"/>
        <v>0</v>
      </c>
      <c r="F672" s="1916">
        <f>SUM(G672:J672)</f>
        <v>0</v>
      </c>
      <c r="G672" s="1916">
        <v>0</v>
      </c>
      <c r="H672" s="1916">
        <v>0</v>
      </c>
      <c r="I672" s="1916">
        <v>0</v>
      </c>
      <c r="J672" s="3485"/>
      <c r="K672" s="3485"/>
    </row>
    <row r="673" spans="1:11" ht="11.25" customHeight="1" outlineLevel="1">
      <c r="A673" s="3483"/>
      <c r="B673" s="3484"/>
      <c r="C673" s="3485"/>
      <c r="D673" s="1915">
        <v>2022</v>
      </c>
      <c r="E673" s="1916">
        <f t="shared" si="53"/>
        <v>15871.72</v>
      </c>
      <c r="F673" s="1916">
        <v>15078.134</v>
      </c>
      <c r="G673" s="1916">
        <v>0</v>
      </c>
      <c r="H673" s="1916">
        <f>F673*5/95</f>
        <v>793.58600000000001</v>
      </c>
      <c r="I673" s="1916">
        <v>0</v>
      </c>
      <c r="J673" s="3485"/>
      <c r="K673" s="3485"/>
    </row>
    <row r="674" spans="1:11" ht="11.25" customHeight="1" outlineLevel="1">
      <c r="A674" s="3483"/>
      <c r="B674" s="3484"/>
      <c r="C674" s="3485"/>
      <c r="D674" s="1915">
        <v>2023</v>
      </c>
      <c r="E674" s="1916">
        <f t="shared" si="53"/>
        <v>0</v>
      </c>
      <c r="F674" s="1916">
        <f t="shared" si="53"/>
        <v>0</v>
      </c>
      <c r="G674" s="1916">
        <v>0</v>
      </c>
      <c r="H674" s="1916">
        <v>0</v>
      </c>
      <c r="I674" s="1916">
        <v>0</v>
      </c>
      <c r="J674" s="3485"/>
      <c r="K674" s="3485"/>
    </row>
    <row r="675" spans="1:11" ht="11.25" customHeight="1" outlineLevel="1">
      <c r="A675" s="3483"/>
      <c r="B675" s="3484"/>
      <c r="C675" s="3485"/>
      <c r="D675" s="1915">
        <v>2024</v>
      </c>
      <c r="E675" s="1916">
        <f t="shared" si="53"/>
        <v>0</v>
      </c>
      <c r="F675" s="1916">
        <f t="shared" si="53"/>
        <v>0</v>
      </c>
      <c r="G675" s="1916">
        <v>0</v>
      </c>
      <c r="H675" s="1916">
        <v>0</v>
      </c>
      <c r="I675" s="1916">
        <v>0</v>
      </c>
      <c r="J675" s="3485"/>
      <c r="K675" s="3485"/>
    </row>
    <row r="676" spans="1:11" ht="11.25" customHeight="1" outlineLevel="1">
      <c r="A676" s="3483"/>
      <c r="B676" s="3484"/>
      <c r="C676" s="3485"/>
      <c r="D676" s="1915">
        <v>2025</v>
      </c>
      <c r="E676" s="1916">
        <f t="shared" si="53"/>
        <v>0</v>
      </c>
      <c r="F676" s="1916">
        <f t="shared" si="53"/>
        <v>0</v>
      </c>
      <c r="G676" s="1916">
        <v>0</v>
      </c>
      <c r="H676" s="1916">
        <v>0</v>
      </c>
      <c r="I676" s="1916">
        <v>0</v>
      </c>
      <c r="J676" s="3485"/>
      <c r="K676" s="3485"/>
    </row>
    <row r="677" spans="1:11" ht="12.75" customHeight="1" outlineLevel="1">
      <c r="A677" s="3483" t="s">
        <v>3019</v>
      </c>
      <c r="B677" s="3484" t="s">
        <v>2964</v>
      </c>
      <c r="C677" s="3485" t="s">
        <v>3017</v>
      </c>
      <c r="D677" s="1915" t="s">
        <v>8</v>
      </c>
      <c r="E677" s="1916">
        <f t="shared" si="53"/>
        <v>328021.95</v>
      </c>
      <c r="F677" s="1916">
        <f>SUM(F678:F682)</f>
        <v>98140.857000000004</v>
      </c>
      <c r="G677" s="1916">
        <f t="shared" si="55"/>
        <v>229881.09299999999</v>
      </c>
      <c r="H677" s="1916">
        <f>SUM(H678:H682)</f>
        <v>0</v>
      </c>
      <c r="I677" s="1916">
        <f>SUM(I678:I682)</f>
        <v>0</v>
      </c>
      <c r="J677" s="3485" t="s">
        <v>2822</v>
      </c>
      <c r="K677" s="3485" t="s">
        <v>2799</v>
      </c>
    </row>
    <row r="678" spans="1:11" ht="12.75" customHeight="1" outlineLevel="1">
      <c r="A678" s="3483"/>
      <c r="B678" s="3484"/>
      <c r="C678" s="3485"/>
      <c r="D678" s="1915">
        <v>2021</v>
      </c>
      <c r="E678" s="1916">
        <f t="shared" si="53"/>
        <v>0</v>
      </c>
      <c r="F678" s="1916">
        <f t="shared" ref="F678:I682" si="56">F684</f>
        <v>0</v>
      </c>
      <c r="G678" s="1916">
        <f>G684</f>
        <v>0</v>
      </c>
      <c r="H678" s="1916">
        <f t="shared" si="56"/>
        <v>0</v>
      </c>
      <c r="I678" s="1916">
        <f t="shared" si="56"/>
        <v>0</v>
      </c>
      <c r="J678" s="3485"/>
      <c r="K678" s="3485"/>
    </row>
    <row r="679" spans="1:11" ht="12.75" customHeight="1" outlineLevel="1">
      <c r="A679" s="3483"/>
      <c r="B679" s="3484"/>
      <c r="C679" s="3485"/>
      <c r="D679" s="1915">
        <v>2022</v>
      </c>
      <c r="E679" s="1916">
        <f t="shared" si="53"/>
        <v>67438.159</v>
      </c>
      <c r="F679" s="1916">
        <f t="shared" si="56"/>
        <v>19557.065999999999</v>
      </c>
      <c r="G679" s="1916">
        <f t="shared" si="56"/>
        <v>47881.093000000001</v>
      </c>
      <c r="H679" s="1916">
        <f t="shared" si="56"/>
        <v>0</v>
      </c>
      <c r="I679" s="1916">
        <f t="shared" si="56"/>
        <v>0</v>
      </c>
      <c r="J679" s="3485"/>
      <c r="K679" s="3485"/>
    </row>
    <row r="680" spans="1:11" ht="12.75" customHeight="1" outlineLevel="1">
      <c r="A680" s="3483"/>
      <c r="B680" s="3484"/>
      <c r="C680" s="3485"/>
      <c r="D680" s="1915">
        <v>2023</v>
      </c>
      <c r="E680" s="1916">
        <f t="shared" si="53"/>
        <v>0</v>
      </c>
      <c r="F680" s="1916">
        <f t="shared" si="56"/>
        <v>0</v>
      </c>
      <c r="G680" s="1916">
        <f t="shared" si="56"/>
        <v>0</v>
      </c>
      <c r="H680" s="1916">
        <f t="shared" si="56"/>
        <v>0</v>
      </c>
      <c r="I680" s="1916">
        <f t="shared" si="56"/>
        <v>0</v>
      </c>
      <c r="J680" s="3485"/>
      <c r="K680" s="3485"/>
    </row>
    <row r="681" spans="1:11" ht="12.75" customHeight="1" outlineLevel="1">
      <c r="A681" s="3483"/>
      <c r="B681" s="3484"/>
      <c r="C681" s="3485"/>
      <c r="D681" s="1915">
        <v>2024</v>
      </c>
      <c r="E681" s="1916">
        <f t="shared" si="53"/>
        <v>109859.15399999999</v>
      </c>
      <c r="F681" s="1916">
        <f t="shared" si="56"/>
        <v>31859.153999999999</v>
      </c>
      <c r="G681" s="1916">
        <f t="shared" si="56"/>
        <v>78000</v>
      </c>
      <c r="H681" s="1916">
        <f t="shared" si="56"/>
        <v>0</v>
      </c>
      <c r="I681" s="1916">
        <f t="shared" si="56"/>
        <v>0</v>
      </c>
      <c r="J681" s="3485"/>
      <c r="K681" s="3485"/>
    </row>
    <row r="682" spans="1:11" ht="12.75" customHeight="1" outlineLevel="1">
      <c r="A682" s="3483"/>
      <c r="B682" s="3484"/>
      <c r="C682" s="3485"/>
      <c r="D682" s="1915">
        <v>2025</v>
      </c>
      <c r="E682" s="1916">
        <f t="shared" si="53"/>
        <v>150724.63699999999</v>
      </c>
      <c r="F682" s="1916">
        <f t="shared" si="56"/>
        <v>46724.637000000002</v>
      </c>
      <c r="G682" s="1916">
        <f t="shared" si="56"/>
        <v>104000</v>
      </c>
      <c r="H682" s="1916">
        <f t="shared" si="56"/>
        <v>0</v>
      </c>
      <c r="I682" s="1916">
        <f t="shared" si="56"/>
        <v>0</v>
      </c>
      <c r="J682" s="3485"/>
      <c r="K682" s="3485"/>
    </row>
    <row r="683" spans="1:11" ht="12.75" customHeight="1" outlineLevel="1">
      <c r="A683" s="3483" t="s">
        <v>2965</v>
      </c>
      <c r="B683" s="3484" t="s">
        <v>3018</v>
      </c>
      <c r="C683" s="3485" t="s">
        <v>3017</v>
      </c>
      <c r="D683" s="1915" t="s">
        <v>8</v>
      </c>
      <c r="E683" s="1916">
        <f t="shared" si="53"/>
        <v>328021.95</v>
      </c>
      <c r="F683" s="1916">
        <f>SUM(F684:F688)</f>
        <v>98140.857000000004</v>
      </c>
      <c r="G683" s="1916">
        <f>SUM(G684:G688)</f>
        <v>229881.09299999999</v>
      </c>
      <c r="H683" s="1916">
        <f>SUM(H684:H688)</f>
        <v>0</v>
      </c>
      <c r="I683" s="1916">
        <f>SUM(I684:I688)</f>
        <v>0</v>
      </c>
      <c r="J683" s="3485" t="s">
        <v>3016</v>
      </c>
      <c r="K683" s="3485" t="s">
        <v>2799</v>
      </c>
    </row>
    <row r="684" spans="1:11" outlineLevel="1">
      <c r="A684" s="3483"/>
      <c r="B684" s="3484"/>
      <c r="C684" s="3485"/>
      <c r="D684" s="1915">
        <v>2021</v>
      </c>
      <c r="E684" s="1916">
        <f t="shared" si="53"/>
        <v>0</v>
      </c>
      <c r="F684" s="1916">
        <v>0</v>
      </c>
      <c r="G684" s="1916">
        <v>0</v>
      </c>
      <c r="H684" s="1916">
        <v>0</v>
      </c>
      <c r="I684" s="1916">
        <v>0</v>
      </c>
      <c r="J684" s="3485"/>
      <c r="K684" s="3485"/>
    </row>
    <row r="685" spans="1:11" outlineLevel="1">
      <c r="A685" s="3483"/>
      <c r="B685" s="3484"/>
      <c r="C685" s="3485"/>
      <c r="D685" s="1915">
        <v>2022</v>
      </c>
      <c r="E685" s="1916">
        <f t="shared" si="53"/>
        <v>67438.159</v>
      </c>
      <c r="F685" s="1916">
        <v>19557.065999999999</v>
      </c>
      <c r="G685" s="1916">
        <v>47881.093000000001</v>
      </c>
      <c r="H685" s="1916">
        <v>0</v>
      </c>
      <c r="I685" s="1916">
        <v>0</v>
      </c>
      <c r="J685" s="3485"/>
      <c r="K685" s="3485"/>
    </row>
    <row r="686" spans="1:11" outlineLevel="1">
      <c r="A686" s="3483"/>
      <c r="B686" s="3484"/>
      <c r="C686" s="3485"/>
      <c r="D686" s="1915">
        <v>2023</v>
      </c>
      <c r="E686" s="1916">
        <f t="shared" ref="E686:E767" si="57">SUM(F686:I686)</f>
        <v>0</v>
      </c>
      <c r="F686" s="1916">
        <v>0</v>
      </c>
      <c r="G686" s="1916">
        <v>0</v>
      </c>
      <c r="H686" s="1916">
        <v>0</v>
      </c>
      <c r="I686" s="1916">
        <v>0</v>
      </c>
      <c r="J686" s="3485"/>
      <c r="K686" s="3485"/>
    </row>
    <row r="687" spans="1:11" outlineLevel="1">
      <c r="A687" s="3483"/>
      <c r="B687" s="3484"/>
      <c r="C687" s="3485"/>
      <c r="D687" s="1915">
        <v>2024</v>
      </c>
      <c r="E687" s="1916">
        <f t="shared" si="57"/>
        <v>109859.15399999999</v>
      </c>
      <c r="F687" s="1916">
        <v>31859.153999999999</v>
      </c>
      <c r="G687" s="1916">
        <v>78000</v>
      </c>
      <c r="H687" s="1916">
        <v>0</v>
      </c>
      <c r="I687" s="1916">
        <v>0</v>
      </c>
      <c r="J687" s="3485"/>
      <c r="K687" s="3485"/>
    </row>
    <row r="688" spans="1:11" outlineLevel="1">
      <c r="A688" s="3483"/>
      <c r="B688" s="3484"/>
      <c r="C688" s="3485"/>
      <c r="D688" s="1915">
        <v>2025</v>
      </c>
      <c r="E688" s="1916">
        <f t="shared" si="57"/>
        <v>150724.63699999999</v>
      </c>
      <c r="F688" s="1916">
        <v>46724.637000000002</v>
      </c>
      <c r="G688" s="1916">
        <v>104000</v>
      </c>
      <c r="H688" s="1916">
        <f>SUM(I682:L682)</f>
        <v>0</v>
      </c>
      <c r="I688" s="1916">
        <f>SUM(J682:L682)</f>
        <v>0</v>
      </c>
      <c r="J688" s="3485"/>
      <c r="K688" s="3485"/>
    </row>
    <row r="689" spans="1:11" outlineLevel="1">
      <c r="A689" s="3483" t="s">
        <v>3015</v>
      </c>
      <c r="B689" s="3484" t="s">
        <v>3014</v>
      </c>
      <c r="C689" s="3485" t="s">
        <v>2995</v>
      </c>
      <c r="D689" s="1915" t="s">
        <v>8</v>
      </c>
      <c r="E689" s="1916">
        <f>[12]СТАРЫЙ!E689</f>
        <v>1965199.79856</v>
      </c>
      <c r="F689" s="1916">
        <f>[12]СТАРЫЙ!F689</f>
        <v>1667880.05856</v>
      </c>
      <c r="G689" s="1916">
        <f>[12]СТАРЫЙ!G689</f>
        <v>297319.74</v>
      </c>
      <c r="H689" s="1916">
        <f>[12]СТАРЫЙ!H689</f>
        <v>0</v>
      </c>
      <c r="I689" s="1916">
        <f>[12]СТАРЫЙ!I689</f>
        <v>0</v>
      </c>
      <c r="J689" s="3485" t="s">
        <v>3013</v>
      </c>
      <c r="K689" s="3485" t="s">
        <v>3622</v>
      </c>
    </row>
    <row r="690" spans="1:11" outlineLevel="1">
      <c r="A690" s="3483"/>
      <c r="B690" s="3484"/>
      <c r="C690" s="3485"/>
      <c r="D690" s="1915">
        <v>2021</v>
      </c>
      <c r="E690" s="1916">
        <f>[12]СТАРЫЙ!E690</f>
        <v>0</v>
      </c>
      <c r="F690" s="1916">
        <f>[12]СТАРЫЙ!F690</f>
        <v>0</v>
      </c>
      <c r="G690" s="1916">
        <f>[12]СТАРЫЙ!G690</f>
        <v>0</v>
      </c>
      <c r="H690" s="1916">
        <f>[12]СТАРЫЙ!H690</f>
        <v>0</v>
      </c>
      <c r="I690" s="1916">
        <f>[12]СТАРЫЙ!I690</f>
        <v>0</v>
      </c>
      <c r="J690" s="3485"/>
      <c r="K690" s="3485"/>
    </row>
    <row r="691" spans="1:11" outlineLevel="1">
      <c r="A691" s="3483"/>
      <c r="B691" s="3484"/>
      <c r="C691" s="3485"/>
      <c r="D691" s="1915">
        <v>2022</v>
      </c>
      <c r="E691" s="1916">
        <f>[12]СТАРЫЙ!E691</f>
        <v>0</v>
      </c>
      <c r="F691" s="1916">
        <f>[12]СТАРЫЙ!F691</f>
        <v>0</v>
      </c>
      <c r="G691" s="1916">
        <f>[12]СТАРЫЙ!G691</f>
        <v>0</v>
      </c>
      <c r="H691" s="1916">
        <f>[12]СТАРЫЙ!H691</f>
        <v>0</v>
      </c>
      <c r="I691" s="1916">
        <f>[12]СТАРЫЙ!I691</f>
        <v>0</v>
      </c>
      <c r="J691" s="3485"/>
      <c r="K691" s="3485"/>
    </row>
    <row r="692" spans="1:11" outlineLevel="1">
      <c r="A692" s="3483"/>
      <c r="B692" s="3484"/>
      <c r="C692" s="3485"/>
      <c r="D692" s="1915">
        <v>2023</v>
      </c>
      <c r="E692" s="1916">
        <f>[12]СТАРЫЙ!E692</f>
        <v>381844.82530999999</v>
      </c>
      <c r="F692" s="1916">
        <f>[12]СТАРЫЙ!F692</f>
        <v>84525.085309999995</v>
      </c>
      <c r="G692" s="1916">
        <f>[12]СТАРЫЙ!G692</f>
        <v>297319.74</v>
      </c>
      <c r="H692" s="1916">
        <f>[12]СТАРЫЙ!H692</f>
        <v>0</v>
      </c>
      <c r="I692" s="1916">
        <f>[12]СТАРЫЙ!I692</f>
        <v>0</v>
      </c>
      <c r="J692" s="3485"/>
      <c r="K692" s="3485"/>
    </row>
    <row r="693" spans="1:11" outlineLevel="1">
      <c r="A693" s="3483"/>
      <c r="B693" s="3484"/>
      <c r="C693" s="3485"/>
      <c r="D693" s="1915">
        <v>2024</v>
      </c>
      <c r="E693" s="1916">
        <f>[12]СТАРЫЙ!E693</f>
        <v>1101184.97325</v>
      </c>
      <c r="F693" s="1916">
        <f>[12]СТАРЫЙ!F693</f>
        <v>1101184.97325</v>
      </c>
      <c r="G693" s="1916">
        <f>[12]СТАРЫЙ!G693</f>
        <v>0</v>
      </c>
      <c r="H693" s="1916">
        <f>[12]СТАРЫЙ!H693</f>
        <v>0</v>
      </c>
      <c r="I693" s="1916">
        <f>[12]СТАРЫЙ!I693</f>
        <v>0</v>
      </c>
      <c r="J693" s="3485"/>
      <c r="K693" s="3485"/>
    </row>
    <row r="694" spans="1:11" outlineLevel="1">
      <c r="A694" s="3483"/>
      <c r="B694" s="3484"/>
      <c r="C694" s="3485"/>
      <c r="D694" s="1915">
        <v>2025</v>
      </c>
      <c r="E694" s="1916">
        <f>[12]СТАРЫЙ!E694</f>
        <v>482170</v>
      </c>
      <c r="F694" s="1916">
        <f>[12]СТАРЫЙ!F694</f>
        <v>482170</v>
      </c>
      <c r="G694" s="1916">
        <f>[12]СТАРЫЙ!G694</f>
        <v>0</v>
      </c>
      <c r="H694" s="1916">
        <f>[12]СТАРЫЙ!H694</f>
        <v>0</v>
      </c>
      <c r="I694" s="1916">
        <f>[12]СТАРЫЙ!I694</f>
        <v>0</v>
      </c>
      <c r="J694" s="3485"/>
      <c r="K694" s="3485"/>
    </row>
    <row r="695" spans="1:11" outlineLevel="1">
      <c r="A695" s="3483" t="s">
        <v>2772</v>
      </c>
      <c r="B695" s="3484" t="s">
        <v>2823</v>
      </c>
      <c r="C695" s="3485" t="s">
        <v>2995</v>
      </c>
      <c r="D695" s="1915" t="s">
        <v>8</v>
      </c>
      <c r="E695" s="1916">
        <f>[12]СТАРЫЙ!E695</f>
        <v>884016.68856000004</v>
      </c>
      <c r="F695" s="1916">
        <f>[12]СТАРЫЙ!F695</f>
        <v>703540.05856000003</v>
      </c>
      <c r="G695" s="1916">
        <f>[12]СТАРЫЙ!G695</f>
        <v>180476.63</v>
      </c>
      <c r="H695" s="1916">
        <f>[12]СТАРЫЙ!H695</f>
        <v>0</v>
      </c>
      <c r="I695" s="1916">
        <f>[12]СТАРЫЙ!I695</f>
        <v>0</v>
      </c>
      <c r="J695" s="3485" t="s">
        <v>3007</v>
      </c>
      <c r="K695" s="3485" t="s">
        <v>3011</v>
      </c>
    </row>
    <row r="696" spans="1:11" outlineLevel="1">
      <c r="A696" s="3483"/>
      <c r="B696" s="3484"/>
      <c r="C696" s="3485"/>
      <c r="D696" s="1915">
        <v>2021</v>
      </c>
      <c r="E696" s="1916">
        <f>[12]СТАРЫЙ!E696</f>
        <v>0</v>
      </c>
      <c r="F696" s="1916">
        <f>[12]СТАРЫЙ!F696</f>
        <v>0</v>
      </c>
      <c r="G696" s="1916">
        <f>[12]СТАРЫЙ!G696</f>
        <v>0</v>
      </c>
      <c r="H696" s="1916">
        <f>[12]СТАРЫЙ!H696</f>
        <v>0</v>
      </c>
      <c r="I696" s="1916">
        <f>[12]СТАРЫЙ!I696</f>
        <v>0</v>
      </c>
      <c r="J696" s="3485"/>
      <c r="K696" s="3485"/>
    </row>
    <row r="697" spans="1:11" outlineLevel="1">
      <c r="A697" s="3483"/>
      <c r="B697" s="3484"/>
      <c r="C697" s="3485"/>
      <c r="D697" s="1915">
        <v>2022</v>
      </c>
      <c r="E697" s="1916">
        <f>[12]СТАРЫЙ!E697</f>
        <v>0</v>
      </c>
      <c r="F697" s="1916">
        <f>[12]СТАРЫЙ!F697</f>
        <v>0</v>
      </c>
      <c r="G697" s="1916">
        <f>[12]СТАРЫЙ!G697</f>
        <v>0</v>
      </c>
      <c r="H697" s="1916">
        <f>[12]СТАРЫЙ!H697</f>
        <v>0</v>
      </c>
      <c r="I697" s="1916">
        <f>[12]СТАРЫЙ!I697</f>
        <v>0</v>
      </c>
      <c r="J697" s="3485"/>
      <c r="K697" s="3485"/>
    </row>
    <row r="698" spans="1:11" outlineLevel="1">
      <c r="A698" s="3483"/>
      <c r="B698" s="3484"/>
      <c r="C698" s="3485"/>
      <c r="D698" s="1915">
        <v>2023</v>
      </c>
      <c r="E698" s="1916">
        <f>[12]СТАРЫЙ!E698</f>
        <v>265001.71531</v>
      </c>
      <c r="F698" s="1916">
        <f>[12]СТАРЫЙ!F698</f>
        <v>84525.085309999995</v>
      </c>
      <c r="G698" s="1916">
        <f>[12]СТАРЫЙ!G698</f>
        <v>180476.63</v>
      </c>
      <c r="H698" s="1916">
        <f>[12]СТАРЫЙ!H698</f>
        <v>0</v>
      </c>
      <c r="I698" s="1916">
        <f>[12]СТАРЫЙ!I698</f>
        <v>0</v>
      </c>
      <c r="J698" s="3485"/>
      <c r="K698" s="3485"/>
    </row>
    <row r="699" spans="1:11" outlineLevel="1">
      <c r="A699" s="3483"/>
      <c r="B699" s="3484"/>
      <c r="C699" s="3485"/>
      <c r="D699" s="1915">
        <v>2024</v>
      </c>
      <c r="E699" s="1916">
        <f>[12]СТАРЫЙ!E699</f>
        <v>619014.97325000004</v>
      </c>
      <c r="F699" s="1916">
        <f>[12]СТАРЫЙ!F699</f>
        <v>619014.97325000004</v>
      </c>
      <c r="G699" s="1916">
        <f>[12]СТАРЫЙ!G699</f>
        <v>0</v>
      </c>
      <c r="H699" s="1916">
        <f>[12]СТАРЫЙ!H699</f>
        <v>0</v>
      </c>
      <c r="I699" s="1916">
        <f>[12]СТАРЫЙ!I699</f>
        <v>0</v>
      </c>
      <c r="J699" s="3485"/>
      <c r="K699" s="3485"/>
    </row>
    <row r="700" spans="1:11" outlineLevel="1">
      <c r="A700" s="3483"/>
      <c r="B700" s="3484"/>
      <c r="C700" s="3485"/>
      <c r="D700" s="1915">
        <v>2025</v>
      </c>
      <c r="E700" s="1916">
        <f>[12]СТАРЫЙ!E700</f>
        <v>0</v>
      </c>
      <c r="F700" s="1916">
        <f>[12]СТАРЫЙ!F700</f>
        <v>0</v>
      </c>
      <c r="G700" s="1916">
        <f>[12]СТАРЫЙ!G700</f>
        <v>0</v>
      </c>
      <c r="H700" s="1916">
        <f>[12]СТАРЫЙ!H700</f>
        <v>0</v>
      </c>
      <c r="I700" s="1916">
        <f>[12]СТАРЫЙ!I700</f>
        <v>0</v>
      </c>
      <c r="J700" s="3485"/>
      <c r="K700" s="3485"/>
    </row>
    <row r="701" spans="1:11" ht="12.75" customHeight="1" outlineLevel="1">
      <c r="A701" s="3483" t="s">
        <v>2775</v>
      </c>
      <c r="B701" s="3484" t="s">
        <v>3623</v>
      </c>
      <c r="C701" s="3485">
        <v>2023</v>
      </c>
      <c r="D701" s="1915" t="s">
        <v>8</v>
      </c>
      <c r="E701" s="1916">
        <f>[12]СТАРЫЙ!E701</f>
        <v>249780</v>
      </c>
      <c r="F701" s="1916">
        <f>[12]СТАРЫЙ!F701</f>
        <v>184340</v>
      </c>
      <c r="G701" s="1916">
        <f>[12]СТАРЫЙ!G701</f>
        <v>65440</v>
      </c>
      <c r="H701" s="1916">
        <f>[12]СТАРЫЙ!H701</f>
        <v>0</v>
      </c>
      <c r="I701" s="1916">
        <f>[12]СТАРЫЙ!I701</f>
        <v>0</v>
      </c>
      <c r="J701" s="3485" t="s">
        <v>3007</v>
      </c>
      <c r="K701" s="3485" t="s">
        <v>3624</v>
      </c>
    </row>
    <row r="702" spans="1:11" ht="12.75" customHeight="1" outlineLevel="1">
      <c r="A702" s="3483"/>
      <c r="B702" s="3484"/>
      <c r="C702" s="3485"/>
      <c r="D702" s="1915">
        <v>2021</v>
      </c>
      <c r="E702" s="1916">
        <f>[12]СТАРЫЙ!E702</f>
        <v>0</v>
      </c>
      <c r="F702" s="1916">
        <f>[12]СТАРЫЙ!F702</f>
        <v>0</v>
      </c>
      <c r="G702" s="1916">
        <f>[12]СТАРЫЙ!G702</f>
        <v>0</v>
      </c>
      <c r="H702" s="1916">
        <f>[12]СТАРЫЙ!H702</f>
        <v>0</v>
      </c>
      <c r="I702" s="1916">
        <f>[12]СТАРЫЙ!I702</f>
        <v>0</v>
      </c>
      <c r="J702" s="3485"/>
      <c r="K702" s="3485"/>
    </row>
    <row r="703" spans="1:11" ht="12.75" customHeight="1" outlineLevel="1">
      <c r="A703" s="3483"/>
      <c r="B703" s="3484"/>
      <c r="C703" s="3485"/>
      <c r="D703" s="1915">
        <v>2022</v>
      </c>
      <c r="E703" s="1916">
        <f>[12]СТАРЫЙ!E703</f>
        <v>0</v>
      </c>
      <c r="F703" s="1916">
        <f>[12]СТАРЫЙ!F703</f>
        <v>0</v>
      </c>
      <c r="G703" s="1916">
        <f>[12]СТАРЫЙ!G703</f>
        <v>0</v>
      </c>
      <c r="H703" s="1916">
        <f>[12]СТАРЫЙ!H703</f>
        <v>0</v>
      </c>
      <c r="I703" s="1916">
        <f>[12]СТАРЫЙ!I703</f>
        <v>0</v>
      </c>
      <c r="J703" s="3485"/>
      <c r="K703" s="3485"/>
    </row>
    <row r="704" spans="1:11" ht="12.75" customHeight="1" outlineLevel="1">
      <c r="A704" s="3483"/>
      <c r="B704" s="3484"/>
      <c r="C704" s="3485"/>
      <c r="D704" s="1915">
        <v>2023</v>
      </c>
      <c r="E704" s="1916">
        <f>[12]СТАРЫЙ!E704</f>
        <v>65440</v>
      </c>
      <c r="F704" s="1916">
        <f>[12]СТАРЫЙ!F704</f>
        <v>0</v>
      </c>
      <c r="G704" s="1916">
        <f>[12]СТАРЫЙ!G704</f>
        <v>65440</v>
      </c>
      <c r="H704" s="1916">
        <f>[12]СТАРЫЙ!H704</f>
        <v>0</v>
      </c>
      <c r="I704" s="1916">
        <f>[12]СТАРЫЙ!I704</f>
        <v>0</v>
      </c>
      <c r="J704" s="3485"/>
      <c r="K704" s="3485"/>
    </row>
    <row r="705" spans="1:13" ht="12.75" customHeight="1" outlineLevel="1">
      <c r="A705" s="3483"/>
      <c r="B705" s="3484"/>
      <c r="C705" s="3485"/>
      <c r="D705" s="1915">
        <v>2024</v>
      </c>
      <c r="E705" s="1916">
        <f>[12]СТАРЫЙ!E705</f>
        <v>92170</v>
      </c>
      <c r="F705" s="1916">
        <f>[12]СТАРЫЙ!F705</f>
        <v>92170</v>
      </c>
      <c r="G705" s="1916">
        <f>[12]СТАРЫЙ!G705</f>
        <v>0</v>
      </c>
      <c r="H705" s="1916">
        <f>[12]СТАРЫЙ!H705</f>
        <v>0</v>
      </c>
      <c r="I705" s="1916">
        <f>[12]СТАРЫЙ!I705</f>
        <v>0</v>
      </c>
      <c r="J705" s="3485"/>
      <c r="K705" s="3485"/>
    </row>
    <row r="706" spans="1:13" ht="42.75" customHeight="1" outlineLevel="1">
      <c r="A706" s="3483"/>
      <c r="B706" s="3484"/>
      <c r="C706" s="3485"/>
      <c r="D706" s="1915">
        <v>2025</v>
      </c>
      <c r="E706" s="1916">
        <f>[12]СТАРЫЙ!E706</f>
        <v>92170</v>
      </c>
      <c r="F706" s="1916">
        <f>[12]СТАРЫЙ!F706</f>
        <v>92170</v>
      </c>
      <c r="G706" s="1916">
        <f>[12]СТАРЫЙ!G706</f>
        <v>0</v>
      </c>
      <c r="H706" s="1916">
        <f>[12]СТАРЫЙ!H706</f>
        <v>0</v>
      </c>
      <c r="I706" s="1916">
        <f>[12]СТАРЫЙ!I706</f>
        <v>0</v>
      </c>
      <c r="J706" s="3485"/>
      <c r="K706" s="3485"/>
    </row>
    <row r="707" spans="1:13" ht="12.75" customHeight="1" outlineLevel="1">
      <c r="A707" s="3483" t="s">
        <v>641</v>
      </c>
      <c r="B707" s="3484" t="s">
        <v>3625</v>
      </c>
      <c r="C707" s="3485">
        <v>2023</v>
      </c>
      <c r="D707" s="1915" t="s">
        <v>8</v>
      </c>
      <c r="E707" s="1916">
        <f>[12]СТАРЫЙ!E707</f>
        <v>831403.11</v>
      </c>
      <c r="F707" s="1916">
        <f>[12]СТАРЫЙ!F707</f>
        <v>780000</v>
      </c>
      <c r="G707" s="1916">
        <f>[12]СТАРЫЙ!G707</f>
        <v>51403.11</v>
      </c>
      <c r="H707" s="1916">
        <f>[12]СТАРЫЙ!H707</f>
        <v>0</v>
      </c>
      <c r="I707" s="1916">
        <f>[12]СТАРЫЙ!I707</f>
        <v>0</v>
      </c>
      <c r="J707" s="3485" t="s">
        <v>3007</v>
      </c>
      <c r="K707" s="3485" t="s">
        <v>3624</v>
      </c>
    </row>
    <row r="708" spans="1:13" outlineLevel="1">
      <c r="A708" s="3483"/>
      <c r="B708" s="3484"/>
      <c r="C708" s="3485"/>
      <c r="D708" s="1915">
        <v>2021</v>
      </c>
      <c r="E708" s="1916">
        <f>[12]СТАРЫЙ!E708</f>
        <v>0</v>
      </c>
      <c r="F708" s="1916">
        <f>[12]СТАРЫЙ!F708</f>
        <v>0</v>
      </c>
      <c r="G708" s="1916">
        <f>[12]СТАРЫЙ!G708</f>
        <v>0</v>
      </c>
      <c r="H708" s="1916">
        <f>[12]СТАРЫЙ!H708</f>
        <v>0</v>
      </c>
      <c r="I708" s="1916">
        <f>[12]СТАРЫЙ!I708</f>
        <v>0</v>
      </c>
      <c r="J708" s="3485"/>
      <c r="K708" s="3485"/>
    </row>
    <row r="709" spans="1:13" outlineLevel="1">
      <c r="A709" s="3483"/>
      <c r="B709" s="3484"/>
      <c r="C709" s="3485"/>
      <c r="D709" s="1915">
        <v>2022</v>
      </c>
      <c r="E709" s="1916">
        <f>[12]СТАРЫЙ!E709</f>
        <v>0</v>
      </c>
      <c r="F709" s="1916">
        <f>[12]СТАРЫЙ!F709</f>
        <v>0</v>
      </c>
      <c r="G709" s="1916">
        <f>[12]СТАРЫЙ!G709</f>
        <v>0</v>
      </c>
      <c r="H709" s="1916">
        <f>[12]СТАРЫЙ!H709</f>
        <v>0</v>
      </c>
      <c r="I709" s="1916">
        <f>[12]СТАРЫЙ!I709</f>
        <v>0</v>
      </c>
      <c r="J709" s="3485"/>
      <c r="K709" s="3485"/>
    </row>
    <row r="710" spans="1:13" outlineLevel="1">
      <c r="A710" s="3483"/>
      <c r="B710" s="3484"/>
      <c r="C710" s="3485"/>
      <c r="D710" s="1915">
        <v>2023</v>
      </c>
      <c r="E710" s="1916">
        <f>[12]СТАРЫЙ!E710</f>
        <v>51403.11</v>
      </c>
      <c r="F710" s="1916">
        <f>[12]СТАРЫЙ!F710</f>
        <v>0</v>
      </c>
      <c r="G710" s="1916">
        <f>[12]СТАРЫЙ!G710</f>
        <v>51403.11</v>
      </c>
      <c r="H710" s="1916">
        <f>[12]СТАРЫЙ!H710</f>
        <v>0</v>
      </c>
      <c r="I710" s="1916">
        <f>[12]СТАРЫЙ!I710</f>
        <v>0</v>
      </c>
      <c r="J710" s="3485"/>
      <c r="K710" s="3485"/>
    </row>
    <row r="711" spans="1:13" outlineLevel="1">
      <c r="A711" s="3483"/>
      <c r="B711" s="3484"/>
      <c r="C711" s="3485"/>
      <c r="D711" s="1915">
        <v>2024</v>
      </c>
      <c r="E711" s="1916">
        <f>[12]СТАРЫЙ!E711</f>
        <v>390000</v>
      </c>
      <c r="F711" s="1916">
        <f>[12]СТАРЫЙ!F711</f>
        <v>390000</v>
      </c>
      <c r="G711" s="1916">
        <f>[12]СТАРЫЙ!G711</f>
        <v>0</v>
      </c>
      <c r="H711" s="1916">
        <f>[12]СТАРЫЙ!H711</f>
        <v>0</v>
      </c>
      <c r="I711" s="1916">
        <f>[12]СТАРЫЙ!I711</f>
        <v>0</v>
      </c>
      <c r="J711" s="3485"/>
      <c r="K711" s="3485"/>
    </row>
    <row r="712" spans="1:13" ht="48.75" customHeight="1" outlineLevel="1">
      <c r="A712" s="3483"/>
      <c r="B712" s="3484"/>
      <c r="C712" s="3485"/>
      <c r="D712" s="1915">
        <v>2025</v>
      </c>
      <c r="E712" s="1916">
        <f>[12]СТАРЫЙ!E712</f>
        <v>390000</v>
      </c>
      <c r="F712" s="1916">
        <f>[12]СТАРЫЙ!F712</f>
        <v>390000</v>
      </c>
      <c r="G712" s="1916">
        <f>[12]СТАРЫЙ!G712</f>
        <v>0</v>
      </c>
      <c r="H712" s="1916">
        <f>[12]СТАРЫЙ!H712</f>
        <v>0</v>
      </c>
      <c r="I712" s="1916">
        <f>[12]СТАРЫЙ!I712</f>
        <v>0</v>
      </c>
      <c r="J712" s="3485"/>
      <c r="K712" s="3485"/>
    </row>
    <row r="713" spans="1:13" ht="12.75" customHeight="1" outlineLevel="1">
      <c r="A713" s="3483" t="s">
        <v>3626</v>
      </c>
      <c r="B713" s="3484" t="s">
        <v>3627</v>
      </c>
      <c r="C713" s="3485" t="s">
        <v>3188</v>
      </c>
      <c r="D713" s="1915" t="s">
        <v>8</v>
      </c>
      <c r="E713" s="1916">
        <f t="shared" ref="E713:I718" si="58">SUM(E719,E725)</f>
        <v>187892.8</v>
      </c>
      <c r="F713" s="1916">
        <f t="shared" si="58"/>
        <v>186013.8</v>
      </c>
      <c r="G713" s="1916">
        <f t="shared" si="58"/>
        <v>0</v>
      </c>
      <c r="H713" s="1916">
        <f t="shared" si="58"/>
        <v>1879</v>
      </c>
      <c r="I713" s="1916">
        <f t="shared" si="58"/>
        <v>0</v>
      </c>
      <c r="J713" s="3485" t="s">
        <v>3628</v>
      </c>
      <c r="K713" s="3485" t="s">
        <v>3629</v>
      </c>
    </row>
    <row r="714" spans="1:13" outlineLevel="1">
      <c r="A714" s="3483"/>
      <c r="B714" s="3484"/>
      <c r="C714" s="3485"/>
      <c r="D714" s="1915">
        <v>2021</v>
      </c>
      <c r="E714" s="1916">
        <f t="shared" si="58"/>
        <v>0</v>
      </c>
      <c r="F714" s="1916">
        <f t="shared" si="58"/>
        <v>0</v>
      </c>
      <c r="G714" s="1916">
        <f t="shared" si="58"/>
        <v>0</v>
      </c>
      <c r="H714" s="1916">
        <f t="shared" si="58"/>
        <v>0</v>
      </c>
      <c r="I714" s="1916">
        <f t="shared" si="58"/>
        <v>0</v>
      </c>
      <c r="J714" s="3485"/>
      <c r="K714" s="3485"/>
    </row>
    <row r="715" spans="1:13" outlineLevel="1">
      <c r="A715" s="3483"/>
      <c r="B715" s="3484"/>
      <c r="C715" s="3485"/>
      <c r="D715" s="1915">
        <v>2022</v>
      </c>
      <c r="E715" s="1916">
        <f t="shared" si="58"/>
        <v>0</v>
      </c>
      <c r="F715" s="1916">
        <f t="shared" si="58"/>
        <v>0</v>
      </c>
      <c r="G715" s="1916">
        <f t="shared" si="58"/>
        <v>0</v>
      </c>
      <c r="H715" s="1916">
        <f t="shared" si="58"/>
        <v>0</v>
      </c>
      <c r="I715" s="1916">
        <f t="shared" si="58"/>
        <v>0</v>
      </c>
      <c r="J715" s="3485"/>
      <c r="K715" s="3485"/>
    </row>
    <row r="716" spans="1:13" outlineLevel="1">
      <c r="A716" s="3483"/>
      <c r="B716" s="3484"/>
      <c r="C716" s="3485"/>
      <c r="D716" s="1915">
        <v>2023</v>
      </c>
      <c r="E716" s="1916">
        <f>SUM(E722,E728)</f>
        <v>28290</v>
      </c>
      <c r="F716" s="1916">
        <f>SUM(F722,F728)</f>
        <v>28000</v>
      </c>
      <c r="G716" s="1916">
        <f t="shared" si="58"/>
        <v>0</v>
      </c>
      <c r="H716" s="1916">
        <f t="shared" si="58"/>
        <v>290</v>
      </c>
      <c r="I716" s="1916">
        <f t="shared" si="58"/>
        <v>0</v>
      </c>
      <c r="J716" s="3485"/>
      <c r="K716" s="3485"/>
    </row>
    <row r="717" spans="1:13" outlineLevel="1">
      <c r="A717" s="3483"/>
      <c r="B717" s="3484"/>
      <c r="C717" s="3485"/>
      <c r="D717" s="1915">
        <v>2024</v>
      </c>
      <c r="E717" s="1916">
        <f t="shared" si="58"/>
        <v>80355</v>
      </c>
      <c r="F717" s="1916">
        <f>SUM(F723,F729)</f>
        <v>79555</v>
      </c>
      <c r="G717" s="1916">
        <f t="shared" si="58"/>
        <v>0</v>
      </c>
      <c r="H717" s="1916">
        <f t="shared" si="58"/>
        <v>800</v>
      </c>
      <c r="I717" s="1916">
        <f t="shared" si="58"/>
        <v>0</v>
      </c>
      <c r="J717" s="3485"/>
      <c r="K717" s="3485"/>
    </row>
    <row r="718" spans="1:13" outlineLevel="1">
      <c r="A718" s="3483"/>
      <c r="B718" s="3484"/>
      <c r="C718" s="3485"/>
      <c r="D718" s="1915">
        <v>2025</v>
      </c>
      <c r="E718" s="1916">
        <f t="shared" si="58"/>
        <v>79247.8</v>
      </c>
      <c r="F718" s="1916">
        <f t="shared" si="58"/>
        <v>78458.8</v>
      </c>
      <c r="G718" s="1916">
        <f t="shared" si="58"/>
        <v>0</v>
      </c>
      <c r="H718" s="1916">
        <f t="shared" si="58"/>
        <v>789</v>
      </c>
      <c r="I718" s="1916">
        <f t="shared" si="58"/>
        <v>0</v>
      </c>
      <c r="J718" s="3485"/>
      <c r="K718" s="3485"/>
    </row>
    <row r="719" spans="1:13" ht="12.75" customHeight="1" outlineLevel="1">
      <c r="A719" s="3483" t="s">
        <v>3630</v>
      </c>
      <c r="B719" s="3484" t="s">
        <v>3631</v>
      </c>
      <c r="C719" s="3485" t="s">
        <v>3188</v>
      </c>
      <c r="D719" s="1915" t="s">
        <v>8</v>
      </c>
      <c r="E719" s="1916">
        <f t="shared" ref="E719:E730" si="59">SUM(F719:I719)</f>
        <v>138499.6</v>
      </c>
      <c r="F719" s="1916">
        <f>SUM(F720:F724)</f>
        <v>137114.6</v>
      </c>
      <c r="G719" s="1916">
        <f>SUM(G720:G724)</f>
        <v>0</v>
      </c>
      <c r="H719" s="1916">
        <f>SUM(H720:H724)</f>
        <v>1385</v>
      </c>
      <c r="I719" s="1916">
        <f>SUM(I720:I724)</f>
        <v>0</v>
      </c>
      <c r="J719" s="3485" t="s">
        <v>3632</v>
      </c>
      <c r="K719" s="3485" t="s">
        <v>3633</v>
      </c>
    </row>
    <row r="720" spans="1:13" outlineLevel="1">
      <c r="A720" s="3483"/>
      <c r="B720" s="3484"/>
      <c r="C720" s="3485"/>
      <c r="D720" s="1915">
        <v>2021</v>
      </c>
      <c r="E720" s="1916">
        <f t="shared" si="59"/>
        <v>0</v>
      </c>
      <c r="F720" s="1916">
        <v>0</v>
      </c>
      <c r="G720" s="1916">
        <v>0</v>
      </c>
      <c r="H720" s="1916">
        <v>0</v>
      </c>
      <c r="I720" s="1916">
        <v>0</v>
      </c>
      <c r="J720" s="3485"/>
      <c r="K720" s="3485"/>
      <c r="M720" s="1914">
        <f>SUM(E719,E725)</f>
        <v>187892.8</v>
      </c>
    </row>
    <row r="721" spans="1:13" outlineLevel="1">
      <c r="A721" s="3483"/>
      <c r="B721" s="3484"/>
      <c r="C721" s="3485"/>
      <c r="D721" s="1915">
        <v>2022</v>
      </c>
      <c r="E721" s="1916">
        <f t="shared" si="59"/>
        <v>0</v>
      </c>
      <c r="F721" s="1916">
        <v>0</v>
      </c>
      <c r="G721" s="1916">
        <v>0</v>
      </c>
      <c r="H721" s="1916">
        <v>0</v>
      </c>
      <c r="I721" s="1916">
        <v>0</v>
      </c>
      <c r="J721" s="3485"/>
      <c r="K721" s="3485"/>
    </row>
    <row r="722" spans="1:13" outlineLevel="1">
      <c r="A722" s="3483"/>
      <c r="B722" s="3484"/>
      <c r="C722" s="3485"/>
      <c r="D722" s="1915">
        <v>2023</v>
      </c>
      <c r="E722" s="1916">
        <f t="shared" si="59"/>
        <v>20666.5</v>
      </c>
      <c r="F722" s="1916">
        <v>20452.7</v>
      </c>
      <c r="G722" s="1916">
        <v>0</v>
      </c>
      <c r="H722" s="1916">
        <v>213.8</v>
      </c>
      <c r="I722" s="1916">
        <v>0</v>
      </c>
      <c r="J722" s="3485"/>
      <c r="K722" s="3485"/>
    </row>
    <row r="723" spans="1:13" outlineLevel="1">
      <c r="A723" s="3483"/>
      <c r="B723" s="3484"/>
      <c r="C723" s="3485"/>
      <c r="D723" s="1915">
        <v>2024</v>
      </c>
      <c r="E723" s="1916">
        <f t="shared" si="59"/>
        <v>59324.6</v>
      </c>
      <c r="F723" s="1916">
        <v>58734.9</v>
      </c>
      <c r="G723" s="1916">
        <v>0</v>
      </c>
      <c r="H723" s="1916">
        <v>589.70000000000005</v>
      </c>
      <c r="I723" s="1916">
        <v>0</v>
      </c>
      <c r="J723" s="3485"/>
      <c r="K723" s="3485"/>
    </row>
    <row r="724" spans="1:13" outlineLevel="1">
      <c r="A724" s="3483"/>
      <c r="B724" s="3484"/>
      <c r="C724" s="3485"/>
      <c r="D724" s="1915">
        <v>2025</v>
      </c>
      <c r="E724" s="1916">
        <f t="shared" si="59"/>
        <v>58508.5</v>
      </c>
      <c r="F724" s="1916">
        <v>57927</v>
      </c>
      <c r="G724" s="1916">
        <v>0</v>
      </c>
      <c r="H724" s="1916">
        <v>581.5</v>
      </c>
      <c r="I724" s="1916">
        <v>0</v>
      </c>
      <c r="J724" s="3485"/>
      <c r="K724" s="3485"/>
    </row>
    <row r="725" spans="1:13" outlineLevel="1">
      <c r="A725" s="3483" t="s">
        <v>3634</v>
      </c>
      <c r="B725" s="3484" t="s">
        <v>3635</v>
      </c>
      <c r="C725" s="3485" t="s">
        <v>3188</v>
      </c>
      <c r="D725" s="1915" t="s">
        <v>8</v>
      </c>
      <c r="E725" s="1916">
        <f t="shared" si="59"/>
        <v>49393.2</v>
      </c>
      <c r="F725" s="1916">
        <f>SUM(F726:F730)</f>
        <v>48899.199999999997</v>
      </c>
      <c r="G725" s="1916">
        <f>SUM(G726:G730)</f>
        <v>0</v>
      </c>
      <c r="H725" s="1916">
        <f>SUM(H726:H730)</f>
        <v>494</v>
      </c>
      <c r="I725" s="1916">
        <f>SUM(I726:I730)</f>
        <v>0</v>
      </c>
      <c r="J725" s="3485" t="s">
        <v>3632</v>
      </c>
      <c r="K725" s="3485" t="s">
        <v>3633</v>
      </c>
    </row>
    <row r="726" spans="1:13" outlineLevel="1">
      <c r="A726" s="3483"/>
      <c r="B726" s="3484"/>
      <c r="C726" s="3485"/>
      <c r="D726" s="1915">
        <v>2021</v>
      </c>
      <c r="E726" s="1916">
        <f t="shared" si="59"/>
        <v>0</v>
      </c>
      <c r="F726" s="1916">
        <v>0</v>
      </c>
      <c r="G726" s="1916">
        <v>0</v>
      </c>
      <c r="H726" s="1916">
        <v>0</v>
      </c>
      <c r="I726" s="1916">
        <v>0</v>
      </c>
      <c r="J726" s="3485"/>
      <c r="K726" s="3485"/>
    </row>
    <row r="727" spans="1:13" outlineLevel="1">
      <c r="A727" s="3483"/>
      <c r="B727" s="3484"/>
      <c r="C727" s="3485"/>
      <c r="D727" s="1915">
        <v>2022</v>
      </c>
      <c r="E727" s="1916">
        <f t="shared" si="59"/>
        <v>0</v>
      </c>
      <c r="F727" s="1916">
        <v>0</v>
      </c>
      <c r="G727" s="1916">
        <v>0</v>
      </c>
      <c r="H727" s="1916">
        <v>0</v>
      </c>
      <c r="I727" s="1916">
        <v>0</v>
      </c>
      <c r="J727" s="3485"/>
      <c r="K727" s="3485"/>
      <c r="M727" s="1914">
        <f>SUM(F728,F722)</f>
        <v>28000</v>
      </c>
    </row>
    <row r="728" spans="1:13" outlineLevel="1">
      <c r="A728" s="3483"/>
      <c r="B728" s="3484"/>
      <c r="C728" s="3485"/>
      <c r="D728" s="1915">
        <v>2023</v>
      </c>
      <c r="E728" s="1916">
        <f t="shared" si="59"/>
        <v>7623.5</v>
      </c>
      <c r="F728" s="1916">
        <v>7547.3</v>
      </c>
      <c r="G728" s="1916">
        <v>0</v>
      </c>
      <c r="H728" s="1916">
        <v>76.2</v>
      </c>
      <c r="I728" s="1916">
        <v>0</v>
      </c>
      <c r="J728" s="3485"/>
      <c r="K728" s="3485"/>
    </row>
    <row r="729" spans="1:13" outlineLevel="1">
      <c r="A729" s="3483"/>
      <c r="B729" s="3484"/>
      <c r="C729" s="3485"/>
      <c r="D729" s="1915">
        <v>2024</v>
      </c>
      <c r="E729" s="1916">
        <f t="shared" si="59"/>
        <v>21030.399999999998</v>
      </c>
      <c r="F729" s="1916">
        <v>20820.099999999999</v>
      </c>
      <c r="G729" s="1916">
        <v>0</v>
      </c>
      <c r="H729" s="1916">
        <v>210.3</v>
      </c>
      <c r="I729" s="1916">
        <v>0</v>
      </c>
      <c r="J729" s="3485"/>
      <c r="K729" s="3485"/>
    </row>
    <row r="730" spans="1:13" outlineLevel="1">
      <c r="A730" s="3483"/>
      <c r="B730" s="3484"/>
      <c r="C730" s="3485"/>
      <c r="D730" s="1915">
        <v>2025</v>
      </c>
      <c r="E730" s="1916">
        <f t="shared" si="59"/>
        <v>20739.3</v>
      </c>
      <c r="F730" s="1916">
        <v>20531.8</v>
      </c>
      <c r="G730" s="1916">
        <v>0</v>
      </c>
      <c r="H730" s="1916">
        <v>207.5</v>
      </c>
      <c r="I730" s="1916">
        <v>0</v>
      </c>
      <c r="J730" s="3485"/>
      <c r="K730" s="3485"/>
    </row>
    <row r="731" spans="1:13">
      <c r="A731" s="3483" t="s">
        <v>2884</v>
      </c>
      <c r="B731" s="3484" t="s">
        <v>631</v>
      </c>
      <c r="C731" s="3485" t="s">
        <v>2989</v>
      </c>
      <c r="D731" s="1915" t="s">
        <v>8</v>
      </c>
      <c r="E731" s="1916">
        <f t="shared" si="57"/>
        <v>1328210.8980899998</v>
      </c>
      <c r="F731" s="1916">
        <f>SUM(F732:F736)</f>
        <v>735152.66107999999</v>
      </c>
      <c r="G731" s="1916">
        <f>SUM(G732:G736)</f>
        <v>562487.59899999993</v>
      </c>
      <c r="H731" s="1916">
        <f>SUM(H732:H736)</f>
        <v>30570.638009999973</v>
      </c>
      <c r="I731" s="1916">
        <f>SUM(I732:I736)</f>
        <v>0</v>
      </c>
      <c r="J731" s="3485" t="s">
        <v>2822</v>
      </c>
      <c r="K731" s="3485" t="s">
        <v>3005</v>
      </c>
    </row>
    <row r="732" spans="1:13" ht="14.25" customHeight="1">
      <c r="A732" s="3483"/>
      <c r="B732" s="3484"/>
      <c r="C732" s="3485"/>
      <c r="D732" s="1915">
        <v>2021</v>
      </c>
      <c r="E732" s="1916">
        <f t="shared" si="57"/>
        <v>277483.179</v>
      </c>
      <c r="F732" s="1916">
        <f t="shared" ref="F732:I736" si="60">F738+F744+F750+F756</f>
        <v>19160.86</v>
      </c>
      <c r="G732" s="1916">
        <f t="shared" si="60"/>
        <v>257488.69899999999</v>
      </c>
      <c r="H732" s="1916">
        <f t="shared" si="60"/>
        <v>833.61999999999989</v>
      </c>
      <c r="I732" s="1916">
        <f t="shared" si="60"/>
        <v>0</v>
      </c>
      <c r="J732" s="3485"/>
      <c r="K732" s="3485"/>
    </row>
    <row r="733" spans="1:13">
      <c r="A733" s="3483"/>
      <c r="B733" s="3484"/>
      <c r="C733" s="3485"/>
      <c r="D733" s="1915">
        <v>2022</v>
      </c>
      <c r="E733" s="1916">
        <f t="shared" si="57"/>
        <v>684506.5541999999</v>
      </c>
      <c r="F733" s="1916">
        <f t="shared" si="60"/>
        <v>488280.63192999997</v>
      </c>
      <c r="G733" s="1916">
        <f t="shared" si="60"/>
        <v>177607.9</v>
      </c>
      <c r="H733" s="1916">
        <f t="shared" si="60"/>
        <v>18618.022270000001</v>
      </c>
      <c r="I733" s="1916">
        <f t="shared" si="60"/>
        <v>0</v>
      </c>
      <c r="J733" s="3485"/>
      <c r="K733" s="3485"/>
    </row>
    <row r="734" spans="1:13">
      <c r="A734" s="3483"/>
      <c r="B734" s="3484"/>
      <c r="C734" s="3485"/>
      <c r="D734" s="1915">
        <v>2023</v>
      </c>
      <c r="E734" s="1916">
        <f t="shared" si="57"/>
        <v>139473.16488999996</v>
      </c>
      <c r="F734" s="1916">
        <f t="shared" si="60"/>
        <v>11675.569150000007</v>
      </c>
      <c r="G734" s="1916">
        <f t="shared" si="60"/>
        <v>127391</v>
      </c>
      <c r="H734" s="1916">
        <f t="shared" si="60"/>
        <v>406.59573999997519</v>
      </c>
      <c r="I734" s="1916">
        <f t="shared" si="60"/>
        <v>0</v>
      </c>
      <c r="J734" s="3485"/>
      <c r="K734" s="3485"/>
    </row>
    <row r="735" spans="1:13">
      <c r="A735" s="3483"/>
      <c r="B735" s="3484"/>
      <c r="C735" s="3485"/>
      <c r="D735" s="1915">
        <v>2024</v>
      </c>
      <c r="E735" s="1916">
        <f t="shared" si="57"/>
        <v>220498</v>
      </c>
      <c r="F735" s="1916">
        <f t="shared" si="60"/>
        <v>209785.60000000001</v>
      </c>
      <c r="G735" s="1916">
        <f t="shared" si="60"/>
        <v>0</v>
      </c>
      <c r="H735" s="1916">
        <f t="shared" si="60"/>
        <v>10712.4</v>
      </c>
      <c r="I735" s="1916">
        <f t="shared" si="60"/>
        <v>0</v>
      </c>
      <c r="J735" s="3485"/>
      <c r="K735" s="3485"/>
    </row>
    <row r="736" spans="1:13">
      <c r="A736" s="3483"/>
      <c r="B736" s="3484"/>
      <c r="C736" s="3485"/>
      <c r="D736" s="1915">
        <v>2025</v>
      </c>
      <c r="E736" s="1916">
        <f t="shared" si="57"/>
        <v>6250</v>
      </c>
      <c r="F736" s="1916">
        <f t="shared" si="60"/>
        <v>6250</v>
      </c>
      <c r="G736" s="1916">
        <f t="shared" si="60"/>
        <v>0</v>
      </c>
      <c r="H736" s="1916">
        <f t="shared" si="60"/>
        <v>0</v>
      </c>
      <c r="I736" s="1916">
        <f t="shared" si="60"/>
        <v>0</v>
      </c>
      <c r="J736" s="3485"/>
      <c r="K736" s="3485"/>
    </row>
    <row r="737" spans="1:12" ht="21" customHeight="1">
      <c r="A737" s="3483" t="s">
        <v>3004</v>
      </c>
      <c r="B737" s="3484" t="s">
        <v>215</v>
      </c>
      <c r="C737" s="3485" t="s">
        <v>2989</v>
      </c>
      <c r="D737" s="1915" t="s">
        <v>8</v>
      </c>
      <c r="E737" s="1916">
        <f t="shared" si="57"/>
        <v>25746.25</v>
      </c>
      <c r="F737" s="1916">
        <f>SUM(F738:F742)</f>
        <v>25746.25</v>
      </c>
      <c r="G737" s="1916">
        <f>SUM(G738:G742)</f>
        <v>0</v>
      </c>
      <c r="H737" s="1916">
        <f>SUM(H738:H742)</f>
        <v>0</v>
      </c>
      <c r="I737" s="1916">
        <f>SUM(I738:I742)</f>
        <v>0</v>
      </c>
      <c r="J737" s="3491" t="s">
        <v>5460</v>
      </c>
      <c r="K737" s="3485" t="s">
        <v>2799</v>
      </c>
      <c r="L737" s="3487" t="s">
        <v>3002</v>
      </c>
    </row>
    <row r="738" spans="1:12" ht="21" customHeight="1">
      <c r="A738" s="3483"/>
      <c r="B738" s="3484"/>
      <c r="C738" s="3485"/>
      <c r="D738" s="1915">
        <v>2021</v>
      </c>
      <c r="E738" s="1916">
        <f t="shared" si="57"/>
        <v>3320.7</v>
      </c>
      <c r="F738" s="1916">
        <v>3320.7</v>
      </c>
      <c r="G738" s="1916">
        <v>0</v>
      </c>
      <c r="H738" s="1916">
        <v>0</v>
      </c>
      <c r="I738" s="1916">
        <v>0</v>
      </c>
      <c r="J738" s="3491"/>
      <c r="K738" s="3485"/>
      <c r="L738" s="3487"/>
    </row>
    <row r="739" spans="1:12" ht="21" customHeight="1">
      <c r="A739" s="3483"/>
      <c r="B739" s="3484"/>
      <c r="C739" s="3485"/>
      <c r="D739" s="1915">
        <v>2022</v>
      </c>
      <c r="E739" s="1916">
        <f t="shared" si="57"/>
        <v>5975.3</v>
      </c>
      <c r="F739" s="1916">
        <v>5975.3</v>
      </c>
      <c r="G739" s="1916">
        <v>0</v>
      </c>
      <c r="H739" s="1916">
        <v>0</v>
      </c>
      <c r="I739" s="1916">
        <v>0</v>
      </c>
      <c r="J739" s="3491"/>
      <c r="K739" s="3485"/>
      <c r="L739" s="3487"/>
    </row>
    <row r="740" spans="1:12" ht="21" customHeight="1">
      <c r="A740" s="3483"/>
      <c r="B740" s="3484"/>
      <c r="C740" s="3485"/>
      <c r="D740" s="1915">
        <v>2023</v>
      </c>
      <c r="E740" s="1916">
        <f t="shared" si="57"/>
        <v>3950.25</v>
      </c>
      <c r="F740" s="1916">
        <f>6250-2299.75</f>
        <v>3950.25</v>
      </c>
      <c r="G740" s="1916">
        <v>0</v>
      </c>
      <c r="H740" s="1916">
        <v>0</v>
      </c>
      <c r="I740" s="1916">
        <v>0</v>
      </c>
      <c r="J740" s="3491"/>
      <c r="K740" s="3485"/>
      <c r="L740" s="3487"/>
    </row>
    <row r="741" spans="1:12" ht="21" customHeight="1">
      <c r="A741" s="3483"/>
      <c r="B741" s="3484"/>
      <c r="C741" s="3485"/>
      <c r="D741" s="1915">
        <v>2024</v>
      </c>
      <c r="E741" s="1916">
        <f t="shared" si="57"/>
        <v>6250</v>
      </c>
      <c r="F741" s="1916">
        <v>6250</v>
      </c>
      <c r="G741" s="1916">
        <v>0</v>
      </c>
      <c r="H741" s="1916">
        <v>0</v>
      </c>
      <c r="I741" s="1916">
        <v>0</v>
      </c>
      <c r="J741" s="3491"/>
      <c r="K741" s="3485"/>
      <c r="L741" s="3487"/>
    </row>
    <row r="742" spans="1:12" ht="21" customHeight="1">
      <c r="A742" s="3483"/>
      <c r="B742" s="3484"/>
      <c r="C742" s="3485"/>
      <c r="D742" s="1915">
        <v>2025</v>
      </c>
      <c r="E742" s="1916">
        <f t="shared" si="57"/>
        <v>6250</v>
      </c>
      <c r="F742" s="1916">
        <v>6250</v>
      </c>
      <c r="G742" s="1916">
        <v>0</v>
      </c>
      <c r="H742" s="1916">
        <v>0</v>
      </c>
      <c r="I742" s="1916">
        <v>0</v>
      </c>
      <c r="J742" s="3491"/>
      <c r="K742" s="3485"/>
      <c r="L742" s="3487"/>
    </row>
    <row r="743" spans="1:12" ht="20.25" customHeight="1">
      <c r="A743" s="3483" t="s">
        <v>3001</v>
      </c>
      <c r="B743" s="3484" t="s">
        <v>2839</v>
      </c>
      <c r="C743" s="3485" t="s">
        <v>2999</v>
      </c>
      <c r="D743" s="1915" t="s">
        <v>8</v>
      </c>
      <c r="E743" s="1916">
        <f t="shared" si="57"/>
        <v>447152.68754999997</v>
      </c>
      <c r="F743" s="1916">
        <f>SUM(F744:F748)</f>
        <v>316032.67813999997</v>
      </c>
      <c r="G743" s="1916">
        <f>SUM(G744:G748)</f>
        <v>121253.24804000001</v>
      </c>
      <c r="H743" s="1916">
        <f>SUM(H744:H748)</f>
        <v>9866.7613700000002</v>
      </c>
      <c r="I743" s="1916">
        <f>SUM(I744:I748)</f>
        <v>0</v>
      </c>
      <c r="J743" s="3485" t="s">
        <v>3000</v>
      </c>
      <c r="K743" s="3485" t="s">
        <v>2993</v>
      </c>
      <c r="L743" s="3487"/>
    </row>
    <row r="744" spans="1:12" ht="20.25" customHeight="1">
      <c r="A744" s="3483"/>
      <c r="B744" s="3484"/>
      <c r="C744" s="3485"/>
      <c r="D744" s="1915">
        <v>2021</v>
      </c>
      <c r="E744" s="1916">
        <f t="shared" si="57"/>
        <v>94469.148000000001</v>
      </c>
      <c r="F744" s="1916">
        <v>5458.1030000000001</v>
      </c>
      <c r="G744" s="1916">
        <v>88723.845000000001</v>
      </c>
      <c r="H744" s="1916">
        <v>287.2</v>
      </c>
      <c r="I744" s="1916">
        <v>0</v>
      </c>
      <c r="J744" s="3485"/>
      <c r="K744" s="3485"/>
      <c r="L744" s="3487"/>
    </row>
    <row r="745" spans="1:12" ht="20.25" customHeight="1">
      <c r="A745" s="3483"/>
      <c r="B745" s="3484"/>
      <c r="C745" s="3485"/>
      <c r="D745" s="1915">
        <v>2022</v>
      </c>
      <c r="E745" s="1916">
        <f t="shared" si="57"/>
        <v>352683.53954999999</v>
      </c>
      <c r="F745" s="1916">
        <v>310574.57513999997</v>
      </c>
      <c r="G745" s="1916">
        <v>32529.403040000001</v>
      </c>
      <c r="H745" s="1916">
        <v>9579.5613699999994</v>
      </c>
      <c r="I745" s="1916">
        <v>0</v>
      </c>
      <c r="J745" s="3485"/>
      <c r="K745" s="3485"/>
      <c r="L745" s="3487"/>
    </row>
    <row r="746" spans="1:12" ht="20.25" customHeight="1">
      <c r="A746" s="3483"/>
      <c r="B746" s="3484"/>
      <c r="C746" s="3485"/>
      <c r="D746" s="1915">
        <v>2023</v>
      </c>
      <c r="E746" s="1916">
        <f t="shared" si="57"/>
        <v>0</v>
      </c>
      <c r="F746" s="1916">
        <v>0</v>
      </c>
      <c r="G746" s="1916">
        <v>0</v>
      </c>
      <c r="H746" s="1916">
        <v>0</v>
      </c>
      <c r="I746" s="1916">
        <v>0</v>
      </c>
      <c r="J746" s="3485"/>
      <c r="K746" s="3485"/>
      <c r="L746" s="3487"/>
    </row>
    <row r="747" spans="1:12" ht="20.25" customHeight="1">
      <c r="A747" s="3483"/>
      <c r="B747" s="3484"/>
      <c r="C747" s="3485"/>
      <c r="D747" s="1915">
        <v>2024</v>
      </c>
      <c r="E747" s="1916">
        <f t="shared" si="57"/>
        <v>0</v>
      </c>
      <c r="F747" s="1916">
        <v>0</v>
      </c>
      <c r="G747" s="1916">
        <v>0</v>
      </c>
      <c r="H747" s="1916">
        <v>0</v>
      </c>
      <c r="I747" s="1916">
        <v>0</v>
      </c>
      <c r="J747" s="3485"/>
      <c r="K747" s="3485"/>
      <c r="L747" s="3487"/>
    </row>
    <row r="748" spans="1:12" ht="20.25" customHeight="1">
      <c r="A748" s="3483"/>
      <c r="B748" s="3484"/>
      <c r="C748" s="3485"/>
      <c r="D748" s="1915">
        <v>2025</v>
      </c>
      <c r="E748" s="1916">
        <f t="shared" si="57"/>
        <v>0</v>
      </c>
      <c r="F748" s="1916">
        <v>0</v>
      </c>
      <c r="G748" s="1916">
        <v>0</v>
      </c>
      <c r="H748" s="1916">
        <v>0</v>
      </c>
      <c r="I748" s="1916">
        <v>0</v>
      </c>
      <c r="J748" s="3485"/>
      <c r="K748" s="3485"/>
      <c r="L748" s="3487"/>
    </row>
    <row r="749" spans="1:12" ht="15" customHeight="1">
      <c r="A749" s="3483" t="s">
        <v>2886</v>
      </c>
      <c r="B749" s="3484" t="s">
        <v>2841</v>
      </c>
      <c r="C749" s="3485" t="s">
        <v>2999</v>
      </c>
      <c r="D749" s="1915" t="s">
        <v>8</v>
      </c>
      <c r="E749" s="1916">
        <f t="shared" si="57"/>
        <v>508717.68395999999</v>
      </c>
      <c r="F749" s="1916">
        <v>242209.413</v>
      </c>
      <c r="G749" s="1916">
        <v>253746.75095999998</v>
      </c>
      <c r="H749" s="1916">
        <v>12761.52</v>
      </c>
      <c r="I749" s="1916">
        <f>SUM(I750:I754)</f>
        <v>0</v>
      </c>
      <c r="J749" s="3485" t="s">
        <v>2998</v>
      </c>
      <c r="K749" s="3485" t="s">
        <v>2993</v>
      </c>
    </row>
    <row r="750" spans="1:12">
      <c r="A750" s="3483"/>
      <c r="B750" s="3484"/>
      <c r="C750" s="3485"/>
      <c r="D750" s="1915">
        <v>2021</v>
      </c>
      <c r="E750" s="1916">
        <f t="shared" si="57"/>
        <v>179693.33100000001</v>
      </c>
      <c r="F750" s="1916">
        <v>10382.057000000001</v>
      </c>
      <c r="G750" s="1916">
        <v>168764.85399999999</v>
      </c>
      <c r="H750" s="1916">
        <v>546.41999999999996</v>
      </c>
      <c r="I750" s="1916">
        <v>0</v>
      </c>
      <c r="J750" s="3485"/>
      <c r="K750" s="3485"/>
    </row>
    <row r="751" spans="1:12">
      <c r="A751" s="3483"/>
      <c r="B751" s="3484"/>
      <c r="C751" s="3485"/>
      <c r="D751" s="1915">
        <v>2022</v>
      </c>
      <c r="E751" s="1916">
        <f t="shared" si="57"/>
        <v>325847.71465000004</v>
      </c>
      <c r="F751" s="1916">
        <v>171730.75679000001</v>
      </c>
      <c r="G751" s="1916">
        <v>145078.49695999999</v>
      </c>
      <c r="H751" s="1916">
        <v>9038.4609</v>
      </c>
      <c r="I751" s="1916">
        <v>0</v>
      </c>
      <c r="J751" s="3485"/>
      <c r="K751" s="3485"/>
    </row>
    <row r="752" spans="1:12">
      <c r="A752" s="3483"/>
      <c r="B752" s="3484"/>
      <c r="C752" s="3485"/>
      <c r="D752" s="1915">
        <v>2023</v>
      </c>
      <c r="E752" s="1916">
        <f t="shared" si="57"/>
        <v>0</v>
      </c>
      <c r="F752" s="1916">
        <v>0</v>
      </c>
      <c r="G752" s="1916">
        <v>0</v>
      </c>
      <c r="H752" s="1916">
        <v>0</v>
      </c>
      <c r="I752" s="1916">
        <v>0</v>
      </c>
      <c r="J752" s="3485"/>
      <c r="K752" s="3485"/>
    </row>
    <row r="753" spans="1:11">
      <c r="A753" s="3483"/>
      <c r="B753" s="3484"/>
      <c r="C753" s="3485"/>
      <c r="D753" s="1915">
        <v>2024</v>
      </c>
      <c r="E753" s="1916">
        <f t="shared" si="57"/>
        <v>0</v>
      </c>
      <c r="F753" s="1916">
        <v>0</v>
      </c>
      <c r="G753" s="1916">
        <v>0</v>
      </c>
      <c r="H753" s="1916">
        <v>0</v>
      </c>
      <c r="I753" s="1916">
        <v>0</v>
      </c>
      <c r="J753" s="3485"/>
      <c r="K753" s="3485"/>
    </row>
    <row r="754" spans="1:11">
      <c r="A754" s="3483"/>
      <c r="B754" s="3484"/>
      <c r="C754" s="3485"/>
      <c r="D754" s="1915">
        <v>2025</v>
      </c>
      <c r="E754" s="1916">
        <f t="shared" si="57"/>
        <v>0</v>
      </c>
      <c r="F754" s="1916">
        <v>0</v>
      </c>
      <c r="G754" s="1916">
        <v>0</v>
      </c>
      <c r="H754" s="1916">
        <v>0</v>
      </c>
      <c r="I754" s="1916">
        <v>0</v>
      </c>
      <c r="J754" s="3485"/>
      <c r="K754" s="3485"/>
    </row>
    <row r="755" spans="1:11">
      <c r="A755" s="3483" t="s">
        <v>2997</v>
      </c>
      <c r="B755" s="3484" t="s">
        <v>2996</v>
      </c>
      <c r="C755" s="3485" t="s">
        <v>2995</v>
      </c>
      <c r="D755" s="1915" t="s">
        <v>8</v>
      </c>
      <c r="E755" s="1916">
        <f t="shared" si="57"/>
        <v>349770.91488999996</v>
      </c>
      <c r="F755" s="1916">
        <f>SUM(F756:F760)</f>
        <v>211260.91915</v>
      </c>
      <c r="G755" s="1916">
        <f>SUM(G756:G760)</f>
        <v>127391</v>
      </c>
      <c r="H755" s="1916">
        <f>SUM(H756:H760)</f>
        <v>11118.995739999975</v>
      </c>
      <c r="I755" s="1916">
        <f>SUM(I756:I760)</f>
        <v>0</v>
      </c>
      <c r="J755" s="3491" t="s">
        <v>5461</v>
      </c>
      <c r="K755" s="3485" t="s">
        <v>2993</v>
      </c>
    </row>
    <row r="756" spans="1:11">
      <c r="A756" s="3483"/>
      <c r="B756" s="3484"/>
      <c r="C756" s="3485"/>
      <c r="D756" s="1915">
        <v>2021</v>
      </c>
      <c r="E756" s="1916">
        <f t="shared" si="57"/>
        <v>0</v>
      </c>
      <c r="F756" s="1916">
        <v>0</v>
      </c>
      <c r="G756" s="1916">
        <v>0</v>
      </c>
      <c r="H756" s="1916">
        <v>0</v>
      </c>
      <c r="I756" s="1916">
        <v>0</v>
      </c>
      <c r="J756" s="3491"/>
      <c r="K756" s="3485"/>
    </row>
    <row r="757" spans="1:11">
      <c r="A757" s="3483"/>
      <c r="B757" s="3484"/>
      <c r="C757" s="3485"/>
      <c r="D757" s="1915">
        <v>2022</v>
      </c>
      <c r="E757" s="1916">
        <f t="shared" si="57"/>
        <v>0</v>
      </c>
      <c r="F757" s="1916">
        <v>0</v>
      </c>
      <c r="G757" s="1916">
        <v>0</v>
      </c>
      <c r="H757" s="1916">
        <v>0</v>
      </c>
      <c r="I757" s="1916">
        <v>0</v>
      </c>
      <c r="J757" s="3491"/>
      <c r="K757" s="3485"/>
    </row>
    <row r="758" spans="1:11">
      <c r="A758" s="3483"/>
      <c r="B758" s="3484"/>
      <c r="C758" s="3485"/>
      <c r="D758" s="1915">
        <v>2023</v>
      </c>
      <c r="E758" s="1916">
        <f t="shared" si="57"/>
        <v>135522.91488999996</v>
      </c>
      <c r="F758" s="1916">
        <f>(135116319.15-127391000)/1000</f>
        <v>7725.3191500000057</v>
      </c>
      <c r="G758" s="1916">
        <v>127391</v>
      </c>
      <c r="H758" s="1916">
        <f>135522914.89/1000-F758-G758</f>
        <v>406.59573999997519</v>
      </c>
      <c r="I758" s="1916">
        <v>0</v>
      </c>
      <c r="J758" s="3491"/>
      <c r="K758" s="3485"/>
    </row>
    <row r="759" spans="1:11">
      <c r="A759" s="3483"/>
      <c r="B759" s="3484"/>
      <c r="C759" s="3485"/>
      <c r="D759" s="1915">
        <v>2024</v>
      </c>
      <c r="E759" s="1916">
        <f t="shared" si="57"/>
        <v>214248</v>
      </c>
      <c r="F759" s="1916">
        <v>203535.6</v>
      </c>
      <c r="G759" s="1916">
        <v>0</v>
      </c>
      <c r="H759" s="1916">
        <v>10712.4</v>
      </c>
      <c r="I759" s="1916">
        <v>0</v>
      </c>
      <c r="J759" s="3491"/>
      <c r="K759" s="3485"/>
    </row>
    <row r="760" spans="1:11">
      <c r="A760" s="3483"/>
      <c r="B760" s="3484"/>
      <c r="C760" s="3485"/>
      <c r="D760" s="1915">
        <v>2025</v>
      </c>
      <c r="E760" s="1916">
        <f t="shared" si="57"/>
        <v>0</v>
      </c>
      <c r="F760" s="1916">
        <v>0</v>
      </c>
      <c r="G760" s="1916">
        <v>0</v>
      </c>
      <c r="H760" s="1916">
        <v>0</v>
      </c>
      <c r="I760" s="1916">
        <v>0</v>
      </c>
      <c r="J760" s="3491"/>
      <c r="K760" s="3485"/>
    </row>
    <row r="761" spans="1:11" ht="15" customHeight="1">
      <c r="A761" s="3483" t="s">
        <v>689</v>
      </c>
      <c r="B761" s="3484" t="s">
        <v>2794</v>
      </c>
      <c r="C761" s="3485" t="s">
        <v>2989</v>
      </c>
      <c r="D761" s="1915" t="s">
        <v>8</v>
      </c>
      <c r="E761" s="1916">
        <f t="shared" si="57"/>
        <v>254683.886</v>
      </c>
      <c r="F761" s="1916">
        <f>SUM(F762:F766)</f>
        <v>254683.886</v>
      </c>
      <c r="G761" s="1916">
        <f>SUM(G762:G766)</f>
        <v>0</v>
      </c>
      <c r="H761" s="1916">
        <f>SUM(H762:H766)</f>
        <v>0</v>
      </c>
      <c r="I761" s="1916">
        <f>SUM(I762:I766)</f>
        <v>0</v>
      </c>
      <c r="J761" s="3485"/>
      <c r="K761" s="3485" t="s">
        <v>2799</v>
      </c>
    </row>
    <row r="762" spans="1:11">
      <c r="A762" s="3483"/>
      <c r="B762" s="3484"/>
      <c r="C762" s="3485"/>
      <c r="D762" s="1915">
        <v>2021</v>
      </c>
      <c r="E762" s="1916">
        <f t="shared" si="57"/>
        <v>40456.699999999997</v>
      </c>
      <c r="F762" s="1916">
        <f t="shared" ref="F762:I766" si="61">F768</f>
        <v>40456.699999999997</v>
      </c>
      <c r="G762" s="1916">
        <f t="shared" si="61"/>
        <v>0</v>
      </c>
      <c r="H762" s="1916">
        <f t="shared" si="61"/>
        <v>0</v>
      </c>
      <c r="I762" s="1916">
        <f t="shared" si="61"/>
        <v>0</v>
      </c>
      <c r="J762" s="3485"/>
      <c r="K762" s="3485"/>
    </row>
    <row r="763" spans="1:11">
      <c r="A763" s="3483"/>
      <c r="B763" s="3484"/>
      <c r="C763" s="3485"/>
      <c r="D763" s="1915">
        <v>2022</v>
      </c>
      <c r="E763" s="1916">
        <f t="shared" si="57"/>
        <v>50867.625999999997</v>
      </c>
      <c r="F763" s="1916">
        <f t="shared" si="61"/>
        <v>50867.625999999997</v>
      </c>
      <c r="G763" s="1916">
        <f t="shared" si="61"/>
        <v>0</v>
      </c>
      <c r="H763" s="1916">
        <f t="shared" si="61"/>
        <v>0</v>
      </c>
      <c r="I763" s="1916">
        <f t="shared" si="61"/>
        <v>0</v>
      </c>
      <c r="J763" s="3485"/>
      <c r="K763" s="3485"/>
    </row>
    <row r="764" spans="1:11">
      <c r="A764" s="3483"/>
      <c r="B764" s="3484"/>
      <c r="C764" s="3485"/>
      <c r="D764" s="1915">
        <v>2023</v>
      </c>
      <c r="E764" s="1916">
        <f t="shared" si="57"/>
        <v>54796.042999999998</v>
      </c>
      <c r="F764" s="1916">
        <f t="shared" si="61"/>
        <v>54796.042999999998</v>
      </c>
      <c r="G764" s="1916">
        <f t="shared" si="61"/>
        <v>0</v>
      </c>
      <c r="H764" s="1916">
        <f t="shared" si="61"/>
        <v>0</v>
      </c>
      <c r="I764" s="1916">
        <f t="shared" si="61"/>
        <v>0</v>
      </c>
      <c r="J764" s="3485"/>
      <c r="K764" s="3485"/>
    </row>
    <row r="765" spans="1:11">
      <c r="A765" s="3483"/>
      <c r="B765" s="3484"/>
      <c r="C765" s="3485"/>
      <c r="D765" s="1915">
        <v>2024</v>
      </c>
      <c r="E765" s="1916">
        <f t="shared" si="57"/>
        <v>54249.398000000001</v>
      </c>
      <c r="F765" s="1916">
        <f t="shared" si="61"/>
        <v>54249.398000000001</v>
      </c>
      <c r="G765" s="1916">
        <f t="shared" si="61"/>
        <v>0</v>
      </c>
      <c r="H765" s="1916">
        <f t="shared" si="61"/>
        <v>0</v>
      </c>
      <c r="I765" s="1916">
        <f t="shared" si="61"/>
        <v>0</v>
      </c>
      <c r="J765" s="3485"/>
      <c r="K765" s="3485"/>
    </row>
    <row r="766" spans="1:11" ht="19.5" customHeight="1">
      <c r="A766" s="3483"/>
      <c r="B766" s="3484"/>
      <c r="C766" s="3485"/>
      <c r="D766" s="1915">
        <v>2025</v>
      </c>
      <c r="E766" s="1916">
        <f t="shared" si="57"/>
        <v>54314.118999999999</v>
      </c>
      <c r="F766" s="1916">
        <f t="shared" si="61"/>
        <v>54314.118999999999</v>
      </c>
      <c r="G766" s="1916">
        <f t="shared" si="61"/>
        <v>0</v>
      </c>
      <c r="H766" s="1916">
        <f t="shared" si="61"/>
        <v>0</v>
      </c>
      <c r="I766" s="1916">
        <f t="shared" si="61"/>
        <v>0</v>
      </c>
      <c r="J766" s="3485"/>
      <c r="K766" s="3485"/>
    </row>
    <row r="767" spans="1:11">
      <c r="A767" s="3483" t="s">
        <v>2992</v>
      </c>
      <c r="B767" s="3484" t="s">
        <v>132</v>
      </c>
      <c r="C767" s="3485" t="s">
        <v>2989</v>
      </c>
      <c r="D767" s="1915" t="s">
        <v>8</v>
      </c>
      <c r="E767" s="1916">
        <f t="shared" si="57"/>
        <v>254683.886</v>
      </c>
      <c r="F767" s="1916">
        <f>SUM(F768:F772)</f>
        <v>254683.886</v>
      </c>
      <c r="G767" s="1916">
        <f>SUM(G768:G772)</f>
        <v>0</v>
      </c>
      <c r="H767" s="1916">
        <f>SUM(H768:H772)</f>
        <v>0</v>
      </c>
      <c r="I767" s="1916">
        <f>SUM(I768:I772)</f>
        <v>0</v>
      </c>
      <c r="J767" s="3485" t="s">
        <v>2991</v>
      </c>
      <c r="K767" s="3485" t="s">
        <v>2799</v>
      </c>
    </row>
    <row r="768" spans="1:11">
      <c r="A768" s="3483"/>
      <c r="B768" s="3484"/>
      <c r="C768" s="3485"/>
      <c r="D768" s="1915">
        <v>2021</v>
      </c>
      <c r="E768" s="1916">
        <f t="shared" ref="E768:E778" si="62">SUM(F768:I768)</f>
        <v>40456.699999999997</v>
      </c>
      <c r="F768" s="1916">
        <f t="shared" ref="F768:I772" si="63">F774</f>
        <v>40456.699999999997</v>
      </c>
      <c r="G768" s="1916">
        <f t="shared" si="63"/>
        <v>0</v>
      </c>
      <c r="H768" s="1916">
        <f t="shared" si="63"/>
        <v>0</v>
      </c>
      <c r="I768" s="1916">
        <f t="shared" si="63"/>
        <v>0</v>
      </c>
      <c r="J768" s="3485"/>
      <c r="K768" s="3485"/>
    </row>
    <row r="769" spans="1:11">
      <c r="A769" s="3483"/>
      <c r="B769" s="3484"/>
      <c r="C769" s="3485"/>
      <c r="D769" s="1915">
        <v>2022</v>
      </c>
      <c r="E769" s="1916">
        <f t="shared" si="62"/>
        <v>50867.625999999997</v>
      </c>
      <c r="F769" s="1916">
        <f t="shared" si="63"/>
        <v>50867.625999999997</v>
      </c>
      <c r="G769" s="1916">
        <f t="shared" si="63"/>
        <v>0</v>
      </c>
      <c r="H769" s="1916">
        <f t="shared" si="63"/>
        <v>0</v>
      </c>
      <c r="I769" s="1916">
        <f t="shared" si="63"/>
        <v>0</v>
      </c>
      <c r="J769" s="3485"/>
      <c r="K769" s="3485"/>
    </row>
    <row r="770" spans="1:11">
      <c r="A770" s="3483"/>
      <c r="B770" s="3484"/>
      <c r="C770" s="3485"/>
      <c r="D770" s="1915">
        <v>2023</v>
      </c>
      <c r="E770" s="1916">
        <f t="shared" si="62"/>
        <v>54796.042999999998</v>
      </c>
      <c r="F770" s="1916">
        <f t="shared" si="63"/>
        <v>54796.042999999998</v>
      </c>
      <c r="G770" s="1916">
        <f t="shared" si="63"/>
        <v>0</v>
      </c>
      <c r="H770" s="1916">
        <f t="shared" si="63"/>
        <v>0</v>
      </c>
      <c r="I770" s="1916">
        <f t="shared" si="63"/>
        <v>0</v>
      </c>
      <c r="J770" s="3485"/>
      <c r="K770" s="3485"/>
    </row>
    <row r="771" spans="1:11">
      <c r="A771" s="3483"/>
      <c r="B771" s="3484"/>
      <c r="C771" s="3485"/>
      <c r="D771" s="1915">
        <v>2024</v>
      </c>
      <c r="E771" s="1916">
        <f t="shared" si="62"/>
        <v>54249.398000000001</v>
      </c>
      <c r="F771" s="1916">
        <f t="shared" si="63"/>
        <v>54249.398000000001</v>
      </c>
      <c r="G771" s="1916">
        <f t="shared" si="63"/>
        <v>0</v>
      </c>
      <c r="H771" s="1916">
        <f t="shared" si="63"/>
        <v>0</v>
      </c>
      <c r="I771" s="1916">
        <f t="shared" si="63"/>
        <v>0</v>
      </c>
      <c r="J771" s="3485"/>
      <c r="K771" s="3485"/>
    </row>
    <row r="772" spans="1:11">
      <c r="A772" s="3483"/>
      <c r="B772" s="3484"/>
      <c r="C772" s="3485"/>
      <c r="D772" s="1915">
        <v>2025</v>
      </c>
      <c r="E772" s="1916">
        <f t="shared" si="62"/>
        <v>54314.118999999999</v>
      </c>
      <c r="F772" s="1916">
        <f t="shared" si="63"/>
        <v>54314.118999999999</v>
      </c>
      <c r="G772" s="1916">
        <f>G778</f>
        <v>0</v>
      </c>
      <c r="H772" s="1916">
        <f>H778</f>
        <v>0</v>
      </c>
      <c r="I772" s="1916">
        <f>I778</f>
        <v>0</v>
      </c>
      <c r="J772" s="3485"/>
      <c r="K772" s="3485"/>
    </row>
    <row r="773" spans="1:11">
      <c r="A773" s="3483" t="s">
        <v>2990</v>
      </c>
      <c r="B773" s="3484" t="s">
        <v>2843</v>
      </c>
      <c r="C773" s="3485" t="s">
        <v>2989</v>
      </c>
      <c r="D773" s="1915" t="s">
        <v>8</v>
      </c>
      <c r="E773" s="1916">
        <f t="shared" si="62"/>
        <v>254683.886</v>
      </c>
      <c r="F773" s="1916">
        <f>SUM(F774:F778)</f>
        <v>254683.886</v>
      </c>
      <c r="G773" s="1916">
        <f>SUM(G774:G778)</f>
        <v>0</v>
      </c>
      <c r="H773" s="1916">
        <f>SUM(H774:H778)</f>
        <v>0</v>
      </c>
      <c r="I773" s="1916">
        <f>SUM(I774:I778)</f>
        <v>0</v>
      </c>
      <c r="J773" s="3485" t="s">
        <v>2842</v>
      </c>
      <c r="K773" s="3485" t="s">
        <v>2799</v>
      </c>
    </row>
    <row r="774" spans="1:11">
      <c r="A774" s="3483"/>
      <c r="B774" s="3484"/>
      <c r="C774" s="3485"/>
      <c r="D774" s="1915">
        <v>2021</v>
      </c>
      <c r="E774" s="1916">
        <f t="shared" si="62"/>
        <v>40456.699999999997</v>
      </c>
      <c r="F774" s="1916">
        <v>40456.699999999997</v>
      </c>
      <c r="G774" s="1916">
        <v>0</v>
      </c>
      <c r="H774" s="1916">
        <v>0</v>
      </c>
      <c r="I774" s="1916">
        <v>0</v>
      </c>
      <c r="J774" s="3485"/>
      <c r="K774" s="3485"/>
    </row>
    <row r="775" spans="1:11">
      <c r="A775" s="3483"/>
      <c r="B775" s="3484"/>
      <c r="C775" s="3485"/>
      <c r="D775" s="1915">
        <v>2022</v>
      </c>
      <c r="E775" s="1916">
        <f t="shared" si="62"/>
        <v>50867.625999999997</v>
      </c>
      <c r="F775" s="1916">
        <v>50867.625999999997</v>
      </c>
      <c r="G775" s="1916">
        <v>0</v>
      </c>
      <c r="H775" s="1916">
        <v>0</v>
      </c>
      <c r="I775" s="1916">
        <v>0</v>
      </c>
      <c r="J775" s="3485"/>
      <c r="K775" s="3485"/>
    </row>
    <row r="776" spans="1:11">
      <c r="A776" s="3483"/>
      <c r="B776" s="3484"/>
      <c r="C776" s="3485"/>
      <c r="D776" s="1915">
        <v>2023</v>
      </c>
      <c r="E776" s="1916">
        <f t="shared" si="62"/>
        <v>54796.042999999998</v>
      </c>
      <c r="F776" s="1918">
        <f>54125.195+670.848</f>
        <v>54796.042999999998</v>
      </c>
      <c r="G776" s="1916">
        <v>0</v>
      </c>
      <c r="H776" s="1916">
        <v>0</v>
      </c>
      <c r="I776" s="1916">
        <v>0</v>
      </c>
      <c r="J776" s="3485"/>
      <c r="K776" s="3485"/>
    </row>
    <row r="777" spans="1:11">
      <c r="A777" s="3483"/>
      <c r="B777" s="3484"/>
      <c r="C777" s="3485"/>
      <c r="D777" s="1915">
        <v>2024</v>
      </c>
      <c r="E777" s="1916">
        <f t="shared" si="62"/>
        <v>54249.398000000001</v>
      </c>
      <c r="F777" s="1916">
        <v>54249.398000000001</v>
      </c>
      <c r="G777" s="1916">
        <v>0</v>
      </c>
      <c r="H777" s="1916">
        <v>0</v>
      </c>
      <c r="I777" s="1916">
        <v>0</v>
      </c>
      <c r="J777" s="3485"/>
      <c r="K777" s="3485"/>
    </row>
    <row r="778" spans="1:11">
      <c r="A778" s="3483"/>
      <c r="B778" s="3484"/>
      <c r="C778" s="3485"/>
      <c r="D778" s="1915">
        <v>2025</v>
      </c>
      <c r="E778" s="1916">
        <f t="shared" si="62"/>
        <v>54314.118999999999</v>
      </c>
      <c r="F778" s="1916">
        <v>54314.118999999999</v>
      </c>
      <c r="G778" s="1916">
        <v>0</v>
      </c>
      <c r="H778" s="1916">
        <v>0</v>
      </c>
      <c r="I778" s="1916">
        <v>0</v>
      </c>
      <c r="J778" s="3485"/>
      <c r="K778" s="3485"/>
    </row>
    <row r="780" spans="1:11">
      <c r="A780" s="1922" t="s">
        <v>3636</v>
      </c>
    </row>
  </sheetData>
  <autoFilter ref="A4:L778"/>
  <mergeCells count="666">
    <mergeCell ref="A773:A778"/>
    <mergeCell ref="B773:B778"/>
    <mergeCell ref="C773:C778"/>
    <mergeCell ref="J773:J778"/>
    <mergeCell ref="K773:K778"/>
    <mergeCell ref="A761:A766"/>
    <mergeCell ref="B761:B766"/>
    <mergeCell ref="C761:C766"/>
    <mergeCell ref="J761:J766"/>
    <mergeCell ref="K761:K766"/>
    <mergeCell ref="A767:A772"/>
    <mergeCell ref="B767:B772"/>
    <mergeCell ref="C767:C772"/>
    <mergeCell ref="J767:J772"/>
    <mergeCell ref="K767:K772"/>
    <mergeCell ref="A749:A754"/>
    <mergeCell ref="B749:B754"/>
    <mergeCell ref="C749:C754"/>
    <mergeCell ref="J749:J754"/>
    <mergeCell ref="K749:K754"/>
    <mergeCell ref="A755:A760"/>
    <mergeCell ref="B755:B760"/>
    <mergeCell ref="C755:C760"/>
    <mergeCell ref="J755:J760"/>
    <mergeCell ref="K755:K760"/>
    <mergeCell ref="A743:A748"/>
    <mergeCell ref="B743:B748"/>
    <mergeCell ref="C743:C748"/>
    <mergeCell ref="J743:J748"/>
    <mergeCell ref="K743:K748"/>
    <mergeCell ref="L743:L748"/>
    <mergeCell ref="A737:A742"/>
    <mergeCell ref="B737:B742"/>
    <mergeCell ref="C737:C742"/>
    <mergeCell ref="J737:J742"/>
    <mergeCell ref="K737:K742"/>
    <mergeCell ref="L737:L742"/>
    <mergeCell ref="A725:A730"/>
    <mergeCell ref="B725:B730"/>
    <mergeCell ref="C725:C730"/>
    <mergeCell ref="J725:J730"/>
    <mergeCell ref="K725:K730"/>
    <mergeCell ref="A731:A736"/>
    <mergeCell ref="B731:B736"/>
    <mergeCell ref="C731:C736"/>
    <mergeCell ref="J731:J736"/>
    <mergeCell ref="K731:K736"/>
    <mergeCell ref="A713:A718"/>
    <mergeCell ref="B713:B718"/>
    <mergeCell ref="C713:C718"/>
    <mergeCell ref="J713:J718"/>
    <mergeCell ref="K713:K718"/>
    <mergeCell ref="A719:A724"/>
    <mergeCell ref="B719:B724"/>
    <mergeCell ref="C719:C724"/>
    <mergeCell ref="J719:J724"/>
    <mergeCell ref="K719:K724"/>
    <mergeCell ref="A701:A706"/>
    <mergeCell ref="B701:B706"/>
    <mergeCell ref="C701:C706"/>
    <mergeCell ref="J701:J706"/>
    <mergeCell ref="K701:K706"/>
    <mergeCell ref="A707:A712"/>
    <mergeCell ref="B707:B712"/>
    <mergeCell ref="C707:C712"/>
    <mergeCell ref="J707:J712"/>
    <mergeCell ref="K707:K712"/>
    <mergeCell ref="A689:A694"/>
    <mergeCell ref="B689:B694"/>
    <mergeCell ref="C689:C694"/>
    <mergeCell ref="J689:J694"/>
    <mergeCell ref="K689:K694"/>
    <mergeCell ref="A695:A700"/>
    <mergeCell ref="B695:B700"/>
    <mergeCell ref="C695:C700"/>
    <mergeCell ref="J695:J700"/>
    <mergeCell ref="K695:K700"/>
    <mergeCell ref="A677:A682"/>
    <mergeCell ref="B677:B682"/>
    <mergeCell ref="C677:C682"/>
    <mergeCell ref="J677:J682"/>
    <mergeCell ref="K677:K682"/>
    <mergeCell ref="A683:A688"/>
    <mergeCell ref="B683:B688"/>
    <mergeCell ref="C683:C688"/>
    <mergeCell ref="J683:J688"/>
    <mergeCell ref="K683:K688"/>
    <mergeCell ref="A665:A670"/>
    <mergeCell ref="B665:B670"/>
    <mergeCell ref="C665:C670"/>
    <mergeCell ref="J665:J670"/>
    <mergeCell ref="K665:K670"/>
    <mergeCell ref="A671:A676"/>
    <mergeCell ref="B671:B676"/>
    <mergeCell ref="C671:C676"/>
    <mergeCell ref="J671:J676"/>
    <mergeCell ref="K671:K676"/>
    <mergeCell ref="A653:A658"/>
    <mergeCell ref="B653:B658"/>
    <mergeCell ref="C653:C658"/>
    <mergeCell ref="J653:J658"/>
    <mergeCell ref="K653:K658"/>
    <mergeCell ref="A659:A664"/>
    <mergeCell ref="B659:B664"/>
    <mergeCell ref="C659:C664"/>
    <mergeCell ref="J659:J664"/>
    <mergeCell ref="K659:K664"/>
    <mergeCell ref="A641:A646"/>
    <mergeCell ref="B641:B646"/>
    <mergeCell ref="C641:C646"/>
    <mergeCell ref="J641:J646"/>
    <mergeCell ref="K641:K646"/>
    <mergeCell ref="A647:A652"/>
    <mergeCell ref="B647:B652"/>
    <mergeCell ref="C647:C652"/>
    <mergeCell ref="J647:J652"/>
    <mergeCell ref="K647:K652"/>
    <mergeCell ref="A629:A634"/>
    <mergeCell ref="B629:B634"/>
    <mergeCell ref="C629:C634"/>
    <mergeCell ref="J629:J634"/>
    <mergeCell ref="K629:K634"/>
    <mergeCell ref="A635:A640"/>
    <mergeCell ref="B635:B640"/>
    <mergeCell ref="C635:C640"/>
    <mergeCell ref="J635:J640"/>
    <mergeCell ref="K635:K640"/>
    <mergeCell ref="A617:A622"/>
    <mergeCell ref="B617:B622"/>
    <mergeCell ref="C617:C622"/>
    <mergeCell ref="J617:J622"/>
    <mergeCell ref="K617:K622"/>
    <mergeCell ref="A623:A628"/>
    <mergeCell ref="B623:B628"/>
    <mergeCell ref="C623:C628"/>
    <mergeCell ref="J623:J628"/>
    <mergeCell ref="K623:K628"/>
    <mergeCell ref="A605:A610"/>
    <mergeCell ref="B605:B610"/>
    <mergeCell ref="C605:C610"/>
    <mergeCell ref="J605:J610"/>
    <mergeCell ref="K605:K610"/>
    <mergeCell ref="A611:A616"/>
    <mergeCell ref="B611:B616"/>
    <mergeCell ref="C611:C616"/>
    <mergeCell ref="J611:J616"/>
    <mergeCell ref="K611:K616"/>
    <mergeCell ref="A593:A598"/>
    <mergeCell ref="B593:B598"/>
    <mergeCell ref="C593:C598"/>
    <mergeCell ref="J593:J598"/>
    <mergeCell ref="K593:K598"/>
    <mergeCell ref="A599:A604"/>
    <mergeCell ref="B599:B604"/>
    <mergeCell ref="C599:C604"/>
    <mergeCell ref="J599:J604"/>
    <mergeCell ref="K599:K604"/>
    <mergeCell ref="A581:A586"/>
    <mergeCell ref="B581:B586"/>
    <mergeCell ref="C581:C586"/>
    <mergeCell ref="J581:J586"/>
    <mergeCell ref="K581:K586"/>
    <mergeCell ref="A587:A592"/>
    <mergeCell ref="B587:B592"/>
    <mergeCell ref="C587:C592"/>
    <mergeCell ref="J587:J592"/>
    <mergeCell ref="K587:K592"/>
    <mergeCell ref="A569:A574"/>
    <mergeCell ref="B569:B574"/>
    <mergeCell ref="C569:C574"/>
    <mergeCell ref="J569:J574"/>
    <mergeCell ref="K569:K574"/>
    <mergeCell ref="A575:A580"/>
    <mergeCell ref="B575:B580"/>
    <mergeCell ref="C575:C580"/>
    <mergeCell ref="J575:J580"/>
    <mergeCell ref="K575:K580"/>
    <mergeCell ref="A557:A562"/>
    <mergeCell ref="B557:B562"/>
    <mergeCell ref="C557:C562"/>
    <mergeCell ref="J557:J562"/>
    <mergeCell ref="K557:K562"/>
    <mergeCell ref="A563:A568"/>
    <mergeCell ref="B563:B568"/>
    <mergeCell ref="C563:C568"/>
    <mergeCell ref="J563:J568"/>
    <mergeCell ref="K563:K568"/>
    <mergeCell ref="A545:A550"/>
    <mergeCell ref="B545:B550"/>
    <mergeCell ref="C545:C550"/>
    <mergeCell ref="J545:J550"/>
    <mergeCell ref="K545:K550"/>
    <mergeCell ref="A551:A556"/>
    <mergeCell ref="B551:B556"/>
    <mergeCell ref="C551:C556"/>
    <mergeCell ref="J551:J556"/>
    <mergeCell ref="K551:K556"/>
    <mergeCell ref="A533:A538"/>
    <mergeCell ref="B533:B538"/>
    <mergeCell ref="C533:C538"/>
    <mergeCell ref="J533:J538"/>
    <mergeCell ref="K533:K538"/>
    <mergeCell ref="A539:A544"/>
    <mergeCell ref="B539:B544"/>
    <mergeCell ref="C539:C544"/>
    <mergeCell ref="J539:J544"/>
    <mergeCell ref="K539:K544"/>
    <mergeCell ref="A521:A526"/>
    <mergeCell ref="B521:B526"/>
    <mergeCell ref="C521:C526"/>
    <mergeCell ref="J521:J526"/>
    <mergeCell ref="K521:K526"/>
    <mergeCell ref="A527:A532"/>
    <mergeCell ref="B527:B532"/>
    <mergeCell ref="C527:C532"/>
    <mergeCell ref="J527:J532"/>
    <mergeCell ref="K527:K532"/>
    <mergeCell ref="A509:A514"/>
    <mergeCell ref="B509:B514"/>
    <mergeCell ref="C509:C514"/>
    <mergeCell ref="J509:J514"/>
    <mergeCell ref="K509:K514"/>
    <mergeCell ref="A515:A520"/>
    <mergeCell ref="B515:B520"/>
    <mergeCell ref="C515:C520"/>
    <mergeCell ref="J515:J520"/>
    <mergeCell ref="K515:K520"/>
    <mergeCell ref="A497:A502"/>
    <mergeCell ref="B497:B502"/>
    <mergeCell ref="C497:C502"/>
    <mergeCell ref="J497:J502"/>
    <mergeCell ref="K497:K502"/>
    <mergeCell ref="A503:A508"/>
    <mergeCell ref="B503:B508"/>
    <mergeCell ref="C503:C508"/>
    <mergeCell ref="J503:J508"/>
    <mergeCell ref="K503:K508"/>
    <mergeCell ref="A485:A490"/>
    <mergeCell ref="B485:B490"/>
    <mergeCell ref="C485:C490"/>
    <mergeCell ref="J485:J490"/>
    <mergeCell ref="K485:K490"/>
    <mergeCell ref="A491:A496"/>
    <mergeCell ref="B491:B496"/>
    <mergeCell ref="C491:C496"/>
    <mergeCell ref="J491:J496"/>
    <mergeCell ref="K491:K496"/>
    <mergeCell ref="A473:A478"/>
    <mergeCell ref="B473:B478"/>
    <mergeCell ref="C473:C478"/>
    <mergeCell ref="J473:J478"/>
    <mergeCell ref="K473:K478"/>
    <mergeCell ref="A479:A484"/>
    <mergeCell ref="B479:B484"/>
    <mergeCell ref="C479:C484"/>
    <mergeCell ref="J479:J484"/>
    <mergeCell ref="K479:K484"/>
    <mergeCell ref="L461:L463"/>
    <mergeCell ref="A467:A472"/>
    <mergeCell ref="B467:B472"/>
    <mergeCell ref="C467:C472"/>
    <mergeCell ref="J467:J472"/>
    <mergeCell ref="K467:K472"/>
    <mergeCell ref="A455:A460"/>
    <mergeCell ref="B455:B460"/>
    <mergeCell ref="C455:C460"/>
    <mergeCell ref="J455:J460"/>
    <mergeCell ref="K455:K460"/>
    <mergeCell ref="A461:A466"/>
    <mergeCell ref="B461:B466"/>
    <mergeCell ref="C461:C466"/>
    <mergeCell ref="J461:J466"/>
    <mergeCell ref="K461:K466"/>
    <mergeCell ref="L443:L448"/>
    <mergeCell ref="A449:A454"/>
    <mergeCell ref="B449:B454"/>
    <mergeCell ref="C449:C454"/>
    <mergeCell ref="J449:J454"/>
    <mergeCell ref="K449:K454"/>
    <mergeCell ref="A437:A442"/>
    <mergeCell ref="B437:B442"/>
    <mergeCell ref="C437:C442"/>
    <mergeCell ref="J437:J442"/>
    <mergeCell ref="K437:K442"/>
    <mergeCell ref="A443:A448"/>
    <mergeCell ref="B443:B448"/>
    <mergeCell ref="C443:C448"/>
    <mergeCell ref="J443:J448"/>
    <mergeCell ref="K443:K448"/>
    <mergeCell ref="A431:A436"/>
    <mergeCell ref="B431:B436"/>
    <mergeCell ref="C431:C436"/>
    <mergeCell ref="J431:J436"/>
    <mergeCell ref="K431:K436"/>
    <mergeCell ref="L431:L436"/>
    <mergeCell ref="A419:A424"/>
    <mergeCell ref="B419:B424"/>
    <mergeCell ref="C419:C424"/>
    <mergeCell ref="J419:J424"/>
    <mergeCell ref="K419:K424"/>
    <mergeCell ref="A425:A430"/>
    <mergeCell ref="B425:B430"/>
    <mergeCell ref="C425:C430"/>
    <mergeCell ref="J425:J430"/>
    <mergeCell ref="K425:K430"/>
    <mergeCell ref="A407:A412"/>
    <mergeCell ref="B407:B412"/>
    <mergeCell ref="C407:C412"/>
    <mergeCell ref="J407:J412"/>
    <mergeCell ref="K407:K412"/>
    <mergeCell ref="A413:A418"/>
    <mergeCell ref="B413:B418"/>
    <mergeCell ref="C413:C418"/>
    <mergeCell ref="J413:J418"/>
    <mergeCell ref="K413:K418"/>
    <mergeCell ref="A401:A406"/>
    <mergeCell ref="B401:B406"/>
    <mergeCell ref="C401:C406"/>
    <mergeCell ref="J401:J406"/>
    <mergeCell ref="K401:K406"/>
    <mergeCell ref="L401:L406"/>
    <mergeCell ref="L389:L394"/>
    <mergeCell ref="A395:A400"/>
    <mergeCell ref="B395:B400"/>
    <mergeCell ref="C395:C400"/>
    <mergeCell ref="J395:J400"/>
    <mergeCell ref="K395:K400"/>
    <mergeCell ref="L395:L400"/>
    <mergeCell ref="A383:A388"/>
    <mergeCell ref="B383:B388"/>
    <mergeCell ref="C383:C388"/>
    <mergeCell ref="J383:J388"/>
    <mergeCell ref="K383:K388"/>
    <mergeCell ref="A389:A394"/>
    <mergeCell ref="B389:B394"/>
    <mergeCell ref="C389:C394"/>
    <mergeCell ref="J389:J394"/>
    <mergeCell ref="K389:K394"/>
    <mergeCell ref="A371:A376"/>
    <mergeCell ref="B371:B376"/>
    <mergeCell ref="C371:C376"/>
    <mergeCell ref="J371:J376"/>
    <mergeCell ref="K371:K376"/>
    <mergeCell ref="A377:A382"/>
    <mergeCell ref="B377:B382"/>
    <mergeCell ref="C377:C382"/>
    <mergeCell ref="J377:J382"/>
    <mergeCell ref="K377:K382"/>
    <mergeCell ref="A359:A364"/>
    <mergeCell ref="B359:B364"/>
    <mergeCell ref="C359:C364"/>
    <mergeCell ref="J359:J364"/>
    <mergeCell ref="K359:K364"/>
    <mergeCell ref="A365:A370"/>
    <mergeCell ref="B365:B370"/>
    <mergeCell ref="C365:C370"/>
    <mergeCell ref="J365:J370"/>
    <mergeCell ref="K365:K370"/>
    <mergeCell ref="A347:A352"/>
    <mergeCell ref="B347:B352"/>
    <mergeCell ref="C347:C352"/>
    <mergeCell ref="J347:J352"/>
    <mergeCell ref="K347:K352"/>
    <mergeCell ref="A353:A358"/>
    <mergeCell ref="B353:B358"/>
    <mergeCell ref="C353:C358"/>
    <mergeCell ref="J353:J358"/>
    <mergeCell ref="K353:K358"/>
    <mergeCell ref="A335:A340"/>
    <mergeCell ref="B335:B340"/>
    <mergeCell ref="C335:C340"/>
    <mergeCell ref="J335:J340"/>
    <mergeCell ref="K335:K340"/>
    <mergeCell ref="A341:A346"/>
    <mergeCell ref="B341:B346"/>
    <mergeCell ref="C341:C346"/>
    <mergeCell ref="J341:J346"/>
    <mergeCell ref="K341:K346"/>
    <mergeCell ref="A323:A328"/>
    <mergeCell ref="B323:B328"/>
    <mergeCell ref="C323:C328"/>
    <mergeCell ref="J323:J328"/>
    <mergeCell ref="K323:K328"/>
    <mergeCell ref="A329:A334"/>
    <mergeCell ref="B329:B334"/>
    <mergeCell ref="C329:C334"/>
    <mergeCell ref="J329:J334"/>
    <mergeCell ref="K329:K334"/>
    <mergeCell ref="A311:A316"/>
    <mergeCell ref="B311:B316"/>
    <mergeCell ref="C311:C316"/>
    <mergeCell ref="J311:J316"/>
    <mergeCell ref="K311:K316"/>
    <mergeCell ref="A317:A322"/>
    <mergeCell ref="B317:B322"/>
    <mergeCell ref="C317:C322"/>
    <mergeCell ref="J317:J322"/>
    <mergeCell ref="K317:K322"/>
    <mergeCell ref="A299:A304"/>
    <mergeCell ref="B299:B304"/>
    <mergeCell ref="C299:C304"/>
    <mergeCell ref="J299:J304"/>
    <mergeCell ref="K299:K304"/>
    <mergeCell ref="A305:A310"/>
    <mergeCell ref="B305:B310"/>
    <mergeCell ref="C305:C310"/>
    <mergeCell ref="J305:J310"/>
    <mergeCell ref="K305:K310"/>
    <mergeCell ref="A287:A292"/>
    <mergeCell ref="B287:B292"/>
    <mergeCell ref="C287:C292"/>
    <mergeCell ref="J287:J292"/>
    <mergeCell ref="K287:K292"/>
    <mergeCell ref="A293:A298"/>
    <mergeCell ref="B293:B298"/>
    <mergeCell ref="C293:C298"/>
    <mergeCell ref="J293:J298"/>
    <mergeCell ref="K293:K298"/>
    <mergeCell ref="A275:A280"/>
    <mergeCell ref="B275:B280"/>
    <mergeCell ref="C275:C280"/>
    <mergeCell ref="J275:J280"/>
    <mergeCell ref="K275:K280"/>
    <mergeCell ref="A281:A286"/>
    <mergeCell ref="B281:B286"/>
    <mergeCell ref="C281:C286"/>
    <mergeCell ref="J281:J286"/>
    <mergeCell ref="K281:K286"/>
    <mergeCell ref="A263:A268"/>
    <mergeCell ref="B263:B268"/>
    <mergeCell ref="C263:C268"/>
    <mergeCell ref="J263:J268"/>
    <mergeCell ref="K263:K268"/>
    <mergeCell ref="A269:A274"/>
    <mergeCell ref="B269:B274"/>
    <mergeCell ref="C269:C274"/>
    <mergeCell ref="J269:J274"/>
    <mergeCell ref="K269:K274"/>
    <mergeCell ref="A251:A256"/>
    <mergeCell ref="B251:B256"/>
    <mergeCell ref="C251:C256"/>
    <mergeCell ref="J251:J256"/>
    <mergeCell ref="K251:K256"/>
    <mergeCell ref="A257:A262"/>
    <mergeCell ref="B257:B262"/>
    <mergeCell ref="C257:C262"/>
    <mergeCell ref="J257:J262"/>
    <mergeCell ref="K257:K262"/>
    <mergeCell ref="A239:A244"/>
    <mergeCell ref="B239:B244"/>
    <mergeCell ref="C239:C244"/>
    <mergeCell ref="J239:J244"/>
    <mergeCell ref="K239:K244"/>
    <mergeCell ref="A245:A250"/>
    <mergeCell ref="B245:B250"/>
    <mergeCell ref="C245:C250"/>
    <mergeCell ref="J245:J250"/>
    <mergeCell ref="K245:K250"/>
    <mergeCell ref="A227:A232"/>
    <mergeCell ref="B227:B232"/>
    <mergeCell ref="C227:C232"/>
    <mergeCell ref="J227:J232"/>
    <mergeCell ref="K227:K232"/>
    <mergeCell ref="A233:A238"/>
    <mergeCell ref="B233:B238"/>
    <mergeCell ref="C233:C238"/>
    <mergeCell ref="J233:J238"/>
    <mergeCell ref="K233:K238"/>
    <mergeCell ref="A215:A220"/>
    <mergeCell ref="B215:B220"/>
    <mergeCell ref="C215:C220"/>
    <mergeCell ref="J215:J220"/>
    <mergeCell ref="K215:K220"/>
    <mergeCell ref="A221:A226"/>
    <mergeCell ref="B221:B226"/>
    <mergeCell ref="C221:C226"/>
    <mergeCell ref="J221:J226"/>
    <mergeCell ref="K221:K226"/>
    <mergeCell ref="A203:A208"/>
    <mergeCell ref="B203:B208"/>
    <mergeCell ref="C203:C208"/>
    <mergeCell ref="J203:J208"/>
    <mergeCell ref="K203:K208"/>
    <mergeCell ref="A209:A214"/>
    <mergeCell ref="B209:B214"/>
    <mergeCell ref="C209:C214"/>
    <mergeCell ref="J209:J214"/>
    <mergeCell ref="K209:K214"/>
    <mergeCell ref="A191:A196"/>
    <mergeCell ref="B191:B196"/>
    <mergeCell ref="C191:C196"/>
    <mergeCell ref="J191:J196"/>
    <mergeCell ref="K191:K196"/>
    <mergeCell ref="A197:A202"/>
    <mergeCell ref="B197:B202"/>
    <mergeCell ref="C197:C202"/>
    <mergeCell ref="J197:J202"/>
    <mergeCell ref="K197:K202"/>
    <mergeCell ref="A185:A190"/>
    <mergeCell ref="B185:B190"/>
    <mergeCell ref="C185:C190"/>
    <mergeCell ref="J185:J190"/>
    <mergeCell ref="K185:K190"/>
    <mergeCell ref="L185:L190"/>
    <mergeCell ref="A179:A184"/>
    <mergeCell ref="B179:B184"/>
    <mergeCell ref="C179:C184"/>
    <mergeCell ref="J179:J184"/>
    <mergeCell ref="K179:K184"/>
    <mergeCell ref="L179:L184"/>
    <mergeCell ref="A167:A172"/>
    <mergeCell ref="B167:B172"/>
    <mergeCell ref="C167:C172"/>
    <mergeCell ref="J167:J172"/>
    <mergeCell ref="K167:K172"/>
    <mergeCell ref="A173:A178"/>
    <mergeCell ref="B173:B178"/>
    <mergeCell ref="C173:C178"/>
    <mergeCell ref="J173:J178"/>
    <mergeCell ref="K173:K178"/>
    <mergeCell ref="L155:L160"/>
    <mergeCell ref="A161:A166"/>
    <mergeCell ref="B161:B166"/>
    <mergeCell ref="C161:C166"/>
    <mergeCell ref="J161:J166"/>
    <mergeCell ref="K161:K166"/>
    <mergeCell ref="A149:A154"/>
    <mergeCell ref="B149:B154"/>
    <mergeCell ref="C149:C154"/>
    <mergeCell ref="J149:J154"/>
    <mergeCell ref="K149:K154"/>
    <mergeCell ref="A155:A160"/>
    <mergeCell ref="B155:B160"/>
    <mergeCell ref="C155:C160"/>
    <mergeCell ref="J155:J160"/>
    <mergeCell ref="K155:K160"/>
    <mergeCell ref="A137:A142"/>
    <mergeCell ref="B137:B142"/>
    <mergeCell ref="C137:C142"/>
    <mergeCell ref="J137:J142"/>
    <mergeCell ref="K137:K142"/>
    <mergeCell ref="A143:A148"/>
    <mergeCell ref="B143:B148"/>
    <mergeCell ref="C143:C148"/>
    <mergeCell ref="J143:J148"/>
    <mergeCell ref="K143:K148"/>
    <mergeCell ref="A125:A130"/>
    <mergeCell ref="B125:B130"/>
    <mergeCell ref="C125:C130"/>
    <mergeCell ref="J125:J130"/>
    <mergeCell ref="K125:K130"/>
    <mergeCell ref="A131:A136"/>
    <mergeCell ref="B131:B136"/>
    <mergeCell ref="C131:C136"/>
    <mergeCell ref="J131:J136"/>
    <mergeCell ref="K131:K136"/>
    <mergeCell ref="A113:A118"/>
    <mergeCell ref="B113:B118"/>
    <mergeCell ref="C113:C118"/>
    <mergeCell ref="J113:J118"/>
    <mergeCell ref="K113:K118"/>
    <mergeCell ref="A119:A124"/>
    <mergeCell ref="B119:B124"/>
    <mergeCell ref="C119:C124"/>
    <mergeCell ref="J119:J124"/>
    <mergeCell ref="K119:K124"/>
    <mergeCell ref="A101:A106"/>
    <mergeCell ref="B101:B106"/>
    <mergeCell ref="C101:C106"/>
    <mergeCell ref="J101:J106"/>
    <mergeCell ref="K101:K106"/>
    <mergeCell ref="A107:A112"/>
    <mergeCell ref="B107:B112"/>
    <mergeCell ref="C107:C112"/>
    <mergeCell ref="J107:J112"/>
    <mergeCell ref="K107:K112"/>
    <mergeCell ref="A89:A94"/>
    <mergeCell ref="B89:B94"/>
    <mergeCell ref="C89:C94"/>
    <mergeCell ref="J89:J94"/>
    <mergeCell ref="K89:K94"/>
    <mergeCell ref="A95:A100"/>
    <mergeCell ref="B95:B100"/>
    <mergeCell ref="C95:C100"/>
    <mergeCell ref="J95:J100"/>
    <mergeCell ref="K95:K100"/>
    <mergeCell ref="A77:A82"/>
    <mergeCell ref="B77:B82"/>
    <mergeCell ref="C77:C82"/>
    <mergeCell ref="J77:J82"/>
    <mergeCell ref="K77:K82"/>
    <mergeCell ref="A83:A88"/>
    <mergeCell ref="B83:B88"/>
    <mergeCell ref="C83:C88"/>
    <mergeCell ref="J83:J88"/>
    <mergeCell ref="K83:K88"/>
    <mergeCell ref="A65:A70"/>
    <mergeCell ref="B65:B70"/>
    <mergeCell ref="C65:C70"/>
    <mergeCell ref="J65:J70"/>
    <mergeCell ref="K65:K70"/>
    <mergeCell ref="A71:A76"/>
    <mergeCell ref="B71:B76"/>
    <mergeCell ref="C71:C76"/>
    <mergeCell ref="J71:J76"/>
    <mergeCell ref="K71:K76"/>
    <mergeCell ref="A53:A58"/>
    <mergeCell ref="B53:B58"/>
    <mergeCell ref="C53:C58"/>
    <mergeCell ref="J53:J58"/>
    <mergeCell ref="K53:K58"/>
    <mergeCell ref="A59:A64"/>
    <mergeCell ref="B59:B64"/>
    <mergeCell ref="C59:C64"/>
    <mergeCell ref="J59:J64"/>
    <mergeCell ref="K59:K64"/>
    <mergeCell ref="L41:L46"/>
    <mergeCell ref="A47:A52"/>
    <mergeCell ref="B47:B52"/>
    <mergeCell ref="C47:C52"/>
    <mergeCell ref="J47:J52"/>
    <mergeCell ref="K47:K52"/>
    <mergeCell ref="A35:A40"/>
    <mergeCell ref="B35:B40"/>
    <mergeCell ref="C35:C40"/>
    <mergeCell ref="J35:J40"/>
    <mergeCell ref="K35:K40"/>
    <mergeCell ref="A41:A46"/>
    <mergeCell ref="B41:B46"/>
    <mergeCell ref="C41:C46"/>
    <mergeCell ref="J41:J46"/>
    <mergeCell ref="K41:K46"/>
    <mergeCell ref="A11:A16"/>
    <mergeCell ref="B11:B16"/>
    <mergeCell ref="C11:C16"/>
    <mergeCell ref="J11:J16"/>
    <mergeCell ref="K11:K16"/>
    <mergeCell ref="L23:L28"/>
    <mergeCell ref="A29:A34"/>
    <mergeCell ref="B29:B34"/>
    <mergeCell ref="C29:C34"/>
    <mergeCell ref="J29:J34"/>
    <mergeCell ref="K29:K34"/>
    <mergeCell ref="L29:L34"/>
    <mergeCell ref="A17:A22"/>
    <mergeCell ref="B17:B22"/>
    <mergeCell ref="C17:C22"/>
    <mergeCell ref="J17:J22"/>
    <mergeCell ref="K17:K22"/>
    <mergeCell ref="A23:A28"/>
    <mergeCell ref="B23:B28"/>
    <mergeCell ref="C23:C28"/>
    <mergeCell ref="J23:J28"/>
    <mergeCell ref="K23:K28"/>
    <mergeCell ref="A1:K2"/>
    <mergeCell ref="A3:A4"/>
    <mergeCell ref="B3:B4"/>
    <mergeCell ref="C3:C4"/>
    <mergeCell ref="D3:I3"/>
    <mergeCell ref="J3:J4"/>
    <mergeCell ref="K3:K4"/>
    <mergeCell ref="A5:A10"/>
    <mergeCell ref="B5:B10"/>
    <mergeCell ref="C5:C10"/>
    <mergeCell ref="J5:J10"/>
    <mergeCell ref="K5:K10"/>
  </mergeCells>
  <pageMargins left="0.11811023622047245" right="0.11811023622047245" top="0.15748031496062992" bottom="0.15748031496062992" header="0.11811023622047245" footer="0.11811023622047245"/>
  <pageSetup paperSize="9" scale="68" firstPageNumber="4294967295" fitToHeight="0" orientation="landscape" r:id="rId1"/>
  <headerFoot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065"/>
  <sheetViews>
    <sheetView showGridLines="0" workbookViewId="0">
      <pane ySplit="5" topLeftCell="A773" activePane="bottomLeft" state="frozen"/>
      <selection pane="bottomLeft" activeCell="H752" sqref="H752"/>
    </sheetView>
  </sheetViews>
  <sheetFormatPr defaultRowHeight="15" outlineLevelRow="4"/>
  <cols>
    <col min="1" max="1" width="40.5703125" style="830" customWidth="1"/>
    <col min="2" max="2" width="14.7109375" style="830" customWidth="1"/>
    <col min="3" max="3" width="40.5703125" style="830" customWidth="1"/>
    <col min="4" max="4" width="6.7109375" style="830" customWidth="1"/>
    <col min="5" max="8" width="17.7109375" style="830" customWidth="1"/>
    <col min="9" max="9" width="20.5703125" style="830" customWidth="1"/>
    <col min="10" max="16384" width="9.140625" style="830"/>
  </cols>
  <sheetData>
    <row r="1" spans="1:9" ht="15.95" customHeight="1">
      <c r="A1" s="2385" t="s">
        <v>674</v>
      </c>
      <c r="B1" s="2386"/>
      <c r="C1" s="2386"/>
      <c r="D1" s="2386"/>
      <c r="E1" s="2386"/>
      <c r="F1" s="2386"/>
      <c r="G1" s="2386"/>
      <c r="H1" s="2386"/>
      <c r="I1" s="2386"/>
    </row>
    <row r="2" spans="1:9" ht="15.95" customHeight="1">
      <c r="A2" s="2385" t="s">
        <v>3646</v>
      </c>
      <c r="B2" s="2386"/>
      <c r="C2" s="2386"/>
      <c r="D2" s="2386"/>
      <c r="E2" s="2386"/>
      <c r="F2" s="2386"/>
      <c r="G2" s="2386"/>
      <c r="H2" s="2386"/>
      <c r="I2" s="2386"/>
    </row>
    <row r="3" spans="1:9" ht="15.2" customHeight="1">
      <c r="A3" s="2592" t="s">
        <v>3363</v>
      </c>
      <c r="B3" s="2593"/>
      <c r="C3" s="2593"/>
      <c r="D3" s="2593"/>
      <c r="E3" s="2593"/>
      <c r="F3" s="2593"/>
      <c r="G3" s="2593"/>
      <c r="H3" s="2593"/>
      <c r="I3" s="2593"/>
    </row>
    <row r="4" spans="1:9" ht="38.25">
      <c r="A4" s="455" t="s">
        <v>677</v>
      </c>
      <c r="B4" s="456" t="s">
        <v>678</v>
      </c>
      <c r="C4" s="456" t="s">
        <v>679</v>
      </c>
      <c r="D4" s="456" t="s">
        <v>680</v>
      </c>
      <c r="E4" s="456" t="s">
        <v>681</v>
      </c>
      <c r="F4" s="456" t="s">
        <v>682</v>
      </c>
      <c r="G4" s="456" t="s">
        <v>683</v>
      </c>
      <c r="H4" s="456" t="s">
        <v>684</v>
      </c>
      <c r="I4" s="457" t="s">
        <v>685</v>
      </c>
    </row>
    <row r="5" spans="1:9">
      <c r="A5" s="458" t="s">
        <v>687</v>
      </c>
      <c r="B5" s="459" t="s">
        <v>485</v>
      </c>
      <c r="C5" s="459" t="s">
        <v>688</v>
      </c>
      <c r="D5" s="459" t="s">
        <v>689</v>
      </c>
      <c r="E5" s="459" t="s">
        <v>690</v>
      </c>
      <c r="F5" s="459" t="s">
        <v>691</v>
      </c>
      <c r="G5" s="459" t="s">
        <v>692</v>
      </c>
      <c r="H5" s="459" t="s">
        <v>693</v>
      </c>
      <c r="I5" s="460" t="s">
        <v>694</v>
      </c>
    </row>
    <row r="6" spans="1:9" ht="30.75" thickBot="1">
      <c r="A6" s="854" t="s">
        <v>3647</v>
      </c>
      <c r="B6" s="853" t="s">
        <v>3648</v>
      </c>
      <c r="C6" s="463"/>
      <c r="D6" s="853"/>
      <c r="E6" s="852">
        <v>19440719892.07</v>
      </c>
      <c r="F6" s="852">
        <v>19429173641.990002</v>
      </c>
      <c r="G6" s="852">
        <v>13680430235.940001</v>
      </c>
      <c r="H6" s="852">
        <v>13180093702.639999</v>
      </c>
      <c r="I6" s="465">
        <v>67.8</v>
      </c>
    </row>
    <row r="7" spans="1:9" ht="51" hidden="1" outlineLevel="1">
      <c r="A7" s="851" t="s">
        <v>698</v>
      </c>
      <c r="B7" s="467" t="s">
        <v>3649</v>
      </c>
      <c r="C7" s="468"/>
      <c r="D7" s="467"/>
      <c r="E7" s="469">
        <v>2702426135.6399999</v>
      </c>
      <c r="F7" s="469">
        <v>2702426135.6399999</v>
      </c>
      <c r="G7" s="469">
        <v>2413282564.6700001</v>
      </c>
      <c r="H7" s="469">
        <v>2412792879.1799998</v>
      </c>
      <c r="I7" s="470">
        <v>89.28</v>
      </c>
    </row>
    <row r="8" spans="1:9" ht="38.25" hidden="1" outlineLevel="2">
      <c r="A8" s="850" t="s">
        <v>700</v>
      </c>
      <c r="B8" s="472" t="s">
        <v>3650</v>
      </c>
      <c r="C8" s="473"/>
      <c r="D8" s="472"/>
      <c r="E8" s="474">
        <v>373424</v>
      </c>
      <c r="F8" s="474">
        <v>373424</v>
      </c>
      <c r="G8" s="474">
        <v>358835</v>
      </c>
      <c r="H8" s="474">
        <v>358835</v>
      </c>
      <c r="I8" s="475">
        <v>96.09</v>
      </c>
    </row>
    <row r="9" spans="1:9" ht="76.5" hidden="1" outlineLevel="3">
      <c r="A9" s="833" t="s">
        <v>702</v>
      </c>
      <c r="B9" s="477" t="s">
        <v>3651</v>
      </c>
      <c r="C9" s="478"/>
      <c r="D9" s="477"/>
      <c r="E9" s="479">
        <v>233424</v>
      </c>
      <c r="F9" s="479">
        <v>233424</v>
      </c>
      <c r="G9" s="479">
        <v>218835</v>
      </c>
      <c r="H9" s="479">
        <v>218835</v>
      </c>
      <c r="I9" s="480">
        <v>93.75</v>
      </c>
    </row>
    <row r="10" spans="1:9" ht="76.5" hidden="1" outlineLevel="4">
      <c r="A10" s="832" t="s">
        <v>702</v>
      </c>
      <c r="B10" s="482" t="s">
        <v>3651</v>
      </c>
      <c r="C10" s="831" t="s">
        <v>704</v>
      </c>
      <c r="D10" s="482" t="s">
        <v>705</v>
      </c>
      <c r="E10" s="484">
        <v>233424</v>
      </c>
      <c r="F10" s="484">
        <v>233424</v>
      </c>
      <c r="G10" s="484">
        <v>218835</v>
      </c>
      <c r="H10" s="484">
        <v>218835</v>
      </c>
      <c r="I10" s="480">
        <v>93.75</v>
      </c>
    </row>
    <row r="11" spans="1:9" ht="63.75" hidden="1" outlineLevel="3">
      <c r="A11" s="833" t="s">
        <v>3652</v>
      </c>
      <c r="B11" s="477" t="s">
        <v>3653</v>
      </c>
      <c r="C11" s="478"/>
      <c r="D11" s="477"/>
      <c r="E11" s="479">
        <v>140000</v>
      </c>
      <c r="F11" s="479">
        <v>140000</v>
      </c>
      <c r="G11" s="479">
        <v>140000</v>
      </c>
      <c r="H11" s="479">
        <v>140000</v>
      </c>
      <c r="I11" s="480">
        <v>100</v>
      </c>
    </row>
    <row r="12" spans="1:9" ht="63.75" hidden="1" outlineLevel="4">
      <c r="A12" s="832" t="s">
        <v>3652</v>
      </c>
      <c r="B12" s="482" t="s">
        <v>3653</v>
      </c>
      <c r="C12" s="831" t="s">
        <v>704</v>
      </c>
      <c r="D12" s="482" t="s">
        <v>705</v>
      </c>
      <c r="E12" s="484">
        <v>140000</v>
      </c>
      <c r="F12" s="484">
        <v>140000</v>
      </c>
      <c r="G12" s="484">
        <v>140000</v>
      </c>
      <c r="H12" s="484">
        <v>140000</v>
      </c>
      <c r="I12" s="480">
        <v>100</v>
      </c>
    </row>
    <row r="13" spans="1:9" ht="63.75" hidden="1" outlineLevel="2">
      <c r="A13" s="850" t="s">
        <v>708</v>
      </c>
      <c r="B13" s="472" t="s">
        <v>3654</v>
      </c>
      <c r="C13" s="473"/>
      <c r="D13" s="472"/>
      <c r="E13" s="474">
        <v>977697</v>
      </c>
      <c r="F13" s="474">
        <v>977697</v>
      </c>
      <c r="G13" s="474">
        <v>337697</v>
      </c>
      <c r="H13" s="474">
        <v>337697</v>
      </c>
      <c r="I13" s="475">
        <v>34.54</v>
      </c>
    </row>
    <row r="14" spans="1:9" ht="76.5" hidden="1" outlineLevel="3">
      <c r="A14" s="833" t="s">
        <v>702</v>
      </c>
      <c r="B14" s="477" t="s">
        <v>3655</v>
      </c>
      <c r="C14" s="478"/>
      <c r="D14" s="477"/>
      <c r="E14" s="479">
        <v>198697</v>
      </c>
      <c r="F14" s="479">
        <v>198697</v>
      </c>
      <c r="G14" s="479">
        <v>198697</v>
      </c>
      <c r="H14" s="479">
        <v>198697</v>
      </c>
      <c r="I14" s="480">
        <v>100</v>
      </c>
    </row>
    <row r="15" spans="1:9" ht="76.5" hidden="1" outlineLevel="4">
      <c r="A15" s="832" t="s">
        <v>702</v>
      </c>
      <c r="B15" s="482" t="s">
        <v>3655</v>
      </c>
      <c r="C15" s="831" t="s">
        <v>704</v>
      </c>
      <c r="D15" s="482" t="s">
        <v>705</v>
      </c>
      <c r="E15" s="484">
        <v>198697</v>
      </c>
      <c r="F15" s="484">
        <v>198697</v>
      </c>
      <c r="G15" s="484">
        <v>198697</v>
      </c>
      <c r="H15" s="484">
        <v>198697</v>
      </c>
      <c r="I15" s="480">
        <v>100</v>
      </c>
    </row>
    <row r="16" spans="1:9" ht="25.5" hidden="1" outlineLevel="3">
      <c r="A16" s="833" t="s">
        <v>713</v>
      </c>
      <c r="B16" s="477" t="s">
        <v>3656</v>
      </c>
      <c r="C16" s="478"/>
      <c r="D16" s="477"/>
      <c r="E16" s="479">
        <v>779000</v>
      </c>
      <c r="F16" s="479">
        <v>779000</v>
      </c>
      <c r="G16" s="479">
        <v>139000</v>
      </c>
      <c r="H16" s="479">
        <v>139000</v>
      </c>
      <c r="I16" s="480">
        <v>17.84</v>
      </c>
    </row>
    <row r="17" spans="1:9" ht="25.5" hidden="1" outlineLevel="4">
      <c r="A17" s="832" t="s">
        <v>713</v>
      </c>
      <c r="B17" s="482" t="s">
        <v>3656</v>
      </c>
      <c r="C17" s="831" t="s">
        <v>3657</v>
      </c>
      <c r="D17" s="482" t="s">
        <v>3658</v>
      </c>
      <c r="E17" s="484">
        <v>302000</v>
      </c>
      <c r="F17" s="484">
        <v>302000</v>
      </c>
      <c r="G17" s="484">
        <v>0</v>
      </c>
      <c r="H17" s="484">
        <v>0</v>
      </c>
      <c r="I17" s="480">
        <v>0</v>
      </c>
    </row>
    <row r="18" spans="1:9" ht="25.5" hidden="1" outlineLevel="4">
      <c r="A18" s="832" t="s">
        <v>713</v>
      </c>
      <c r="B18" s="482" t="s">
        <v>3656</v>
      </c>
      <c r="C18" s="831" t="s">
        <v>3659</v>
      </c>
      <c r="D18" s="482" t="s">
        <v>716</v>
      </c>
      <c r="E18" s="484">
        <v>477000</v>
      </c>
      <c r="F18" s="484">
        <v>477000</v>
      </c>
      <c r="G18" s="484">
        <v>139000</v>
      </c>
      <c r="H18" s="484">
        <v>139000</v>
      </c>
      <c r="I18" s="480">
        <v>29.14</v>
      </c>
    </row>
    <row r="19" spans="1:9" ht="38.25" hidden="1" outlineLevel="2">
      <c r="A19" s="850" t="s">
        <v>718</v>
      </c>
      <c r="B19" s="472" t="s">
        <v>3660</v>
      </c>
      <c r="C19" s="473"/>
      <c r="D19" s="472"/>
      <c r="E19" s="474">
        <v>340664117.63999999</v>
      </c>
      <c r="F19" s="474">
        <v>340664117.63999999</v>
      </c>
      <c r="G19" s="474">
        <v>232226033.58000001</v>
      </c>
      <c r="H19" s="474">
        <v>232226033.58000001</v>
      </c>
      <c r="I19" s="475">
        <v>68.17</v>
      </c>
    </row>
    <row r="20" spans="1:9" ht="76.5" hidden="1" outlineLevel="3">
      <c r="A20" s="833" t="s">
        <v>702</v>
      </c>
      <c r="B20" s="477" t="s">
        <v>3661</v>
      </c>
      <c r="C20" s="478"/>
      <c r="D20" s="477"/>
      <c r="E20" s="479">
        <v>340664117.63999999</v>
      </c>
      <c r="F20" s="479">
        <v>340664117.63999999</v>
      </c>
      <c r="G20" s="479">
        <v>232226033.58000001</v>
      </c>
      <c r="H20" s="479">
        <v>232226033.58000001</v>
      </c>
      <c r="I20" s="480">
        <v>68.17</v>
      </c>
    </row>
    <row r="21" spans="1:9" ht="76.5" hidden="1" outlineLevel="4">
      <c r="A21" s="832" t="s">
        <v>702</v>
      </c>
      <c r="B21" s="482" t="s">
        <v>3661</v>
      </c>
      <c r="C21" s="831" t="s">
        <v>704</v>
      </c>
      <c r="D21" s="482" t="s">
        <v>705</v>
      </c>
      <c r="E21" s="484">
        <v>340664117.63999999</v>
      </c>
      <c r="F21" s="484">
        <v>340664117.63999999</v>
      </c>
      <c r="G21" s="484">
        <v>232226033.58000001</v>
      </c>
      <c r="H21" s="484">
        <v>232226033.58000001</v>
      </c>
      <c r="I21" s="480">
        <v>68.17</v>
      </c>
    </row>
    <row r="22" spans="1:9" ht="89.25" hidden="1" outlineLevel="2">
      <c r="A22" s="850" t="s">
        <v>722</v>
      </c>
      <c r="B22" s="472" t="s">
        <v>3662</v>
      </c>
      <c r="C22" s="473"/>
      <c r="D22" s="472"/>
      <c r="E22" s="474">
        <v>2124791988</v>
      </c>
      <c r="F22" s="474">
        <v>2124791988</v>
      </c>
      <c r="G22" s="474">
        <v>1999284637.5599999</v>
      </c>
      <c r="H22" s="474">
        <v>1998795192.97</v>
      </c>
      <c r="I22" s="475">
        <v>94.07</v>
      </c>
    </row>
    <row r="23" spans="1:9" ht="76.5" hidden="1" outlineLevel="3">
      <c r="A23" s="833" t="s">
        <v>702</v>
      </c>
      <c r="B23" s="477" t="s">
        <v>3663</v>
      </c>
      <c r="C23" s="478"/>
      <c r="D23" s="477"/>
      <c r="E23" s="479">
        <v>18487838</v>
      </c>
      <c r="F23" s="479">
        <v>18487838</v>
      </c>
      <c r="G23" s="479">
        <v>9320395.4399999995</v>
      </c>
      <c r="H23" s="479">
        <v>9320395.4399999995</v>
      </c>
      <c r="I23" s="480">
        <v>50.41</v>
      </c>
    </row>
    <row r="24" spans="1:9" ht="76.5" hidden="1" outlineLevel="4">
      <c r="A24" s="832" t="s">
        <v>702</v>
      </c>
      <c r="B24" s="482" t="s">
        <v>3663</v>
      </c>
      <c r="C24" s="831" t="s">
        <v>704</v>
      </c>
      <c r="D24" s="482" t="s">
        <v>705</v>
      </c>
      <c r="E24" s="484">
        <v>18487838</v>
      </c>
      <c r="F24" s="484">
        <v>18487838</v>
      </c>
      <c r="G24" s="484">
        <v>9320395.4399999995</v>
      </c>
      <c r="H24" s="484">
        <v>9320395.4399999995</v>
      </c>
      <c r="I24" s="480">
        <v>50.41</v>
      </c>
    </row>
    <row r="25" spans="1:9" ht="25.5" hidden="1" outlineLevel="3">
      <c r="A25" s="833" t="s">
        <v>724</v>
      </c>
      <c r="B25" s="477" t="s">
        <v>3664</v>
      </c>
      <c r="C25" s="478"/>
      <c r="D25" s="477"/>
      <c r="E25" s="479">
        <v>1887179050</v>
      </c>
      <c r="F25" s="479">
        <v>1887179050</v>
      </c>
      <c r="G25" s="479">
        <v>1812791174.3800001</v>
      </c>
      <c r="H25" s="479">
        <v>1812318662.71</v>
      </c>
      <c r="I25" s="480">
        <v>96.03</v>
      </c>
    </row>
    <row r="26" spans="1:9" ht="25.5" hidden="1" outlineLevel="4">
      <c r="A26" s="832" t="s">
        <v>724</v>
      </c>
      <c r="B26" s="482" t="s">
        <v>3664</v>
      </c>
      <c r="C26" s="831" t="s">
        <v>704</v>
      </c>
      <c r="D26" s="482" t="s">
        <v>705</v>
      </c>
      <c r="E26" s="484">
        <v>1887179050</v>
      </c>
      <c r="F26" s="484">
        <v>1887179050</v>
      </c>
      <c r="G26" s="484">
        <v>1812791174.3800001</v>
      </c>
      <c r="H26" s="484">
        <v>1812318662.71</v>
      </c>
      <c r="I26" s="480">
        <v>96.03</v>
      </c>
    </row>
    <row r="27" spans="1:9" ht="25.5" hidden="1" outlineLevel="3">
      <c r="A27" s="833" t="s">
        <v>726</v>
      </c>
      <c r="B27" s="477" t="s">
        <v>3665</v>
      </c>
      <c r="C27" s="478"/>
      <c r="D27" s="477"/>
      <c r="E27" s="479">
        <v>47305200</v>
      </c>
      <c r="F27" s="479">
        <v>47305200</v>
      </c>
      <c r="G27" s="479">
        <v>37387611.850000001</v>
      </c>
      <c r="H27" s="479">
        <v>37370678.93</v>
      </c>
      <c r="I27" s="480">
        <v>79</v>
      </c>
    </row>
    <row r="28" spans="1:9" ht="25.5" hidden="1" outlineLevel="4">
      <c r="A28" s="832" t="s">
        <v>726</v>
      </c>
      <c r="B28" s="482" t="s">
        <v>3665</v>
      </c>
      <c r="C28" s="831" t="s">
        <v>704</v>
      </c>
      <c r="D28" s="482" t="s">
        <v>705</v>
      </c>
      <c r="E28" s="484">
        <v>47305200</v>
      </c>
      <c r="F28" s="484">
        <v>47305200</v>
      </c>
      <c r="G28" s="484">
        <v>37387611.850000001</v>
      </c>
      <c r="H28" s="484">
        <v>37370678.93</v>
      </c>
      <c r="I28" s="480">
        <v>79</v>
      </c>
    </row>
    <row r="29" spans="1:9" ht="114.75" hidden="1" outlineLevel="3">
      <c r="A29" s="833" t="s">
        <v>728</v>
      </c>
      <c r="B29" s="477" t="s">
        <v>3666</v>
      </c>
      <c r="C29" s="478"/>
      <c r="D29" s="477"/>
      <c r="E29" s="479">
        <v>4169700</v>
      </c>
      <c r="F29" s="479">
        <v>4169700</v>
      </c>
      <c r="G29" s="479">
        <v>2997258.5</v>
      </c>
      <c r="H29" s="479">
        <v>2997258.5</v>
      </c>
      <c r="I29" s="480">
        <v>71.88</v>
      </c>
    </row>
    <row r="30" spans="1:9" ht="114.75" hidden="1" outlineLevel="4">
      <c r="A30" s="832" t="s">
        <v>728</v>
      </c>
      <c r="B30" s="482" t="s">
        <v>3666</v>
      </c>
      <c r="C30" s="831" t="s">
        <v>704</v>
      </c>
      <c r="D30" s="482" t="s">
        <v>705</v>
      </c>
      <c r="E30" s="484">
        <v>4169700</v>
      </c>
      <c r="F30" s="484">
        <v>4169700</v>
      </c>
      <c r="G30" s="484">
        <v>2997258.5</v>
      </c>
      <c r="H30" s="484">
        <v>2997258.5</v>
      </c>
      <c r="I30" s="480">
        <v>71.88</v>
      </c>
    </row>
    <row r="31" spans="1:9" ht="229.5" hidden="1" outlineLevel="3">
      <c r="A31" s="833" t="s">
        <v>3667</v>
      </c>
      <c r="B31" s="477" t="s">
        <v>3668</v>
      </c>
      <c r="C31" s="478"/>
      <c r="D31" s="477"/>
      <c r="E31" s="479">
        <v>3598700</v>
      </c>
      <c r="F31" s="479">
        <v>3598700</v>
      </c>
      <c r="G31" s="479">
        <v>2457576.39</v>
      </c>
      <c r="H31" s="479">
        <v>2457576.39</v>
      </c>
      <c r="I31" s="480">
        <v>68.290000000000006</v>
      </c>
    </row>
    <row r="32" spans="1:9" ht="229.5" hidden="1" outlineLevel="4">
      <c r="A32" s="832" t="s">
        <v>3667</v>
      </c>
      <c r="B32" s="482" t="s">
        <v>3668</v>
      </c>
      <c r="C32" s="831" t="s">
        <v>704</v>
      </c>
      <c r="D32" s="482" t="s">
        <v>705</v>
      </c>
      <c r="E32" s="484">
        <v>3598700</v>
      </c>
      <c r="F32" s="484">
        <v>3598700</v>
      </c>
      <c r="G32" s="484">
        <v>2457576.39</v>
      </c>
      <c r="H32" s="484">
        <v>2457576.39</v>
      </c>
      <c r="I32" s="480">
        <v>68.290000000000006</v>
      </c>
    </row>
    <row r="33" spans="1:9" ht="242.25" hidden="1" outlineLevel="3">
      <c r="A33" s="833" t="s">
        <v>3669</v>
      </c>
      <c r="B33" s="477" t="s">
        <v>3670</v>
      </c>
      <c r="C33" s="478"/>
      <c r="D33" s="477"/>
      <c r="E33" s="479">
        <v>42200</v>
      </c>
      <c r="F33" s="479">
        <v>42200</v>
      </c>
      <c r="G33" s="479">
        <v>42200</v>
      </c>
      <c r="H33" s="479">
        <v>42200</v>
      </c>
      <c r="I33" s="480">
        <v>100</v>
      </c>
    </row>
    <row r="34" spans="1:9" ht="242.25" hidden="1" outlineLevel="4">
      <c r="A34" s="832" t="s">
        <v>3669</v>
      </c>
      <c r="B34" s="482" t="s">
        <v>3670</v>
      </c>
      <c r="C34" s="831" t="s">
        <v>704</v>
      </c>
      <c r="D34" s="482" t="s">
        <v>705</v>
      </c>
      <c r="E34" s="484">
        <v>42200</v>
      </c>
      <c r="F34" s="484">
        <v>42200</v>
      </c>
      <c r="G34" s="484">
        <v>42200</v>
      </c>
      <c r="H34" s="484">
        <v>42200</v>
      </c>
      <c r="I34" s="480">
        <v>100</v>
      </c>
    </row>
    <row r="35" spans="1:9" ht="114.75" hidden="1" outlineLevel="3">
      <c r="A35" s="833" t="s">
        <v>732</v>
      </c>
      <c r="B35" s="477" t="s">
        <v>3671</v>
      </c>
      <c r="C35" s="478"/>
      <c r="D35" s="477"/>
      <c r="E35" s="479">
        <v>164009300</v>
      </c>
      <c r="F35" s="479">
        <v>164009300</v>
      </c>
      <c r="G35" s="479">
        <v>134288421</v>
      </c>
      <c r="H35" s="479">
        <v>134288421</v>
      </c>
      <c r="I35" s="480">
        <v>81.88</v>
      </c>
    </row>
    <row r="36" spans="1:9" ht="114.75" hidden="1" outlineLevel="4">
      <c r="A36" s="832" t="s">
        <v>732</v>
      </c>
      <c r="B36" s="482" t="s">
        <v>3671</v>
      </c>
      <c r="C36" s="831" t="s">
        <v>704</v>
      </c>
      <c r="D36" s="482" t="s">
        <v>705</v>
      </c>
      <c r="E36" s="484">
        <v>164009300</v>
      </c>
      <c r="F36" s="484">
        <v>164009300</v>
      </c>
      <c r="G36" s="484">
        <v>134288421</v>
      </c>
      <c r="H36" s="484">
        <v>134288421</v>
      </c>
      <c r="I36" s="480">
        <v>81.88</v>
      </c>
    </row>
    <row r="37" spans="1:9" ht="38.25" hidden="1" outlineLevel="2">
      <c r="A37" s="850" t="s">
        <v>734</v>
      </c>
      <c r="B37" s="472" t="s">
        <v>3672</v>
      </c>
      <c r="C37" s="473"/>
      <c r="D37" s="472"/>
      <c r="E37" s="474">
        <v>151252500</v>
      </c>
      <c r="F37" s="474">
        <v>151252500</v>
      </c>
      <c r="G37" s="474">
        <v>103949986.53</v>
      </c>
      <c r="H37" s="474">
        <v>103949986.53</v>
      </c>
      <c r="I37" s="475">
        <v>68.73</v>
      </c>
    </row>
    <row r="38" spans="1:9" ht="25.5" hidden="1" outlineLevel="3">
      <c r="A38" s="833" t="s">
        <v>3673</v>
      </c>
      <c r="B38" s="477" t="s">
        <v>3674</v>
      </c>
      <c r="C38" s="478"/>
      <c r="D38" s="477"/>
      <c r="E38" s="479">
        <v>151252500</v>
      </c>
      <c r="F38" s="479">
        <v>151252500</v>
      </c>
      <c r="G38" s="479">
        <v>103949986.53</v>
      </c>
      <c r="H38" s="479">
        <v>103949986.53</v>
      </c>
      <c r="I38" s="480">
        <v>68.73</v>
      </c>
    </row>
    <row r="39" spans="1:9" ht="25.5" hidden="1" outlineLevel="4">
      <c r="A39" s="832" t="s">
        <v>3673</v>
      </c>
      <c r="B39" s="482" t="s">
        <v>3674</v>
      </c>
      <c r="C39" s="831" t="s">
        <v>704</v>
      </c>
      <c r="D39" s="482" t="s">
        <v>705</v>
      </c>
      <c r="E39" s="484">
        <v>151252500</v>
      </c>
      <c r="F39" s="484">
        <v>151252500</v>
      </c>
      <c r="G39" s="484">
        <v>103949986.53</v>
      </c>
      <c r="H39" s="484">
        <v>103949986.53</v>
      </c>
      <c r="I39" s="480">
        <v>68.73</v>
      </c>
    </row>
    <row r="40" spans="1:9" ht="25.5" hidden="1" outlineLevel="2">
      <c r="A40" s="850" t="s">
        <v>738</v>
      </c>
      <c r="B40" s="472" t="s">
        <v>3675</v>
      </c>
      <c r="C40" s="473"/>
      <c r="D40" s="472"/>
      <c r="E40" s="474">
        <v>59175958</v>
      </c>
      <c r="F40" s="474">
        <v>59175958</v>
      </c>
      <c r="G40" s="474">
        <v>59175958</v>
      </c>
      <c r="H40" s="474">
        <v>59175717.100000001</v>
      </c>
      <c r="I40" s="475">
        <v>100</v>
      </c>
    </row>
    <row r="41" spans="1:9" ht="63.75" hidden="1" outlineLevel="3">
      <c r="A41" s="833" t="s">
        <v>740</v>
      </c>
      <c r="B41" s="477" t="s">
        <v>3676</v>
      </c>
      <c r="C41" s="478"/>
      <c r="D41" s="477"/>
      <c r="E41" s="479">
        <v>59175958</v>
      </c>
      <c r="F41" s="479">
        <v>59175958</v>
      </c>
      <c r="G41" s="479">
        <v>59175958</v>
      </c>
      <c r="H41" s="479">
        <v>59175717.100000001</v>
      </c>
      <c r="I41" s="480">
        <v>100</v>
      </c>
    </row>
    <row r="42" spans="1:9" ht="63.75" hidden="1" outlineLevel="4">
      <c r="A42" s="832" t="s">
        <v>740</v>
      </c>
      <c r="B42" s="482" t="s">
        <v>3676</v>
      </c>
      <c r="C42" s="831" t="s">
        <v>704</v>
      </c>
      <c r="D42" s="482" t="s">
        <v>705</v>
      </c>
      <c r="E42" s="484">
        <v>59175958</v>
      </c>
      <c r="F42" s="484">
        <v>59175958</v>
      </c>
      <c r="G42" s="484">
        <v>59175958</v>
      </c>
      <c r="H42" s="484">
        <v>59175717.100000001</v>
      </c>
      <c r="I42" s="480">
        <v>100</v>
      </c>
    </row>
    <row r="43" spans="1:9" ht="25.5" hidden="1" outlineLevel="2">
      <c r="A43" s="850" t="s">
        <v>742</v>
      </c>
      <c r="B43" s="472" t="s">
        <v>3677</v>
      </c>
      <c r="C43" s="473"/>
      <c r="D43" s="472"/>
      <c r="E43" s="474">
        <v>25190451</v>
      </c>
      <c r="F43" s="474">
        <v>25190451</v>
      </c>
      <c r="G43" s="474">
        <v>17949417</v>
      </c>
      <c r="H43" s="474">
        <v>17949417</v>
      </c>
      <c r="I43" s="475">
        <v>71.25</v>
      </c>
    </row>
    <row r="44" spans="1:9" ht="38.25" hidden="1" outlineLevel="3">
      <c r="A44" s="833" t="s">
        <v>744</v>
      </c>
      <c r="B44" s="477" t="s">
        <v>3678</v>
      </c>
      <c r="C44" s="478"/>
      <c r="D44" s="477"/>
      <c r="E44" s="479">
        <v>25190451</v>
      </c>
      <c r="F44" s="479">
        <v>25190451</v>
      </c>
      <c r="G44" s="479">
        <v>17949417</v>
      </c>
      <c r="H44" s="479">
        <v>17949417</v>
      </c>
      <c r="I44" s="480">
        <v>71.25</v>
      </c>
    </row>
    <row r="45" spans="1:9" ht="38.25" hidden="1" outlineLevel="4">
      <c r="A45" s="832" t="s">
        <v>744</v>
      </c>
      <c r="B45" s="482" t="s">
        <v>3678</v>
      </c>
      <c r="C45" s="831" t="s">
        <v>704</v>
      </c>
      <c r="D45" s="482" t="s">
        <v>705</v>
      </c>
      <c r="E45" s="484">
        <v>25190451</v>
      </c>
      <c r="F45" s="484">
        <v>25190451</v>
      </c>
      <c r="G45" s="484">
        <v>17949417</v>
      </c>
      <c r="H45" s="484">
        <v>17949417</v>
      </c>
      <c r="I45" s="480">
        <v>71.25</v>
      </c>
    </row>
    <row r="46" spans="1:9" ht="102" hidden="1" outlineLevel="1">
      <c r="A46" s="851" t="s">
        <v>746</v>
      </c>
      <c r="B46" s="467" t="s">
        <v>3679</v>
      </c>
      <c r="C46" s="468"/>
      <c r="D46" s="467"/>
      <c r="E46" s="469">
        <v>3399668619.8400002</v>
      </c>
      <c r="F46" s="469">
        <v>3399668619.8400002</v>
      </c>
      <c r="G46" s="469">
        <v>2026004955.5</v>
      </c>
      <c r="H46" s="469">
        <v>2025979992.8199999</v>
      </c>
      <c r="I46" s="470">
        <v>59.59</v>
      </c>
    </row>
    <row r="47" spans="1:9" ht="51" hidden="1" outlineLevel="2">
      <c r="A47" s="850" t="s">
        <v>748</v>
      </c>
      <c r="B47" s="472" t="s">
        <v>3680</v>
      </c>
      <c r="C47" s="473"/>
      <c r="D47" s="472"/>
      <c r="E47" s="474">
        <v>1679919492.7</v>
      </c>
      <c r="F47" s="474">
        <v>1679919492.7</v>
      </c>
      <c r="G47" s="474">
        <v>1125267230.6800001</v>
      </c>
      <c r="H47" s="474">
        <v>1125250356.5</v>
      </c>
      <c r="I47" s="475">
        <v>66.98</v>
      </c>
    </row>
    <row r="48" spans="1:9" ht="76.5" hidden="1" outlineLevel="3">
      <c r="A48" s="833" t="s">
        <v>702</v>
      </c>
      <c r="B48" s="477" t="s">
        <v>3681</v>
      </c>
      <c r="C48" s="478"/>
      <c r="D48" s="477"/>
      <c r="E48" s="479">
        <v>1495021160.7</v>
      </c>
      <c r="F48" s="479">
        <v>1495021160.7</v>
      </c>
      <c r="G48" s="479">
        <v>991665262.52999997</v>
      </c>
      <c r="H48" s="479">
        <v>991665262.52999997</v>
      </c>
      <c r="I48" s="480">
        <v>66.33</v>
      </c>
    </row>
    <row r="49" spans="1:9" ht="76.5" hidden="1" outlineLevel="4">
      <c r="A49" s="832" t="s">
        <v>702</v>
      </c>
      <c r="B49" s="482" t="s">
        <v>3681</v>
      </c>
      <c r="C49" s="831" t="s">
        <v>704</v>
      </c>
      <c r="D49" s="482" t="s">
        <v>705</v>
      </c>
      <c r="E49" s="484">
        <v>1495021160.7</v>
      </c>
      <c r="F49" s="484">
        <v>1495021160.7</v>
      </c>
      <c r="G49" s="484">
        <v>991665262.52999997</v>
      </c>
      <c r="H49" s="484">
        <v>991665262.52999997</v>
      </c>
      <c r="I49" s="480">
        <v>66.33</v>
      </c>
    </row>
    <row r="50" spans="1:9" ht="25.5" hidden="1" outlineLevel="3">
      <c r="A50" s="833" t="s">
        <v>724</v>
      </c>
      <c r="B50" s="477" t="s">
        <v>3682</v>
      </c>
      <c r="C50" s="478"/>
      <c r="D50" s="477"/>
      <c r="E50" s="479">
        <v>19670908</v>
      </c>
      <c r="F50" s="479">
        <v>19670908</v>
      </c>
      <c r="G50" s="479">
        <v>15107749.199999999</v>
      </c>
      <c r="H50" s="479">
        <v>15107749.199999999</v>
      </c>
      <c r="I50" s="480">
        <v>76.8</v>
      </c>
    </row>
    <row r="51" spans="1:9" ht="25.5" hidden="1" outlineLevel="4">
      <c r="A51" s="832" t="s">
        <v>724</v>
      </c>
      <c r="B51" s="482" t="s">
        <v>3682</v>
      </c>
      <c r="C51" s="831" t="s">
        <v>704</v>
      </c>
      <c r="D51" s="482" t="s">
        <v>705</v>
      </c>
      <c r="E51" s="484">
        <v>19670908</v>
      </c>
      <c r="F51" s="484">
        <v>19670908</v>
      </c>
      <c r="G51" s="484">
        <v>15107749.199999999</v>
      </c>
      <c r="H51" s="484">
        <v>15107749.199999999</v>
      </c>
      <c r="I51" s="480">
        <v>76.8</v>
      </c>
    </row>
    <row r="52" spans="1:9" ht="51" hidden="1" outlineLevel="3">
      <c r="A52" s="833" t="s">
        <v>3683</v>
      </c>
      <c r="B52" s="477" t="s">
        <v>3684</v>
      </c>
      <c r="C52" s="478"/>
      <c r="D52" s="477"/>
      <c r="E52" s="479">
        <v>35765287</v>
      </c>
      <c r="F52" s="479">
        <v>35765287</v>
      </c>
      <c r="G52" s="479">
        <v>35765287</v>
      </c>
      <c r="H52" s="479">
        <v>35765287</v>
      </c>
      <c r="I52" s="480">
        <v>100</v>
      </c>
    </row>
    <row r="53" spans="1:9" ht="51" hidden="1" outlineLevel="4">
      <c r="A53" s="832" t="s">
        <v>3683</v>
      </c>
      <c r="B53" s="482" t="s">
        <v>3684</v>
      </c>
      <c r="C53" s="831" t="s">
        <v>704</v>
      </c>
      <c r="D53" s="482" t="s">
        <v>705</v>
      </c>
      <c r="E53" s="484">
        <v>35765287</v>
      </c>
      <c r="F53" s="484">
        <v>35765287</v>
      </c>
      <c r="G53" s="484">
        <v>35765287</v>
      </c>
      <c r="H53" s="484">
        <v>35765287</v>
      </c>
      <c r="I53" s="480">
        <v>100</v>
      </c>
    </row>
    <row r="54" spans="1:9" ht="25.5" hidden="1" outlineLevel="3">
      <c r="A54" s="833" t="s">
        <v>713</v>
      </c>
      <c r="B54" s="477" t="s">
        <v>3685</v>
      </c>
      <c r="C54" s="478"/>
      <c r="D54" s="477"/>
      <c r="E54" s="479">
        <v>78671638</v>
      </c>
      <c r="F54" s="479">
        <v>78671638</v>
      </c>
      <c r="G54" s="479">
        <v>47964785.509999998</v>
      </c>
      <c r="H54" s="479">
        <v>47947911.329999998</v>
      </c>
      <c r="I54" s="480">
        <v>60.95</v>
      </c>
    </row>
    <row r="55" spans="1:9" ht="25.5" hidden="1" outlineLevel="4">
      <c r="A55" s="832" t="s">
        <v>713</v>
      </c>
      <c r="B55" s="482" t="s">
        <v>3685</v>
      </c>
      <c r="C55" s="831" t="s">
        <v>704</v>
      </c>
      <c r="D55" s="482" t="s">
        <v>705</v>
      </c>
      <c r="E55" s="484">
        <v>78671638</v>
      </c>
      <c r="F55" s="484">
        <v>78671638</v>
      </c>
      <c r="G55" s="484">
        <v>47964785.509999998</v>
      </c>
      <c r="H55" s="484">
        <v>47947911.329999998</v>
      </c>
      <c r="I55" s="480">
        <v>60.95</v>
      </c>
    </row>
    <row r="56" spans="1:9" ht="25.5" hidden="1" outlineLevel="3">
      <c r="A56" s="833" t="s">
        <v>753</v>
      </c>
      <c r="B56" s="477" t="s">
        <v>3686</v>
      </c>
      <c r="C56" s="478"/>
      <c r="D56" s="477"/>
      <c r="E56" s="479">
        <v>24515315</v>
      </c>
      <c r="F56" s="479">
        <v>24515315</v>
      </c>
      <c r="G56" s="479">
        <v>17926840.870000001</v>
      </c>
      <c r="H56" s="479">
        <v>17926840.870000001</v>
      </c>
      <c r="I56" s="480">
        <v>73.13</v>
      </c>
    </row>
    <row r="57" spans="1:9" ht="25.5" hidden="1" outlineLevel="4">
      <c r="A57" s="832" t="s">
        <v>753</v>
      </c>
      <c r="B57" s="482" t="s">
        <v>3686</v>
      </c>
      <c r="C57" s="831" t="s">
        <v>704</v>
      </c>
      <c r="D57" s="482" t="s">
        <v>705</v>
      </c>
      <c r="E57" s="484">
        <v>24515315</v>
      </c>
      <c r="F57" s="484">
        <v>24515315</v>
      </c>
      <c r="G57" s="484">
        <v>17926840.870000001</v>
      </c>
      <c r="H57" s="484">
        <v>17926840.870000001</v>
      </c>
      <c r="I57" s="480">
        <v>73.13</v>
      </c>
    </row>
    <row r="58" spans="1:9" ht="38.25" hidden="1" outlineLevel="3">
      <c r="A58" s="833" t="s">
        <v>755</v>
      </c>
      <c r="B58" s="477" t="s">
        <v>3687</v>
      </c>
      <c r="C58" s="478"/>
      <c r="D58" s="477"/>
      <c r="E58" s="479">
        <v>26275184</v>
      </c>
      <c r="F58" s="479">
        <v>26275184</v>
      </c>
      <c r="G58" s="479">
        <v>16837305.57</v>
      </c>
      <c r="H58" s="479">
        <v>16837305.57</v>
      </c>
      <c r="I58" s="480">
        <v>64.08</v>
      </c>
    </row>
    <row r="59" spans="1:9" ht="38.25" hidden="1" outlineLevel="4">
      <c r="A59" s="832" t="s">
        <v>755</v>
      </c>
      <c r="B59" s="482" t="s">
        <v>3687</v>
      </c>
      <c r="C59" s="831" t="s">
        <v>704</v>
      </c>
      <c r="D59" s="482" t="s">
        <v>705</v>
      </c>
      <c r="E59" s="484">
        <v>26275184</v>
      </c>
      <c r="F59" s="484">
        <v>26275184</v>
      </c>
      <c r="G59" s="484">
        <v>16837305.57</v>
      </c>
      <c r="H59" s="484">
        <v>16837305.57</v>
      </c>
      <c r="I59" s="480">
        <v>64.08</v>
      </c>
    </row>
    <row r="60" spans="1:9" ht="63.75" hidden="1" outlineLevel="2">
      <c r="A60" s="850" t="s">
        <v>3688</v>
      </c>
      <c r="B60" s="472" t="s">
        <v>3689</v>
      </c>
      <c r="C60" s="473"/>
      <c r="D60" s="472"/>
      <c r="E60" s="474">
        <v>813367613</v>
      </c>
      <c r="F60" s="474">
        <v>813367613</v>
      </c>
      <c r="G60" s="474">
        <v>286605587.12</v>
      </c>
      <c r="H60" s="474">
        <v>286605587.12</v>
      </c>
      <c r="I60" s="475">
        <v>35.24</v>
      </c>
    </row>
    <row r="61" spans="1:9" ht="76.5" hidden="1" outlineLevel="3">
      <c r="A61" s="833" t="s">
        <v>702</v>
      </c>
      <c r="B61" s="477" t="s">
        <v>3690</v>
      </c>
      <c r="C61" s="478"/>
      <c r="D61" s="477"/>
      <c r="E61" s="479">
        <v>28664478</v>
      </c>
      <c r="F61" s="479">
        <v>28664478</v>
      </c>
      <c r="G61" s="479">
        <v>17304526.329999998</v>
      </c>
      <c r="H61" s="479">
        <v>17304526.329999998</v>
      </c>
      <c r="I61" s="480">
        <v>60.37</v>
      </c>
    </row>
    <row r="62" spans="1:9" ht="76.5" hidden="1" outlineLevel="4">
      <c r="A62" s="832" t="s">
        <v>702</v>
      </c>
      <c r="B62" s="482" t="s">
        <v>3690</v>
      </c>
      <c r="C62" s="831" t="s">
        <v>704</v>
      </c>
      <c r="D62" s="482" t="s">
        <v>705</v>
      </c>
      <c r="E62" s="484">
        <v>28664478</v>
      </c>
      <c r="F62" s="484">
        <v>28664478</v>
      </c>
      <c r="G62" s="484">
        <v>17304526.329999998</v>
      </c>
      <c r="H62" s="484">
        <v>17304526.329999998</v>
      </c>
      <c r="I62" s="480">
        <v>60.37</v>
      </c>
    </row>
    <row r="63" spans="1:9" ht="76.5" hidden="1" outlineLevel="3">
      <c r="A63" s="833" t="s">
        <v>3691</v>
      </c>
      <c r="B63" s="477" t="s">
        <v>3692</v>
      </c>
      <c r="C63" s="478"/>
      <c r="D63" s="477"/>
      <c r="E63" s="479">
        <v>266769427</v>
      </c>
      <c r="F63" s="479">
        <v>266769427</v>
      </c>
      <c r="G63" s="479">
        <v>13485000</v>
      </c>
      <c r="H63" s="479">
        <v>13485000</v>
      </c>
      <c r="I63" s="480">
        <v>5.05</v>
      </c>
    </row>
    <row r="64" spans="1:9" ht="76.5" hidden="1" outlineLevel="4">
      <c r="A64" s="832" t="s">
        <v>3691</v>
      </c>
      <c r="B64" s="482" t="s">
        <v>3692</v>
      </c>
      <c r="C64" s="831" t="s">
        <v>704</v>
      </c>
      <c r="D64" s="482" t="s">
        <v>705</v>
      </c>
      <c r="E64" s="484">
        <v>266769427</v>
      </c>
      <c r="F64" s="484">
        <v>266769427</v>
      </c>
      <c r="G64" s="484">
        <v>13485000</v>
      </c>
      <c r="H64" s="484">
        <v>13485000</v>
      </c>
      <c r="I64" s="480">
        <v>5.05</v>
      </c>
    </row>
    <row r="65" spans="1:9" ht="63.75" hidden="1" outlineLevel="3">
      <c r="A65" s="833" t="s">
        <v>760</v>
      </c>
      <c r="B65" s="477" t="s">
        <v>3693</v>
      </c>
      <c r="C65" s="478"/>
      <c r="D65" s="477"/>
      <c r="E65" s="479">
        <v>517933708</v>
      </c>
      <c r="F65" s="479">
        <v>517933708</v>
      </c>
      <c r="G65" s="479">
        <v>255816060.78999999</v>
      </c>
      <c r="H65" s="479">
        <v>255816060.78999999</v>
      </c>
      <c r="I65" s="480">
        <v>49.39</v>
      </c>
    </row>
    <row r="66" spans="1:9" ht="63.75" hidden="1" outlineLevel="4">
      <c r="A66" s="832" t="s">
        <v>760</v>
      </c>
      <c r="B66" s="482" t="s">
        <v>3693</v>
      </c>
      <c r="C66" s="831" t="s">
        <v>704</v>
      </c>
      <c r="D66" s="482" t="s">
        <v>705</v>
      </c>
      <c r="E66" s="484">
        <v>517933708</v>
      </c>
      <c r="F66" s="484">
        <v>517933708</v>
      </c>
      <c r="G66" s="484">
        <v>255816060.78999999</v>
      </c>
      <c r="H66" s="484">
        <v>255816060.78999999</v>
      </c>
      <c r="I66" s="480">
        <v>49.39</v>
      </c>
    </row>
    <row r="67" spans="1:9" ht="51" hidden="1" outlineLevel="2">
      <c r="A67" s="850" t="s">
        <v>762</v>
      </c>
      <c r="B67" s="472" t="s">
        <v>3694</v>
      </c>
      <c r="C67" s="473"/>
      <c r="D67" s="472"/>
      <c r="E67" s="474">
        <v>346190320.13999999</v>
      </c>
      <c r="F67" s="474">
        <v>346190320.13999999</v>
      </c>
      <c r="G67" s="474">
        <v>219437914.08000001</v>
      </c>
      <c r="H67" s="474">
        <v>219437914.08000001</v>
      </c>
      <c r="I67" s="475">
        <v>63.39</v>
      </c>
    </row>
    <row r="68" spans="1:9" ht="76.5" hidden="1" outlineLevel="3">
      <c r="A68" s="833" t="s">
        <v>702</v>
      </c>
      <c r="B68" s="477" t="s">
        <v>3695</v>
      </c>
      <c r="C68" s="478"/>
      <c r="D68" s="477"/>
      <c r="E68" s="479">
        <v>346190320.13999999</v>
      </c>
      <c r="F68" s="479">
        <v>346190320.13999999</v>
      </c>
      <c r="G68" s="479">
        <v>219437914.08000001</v>
      </c>
      <c r="H68" s="479">
        <v>219437914.08000001</v>
      </c>
      <c r="I68" s="480">
        <v>63.39</v>
      </c>
    </row>
    <row r="69" spans="1:9" ht="76.5" hidden="1" outlineLevel="4">
      <c r="A69" s="832" t="s">
        <v>702</v>
      </c>
      <c r="B69" s="482" t="s">
        <v>3695</v>
      </c>
      <c r="C69" s="831" t="s">
        <v>704</v>
      </c>
      <c r="D69" s="482" t="s">
        <v>705</v>
      </c>
      <c r="E69" s="484">
        <v>346190320.13999999</v>
      </c>
      <c r="F69" s="484">
        <v>346190320.13999999</v>
      </c>
      <c r="G69" s="484">
        <v>219437914.08000001</v>
      </c>
      <c r="H69" s="484">
        <v>219437914.08000001</v>
      </c>
      <c r="I69" s="480">
        <v>63.39</v>
      </c>
    </row>
    <row r="70" spans="1:9" ht="25.5" hidden="1" outlineLevel="2">
      <c r="A70" s="850" t="s">
        <v>765</v>
      </c>
      <c r="B70" s="472" t="s">
        <v>3696</v>
      </c>
      <c r="C70" s="473"/>
      <c r="D70" s="472"/>
      <c r="E70" s="474">
        <v>22898549</v>
      </c>
      <c r="F70" s="474">
        <v>22898549</v>
      </c>
      <c r="G70" s="474">
        <v>17523493.34</v>
      </c>
      <c r="H70" s="474">
        <v>17515404.84</v>
      </c>
      <c r="I70" s="475">
        <v>76.489999999999995</v>
      </c>
    </row>
    <row r="71" spans="1:9" ht="76.5" hidden="1" outlineLevel="3">
      <c r="A71" s="833" t="s">
        <v>702</v>
      </c>
      <c r="B71" s="477" t="s">
        <v>3697</v>
      </c>
      <c r="C71" s="478"/>
      <c r="D71" s="477"/>
      <c r="E71" s="479">
        <v>22898549</v>
      </c>
      <c r="F71" s="479">
        <v>22898549</v>
      </c>
      <c r="G71" s="479">
        <v>17523493.34</v>
      </c>
      <c r="H71" s="479">
        <v>17515404.84</v>
      </c>
      <c r="I71" s="480">
        <v>76.489999999999995</v>
      </c>
    </row>
    <row r="72" spans="1:9" ht="76.5" hidden="1" outlineLevel="4">
      <c r="A72" s="832" t="s">
        <v>702</v>
      </c>
      <c r="B72" s="482" t="s">
        <v>3697</v>
      </c>
      <c r="C72" s="831" t="s">
        <v>704</v>
      </c>
      <c r="D72" s="482" t="s">
        <v>705</v>
      </c>
      <c r="E72" s="484">
        <v>22898549</v>
      </c>
      <c r="F72" s="484">
        <v>22898549</v>
      </c>
      <c r="G72" s="484">
        <v>17523493.34</v>
      </c>
      <c r="H72" s="484">
        <v>17515404.84</v>
      </c>
      <c r="I72" s="480">
        <v>76.489999999999995</v>
      </c>
    </row>
    <row r="73" spans="1:9" ht="38.25" hidden="1" outlineLevel="2">
      <c r="A73" s="850" t="s">
        <v>768</v>
      </c>
      <c r="B73" s="472" t="s">
        <v>3698</v>
      </c>
      <c r="C73" s="473"/>
      <c r="D73" s="472"/>
      <c r="E73" s="474">
        <v>284236508</v>
      </c>
      <c r="F73" s="474">
        <v>284236508</v>
      </c>
      <c r="G73" s="474">
        <v>184429412.86000001</v>
      </c>
      <c r="H73" s="474">
        <v>184429412.86000001</v>
      </c>
      <c r="I73" s="475">
        <v>64.89</v>
      </c>
    </row>
    <row r="74" spans="1:9" ht="76.5" hidden="1" outlineLevel="3">
      <c r="A74" s="833" t="s">
        <v>702</v>
      </c>
      <c r="B74" s="477" t="s">
        <v>3699</v>
      </c>
      <c r="C74" s="478"/>
      <c r="D74" s="477"/>
      <c r="E74" s="479">
        <v>284236508</v>
      </c>
      <c r="F74" s="479">
        <v>284236508</v>
      </c>
      <c r="G74" s="479">
        <v>184429412.86000001</v>
      </c>
      <c r="H74" s="479">
        <v>184429412.86000001</v>
      </c>
      <c r="I74" s="480">
        <v>64.89</v>
      </c>
    </row>
    <row r="75" spans="1:9" ht="76.5" hidden="1" outlineLevel="4">
      <c r="A75" s="832" t="s">
        <v>702</v>
      </c>
      <c r="B75" s="482" t="s">
        <v>3699</v>
      </c>
      <c r="C75" s="831" t="s">
        <v>704</v>
      </c>
      <c r="D75" s="482" t="s">
        <v>705</v>
      </c>
      <c r="E75" s="484">
        <v>284236508</v>
      </c>
      <c r="F75" s="484">
        <v>284236508</v>
      </c>
      <c r="G75" s="484">
        <v>184429412.86000001</v>
      </c>
      <c r="H75" s="484">
        <v>184429412.86000001</v>
      </c>
      <c r="I75" s="480">
        <v>64.89</v>
      </c>
    </row>
    <row r="76" spans="1:9" ht="38.25" hidden="1" outlineLevel="2">
      <c r="A76" s="850" t="s">
        <v>771</v>
      </c>
      <c r="B76" s="472" t="s">
        <v>3700</v>
      </c>
      <c r="C76" s="473"/>
      <c r="D76" s="472"/>
      <c r="E76" s="474">
        <v>185205937</v>
      </c>
      <c r="F76" s="474">
        <v>185205937</v>
      </c>
      <c r="G76" s="474">
        <v>132213743.25</v>
      </c>
      <c r="H76" s="474">
        <v>132213743.25</v>
      </c>
      <c r="I76" s="475">
        <v>71.39</v>
      </c>
    </row>
    <row r="77" spans="1:9" ht="76.5" hidden="1" outlineLevel="3">
      <c r="A77" s="833" t="s">
        <v>702</v>
      </c>
      <c r="B77" s="477" t="s">
        <v>3701</v>
      </c>
      <c r="C77" s="478"/>
      <c r="D77" s="477"/>
      <c r="E77" s="479">
        <v>185205937</v>
      </c>
      <c r="F77" s="479">
        <v>185205937</v>
      </c>
      <c r="G77" s="479">
        <v>132213743.25</v>
      </c>
      <c r="H77" s="479">
        <v>132213743.25</v>
      </c>
      <c r="I77" s="480">
        <v>71.39</v>
      </c>
    </row>
    <row r="78" spans="1:9" ht="76.5" hidden="1" outlineLevel="4">
      <c r="A78" s="832" t="s">
        <v>702</v>
      </c>
      <c r="B78" s="482" t="s">
        <v>3701</v>
      </c>
      <c r="C78" s="831" t="s">
        <v>704</v>
      </c>
      <c r="D78" s="482" t="s">
        <v>705</v>
      </c>
      <c r="E78" s="484">
        <v>185205937</v>
      </c>
      <c r="F78" s="484">
        <v>185205937</v>
      </c>
      <c r="G78" s="484">
        <v>132213743.25</v>
      </c>
      <c r="H78" s="484">
        <v>132213743.25</v>
      </c>
      <c r="I78" s="480">
        <v>71.39</v>
      </c>
    </row>
    <row r="79" spans="1:9" ht="114.75" hidden="1" outlineLevel="2">
      <c r="A79" s="850" t="s">
        <v>3702</v>
      </c>
      <c r="B79" s="472" t="s">
        <v>3703</v>
      </c>
      <c r="C79" s="473"/>
      <c r="D79" s="472"/>
      <c r="E79" s="474">
        <v>19879800</v>
      </c>
      <c r="F79" s="474">
        <v>19879800</v>
      </c>
      <c r="G79" s="474">
        <v>12557266.67</v>
      </c>
      <c r="H79" s="474">
        <v>12557266.67</v>
      </c>
      <c r="I79" s="475">
        <v>63.17</v>
      </c>
    </row>
    <row r="80" spans="1:9" ht="76.5" hidden="1" outlineLevel="3">
      <c r="A80" s="833" t="s">
        <v>702</v>
      </c>
      <c r="B80" s="477" t="s">
        <v>3704</v>
      </c>
      <c r="C80" s="478"/>
      <c r="D80" s="477"/>
      <c r="E80" s="479">
        <v>19879800</v>
      </c>
      <c r="F80" s="479">
        <v>19879800</v>
      </c>
      <c r="G80" s="479">
        <v>12557266.67</v>
      </c>
      <c r="H80" s="479">
        <v>12557266.67</v>
      </c>
      <c r="I80" s="480">
        <v>63.17</v>
      </c>
    </row>
    <row r="81" spans="1:9" ht="76.5" hidden="1" outlineLevel="4">
      <c r="A81" s="832" t="s">
        <v>702</v>
      </c>
      <c r="B81" s="482" t="s">
        <v>3704</v>
      </c>
      <c r="C81" s="831" t="s">
        <v>704</v>
      </c>
      <c r="D81" s="482" t="s">
        <v>705</v>
      </c>
      <c r="E81" s="484">
        <v>19879800</v>
      </c>
      <c r="F81" s="484">
        <v>19879800</v>
      </c>
      <c r="G81" s="484">
        <v>12557266.67</v>
      </c>
      <c r="H81" s="484">
        <v>12557266.67</v>
      </c>
      <c r="I81" s="480">
        <v>63.17</v>
      </c>
    </row>
    <row r="82" spans="1:9" ht="25.5" hidden="1" outlineLevel="2">
      <c r="A82" s="850" t="s">
        <v>738</v>
      </c>
      <c r="B82" s="472" t="s">
        <v>3705</v>
      </c>
      <c r="C82" s="473"/>
      <c r="D82" s="472"/>
      <c r="E82" s="474">
        <v>28336100</v>
      </c>
      <c r="F82" s="474">
        <v>28336100</v>
      </c>
      <c r="G82" s="474">
        <v>28336100</v>
      </c>
      <c r="H82" s="474">
        <v>28336100</v>
      </c>
      <c r="I82" s="475">
        <v>100</v>
      </c>
    </row>
    <row r="83" spans="1:9" ht="38.25" hidden="1" outlineLevel="3">
      <c r="A83" s="833" t="s">
        <v>778</v>
      </c>
      <c r="B83" s="477" t="s">
        <v>3706</v>
      </c>
      <c r="C83" s="478"/>
      <c r="D83" s="477"/>
      <c r="E83" s="479">
        <v>28336100</v>
      </c>
      <c r="F83" s="479">
        <v>28336100</v>
      </c>
      <c r="G83" s="479">
        <v>28336100</v>
      </c>
      <c r="H83" s="479">
        <v>28336100</v>
      </c>
      <c r="I83" s="480">
        <v>100</v>
      </c>
    </row>
    <row r="84" spans="1:9" ht="38.25" hidden="1" outlineLevel="4">
      <c r="A84" s="832" t="s">
        <v>778</v>
      </c>
      <c r="B84" s="482" t="s">
        <v>3706</v>
      </c>
      <c r="C84" s="831" t="s">
        <v>704</v>
      </c>
      <c r="D84" s="482" t="s">
        <v>705</v>
      </c>
      <c r="E84" s="484">
        <v>28336100</v>
      </c>
      <c r="F84" s="484">
        <v>28336100</v>
      </c>
      <c r="G84" s="484">
        <v>28336100</v>
      </c>
      <c r="H84" s="484">
        <v>28336100</v>
      </c>
      <c r="I84" s="480">
        <v>100</v>
      </c>
    </row>
    <row r="85" spans="1:9" ht="25.5" hidden="1" outlineLevel="2">
      <c r="A85" s="850" t="s">
        <v>780</v>
      </c>
      <c r="B85" s="472" t="s">
        <v>3707</v>
      </c>
      <c r="C85" s="473"/>
      <c r="D85" s="472"/>
      <c r="E85" s="474">
        <v>19634300</v>
      </c>
      <c r="F85" s="474">
        <v>19634300</v>
      </c>
      <c r="G85" s="474">
        <v>19634207.5</v>
      </c>
      <c r="H85" s="474">
        <v>19634207.5</v>
      </c>
      <c r="I85" s="475">
        <v>100</v>
      </c>
    </row>
    <row r="86" spans="1:9" ht="38.25" hidden="1" outlineLevel="3">
      <c r="A86" s="833" t="s">
        <v>3708</v>
      </c>
      <c r="B86" s="477" t="s">
        <v>3709</v>
      </c>
      <c r="C86" s="478"/>
      <c r="D86" s="477"/>
      <c r="E86" s="479">
        <v>19634300</v>
      </c>
      <c r="F86" s="479">
        <v>19634300</v>
      </c>
      <c r="G86" s="479">
        <v>19634207.5</v>
      </c>
      <c r="H86" s="479">
        <v>19634207.5</v>
      </c>
      <c r="I86" s="480">
        <v>100</v>
      </c>
    </row>
    <row r="87" spans="1:9" ht="38.25" hidden="1" outlineLevel="4">
      <c r="A87" s="832" t="s">
        <v>3708</v>
      </c>
      <c r="B87" s="482" t="s">
        <v>3709</v>
      </c>
      <c r="C87" s="831" t="s">
        <v>704</v>
      </c>
      <c r="D87" s="482" t="s">
        <v>705</v>
      </c>
      <c r="E87" s="484">
        <v>19634300</v>
      </c>
      <c r="F87" s="484">
        <v>19634300</v>
      </c>
      <c r="G87" s="484">
        <v>19634207.5</v>
      </c>
      <c r="H87" s="484">
        <v>19634207.5</v>
      </c>
      <c r="I87" s="480">
        <v>100</v>
      </c>
    </row>
    <row r="88" spans="1:9" ht="25.5" hidden="1" outlineLevel="1">
      <c r="A88" s="851" t="s">
        <v>784</v>
      </c>
      <c r="B88" s="467" t="s">
        <v>3710</v>
      </c>
      <c r="C88" s="468"/>
      <c r="D88" s="467"/>
      <c r="E88" s="469">
        <v>414486145</v>
      </c>
      <c r="F88" s="469">
        <v>414486145</v>
      </c>
      <c r="G88" s="469">
        <v>264302916.77000001</v>
      </c>
      <c r="H88" s="469">
        <v>264302916.77000001</v>
      </c>
      <c r="I88" s="470">
        <v>63.77</v>
      </c>
    </row>
    <row r="89" spans="1:9" ht="38.25" hidden="1" outlineLevel="2">
      <c r="A89" s="850" t="s">
        <v>786</v>
      </c>
      <c r="B89" s="472" t="s">
        <v>3711</v>
      </c>
      <c r="C89" s="473"/>
      <c r="D89" s="472"/>
      <c r="E89" s="474">
        <v>26999508</v>
      </c>
      <c r="F89" s="474">
        <v>26999508</v>
      </c>
      <c r="G89" s="474">
        <v>20500176.100000001</v>
      </c>
      <c r="H89" s="474">
        <v>20500176.100000001</v>
      </c>
      <c r="I89" s="475">
        <v>75.930000000000007</v>
      </c>
    </row>
    <row r="90" spans="1:9" ht="76.5" hidden="1" outlineLevel="3">
      <c r="A90" s="833" t="s">
        <v>702</v>
      </c>
      <c r="B90" s="477" t="s">
        <v>3712</v>
      </c>
      <c r="C90" s="478"/>
      <c r="D90" s="477"/>
      <c r="E90" s="479">
        <v>12500212</v>
      </c>
      <c r="F90" s="479">
        <v>12500212</v>
      </c>
      <c r="G90" s="479">
        <v>8839377</v>
      </c>
      <c r="H90" s="479">
        <v>8839377</v>
      </c>
      <c r="I90" s="480">
        <v>70.709999999999994</v>
      </c>
    </row>
    <row r="91" spans="1:9" ht="76.5" hidden="1" outlineLevel="4">
      <c r="A91" s="832" t="s">
        <v>702</v>
      </c>
      <c r="B91" s="482" t="s">
        <v>3712</v>
      </c>
      <c r="C91" s="831" t="s">
        <v>704</v>
      </c>
      <c r="D91" s="482" t="s">
        <v>705</v>
      </c>
      <c r="E91" s="484">
        <v>12500212</v>
      </c>
      <c r="F91" s="484">
        <v>12500212</v>
      </c>
      <c r="G91" s="484">
        <v>8839377</v>
      </c>
      <c r="H91" s="484">
        <v>8839377</v>
      </c>
      <c r="I91" s="480">
        <v>70.709999999999994</v>
      </c>
    </row>
    <row r="92" spans="1:9" ht="63.75" hidden="1" outlineLevel="3">
      <c r="A92" s="833" t="s">
        <v>3713</v>
      </c>
      <c r="B92" s="477" t="s">
        <v>3714</v>
      </c>
      <c r="C92" s="478"/>
      <c r="D92" s="477"/>
      <c r="E92" s="479">
        <v>14499296</v>
      </c>
      <c r="F92" s="479">
        <v>14499296</v>
      </c>
      <c r="G92" s="479">
        <v>11660799.1</v>
      </c>
      <c r="H92" s="479">
        <v>11660799.1</v>
      </c>
      <c r="I92" s="480">
        <v>80.42</v>
      </c>
    </row>
    <row r="93" spans="1:9" ht="63.75" hidden="1" outlineLevel="4">
      <c r="A93" s="832" t="s">
        <v>3713</v>
      </c>
      <c r="B93" s="482" t="s">
        <v>3714</v>
      </c>
      <c r="C93" s="831" t="s">
        <v>704</v>
      </c>
      <c r="D93" s="482" t="s">
        <v>705</v>
      </c>
      <c r="E93" s="484">
        <v>14499296</v>
      </c>
      <c r="F93" s="484">
        <v>14499296</v>
      </c>
      <c r="G93" s="484">
        <v>11660799.1</v>
      </c>
      <c r="H93" s="484">
        <v>11660799.1</v>
      </c>
      <c r="I93" s="480">
        <v>80.42</v>
      </c>
    </row>
    <row r="94" spans="1:9" ht="63.75" hidden="1" outlineLevel="2">
      <c r="A94" s="850" t="s">
        <v>789</v>
      </c>
      <c r="B94" s="472" t="s">
        <v>3715</v>
      </c>
      <c r="C94" s="473"/>
      <c r="D94" s="472"/>
      <c r="E94" s="474">
        <v>387486637</v>
      </c>
      <c r="F94" s="474">
        <v>387486637</v>
      </c>
      <c r="G94" s="474">
        <v>243802740.66999999</v>
      </c>
      <c r="H94" s="474">
        <v>243802740.66999999</v>
      </c>
      <c r="I94" s="475">
        <v>62.92</v>
      </c>
    </row>
    <row r="95" spans="1:9" ht="76.5" hidden="1" outlineLevel="3">
      <c r="A95" s="833" t="s">
        <v>702</v>
      </c>
      <c r="B95" s="477" t="s">
        <v>3716</v>
      </c>
      <c r="C95" s="478"/>
      <c r="D95" s="477"/>
      <c r="E95" s="479">
        <v>387486637</v>
      </c>
      <c r="F95" s="479">
        <v>387486637</v>
      </c>
      <c r="G95" s="479">
        <v>243802740.66999999</v>
      </c>
      <c r="H95" s="479">
        <v>243802740.66999999</v>
      </c>
      <c r="I95" s="480">
        <v>62.92</v>
      </c>
    </row>
    <row r="96" spans="1:9" ht="76.5" hidden="1" outlineLevel="4">
      <c r="A96" s="832" t="s">
        <v>702</v>
      </c>
      <c r="B96" s="482" t="s">
        <v>3716</v>
      </c>
      <c r="C96" s="831" t="s">
        <v>704</v>
      </c>
      <c r="D96" s="482" t="s">
        <v>705</v>
      </c>
      <c r="E96" s="484">
        <v>387486637</v>
      </c>
      <c r="F96" s="484">
        <v>387486637</v>
      </c>
      <c r="G96" s="484">
        <v>243802740.66999999</v>
      </c>
      <c r="H96" s="484">
        <v>243802740.66999999</v>
      </c>
      <c r="I96" s="480">
        <v>62.92</v>
      </c>
    </row>
    <row r="97" spans="1:9" ht="38.25" hidden="1" outlineLevel="1">
      <c r="A97" s="851" t="s">
        <v>797</v>
      </c>
      <c r="B97" s="467" t="s">
        <v>3717</v>
      </c>
      <c r="C97" s="468"/>
      <c r="D97" s="467"/>
      <c r="E97" s="469">
        <v>2828139458.46</v>
      </c>
      <c r="F97" s="469">
        <v>2828139458.46</v>
      </c>
      <c r="G97" s="469">
        <v>1588394703.3499999</v>
      </c>
      <c r="H97" s="469">
        <v>1136655256.02</v>
      </c>
      <c r="I97" s="470">
        <v>40.19</v>
      </c>
    </row>
    <row r="98" spans="1:9" ht="38.25" hidden="1" outlineLevel="2">
      <c r="A98" s="850" t="s">
        <v>3718</v>
      </c>
      <c r="B98" s="472" t="s">
        <v>3719</v>
      </c>
      <c r="C98" s="473"/>
      <c r="D98" s="472"/>
      <c r="E98" s="474">
        <v>912626384.52999997</v>
      </c>
      <c r="F98" s="474">
        <v>912626384.52999997</v>
      </c>
      <c r="G98" s="474">
        <v>372302269.13</v>
      </c>
      <c r="H98" s="474">
        <v>359124807.82999998</v>
      </c>
      <c r="I98" s="475">
        <v>39.35</v>
      </c>
    </row>
    <row r="99" spans="1:9" ht="76.5" hidden="1" outlineLevel="3">
      <c r="A99" s="833" t="s">
        <v>702</v>
      </c>
      <c r="B99" s="477" t="s">
        <v>3720</v>
      </c>
      <c r="C99" s="478"/>
      <c r="D99" s="477"/>
      <c r="E99" s="479">
        <v>487215650.05000001</v>
      </c>
      <c r="F99" s="479">
        <v>487215650.05000001</v>
      </c>
      <c r="G99" s="479">
        <v>140757155.00999999</v>
      </c>
      <c r="H99" s="479">
        <v>140757155.00999999</v>
      </c>
      <c r="I99" s="480">
        <v>28.89</v>
      </c>
    </row>
    <row r="100" spans="1:9" ht="76.5" hidden="1" outlineLevel="4">
      <c r="A100" s="832" t="s">
        <v>702</v>
      </c>
      <c r="B100" s="482" t="s">
        <v>3720</v>
      </c>
      <c r="C100" s="831" t="s">
        <v>704</v>
      </c>
      <c r="D100" s="482" t="s">
        <v>705</v>
      </c>
      <c r="E100" s="484">
        <v>487215650.05000001</v>
      </c>
      <c r="F100" s="484">
        <v>487215650.05000001</v>
      </c>
      <c r="G100" s="484">
        <v>140757155.00999999</v>
      </c>
      <c r="H100" s="484">
        <v>140757155.00999999</v>
      </c>
      <c r="I100" s="480">
        <v>28.89</v>
      </c>
    </row>
    <row r="101" spans="1:9" ht="25.5" hidden="1" outlineLevel="3">
      <c r="A101" s="833" t="s">
        <v>713</v>
      </c>
      <c r="B101" s="477" t="s">
        <v>3721</v>
      </c>
      <c r="C101" s="478"/>
      <c r="D101" s="477"/>
      <c r="E101" s="479">
        <v>425410734.48000002</v>
      </c>
      <c r="F101" s="479">
        <v>425410734.48000002</v>
      </c>
      <c r="G101" s="479">
        <v>231545114.12</v>
      </c>
      <c r="H101" s="479">
        <v>218367652.81999999</v>
      </c>
      <c r="I101" s="480">
        <v>51.33</v>
      </c>
    </row>
    <row r="102" spans="1:9" ht="25.5" hidden="1" outlineLevel="4">
      <c r="A102" s="832" t="s">
        <v>713</v>
      </c>
      <c r="B102" s="482" t="s">
        <v>3721</v>
      </c>
      <c r="C102" s="831" t="s">
        <v>803</v>
      </c>
      <c r="D102" s="482" t="s">
        <v>804</v>
      </c>
      <c r="E102" s="484">
        <v>425410734.48000002</v>
      </c>
      <c r="F102" s="484">
        <v>425410734.48000002</v>
      </c>
      <c r="G102" s="484">
        <v>231545114.12</v>
      </c>
      <c r="H102" s="484">
        <v>218367652.81999999</v>
      </c>
      <c r="I102" s="480">
        <v>51.33</v>
      </c>
    </row>
    <row r="103" spans="1:9" ht="38.25" hidden="1" outlineLevel="2">
      <c r="A103" s="850" t="s">
        <v>3722</v>
      </c>
      <c r="B103" s="472" t="s">
        <v>3723</v>
      </c>
      <c r="C103" s="473"/>
      <c r="D103" s="472"/>
      <c r="E103" s="474">
        <v>23495986.16</v>
      </c>
      <c r="F103" s="474">
        <v>23495986.16</v>
      </c>
      <c r="G103" s="474">
        <v>4097990.87</v>
      </c>
      <c r="H103" s="474">
        <v>4097990.87</v>
      </c>
      <c r="I103" s="475">
        <v>17.440000000000001</v>
      </c>
    </row>
    <row r="104" spans="1:9" ht="76.5" hidden="1" outlineLevel="3">
      <c r="A104" s="833" t="s">
        <v>702</v>
      </c>
      <c r="B104" s="477" t="s">
        <v>3724</v>
      </c>
      <c r="C104" s="478"/>
      <c r="D104" s="477"/>
      <c r="E104" s="479">
        <v>4339566.67</v>
      </c>
      <c r="F104" s="479">
        <v>4339566.67</v>
      </c>
      <c r="G104" s="479">
        <v>2685481.38</v>
      </c>
      <c r="H104" s="479">
        <v>2685481.38</v>
      </c>
      <c r="I104" s="480">
        <v>61.88</v>
      </c>
    </row>
    <row r="105" spans="1:9" ht="76.5" hidden="1" outlineLevel="4">
      <c r="A105" s="832" t="s">
        <v>702</v>
      </c>
      <c r="B105" s="482" t="s">
        <v>3724</v>
      </c>
      <c r="C105" s="831" t="s">
        <v>704</v>
      </c>
      <c r="D105" s="482" t="s">
        <v>705</v>
      </c>
      <c r="E105" s="484">
        <v>4339566.67</v>
      </c>
      <c r="F105" s="484">
        <v>4339566.67</v>
      </c>
      <c r="G105" s="484">
        <v>2685481.38</v>
      </c>
      <c r="H105" s="484">
        <v>2685481.38</v>
      </c>
      <c r="I105" s="480">
        <v>61.88</v>
      </c>
    </row>
    <row r="106" spans="1:9" ht="51" hidden="1" outlineLevel="3">
      <c r="A106" s="833" t="s">
        <v>801</v>
      </c>
      <c r="B106" s="477" t="s">
        <v>3725</v>
      </c>
      <c r="C106" s="478"/>
      <c r="D106" s="477"/>
      <c r="E106" s="479">
        <v>1412509.49</v>
      </c>
      <c r="F106" s="479">
        <v>1412509.49</v>
      </c>
      <c r="G106" s="479">
        <v>1412509.49</v>
      </c>
      <c r="H106" s="479">
        <v>1412509.49</v>
      </c>
      <c r="I106" s="480">
        <v>100</v>
      </c>
    </row>
    <row r="107" spans="1:9" ht="51" hidden="1" outlineLevel="4">
      <c r="A107" s="832" t="s">
        <v>801</v>
      </c>
      <c r="B107" s="482" t="s">
        <v>3725</v>
      </c>
      <c r="C107" s="831" t="s">
        <v>803</v>
      </c>
      <c r="D107" s="482" t="s">
        <v>804</v>
      </c>
      <c r="E107" s="484">
        <v>1412509.49</v>
      </c>
      <c r="F107" s="484">
        <v>1412509.49</v>
      </c>
      <c r="G107" s="484">
        <v>1412509.49</v>
      </c>
      <c r="H107" s="484">
        <v>1412509.49</v>
      </c>
      <c r="I107" s="480">
        <v>100</v>
      </c>
    </row>
    <row r="108" spans="1:9" ht="38.25" hidden="1" outlineLevel="3">
      <c r="A108" s="833" t="s">
        <v>3726</v>
      </c>
      <c r="B108" s="477" t="s">
        <v>3727</v>
      </c>
      <c r="C108" s="478"/>
      <c r="D108" s="477"/>
      <c r="E108" s="479">
        <v>17743910</v>
      </c>
      <c r="F108" s="479">
        <v>17743910</v>
      </c>
      <c r="G108" s="479">
        <v>0</v>
      </c>
      <c r="H108" s="479">
        <v>0</v>
      </c>
      <c r="I108" s="480">
        <v>0</v>
      </c>
    </row>
    <row r="109" spans="1:9" ht="38.25" hidden="1" outlineLevel="4">
      <c r="A109" s="832" t="s">
        <v>3726</v>
      </c>
      <c r="B109" s="482" t="s">
        <v>3727</v>
      </c>
      <c r="C109" s="831" t="s">
        <v>803</v>
      </c>
      <c r="D109" s="482" t="s">
        <v>804</v>
      </c>
      <c r="E109" s="484">
        <v>17743910</v>
      </c>
      <c r="F109" s="484">
        <v>17743910</v>
      </c>
      <c r="G109" s="484">
        <v>0</v>
      </c>
      <c r="H109" s="484">
        <v>0</v>
      </c>
      <c r="I109" s="480">
        <v>0</v>
      </c>
    </row>
    <row r="110" spans="1:9" ht="38.25" hidden="1" outlineLevel="2">
      <c r="A110" s="850" t="s">
        <v>3728</v>
      </c>
      <c r="B110" s="472" t="s">
        <v>3729</v>
      </c>
      <c r="C110" s="473"/>
      <c r="D110" s="472"/>
      <c r="E110" s="474">
        <v>2828831.25</v>
      </c>
      <c r="F110" s="474">
        <v>2828831.25</v>
      </c>
      <c r="G110" s="474">
        <v>0</v>
      </c>
      <c r="H110" s="474">
        <v>0</v>
      </c>
      <c r="I110" s="475">
        <v>0</v>
      </c>
    </row>
    <row r="111" spans="1:9" ht="76.5" hidden="1" outlineLevel="3">
      <c r="A111" s="833" t="s">
        <v>702</v>
      </c>
      <c r="B111" s="477" t="s">
        <v>3730</v>
      </c>
      <c r="C111" s="478"/>
      <c r="D111" s="477"/>
      <c r="E111" s="479">
        <v>2828831.25</v>
      </c>
      <c r="F111" s="479">
        <v>2828831.25</v>
      </c>
      <c r="G111" s="479">
        <v>0</v>
      </c>
      <c r="H111" s="479">
        <v>0</v>
      </c>
      <c r="I111" s="480">
        <v>0</v>
      </c>
    </row>
    <row r="112" spans="1:9" ht="76.5" hidden="1" outlineLevel="4">
      <c r="A112" s="832" t="s">
        <v>702</v>
      </c>
      <c r="B112" s="482" t="s">
        <v>3730</v>
      </c>
      <c r="C112" s="831" t="s">
        <v>704</v>
      </c>
      <c r="D112" s="482" t="s">
        <v>705</v>
      </c>
      <c r="E112" s="484">
        <v>2828831.25</v>
      </c>
      <c r="F112" s="484">
        <v>2828831.25</v>
      </c>
      <c r="G112" s="484">
        <v>0</v>
      </c>
      <c r="H112" s="484">
        <v>0</v>
      </c>
      <c r="I112" s="480">
        <v>0</v>
      </c>
    </row>
    <row r="113" spans="1:9" ht="89.25" hidden="1" outlineLevel="2">
      <c r="A113" s="850" t="s">
        <v>3731</v>
      </c>
      <c r="B113" s="472" t="s">
        <v>3732</v>
      </c>
      <c r="C113" s="473"/>
      <c r="D113" s="472"/>
      <c r="E113" s="474">
        <v>44733400</v>
      </c>
      <c r="F113" s="474">
        <v>44733400</v>
      </c>
      <c r="G113" s="474">
        <v>38064789.200000003</v>
      </c>
      <c r="H113" s="474">
        <v>38064789.200000003</v>
      </c>
      <c r="I113" s="475">
        <v>85.09</v>
      </c>
    </row>
    <row r="114" spans="1:9" ht="76.5" hidden="1" outlineLevel="3">
      <c r="A114" s="833" t="s">
        <v>3733</v>
      </c>
      <c r="B114" s="477" t="s">
        <v>3734</v>
      </c>
      <c r="C114" s="478"/>
      <c r="D114" s="477"/>
      <c r="E114" s="479">
        <v>44733400</v>
      </c>
      <c r="F114" s="479">
        <v>44733400</v>
      </c>
      <c r="G114" s="479">
        <v>38064789.200000003</v>
      </c>
      <c r="H114" s="479">
        <v>38064789.200000003</v>
      </c>
      <c r="I114" s="480">
        <v>85.09</v>
      </c>
    </row>
    <row r="115" spans="1:9" ht="76.5" hidden="1" outlineLevel="4">
      <c r="A115" s="832" t="s">
        <v>3733</v>
      </c>
      <c r="B115" s="482" t="s">
        <v>3734</v>
      </c>
      <c r="C115" s="831" t="s">
        <v>704</v>
      </c>
      <c r="D115" s="482" t="s">
        <v>705</v>
      </c>
      <c r="E115" s="484">
        <v>44733400</v>
      </c>
      <c r="F115" s="484">
        <v>44733400</v>
      </c>
      <c r="G115" s="484">
        <v>38064789.200000003</v>
      </c>
      <c r="H115" s="484">
        <v>38064789.200000003</v>
      </c>
      <c r="I115" s="480">
        <v>85.09</v>
      </c>
    </row>
    <row r="116" spans="1:9" ht="25.5" hidden="1" outlineLevel="2">
      <c r="A116" s="850" t="s">
        <v>780</v>
      </c>
      <c r="B116" s="472" t="s">
        <v>3735</v>
      </c>
      <c r="C116" s="473"/>
      <c r="D116" s="472"/>
      <c r="E116" s="474">
        <v>599906035.00999999</v>
      </c>
      <c r="F116" s="474">
        <v>599906035.00999999</v>
      </c>
      <c r="G116" s="474">
        <v>514854599.39999998</v>
      </c>
      <c r="H116" s="474">
        <v>99226310.890000001</v>
      </c>
      <c r="I116" s="475">
        <v>16.54</v>
      </c>
    </row>
    <row r="117" spans="1:9" hidden="1" outlineLevel="3">
      <c r="A117" s="833" t="s">
        <v>3736</v>
      </c>
      <c r="B117" s="477" t="s">
        <v>3737</v>
      </c>
      <c r="C117" s="478"/>
      <c r="D117" s="477"/>
      <c r="E117" s="479">
        <v>599906035.00999999</v>
      </c>
      <c r="F117" s="479">
        <v>599906035.00999999</v>
      </c>
      <c r="G117" s="479">
        <v>514854599.39999998</v>
      </c>
      <c r="H117" s="479">
        <v>99226310.890000001</v>
      </c>
      <c r="I117" s="480">
        <v>16.54</v>
      </c>
    </row>
    <row r="118" spans="1:9" ht="25.5" hidden="1" outlineLevel="4">
      <c r="A118" s="832" t="s">
        <v>3736</v>
      </c>
      <c r="B118" s="482" t="s">
        <v>3737</v>
      </c>
      <c r="C118" s="831" t="s">
        <v>803</v>
      </c>
      <c r="D118" s="482" t="s">
        <v>804</v>
      </c>
      <c r="E118" s="484">
        <v>599906035.00999999</v>
      </c>
      <c r="F118" s="484">
        <v>599906035.00999999</v>
      </c>
      <c r="G118" s="484">
        <v>514854599.39999998</v>
      </c>
      <c r="H118" s="484">
        <v>99226310.890000001</v>
      </c>
      <c r="I118" s="480">
        <v>16.54</v>
      </c>
    </row>
    <row r="119" spans="1:9" ht="38.25" hidden="1" outlineLevel="2">
      <c r="A119" s="850" t="s">
        <v>3738</v>
      </c>
      <c r="B119" s="472" t="s">
        <v>3739</v>
      </c>
      <c r="C119" s="473"/>
      <c r="D119" s="472"/>
      <c r="E119" s="474">
        <v>1244548821.51</v>
      </c>
      <c r="F119" s="474">
        <v>1244548821.51</v>
      </c>
      <c r="G119" s="474">
        <v>659075054.75</v>
      </c>
      <c r="H119" s="474">
        <v>636141357.23000002</v>
      </c>
      <c r="I119" s="475">
        <v>51.11</v>
      </c>
    </row>
    <row r="120" spans="1:9" ht="76.5" hidden="1" outlineLevel="3">
      <c r="A120" s="833" t="s">
        <v>702</v>
      </c>
      <c r="B120" s="477" t="s">
        <v>3740</v>
      </c>
      <c r="C120" s="478"/>
      <c r="D120" s="477"/>
      <c r="E120" s="479">
        <v>40490363.119999997</v>
      </c>
      <c r="F120" s="479">
        <v>40490363.119999997</v>
      </c>
      <c r="G120" s="479">
        <v>15713359.869999999</v>
      </c>
      <c r="H120" s="479">
        <v>15713359.869999999</v>
      </c>
      <c r="I120" s="480">
        <v>38.81</v>
      </c>
    </row>
    <row r="121" spans="1:9" ht="76.5" hidden="1" outlineLevel="4">
      <c r="A121" s="832" t="s">
        <v>702</v>
      </c>
      <c r="B121" s="482" t="s">
        <v>3740</v>
      </c>
      <c r="C121" s="831" t="s">
        <v>704</v>
      </c>
      <c r="D121" s="482" t="s">
        <v>705</v>
      </c>
      <c r="E121" s="484">
        <v>40490363.119999997</v>
      </c>
      <c r="F121" s="484">
        <v>40490363.119999997</v>
      </c>
      <c r="G121" s="484">
        <v>15713359.869999999</v>
      </c>
      <c r="H121" s="484">
        <v>15713359.869999999</v>
      </c>
      <c r="I121" s="480">
        <v>38.81</v>
      </c>
    </row>
    <row r="122" spans="1:9" ht="25.5" hidden="1" outlineLevel="3">
      <c r="A122" s="833" t="s">
        <v>713</v>
      </c>
      <c r="B122" s="477" t="s">
        <v>3741</v>
      </c>
      <c r="C122" s="478"/>
      <c r="D122" s="477"/>
      <c r="E122" s="479">
        <v>506537860.25999999</v>
      </c>
      <c r="F122" s="479">
        <v>506537860.25999999</v>
      </c>
      <c r="G122" s="479">
        <v>197928193.75</v>
      </c>
      <c r="H122" s="479">
        <v>179352843.99000001</v>
      </c>
      <c r="I122" s="480">
        <v>35.409999999999997</v>
      </c>
    </row>
    <row r="123" spans="1:9" ht="25.5" hidden="1" outlineLevel="4">
      <c r="A123" s="832" t="s">
        <v>713</v>
      </c>
      <c r="B123" s="482" t="s">
        <v>3741</v>
      </c>
      <c r="C123" s="831" t="s">
        <v>803</v>
      </c>
      <c r="D123" s="482" t="s">
        <v>804</v>
      </c>
      <c r="E123" s="484">
        <v>506537860.25999999</v>
      </c>
      <c r="F123" s="484">
        <v>506537860.25999999</v>
      </c>
      <c r="G123" s="484">
        <v>197928193.75</v>
      </c>
      <c r="H123" s="484">
        <v>179352843.99000001</v>
      </c>
      <c r="I123" s="480">
        <v>35.409999999999997</v>
      </c>
    </row>
    <row r="124" spans="1:9" ht="38.25" hidden="1" outlineLevel="3">
      <c r="A124" s="833" t="s">
        <v>3726</v>
      </c>
      <c r="B124" s="477" t="s">
        <v>3742</v>
      </c>
      <c r="C124" s="478"/>
      <c r="D124" s="477"/>
      <c r="E124" s="479">
        <v>697520598.13</v>
      </c>
      <c r="F124" s="479">
        <v>697520598.13</v>
      </c>
      <c r="G124" s="479">
        <v>445433501.13</v>
      </c>
      <c r="H124" s="479">
        <v>441075153.37</v>
      </c>
      <c r="I124" s="480">
        <v>63.23</v>
      </c>
    </row>
    <row r="125" spans="1:9" ht="38.25" hidden="1" outlineLevel="4">
      <c r="A125" s="832" t="s">
        <v>3726</v>
      </c>
      <c r="B125" s="482" t="s">
        <v>3742</v>
      </c>
      <c r="C125" s="831" t="s">
        <v>704</v>
      </c>
      <c r="D125" s="482" t="s">
        <v>705</v>
      </c>
      <c r="E125" s="484">
        <v>353965223.97000003</v>
      </c>
      <c r="F125" s="484">
        <v>353965223.97000003</v>
      </c>
      <c r="G125" s="484">
        <v>173857638.88</v>
      </c>
      <c r="H125" s="484">
        <v>173857638.88</v>
      </c>
      <c r="I125" s="480">
        <v>49.12</v>
      </c>
    </row>
    <row r="126" spans="1:9" ht="38.25" hidden="1" outlineLevel="4">
      <c r="A126" s="832" t="s">
        <v>3726</v>
      </c>
      <c r="B126" s="482" t="s">
        <v>3742</v>
      </c>
      <c r="C126" s="831" t="s">
        <v>803</v>
      </c>
      <c r="D126" s="482" t="s">
        <v>804</v>
      </c>
      <c r="E126" s="484">
        <v>343555374.16000003</v>
      </c>
      <c r="F126" s="484">
        <v>343555374.16000003</v>
      </c>
      <c r="G126" s="484">
        <v>271575862.25</v>
      </c>
      <c r="H126" s="484">
        <v>267217514.49000001</v>
      </c>
      <c r="I126" s="480">
        <v>77.78</v>
      </c>
    </row>
    <row r="127" spans="1:9" ht="38.25" hidden="1" outlineLevel="1">
      <c r="A127" s="851" t="s">
        <v>814</v>
      </c>
      <c r="B127" s="467" t="s">
        <v>3743</v>
      </c>
      <c r="C127" s="468"/>
      <c r="D127" s="467"/>
      <c r="E127" s="469">
        <v>685667166.27999997</v>
      </c>
      <c r="F127" s="469">
        <v>685667166.27999997</v>
      </c>
      <c r="G127" s="469">
        <v>468982313.12</v>
      </c>
      <c r="H127" s="469">
        <v>463148030.95999998</v>
      </c>
      <c r="I127" s="470">
        <v>67.55</v>
      </c>
    </row>
    <row r="128" spans="1:9" ht="51" hidden="1" outlineLevel="2">
      <c r="A128" s="850" t="s">
        <v>3744</v>
      </c>
      <c r="B128" s="472" t="s">
        <v>3745</v>
      </c>
      <c r="C128" s="473"/>
      <c r="D128" s="472"/>
      <c r="E128" s="474">
        <v>437786279</v>
      </c>
      <c r="F128" s="474">
        <v>437786279</v>
      </c>
      <c r="G128" s="474">
        <v>299473614.08999997</v>
      </c>
      <c r="H128" s="474">
        <v>299468614.08999997</v>
      </c>
      <c r="I128" s="475">
        <v>68.41</v>
      </c>
    </row>
    <row r="129" spans="1:9" ht="76.5" hidden="1" outlineLevel="3">
      <c r="A129" s="833" t="s">
        <v>702</v>
      </c>
      <c r="B129" s="477" t="s">
        <v>3746</v>
      </c>
      <c r="C129" s="478"/>
      <c r="D129" s="477"/>
      <c r="E129" s="479">
        <v>134935790</v>
      </c>
      <c r="F129" s="479">
        <v>134935790</v>
      </c>
      <c r="G129" s="479">
        <v>91744200.439999998</v>
      </c>
      <c r="H129" s="479">
        <v>91744200.439999998</v>
      </c>
      <c r="I129" s="480">
        <v>67.989999999999995</v>
      </c>
    </row>
    <row r="130" spans="1:9" ht="76.5" hidden="1" outlineLevel="4">
      <c r="A130" s="832" t="s">
        <v>702</v>
      </c>
      <c r="B130" s="482" t="s">
        <v>3746</v>
      </c>
      <c r="C130" s="831" t="s">
        <v>704</v>
      </c>
      <c r="D130" s="482" t="s">
        <v>705</v>
      </c>
      <c r="E130" s="484">
        <v>134935790</v>
      </c>
      <c r="F130" s="484">
        <v>134935790</v>
      </c>
      <c r="G130" s="484">
        <v>91744200.439999998</v>
      </c>
      <c r="H130" s="484">
        <v>91744200.439999998</v>
      </c>
      <c r="I130" s="480">
        <v>67.989999999999995</v>
      </c>
    </row>
    <row r="131" spans="1:9" ht="51" hidden="1" outlineLevel="3">
      <c r="A131" s="833" t="s">
        <v>3747</v>
      </c>
      <c r="B131" s="477" t="s">
        <v>3748</v>
      </c>
      <c r="C131" s="478"/>
      <c r="D131" s="477"/>
      <c r="E131" s="479">
        <v>1440000</v>
      </c>
      <c r="F131" s="479">
        <v>1440000</v>
      </c>
      <c r="G131" s="479">
        <v>294000</v>
      </c>
      <c r="H131" s="479">
        <v>294000</v>
      </c>
      <c r="I131" s="480">
        <v>20.420000000000002</v>
      </c>
    </row>
    <row r="132" spans="1:9" ht="51" hidden="1" outlineLevel="4">
      <c r="A132" s="832" t="s">
        <v>3747</v>
      </c>
      <c r="B132" s="482" t="s">
        <v>3748</v>
      </c>
      <c r="C132" s="831" t="s">
        <v>704</v>
      </c>
      <c r="D132" s="482" t="s">
        <v>705</v>
      </c>
      <c r="E132" s="484">
        <v>1440000</v>
      </c>
      <c r="F132" s="484">
        <v>1440000</v>
      </c>
      <c r="G132" s="484">
        <v>294000</v>
      </c>
      <c r="H132" s="484">
        <v>294000</v>
      </c>
      <c r="I132" s="480">
        <v>20.420000000000002</v>
      </c>
    </row>
    <row r="133" spans="1:9" ht="51" hidden="1" outlineLevel="3">
      <c r="A133" s="833" t="s">
        <v>3749</v>
      </c>
      <c r="B133" s="477" t="s">
        <v>3750</v>
      </c>
      <c r="C133" s="478"/>
      <c r="D133" s="477"/>
      <c r="E133" s="479">
        <v>4138400</v>
      </c>
      <c r="F133" s="479">
        <v>4138400</v>
      </c>
      <c r="G133" s="479">
        <v>151705.4</v>
      </c>
      <c r="H133" s="479">
        <v>151705.4</v>
      </c>
      <c r="I133" s="480">
        <v>3.67</v>
      </c>
    </row>
    <row r="134" spans="1:9" ht="51" hidden="1" outlineLevel="4">
      <c r="A134" s="832" t="s">
        <v>3749</v>
      </c>
      <c r="B134" s="482" t="s">
        <v>3750</v>
      </c>
      <c r="C134" s="831" t="s">
        <v>704</v>
      </c>
      <c r="D134" s="482" t="s">
        <v>705</v>
      </c>
      <c r="E134" s="484">
        <v>4138400</v>
      </c>
      <c r="F134" s="484">
        <v>4138400</v>
      </c>
      <c r="G134" s="484">
        <v>151705.4</v>
      </c>
      <c r="H134" s="484">
        <v>151705.4</v>
      </c>
      <c r="I134" s="480">
        <v>3.67</v>
      </c>
    </row>
    <row r="135" spans="1:9" ht="63.75" hidden="1" outlineLevel="3">
      <c r="A135" s="833" t="s">
        <v>3751</v>
      </c>
      <c r="B135" s="477" t="s">
        <v>3752</v>
      </c>
      <c r="C135" s="478"/>
      <c r="D135" s="477"/>
      <c r="E135" s="479">
        <v>100000</v>
      </c>
      <c r="F135" s="479">
        <v>100000</v>
      </c>
      <c r="G135" s="479">
        <v>36193.54</v>
      </c>
      <c r="H135" s="479">
        <v>36193.54</v>
      </c>
      <c r="I135" s="480">
        <v>36.19</v>
      </c>
    </row>
    <row r="136" spans="1:9" ht="63.75" hidden="1" outlineLevel="4">
      <c r="A136" s="832" t="s">
        <v>3751</v>
      </c>
      <c r="B136" s="482" t="s">
        <v>3752</v>
      </c>
      <c r="C136" s="831" t="s">
        <v>704</v>
      </c>
      <c r="D136" s="482" t="s">
        <v>705</v>
      </c>
      <c r="E136" s="484">
        <v>100000</v>
      </c>
      <c r="F136" s="484">
        <v>100000</v>
      </c>
      <c r="G136" s="484">
        <v>36193.54</v>
      </c>
      <c r="H136" s="484">
        <v>36193.54</v>
      </c>
      <c r="I136" s="480">
        <v>36.19</v>
      </c>
    </row>
    <row r="137" spans="1:9" ht="89.25" hidden="1" outlineLevel="3">
      <c r="A137" s="833" t="s">
        <v>3753</v>
      </c>
      <c r="B137" s="477" t="s">
        <v>3754</v>
      </c>
      <c r="C137" s="478"/>
      <c r="D137" s="477"/>
      <c r="E137" s="479">
        <v>28980600</v>
      </c>
      <c r="F137" s="479">
        <v>28980600</v>
      </c>
      <c r="G137" s="479">
        <v>13585407</v>
      </c>
      <c r="H137" s="479">
        <v>13585407</v>
      </c>
      <c r="I137" s="480">
        <v>46.88</v>
      </c>
    </row>
    <row r="138" spans="1:9" ht="89.25" hidden="1" outlineLevel="4">
      <c r="A138" s="832" t="s">
        <v>3753</v>
      </c>
      <c r="B138" s="482" t="s">
        <v>3754</v>
      </c>
      <c r="C138" s="831" t="s">
        <v>704</v>
      </c>
      <c r="D138" s="482" t="s">
        <v>705</v>
      </c>
      <c r="E138" s="484">
        <v>28980600</v>
      </c>
      <c r="F138" s="484">
        <v>28980600</v>
      </c>
      <c r="G138" s="484">
        <v>13585407</v>
      </c>
      <c r="H138" s="484">
        <v>13585407</v>
      </c>
      <c r="I138" s="480">
        <v>46.88</v>
      </c>
    </row>
    <row r="139" spans="1:9" ht="76.5" hidden="1" outlineLevel="3">
      <c r="A139" s="833" t="s">
        <v>3755</v>
      </c>
      <c r="B139" s="477" t="s">
        <v>3756</v>
      </c>
      <c r="C139" s="478"/>
      <c r="D139" s="477"/>
      <c r="E139" s="479">
        <v>10080000</v>
      </c>
      <c r="F139" s="479">
        <v>10080000</v>
      </c>
      <c r="G139" s="479">
        <v>5523854.5</v>
      </c>
      <c r="H139" s="479">
        <v>5518854.5</v>
      </c>
      <c r="I139" s="480">
        <v>54.75</v>
      </c>
    </row>
    <row r="140" spans="1:9" ht="76.5" hidden="1" outlineLevel="4">
      <c r="A140" s="832" t="s">
        <v>3755</v>
      </c>
      <c r="B140" s="482" t="s">
        <v>3756</v>
      </c>
      <c r="C140" s="831" t="s">
        <v>704</v>
      </c>
      <c r="D140" s="482" t="s">
        <v>705</v>
      </c>
      <c r="E140" s="484">
        <v>10080000</v>
      </c>
      <c r="F140" s="484">
        <v>10080000</v>
      </c>
      <c r="G140" s="484">
        <v>5523854.5</v>
      </c>
      <c r="H140" s="484">
        <v>5518854.5</v>
      </c>
      <c r="I140" s="480">
        <v>54.75</v>
      </c>
    </row>
    <row r="141" spans="1:9" ht="63.75" hidden="1" outlineLevel="3">
      <c r="A141" s="833" t="s">
        <v>62</v>
      </c>
      <c r="B141" s="477" t="s">
        <v>3757</v>
      </c>
      <c r="C141" s="478"/>
      <c r="D141" s="477"/>
      <c r="E141" s="479">
        <v>32928309.579999998</v>
      </c>
      <c r="F141" s="479">
        <v>32928309.579999998</v>
      </c>
      <c r="G141" s="479">
        <v>22944957.809999999</v>
      </c>
      <c r="H141" s="479">
        <v>22944957.809999999</v>
      </c>
      <c r="I141" s="480">
        <v>69.680000000000007</v>
      </c>
    </row>
    <row r="142" spans="1:9" ht="63.75" hidden="1" outlineLevel="4">
      <c r="A142" s="832" t="s">
        <v>62</v>
      </c>
      <c r="B142" s="482" t="s">
        <v>3757</v>
      </c>
      <c r="C142" s="831" t="s">
        <v>704</v>
      </c>
      <c r="D142" s="482" t="s">
        <v>705</v>
      </c>
      <c r="E142" s="484">
        <v>32928309.579999998</v>
      </c>
      <c r="F142" s="484">
        <v>32928309.579999998</v>
      </c>
      <c r="G142" s="484">
        <v>22944957.809999999</v>
      </c>
      <c r="H142" s="484">
        <v>22944957.809999999</v>
      </c>
      <c r="I142" s="480">
        <v>69.680000000000007</v>
      </c>
    </row>
    <row r="143" spans="1:9" ht="76.5" hidden="1" outlineLevel="3">
      <c r="A143" s="833" t="s">
        <v>156</v>
      </c>
      <c r="B143" s="477" t="s">
        <v>3758</v>
      </c>
      <c r="C143" s="478"/>
      <c r="D143" s="477"/>
      <c r="E143" s="479">
        <v>430261.42</v>
      </c>
      <c r="F143" s="479">
        <v>430261.42</v>
      </c>
      <c r="G143" s="479">
        <v>310261.42</v>
      </c>
      <c r="H143" s="479">
        <v>310261.42</v>
      </c>
      <c r="I143" s="480">
        <v>72.11</v>
      </c>
    </row>
    <row r="144" spans="1:9" ht="76.5" hidden="1" outlineLevel="4">
      <c r="A144" s="832" t="s">
        <v>156</v>
      </c>
      <c r="B144" s="482" t="s">
        <v>3758</v>
      </c>
      <c r="C144" s="831" t="s">
        <v>704</v>
      </c>
      <c r="D144" s="482" t="s">
        <v>705</v>
      </c>
      <c r="E144" s="484">
        <v>430261.42</v>
      </c>
      <c r="F144" s="484">
        <v>430261.42</v>
      </c>
      <c r="G144" s="484">
        <v>310261.42</v>
      </c>
      <c r="H144" s="484">
        <v>310261.42</v>
      </c>
      <c r="I144" s="480">
        <v>72.11</v>
      </c>
    </row>
    <row r="145" spans="1:9" ht="140.25" hidden="1" outlineLevel="3">
      <c r="A145" s="833" t="s">
        <v>3759</v>
      </c>
      <c r="B145" s="477" t="s">
        <v>3760</v>
      </c>
      <c r="C145" s="478"/>
      <c r="D145" s="477"/>
      <c r="E145" s="479">
        <v>33872859</v>
      </c>
      <c r="F145" s="479">
        <v>33872859</v>
      </c>
      <c r="G145" s="479">
        <v>21088839.449999999</v>
      </c>
      <c r="H145" s="479">
        <v>21088839.449999999</v>
      </c>
      <c r="I145" s="480">
        <v>62.26</v>
      </c>
    </row>
    <row r="146" spans="1:9" ht="140.25" hidden="1" outlineLevel="4">
      <c r="A146" s="832" t="s">
        <v>3759</v>
      </c>
      <c r="B146" s="482" t="s">
        <v>3760</v>
      </c>
      <c r="C146" s="831" t="s">
        <v>704</v>
      </c>
      <c r="D146" s="482" t="s">
        <v>705</v>
      </c>
      <c r="E146" s="484">
        <v>33872859</v>
      </c>
      <c r="F146" s="484">
        <v>33872859</v>
      </c>
      <c r="G146" s="484">
        <v>21088839.449999999</v>
      </c>
      <c r="H146" s="484">
        <v>21088839.449999999</v>
      </c>
      <c r="I146" s="480">
        <v>62.26</v>
      </c>
    </row>
    <row r="147" spans="1:9" ht="140.25" hidden="1" outlineLevel="3">
      <c r="A147" s="833" t="s">
        <v>3761</v>
      </c>
      <c r="B147" s="477" t="s">
        <v>3762</v>
      </c>
      <c r="C147" s="478"/>
      <c r="D147" s="477"/>
      <c r="E147" s="479">
        <v>568603</v>
      </c>
      <c r="F147" s="479">
        <v>568603</v>
      </c>
      <c r="G147" s="479">
        <v>346370.61</v>
      </c>
      <c r="H147" s="479">
        <v>346370.61</v>
      </c>
      <c r="I147" s="480">
        <v>60.92</v>
      </c>
    </row>
    <row r="148" spans="1:9" ht="140.25" hidden="1" outlineLevel="4">
      <c r="A148" s="832" t="s">
        <v>3761</v>
      </c>
      <c r="B148" s="482" t="s">
        <v>3762</v>
      </c>
      <c r="C148" s="831" t="s">
        <v>704</v>
      </c>
      <c r="D148" s="482" t="s">
        <v>705</v>
      </c>
      <c r="E148" s="484">
        <v>568603</v>
      </c>
      <c r="F148" s="484">
        <v>568603</v>
      </c>
      <c r="G148" s="484">
        <v>346370.61</v>
      </c>
      <c r="H148" s="484">
        <v>346370.61</v>
      </c>
      <c r="I148" s="480">
        <v>60.92</v>
      </c>
    </row>
    <row r="149" spans="1:9" ht="25.5" hidden="1" outlineLevel="3">
      <c r="A149" s="833" t="s">
        <v>724</v>
      </c>
      <c r="B149" s="477" t="s">
        <v>3763</v>
      </c>
      <c r="C149" s="478"/>
      <c r="D149" s="477"/>
      <c r="E149" s="479">
        <v>158311456</v>
      </c>
      <c r="F149" s="479">
        <v>158311456</v>
      </c>
      <c r="G149" s="479">
        <v>130447823.92</v>
      </c>
      <c r="H149" s="479">
        <v>130447823.92</v>
      </c>
      <c r="I149" s="480">
        <v>82.4</v>
      </c>
    </row>
    <row r="150" spans="1:9" ht="25.5" hidden="1" outlineLevel="4">
      <c r="A150" s="832" t="s">
        <v>724</v>
      </c>
      <c r="B150" s="482" t="s">
        <v>3763</v>
      </c>
      <c r="C150" s="831" t="s">
        <v>704</v>
      </c>
      <c r="D150" s="482" t="s">
        <v>705</v>
      </c>
      <c r="E150" s="484">
        <v>158311456</v>
      </c>
      <c r="F150" s="484">
        <v>158311456</v>
      </c>
      <c r="G150" s="484">
        <v>130447823.92</v>
      </c>
      <c r="H150" s="484">
        <v>130447823.92</v>
      </c>
      <c r="I150" s="480">
        <v>82.4</v>
      </c>
    </row>
    <row r="151" spans="1:9" ht="127.5" hidden="1" outlineLevel="3">
      <c r="A151" s="833" t="s">
        <v>3764</v>
      </c>
      <c r="B151" s="477" t="s">
        <v>3765</v>
      </c>
      <c r="C151" s="478"/>
      <c r="D151" s="477"/>
      <c r="E151" s="479">
        <v>32000000</v>
      </c>
      <c r="F151" s="479">
        <v>32000000</v>
      </c>
      <c r="G151" s="479">
        <v>13000000</v>
      </c>
      <c r="H151" s="479">
        <v>13000000</v>
      </c>
      <c r="I151" s="480">
        <v>40.630000000000003</v>
      </c>
    </row>
    <row r="152" spans="1:9" ht="127.5" hidden="1" outlineLevel="4">
      <c r="A152" s="832" t="s">
        <v>3764</v>
      </c>
      <c r="B152" s="482" t="s">
        <v>3765</v>
      </c>
      <c r="C152" s="831" t="s">
        <v>704</v>
      </c>
      <c r="D152" s="482" t="s">
        <v>705</v>
      </c>
      <c r="E152" s="484">
        <v>32000000</v>
      </c>
      <c r="F152" s="484">
        <v>32000000</v>
      </c>
      <c r="G152" s="484">
        <v>13000000</v>
      </c>
      <c r="H152" s="484">
        <v>13000000</v>
      </c>
      <c r="I152" s="480">
        <v>40.630000000000003</v>
      </c>
    </row>
    <row r="153" spans="1:9" ht="76.5" hidden="1" outlineLevel="2">
      <c r="A153" s="850" t="s">
        <v>3766</v>
      </c>
      <c r="B153" s="472" t="s">
        <v>3767</v>
      </c>
      <c r="C153" s="473"/>
      <c r="D153" s="472"/>
      <c r="E153" s="474">
        <v>3184878</v>
      </c>
      <c r="F153" s="474">
        <v>3184878</v>
      </c>
      <c r="G153" s="474">
        <v>2286516</v>
      </c>
      <c r="H153" s="474">
        <v>2286516</v>
      </c>
      <c r="I153" s="475">
        <v>71.790000000000006</v>
      </c>
    </row>
    <row r="154" spans="1:9" ht="76.5" hidden="1" outlineLevel="3">
      <c r="A154" s="833" t="s">
        <v>702</v>
      </c>
      <c r="B154" s="477" t="s">
        <v>3768</v>
      </c>
      <c r="C154" s="478"/>
      <c r="D154" s="477"/>
      <c r="E154" s="479">
        <v>3184878</v>
      </c>
      <c r="F154" s="479">
        <v>3184878</v>
      </c>
      <c r="G154" s="479">
        <v>2286516</v>
      </c>
      <c r="H154" s="479">
        <v>2286516</v>
      </c>
      <c r="I154" s="480">
        <v>71.790000000000006</v>
      </c>
    </row>
    <row r="155" spans="1:9" ht="76.5" hidden="1" outlineLevel="4">
      <c r="A155" s="832" t="s">
        <v>702</v>
      </c>
      <c r="B155" s="482" t="s">
        <v>3768</v>
      </c>
      <c r="C155" s="831" t="s">
        <v>704</v>
      </c>
      <c r="D155" s="482" t="s">
        <v>705</v>
      </c>
      <c r="E155" s="484">
        <v>3184878</v>
      </c>
      <c r="F155" s="484">
        <v>3184878</v>
      </c>
      <c r="G155" s="484">
        <v>2286516</v>
      </c>
      <c r="H155" s="484">
        <v>2286516</v>
      </c>
      <c r="I155" s="480">
        <v>71.790000000000006</v>
      </c>
    </row>
    <row r="156" spans="1:9" ht="51" hidden="1" outlineLevel="2">
      <c r="A156" s="850" t="s">
        <v>826</v>
      </c>
      <c r="B156" s="472" t="s">
        <v>3769</v>
      </c>
      <c r="C156" s="473"/>
      <c r="D156" s="472"/>
      <c r="E156" s="474">
        <v>244696009.28</v>
      </c>
      <c r="F156" s="474">
        <v>244696009.28</v>
      </c>
      <c r="G156" s="474">
        <v>167222183.03</v>
      </c>
      <c r="H156" s="474">
        <v>161392900.87</v>
      </c>
      <c r="I156" s="475">
        <v>65.959999999999994</v>
      </c>
    </row>
    <row r="157" spans="1:9" ht="51" hidden="1" outlineLevel="3">
      <c r="A157" s="833" t="s">
        <v>829</v>
      </c>
      <c r="B157" s="477" t="s">
        <v>3770</v>
      </c>
      <c r="C157" s="478"/>
      <c r="D157" s="477"/>
      <c r="E157" s="479">
        <v>112000000</v>
      </c>
      <c r="F157" s="479">
        <v>112000000</v>
      </c>
      <c r="G157" s="479">
        <v>73000000</v>
      </c>
      <c r="H157" s="479">
        <v>67370698.120000005</v>
      </c>
      <c r="I157" s="480">
        <v>60.15</v>
      </c>
    </row>
    <row r="158" spans="1:9" ht="51" hidden="1" outlineLevel="4">
      <c r="A158" s="832" t="s">
        <v>829</v>
      </c>
      <c r="B158" s="482" t="s">
        <v>3770</v>
      </c>
      <c r="C158" s="831" t="s">
        <v>704</v>
      </c>
      <c r="D158" s="482" t="s">
        <v>705</v>
      </c>
      <c r="E158" s="484">
        <v>112000000</v>
      </c>
      <c r="F158" s="484">
        <v>112000000</v>
      </c>
      <c r="G158" s="484">
        <v>73000000</v>
      </c>
      <c r="H158" s="484">
        <v>67370698.120000005</v>
      </c>
      <c r="I158" s="480">
        <v>60.15</v>
      </c>
    </row>
    <row r="159" spans="1:9" ht="63.75" hidden="1" outlineLevel="3">
      <c r="A159" s="833" t="s">
        <v>831</v>
      </c>
      <c r="B159" s="477" t="s">
        <v>3771</v>
      </c>
      <c r="C159" s="478"/>
      <c r="D159" s="477"/>
      <c r="E159" s="479">
        <v>7280980.2800000003</v>
      </c>
      <c r="F159" s="479">
        <v>7280980.2800000003</v>
      </c>
      <c r="G159" s="479">
        <v>5165980.28</v>
      </c>
      <c r="H159" s="479">
        <v>5145000</v>
      </c>
      <c r="I159" s="480">
        <v>70.66</v>
      </c>
    </row>
    <row r="160" spans="1:9" ht="63.75" hidden="1" outlineLevel="4">
      <c r="A160" s="832" t="s">
        <v>831</v>
      </c>
      <c r="B160" s="482" t="s">
        <v>3771</v>
      </c>
      <c r="C160" s="831" t="s">
        <v>704</v>
      </c>
      <c r="D160" s="482" t="s">
        <v>705</v>
      </c>
      <c r="E160" s="484">
        <v>7280980.2800000003</v>
      </c>
      <c r="F160" s="484">
        <v>7280980.2800000003</v>
      </c>
      <c r="G160" s="484">
        <v>5165980.28</v>
      </c>
      <c r="H160" s="484">
        <v>5145000</v>
      </c>
      <c r="I160" s="480">
        <v>70.66</v>
      </c>
    </row>
    <row r="161" spans="1:9" ht="51" hidden="1" outlineLevel="3">
      <c r="A161" s="833" t="s">
        <v>833</v>
      </c>
      <c r="B161" s="477" t="s">
        <v>3772</v>
      </c>
      <c r="C161" s="478"/>
      <c r="D161" s="477"/>
      <c r="E161" s="479">
        <v>13000000</v>
      </c>
      <c r="F161" s="479">
        <v>13000000</v>
      </c>
      <c r="G161" s="479">
        <v>2000000</v>
      </c>
      <c r="H161" s="479">
        <v>2000000</v>
      </c>
      <c r="I161" s="480">
        <v>15.38</v>
      </c>
    </row>
    <row r="162" spans="1:9" ht="51" hidden="1" outlineLevel="4">
      <c r="A162" s="832" t="s">
        <v>833</v>
      </c>
      <c r="B162" s="482" t="s">
        <v>3772</v>
      </c>
      <c r="C162" s="831" t="s">
        <v>704</v>
      </c>
      <c r="D162" s="482" t="s">
        <v>705</v>
      </c>
      <c r="E162" s="484">
        <v>13000000</v>
      </c>
      <c r="F162" s="484">
        <v>13000000</v>
      </c>
      <c r="G162" s="484">
        <v>2000000</v>
      </c>
      <c r="H162" s="484">
        <v>2000000</v>
      </c>
      <c r="I162" s="480">
        <v>15.38</v>
      </c>
    </row>
    <row r="163" spans="1:9" ht="63.75" hidden="1" outlineLevel="3">
      <c r="A163" s="833" t="s">
        <v>3773</v>
      </c>
      <c r="B163" s="477" t="s">
        <v>3774</v>
      </c>
      <c r="C163" s="478"/>
      <c r="D163" s="477"/>
      <c r="E163" s="479">
        <v>16452000</v>
      </c>
      <c r="F163" s="479">
        <v>16452000</v>
      </c>
      <c r="G163" s="479">
        <v>11118000</v>
      </c>
      <c r="H163" s="479">
        <v>11004000</v>
      </c>
      <c r="I163" s="480">
        <v>66.89</v>
      </c>
    </row>
    <row r="164" spans="1:9" ht="63.75" hidden="1" outlineLevel="4">
      <c r="A164" s="832" t="s">
        <v>3773</v>
      </c>
      <c r="B164" s="482" t="s">
        <v>3774</v>
      </c>
      <c r="C164" s="831" t="s">
        <v>704</v>
      </c>
      <c r="D164" s="482" t="s">
        <v>705</v>
      </c>
      <c r="E164" s="484">
        <v>16452000</v>
      </c>
      <c r="F164" s="484">
        <v>16452000</v>
      </c>
      <c r="G164" s="484">
        <v>11118000</v>
      </c>
      <c r="H164" s="484">
        <v>11004000</v>
      </c>
      <c r="I164" s="480">
        <v>66.89</v>
      </c>
    </row>
    <row r="165" spans="1:9" ht="63.75" hidden="1" outlineLevel="3">
      <c r="A165" s="833" t="s">
        <v>3775</v>
      </c>
      <c r="B165" s="477" t="s">
        <v>3776</v>
      </c>
      <c r="C165" s="478"/>
      <c r="D165" s="477"/>
      <c r="E165" s="479">
        <v>8160000</v>
      </c>
      <c r="F165" s="479">
        <v>8160000</v>
      </c>
      <c r="G165" s="479">
        <v>5205000</v>
      </c>
      <c r="H165" s="479">
        <v>5140000</v>
      </c>
      <c r="I165" s="480">
        <v>62.99</v>
      </c>
    </row>
    <row r="166" spans="1:9" ht="63.75" hidden="1" outlineLevel="4">
      <c r="A166" s="832" t="s">
        <v>3775</v>
      </c>
      <c r="B166" s="482" t="s">
        <v>3776</v>
      </c>
      <c r="C166" s="831" t="s">
        <v>704</v>
      </c>
      <c r="D166" s="482" t="s">
        <v>705</v>
      </c>
      <c r="E166" s="484">
        <v>8160000</v>
      </c>
      <c r="F166" s="484">
        <v>8160000</v>
      </c>
      <c r="G166" s="484">
        <v>5205000</v>
      </c>
      <c r="H166" s="484">
        <v>5140000</v>
      </c>
      <c r="I166" s="480">
        <v>62.99</v>
      </c>
    </row>
    <row r="167" spans="1:9" ht="63.75" hidden="1" outlineLevel="3">
      <c r="A167" s="833" t="s">
        <v>3777</v>
      </c>
      <c r="B167" s="477" t="s">
        <v>3778</v>
      </c>
      <c r="C167" s="478"/>
      <c r="D167" s="477"/>
      <c r="E167" s="479">
        <v>44550000</v>
      </c>
      <c r="F167" s="479">
        <v>44550000</v>
      </c>
      <c r="G167" s="479">
        <v>39129985.5</v>
      </c>
      <c r="H167" s="479">
        <v>39129985.5</v>
      </c>
      <c r="I167" s="480">
        <v>87.83</v>
      </c>
    </row>
    <row r="168" spans="1:9" ht="63.75" hidden="1" outlineLevel="4">
      <c r="A168" s="832" t="s">
        <v>3777</v>
      </c>
      <c r="B168" s="482" t="s">
        <v>3778</v>
      </c>
      <c r="C168" s="831" t="s">
        <v>704</v>
      </c>
      <c r="D168" s="482" t="s">
        <v>705</v>
      </c>
      <c r="E168" s="484">
        <v>44550000</v>
      </c>
      <c r="F168" s="484">
        <v>44550000</v>
      </c>
      <c r="G168" s="484">
        <v>39129985.5</v>
      </c>
      <c r="H168" s="484">
        <v>39129985.5</v>
      </c>
      <c r="I168" s="480">
        <v>87.83</v>
      </c>
    </row>
    <row r="169" spans="1:9" ht="38.25" hidden="1" outlineLevel="3">
      <c r="A169" s="833" t="s">
        <v>847</v>
      </c>
      <c r="B169" s="477" t="s">
        <v>3779</v>
      </c>
      <c r="C169" s="478"/>
      <c r="D169" s="477"/>
      <c r="E169" s="479">
        <v>42936720</v>
      </c>
      <c r="F169" s="479">
        <v>42936720</v>
      </c>
      <c r="G169" s="479">
        <v>31483217.25</v>
      </c>
      <c r="H169" s="479">
        <v>31483217.25</v>
      </c>
      <c r="I169" s="480">
        <v>73.319999999999993</v>
      </c>
    </row>
    <row r="170" spans="1:9" ht="38.25" hidden="1" outlineLevel="4">
      <c r="A170" s="832" t="s">
        <v>847</v>
      </c>
      <c r="B170" s="482" t="s">
        <v>3779</v>
      </c>
      <c r="C170" s="831" t="s">
        <v>704</v>
      </c>
      <c r="D170" s="482" t="s">
        <v>705</v>
      </c>
      <c r="E170" s="484">
        <v>42936720</v>
      </c>
      <c r="F170" s="484">
        <v>42936720</v>
      </c>
      <c r="G170" s="484">
        <v>31483217.25</v>
      </c>
      <c r="H170" s="484">
        <v>31483217.25</v>
      </c>
      <c r="I170" s="480">
        <v>73.319999999999993</v>
      </c>
    </row>
    <row r="171" spans="1:9" ht="25.5" hidden="1" outlineLevel="3">
      <c r="A171" s="833" t="s">
        <v>713</v>
      </c>
      <c r="B171" s="477" t="s">
        <v>3780</v>
      </c>
      <c r="C171" s="478"/>
      <c r="D171" s="477"/>
      <c r="E171" s="479">
        <v>316309</v>
      </c>
      <c r="F171" s="479">
        <v>316309</v>
      </c>
      <c r="G171" s="479">
        <v>120000</v>
      </c>
      <c r="H171" s="479">
        <v>120000</v>
      </c>
      <c r="I171" s="480">
        <v>37.94</v>
      </c>
    </row>
    <row r="172" spans="1:9" ht="25.5" hidden="1" outlineLevel="4">
      <c r="A172" s="832" t="s">
        <v>713</v>
      </c>
      <c r="B172" s="482" t="s">
        <v>3780</v>
      </c>
      <c r="C172" s="831" t="s">
        <v>704</v>
      </c>
      <c r="D172" s="482" t="s">
        <v>705</v>
      </c>
      <c r="E172" s="484">
        <v>316309</v>
      </c>
      <c r="F172" s="484">
        <v>316309</v>
      </c>
      <c r="G172" s="484">
        <v>120000</v>
      </c>
      <c r="H172" s="484">
        <v>120000</v>
      </c>
      <c r="I172" s="480">
        <v>37.94</v>
      </c>
    </row>
    <row r="173" spans="1:9" ht="25.5" hidden="1" outlineLevel="1">
      <c r="A173" s="851" t="s">
        <v>850</v>
      </c>
      <c r="B173" s="467" t="s">
        <v>3781</v>
      </c>
      <c r="C173" s="468"/>
      <c r="D173" s="467"/>
      <c r="E173" s="469">
        <v>366525557.88</v>
      </c>
      <c r="F173" s="469">
        <v>366525557.88</v>
      </c>
      <c r="G173" s="469">
        <v>175069338.09999999</v>
      </c>
      <c r="H173" s="469">
        <v>172550833.5</v>
      </c>
      <c r="I173" s="470">
        <v>47.08</v>
      </c>
    </row>
    <row r="174" spans="1:9" ht="63.75" hidden="1" outlineLevel="2">
      <c r="A174" s="850" t="s">
        <v>3782</v>
      </c>
      <c r="B174" s="472" t="s">
        <v>3783</v>
      </c>
      <c r="C174" s="473"/>
      <c r="D174" s="472"/>
      <c r="E174" s="474">
        <v>204144425.31999999</v>
      </c>
      <c r="F174" s="474">
        <v>204144425.31999999</v>
      </c>
      <c r="G174" s="474">
        <v>91940843.239999995</v>
      </c>
      <c r="H174" s="474">
        <v>91940843.239999995</v>
      </c>
      <c r="I174" s="475">
        <v>45.04</v>
      </c>
    </row>
    <row r="175" spans="1:9" ht="38.25" hidden="1" outlineLevel="3">
      <c r="A175" s="833" t="s">
        <v>854</v>
      </c>
      <c r="B175" s="477" t="s">
        <v>3784</v>
      </c>
      <c r="C175" s="478"/>
      <c r="D175" s="477"/>
      <c r="E175" s="479">
        <v>1210000</v>
      </c>
      <c r="F175" s="479">
        <v>1210000</v>
      </c>
      <c r="G175" s="479">
        <v>270887</v>
      </c>
      <c r="H175" s="479">
        <v>270887</v>
      </c>
      <c r="I175" s="480">
        <v>22.39</v>
      </c>
    </row>
    <row r="176" spans="1:9" ht="38.25" hidden="1" outlineLevel="4">
      <c r="A176" s="832" t="s">
        <v>854</v>
      </c>
      <c r="B176" s="482" t="s">
        <v>3784</v>
      </c>
      <c r="C176" s="831" t="s">
        <v>704</v>
      </c>
      <c r="D176" s="482" t="s">
        <v>705</v>
      </c>
      <c r="E176" s="484">
        <v>1210000</v>
      </c>
      <c r="F176" s="484">
        <v>1210000</v>
      </c>
      <c r="G176" s="484">
        <v>270887</v>
      </c>
      <c r="H176" s="484">
        <v>270887</v>
      </c>
      <c r="I176" s="480">
        <v>22.39</v>
      </c>
    </row>
    <row r="177" spans="1:9" ht="76.5" hidden="1" outlineLevel="3">
      <c r="A177" s="833" t="s">
        <v>702</v>
      </c>
      <c r="B177" s="477" t="s">
        <v>3785</v>
      </c>
      <c r="C177" s="478"/>
      <c r="D177" s="477"/>
      <c r="E177" s="479">
        <v>109060795.31999999</v>
      </c>
      <c r="F177" s="479">
        <v>109060795.31999999</v>
      </c>
      <c r="G177" s="479">
        <v>76540279</v>
      </c>
      <c r="H177" s="479">
        <v>76540279</v>
      </c>
      <c r="I177" s="480">
        <v>70.180000000000007</v>
      </c>
    </row>
    <row r="178" spans="1:9" ht="76.5" hidden="1" outlineLevel="4">
      <c r="A178" s="832" t="s">
        <v>702</v>
      </c>
      <c r="B178" s="482" t="s">
        <v>3785</v>
      </c>
      <c r="C178" s="831" t="s">
        <v>704</v>
      </c>
      <c r="D178" s="482" t="s">
        <v>705</v>
      </c>
      <c r="E178" s="484">
        <v>109060795.31999999</v>
      </c>
      <c r="F178" s="484">
        <v>109060795.31999999</v>
      </c>
      <c r="G178" s="484">
        <v>76540279</v>
      </c>
      <c r="H178" s="484">
        <v>76540279</v>
      </c>
      <c r="I178" s="480">
        <v>70.180000000000007</v>
      </c>
    </row>
    <row r="179" spans="1:9" ht="51" hidden="1" outlineLevel="3">
      <c r="A179" s="833" t="s">
        <v>861</v>
      </c>
      <c r="B179" s="477" t="s">
        <v>3786</v>
      </c>
      <c r="C179" s="478"/>
      <c r="D179" s="477"/>
      <c r="E179" s="479">
        <v>93873630</v>
      </c>
      <c r="F179" s="479">
        <v>93873630</v>
      </c>
      <c r="G179" s="479">
        <v>15129677.24</v>
      </c>
      <c r="H179" s="479">
        <v>15129677.24</v>
      </c>
      <c r="I179" s="480">
        <v>16.12</v>
      </c>
    </row>
    <row r="180" spans="1:9" ht="51" hidden="1" outlineLevel="4">
      <c r="A180" s="832" t="s">
        <v>861</v>
      </c>
      <c r="B180" s="482" t="s">
        <v>3786</v>
      </c>
      <c r="C180" s="831" t="s">
        <v>704</v>
      </c>
      <c r="D180" s="482" t="s">
        <v>705</v>
      </c>
      <c r="E180" s="484">
        <v>93873630</v>
      </c>
      <c r="F180" s="484">
        <v>93873630</v>
      </c>
      <c r="G180" s="484">
        <v>15129677.24</v>
      </c>
      <c r="H180" s="484">
        <v>15129677.24</v>
      </c>
      <c r="I180" s="480">
        <v>16.12</v>
      </c>
    </row>
    <row r="181" spans="1:9" ht="63.75" hidden="1" outlineLevel="2">
      <c r="A181" s="850" t="s">
        <v>863</v>
      </c>
      <c r="B181" s="472" t="s">
        <v>3787</v>
      </c>
      <c r="C181" s="473"/>
      <c r="D181" s="472"/>
      <c r="E181" s="474">
        <v>162381132.56</v>
      </c>
      <c r="F181" s="474">
        <v>162381132.56</v>
      </c>
      <c r="G181" s="474">
        <v>83128494.859999999</v>
      </c>
      <c r="H181" s="474">
        <v>80609990.260000005</v>
      </c>
      <c r="I181" s="475">
        <v>49.64</v>
      </c>
    </row>
    <row r="182" spans="1:9" ht="51" hidden="1" outlineLevel="3">
      <c r="A182" s="833" t="s">
        <v>865</v>
      </c>
      <c r="B182" s="477" t="s">
        <v>3788</v>
      </c>
      <c r="C182" s="478"/>
      <c r="D182" s="477"/>
      <c r="E182" s="479">
        <v>127238532.56</v>
      </c>
      <c r="F182" s="479">
        <v>127238532.56</v>
      </c>
      <c r="G182" s="479">
        <v>73497024.859999999</v>
      </c>
      <c r="H182" s="479">
        <v>70978520.260000005</v>
      </c>
      <c r="I182" s="480">
        <v>55.78</v>
      </c>
    </row>
    <row r="183" spans="1:9" ht="51" hidden="1" outlineLevel="4">
      <c r="A183" s="832" t="s">
        <v>865</v>
      </c>
      <c r="B183" s="482" t="s">
        <v>3788</v>
      </c>
      <c r="C183" s="831" t="s">
        <v>704</v>
      </c>
      <c r="D183" s="482" t="s">
        <v>705</v>
      </c>
      <c r="E183" s="484">
        <v>127238532.56</v>
      </c>
      <c r="F183" s="484">
        <v>127238532.56</v>
      </c>
      <c r="G183" s="484">
        <v>73497024.859999999</v>
      </c>
      <c r="H183" s="484">
        <v>70978520.260000005</v>
      </c>
      <c r="I183" s="480">
        <v>55.78</v>
      </c>
    </row>
    <row r="184" spans="1:9" ht="63.75" hidden="1" outlineLevel="3">
      <c r="A184" s="833" t="s">
        <v>3789</v>
      </c>
      <c r="B184" s="477" t="s">
        <v>3790</v>
      </c>
      <c r="C184" s="478"/>
      <c r="D184" s="477"/>
      <c r="E184" s="479">
        <v>35142600</v>
      </c>
      <c r="F184" s="479">
        <v>35142600</v>
      </c>
      <c r="G184" s="479">
        <v>9631470</v>
      </c>
      <c r="H184" s="479">
        <v>9631470</v>
      </c>
      <c r="I184" s="480">
        <v>27.41</v>
      </c>
    </row>
    <row r="185" spans="1:9" ht="63.75" hidden="1" outlineLevel="4">
      <c r="A185" s="832" t="s">
        <v>3789</v>
      </c>
      <c r="B185" s="482" t="s">
        <v>3790</v>
      </c>
      <c r="C185" s="831" t="s">
        <v>704</v>
      </c>
      <c r="D185" s="482" t="s">
        <v>705</v>
      </c>
      <c r="E185" s="484">
        <v>35142600</v>
      </c>
      <c r="F185" s="484">
        <v>35142600</v>
      </c>
      <c r="G185" s="484">
        <v>9631470</v>
      </c>
      <c r="H185" s="484">
        <v>9631470</v>
      </c>
      <c r="I185" s="480">
        <v>27.41</v>
      </c>
    </row>
    <row r="186" spans="1:9" ht="51" hidden="1" outlineLevel="1">
      <c r="A186" s="851" t="s">
        <v>869</v>
      </c>
      <c r="B186" s="467" t="s">
        <v>3791</v>
      </c>
      <c r="C186" s="468"/>
      <c r="D186" s="467"/>
      <c r="E186" s="469">
        <v>9043806808.9699993</v>
      </c>
      <c r="F186" s="469">
        <v>9032260558.8899994</v>
      </c>
      <c r="G186" s="469">
        <v>6744393444.4300003</v>
      </c>
      <c r="H186" s="469">
        <v>6704663793.3900003</v>
      </c>
      <c r="I186" s="470">
        <v>74.14</v>
      </c>
    </row>
    <row r="187" spans="1:9" ht="38.25" hidden="1" outlineLevel="2">
      <c r="A187" s="850" t="s">
        <v>3792</v>
      </c>
      <c r="B187" s="472" t="s">
        <v>3793</v>
      </c>
      <c r="C187" s="473"/>
      <c r="D187" s="472"/>
      <c r="E187" s="474">
        <v>1576507708.97</v>
      </c>
      <c r="F187" s="474">
        <v>1564961458.8900001</v>
      </c>
      <c r="G187" s="474">
        <v>1143775406.4300001</v>
      </c>
      <c r="H187" s="474">
        <v>1104045755.3900001</v>
      </c>
      <c r="I187" s="475">
        <v>70.03</v>
      </c>
    </row>
    <row r="188" spans="1:9" ht="25.5" hidden="1" outlineLevel="3">
      <c r="A188" s="833" t="s">
        <v>873</v>
      </c>
      <c r="B188" s="477" t="s">
        <v>3794</v>
      </c>
      <c r="C188" s="478"/>
      <c r="D188" s="477"/>
      <c r="E188" s="479">
        <v>172364696.97999999</v>
      </c>
      <c r="F188" s="479">
        <v>160818446.90000001</v>
      </c>
      <c r="G188" s="479">
        <v>109704926.56999999</v>
      </c>
      <c r="H188" s="479">
        <v>103826993.48999999</v>
      </c>
      <c r="I188" s="480">
        <v>60.24</v>
      </c>
    </row>
    <row r="189" spans="1:9" ht="25.5" hidden="1" outlineLevel="4">
      <c r="A189" s="832" t="s">
        <v>873</v>
      </c>
      <c r="B189" s="482" t="s">
        <v>3794</v>
      </c>
      <c r="C189" s="831" t="s">
        <v>704</v>
      </c>
      <c r="D189" s="482" t="s">
        <v>705</v>
      </c>
      <c r="E189" s="484">
        <v>172364696.97999999</v>
      </c>
      <c r="F189" s="484">
        <v>160818446.90000001</v>
      </c>
      <c r="G189" s="484">
        <v>109704926.56999999</v>
      </c>
      <c r="H189" s="484">
        <v>103826993.48999999</v>
      </c>
      <c r="I189" s="480">
        <v>60.24</v>
      </c>
    </row>
    <row r="190" spans="1:9" ht="38.25" hidden="1" outlineLevel="3">
      <c r="A190" s="833" t="s">
        <v>854</v>
      </c>
      <c r="B190" s="477" t="s">
        <v>3795</v>
      </c>
      <c r="C190" s="478"/>
      <c r="D190" s="477"/>
      <c r="E190" s="479">
        <v>3709000</v>
      </c>
      <c r="F190" s="479">
        <v>3709000</v>
      </c>
      <c r="G190" s="479">
        <v>1794521.57</v>
      </c>
      <c r="H190" s="479">
        <v>1504297.48</v>
      </c>
      <c r="I190" s="480">
        <v>40.56</v>
      </c>
    </row>
    <row r="191" spans="1:9" ht="38.25" hidden="1" outlineLevel="4">
      <c r="A191" s="832" t="s">
        <v>854</v>
      </c>
      <c r="B191" s="482" t="s">
        <v>3795</v>
      </c>
      <c r="C191" s="831" t="s">
        <v>704</v>
      </c>
      <c r="D191" s="482" t="s">
        <v>705</v>
      </c>
      <c r="E191" s="484">
        <v>3709000</v>
      </c>
      <c r="F191" s="484">
        <v>3709000</v>
      </c>
      <c r="G191" s="484">
        <v>1794521.57</v>
      </c>
      <c r="H191" s="484">
        <v>1504297.48</v>
      </c>
      <c r="I191" s="480">
        <v>40.56</v>
      </c>
    </row>
    <row r="192" spans="1:9" ht="76.5" hidden="1" outlineLevel="3">
      <c r="A192" s="833" t="s">
        <v>702</v>
      </c>
      <c r="B192" s="477" t="s">
        <v>3796</v>
      </c>
      <c r="C192" s="478"/>
      <c r="D192" s="477"/>
      <c r="E192" s="479">
        <v>1396474590</v>
      </c>
      <c r="F192" s="479">
        <v>1396474590</v>
      </c>
      <c r="G192" s="479">
        <v>1028482985.99</v>
      </c>
      <c r="H192" s="479">
        <v>995403190.79999995</v>
      </c>
      <c r="I192" s="480">
        <v>71.28</v>
      </c>
    </row>
    <row r="193" spans="1:9" ht="76.5" hidden="1" outlineLevel="4">
      <c r="A193" s="832" t="s">
        <v>702</v>
      </c>
      <c r="B193" s="482" t="s">
        <v>3796</v>
      </c>
      <c r="C193" s="831" t="s">
        <v>704</v>
      </c>
      <c r="D193" s="482" t="s">
        <v>705</v>
      </c>
      <c r="E193" s="484">
        <v>1396474590</v>
      </c>
      <c r="F193" s="484">
        <v>1396474590</v>
      </c>
      <c r="G193" s="484">
        <v>1028482985.99</v>
      </c>
      <c r="H193" s="484">
        <v>995403190.79999995</v>
      </c>
      <c r="I193" s="480">
        <v>71.28</v>
      </c>
    </row>
    <row r="194" spans="1:9" ht="63.75" hidden="1" outlineLevel="3">
      <c r="A194" s="833" t="s">
        <v>62</v>
      </c>
      <c r="B194" s="477" t="s">
        <v>3797</v>
      </c>
      <c r="C194" s="478"/>
      <c r="D194" s="477"/>
      <c r="E194" s="479">
        <v>1742032.94</v>
      </c>
      <c r="F194" s="479">
        <v>1742032.94</v>
      </c>
      <c r="G194" s="479">
        <v>1742032.94</v>
      </c>
      <c r="H194" s="479">
        <v>1260334.26</v>
      </c>
      <c r="I194" s="480">
        <v>72.349999999999994</v>
      </c>
    </row>
    <row r="195" spans="1:9" ht="63.75" hidden="1" outlineLevel="4">
      <c r="A195" s="832" t="s">
        <v>62</v>
      </c>
      <c r="B195" s="482" t="s">
        <v>3797</v>
      </c>
      <c r="C195" s="831" t="s">
        <v>704</v>
      </c>
      <c r="D195" s="482" t="s">
        <v>705</v>
      </c>
      <c r="E195" s="484">
        <v>1742032.94</v>
      </c>
      <c r="F195" s="484">
        <v>1742032.94</v>
      </c>
      <c r="G195" s="484">
        <v>1742032.94</v>
      </c>
      <c r="H195" s="484">
        <v>1260334.26</v>
      </c>
      <c r="I195" s="480">
        <v>72.349999999999994</v>
      </c>
    </row>
    <row r="196" spans="1:9" ht="76.5" hidden="1" outlineLevel="3">
      <c r="A196" s="833" t="s">
        <v>156</v>
      </c>
      <c r="B196" s="477" t="s">
        <v>3798</v>
      </c>
      <c r="C196" s="478"/>
      <c r="D196" s="477"/>
      <c r="E196" s="479">
        <v>117389.05</v>
      </c>
      <c r="F196" s="479">
        <v>117389.05</v>
      </c>
      <c r="G196" s="479">
        <v>50939.360000000001</v>
      </c>
      <c r="H196" s="479">
        <v>50939.360000000001</v>
      </c>
      <c r="I196" s="480">
        <v>43.39</v>
      </c>
    </row>
    <row r="197" spans="1:9" ht="76.5" hidden="1" outlineLevel="4">
      <c r="A197" s="832" t="s">
        <v>156</v>
      </c>
      <c r="B197" s="482" t="s">
        <v>3798</v>
      </c>
      <c r="C197" s="831" t="s">
        <v>704</v>
      </c>
      <c r="D197" s="482" t="s">
        <v>705</v>
      </c>
      <c r="E197" s="484">
        <v>117389.05</v>
      </c>
      <c r="F197" s="484">
        <v>117389.05</v>
      </c>
      <c r="G197" s="484">
        <v>50939.360000000001</v>
      </c>
      <c r="H197" s="484">
        <v>50939.360000000001</v>
      </c>
      <c r="I197" s="480">
        <v>43.39</v>
      </c>
    </row>
    <row r="198" spans="1:9" ht="25.5" hidden="1" outlineLevel="3">
      <c r="A198" s="833" t="s">
        <v>713</v>
      </c>
      <c r="B198" s="477" t="s">
        <v>3799</v>
      </c>
      <c r="C198" s="478"/>
      <c r="D198" s="477"/>
      <c r="E198" s="479">
        <v>100000</v>
      </c>
      <c r="F198" s="479">
        <v>100000</v>
      </c>
      <c r="G198" s="479">
        <v>0</v>
      </c>
      <c r="H198" s="479">
        <v>0</v>
      </c>
      <c r="I198" s="480">
        <v>0</v>
      </c>
    </row>
    <row r="199" spans="1:9" ht="25.5" hidden="1" outlineLevel="4">
      <c r="A199" s="832" t="s">
        <v>713</v>
      </c>
      <c r="B199" s="482" t="s">
        <v>3799</v>
      </c>
      <c r="C199" s="831" t="s">
        <v>704</v>
      </c>
      <c r="D199" s="482" t="s">
        <v>705</v>
      </c>
      <c r="E199" s="484">
        <v>100000</v>
      </c>
      <c r="F199" s="484">
        <v>100000</v>
      </c>
      <c r="G199" s="484">
        <v>0</v>
      </c>
      <c r="H199" s="484">
        <v>0</v>
      </c>
      <c r="I199" s="480">
        <v>0</v>
      </c>
    </row>
    <row r="200" spans="1:9" ht="76.5" hidden="1" outlineLevel="3">
      <c r="A200" s="833" t="s">
        <v>3800</v>
      </c>
      <c r="B200" s="477" t="s">
        <v>3801</v>
      </c>
      <c r="C200" s="478"/>
      <c r="D200" s="477"/>
      <c r="E200" s="479">
        <v>2000000</v>
      </c>
      <c r="F200" s="479">
        <v>2000000</v>
      </c>
      <c r="G200" s="479">
        <v>2000000</v>
      </c>
      <c r="H200" s="479">
        <v>2000000</v>
      </c>
      <c r="I200" s="480">
        <v>100</v>
      </c>
    </row>
    <row r="201" spans="1:9" ht="76.5" hidden="1" outlineLevel="4">
      <c r="A201" s="832" t="s">
        <v>3800</v>
      </c>
      <c r="B201" s="482" t="s">
        <v>3801</v>
      </c>
      <c r="C201" s="831" t="s">
        <v>704</v>
      </c>
      <c r="D201" s="482" t="s">
        <v>705</v>
      </c>
      <c r="E201" s="484">
        <v>2000000</v>
      </c>
      <c r="F201" s="484">
        <v>2000000</v>
      </c>
      <c r="G201" s="484">
        <v>2000000</v>
      </c>
      <c r="H201" s="484">
        <v>2000000</v>
      </c>
      <c r="I201" s="480">
        <v>100</v>
      </c>
    </row>
    <row r="202" spans="1:9" ht="89.25" hidden="1" outlineLevel="2">
      <c r="A202" s="850" t="s">
        <v>3802</v>
      </c>
      <c r="B202" s="472" t="s">
        <v>3803</v>
      </c>
      <c r="C202" s="473"/>
      <c r="D202" s="472"/>
      <c r="E202" s="474">
        <v>7465862000</v>
      </c>
      <c r="F202" s="474">
        <v>7465862000</v>
      </c>
      <c r="G202" s="474">
        <v>5599396503</v>
      </c>
      <c r="H202" s="474">
        <v>5599396503</v>
      </c>
      <c r="I202" s="475">
        <v>75</v>
      </c>
    </row>
    <row r="203" spans="1:9" ht="38.25" hidden="1" outlineLevel="3">
      <c r="A203" s="833" t="s">
        <v>881</v>
      </c>
      <c r="B203" s="477" t="s">
        <v>3804</v>
      </c>
      <c r="C203" s="478"/>
      <c r="D203" s="477"/>
      <c r="E203" s="479">
        <v>6863245500</v>
      </c>
      <c r="F203" s="479">
        <v>6863245500</v>
      </c>
      <c r="G203" s="479">
        <v>5147434125</v>
      </c>
      <c r="H203" s="479">
        <v>5147434125</v>
      </c>
      <c r="I203" s="480">
        <v>75</v>
      </c>
    </row>
    <row r="204" spans="1:9" ht="38.25" hidden="1" outlineLevel="4">
      <c r="A204" s="832" t="s">
        <v>881</v>
      </c>
      <c r="B204" s="482" t="s">
        <v>3804</v>
      </c>
      <c r="C204" s="831" t="s">
        <v>704</v>
      </c>
      <c r="D204" s="482" t="s">
        <v>705</v>
      </c>
      <c r="E204" s="484">
        <v>6863245500</v>
      </c>
      <c r="F204" s="484">
        <v>6863245500</v>
      </c>
      <c r="G204" s="484">
        <v>5147434125</v>
      </c>
      <c r="H204" s="484">
        <v>5147434125</v>
      </c>
      <c r="I204" s="480">
        <v>75</v>
      </c>
    </row>
    <row r="205" spans="1:9" ht="63.75" hidden="1" outlineLevel="3">
      <c r="A205" s="833" t="s">
        <v>883</v>
      </c>
      <c r="B205" s="477" t="s">
        <v>3805</v>
      </c>
      <c r="C205" s="478"/>
      <c r="D205" s="477"/>
      <c r="E205" s="479">
        <v>602616500</v>
      </c>
      <c r="F205" s="479">
        <v>602616500</v>
      </c>
      <c r="G205" s="479">
        <v>451962378</v>
      </c>
      <c r="H205" s="479">
        <v>451962378</v>
      </c>
      <c r="I205" s="480">
        <v>75</v>
      </c>
    </row>
    <row r="206" spans="1:9" ht="63.75" hidden="1" outlineLevel="4">
      <c r="A206" s="832" t="s">
        <v>883</v>
      </c>
      <c r="B206" s="482" t="s">
        <v>3805</v>
      </c>
      <c r="C206" s="831" t="s">
        <v>704</v>
      </c>
      <c r="D206" s="482" t="s">
        <v>705</v>
      </c>
      <c r="E206" s="484">
        <v>602616500</v>
      </c>
      <c r="F206" s="484">
        <v>602616500</v>
      </c>
      <c r="G206" s="484">
        <v>451962378</v>
      </c>
      <c r="H206" s="484">
        <v>451962378</v>
      </c>
      <c r="I206" s="480">
        <v>75</v>
      </c>
    </row>
    <row r="207" spans="1:9" ht="76.5" hidden="1" outlineLevel="2">
      <c r="A207" s="850" t="s">
        <v>885</v>
      </c>
      <c r="B207" s="472" t="s">
        <v>3806</v>
      </c>
      <c r="C207" s="473"/>
      <c r="D207" s="472"/>
      <c r="E207" s="474">
        <v>1437100</v>
      </c>
      <c r="F207" s="474">
        <v>1437100</v>
      </c>
      <c r="G207" s="474">
        <v>1221535</v>
      </c>
      <c r="H207" s="474">
        <v>1221535</v>
      </c>
      <c r="I207" s="475">
        <v>85</v>
      </c>
    </row>
    <row r="208" spans="1:9" ht="38.25" hidden="1" outlineLevel="3">
      <c r="A208" s="833" t="s">
        <v>3807</v>
      </c>
      <c r="B208" s="477" t="s">
        <v>3808</v>
      </c>
      <c r="C208" s="478"/>
      <c r="D208" s="477"/>
      <c r="E208" s="479">
        <v>1437100</v>
      </c>
      <c r="F208" s="479">
        <v>1437100</v>
      </c>
      <c r="G208" s="479">
        <v>1221535</v>
      </c>
      <c r="H208" s="479">
        <v>1221535</v>
      </c>
      <c r="I208" s="480">
        <v>85</v>
      </c>
    </row>
    <row r="209" spans="1:9" ht="38.25" hidden="1" outlineLevel="4">
      <c r="A209" s="832" t="s">
        <v>3807</v>
      </c>
      <c r="B209" s="482" t="s">
        <v>3808</v>
      </c>
      <c r="C209" s="831" t="s">
        <v>704</v>
      </c>
      <c r="D209" s="482" t="s">
        <v>705</v>
      </c>
      <c r="E209" s="484">
        <v>1437100</v>
      </c>
      <c r="F209" s="484">
        <v>1437100</v>
      </c>
      <c r="G209" s="484">
        <v>1221535</v>
      </c>
      <c r="H209" s="484">
        <v>1221535</v>
      </c>
      <c r="I209" s="480">
        <v>85</v>
      </c>
    </row>
    <row r="210" spans="1:9" ht="30.75" collapsed="1" thickBot="1">
      <c r="A210" s="854" t="s">
        <v>3809</v>
      </c>
      <c r="B210" s="853" t="s">
        <v>3810</v>
      </c>
      <c r="C210" s="463"/>
      <c r="D210" s="853"/>
      <c r="E210" s="852">
        <v>26294404859.98</v>
      </c>
      <c r="F210" s="852">
        <v>25907395106.759998</v>
      </c>
      <c r="G210" s="852">
        <v>18190394396.360001</v>
      </c>
      <c r="H210" s="852">
        <v>18092324974.09</v>
      </c>
      <c r="I210" s="465">
        <v>68.81</v>
      </c>
    </row>
    <row r="211" spans="1:9" ht="25.5" hidden="1" outlineLevel="1">
      <c r="A211" s="851" t="s">
        <v>891</v>
      </c>
      <c r="B211" s="467" t="s">
        <v>3811</v>
      </c>
      <c r="C211" s="468"/>
      <c r="D211" s="467"/>
      <c r="E211" s="469">
        <v>2470904900</v>
      </c>
      <c r="F211" s="469">
        <v>2470904900</v>
      </c>
      <c r="G211" s="469">
        <v>1796099010.6700001</v>
      </c>
      <c r="H211" s="469">
        <v>1795320991.4100001</v>
      </c>
      <c r="I211" s="470">
        <v>72.66</v>
      </c>
    </row>
    <row r="212" spans="1:9" ht="51" hidden="1" outlineLevel="2">
      <c r="A212" s="850" t="s">
        <v>3812</v>
      </c>
      <c r="B212" s="472" t="s">
        <v>3813</v>
      </c>
      <c r="C212" s="473"/>
      <c r="D212" s="472"/>
      <c r="E212" s="474">
        <v>2405880900</v>
      </c>
      <c r="F212" s="474">
        <v>2405880900</v>
      </c>
      <c r="G212" s="474">
        <v>1747062066.52</v>
      </c>
      <c r="H212" s="474">
        <v>1746284047.26</v>
      </c>
      <c r="I212" s="475">
        <v>72.58</v>
      </c>
    </row>
    <row r="213" spans="1:9" ht="76.5" hidden="1" outlineLevel="3">
      <c r="A213" s="833" t="s">
        <v>702</v>
      </c>
      <c r="B213" s="477" t="s">
        <v>3814</v>
      </c>
      <c r="C213" s="478"/>
      <c r="D213" s="477"/>
      <c r="E213" s="479">
        <v>2097971800</v>
      </c>
      <c r="F213" s="479">
        <v>2097971800</v>
      </c>
      <c r="G213" s="479">
        <v>1519611047.5899999</v>
      </c>
      <c r="H213" s="479">
        <v>1519051999.22</v>
      </c>
      <c r="I213" s="480">
        <v>72.41</v>
      </c>
    </row>
    <row r="214" spans="1:9" ht="76.5" hidden="1" outlineLevel="4">
      <c r="A214" s="832" t="s">
        <v>702</v>
      </c>
      <c r="B214" s="482" t="s">
        <v>3814</v>
      </c>
      <c r="C214" s="831" t="s">
        <v>711</v>
      </c>
      <c r="D214" s="482" t="s">
        <v>712</v>
      </c>
      <c r="E214" s="484">
        <v>2097971800</v>
      </c>
      <c r="F214" s="484">
        <v>2097971800</v>
      </c>
      <c r="G214" s="484">
        <v>1519611047.5899999</v>
      </c>
      <c r="H214" s="484">
        <v>1519051999.22</v>
      </c>
      <c r="I214" s="480">
        <v>72.41</v>
      </c>
    </row>
    <row r="215" spans="1:9" ht="165.75" hidden="1" outlineLevel="3">
      <c r="A215" s="833" t="s">
        <v>3815</v>
      </c>
      <c r="B215" s="477" t="s">
        <v>3816</v>
      </c>
      <c r="C215" s="478"/>
      <c r="D215" s="477"/>
      <c r="E215" s="479">
        <v>4132600</v>
      </c>
      <c r="F215" s="479">
        <v>4132600</v>
      </c>
      <c r="G215" s="479">
        <v>3224552.99</v>
      </c>
      <c r="H215" s="479">
        <v>3205582.1</v>
      </c>
      <c r="I215" s="480">
        <v>77.569999999999993</v>
      </c>
    </row>
    <row r="216" spans="1:9" ht="165.75" hidden="1" outlineLevel="4">
      <c r="A216" s="832" t="s">
        <v>3815</v>
      </c>
      <c r="B216" s="482" t="s">
        <v>3816</v>
      </c>
      <c r="C216" s="831" t="s">
        <v>711</v>
      </c>
      <c r="D216" s="482" t="s">
        <v>712</v>
      </c>
      <c r="E216" s="484">
        <v>4132600</v>
      </c>
      <c r="F216" s="484">
        <v>4132600</v>
      </c>
      <c r="G216" s="484">
        <v>3224552.99</v>
      </c>
      <c r="H216" s="484">
        <v>3205582.1</v>
      </c>
      <c r="I216" s="480">
        <v>77.569999999999993</v>
      </c>
    </row>
    <row r="217" spans="1:9" ht="51" hidden="1" outlineLevel="3">
      <c r="A217" s="833" t="s">
        <v>900</v>
      </c>
      <c r="B217" s="477" t="s">
        <v>3817</v>
      </c>
      <c r="C217" s="478"/>
      <c r="D217" s="477"/>
      <c r="E217" s="479">
        <v>142809200</v>
      </c>
      <c r="F217" s="479">
        <v>142809200</v>
      </c>
      <c r="G217" s="479">
        <v>91920015.030000001</v>
      </c>
      <c r="H217" s="479">
        <v>91920015.030000001</v>
      </c>
      <c r="I217" s="480">
        <v>64.37</v>
      </c>
    </row>
    <row r="218" spans="1:9" ht="51" hidden="1" outlineLevel="4">
      <c r="A218" s="832" t="s">
        <v>900</v>
      </c>
      <c r="B218" s="482" t="s">
        <v>3817</v>
      </c>
      <c r="C218" s="831" t="s">
        <v>711</v>
      </c>
      <c r="D218" s="482" t="s">
        <v>712</v>
      </c>
      <c r="E218" s="484">
        <v>142809200</v>
      </c>
      <c r="F218" s="484">
        <v>142809200</v>
      </c>
      <c r="G218" s="484">
        <v>91920015.030000001</v>
      </c>
      <c r="H218" s="484">
        <v>91920015.030000001</v>
      </c>
      <c r="I218" s="480">
        <v>64.37</v>
      </c>
    </row>
    <row r="219" spans="1:9" ht="25.5" hidden="1" outlineLevel="3">
      <c r="A219" s="833" t="s">
        <v>713</v>
      </c>
      <c r="B219" s="477" t="s">
        <v>3818</v>
      </c>
      <c r="C219" s="478"/>
      <c r="D219" s="477"/>
      <c r="E219" s="479">
        <v>3840000</v>
      </c>
      <c r="F219" s="479">
        <v>3840000</v>
      </c>
      <c r="G219" s="479">
        <v>2360000</v>
      </c>
      <c r="H219" s="479">
        <v>2160000</v>
      </c>
      <c r="I219" s="480">
        <v>56.25</v>
      </c>
    </row>
    <row r="220" spans="1:9" ht="25.5" hidden="1" outlineLevel="4">
      <c r="A220" s="832" t="s">
        <v>713</v>
      </c>
      <c r="B220" s="482" t="s">
        <v>3818</v>
      </c>
      <c r="C220" s="831" t="s">
        <v>711</v>
      </c>
      <c r="D220" s="482" t="s">
        <v>712</v>
      </c>
      <c r="E220" s="484">
        <v>3840000</v>
      </c>
      <c r="F220" s="484">
        <v>3840000</v>
      </c>
      <c r="G220" s="484">
        <v>2360000</v>
      </c>
      <c r="H220" s="484">
        <v>2160000</v>
      </c>
      <c r="I220" s="480">
        <v>56.25</v>
      </c>
    </row>
    <row r="221" spans="1:9" ht="153" hidden="1" outlineLevel="3">
      <c r="A221" s="833" t="s">
        <v>3819</v>
      </c>
      <c r="B221" s="477" t="s">
        <v>3820</v>
      </c>
      <c r="C221" s="478"/>
      <c r="D221" s="477"/>
      <c r="E221" s="479">
        <v>85914600</v>
      </c>
      <c r="F221" s="479">
        <v>85914600</v>
      </c>
      <c r="G221" s="479">
        <v>69816450.909999996</v>
      </c>
      <c r="H221" s="479">
        <v>69816450.909999996</v>
      </c>
      <c r="I221" s="480">
        <v>81.260000000000005</v>
      </c>
    </row>
    <row r="222" spans="1:9" ht="153" hidden="1" outlineLevel="4">
      <c r="A222" s="832" t="s">
        <v>3819</v>
      </c>
      <c r="B222" s="482" t="s">
        <v>3820</v>
      </c>
      <c r="C222" s="831" t="s">
        <v>711</v>
      </c>
      <c r="D222" s="482" t="s">
        <v>712</v>
      </c>
      <c r="E222" s="484">
        <v>85914600</v>
      </c>
      <c r="F222" s="484">
        <v>85914600</v>
      </c>
      <c r="G222" s="484">
        <v>69816450.909999996</v>
      </c>
      <c r="H222" s="484">
        <v>69816450.909999996</v>
      </c>
      <c r="I222" s="480">
        <v>81.260000000000005</v>
      </c>
    </row>
    <row r="223" spans="1:9" ht="102" hidden="1" outlineLevel="3">
      <c r="A223" s="833" t="s">
        <v>3821</v>
      </c>
      <c r="B223" s="477" t="s">
        <v>3822</v>
      </c>
      <c r="C223" s="478"/>
      <c r="D223" s="477"/>
      <c r="E223" s="479">
        <v>16000000</v>
      </c>
      <c r="F223" s="479">
        <v>16000000</v>
      </c>
      <c r="G223" s="479">
        <v>16000000</v>
      </c>
      <c r="H223" s="479">
        <v>16000000</v>
      </c>
      <c r="I223" s="480">
        <v>100</v>
      </c>
    </row>
    <row r="224" spans="1:9" ht="102" hidden="1" outlineLevel="4">
      <c r="A224" s="832" t="s">
        <v>3821</v>
      </c>
      <c r="B224" s="482" t="s">
        <v>3822</v>
      </c>
      <c r="C224" s="831" t="s">
        <v>711</v>
      </c>
      <c r="D224" s="482" t="s">
        <v>712</v>
      </c>
      <c r="E224" s="484">
        <v>16000000</v>
      </c>
      <c r="F224" s="484">
        <v>16000000</v>
      </c>
      <c r="G224" s="484">
        <v>16000000</v>
      </c>
      <c r="H224" s="484">
        <v>16000000</v>
      </c>
      <c r="I224" s="480">
        <v>100</v>
      </c>
    </row>
    <row r="225" spans="1:9" ht="102" hidden="1" outlineLevel="3">
      <c r="A225" s="833" t="s">
        <v>3823</v>
      </c>
      <c r="B225" s="477" t="s">
        <v>3824</v>
      </c>
      <c r="C225" s="478"/>
      <c r="D225" s="477"/>
      <c r="E225" s="479">
        <v>20000000</v>
      </c>
      <c r="F225" s="479">
        <v>20000000</v>
      </c>
      <c r="G225" s="479">
        <v>20000000</v>
      </c>
      <c r="H225" s="479">
        <v>20000000</v>
      </c>
      <c r="I225" s="480">
        <v>100</v>
      </c>
    </row>
    <row r="226" spans="1:9" ht="102" hidden="1" outlineLevel="4">
      <c r="A226" s="832" t="s">
        <v>3823</v>
      </c>
      <c r="B226" s="482" t="s">
        <v>3824</v>
      </c>
      <c r="C226" s="831" t="s">
        <v>711</v>
      </c>
      <c r="D226" s="482" t="s">
        <v>712</v>
      </c>
      <c r="E226" s="484">
        <v>20000000</v>
      </c>
      <c r="F226" s="484">
        <v>20000000</v>
      </c>
      <c r="G226" s="484">
        <v>20000000</v>
      </c>
      <c r="H226" s="484">
        <v>20000000</v>
      </c>
      <c r="I226" s="480">
        <v>100</v>
      </c>
    </row>
    <row r="227" spans="1:9" ht="102" hidden="1" outlineLevel="3">
      <c r="A227" s="833" t="s">
        <v>3825</v>
      </c>
      <c r="B227" s="477" t="s">
        <v>3826</v>
      </c>
      <c r="C227" s="478"/>
      <c r="D227" s="477"/>
      <c r="E227" s="479">
        <v>34762500</v>
      </c>
      <c r="F227" s="479">
        <v>34762500</v>
      </c>
      <c r="G227" s="479">
        <v>24130000</v>
      </c>
      <c r="H227" s="479">
        <v>24130000</v>
      </c>
      <c r="I227" s="480">
        <v>69.41</v>
      </c>
    </row>
    <row r="228" spans="1:9" ht="102" hidden="1" outlineLevel="4">
      <c r="A228" s="832" t="s">
        <v>3825</v>
      </c>
      <c r="B228" s="482" t="s">
        <v>3826</v>
      </c>
      <c r="C228" s="831" t="s">
        <v>711</v>
      </c>
      <c r="D228" s="482" t="s">
        <v>712</v>
      </c>
      <c r="E228" s="484">
        <v>34762500</v>
      </c>
      <c r="F228" s="484">
        <v>34762500</v>
      </c>
      <c r="G228" s="484">
        <v>24130000</v>
      </c>
      <c r="H228" s="484">
        <v>24130000</v>
      </c>
      <c r="I228" s="480">
        <v>69.41</v>
      </c>
    </row>
    <row r="229" spans="1:9" ht="114.75" hidden="1" outlineLevel="3">
      <c r="A229" s="833" t="s">
        <v>3827</v>
      </c>
      <c r="B229" s="477" t="s">
        <v>3828</v>
      </c>
      <c r="C229" s="478"/>
      <c r="D229" s="477"/>
      <c r="E229" s="479">
        <v>450200</v>
      </c>
      <c r="F229" s="479">
        <v>450200</v>
      </c>
      <c r="G229" s="479">
        <v>0</v>
      </c>
      <c r="H229" s="479">
        <v>0</v>
      </c>
      <c r="I229" s="480">
        <v>0</v>
      </c>
    </row>
    <row r="230" spans="1:9" ht="114.75" hidden="1" outlineLevel="4">
      <c r="A230" s="832" t="s">
        <v>3827</v>
      </c>
      <c r="B230" s="482" t="s">
        <v>3828</v>
      </c>
      <c r="C230" s="831" t="s">
        <v>711</v>
      </c>
      <c r="D230" s="482" t="s">
        <v>712</v>
      </c>
      <c r="E230" s="484">
        <v>450200</v>
      </c>
      <c r="F230" s="484">
        <v>450200</v>
      </c>
      <c r="G230" s="484">
        <v>0</v>
      </c>
      <c r="H230" s="484">
        <v>0</v>
      </c>
      <c r="I230" s="480">
        <v>0</v>
      </c>
    </row>
    <row r="231" spans="1:9" ht="63.75" hidden="1" outlineLevel="2">
      <c r="A231" s="850" t="s">
        <v>3829</v>
      </c>
      <c r="B231" s="472" t="s">
        <v>3830</v>
      </c>
      <c r="C231" s="473"/>
      <c r="D231" s="472"/>
      <c r="E231" s="474">
        <v>3500000</v>
      </c>
      <c r="F231" s="474">
        <v>3500000</v>
      </c>
      <c r="G231" s="474">
        <v>2096944.15</v>
      </c>
      <c r="H231" s="474">
        <v>2096944.15</v>
      </c>
      <c r="I231" s="475">
        <v>59.91</v>
      </c>
    </row>
    <row r="232" spans="1:9" ht="76.5" hidden="1" outlineLevel="3">
      <c r="A232" s="833" t="s">
        <v>702</v>
      </c>
      <c r="B232" s="477" t="s">
        <v>3831</v>
      </c>
      <c r="C232" s="478"/>
      <c r="D232" s="477"/>
      <c r="E232" s="479">
        <v>3500000</v>
      </c>
      <c r="F232" s="479">
        <v>3500000</v>
      </c>
      <c r="G232" s="479">
        <v>2096944.15</v>
      </c>
      <c r="H232" s="479">
        <v>2096944.15</v>
      </c>
      <c r="I232" s="480">
        <v>59.91</v>
      </c>
    </row>
    <row r="233" spans="1:9" ht="76.5" hidden="1" outlineLevel="4">
      <c r="A233" s="832" t="s">
        <v>702</v>
      </c>
      <c r="B233" s="482" t="s">
        <v>3831</v>
      </c>
      <c r="C233" s="831" t="s">
        <v>711</v>
      </c>
      <c r="D233" s="482" t="s">
        <v>712</v>
      </c>
      <c r="E233" s="484">
        <v>3500000</v>
      </c>
      <c r="F233" s="484">
        <v>3500000</v>
      </c>
      <c r="G233" s="484">
        <v>2096944.15</v>
      </c>
      <c r="H233" s="484">
        <v>2096944.15</v>
      </c>
      <c r="I233" s="480">
        <v>59.91</v>
      </c>
    </row>
    <row r="234" spans="1:9" ht="38.25" hidden="1" outlineLevel="2">
      <c r="A234" s="850" t="s">
        <v>3832</v>
      </c>
      <c r="B234" s="472" t="s">
        <v>3833</v>
      </c>
      <c r="C234" s="473"/>
      <c r="D234" s="472"/>
      <c r="E234" s="474">
        <v>55934000</v>
      </c>
      <c r="F234" s="474">
        <v>55934000</v>
      </c>
      <c r="G234" s="474">
        <v>41350000</v>
      </c>
      <c r="H234" s="474">
        <v>41350000</v>
      </c>
      <c r="I234" s="475">
        <v>73.930000000000007</v>
      </c>
    </row>
    <row r="235" spans="1:9" hidden="1" outlineLevel="3">
      <c r="A235" s="833" t="s">
        <v>3834</v>
      </c>
      <c r="B235" s="477" t="s">
        <v>3835</v>
      </c>
      <c r="C235" s="478"/>
      <c r="D235" s="477"/>
      <c r="E235" s="479">
        <v>10080000</v>
      </c>
      <c r="F235" s="479">
        <v>10080000</v>
      </c>
      <c r="G235" s="479">
        <v>4700000</v>
      </c>
      <c r="H235" s="479">
        <v>4700000</v>
      </c>
      <c r="I235" s="480">
        <v>46.63</v>
      </c>
    </row>
    <row r="236" spans="1:9" ht="25.5" hidden="1" outlineLevel="4">
      <c r="A236" s="832" t="s">
        <v>3834</v>
      </c>
      <c r="B236" s="482" t="s">
        <v>3835</v>
      </c>
      <c r="C236" s="831" t="s">
        <v>711</v>
      </c>
      <c r="D236" s="482" t="s">
        <v>712</v>
      </c>
      <c r="E236" s="484">
        <v>10080000</v>
      </c>
      <c r="F236" s="484">
        <v>10080000</v>
      </c>
      <c r="G236" s="484">
        <v>4700000</v>
      </c>
      <c r="H236" s="484">
        <v>4700000</v>
      </c>
      <c r="I236" s="480">
        <v>46.63</v>
      </c>
    </row>
    <row r="237" spans="1:9" ht="25.5" hidden="1" outlineLevel="3">
      <c r="A237" s="833" t="s">
        <v>713</v>
      </c>
      <c r="B237" s="477" t="s">
        <v>3836</v>
      </c>
      <c r="C237" s="478"/>
      <c r="D237" s="477"/>
      <c r="E237" s="479">
        <v>454000</v>
      </c>
      <c r="F237" s="479">
        <v>454000</v>
      </c>
      <c r="G237" s="479">
        <v>0</v>
      </c>
      <c r="H237" s="479">
        <v>0</v>
      </c>
      <c r="I237" s="480">
        <v>0</v>
      </c>
    </row>
    <row r="238" spans="1:9" ht="25.5" hidden="1" outlineLevel="4">
      <c r="A238" s="832" t="s">
        <v>713</v>
      </c>
      <c r="B238" s="482" t="s">
        <v>3836</v>
      </c>
      <c r="C238" s="831" t="s">
        <v>711</v>
      </c>
      <c r="D238" s="482" t="s">
        <v>712</v>
      </c>
      <c r="E238" s="484">
        <v>454000</v>
      </c>
      <c r="F238" s="484">
        <v>454000</v>
      </c>
      <c r="G238" s="484">
        <v>0</v>
      </c>
      <c r="H238" s="484">
        <v>0</v>
      </c>
      <c r="I238" s="480">
        <v>0</v>
      </c>
    </row>
    <row r="239" spans="1:9" ht="25.5" hidden="1" outlineLevel="3">
      <c r="A239" s="833" t="s">
        <v>3837</v>
      </c>
      <c r="B239" s="477" t="s">
        <v>3838</v>
      </c>
      <c r="C239" s="478"/>
      <c r="D239" s="477"/>
      <c r="E239" s="479">
        <v>4000000</v>
      </c>
      <c r="F239" s="479">
        <v>4000000</v>
      </c>
      <c r="G239" s="479">
        <v>400000</v>
      </c>
      <c r="H239" s="479">
        <v>400000</v>
      </c>
      <c r="I239" s="480">
        <v>10</v>
      </c>
    </row>
    <row r="240" spans="1:9" ht="25.5" hidden="1" outlineLevel="4">
      <c r="A240" s="832" t="s">
        <v>3837</v>
      </c>
      <c r="B240" s="482" t="s">
        <v>3838</v>
      </c>
      <c r="C240" s="831" t="s">
        <v>711</v>
      </c>
      <c r="D240" s="482" t="s">
        <v>712</v>
      </c>
      <c r="E240" s="484">
        <v>4000000</v>
      </c>
      <c r="F240" s="484">
        <v>4000000</v>
      </c>
      <c r="G240" s="484">
        <v>400000</v>
      </c>
      <c r="H240" s="484">
        <v>400000</v>
      </c>
      <c r="I240" s="480">
        <v>10</v>
      </c>
    </row>
    <row r="241" spans="1:9" ht="89.25" hidden="1" outlineLevel="3">
      <c r="A241" s="833" t="s">
        <v>3839</v>
      </c>
      <c r="B241" s="477" t="s">
        <v>3840</v>
      </c>
      <c r="C241" s="478"/>
      <c r="D241" s="477"/>
      <c r="E241" s="479">
        <v>20000000</v>
      </c>
      <c r="F241" s="479">
        <v>20000000</v>
      </c>
      <c r="G241" s="479">
        <v>20000000</v>
      </c>
      <c r="H241" s="479">
        <v>20000000</v>
      </c>
      <c r="I241" s="480">
        <v>100</v>
      </c>
    </row>
    <row r="242" spans="1:9" ht="89.25" hidden="1" outlineLevel="4">
      <c r="A242" s="832" t="s">
        <v>3839</v>
      </c>
      <c r="B242" s="482" t="s">
        <v>3840</v>
      </c>
      <c r="C242" s="831" t="s">
        <v>711</v>
      </c>
      <c r="D242" s="482" t="s">
        <v>712</v>
      </c>
      <c r="E242" s="484">
        <v>20000000</v>
      </c>
      <c r="F242" s="484">
        <v>20000000</v>
      </c>
      <c r="G242" s="484">
        <v>20000000</v>
      </c>
      <c r="H242" s="484">
        <v>20000000</v>
      </c>
      <c r="I242" s="480">
        <v>100</v>
      </c>
    </row>
    <row r="243" spans="1:9" ht="38.25" hidden="1" outlineLevel="3">
      <c r="A243" s="833" t="s">
        <v>3841</v>
      </c>
      <c r="B243" s="477" t="s">
        <v>3842</v>
      </c>
      <c r="C243" s="478"/>
      <c r="D243" s="477"/>
      <c r="E243" s="479">
        <v>21400000</v>
      </c>
      <c r="F243" s="479">
        <v>21400000</v>
      </c>
      <c r="G243" s="479">
        <v>16250000</v>
      </c>
      <c r="H243" s="479">
        <v>16250000</v>
      </c>
      <c r="I243" s="480">
        <v>75.930000000000007</v>
      </c>
    </row>
    <row r="244" spans="1:9" ht="38.25" hidden="1" outlineLevel="4">
      <c r="A244" s="832" t="s">
        <v>3841</v>
      </c>
      <c r="B244" s="482" t="s">
        <v>3842</v>
      </c>
      <c r="C244" s="831" t="s">
        <v>711</v>
      </c>
      <c r="D244" s="482" t="s">
        <v>712</v>
      </c>
      <c r="E244" s="484">
        <v>21400000</v>
      </c>
      <c r="F244" s="484">
        <v>21400000</v>
      </c>
      <c r="G244" s="484">
        <v>16250000</v>
      </c>
      <c r="H244" s="484">
        <v>16250000</v>
      </c>
      <c r="I244" s="480">
        <v>75.930000000000007</v>
      </c>
    </row>
    <row r="245" spans="1:9" ht="38.25" hidden="1" outlineLevel="2">
      <c r="A245" s="850" t="s">
        <v>3843</v>
      </c>
      <c r="B245" s="472" t="s">
        <v>3844</v>
      </c>
      <c r="C245" s="473"/>
      <c r="D245" s="472"/>
      <c r="E245" s="474">
        <v>5590000</v>
      </c>
      <c r="F245" s="474">
        <v>5590000</v>
      </c>
      <c r="G245" s="474">
        <v>5590000</v>
      </c>
      <c r="H245" s="474">
        <v>5590000</v>
      </c>
      <c r="I245" s="475">
        <v>100</v>
      </c>
    </row>
    <row r="246" spans="1:9" ht="51" hidden="1" outlineLevel="3">
      <c r="A246" s="833" t="s">
        <v>3845</v>
      </c>
      <c r="B246" s="477" t="s">
        <v>3846</v>
      </c>
      <c r="C246" s="478"/>
      <c r="D246" s="477"/>
      <c r="E246" s="479">
        <v>5590000</v>
      </c>
      <c r="F246" s="479">
        <v>5590000</v>
      </c>
      <c r="G246" s="479">
        <v>5590000</v>
      </c>
      <c r="H246" s="479">
        <v>5590000</v>
      </c>
      <c r="I246" s="480">
        <v>100</v>
      </c>
    </row>
    <row r="247" spans="1:9" ht="51" hidden="1" outlineLevel="4">
      <c r="A247" s="832" t="s">
        <v>3845</v>
      </c>
      <c r="B247" s="482" t="s">
        <v>3846</v>
      </c>
      <c r="C247" s="831" t="s">
        <v>711</v>
      </c>
      <c r="D247" s="482" t="s">
        <v>712</v>
      </c>
      <c r="E247" s="484">
        <v>5590000</v>
      </c>
      <c r="F247" s="484">
        <v>5590000</v>
      </c>
      <c r="G247" s="484">
        <v>5590000</v>
      </c>
      <c r="H247" s="484">
        <v>5590000</v>
      </c>
      <c r="I247" s="480">
        <v>100</v>
      </c>
    </row>
    <row r="248" spans="1:9" ht="25.5" hidden="1" outlineLevel="1">
      <c r="A248" s="851" t="s">
        <v>3847</v>
      </c>
      <c r="B248" s="467" t="s">
        <v>3848</v>
      </c>
      <c r="C248" s="468"/>
      <c r="D248" s="467"/>
      <c r="E248" s="469">
        <v>21576051652.25</v>
      </c>
      <c r="F248" s="469">
        <v>21199428152.25</v>
      </c>
      <c r="G248" s="469">
        <v>14612756727.940001</v>
      </c>
      <c r="H248" s="469">
        <v>14569828160.93</v>
      </c>
      <c r="I248" s="470">
        <v>67.53</v>
      </c>
    </row>
    <row r="249" spans="1:9" ht="25.5" hidden="1" outlineLevel="2">
      <c r="A249" s="850" t="s">
        <v>3849</v>
      </c>
      <c r="B249" s="472" t="s">
        <v>3850</v>
      </c>
      <c r="C249" s="473"/>
      <c r="D249" s="472"/>
      <c r="E249" s="474">
        <v>287501100</v>
      </c>
      <c r="F249" s="474">
        <v>287501100</v>
      </c>
      <c r="G249" s="474">
        <v>189326529.13999999</v>
      </c>
      <c r="H249" s="474">
        <v>170561783.11000001</v>
      </c>
      <c r="I249" s="475">
        <v>59.33</v>
      </c>
    </row>
    <row r="250" spans="1:9" ht="76.5" hidden="1" outlineLevel="3">
      <c r="A250" s="833" t="s">
        <v>702</v>
      </c>
      <c r="B250" s="477" t="s">
        <v>3851</v>
      </c>
      <c r="C250" s="478"/>
      <c r="D250" s="477"/>
      <c r="E250" s="479">
        <v>52000</v>
      </c>
      <c r="F250" s="479">
        <v>52000</v>
      </c>
      <c r="G250" s="479">
        <v>22536.75</v>
      </c>
      <c r="H250" s="479">
        <v>22536.75</v>
      </c>
      <c r="I250" s="480">
        <v>43.34</v>
      </c>
    </row>
    <row r="251" spans="1:9" ht="76.5" hidden="1" outlineLevel="4">
      <c r="A251" s="832" t="s">
        <v>702</v>
      </c>
      <c r="B251" s="482" t="s">
        <v>3851</v>
      </c>
      <c r="C251" s="831" t="s">
        <v>711</v>
      </c>
      <c r="D251" s="482" t="s">
        <v>712</v>
      </c>
      <c r="E251" s="484">
        <v>52000</v>
      </c>
      <c r="F251" s="484">
        <v>52000</v>
      </c>
      <c r="G251" s="484">
        <v>22536.75</v>
      </c>
      <c r="H251" s="484">
        <v>22536.75</v>
      </c>
      <c r="I251" s="480">
        <v>43.34</v>
      </c>
    </row>
    <row r="252" spans="1:9" ht="76.5" hidden="1" outlineLevel="3">
      <c r="A252" s="833" t="s">
        <v>927</v>
      </c>
      <c r="B252" s="477" t="s">
        <v>3852</v>
      </c>
      <c r="C252" s="478"/>
      <c r="D252" s="477"/>
      <c r="E252" s="479">
        <v>7220500</v>
      </c>
      <c r="F252" s="479">
        <v>7220500</v>
      </c>
      <c r="G252" s="479">
        <v>3051975.25</v>
      </c>
      <c r="H252" s="479">
        <v>2583167.35</v>
      </c>
      <c r="I252" s="480">
        <v>35.78</v>
      </c>
    </row>
    <row r="253" spans="1:9" ht="76.5" hidden="1" outlineLevel="4">
      <c r="A253" s="832" t="s">
        <v>927</v>
      </c>
      <c r="B253" s="482" t="s">
        <v>3852</v>
      </c>
      <c r="C253" s="831" t="s">
        <v>711</v>
      </c>
      <c r="D253" s="482" t="s">
        <v>712</v>
      </c>
      <c r="E253" s="484">
        <v>7220500</v>
      </c>
      <c r="F253" s="484">
        <v>7220500</v>
      </c>
      <c r="G253" s="484">
        <v>3051975.25</v>
      </c>
      <c r="H253" s="484">
        <v>2583167.35</v>
      </c>
      <c r="I253" s="480">
        <v>35.78</v>
      </c>
    </row>
    <row r="254" spans="1:9" ht="140.25" hidden="1" outlineLevel="3">
      <c r="A254" s="833" t="s">
        <v>931</v>
      </c>
      <c r="B254" s="477" t="s">
        <v>3853</v>
      </c>
      <c r="C254" s="478"/>
      <c r="D254" s="477"/>
      <c r="E254" s="479">
        <v>5909400</v>
      </c>
      <c r="F254" s="479">
        <v>5909400</v>
      </c>
      <c r="G254" s="479">
        <v>3518431.64</v>
      </c>
      <c r="H254" s="479">
        <v>3107001.93</v>
      </c>
      <c r="I254" s="480">
        <v>52.58</v>
      </c>
    </row>
    <row r="255" spans="1:9" ht="140.25" hidden="1" outlineLevel="4">
      <c r="A255" s="832" t="s">
        <v>931</v>
      </c>
      <c r="B255" s="482" t="s">
        <v>3853</v>
      </c>
      <c r="C255" s="831" t="s">
        <v>711</v>
      </c>
      <c r="D255" s="482" t="s">
        <v>712</v>
      </c>
      <c r="E255" s="484">
        <v>5909400</v>
      </c>
      <c r="F255" s="484">
        <v>5909400</v>
      </c>
      <c r="G255" s="484">
        <v>3518431.64</v>
      </c>
      <c r="H255" s="484">
        <v>3107001.93</v>
      </c>
      <c r="I255" s="480">
        <v>52.58</v>
      </c>
    </row>
    <row r="256" spans="1:9" ht="76.5" hidden="1" outlineLevel="3">
      <c r="A256" s="833" t="s">
        <v>933</v>
      </c>
      <c r="B256" s="477" t="s">
        <v>3854</v>
      </c>
      <c r="C256" s="478"/>
      <c r="D256" s="477"/>
      <c r="E256" s="479">
        <v>274319200</v>
      </c>
      <c r="F256" s="479">
        <v>274319200</v>
      </c>
      <c r="G256" s="479">
        <v>182733585.5</v>
      </c>
      <c r="H256" s="479">
        <v>164849077.08000001</v>
      </c>
      <c r="I256" s="480">
        <v>60.09</v>
      </c>
    </row>
    <row r="257" spans="1:9" ht="76.5" hidden="1" outlineLevel="4">
      <c r="A257" s="832" t="s">
        <v>933</v>
      </c>
      <c r="B257" s="482" t="s">
        <v>3854</v>
      </c>
      <c r="C257" s="831" t="s">
        <v>711</v>
      </c>
      <c r="D257" s="482" t="s">
        <v>712</v>
      </c>
      <c r="E257" s="484">
        <v>274319200</v>
      </c>
      <c r="F257" s="484">
        <v>274319200</v>
      </c>
      <c r="G257" s="484">
        <v>182733585.5</v>
      </c>
      <c r="H257" s="484">
        <v>164849077.08000001</v>
      </c>
      <c r="I257" s="480">
        <v>60.09</v>
      </c>
    </row>
    <row r="258" spans="1:9" ht="25.5" hidden="1" outlineLevel="2">
      <c r="A258" s="850" t="s">
        <v>3855</v>
      </c>
      <c r="B258" s="472" t="s">
        <v>3856</v>
      </c>
      <c r="C258" s="473"/>
      <c r="D258" s="472"/>
      <c r="E258" s="474">
        <v>19843313936.400002</v>
      </c>
      <c r="F258" s="474">
        <v>19466690436.400002</v>
      </c>
      <c r="G258" s="474">
        <v>13853478217.379999</v>
      </c>
      <c r="H258" s="474">
        <v>13829314396.4</v>
      </c>
      <c r="I258" s="475">
        <v>69.69</v>
      </c>
    </row>
    <row r="259" spans="1:9" ht="76.5" hidden="1" outlineLevel="3">
      <c r="A259" s="833" t="s">
        <v>702</v>
      </c>
      <c r="B259" s="477" t="s">
        <v>3857</v>
      </c>
      <c r="C259" s="478"/>
      <c r="D259" s="477"/>
      <c r="E259" s="479">
        <v>1126898200</v>
      </c>
      <c r="F259" s="479">
        <v>1126898200</v>
      </c>
      <c r="G259" s="479">
        <v>791213643.58000004</v>
      </c>
      <c r="H259" s="479">
        <v>789575469.46000004</v>
      </c>
      <c r="I259" s="480">
        <v>70.069999999999993</v>
      </c>
    </row>
    <row r="260" spans="1:9" ht="76.5" hidden="1" outlineLevel="4">
      <c r="A260" s="832" t="s">
        <v>702</v>
      </c>
      <c r="B260" s="482" t="s">
        <v>3857</v>
      </c>
      <c r="C260" s="831" t="s">
        <v>711</v>
      </c>
      <c r="D260" s="482" t="s">
        <v>712</v>
      </c>
      <c r="E260" s="484">
        <v>1126898200</v>
      </c>
      <c r="F260" s="484">
        <v>1126898200</v>
      </c>
      <c r="G260" s="484">
        <v>791213643.58000004</v>
      </c>
      <c r="H260" s="484">
        <v>789575469.46000004</v>
      </c>
      <c r="I260" s="480">
        <v>70.069999999999993</v>
      </c>
    </row>
    <row r="261" spans="1:9" ht="63.75" hidden="1" outlineLevel="3">
      <c r="A261" s="833" t="s">
        <v>3858</v>
      </c>
      <c r="B261" s="477" t="s">
        <v>3859</v>
      </c>
      <c r="C261" s="478"/>
      <c r="D261" s="477"/>
      <c r="E261" s="479">
        <v>1369200</v>
      </c>
      <c r="F261" s="479">
        <v>1369200</v>
      </c>
      <c r="G261" s="479">
        <v>1176143.08</v>
      </c>
      <c r="H261" s="479">
        <v>1175926.8600000001</v>
      </c>
      <c r="I261" s="480">
        <v>85.88</v>
      </c>
    </row>
    <row r="262" spans="1:9" ht="63.75" hidden="1" outlineLevel="4">
      <c r="A262" s="832" t="s">
        <v>3858</v>
      </c>
      <c r="B262" s="482" t="s">
        <v>3859</v>
      </c>
      <c r="C262" s="831" t="s">
        <v>711</v>
      </c>
      <c r="D262" s="482" t="s">
        <v>712</v>
      </c>
      <c r="E262" s="484">
        <v>1369200</v>
      </c>
      <c r="F262" s="484">
        <v>1369200</v>
      </c>
      <c r="G262" s="484">
        <v>1176143.08</v>
      </c>
      <c r="H262" s="484">
        <v>1175926.8600000001</v>
      </c>
      <c r="I262" s="480">
        <v>85.88</v>
      </c>
    </row>
    <row r="263" spans="1:9" ht="89.25" hidden="1" outlineLevel="3">
      <c r="A263" s="833" t="s">
        <v>3860</v>
      </c>
      <c r="B263" s="477" t="s">
        <v>3861</v>
      </c>
      <c r="C263" s="478"/>
      <c r="D263" s="477"/>
      <c r="E263" s="479">
        <v>30000000</v>
      </c>
      <c r="F263" s="479">
        <v>30000000</v>
      </c>
      <c r="G263" s="479">
        <v>18500000</v>
      </c>
      <c r="H263" s="479">
        <v>7000000</v>
      </c>
      <c r="I263" s="480">
        <v>23.33</v>
      </c>
    </row>
    <row r="264" spans="1:9" ht="89.25" hidden="1" outlineLevel="4">
      <c r="A264" s="832" t="s">
        <v>3860</v>
      </c>
      <c r="B264" s="482" t="s">
        <v>3861</v>
      </c>
      <c r="C264" s="831" t="s">
        <v>711</v>
      </c>
      <c r="D264" s="482" t="s">
        <v>712</v>
      </c>
      <c r="E264" s="484">
        <v>30000000</v>
      </c>
      <c r="F264" s="484">
        <v>30000000</v>
      </c>
      <c r="G264" s="484">
        <v>18500000</v>
      </c>
      <c r="H264" s="484">
        <v>7000000</v>
      </c>
      <c r="I264" s="480">
        <v>23.33</v>
      </c>
    </row>
    <row r="265" spans="1:9" ht="25.5" hidden="1" outlineLevel="3">
      <c r="A265" s="833" t="s">
        <v>713</v>
      </c>
      <c r="B265" s="477" t="s">
        <v>3862</v>
      </c>
      <c r="C265" s="478"/>
      <c r="D265" s="477"/>
      <c r="E265" s="479">
        <v>10409236.4</v>
      </c>
      <c r="F265" s="479">
        <v>10409236.4</v>
      </c>
      <c r="G265" s="479">
        <v>69950</v>
      </c>
      <c r="H265" s="479">
        <v>69950</v>
      </c>
      <c r="I265" s="480">
        <v>0.67</v>
      </c>
    </row>
    <row r="266" spans="1:9" ht="25.5" hidden="1" outlineLevel="4">
      <c r="A266" s="832" t="s">
        <v>713</v>
      </c>
      <c r="B266" s="482" t="s">
        <v>3862</v>
      </c>
      <c r="C266" s="831" t="s">
        <v>711</v>
      </c>
      <c r="D266" s="482" t="s">
        <v>712</v>
      </c>
      <c r="E266" s="484">
        <v>10409236.4</v>
      </c>
      <c r="F266" s="484">
        <v>10409236.4</v>
      </c>
      <c r="G266" s="484">
        <v>69950</v>
      </c>
      <c r="H266" s="484">
        <v>69950</v>
      </c>
      <c r="I266" s="480">
        <v>0.67</v>
      </c>
    </row>
    <row r="267" spans="1:9" ht="76.5" hidden="1" outlineLevel="3">
      <c r="A267" s="833" t="s">
        <v>925</v>
      </c>
      <c r="B267" s="477" t="s">
        <v>3863</v>
      </c>
      <c r="C267" s="478"/>
      <c r="D267" s="477"/>
      <c r="E267" s="479">
        <v>8506900</v>
      </c>
      <c r="F267" s="479">
        <v>8506900</v>
      </c>
      <c r="G267" s="479">
        <v>4509925</v>
      </c>
      <c r="H267" s="479">
        <v>3961526.54</v>
      </c>
      <c r="I267" s="480">
        <v>46.57</v>
      </c>
    </row>
    <row r="268" spans="1:9" ht="76.5" hidden="1" outlineLevel="4">
      <c r="A268" s="832" t="s">
        <v>925</v>
      </c>
      <c r="B268" s="482" t="s">
        <v>3863</v>
      </c>
      <c r="C268" s="831" t="s">
        <v>711</v>
      </c>
      <c r="D268" s="482" t="s">
        <v>712</v>
      </c>
      <c r="E268" s="484">
        <v>8506900</v>
      </c>
      <c r="F268" s="484">
        <v>8506900</v>
      </c>
      <c r="G268" s="484">
        <v>4509925</v>
      </c>
      <c r="H268" s="484">
        <v>3961526.54</v>
      </c>
      <c r="I268" s="480">
        <v>46.57</v>
      </c>
    </row>
    <row r="269" spans="1:9" ht="38.25" hidden="1" outlineLevel="3">
      <c r="A269" s="833" t="s">
        <v>3864</v>
      </c>
      <c r="B269" s="477" t="s">
        <v>3865</v>
      </c>
      <c r="C269" s="478"/>
      <c r="D269" s="477"/>
      <c r="E269" s="479">
        <v>526000</v>
      </c>
      <c r="F269" s="479">
        <v>526000</v>
      </c>
      <c r="G269" s="479">
        <v>0</v>
      </c>
      <c r="H269" s="479">
        <v>0</v>
      </c>
      <c r="I269" s="480">
        <v>0</v>
      </c>
    </row>
    <row r="270" spans="1:9" ht="38.25" hidden="1" outlineLevel="4">
      <c r="A270" s="832" t="s">
        <v>3864</v>
      </c>
      <c r="B270" s="482" t="s">
        <v>3865</v>
      </c>
      <c r="C270" s="831" t="s">
        <v>711</v>
      </c>
      <c r="D270" s="482" t="s">
        <v>712</v>
      </c>
      <c r="E270" s="484">
        <v>526000</v>
      </c>
      <c r="F270" s="484">
        <v>526000</v>
      </c>
      <c r="G270" s="484">
        <v>0</v>
      </c>
      <c r="H270" s="484">
        <v>0</v>
      </c>
      <c r="I270" s="480">
        <v>0</v>
      </c>
    </row>
    <row r="271" spans="1:9" ht="89.25" hidden="1" outlineLevel="3">
      <c r="A271" s="833" t="s">
        <v>3866</v>
      </c>
      <c r="B271" s="477" t="s">
        <v>3867</v>
      </c>
      <c r="C271" s="478"/>
      <c r="D271" s="477"/>
      <c r="E271" s="479">
        <v>650000</v>
      </c>
      <c r="F271" s="479">
        <v>650000</v>
      </c>
      <c r="G271" s="479">
        <v>650000</v>
      </c>
      <c r="H271" s="479">
        <v>650000</v>
      </c>
      <c r="I271" s="480">
        <v>100</v>
      </c>
    </row>
    <row r="272" spans="1:9" ht="89.25" hidden="1" outlineLevel="4">
      <c r="A272" s="832" t="s">
        <v>3866</v>
      </c>
      <c r="B272" s="482" t="s">
        <v>3867</v>
      </c>
      <c r="C272" s="831" t="s">
        <v>711</v>
      </c>
      <c r="D272" s="482" t="s">
        <v>712</v>
      </c>
      <c r="E272" s="484">
        <v>650000</v>
      </c>
      <c r="F272" s="484">
        <v>650000</v>
      </c>
      <c r="G272" s="484">
        <v>650000</v>
      </c>
      <c r="H272" s="484">
        <v>650000</v>
      </c>
      <c r="I272" s="480">
        <v>100</v>
      </c>
    </row>
    <row r="273" spans="1:9" ht="76.5" hidden="1" outlineLevel="3">
      <c r="A273" s="833" t="s">
        <v>3868</v>
      </c>
      <c r="B273" s="477" t="s">
        <v>3869</v>
      </c>
      <c r="C273" s="478"/>
      <c r="D273" s="477"/>
      <c r="E273" s="479">
        <v>6000000</v>
      </c>
      <c r="F273" s="479">
        <v>6000000</v>
      </c>
      <c r="G273" s="479">
        <v>5250000</v>
      </c>
      <c r="H273" s="479">
        <v>5250000</v>
      </c>
      <c r="I273" s="480">
        <v>87.5</v>
      </c>
    </row>
    <row r="274" spans="1:9" ht="76.5" hidden="1" outlineLevel="4">
      <c r="A274" s="832" t="s">
        <v>3868</v>
      </c>
      <c r="B274" s="482" t="s">
        <v>3869</v>
      </c>
      <c r="C274" s="831" t="s">
        <v>711</v>
      </c>
      <c r="D274" s="482" t="s">
        <v>712</v>
      </c>
      <c r="E274" s="484">
        <v>6000000</v>
      </c>
      <c r="F274" s="484">
        <v>6000000</v>
      </c>
      <c r="G274" s="484">
        <v>5250000</v>
      </c>
      <c r="H274" s="484">
        <v>5250000</v>
      </c>
      <c r="I274" s="480">
        <v>87.5</v>
      </c>
    </row>
    <row r="275" spans="1:9" ht="51" hidden="1" outlineLevel="3">
      <c r="A275" s="833" t="s">
        <v>3870</v>
      </c>
      <c r="B275" s="477" t="s">
        <v>3871</v>
      </c>
      <c r="C275" s="478"/>
      <c r="D275" s="477"/>
      <c r="E275" s="479">
        <v>39000000</v>
      </c>
      <c r="F275" s="479">
        <v>39000000</v>
      </c>
      <c r="G275" s="479">
        <v>39000000</v>
      </c>
      <c r="H275" s="479">
        <v>39000000</v>
      </c>
      <c r="I275" s="480">
        <v>100</v>
      </c>
    </row>
    <row r="276" spans="1:9" ht="51" hidden="1" outlineLevel="4">
      <c r="A276" s="832" t="s">
        <v>3870</v>
      </c>
      <c r="B276" s="482" t="s">
        <v>3871</v>
      </c>
      <c r="C276" s="831" t="s">
        <v>711</v>
      </c>
      <c r="D276" s="482" t="s">
        <v>712</v>
      </c>
      <c r="E276" s="484">
        <v>39000000</v>
      </c>
      <c r="F276" s="484">
        <v>39000000</v>
      </c>
      <c r="G276" s="484">
        <v>39000000</v>
      </c>
      <c r="H276" s="484">
        <v>39000000</v>
      </c>
      <c r="I276" s="480">
        <v>100</v>
      </c>
    </row>
    <row r="277" spans="1:9" ht="89.25" hidden="1" outlineLevel="3">
      <c r="A277" s="833" t="s">
        <v>3872</v>
      </c>
      <c r="B277" s="477" t="s">
        <v>3873</v>
      </c>
      <c r="C277" s="478"/>
      <c r="D277" s="477"/>
      <c r="E277" s="479">
        <v>5935200</v>
      </c>
      <c r="F277" s="479">
        <v>5935200</v>
      </c>
      <c r="G277" s="479">
        <v>5935200</v>
      </c>
      <c r="H277" s="479">
        <v>5935200</v>
      </c>
      <c r="I277" s="480">
        <v>100</v>
      </c>
    </row>
    <row r="278" spans="1:9" ht="89.25" hidden="1" outlineLevel="4">
      <c r="A278" s="832" t="s">
        <v>3872</v>
      </c>
      <c r="B278" s="482" t="s">
        <v>3873</v>
      </c>
      <c r="C278" s="831" t="s">
        <v>711</v>
      </c>
      <c r="D278" s="482" t="s">
        <v>712</v>
      </c>
      <c r="E278" s="484">
        <v>5935200</v>
      </c>
      <c r="F278" s="484">
        <v>5935200</v>
      </c>
      <c r="G278" s="484">
        <v>5935200</v>
      </c>
      <c r="H278" s="484">
        <v>5935200</v>
      </c>
      <c r="I278" s="480">
        <v>100</v>
      </c>
    </row>
    <row r="279" spans="1:9" ht="38.25" hidden="1" outlineLevel="3">
      <c r="A279" s="833" t="s">
        <v>3874</v>
      </c>
      <c r="B279" s="477" t="s">
        <v>3875</v>
      </c>
      <c r="C279" s="478"/>
      <c r="D279" s="477"/>
      <c r="E279" s="479">
        <v>12338000</v>
      </c>
      <c r="F279" s="479">
        <v>12338000</v>
      </c>
      <c r="G279" s="479">
        <v>9730000</v>
      </c>
      <c r="H279" s="479">
        <v>9730000</v>
      </c>
      <c r="I279" s="480">
        <v>78.86</v>
      </c>
    </row>
    <row r="280" spans="1:9" ht="38.25" hidden="1" outlineLevel="4">
      <c r="A280" s="832" t="s">
        <v>3874</v>
      </c>
      <c r="B280" s="482" t="s">
        <v>3875</v>
      </c>
      <c r="C280" s="831" t="s">
        <v>711</v>
      </c>
      <c r="D280" s="482" t="s">
        <v>712</v>
      </c>
      <c r="E280" s="484">
        <v>12338000</v>
      </c>
      <c r="F280" s="484">
        <v>12338000</v>
      </c>
      <c r="G280" s="484">
        <v>9730000</v>
      </c>
      <c r="H280" s="484">
        <v>9730000</v>
      </c>
      <c r="I280" s="480">
        <v>78.86</v>
      </c>
    </row>
    <row r="281" spans="1:9" ht="89.25" hidden="1" outlineLevel="3">
      <c r="A281" s="833" t="s">
        <v>3876</v>
      </c>
      <c r="B281" s="477" t="s">
        <v>3877</v>
      </c>
      <c r="C281" s="478"/>
      <c r="D281" s="477"/>
      <c r="E281" s="479">
        <v>397700</v>
      </c>
      <c r="F281" s="479">
        <v>397700</v>
      </c>
      <c r="G281" s="479">
        <v>397700</v>
      </c>
      <c r="H281" s="479">
        <v>397700</v>
      </c>
      <c r="I281" s="480">
        <v>100</v>
      </c>
    </row>
    <row r="282" spans="1:9" ht="89.25" hidden="1" outlineLevel="4">
      <c r="A282" s="832" t="s">
        <v>3876</v>
      </c>
      <c r="B282" s="482" t="s">
        <v>3877</v>
      </c>
      <c r="C282" s="831" t="s">
        <v>711</v>
      </c>
      <c r="D282" s="482" t="s">
        <v>712</v>
      </c>
      <c r="E282" s="484">
        <v>397700</v>
      </c>
      <c r="F282" s="484">
        <v>397700</v>
      </c>
      <c r="G282" s="484">
        <v>397700</v>
      </c>
      <c r="H282" s="484">
        <v>397700</v>
      </c>
      <c r="I282" s="480">
        <v>100</v>
      </c>
    </row>
    <row r="283" spans="1:9" ht="89.25" hidden="1" outlineLevel="3">
      <c r="A283" s="833" t="s">
        <v>3878</v>
      </c>
      <c r="B283" s="477" t="s">
        <v>3879</v>
      </c>
      <c r="C283" s="478"/>
      <c r="D283" s="477"/>
      <c r="E283" s="479">
        <v>25000000</v>
      </c>
      <c r="F283" s="479">
        <v>25000000</v>
      </c>
      <c r="G283" s="479">
        <v>16471850.630000001</v>
      </c>
      <c r="H283" s="479">
        <v>16263048.119999999</v>
      </c>
      <c r="I283" s="480">
        <v>65.05</v>
      </c>
    </row>
    <row r="284" spans="1:9" ht="89.25" hidden="1" outlineLevel="4">
      <c r="A284" s="832" t="s">
        <v>3878</v>
      </c>
      <c r="B284" s="482" t="s">
        <v>3879</v>
      </c>
      <c r="C284" s="831" t="s">
        <v>711</v>
      </c>
      <c r="D284" s="482" t="s">
        <v>712</v>
      </c>
      <c r="E284" s="484">
        <v>25000000</v>
      </c>
      <c r="F284" s="484">
        <v>25000000</v>
      </c>
      <c r="G284" s="484">
        <v>16471850.630000001</v>
      </c>
      <c r="H284" s="484">
        <v>16263048.119999999</v>
      </c>
      <c r="I284" s="480">
        <v>65.05</v>
      </c>
    </row>
    <row r="285" spans="1:9" ht="76.5" hidden="1" outlineLevel="3">
      <c r="A285" s="833" t="s">
        <v>3880</v>
      </c>
      <c r="B285" s="477" t="s">
        <v>3881</v>
      </c>
      <c r="C285" s="478"/>
      <c r="D285" s="477"/>
      <c r="E285" s="479">
        <v>131496500</v>
      </c>
      <c r="F285" s="479">
        <v>131496500</v>
      </c>
      <c r="G285" s="479">
        <v>72860601.670000002</v>
      </c>
      <c r="H285" s="479">
        <v>70577664.579999998</v>
      </c>
      <c r="I285" s="480">
        <v>53.67</v>
      </c>
    </row>
    <row r="286" spans="1:9" ht="76.5" hidden="1" outlineLevel="4">
      <c r="A286" s="832" t="s">
        <v>3880</v>
      </c>
      <c r="B286" s="482" t="s">
        <v>3881</v>
      </c>
      <c r="C286" s="831" t="s">
        <v>711</v>
      </c>
      <c r="D286" s="482" t="s">
        <v>712</v>
      </c>
      <c r="E286" s="484">
        <v>131496500</v>
      </c>
      <c r="F286" s="484">
        <v>131496500</v>
      </c>
      <c r="G286" s="484">
        <v>72860601.670000002</v>
      </c>
      <c r="H286" s="484">
        <v>70577664.579999998</v>
      </c>
      <c r="I286" s="480">
        <v>53.67</v>
      </c>
    </row>
    <row r="287" spans="1:9" ht="89.25" hidden="1" outlineLevel="3">
      <c r="A287" s="833" t="s">
        <v>3882</v>
      </c>
      <c r="B287" s="477" t="s">
        <v>3883</v>
      </c>
      <c r="C287" s="478"/>
      <c r="D287" s="477"/>
      <c r="E287" s="479">
        <v>65528800</v>
      </c>
      <c r="F287" s="479">
        <v>65528800</v>
      </c>
      <c r="G287" s="479">
        <v>0</v>
      </c>
      <c r="H287" s="479">
        <v>0</v>
      </c>
      <c r="I287" s="480">
        <v>0</v>
      </c>
    </row>
    <row r="288" spans="1:9" ht="89.25" hidden="1" outlineLevel="4">
      <c r="A288" s="832" t="s">
        <v>3882</v>
      </c>
      <c r="B288" s="482" t="s">
        <v>3883</v>
      </c>
      <c r="C288" s="831" t="s">
        <v>711</v>
      </c>
      <c r="D288" s="482" t="s">
        <v>712</v>
      </c>
      <c r="E288" s="484">
        <v>65528800</v>
      </c>
      <c r="F288" s="484">
        <v>65528800</v>
      </c>
      <c r="G288" s="484">
        <v>0</v>
      </c>
      <c r="H288" s="484">
        <v>0</v>
      </c>
      <c r="I288" s="480">
        <v>0</v>
      </c>
    </row>
    <row r="289" spans="1:9" ht="76.5" hidden="1" outlineLevel="3">
      <c r="A289" s="833" t="s">
        <v>3884</v>
      </c>
      <c r="B289" s="477" t="s">
        <v>3885</v>
      </c>
      <c r="C289" s="478"/>
      <c r="D289" s="477"/>
      <c r="E289" s="479">
        <v>27537400</v>
      </c>
      <c r="F289" s="479">
        <v>27537400</v>
      </c>
      <c r="G289" s="479">
        <v>20701963.350000001</v>
      </c>
      <c r="H289" s="479">
        <v>20296723.789999999</v>
      </c>
      <c r="I289" s="480">
        <v>73.709999999999994</v>
      </c>
    </row>
    <row r="290" spans="1:9" ht="76.5" hidden="1" outlineLevel="4">
      <c r="A290" s="832" t="s">
        <v>3884</v>
      </c>
      <c r="B290" s="482" t="s">
        <v>3885</v>
      </c>
      <c r="C290" s="831" t="s">
        <v>711</v>
      </c>
      <c r="D290" s="482" t="s">
        <v>712</v>
      </c>
      <c r="E290" s="484">
        <v>27537400</v>
      </c>
      <c r="F290" s="484">
        <v>27537400</v>
      </c>
      <c r="G290" s="484">
        <v>20701963.350000001</v>
      </c>
      <c r="H290" s="484">
        <v>20296723.789999999</v>
      </c>
      <c r="I290" s="480">
        <v>73.709999999999994</v>
      </c>
    </row>
    <row r="291" spans="1:9" ht="63.75" hidden="1" outlineLevel="3">
      <c r="A291" s="833" t="s">
        <v>929</v>
      </c>
      <c r="B291" s="477" t="s">
        <v>3886</v>
      </c>
      <c r="C291" s="478"/>
      <c r="D291" s="477"/>
      <c r="E291" s="479">
        <v>16815697100</v>
      </c>
      <c r="F291" s="479">
        <v>16439073600</v>
      </c>
      <c r="G291" s="479">
        <v>11767142675.290001</v>
      </c>
      <c r="H291" s="479">
        <v>11767142675.290001</v>
      </c>
      <c r="I291" s="480">
        <v>69.98</v>
      </c>
    </row>
    <row r="292" spans="1:9" ht="63.75" hidden="1" outlineLevel="4">
      <c r="A292" s="832" t="s">
        <v>929</v>
      </c>
      <c r="B292" s="482" t="s">
        <v>3886</v>
      </c>
      <c r="C292" s="831" t="s">
        <v>711</v>
      </c>
      <c r="D292" s="482" t="s">
        <v>712</v>
      </c>
      <c r="E292" s="484">
        <v>16815697100</v>
      </c>
      <c r="F292" s="484">
        <v>16439073600</v>
      </c>
      <c r="G292" s="484">
        <v>11767142675.290001</v>
      </c>
      <c r="H292" s="484">
        <v>11767142675.290001</v>
      </c>
      <c r="I292" s="480">
        <v>69.98</v>
      </c>
    </row>
    <row r="293" spans="1:9" ht="38.25" hidden="1" outlineLevel="3">
      <c r="A293" s="833" t="s">
        <v>996</v>
      </c>
      <c r="B293" s="477" t="s">
        <v>3887</v>
      </c>
      <c r="C293" s="478"/>
      <c r="D293" s="477"/>
      <c r="E293" s="479">
        <v>387515000</v>
      </c>
      <c r="F293" s="479">
        <v>387515000</v>
      </c>
      <c r="G293" s="479">
        <v>238851699</v>
      </c>
      <c r="H293" s="479">
        <v>233947818.43000001</v>
      </c>
      <c r="I293" s="480">
        <v>60.37</v>
      </c>
    </row>
    <row r="294" spans="1:9" ht="38.25" hidden="1" outlineLevel="4">
      <c r="A294" s="832" t="s">
        <v>996</v>
      </c>
      <c r="B294" s="482" t="s">
        <v>3887</v>
      </c>
      <c r="C294" s="831" t="s">
        <v>711</v>
      </c>
      <c r="D294" s="482" t="s">
        <v>712</v>
      </c>
      <c r="E294" s="484">
        <v>387515000</v>
      </c>
      <c r="F294" s="484">
        <v>387515000</v>
      </c>
      <c r="G294" s="484">
        <v>238851699</v>
      </c>
      <c r="H294" s="484">
        <v>233947818.43000001</v>
      </c>
      <c r="I294" s="480">
        <v>60.37</v>
      </c>
    </row>
    <row r="295" spans="1:9" ht="127.5" hidden="1" outlineLevel="3">
      <c r="A295" s="833" t="s">
        <v>3888</v>
      </c>
      <c r="B295" s="477" t="s">
        <v>3889</v>
      </c>
      <c r="C295" s="478"/>
      <c r="D295" s="477"/>
      <c r="E295" s="479">
        <v>638249100</v>
      </c>
      <c r="F295" s="479">
        <v>638249100</v>
      </c>
      <c r="G295" s="479">
        <v>473477824.86000001</v>
      </c>
      <c r="H295" s="479">
        <v>471287927.81</v>
      </c>
      <c r="I295" s="480">
        <v>73.84</v>
      </c>
    </row>
    <row r="296" spans="1:9" ht="127.5" hidden="1" outlineLevel="4">
      <c r="A296" s="832" t="s">
        <v>3888</v>
      </c>
      <c r="B296" s="482" t="s">
        <v>3889</v>
      </c>
      <c r="C296" s="831" t="s">
        <v>711</v>
      </c>
      <c r="D296" s="482" t="s">
        <v>712</v>
      </c>
      <c r="E296" s="484">
        <v>638249100</v>
      </c>
      <c r="F296" s="484">
        <v>638249100</v>
      </c>
      <c r="G296" s="484">
        <v>473477824.86000001</v>
      </c>
      <c r="H296" s="484">
        <v>471287927.81</v>
      </c>
      <c r="I296" s="480">
        <v>73.84</v>
      </c>
    </row>
    <row r="297" spans="1:9" ht="63.75" hidden="1" outlineLevel="3">
      <c r="A297" s="833" t="s">
        <v>3890</v>
      </c>
      <c r="B297" s="477" t="s">
        <v>3891</v>
      </c>
      <c r="C297" s="478"/>
      <c r="D297" s="477"/>
      <c r="E297" s="479">
        <v>510259600</v>
      </c>
      <c r="F297" s="479">
        <v>510259600</v>
      </c>
      <c r="G297" s="479">
        <v>387539040.92000002</v>
      </c>
      <c r="H297" s="479">
        <v>387052765.51999998</v>
      </c>
      <c r="I297" s="480">
        <v>75.849999999999994</v>
      </c>
    </row>
    <row r="298" spans="1:9" ht="63.75" hidden="1" outlineLevel="4">
      <c r="A298" s="832" t="s">
        <v>3890</v>
      </c>
      <c r="B298" s="482" t="s">
        <v>3891</v>
      </c>
      <c r="C298" s="831" t="s">
        <v>711</v>
      </c>
      <c r="D298" s="482" t="s">
        <v>712</v>
      </c>
      <c r="E298" s="484">
        <v>510259600</v>
      </c>
      <c r="F298" s="484">
        <v>510259600</v>
      </c>
      <c r="G298" s="484">
        <v>387539040.92000002</v>
      </c>
      <c r="H298" s="484">
        <v>387052765.51999998</v>
      </c>
      <c r="I298" s="480">
        <v>75.849999999999994</v>
      </c>
    </row>
    <row r="299" spans="1:9" ht="25.5" hidden="1" outlineLevel="2">
      <c r="A299" s="850" t="s">
        <v>3892</v>
      </c>
      <c r="B299" s="472" t="s">
        <v>3893</v>
      </c>
      <c r="C299" s="473"/>
      <c r="D299" s="472"/>
      <c r="E299" s="474">
        <v>170996100</v>
      </c>
      <c r="F299" s="474">
        <v>170996100</v>
      </c>
      <c r="G299" s="474">
        <v>104821609.56</v>
      </c>
      <c r="H299" s="474">
        <v>104821609.56</v>
      </c>
      <c r="I299" s="475">
        <v>61.3</v>
      </c>
    </row>
    <row r="300" spans="1:9" ht="76.5" hidden="1" outlineLevel="3">
      <c r="A300" s="833" t="s">
        <v>702</v>
      </c>
      <c r="B300" s="477" t="s">
        <v>3894</v>
      </c>
      <c r="C300" s="478"/>
      <c r="D300" s="477"/>
      <c r="E300" s="479">
        <v>159138800</v>
      </c>
      <c r="F300" s="479">
        <v>159138800</v>
      </c>
      <c r="G300" s="479">
        <v>95214309.560000002</v>
      </c>
      <c r="H300" s="479">
        <v>95214309.560000002</v>
      </c>
      <c r="I300" s="480">
        <v>59.83</v>
      </c>
    </row>
    <row r="301" spans="1:9" ht="76.5" hidden="1" outlineLevel="4">
      <c r="A301" s="832" t="s">
        <v>702</v>
      </c>
      <c r="B301" s="482" t="s">
        <v>3894</v>
      </c>
      <c r="C301" s="831" t="s">
        <v>711</v>
      </c>
      <c r="D301" s="482" t="s">
        <v>712</v>
      </c>
      <c r="E301" s="484">
        <v>159138800</v>
      </c>
      <c r="F301" s="484">
        <v>159138800</v>
      </c>
      <c r="G301" s="484">
        <v>95214309.560000002</v>
      </c>
      <c r="H301" s="484">
        <v>95214309.560000002</v>
      </c>
      <c r="I301" s="480">
        <v>59.83</v>
      </c>
    </row>
    <row r="302" spans="1:9" ht="25.5" hidden="1" outlineLevel="3">
      <c r="A302" s="833" t="s">
        <v>713</v>
      </c>
      <c r="B302" s="477" t="s">
        <v>3895</v>
      </c>
      <c r="C302" s="478"/>
      <c r="D302" s="477"/>
      <c r="E302" s="479">
        <v>2250000</v>
      </c>
      <c r="F302" s="479">
        <v>2250000</v>
      </c>
      <c r="G302" s="479">
        <v>0</v>
      </c>
      <c r="H302" s="479">
        <v>0</v>
      </c>
      <c r="I302" s="480">
        <v>0</v>
      </c>
    </row>
    <row r="303" spans="1:9" ht="25.5" hidden="1" outlineLevel="4">
      <c r="A303" s="832" t="s">
        <v>713</v>
      </c>
      <c r="B303" s="482" t="s">
        <v>3895</v>
      </c>
      <c r="C303" s="831" t="s">
        <v>711</v>
      </c>
      <c r="D303" s="482" t="s">
        <v>712</v>
      </c>
      <c r="E303" s="484">
        <v>2250000</v>
      </c>
      <c r="F303" s="484">
        <v>2250000</v>
      </c>
      <c r="G303" s="484">
        <v>0</v>
      </c>
      <c r="H303" s="484">
        <v>0</v>
      </c>
      <c r="I303" s="480">
        <v>0</v>
      </c>
    </row>
    <row r="304" spans="1:9" ht="127.5" hidden="1" outlineLevel="3">
      <c r="A304" s="833" t="s">
        <v>3896</v>
      </c>
      <c r="B304" s="477" t="s">
        <v>3897</v>
      </c>
      <c r="C304" s="478"/>
      <c r="D304" s="477"/>
      <c r="E304" s="479">
        <v>1500000</v>
      </c>
      <c r="F304" s="479">
        <v>1500000</v>
      </c>
      <c r="G304" s="479">
        <v>1500000</v>
      </c>
      <c r="H304" s="479">
        <v>1500000</v>
      </c>
      <c r="I304" s="480">
        <v>100</v>
      </c>
    </row>
    <row r="305" spans="1:9" ht="127.5" hidden="1" outlineLevel="4">
      <c r="A305" s="832" t="s">
        <v>3896</v>
      </c>
      <c r="B305" s="482" t="s">
        <v>3897</v>
      </c>
      <c r="C305" s="831" t="s">
        <v>711</v>
      </c>
      <c r="D305" s="482" t="s">
        <v>712</v>
      </c>
      <c r="E305" s="484">
        <v>1500000</v>
      </c>
      <c r="F305" s="484">
        <v>1500000</v>
      </c>
      <c r="G305" s="484">
        <v>1500000</v>
      </c>
      <c r="H305" s="484">
        <v>1500000</v>
      </c>
      <c r="I305" s="480">
        <v>100</v>
      </c>
    </row>
    <row r="306" spans="1:9" ht="76.5" hidden="1" outlineLevel="3">
      <c r="A306" s="833" t="s">
        <v>3898</v>
      </c>
      <c r="B306" s="477" t="s">
        <v>3899</v>
      </c>
      <c r="C306" s="478"/>
      <c r="D306" s="477"/>
      <c r="E306" s="479">
        <v>3482300</v>
      </c>
      <c r="F306" s="479">
        <v>3482300</v>
      </c>
      <c r="G306" s="479">
        <v>3482300</v>
      </c>
      <c r="H306" s="479">
        <v>3482300</v>
      </c>
      <c r="I306" s="480">
        <v>100</v>
      </c>
    </row>
    <row r="307" spans="1:9" ht="76.5" hidden="1" outlineLevel="4">
      <c r="A307" s="832" t="s">
        <v>3898</v>
      </c>
      <c r="B307" s="482" t="s">
        <v>3899</v>
      </c>
      <c r="C307" s="831" t="s">
        <v>711</v>
      </c>
      <c r="D307" s="482" t="s">
        <v>712</v>
      </c>
      <c r="E307" s="484">
        <v>3482300</v>
      </c>
      <c r="F307" s="484">
        <v>3482300</v>
      </c>
      <c r="G307" s="484">
        <v>3482300</v>
      </c>
      <c r="H307" s="484">
        <v>3482300</v>
      </c>
      <c r="I307" s="480">
        <v>100</v>
      </c>
    </row>
    <row r="308" spans="1:9" ht="76.5" hidden="1" outlineLevel="3">
      <c r="A308" s="833" t="s">
        <v>3900</v>
      </c>
      <c r="B308" s="477" t="s">
        <v>3901</v>
      </c>
      <c r="C308" s="478"/>
      <c r="D308" s="477"/>
      <c r="E308" s="479">
        <v>4000000</v>
      </c>
      <c r="F308" s="479">
        <v>4000000</v>
      </c>
      <c r="G308" s="479">
        <v>4000000</v>
      </c>
      <c r="H308" s="479">
        <v>4000000</v>
      </c>
      <c r="I308" s="480">
        <v>100</v>
      </c>
    </row>
    <row r="309" spans="1:9" ht="76.5" hidden="1" outlineLevel="4">
      <c r="A309" s="832" t="s">
        <v>3900</v>
      </c>
      <c r="B309" s="482" t="s">
        <v>3901</v>
      </c>
      <c r="C309" s="831" t="s">
        <v>711</v>
      </c>
      <c r="D309" s="482" t="s">
        <v>712</v>
      </c>
      <c r="E309" s="484">
        <v>4000000</v>
      </c>
      <c r="F309" s="484">
        <v>4000000</v>
      </c>
      <c r="G309" s="484">
        <v>4000000</v>
      </c>
      <c r="H309" s="484">
        <v>4000000</v>
      </c>
      <c r="I309" s="480">
        <v>100</v>
      </c>
    </row>
    <row r="310" spans="1:9" ht="76.5" hidden="1" outlineLevel="3">
      <c r="A310" s="833" t="s">
        <v>3902</v>
      </c>
      <c r="B310" s="477" t="s">
        <v>3903</v>
      </c>
      <c r="C310" s="478"/>
      <c r="D310" s="477"/>
      <c r="E310" s="479">
        <v>625000</v>
      </c>
      <c r="F310" s="479">
        <v>625000</v>
      </c>
      <c r="G310" s="479">
        <v>625000</v>
      </c>
      <c r="H310" s="479">
        <v>625000</v>
      </c>
      <c r="I310" s="480">
        <v>100</v>
      </c>
    </row>
    <row r="311" spans="1:9" ht="76.5" hidden="1" outlineLevel="4">
      <c r="A311" s="832" t="s">
        <v>3902</v>
      </c>
      <c r="B311" s="482" t="s">
        <v>3903</v>
      </c>
      <c r="C311" s="831" t="s">
        <v>711</v>
      </c>
      <c r="D311" s="482" t="s">
        <v>712</v>
      </c>
      <c r="E311" s="484">
        <v>625000</v>
      </c>
      <c r="F311" s="484">
        <v>625000</v>
      </c>
      <c r="G311" s="484">
        <v>625000</v>
      </c>
      <c r="H311" s="484">
        <v>625000</v>
      </c>
      <c r="I311" s="480">
        <v>100</v>
      </c>
    </row>
    <row r="312" spans="1:9" ht="51" hidden="1" outlineLevel="2">
      <c r="A312" s="850" t="s">
        <v>3262</v>
      </c>
      <c r="B312" s="472" t="s">
        <v>3904</v>
      </c>
      <c r="C312" s="473"/>
      <c r="D312" s="472"/>
      <c r="E312" s="474">
        <v>222089600</v>
      </c>
      <c r="F312" s="474">
        <v>222089600</v>
      </c>
      <c r="G312" s="474">
        <v>221591763.56</v>
      </c>
      <c r="H312" s="474">
        <v>221591763.56</v>
      </c>
      <c r="I312" s="475">
        <v>99.78</v>
      </c>
    </row>
    <row r="313" spans="1:9" ht="63.75" hidden="1" outlineLevel="3">
      <c r="A313" s="833" t="s">
        <v>3260</v>
      </c>
      <c r="B313" s="477" t="s">
        <v>3905</v>
      </c>
      <c r="C313" s="478"/>
      <c r="D313" s="477"/>
      <c r="E313" s="479">
        <v>222089600</v>
      </c>
      <c r="F313" s="479">
        <v>222089600</v>
      </c>
      <c r="G313" s="479">
        <v>221591763.56</v>
      </c>
      <c r="H313" s="479">
        <v>221591763.56</v>
      </c>
      <c r="I313" s="480">
        <v>99.78</v>
      </c>
    </row>
    <row r="314" spans="1:9" ht="63.75" hidden="1" outlineLevel="4">
      <c r="A314" s="832" t="s">
        <v>3260</v>
      </c>
      <c r="B314" s="482" t="s">
        <v>3905</v>
      </c>
      <c r="C314" s="831" t="s">
        <v>803</v>
      </c>
      <c r="D314" s="482" t="s">
        <v>804</v>
      </c>
      <c r="E314" s="484">
        <v>222089600</v>
      </c>
      <c r="F314" s="484">
        <v>222089600</v>
      </c>
      <c r="G314" s="484">
        <v>221591763.56</v>
      </c>
      <c r="H314" s="484">
        <v>221591763.56</v>
      </c>
      <c r="I314" s="480">
        <v>99.78</v>
      </c>
    </row>
    <row r="315" spans="1:9" ht="25.5" hidden="1" outlineLevel="2">
      <c r="A315" s="850" t="s">
        <v>951</v>
      </c>
      <c r="B315" s="472" t="s">
        <v>3906</v>
      </c>
      <c r="C315" s="473"/>
      <c r="D315" s="472"/>
      <c r="E315" s="474">
        <v>852785596.13999999</v>
      </c>
      <c r="F315" s="474">
        <v>852785596.13999999</v>
      </c>
      <c r="G315" s="474">
        <v>45240734.630000003</v>
      </c>
      <c r="H315" s="474">
        <v>45240734.630000003</v>
      </c>
      <c r="I315" s="475">
        <v>5.31</v>
      </c>
    </row>
    <row r="316" spans="1:9" ht="89.25" hidden="1" outlineLevel="3">
      <c r="A316" s="833" t="s">
        <v>3907</v>
      </c>
      <c r="B316" s="477" t="s">
        <v>3908</v>
      </c>
      <c r="C316" s="478"/>
      <c r="D316" s="477"/>
      <c r="E316" s="479">
        <v>19756800</v>
      </c>
      <c r="F316" s="479">
        <v>19756800</v>
      </c>
      <c r="G316" s="479">
        <v>19756800</v>
      </c>
      <c r="H316" s="479">
        <v>19756800</v>
      </c>
      <c r="I316" s="480">
        <v>100</v>
      </c>
    </row>
    <row r="317" spans="1:9" ht="89.25" hidden="1" outlineLevel="4">
      <c r="A317" s="832" t="s">
        <v>3907</v>
      </c>
      <c r="B317" s="482" t="s">
        <v>3908</v>
      </c>
      <c r="C317" s="831" t="s">
        <v>711</v>
      </c>
      <c r="D317" s="482" t="s">
        <v>712</v>
      </c>
      <c r="E317" s="484">
        <v>19756800</v>
      </c>
      <c r="F317" s="484">
        <v>19756800</v>
      </c>
      <c r="G317" s="484">
        <v>19756800</v>
      </c>
      <c r="H317" s="484">
        <v>19756800</v>
      </c>
      <c r="I317" s="480">
        <v>100</v>
      </c>
    </row>
    <row r="318" spans="1:9" ht="102" hidden="1" outlineLevel="3">
      <c r="A318" s="833" t="s">
        <v>3909</v>
      </c>
      <c r="B318" s="477" t="s">
        <v>3910</v>
      </c>
      <c r="C318" s="478"/>
      <c r="D318" s="477"/>
      <c r="E318" s="479">
        <v>1000000</v>
      </c>
      <c r="F318" s="479">
        <v>1000000</v>
      </c>
      <c r="G318" s="479">
        <v>1000000</v>
      </c>
      <c r="H318" s="479">
        <v>1000000</v>
      </c>
      <c r="I318" s="480">
        <v>100</v>
      </c>
    </row>
    <row r="319" spans="1:9" ht="102" hidden="1" outlineLevel="4">
      <c r="A319" s="832" t="s">
        <v>3909</v>
      </c>
      <c r="B319" s="482" t="s">
        <v>3910</v>
      </c>
      <c r="C319" s="831" t="s">
        <v>711</v>
      </c>
      <c r="D319" s="482" t="s">
        <v>712</v>
      </c>
      <c r="E319" s="484">
        <v>1000000</v>
      </c>
      <c r="F319" s="484">
        <v>1000000</v>
      </c>
      <c r="G319" s="484">
        <v>1000000</v>
      </c>
      <c r="H319" s="484">
        <v>1000000</v>
      </c>
      <c r="I319" s="480">
        <v>100</v>
      </c>
    </row>
    <row r="320" spans="1:9" ht="25.5" hidden="1" outlineLevel="3">
      <c r="A320" s="833" t="s">
        <v>3911</v>
      </c>
      <c r="B320" s="477" t="s">
        <v>3912</v>
      </c>
      <c r="C320" s="478"/>
      <c r="D320" s="477"/>
      <c r="E320" s="479">
        <v>832028796.13999999</v>
      </c>
      <c r="F320" s="479">
        <v>832028796.13999999</v>
      </c>
      <c r="G320" s="479">
        <v>24483934.629999999</v>
      </c>
      <c r="H320" s="479">
        <v>24483934.629999999</v>
      </c>
      <c r="I320" s="480">
        <v>2.94</v>
      </c>
    </row>
    <row r="321" spans="1:9" ht="25.5" hidden="1" outlineLevel="4">
      <c r="A321" s="832" t="s">
        <v>3911</v>
      </c>
      <c r="B321" s="482" t="s">
        <v>3912</v>
      </c>
      <c r="C321" s="831" t="s">
        <v>803</v>
      </c>
      <c r="D321" s="482" t="s">
        <v>804</v>
      </c>
      <c r="E321" s="484">
        <v>832028796.13999999</v>
      </c>
      <c r="F321" s="484">
        <v>832028796.13999999</v>
      </c>
      <c r="G321" s="484">
        <v>24483934.629999999</v>
      </c>
      <c r="H321" s="484">
        <v>24483934.629999999</v>
      </c>
      <c r="I321" s="480">
        <v>2.94</v>
      </c>
    </row>
    <row r="322" spans="1:9" ht="25.5" hidden="1" outlineLevel="2">
      <c r="A322" s="850" t="s">
        <v>957</v>
      </c>
      <c r="B322" s="472" t="s">
        <v>3913</v>
      </c>
      <c r="C322" s="473"/>
      <c r="D322" s="472"/>
      <c r="E322" s="474">
        <v>6022600</v>
      </c>
      <c r="F322" s="474">
        <v>6022600</v>
      </c>
      <c r="G322" s="474">
        <v>6022600</v>
      </c>
      <c r="H322" s="474">
        <v>6022600</v>
      </c>
      <c r="I322" s="475">
        <v>100</v>
      </c>
    </row>
    <row r="323" spans="1:9" ht="76.5" hidden="1" outlineLevel="3">
      <c r="A323" s="833" t="s">
        <v>3914</v>
      </c>
      <c r="B323" s="477" t="s">
        <v>3915</v>
      </c>
      <c r="C323" s="478"/>
      <c r="D323" s="477"/>
      <c r="E323" s="479">
        <v>3954100</v>
      </c>
      <c r="F323" s="479">
        <v>3954100</v>
      </c>
      <c r="G323" s="479">
        <v>3954100</v>
      </c>
      <c r="H323" s="479">
        <v>3954100</v>
      </c>
      <c r="I323" s="480">
        <v>100</v>
      </c>
    </row>
    <row r="324" spans="1:9" ht="76.5" hidden="1" outlineLevel="4">
      <c r="A324" s="832" t="s">
        <v>3914</v>
      </c>
      <c r="B324" s="482" t="s">
        <v>3915</v>
      </c>
      <c r="C324" s="831" t="s">
        <v>711</v>
      </c>
      <c r="D324" s="482" t="s">
        <v>712</v>
      </c>
      <c r="E324" s="484">
        <v>3954100</v>
      </c>
      <c r="F324" s="484">
        <v>3954100</v>
      </c>
      <c r="G324" s="484">
        <v>3954100</v>
      </c>
      <c r="H324" s="484">
        <v>3954100</v>
      </c>
      <c r="I324" s="480">
        <v>100</v>
      </c>
    </row>
    <row r="325" spans="1:9" ht="102" hidden="1" outlineLevel="3">
      <c r="A325" s="833" t="s">
        <v>3916</v>
      </c>
      <c r="B325" s="477" t="s">
        <v>3917</v>
      </c>
      <c r="C325" s="478"/>
      <c r="D325" s="477"/>
      <c r="E325" s="479">
        <v>2068500</v>
      </c>
      <c r="F325" s="479">
        <v>2068500</v>
      </c>
      <c r="G325" s="479">
        <v>2068500</v>
      </c>
      <c r="H325" s="479">
        <v>2068500</v>
      </c>
      <c r="I325" s="480">
        <v>100</v>
      </c>
    </row>
    <row r="326" spans="1:9" ht="102" hidden="1" outlineLevel="4">
      <c r="A326" s="832" t="s">
        <v>3916</v>
      </c>
      <c r="B326" s="482" t="s">
        <v>3917</v>
      </c>
      <c r="C326" s="831" t="s">
        <v>711</v>
      </c>
      <c r="D326" s="482" t="s">
        <v>712</v>
      </c>
      <c r="E326" s="484">
        <v>2068500</v>
      </c>
      <c r="F326" s="484">
        <v>2068500</v>
      </c>
      <c r="G326" s="484">
        <v>2068500</v>
      </c>
      <c r="H326" s="484">
        <v>2068500</v>
      </c>
      <c r="I326" s="480">
        <v>100</v>
      </c>
    </row>
    <row r="327" spans="1:9" ht="25.5" hidden="1" outlineLevel="2">
      <c r="A327" s="850" t="s">
        <v>1009</v>
      </c>
      <c r="B327" s="472" t="s">
        <v>3918</v>
      </c>
      <c r="C327" s="473"/>
      <c r="D327" s="472"/>
      <c r="E327" s="474">
        <v>152807300</v>
      </c>
      <c r="F327" s="474">
        <v>152807300</v>
      </c>
      <c r="G327" s="474">
        <v>151885700</v>
      </c>
      <c r="H327" s="474">
        <v>151885700</v>
      </c>
      <c r="I327" s="475">
        <v>99.4</v>
      </c>
    </row>
    <row r="328" spans="1:9" ht="25.5" hidden="1" outlineLevel="3">
      <c r="A328" s="833" t="s">
        <v>1011</v>
      </c>
      <c r="B328" s="477" t="s">
        <v>3919</v>
      </c>
      <c r="C328" s="478"/>
      <c r="D328" s="477"/>
      <c r="E328" s="479">
        <v>4608000</v>
      </c>
      <c r="F328" s="479">
        <v>4608000</v>
      </c>
      <c r="G328" s="479">
        <v>3686400</v>
      </c>
      <c r="H328" s="479">
        <v>3686400</v>
      </c>
      <c r="I328" s="480">
        <v>80</v>
      </c>
    </row>
    <row r="329" spans="1:9" ht="25.5" hidden="1" outlineLevel="4">
      <c r="A329" s="832" t="s">
        <v>1011</v>
      </c>
      <c r="B329" s="482" t="s">
        <v>3919</v>
      </c>
      <c r="C329" s="831" t="s">
        <v>711</v>
      </c>
      <c r="D329" s="482" t="s">
        <v>712</v>
      </c>
      <c r="E329" s="484">
        <v>4608000</v>
      </c>
      <c r="F329" s="484">
        <v>4608000</v>
      </c>
      <c r="G329" s="484">
        <v>3686400</v>
      </c>
      <c r="H329" s="484">
        <v>3686400</v>
      </c>
      <c r="I329" s="480">
        <v>80</v>
      </c>
    </row>
    <row r="330" spans="1:9" ht="63.75" hidden="1" outlineLevel="3">
      <c r="A330" s="833" t="s">
        <v>3920</v>
      </c>
      <c r="B330" s="477" t="s">
        <v>3921</v>
      </c>
      <c r="C330" s="478"/>
      <c r="D330" s="477"/>
      <c r="E330" s="479">
        <v>148199300</v>
      </c>
      <c r="F330" s="479">
        <v>148199300</v>
      </c>
      <c r="G330" s="479">
        <v>148199300</v>
      </c>
      <c r="H330" s="479">
        <v>148199300</v>
      </c>
      <c r="I330" s="480">
        <v>100</v>
      </c>
    </row>
    <row r="331" spans="1:9" ht="63.75" hidden="1" outlineLevel="4">
      <c r="A331" s="832" t="s">
        <v>3920</v>
      </c>
      <c r="B331" s="482" t="s">
        <v>3921</v>
      </c>
      <c r="C331" s="831" t="s">
        <v>711</v>
      </c>
      <c r="D331" s="482" t="s">
        <v>712</v>
      </c>
      <c r="E331" s="484">
        <v>148199300</v>
      </c>
      <c r="F331" s="484">
        <v>148199300</v>
      </c>
      <c r="G331" s="484">
        <v>148199300</v>
      </c>
      <c r="H331" s="484">
        <v>148199300</v>
      </c>
      <c r="I331" s="480">
        <v>100</v>
      </c>
    </row>
    <row r="332" spans="1:9" ht="25.5" hidden="1" outlineLevel="2">
      <c r="A332" s="850" t="s">
        <v>3922</v>
      </c>
      <c r="B332" s="472" t="s">
        <v>3923</v>
      </c>
      <c r="C332" s="473"/>
      <c r="D332" s="472"/>
      <c r="E332" s="474">
        <v>40535419.710000001</v>
      </c>
      <c r="F332" s="474">
        <v>40535419.710000001</v>
      </c>
      <c r="G332" s="474">
        <v>40389573.670000002</v>
      </c>
      <c r="H332" s="474">
        <v>40389573.670000002</v>
      </c>
      <c r="I332" s="475">
        <v>99.64</v>
      </c>
    </row>
    <row r="333" spans="1:9" ht="63.75" hidden="1" outlineLevel="3">
      <c r="A333" s="833" t="s">
        <v>3924</v>
      </c>
      <c r="B333" s="477" t="s">
        <v>3925</v>
      </c>
      <c r="C333" s="478"/>
      <c r="D333" s="477"/>
      <c r="E333" s="479">
        <v>40535419.710000001</v>
      </c>
      <c r="F333" s="479">
        <v>40535419.710000001</v>
      </c>
      <c r="G333" s="479">
        <v>40389573.670000002</v>
      </c>
      <c r="H333" s="479">
        <v>40389573.670000002</v>
      </c>
      <c r="I333" s="480">
        <v>99.64</v>
      </c>
    </row>
    <row r="334" spans="1:9" ht="63.75" hidden="1" outlineLevel="4">
      <c r="A334" s="832" t="s">
        <v>3924</v>
      </c>
      <c r="B334" s="482" t="s">
        <v>3925</v>
      </c>
      <c r="C334" s="831" t="s">
        <v>803</v>
      </c>
      <c r="D334" s="482" t="s">
        <v>804</v>
      </c>
      <c r="E334" s="484">
        <v>40535419.710000001</v>
      </c>
      <c r="F334" s="484">
        <v>40535419.710000001</v>
      </c>
      <c r="G334" s="484">
        <v>40389573.670000002</v>
      </c>
      <c r="H334" s="484">
        <v>40389573.670000002</v>
      </c>
      <c r="I334" s="480">
        <v>99.64</v>
      </c>
    </row>
    <row r="335" spans="1:9" ht="25.5" hidden="1" outlineLevel="1">
      <c r="A335" s="851" t="s">
        <v>3926</v>
      </c>
      <c r="B335" s="467" t="s">
        <v>3927</v>
      </c>
      <c r="C335" s="468"/>
      <c r="D335" s="467"/>
      <c r="E335" s="469">
        <v>1067792476</v>
      </c>
      <c r="F335" s="469">
        <v>1059126176</v>
      </c>
      <c r="G335" s="469">
        <v>880774586.47000003</v>
      </c>
      <c r="H335" s="469">
        <v>878624625.83000004</v>
      </c>
      <c r="I335" s="470">
        <v>82.28</v>
      </c>
    </row>
    <row r="336" spans="1:9" ht="51" hidden="1" outlineLevel="2">
      <c r="A336" s="850" t="s">
        <v>3928</v>
      </c>
      <c r="B336" s="472" t="s">
        <v>3929</v>
      </c>
      <c r="C336" s="473"/>
      <c r="D336" s="472"/>
      <c r="E336" s="474">
        <v>392104376</v>
      </c>
      <c r="F336" s="474">
        <v>392104376</v>
      </c>
      <c r="G336" s="474">
        <v>277831343.56</v>
      </c>
      <c r="H336" s="474">
        <v>276794880.82999998</v>
      </c>
      <c r="I336" s="475">
        <v>70.59</v>
      </c>
    </row>
    <row r="337" spans="1:9" ht="76.5" hidden="1" outlineLevel="3">
      <c r="A337" s="833" t="s">
        <v>702</v>
      </c>
      <c r="B337" s="477" t="s">
        <v>3930</v>
      </c>
      <c r="C337" s="478"/>
      <c r="D337" s="477"/>
      <c r="E337" s="479">
        <v>364952000</v>
      </c>
      <c r="F337" s="479">
        <v>364952000</v>
      </c>
      <c r="G337" s="479">
        <v>265406177.97</v>
      </c>
      <c r="H337" s="479">
        <v>265406177.97</v>
      </c>
      <c r="I337" s="480">
        <v>72.72</v>
      </c>
    </row>
    <row r="338" spans="1:9" ht="76.5" hidden="1" outlineLevel="4">
      <c r="A338" s="832" t="s">
        <v>702</v>
      </c>
      <c r="B338" s="482" t="s">
        <v>3930</v>
      </c>
      <c r="C338" s="831" t="s">
        <v>711</v>
      </c>
      <c r="D338" s="482" t="s">
        <v>712</v>
      </c>
      <c r="E338" s="484">
        <v>364952000</v>
      </c>
      <c r="F338" s="484">
        <v>364952000</v>
      </c>
      <c r="G338" s="484">
        <v>265406177.97</v>
      </c>
      <c r="H338" s="484">
        <v>265406177.97</v>
      </c>
      <c r="I338" s="480">
        <v>72.72</v>
      </c>
    </row>
    <row r="339" spans="1:9" ht="51" hidden="1" outlineLevel="3">
      <c r="A339" s="833" t="s">
        <v>801</v>
      </c>
      <c r="B339" s="477" t="s">
        <v>3931</v>
      </c>
      <c r="C339" s="478"/>
      <c r="D339" s="477"/>
      <c r="E339" s="479">
        <v>6221576</v>
      </c>
      <c r="F339" s="479">
        <v>6221576</v>
      </c>
      <c r="G339" s="479">
        <v>0</v>
      </c>
      <c r="H339" s="479">
        <v>0</v>
      </c>
      <c r="I339" s="480">
        <v>0</v>
      </c>
    </row>
    <row r="340" spans="1:9" ht="51" hidden="1" outlineLevel="4">
      <c r="A340" s="832" t="s">
        <v>801</v>
      </c>
      <c r="B340" s="482" t="s">
        <v>3931</v>
      </c>
      <c r="C340" s="831" t="s">
        <v>803</v>
      </c>
      <c r="D340" s="482" t="s">
        <v>804</v>
      </c>
      <c r="E340" s="484">
        <v>6221576</v>
      </c>
      <c r="F340" s="484">
        <v>6221576</v>
      </c>
      <c r="G340" s="484">
        <v>0</v>
      </c>
      <c r="H340" s="484">
        <v>0</v>
      </c>
      <c r="I340" s="480">
        <v>0</v>
      </c>
    </row>
    <row r="341" spans="1:9" ht="165.75" hidden="1" outlineLevel="3">
      <c r="A341" s="833" t="s">
        <v>3932</v>
      </c>
      <c r="B341" s="477" t="s">
        <v>3933</v>
      </c>
      <c r="C341" s="478"/>
      <c r="D341" s="477"/>
      <c r="E341" s="479">
        <v>20930800</v>
      </c>
      <c r="F341" s="479">
        <v>20930800</v>
      </c>
      <c r="G341" s="479">
        <v>12425165.59</v>
      </c>
      <c r="H341" s="479">
        <v>11388702.859999999</v>
      </c>
      <c r="I341" s="480">
        <v>54.41</v>
      </c>
    </row>
    <row r="342" spans="1:9" ht="165.75" hidden="1" outlineLevel="4">
      <c r="A342" s="832" t="s">
        <v>3932</v>
      </c>
      <c r="B342" s="482" t="s">
        <v>3933</v>
      </c>
      <c r="C342" s="831" t="s">
        <v>711</v>
      </c>
      <c r="D342" s="482" t="s">
        <v>712</v>
      </c>
      <c r="E342" s="484">
        <v>20930800</v>
      </c>
      <c r="F342" s="484">
        <v>20930800</v>
      </c>
      <c r="G342" s="484">
        <v>12425165.59</v>
      </c>
      <c r="H342" s="484">
        <v>11388702.859999999</v>
      </c>
      <c r="I342" s="480">
        <v>54.41</v>
      </c>
    </row>
    <row r="343" spans="1:9" ht="38.25" hidden="1" outlineLevel="2">
      <c r="A343" s="850" t="s">
        <v>3934</v>
      </c>
      <c r="B343" s="472" t="s">
        <v>3935</v>
      </c>
      <c r="C343" s="473"/>
      <c r="D343" s="472"/>
      <c r="E343" s="474">
        <v>106206200</v>
      </c>
      <c r="F343" s="474">
        <v>97539900</v>
      </c>
      <c r="G343" s="474">
        <v>85920375</v>
      </c>
      <c r="H343" s="474">
        <v>85920375</v>
      </c>
      <c r="I343" s="475">
        <v>80.900000000000006</v>
      </c>
    </row>
    <row r="344" spans="1:9" ht="76.5" hidden="1" outlineLevel="3">
      <c r="A344" s="833" t="s">
        <v>702</v>
      </c>
      <c r="B344" s="477" t="s">
        <v>3936</v>
      </c>
      <c r="C344" s="478"/>
      <c r="D344" s="477"/>
      <c r="E344" s="479">
        <v>32663900</v>
      </c>
      <c r="F344" s="479">
        <v>32663900</v>
      </c>
      <c r="G344" s="479">
        <v>21544375</v>
      </c>
      <c r="H344" s="479">
        <v>21544375</v>
      </c>
      <c r="I344" s="480">
        <v>65.959999999999994</v>
      </c>
    </row>
    <row r="345" spans="1:9" ht="76.5" hidden="1" outlineLevel="4">
      <c r="A345" s="832" t="s">
        <v>702</v>
      </c>
      <c r="B345" s="482" t="s">
        <v>3936</v>
      </c>
      <c r="C345" s="831" t="s">
        <v>711</v>
      </c>
      <c r="D345" s="482" t="s">
        <v>712</v>
      </c>
      <c r="E345" s="484">
        <v>32663900</v>
      </c>
      <c r="F345" s="484">
        <v>32663900</v>
      </c>
      <c r="G345" s="484">
        <v>21544375</v>
      </c>
      <c r="H345" s="484">
        <v>21544375</v>
      </c>
      <c r="I345" s="480">
        <v>65.959999999999994</v>
      </c>
    </row>
    <row r="346" spans="1:9" ht="76.5" hidden="1" outlineLevel="3">
      <c r="A346" s="833" t="s">
        <v>3937</v>
      </c>
      <c r="B346" s="477" t="s">
        <v>3938</v>
      </c>
      <c r="C346" s="478"/>
      <c r="D346" s="477"/>
      <c r="E346" s="479">
        <v>46000000</v>
      </c>
      <c r="F346" s="479">
        <v>37333700</v>
      </c>
      <c r="G346" s="479">
        <v>37333700</v>
      </c>
      <c r="H346" s="479">
        <v>37333700</v>
      </c>
      <c r="I346" s="480">
        <v>81.16</v>
      </c>
    </row>
    <row r="347" spans="1:9" ht="76.5" hidden="1" outlineLevel="4">
      <c r="A347" s="832" t="s">
        <v>3937</v>
      </c>
      <c r="B347" s="482" t="s">
        <v>3938</v>
      </c>
      <c r="C347" s="831" t="s">
        <v>711</v>
      </c>
      <c r="D347" s="482" t="s">
        <v>712</v>
      </c>
      <c r="E347" s="484">
        <v>46000000</v>
      </c>
      <c r="F347" s="484">
        <v>37333700</v>
      </c>
      <c r="G347" s="484">
        <v>37333700</v>
      </c>
      <c r="H347" s="484">
        <v>37333700</v>
      </c>
      <c r="I347" s="480">
        <v>81.16</v>
      </c>
    </row>
    <row r="348" spans="1:9" ht="102" hidden="1" outlineLevel="3">
      <c r="A348" s="833" t="s">
        <v>3939</v>
      </c>
      <c r="B348" s="477" t="s">
        <v>3940</v>
      </c>
      <c r="C348" s="478"/>
      <c r="D348" s="477"/>
      <c r="E348" s="479">
        <v>23068800</v>
      </c>
      <c r="F348" s="479">
        <v>23068800</v>
      </c>
      <c r="G348" s="479">
        <v>23068800</v>
      </c>
      <c r="H348" s="479">
        <v>23068800</v>
      </c>
      <c r="I348" s="480">
        <v>100</v>
      </c>
    </row>
    <row r="349" spans="1:9" ht="102" hidden="1" outlineLevel="4">
      <c r="A349" s="832" t="s">
        <v>3939</v>
      </c>
      <c r="B349" s="482" t="s">
        <v>3940</v>
      </c>
      <c r="C349" s="831" t="s">
        <v>711</v>
      </c>
      <c r="D349" s="482" t="s">
        <v>712</v>
      </c>
      <c r="E349" s="484">
        <v>23068800</v>
      </c>
      <c r="F349" s="484">
        <v>23068800</v>
      </c>
      <c r="G349" s="484">
        <v>23068800</v>
      </c>
      <c r="H349" s="484">
        <v>23068800</v>
      </c>
      <c r="I349" s="480">
        <v>100</v>
      </c>
    </row>
    <row r="350" spans="1:9" ht="63.75" hidden="1" outlineLevel="3">
      <c r="A350" s="833" t="s">
        <v>3941</v>
      </c>
      <c r="B350" s="477" t="s">
        <v>3942</v>
      </c>
      <c r="C350" s="478"/>
      <c r="D350" s="477"/>
      <c r="E350" s="479">
        <v>500000</v>
      </c>
      <c r="F350" s="479">
        <v>500000</v>
      </c>
      <c r="G350" s="479">
        <v>0</v>
      </c>
      <c r="H350" s="479">
        <v>0</v>
      </c>
      <c r="I350" s="480">
        <v>0</v>
      </c>
    </row>
    <row r="351" spans="1:9" ht="63.75" hidden="1" outlineLevel="4">
      <c r="A351" s="832" t="s">
        <v>3941</v>
      </c>
      <c r="B351" s="482" t="s">
        <v>3942</v>
      </c>
      <c r="C351" s="831" t="s">
        <v>711</v>
      </c>
      <c r="D351" s="482" t="s">
        <v>712</v>
      </c>
      <c r="E351" s="484">
        <v>500000</v>
      </c>
      <c r="F351" s="484">
        <v>500000</v>
      </c>
      <c r="G351" s="484">
        <v>0</v>
      </c>
      <c r="H351" s="484">
        <v>0</v>
      </c>
      <c r="I351" s="480">
        <v>0</v>
      </c>
    </row>
    <row r="352" spans="1:9" ht="51" hidden="1" outlineLevel="3">
      <c r="A352" s="833" t="s">
        <v>3943</v>
      </c>
      <c r="B352" s="477" t="s">
        <v>3944</v>
      </c>
      <c r="C352" s="478"/>
      <c r="D352" s="477"/>
      <c r="E352" s="479">
        <v>3973500</v>
      </c>
      <c r="F352" s="479">
        <v>3973500</v>
      </c>
      <c r="G352" s="479">
        <v>3973500</v>
      </c>
      <c r="H352" s="479">
        <v>3973500</v>
      </c>
      <c r="I352" s="480">
        <v>100</v>
      </c>
    </row>
    <row r="353" spans="1:9" ht="51" hidden="1" outlineLevel="4">
      <c r="A353" s="832" t="s">
        <v>3943</v>
      </c>
      <c r="B353" s="482" t="s">
        <v>3944</v>
      </c>
      <c r="C353" s="831" t="s">
        <v>711</v>
      </c>
      <c r="D353" s="482" t="s">
        <v>712</v>
      </c>
      <c r="E353" s="484">
        <v>3973500</v>
      </c>
      <c r="F353" s="484">
        <v>3973500</v>
      </c>
      <c r="G353" s="484">
        <v>3973500</v>
      </c>
      <c r="H353" s="484">
        <v>3973500</v>
      </c>
      <c r="I353" s="480">
        <v>100</v>
      </c>
    </row>
    <row r="354" spans="1:9" ht="38.25" hidden="1" outlineLevel="2">
      <c r="A354" s="850" t="s">
        <v>945</v>
      </c>
      <c r="B354" s="472" t="s">
        <v>3945</v>
      </c>
      <c r="C354" s="473"/>
      <c r="D354" s="472"/>
      <c r="E354" s="474">
        <v>470932900</v>
      </c>
      <c r="F354" s="474">
        <v>470932900</v>
      </c>
      <c r="G354" s="474">
        <v>444723961.99000001</v>
      </c>
      <c r="H354" s="474">
        <v>443744972.07999998</v>
      </c>
      <c r="I354" s="475">
        <v>94.23</v>
      </c>
    </row>
    <row r="355" spans="1:9" ht="76.5" hidden="1" outlineLevel="3">
      <c r="A355" s="833" t="s">
        <v>702</v>
      </c>
      <c r="B355" s="477" t="s">
        <v>3946</v>
      </c>
      <c r="C355" s="478"/>
      <c r="D355" s="477"/>
      <c r="E355" s="479">
        <v>270000</v>
      </c>
      <c r="F355" s="479">
        <v>270000</v>
      </c>
      <c r="G355" s="479">
        <v>270000</v>
      </c>
      <c r="H355" s="479">
        <v>270000</v>
      </c>
      <c r="I355" s="480">
        <v>100</v>
      </c>
    </row>
    <row r="356" spans="1:9" ht="76.5" hidden="1" outlineLevel="4">
      <c r="A356" s="832" t="s">
        <v>702</v>
      </c>
      <c r="B356" s="482" t="s">
        <v>3946</v>
      </c>
      <c r="C356" s="831" t="s">
        <v>711</v>
      </c>
      <c r="D356" s="482" t="s">
        <v>712</v>
      </c>
      <c r="E356" s="484">
        <v>270000</v>
      </c>
      <c r="F356" s="484">
        <v>270000</v>
      </c>
      <c r="G356" s="484">
        <v>270000</v>
      </c>
      <c r="H356" s="484">
        <v>270000</v>
      </c>
      <c r="I356" s="480">
        <v>100</v>
      </c>
    </row>
    <row r="357" spans="1:9" ht="25.5" hidden="1" outlineLevel="3">
      <c r="A357" s="833" t="s">
        <v>947</v>
      </c>
      <c r="B357" s="477" t="s">
        <v>3947</v>
      </c>
      <c r="C357" s="478"/>
      <c r="D357" s="477"/>
      <c r="E357" s="479">
        <v>248047400</v>
      </c>
      <c r="F357" s="479">
        <v>248047400</v>
      </c>
      <c r="G357" s="479">
        <v>226047400</v>
      </c>
      <c r="H357" s="479">
        <v>226047400</v>
      </c>
      <c r="I357" s="480">
        <v>91.13</v>
      </c>
    </row>
    <row r="358" spans="1:9" ht="25.5" hidden="1" outlineLevel="4">
      <c r="A358" s="832" t="s">
        <v>947</v>
      </c>
      <c r="B358" s="482" t="s">
        <v>3947</v>
      </c>
      <c r="C358" s="831" t="s">
        <v>711</v>
      </c>
      <c r="D358" s="482" t="s">
        <v>712</v>
      </c>
      <c r="E358" s="484">
        <v>248047400</v>
      </c>
      <c r="F358" s="484">
        <v>248047400</v>
      </c>
      <c r="G358" s="484">
        <v>226047400</v>
      </c>
      <c r="H358" s="484">
        <v>226047400</v>
      </c>
      <c r="I358" s="480">
        <v>91.13</v>
      </c>
    </row>
    <row r="359" spans="1:9" ht="38.25" hidden="1" outlineLevel="3">
      <c r="A359" s="833" t="s">
        <v>949</v>
      </c>
      <c r="B359" s="477" t="s">
        <v>3948</v>
      </c>
      <c r="C359" s="478"/>
      <c r="D359" s="477"/>
      <c r="E359" s="479">
        <v>43496700</v>
      </c>
      <c r="F359" s="479">
        <v>43496700</v>
      </c>
      <c r="G359" s="479">
        <v>39302601.990000002</v>
      </c>
      <c r="H359" s="479">
        <v>38323612.079999998</v>
      </c>
      <c r="I359" s="480">
        <v>88.11</v>
      </c>
    </row>
    <row r="360" spans="1:9" ht="38.25" hidden="1" outlineLevel="4">
      <c r="A360" s="832" t="s">
        <v>949</v>
      </c>
      <c r="B360" s="482" t="s">
        <v>3948</v>
      </c>
      <c r="C360" s="831" t="s">
        <v>711</v>
      </c>
      <c r="D360" s="482" t="s">
        <v>712</v>
      </c>
      <c r="E360" s="484">
        <v>43496700</v>
      </c>
      <c r="F360" s="484">
        <v>43496700</v>
      </c>
      <c r="G360" s="484">
        <v>39302601.990000002</v>
      </c>
      <c r="H360" s="484">
        <v>38323612.079999998</v>
      </c>
      <c r="I360" s="480">
        <v>88.11</v>
      </c>
    </row>
    <row r="361" spans="1:9" ht="38.25" hidden="1" outlineLevel="3">
      <c r="A361" s="833" t="s">
        <v>3949</v>
      </c>
      <c r="B361" s="477" t="s">
        <v>3950</v>
      </c>
      <c r="C361" s="478"/>
      <c r="D361" s="477"/>
      <c r="E361" s="479">
        <v>179118800</v>
      </c>
      <c r="F361" s="479">
        <v>179118800</v>
      </c>
      <c r="G361" s="479">
        <v>179103960</v>
      </c>
      <c r="H361" s="479">
        <v>179103960</v>
      </c>
      <c r="I361" s="480">
        <v>99.99</v>
      </c>
    </row>
    <row r="362" spans="1:9" ht="38.25" hidden="1" outlineLevel="4">
      <c r="A362" s="832" t="s">
        <v>3949</v>
      </c>
      <c r="B362" s="482" t="s">
        <v>3950</v>
      </c>
      <c r="C362" s="831" t="s">
        <v>711</v>
      </c>
      <c r="D362" s="482" t="s">
        <v>712</v>
      </c>
      <c r="E362" s="484">
        <v>179118800</v>
      </c>
      <c r="F362" s="484">
        <v>179118800</v>
      </c>
      <c r="G362" s="484">
        <v>179103960</v>
      </c>
      <c r="H362" s="484">
        <v>179103960</v>
      </c>
      <c r="I362" s="480">
        <v>99.99</v>
      </c>
    </row>
    <row r="363" spans="1:9" ht="25.5" hidden="1" outlineLevel="2">
      <c r="A363" s="850" t="s">
        <v>957</v>
      </c>
      <c r="B363" s="472" t="s">
        <v>3951</v>
      </c>
      <c r="C363" s="473"/>
      <c r="D363" s="472"/>
      <c r="E363" s="474">
        <v>3510000</v>
      </c>
      <c r="F363" s="474">
        <v>3510000</v>
      </c>
      <c r="G363" s="474">
        <v>3510000</v>
      </c>
      <c r="H363" s="474">
        <v>3510000</v>
      </c>
      <c r="I363" s="475">
        <v>100</v>
      </c>
    </row>
    <row r="364" spans="1:9" ht="25.5" hidden="1" outlineLevel="3">
      <c r="A364" s="833" t="s">
        <v>961</v>
      </c>
      <c r="B364" s="477" t="s">
        <v>3952</v>
      </c>
      <c r="C364" s="478"/>
      <c r="D364" s="477"/>
      <c r="E364" s="479">
        <v>3510000</v>
      </c>
      <c r="F364" s="479">
        <v>3510000</v>
      </c>
      <c r="G364" s="479">
        <v>3510000</v>
      </c>
      <c r="H364" s="479">
        <v>3510000</v>
      </c>
      <c r="I364" s="480">
        <v>100</v>
      </c>
    </row>
    <row r="365" spans="1:9" ht="25.5" hidden="1" outlineLevel="4">
      <c r="A365" s="832" t="s">
        <v>961</v>
      </c>
      <c r="B365" s="482" t="s">
        <v>3952</v>
      </c>
      <c r="C365" s="831" t="s">
        <v>711</v>
      </c>
      <c r="D365" s="482" t="s">
        <v>712</v>
      </c>
      <c r="E365" s="484">
        <v>3510000</v>
      </c>
      <c r="F365" s="484">
        <v>3510000</v>
      </c>
      <c r="G365" s="484">
        <v>3510000</v>
      </c>
      <c r="H365" s="484">
        <v>3510000</v>
      </c>
      <c r="I365" s="480">
        <v>100</v>
      </c>
    </row>
    <row r="366" spans="1:9" ht="38.25" hidden="1" outlineLevel="2">
      <c r="A366" s="850" t="s">
        <v>3953</v>
      </c>
      <c r="B366" s="472" t="s">
        <v>3954</v>
      </c>
      <c r="C366" s="473"/>
      <c r="D366" s="472"/>
      <c r="E366" s="474">
        <v>95039000</v>
      </c>
      <c r="F366" s="474">
        <v>95039000</v>
      </c>
      <c r="G366" s="474">
        <v>68788905.920000002</v>
      </c>
      <c r="H366" s="474">
        <v>68654397.920000002</v>
      </c>
      <c r="I366" s="475">
        <v>72.239999999999995</v>
      </c>
    </row>
    <row r="367" spans="1:9" ht="63.75" hidden="1" outlineLevel="3">
      <c r="A367" s="833" t="s">
        <v>3955</v>
      </c>
      <c r="B367" s="477" t="s">
        <v>3956</v>
      </c>
      <c r="C367" s="478"/>
      <c r="D367" s="477"/>
      <c r="E367" s="479">
        <v>80132500</v>
      </c>
      <c r="F367" s="479">
        <v>80132500</v>
      </c>
      <c r="G367" s="479">
        <v>58723381.920000002</v>
      </c>
      <c r="H367" s="479">
        <v>58588873.920000002</v>
      </c>
      <c r="I367" s="480">
        <v>73.11</v>
      </c>
    </row>
    <row r="368" spans="1:9" ht="63.75" hidden="1" outlineLevel="4">
      <c r="A368" s="832" t="s">
        <v>3955</v>
      </c>
      <c r="B368" s="482" t="s">
        <v>3956</v>
      </c>
      <c r="C368" s="831" t="s">
        <v>711</v>
      </c>
      <c r="D368" s="482" t="s">
        <v>712</v>
      </c>
      <c r="E368" s="484">
        <v>80132500</v>
      </c>
      <c r="F368" s="484">
        <v>80132500</v>
      </c>
      <c r="G368" s="484">
        <v>58723381.920000002</v>
      </c>
      <c r="H368" s="484">
        <v>58588873.920000002</v>
      </c>
      <c r="I368" s="480">
        <v>73.11</v>
      </c>
    </row>
    <row r="369" spans="1:9" ht="76.5" hidden="1" outlineLevel="3">
      <c r="A369" s="833" t="s">
        <v>3957</v>
      </c>
      <c r="B369" s="477" t="s">
        <v>3958</v>
      </c>
      <c r="C369" s="478"/>
      <c r="D369" s="477"/>
      <c r="E369" s="479">
        <v>14906500</v>
      </c>
      <c r="F369" s="479">
        <v>14906500</v>
      </c>
      <c r="G369" s="479">
        <v>10065524</v>
      </c>
      <c r="H369" s="479">
        <v>10065524</v>
      </c>
      <c r="I369" s="480">
        <v>67.52</v>
      </c>
    </row>
    <row r="370" spans="1:9" ht="76.5" hidden="1" outlineLevel="4">
      <c r="A370" s="832" t="s">
        <v>3957</v>
      </c>
      <c r="B370" s="482" t="s">
        <v>3958</v>
      </c>
      <c r="C370" s="831" t="s">
        <v>711</v>
      </c>
      <c r="D370" s="482" t="s">
        <v>712</v>
      </c>
      <c r="E370" s="484">
        <v>14906500</v>
      </c>
      <c r="F370" s="484">
        <v>14906500</v>
      </c>
      <c r="G370" s="484">
        <v>10065524</v>
      </c>
      <c r="H370" s="484">
        <v>10065524</v>
      </c>
      <c r="I370" s="480">
        <v>67.52</v>
      </c>
    </row>
    <row r="371" spans="1:9" ht="25.5" hidden="1" outlineLevel="1">
      <c r="A371" s="851" t="s">
        <v>3959</v>
      </c>
      <c r="B371" s="467" t="s">
        <v>3960</v>
      </c>
      <c r="C371" s="468"/>
      <c r="D371" s="467"/>
      <c r="E371" s="469">
        <v>1179655831.73</v>
      </c>
      <c r="F371" s="469">
        <v>1177935878.51</v>
      </c>
      <c r="G371" s="469">
        <v>900764071.27999997</v>
      </c>
      <c r="H371" s="469">
        <v>848551195.91999996</v>
      </c>
      <c r="I371" s="470">
        <v>71.930000000000007</v>
      </c>
    </row>
    <row r="372" spans="1:9" ht="89.25" hidden="1" outlineLevel="2">
      <c r="A372" s="850" t="s">
        <v>3961</v>
      </c>
      <c r="B372" s="472" t="s">
        <v>3962</v>
      </c>
      <c r="C372" s="473"/>
      <c r="D372" s="472"/>
      <c r="E372" s="474">
        <v>756896775.27999997</v>
      </c>
      <c r="F372" s="474">
        <v>756896775.27999997</v>
      </c>
      <c r="G372" s="474">
        <v>619675742.76999998</v>
      </c>
      <c r="H372" s="474">
        <v>572170912.83000004</v>
      </c>
      <c r="I372" s="475">
        <v>75.59</v>
      </c>
    </row>
    <row r="373" spans="1:9" ht="76.5" hidden="1" outlineLevel="3">
      <c r="A373" s="833" t="s">
        <v>702</v>
      </c>
      <c r="B373" s="477" t="s">
        <v>3963</v>
      </c>
      <c r="C373" s="478"/>
      <c r="D373" s="477"/>
      <c r="E373" s="479">
        <v>56666900</v>
      </c>
      <c r="F373" s="479">
        <v>56666900</v>
      </c>
      <c r="G373" s="479">
        <v>41386111.810000002</v>
      </c>
      <c r="H373" s="479">
        <v>41386111.810000002</v>
      </c>
      <c r="I373" s="480">
        <v>73.03</v>
      </c>
    </row>
    <row r="374" spans="1:9" ht="76.5" hidden="1" outlineLevel="4">
      <c r="A374" s="832" t="s">
        <v>702</v>
      </c>
      <c r="B374" s="482" t="s">
        <v>3963</v>
      </c>
      <c r="C374" s="831" t="s">
        <v>711</v>
      </c>
      <c r="D374" s="482" t="s">
        <v>712</v>
      </c>
      <c r="E374" s="484">
        <v>56666900</v>
      </c>
      <c r="F374" s="484">
        <v>56666900</v>
      </c>
      <c r="G374" s="484">
        <v>41386111.810000002</v>
      </c>
      <c r="H374" s="484">
        <v>41386111.810000002</v>
      </c>
      <c r="I374" s="480">
        <v>73.03</v>
      </c>
    </row>
    <row r="375" spans="1:9" ht="89.25" hidden="1" outlineLevel="3">
      <c r="A375" s="833" t="s">
        <v>3964</v>
      </c>
      <c r="B375" s="477" t="s">
        <v>3965</v>
      </c>
      <c r="C375" s="478"/>
      <c r="D375" s="477"/>
      <c r="E375" s="479">
        <v>6585016</v>
      </c>
      <c r="F375" s="479">
        <v>6585016</v>
      </c>
      <c r="G375" s="479">
        <v>0</v>
      </c>
      <c r="H375" s="479">
        <v>0</v>
      </c>
      <c r="I375" s="480">
        <v>0</v>
      </c>
    </row>
    <row r="376" spans="1:9" ht="89.25" hidden="1" outlineLevel="4">
      <c r="A376" s="832" t="s">
        <v>3964</v>
      </c>
      <c r="B376" s="482" t="s">
        <v>3965</v>
      </c>
      <c r="C376" s="831" t="s">
        <v>711</v>
      </c>
      <c r="D376" s="482" t="s">
        <v>712</v>
      </c>
      <c r="E376" s="484">
        <v>6585016</v>
      </c>
      <c r="F376" s="484">
        <v>6585016</v>
      </c>
      <c r="G376" s="484">
        <v>0</v>
      </c>
      <c r="H376" s="484">
        <v>0</v>
      </c>
      <c r="I376" s="480">
        <v>0</v>
      </c>
    </row>
    <row r="377" spans="1:9" ht="38.25" hidden="1" outlineLevel="3">
      <c r="A377" s="833" t="s">
        <v>3966</v>
      </c>
      <c r="B377" s="477" t="s">
        <v>3967</v>
      </c>
      <c r="C377" s="478"/>
      <c r="D377" s="477"/>
      <c r="E377" s="479">
        <v>100000000</v>
      </c>
      <c r="F377" s="479">
        <v>100000000</v>
      </c>
      <c r="G377" s="479">
        <v>100000000</v>
      </c>
      <c r="H377" s="479">
        <v>100000000</v>
      </c>
      <c r="I377" s="480">
        <v>100</v>
      </c>
    </row>
    <row r="378" spans="1:9" ht="38.25" hidden="1" outlineLevel="4">
      <c r="A378" s="832" t="s">
        <v>3966</v>
      </c>
      <c r="B378" s="482" t="s">
        <v>3967</v>
      </c>
      <c r="C378" s="831" t="s">
        <v>711</v>
      </c>
      <c r="D378" s="482" t="s">
        <v>712</v>
      </c>
      <c r="E378" s="484">
        <v>100000000</v>
      </c>
      <c r="F378" s="484">
        <v>100000000</v>
      </c>
      <c r="G378" s="484">
        <v>100000000</v>
      </c>
      <c r="H378" s="484">
        <v>100000000</v>
      </c>
      <c r="I378" s="480">
        <v>100</v>
      </c>
    </row>
    <row r="379" spans="1:9" ht="89.25" hidden="1" outlineLevel="3">
      <c r="A379" s="833" t="s">
        <v>990</v>
      </c>
      <c r="B379" s="477" t="s">
        <v>3968</v>
      </c>
      <c r="C379" s="478"/>
      <c r="D379" s="477"/>
      <c r="E379" s="479">
        <v>30000000</v>
      </c>
      <c r="F379" s="479">
        <v>30000000</v>
      </c>
      <c r="G379" s="479">
        <v>30000000</v>
      </c>
      <c r="H379" s="479">
        <v>0</v>
      </c>
      <c r="I379" s="480">
        <v>0</v>
      </c>
    </row>
    <row r="380" spans="1:9" ht="89.25" hidden="1" outlineLevel="4">
      <c r="A380" s="832" t="s">
        <v>990</v>
      </c>
      <c r="B380" s="482" t="s">
        <v>3968</v>
      </c>
      <c r="C380" s="831" t="s">
        <v>711</v>
      </c>
      <c r="D380" s="482" t="s">
        <v>712</v>
      </c>
      <c r="E380" s="484">
        <v>30000000</v>
      </c>
      <c r="F380" s="484">
        <v>30000000</v>
      </c>
      <c r="G380" s="484">
        <v>30000000</v>
      </c>
      <c r="H380" s="484">
        <v>0</v>
      </c>
      <c r="I380" s="480">
        <v>0</v>
      </c>
    </row>
    <row r="381" spans="1:9" ht="38.25" hidden="1" outlineLevel="3">
      <c r="A381" s="833" t="s">
        <v>992</v>
      </c>
      <c r="B381" s="477" t="s">
        <v>3969</v>
      </c>
      <c r="C381" s="478"/>
      <c r="D381" s="477"/>
      <c r="E381" s="479">
        <v>81027433.609999999</v>
      </c>
      <c r="F381" s="479">
        <v>81027433.609999999</v>
      </c>
      <c r="G381" s="479">
        <v>78946008.25</v>
      </c>
      <c r="H381" s="479">
        <v>73437887.170000002</v>
      </c>
      <c r="I381" s="480">
        <v>90.63</v>
      </c>
    </row>
    <row r="382" spans="1:9" ht="38.25" hidden="1" outlineLevel="4">
      <c r="A382" s="832" t="s">
        <v>992</v>
      </c>
      <c r="B382" s="482" t="s">
        <v>3969</v>
      </c>
      <c r="C382" s="831" t="s">
        <v>711</v>
      </c>
      <c r="D382" s="482" t="s">
        <v>712</v>
      </c>
      <c r="E382" s="484">
        <v>81027433.609999999</v>
      </c>
      <c r="F382" s="484">
        <v>81027433.609999999</v>
      </c>
      <c r="G382" s="484">
        <v>78946008.25</v>
      </c>
      <c r="H382" s="484">
        <v>73437887.170000002</v>
      </c>
      <c r="I382" s="480">
        <v>90.63</v>
      </c>
    </row>
    <row r="383" spans="1:9" ht="51" hidden="1" outlineLevel="3">
      <c r="A383" s="833" t="s">
        <v>3970</v>
      </c>
      <c r="B383" s="477" t="s">
        <v>3971</v>
      </c>
      <c r="C383" s="478"/>
      <c r="D383" s="477"/>
      <c r="E383" s="479">
        <v>48045826.280000001</v>
      </c>
      <c r="F383" s="479">
        <v>48045826.280000001</v>
      </c>
      <c r="G383" s="479">
        <v>15250887.699999999</v>
      </c>
      <c r="H383" s="479">
        <v>15250887.699999999</v>
      </c>
      <c r="I383" s="480">
        <v>31.74</v>
      </c>
    </row>
    <row r="384" spans="1:9" ht="51" hidden="1" outlineLevel="4">
      <c r="A384" s="832" t="s">
        <v>3970</v>
      </c>
      <c r="B384" s="482" t="s">
        <v>3971</v>
      </c>
      <c r="C384" s="831" t="s">
        <v>711</v>
      </c>
      <c r="D384" s="482" t="s">
        <v>712</v>
      </c>
      <c r="E384" s="484">
        <v>14781200</v>
      </c>
      <c r="F384" s="484">
        <v>14781200</v>
      </c>
      <c r="G384" s="484">
        <v>14781200</v>
      </c>
      <c r="H384" s="484">
        <v>14781200</v>
      </c>
      <c r="I384" s="480">
        <v>100</v>
      </c>
    </row>
    <row r="385" spans="1:9" ht="51" hidden="1" outlineLevel="4">
      <c r="A385" s="832" t="s">
        <v>3970</v>
      </c>
      <c r="B385" s="482" t="s">
        <v>3971</v>
      </c>
      <c r="C385" s="831" t="s">
        <v>803</v>
      </c>
      <c r="D385" s="482" t="s">
        <v>804</v>
      </c>
      <c r="E385" s="484">
        <v>33264626.280000001</v>
      </c>
      <c r="F385" s="484">
        <v>33264626.280000001</v>
      </c>
      <c r="G385" s="484">
        <v>469687.7</v>
      </c>
      <c r="H385" s="484">
        <v>469687.7</v>
      </c>
      <c r="I385" s="480">
        <v>1.41</v>
      </c>
    </row>
    <row r="386" spans="1:9" ht="38.25" hidden="1" outlineLevel="3">
      <c r="A386" s="833" t="s">
        <v>3972</v>
      </c>
      <c r="B386" s="477" t="s">
        <v>3973</v>
      </c>
      <c r="C386" s="478"/>
      <c r="D386" s="477"/>
      <c r="E386" s="479">
        <v>100000000</v>
      </c>
      <c r="F386" s="479">
        <v>100000000</v>
      </c>
      <c r="G386" s="479">
        <v>80095075.040000007</v>
      </c>
      <c r="H386" s="479">
        <v>77420135.879999995</v>
      </c>
      <c r="I386" s="480">
        <v>77.42</v>
      </c>
    </row>
    <row r="387" spans="1:9" ht="38.25" hidden="1" outlineLevel="4">
      <c r="A387" s="832" t="s">
        <v>3972</v>
      </c>
      <c r="B387" s="482" t="s">
        <v>3973</v>
      </c>
      <c r="C387" s="831" t="s">
        <v>711</v>
      </c>
      <c r="D387" s="482" t="s">
        <v>712</v>
      </c>
      <c r="E387" s="484">
        <v>100000000</v>
      </c>
      <c r="F387" s="484">
        <v>100000000</v>
      </c>
      <c r="G387" s="484">
        <v>80095075.040000007</v>
      </c>
      <c r="H387" s="484">
        <v>77420135.879999995</v>
      </c>
      <c r="I387" s="480">
        <v>77.42</v>
      </c>
    </row>
    <row r="388" spans="1:9" ht="63.75" hidden="1" outlineLevel="3">
      <c r="A388" s="833" t="s">
        <v>3974</v>
      </c>
      <c r="B388" s="477" t="s">
        <v>3975</v>
      </c>
      <c r="C388" s="478"/>
      <c r="D388" s="477"/>
      <c r="E388" s="479">
        <v>17109822.399999999</v>
      </c>
      <c r="F388" s="479">
        <v>17109822.399999999</v>
      </c>
      <c r="G388" s="479">
        <v>11568421.130000001</v>
      </c>
      <c r="H388" s="479">
        <v>11438419.17</v>
      </c>
      <c r="I388" s="480">
        <v>66.849999999999994</v>
      </c>
    </row>
    <row r="389" spans="1:9" ht="63.75" hidden="1" outlineLevel="4">
      <c r="A389" s="832" t="s">
        <v>3974</v>
      </c>
      <c r="B389" s="482" t="s">
        <v>3975</v>
      </c>
      <c r="C389" s="831" t="s">
        <v>711</v>
      </c>
      <c r="D389" s="482" t="s">
        <v>712</v>
      </c>
      <c r="E389" s="484">
        <v>17109822.399999999</v>
      </c>
      <c r="F389" s="484">
        <v>17109822.399999999</v>
      </c>
      <c r="G389" s="484">
        <v>11568421.130000001</v>
      </c>
      <c r="H389" s="484">
        <v>11438419.17</v>
      </c>
      <c r="I389" s="480">
        <v>66.849999999999994</v>
      </c>
    </row>
    <row r="390" spans="1:9" ht="76.5" hidden="1" outlineLevel="3">
      <c r="A390" s="833" t="s">
        <v>3976</v>
      </c>
      <c r="B390" s="477" t="s">
        <v>3977</v>
      </c>
      <c r="C390" s="478"/>
      <c r="D390" s="477"/>
      <c r="E390" s="479">
        <v>3469770</v>
      </c>
      <c r="F390" s="479">
        <v>3469770</v>
      </c>
      <c r="G390" s="479">
        <v>1040931</v>
      </c>
      <c r="H390" s="479">
        <v>1040931</v>
      </c>
      <c r="I390" s="480">
        <v>30</v>
      </c>
    </row>
    <row r="391" spans="1:9" ht="76.5" hidden="1" outlineLevel="4">
      <c r="A391" s="832" t="s">
        <v>3976</v>
      </c>
      <c r="B391" s="482" t="s">
        <v>3977</v>
      </c>
      <c r="C391" s="831" t="s">
        <v>711</v>
      </c>
      <c r="D391" s="482" t="s">
        <v>712</v>
      </c>
      <c r="E391" s="484">
        <v>3469770</v>
      </c>
      <c r="F391" s="484">
        <v>3469770</v>
      </c>
      <c r="G391" s="484">
        <v>1040931</v>
      </c>
      <c r="H391" s="484">
        <v>1040931</v>
      </c>
      <c r="I391" s="480">
        <v>30</v>
      </c>
    </row>
    <row r="392" spans="1:9" ht="63.75" hidden="1" outlineLevel="3">
      <c r="A392" s="833" t="s">
        <v>3978</v>
      </c>
      <c r="B392" s="477" t="s">
        <v>3979</v>
      </c>
      <c r="C392" s="478"/>
      <c r="D392" s="477"/>
      <c r="E392" s="479">
        <v>286839806.99000001</v>
      </c>
      <c r="F392" s="479">
        <v>286839806.99000001</v>
      </c>
      <c r="G392" s="479">
        <v>234236107.84</v>
      </c>
      <c r="H392" s="479">
        <v>225044340.09999999</v>
      </c>
      <c r="I392" s="480">
        <v>78.459999999999994</v>
      </c>
    </row>
    <row r="393" spans="1:9" ht="63.75" hidden="1" outlineLevel="4">
      <c r="A393" s="832" t="s">
        <v>3978</v>
      </c>
      <c r="B393" s="482" t="s">
        <v>3979</v>
      </c>
      <c r="C393" s="831" t="s">
        <v>803</v>
      </c>
      <c r="D393" s="482" t="s">
        <v>804</v>
      </c>
      <c r="E393" s="484">
        <v>286839806.99000001</v>
      </c>
      <c r="F393" s="484">
        <v>286839806.99000001</v>
      </c>
      <c r="G393" s="484">
        <v>234236107.84</v>
      </c>
      <c r="H393" s="484">
        <v>225044340.09999999</v>
      </c>
      <c r="I393" s="480">
        <v>78.459999999999994</v>
      </c>
    </row>
    <row r="394" spans="1:9" ht="63.75" hidden="1" outlineLevel="3">
      <c r="A394" s="833" t="s">
        <v>3980</v>
      </c>
      <c r="B394" s="477" t="s">
        <v>3981</v>
      </c>
      <c r="C394" s="478"/>
      <c r="D394" s="477"/>
      <c r="E394" s="479">
        <v>27152200</v>
      </c>
      <c r="F394" s="479">
        <v>27152200</v>
      </c>
      <c r="G394" s="479">
        <v>27152200</v>
      </c>
      <c r="H394" s="479">
        <v>27152200</v>
      </c>
      <c r="I394" s="480">
        <v>100</v>
      </c>
    </row>
    <row r="395" spans="1:9" ht="63.75" hidden="1" outlineLevel="4">
      <c r="A395" s="832" t="s">
        <v>3980</v>
      </c>
      <c r="B395" s="482" t="s">
        <v>3981</v>
      </c>
      <c r="C395" s="831" t="s">
        <v>711</v>
      </c>
      <c r="D395" s="482" t="s">
        <v>712</v>
      </c>
      <c r="E395" s="484">
        <v>27152200</v>
      </c>
      <c r="F395" s="484">
        <v>27152200</v>
      </c>
      <c r="G395" s="484">
        <v>27152200</v>
      </c>
      <c r="H395" s="484">
        <v>27152200</v>
      </c>
      <c r="I395" s="480">
        <v>100</v>
      </c>
    </row>
    <row r="396" spans="1:9" ht="63.75" hidden="1" outlineLevel="2">
      <c r="A396" s="850" t="s">
        <v>3982</v>
      </c>
      <c r="B396" s="472" t="s">
        <v>3983</v>
      </c>
      <c r="C396" s="473"/>
      <c r="D396" s="472"/>
      <c r="E396" s="474">
        <v>121880430.15000001</v>
      </c>
      <c r="F396" s="474">
        <v>120160476.93000001</v>
      </c>
      <c r="G396" s="474">
        <v>85098808.010000005</v>
      </c>
      <c r="H396" s="474">
        <v>80550762.590000004</v>
      </c>
      <c r="I396" s="475">
        <v>66.09</v>
      </c>
    </row>
    <row r="397" spans="1:9" ht="25.5" hidden="1" outlineLevel="3">
      <c r="A397" s="833" t="s">
        <v>873</v>
      </c>
      <c r="B397" s="477" t="s">
        <v>3984</v>
      </c>
      <c r="C397" s="478"/>
      <c r="D397" s="477"/>
      <c r="E397" s="479">
        <v>109612799.62</v>
      </c>
      <c r="F397" s="479">
        <v>107892846.40000001</v>
      </c>
      <c r="G397" s="479">
        <v>75625000</v>
      </c>
      <c r="H397" s="479">
        <v>71483623.379999995</v>
      </c>
      <c r="I397" s="480">
        <v>65.209999999999994</v>
      </c>
    </row>
    <row r="398" spans="1:9" ht="25.5" hidden="1" outlineLevel="4">
      <c r="A398" s="832" t="s">
        <v>873</v>
      </c>
      <c r="B398" s="482" t="s">
        <v>3984</v>
      </c>
      <c r="C398" s="831" t="s">
        <v>711</v>
      </c>
      <c r="D398" s="482" t="s">
        <v>712</v>
      </c>
      <c r="E398" s="484">
        <v>109612799.62</v>
      </c>
      <c r="F398" s="484">
        <v>107892846.40000001</v>
      </c>
      <c r="G398" s="484">
        <v>75625000</v>
      </c>
      <c r="H398" s="484">
        <v>71483623.379999995</v>
      </c>
      <c r="I398" s="480">
        <v>65.209999999999994</v>
      </c>
    </row>
    <row r="399" spans="1:9" ht="38.25" hidden="1" outlineLevel="3">
      <c r="A399" s="833" t="s">
        <v>854</v>
      </c>
      <c r="B399" s="477" t="s">
        <v>3985</v>
      </c>
      <c r="C399" s="478"/>
      <c r="D399" s="477"/>
      <c r="E399" s="479">
        <v>4024930.53</v>
      </c>
      <c r="F399" s="479">
        <v>4024930.53</v>
      </c>
      <c r="G399" s="479">
        <v>2397484.8199999998</v>
      </c>
      <c r="H399" s="479">
        <v>2351275.7000000002</v>
      </c>
      <c r="I399" s="480">
        <v>58.42</v>
      </c>
    </row>
    <row r="400" spans="1:9" ht="38.25" hidden="1" outlineLevel="4">
      <c r="A400" s="832" t="s">
        <v>854</v>
      </c>
      <c r="B400" s="482" t="s">
        <v>3985</v>
      </c>
      <c r="C400" s="831" t="s">
        <v>711</v>
      </c>
      <c r="D400" s="482" t="s">
        <v>712</v>
      </c>
      <c r="E400" s="484">
        <v>4024930.53</v>
      </c>
      <c r="F400" s="484">
        <v>4024930.53</v>
      </c>
      <c r="G400" s="484">
        <v>2397484.8199999998</v>
      </c>
      <c r="H400" s="484">
        <v>2351275.7000000002</v>
      </c>
      <c r="I400" s="480">
        <v>58.42</v>
      </c>
    </row>
    <row r="401" spans="1:9" ht="63.75" hidden="1" outlineLevel="3">
      <c r="A401" s="833" t="s">
        <v>62</v>
      </c>
      <c r="B401" s="477" t="s">
        <v>3986</v>
      </c>
      <c r="C401" s="478"/>
      <c r="D401" s="477"/>
      <c r="E401" s="479">
        <v>990000</v>
      </c>
      <c r="F401" s="479">
        <v>990000</v>
      </c>
      <c r="G401" s="479">
        <v>990000</v>
      </c>
      <c r="H401" s="479">
        <v>989307.32</v>
      </c>
      <c r="I401" s="480">
        <v>99.93</v>
      </c>
    </row>
    <row r="402" spans="1:9" ht="63.75" hidden="1" outlineLevel="4">
      <c r="A402" s="832" t="s">
        <v>62</v>
      </c>
      <c r="B402" s="482" t="s">
        <v>3986</v>
      </c>
      <c r="C402" s="831" t="s">
        <v>711</v>
      </c>
      <c r="D402" s="482" t="s">
        <v>712</v>
      </c>
      <c r="E402" s="484">
        <v>990000</v>
      </c>
      <c r="F402" s="484">
        <v>990000</v>
      </c>
      <c r="G402" s="484">
        <v>990000</v>
      </c>
      <c r="H402" s="484">
        <v>989307.32</v>
      </c>
      <c r="I402" s="480">
        <v>99.93</v>
      </c>
    </row>
    <row r="403" spans="1:9" ht="76.5" hidden="1" outlineLevel="3">
      <c r="A403" s="833" t="s">
        <v>1027</v>
      </c>
      <c r="B403" s="477" t="s">
        <v>3987</v>
      </c>
      <c r="C403" s="478"/>
      <c r="D403" s="477"/>
      <c r="E403" s="479">
        <v>76000</v>
      </c>
      <c r="F403" s="479">
        <v>76000</v>
      </c>
      <c r="G403" s="479">
        <v>0</v>
      </c>
      <c r="H403" s="479">
        <v>0</v>
      </c>
      <c r="I403" s="480">
        <v>0</v>
      </c>
    </row>
    <row r="404" spans="1:9" ht="76.5" hidden="1" outlineLevel="4">
      <c r="A404" s="832" t="s">
        <v>1027</v>
      </c>
      <c r="B404" s="482" t="s">
        <v>3987</v>
      </c>
      <c r="C404" s="831" t="s">
        <v>711</v>
      </c>
      <c r="D404" s="482" t="s">
        <v>712</v>
      </c>
      <c r="E404" s="484">
        <v>76000</v>
      </c>
      <c r="F404" s="484">
        <v>76000</v>
      </c>
      <c r="G404" s="484">
        <v>0</v>
      </c>
      <c r="H404" s="484">
        <v>0</v>
      </c>
      <c r="I404" s="480">
        <v>0</v>
      </c>
    </row>
    <row r="405" spans="1:9" ht="25.5" hidden="1" outlineLevel="3">
      <c r="A405" s="833" t="s">
        <v>713</v>
      </c>
      <c r="B405" s="477" t="s">
        <v>3988</v>
      </c>
      <c r="C405" s="478"/>
      <c r="D405" s="477"/>
      <c r="E405" s="479">
        <v>500000</v>
      </c>
      <c r="F405" s="479">
        <v>500000</v>
      </c>
      <c r="G405" s="479">
        <v>0</v>
      </c>
      <c r="H405" s="479">
        <v>0</v>
      </c>
      <c r="I405" s="480">
        <v>0</v>
      </c>
    </row>
    <row r="406" spans="1:9" ht="25.5" hidden="1" outlineLevel="4">
      <c r="A406" s="832" t="s">
        <v>713</v>
      </c>
      <c r="B406" s="482" t="s">
        <v>3988</v>
      </c>
      <c r="C406" s="831" t="s">
        <v>711</v>
      </c>
      <c r="D406" s="482" t="s">
        <v>712</v>
      </c>
      <c r="E406" s="484">
        <v>500000</v>
      </c>
      <c r="F406" s="484">
        <v>500000</v>
      </c>
      <c r="G406" s="484">
        <v>0</v>
      </c>
      <c r="H406" s="484">
        <v>0</v>
      </c>
      <c r="I406" s="480">
        <v>0</v>
      </c>
    </row>
    <row r="407" spans="1:9" ht="38.25" hidden="1" outlineLevel="3">
      <c r="A407" s="833" t="s">
        <v>3989</v>
      </c>
      <c r="B407" s="477" t="s">
        <v>3990</v>
      </c>
      <c r="C407" s="478"/>
      <c r="D407" s="477"/>
      <c r="E407" s="479">
        <v>6676700</v>
      </c>
      <c r="F407" s="479">
        <v>6676700</v>
      </c>
      <c r="G407" s="479">
        <v>6086323.1900000004</v>
      </c>
      <c r="H407" s="479">
        <v>5726556.1900000004</v>
      </c>
      <c r="I407" s="480">
        <v>85.77</v>
      </c>
    </row>
    <row r="408" spans="1:9" ht="38.25" hidden="1" outlineLevel="4">
      <c r="A408" s="832" t="s">
        <v>3989</v>
      </c>
      <c r="B408" s="482" t="s">
        <v>3990</v>
      </c>
      <c r="C408" s="831" t="s">
        <v>711</v>
      </c>
      <c r="D408" s="482" t="s">
        <v>712</v>
      </c>
      <c r="E408" s="484">
        <v>6676700</v>
      </c>
      <c r="F408" s="484">
        <v>6676700</v>
      </c>
      <c r="G408" s="484">
        <v>6086323.1900000004</v>
      </c>
      <c r="H408" s="484">
        <v>5726556.1900000004</v>
      </c>
      <c r="I408" s="480">
        <v>85.77</v>
      </c>
    </row>
    <row r="409" spans="1:9" ht="63.75" hidden="1" outlineLevel="2">
      <c r="A409" s="850" t="s">
        <v>3991</v>
      </c>
      <c r="B409" s="472" t="s">
        <v>3992</v>
      </c>
      <c r="C409" s="473"/>
      <c r="D409" s="472"/>
      <c r="E409" s="474">
        <v>195788326.97999999</v>
      </c>
      <c r="F409" s="474">
        <v>195788326.97999999</v>
      </c>
      <c r="G409" s="474">
        <v>121192886.06999999</v>
      </c>
      <c r="H409" s="474">
        <v>121032886.06999999</v>
      </c>
      <c r="I409" s="475">
        <v>61.82</v>
      </c>
    </row>
    <row r="410" spans="1:9" ht="76.5" hidden="1" outlineLevel="3">
      <c r="A410" s="833" t="s">
        <v>702</v>
      </c>
      <c r="B410" s="477" t="s">
        <v>3993</v>
      </c>
      <c r="C410" s="478"/>
      <c r="D410" s="477"/>
      <c r="E410" s="479">
        <v>146776400</v>
      </c>
      <c r="F410" s="479">
        <v>146776400</v>
      </c>
      <c r="G410" s="479">
        <v>88400000</v>
      </c>
      <c r="H410" s="479">
        <v>88400000</v>
      </c>
      <c r="I410" s="480">
        <v>60.23</v>
      </c>
    </row>
    <row r="411" spans="1:9" ht="76.5" hidden="1" outlineLevel="4">
      <c r="A411" s="832" t="s">
        <v>702</v>
      </c>
      <c r="B411" s="482" t="s">
        <v>3993</v>
      </c>
      <c r="C411" s="831" t="s">
        <v>711</v>
      </c>
      <c r="D411" s="482" t="s">
        <v>712</v>
      </c>
      <c r="E411" s="484">
        <v>146776400</v>
      </c>
      <c r="F411" s="484">
        <v>146776400</v>
      </c>
      <c r="G411" s="484">
        <v>88400000</v>
      </c>
      <c r="H411" s="484">
        <v>88400000</v>
      </c>
      <c r="I411" s="480">
        <v>60.23</v>
      </c>
    </row>
    <row r="412" spans="1:9" ht="63.75" hidden="1" outlineLevel="3">
      <c r="A412" s="833" t="s">
        <v>62</v>
      </c>
      <c r="B412" s="477" t="s">
        <v>3994</v>
      </c>
      <c r="C412" s="478"/>
      <c r="D412" s="477"/>
      <c r="E412" s="479">
        <v>34294700</v>
      </c>
      <c r="F412" s="479">
        <v>34294700</v>
      </c>
      <c r="G412" s="479">
        <v>25150582.100000001</v>
      </c>
      <c r="H412" s="479">
        <v>25150582.100000001</v>
      </c>
      <c r="I412" s="480">
        <v>73.34</v>
      </c>
    </row>
    <row r="413" spans="1:9" ht="63.75" hidden="1" outlineLevel="4">
      <c r="A413" s="832" t="s">
        <v>62</v>
      </c>
      <c r="B413" s="482" t="s">
        <v>3994</v>
      </c>
      <c r="C413" s="831" t="s">
        <v>711</v>
      </c>
      <c r="D413" s="482" t="s">
        <v>712</v>
      </c>
      <c r="E413" s="484">
        <v>34294700</v>
      </c>
      <c r="F413" s="484">
        <v>34294700</v>
      </c>
      <c r="G413" s="484">
        <v>25150582.100000001</v>
      </c>
      <c r="H413" s="484">
        <v>25150582.100000001</v>
      </c>
      <c r="I413" s="480">
        <v>73.34</v>
      </c>
    </row>
    <row r="414" spans="1:9" ht="76.5" hidden="1" outlineLevel="3">
      <c r="A414" s="833" t="s">
        <v>156</v>
      </c>
      <c r="B414" s="477" t="s">
        <v>3995</v>
      </c>
      <c r="C414" s="478"/>
      <c r="D414" s="477"/>
      <c r="E414" s="479">
        <v>775726.98</v>
      </c>
      <c r="F414" s="479">
        <v>775726.98</v>
      </c>
      <c r="G414" s="479">
        <v>319551</v>
      </c>
      <c r="H414" s="479">
        <v>319551</v>
      </c>
      <c r="I414" s="480">
        <v>41.19</v>
      </c>
    </row>
    <row r="415" spans="1:9" ht="76.5" hidden="1" outlineLevel="4">
      <c r="A415" s="832" t="s">
        <v>156</v>
      </c>
      <c r="B415" s="482" t="s">
        <v>3995</v>
      </c>
      <c r="C415" s="831" t="s">
        <v>711</v>
      </c>
      <c r="D415" s="482" t="s">
        <v>712</v>
      </c>
      <c r="E415" s="484">
        <v>775726.98</v>
      </c>
      <c r="F415" s="484">
        <v>775726.98</v>
      </c>
      <c r="G415" s="484">
        <v>319551</v>
      </c>
      <c r="H415" s="484">
        <v>319551</v>
      </c>
      <c r="I415" s="480">
        <v>41.19</v>
      </c>
    </row>
    <row r="416" spans="1:9" ht="140.25" hidden="1" outlineLevel="3">
      <c r="A416" s="833" t="s">
        <v>3759</v>
      </c>
      <c r="B416" s="477" t="s">
        <v>3996</v>
      </c>
      <c r="C416" s="478"/>
      <c r="D416" s="477"/>
      <c r="E416" s="479">
        <v>11123100</v>
      </c>
      <c r="F416" s="479">
        <v>11123100</v>
      </c>
      <c r="G416" s="479">
        <v>6448898.46</v>
      </c>
      <c r="H416" s="479">
        <v>6288898.46</v>
      </c>
      <c r="I416" s="480">
        <v>56.54</v>
      </c>
    </row>
    <row r="417" spans="1:9" ht="140.25" hidden="1" outlineLevel="4">
      <c r="A417" s="832" t="s">
        <v>3759</v>
      </c>
      <c r="B417" s="482" t="s">
        <v>3996</v>
      </c>
      <c r="C417" s="831" t="s">
        <v>711</v>
      </c>
      <c r="D417" s="482" t="s">
        <v>712</v>
      </c>
      <c r="E417" s="484">
        <v>11123100</v>
      </c>
      <c r="F417" s="484">
        <v>11123100</v>
      </c>
      <c r="G417" s="484">
        <v>6448898.46</v>
      </c>
      <c r="H417" s="484">
        <v>6288898.46</v>
      </c>
      <c r="I417" s="480">
        <v>56.54</v>
      </c>
    </row>
    <row r="418" spans="1:9" ht="140.25" hidden="1" outlineLevel="3">
      <c r="A418" s="833" t="s">
        <v>3761</v>
      </c>
      <c r="B418" s="477" t="s">
        <v>3997</v>
      </c>
      <c r="C418" s="478"/>
      <c r="D418" s="477"/>
      <c r="E418" s="479">
        <v>1318300</v>
      </c>
      <c r="F418" s="479">
        <v>1318300</v>
      </c>
      <c r="G418" s="479">
        <v>873854.51</v>
      </c>
      <c r="H418" s="479">
        <v>873854.51</v>
      </c>
      <c r="I418" s="480">
        <v>66.290000000000006</v>
      </c>
    </row>
    <row r="419" spans="1:9" ht="140.25" hidden="1" outlineLevel="4">
      <c r="A419" s="832" t="s">
        <v>3761</v>
      </c>
      <c r="B419" s="482" t="s">
        <v>3997</v>
      </c>
      <c r="C419" s="831" t="s">
        <v>711</v>
      </c>
      <c r="D419" s="482" t="s">
        <v>712</v>
      </c>
      <c r="E419" s="484">
        <v>1318300</v>
      </c>
      <c r="F419" s="484">
        <v>1318300</v>
      </c>
      <c r="G419" s="484">
        <v>873854.51</v>
      </c>
      <c r="H419" s="484">
        <v>873854.51</v>
      </c>
      <c r="I419" s="480">
        <v>66.290000000000006</v>
      </c>
    </row>
    <row r="420" spans="1:9" ht="25.5" hidden="1" outlineLevel="3">
      <c r="A420" s="833" t="s">
        <v>713</v>
      </c>
      <c r="B420" s="477" t="s">
        <v>3998</v>
      </c>
      <c r="C420" s="478"/>
      <c r="D420" s="477"/>
      <c r="E420" s="479">
        <v>1500100</v>
      </c>
      <c r="F420" s="479">
        <v>1500100</v>
      </c>
      <c r="G420" s="479">
        <v>0</v>
      </c>
      <c r="H420" s="479">
        <v>0</v>
      </c>
      <c r="I420" s="480">
        <v>0</v>
      </c>
    </row>
    <row r="421" spans="1:9" ht="25.5" hidden="1" outlineLevel="4">
      <c r="A421" s="832" t="s">
        <v>713</v>
      </c>
      <c r="B421" s="482" t="s">
        <v>3998</v>
      </c>
      <c r="C421" s="831" t="s">
        <v>711</v>
      </c>
      <c r="D421" s="482" t="s">
        <v>712</v>
      </c>
      <c r="E421" s="484">
        <v>1500100</v>
      </c>
      <c r="F421" s="484">
        <v>1500100</v>
      </c>
      <c r="G421" s="484">
        <v>0</v>
      </c>
      <c r="H421" s="484">
        <v>0</v>
      </c>
      <c r="I421" s="480">
        <v>0</v>
      </c>
    </row>
    <row r="422" spans="1:9" ht="51" hidden="1" outlineLevel="2">
      <c r="A422" s="850" t="s">
        <v>3999</v>
      </c>
      <c r="B422" s="472" t="s">
        <v>4000</v>
      </c>
      <c r="C422" s="473"/>
      <c r="D422" s="472"/>
      <c r="E422" s="474">
        <v>105090299.31999999</v>
      </c>
      <c r="F422" s="474">
        <v>105090299.31999999</v>
      </c>
      <c r="G422" s="474">
        <v>74796634.430000007</v>
      </c>
      <c r="H422" s="474">
        <v>74796634.430000007</v>
      </c>
      <c r="I422" s="475">
        <v>71.17</v>
      </c>
    </row>
    <row r="423" spans="1:9" ht="51" hidden="1" outlineLevel="3">
      <c r="A423" s="833" t="s">
        <v>801</v>
      </c>
      <c r="B423" s="477" t="s">
        <v>4001</v>
      </c>
      <c r="C423" s="478"/>
      <c r="D423" s="477"/>
      <c r="E423" s="479">
        <v>9305889</v>
      </c>
      <c r="F423" s="479">
        <v>9305889</v>
      </c>
      <c r="G423" s="479">
        <v>0</v>
      </c>
      <c r="H423" s="479">
        <v>0</v>
      </c>
      <c r="I423" s="480">
        <v>0</v>
      </c>
    </row>
    <row r="424" spans="1:9" ht="51" hidden="1" outlineLevel="4">
      <c r="A424" s="832" t="s">
        <v>801</v>
      </c>
      <c r="B424" s="482" t="s">
        <v>4001</v>
      </c>
      <c r="C424" s="831" t="s">
        <v>803</v>
      </c>
      <c r="D424" s="482" t="s">
        <v>804</v>
      </c>
      <c r="E424" s="484">
        <v>9305889</v>
      </c>
      <c r="F424" s="484">
        <v>9305889</v>
      </c>
      <c r="G424" s="484">
        <v>0</v>
      </c>
      <c r="H424" s="484">
        <v>0</v>
      </c>
      <c r="I424" s="480">
        <v>0</v>
      </c>
    </row>
    <row r="425" spans="1:9" ht="38.25" hidden="1" outlineLevel="3">
      <c r="A425" s="833" t="s">
        <v>980</v>
      </c>
      <c r="B425" s="477" t="s">
        <v>4002</v>
      </c>
      <c r="C425" s="478"/>
      <c r="D425" s="477"/>
      <c r="E425" s="479">
        <v>95784410.319999993</v>
      </c>
      <c r="F425" s="479">
        <v>95784410.319999993</v>
      </c>
      <c r="G425" s="479">
        <v>74796634.430000007</v>
      </c>
      <c r="H425" s="479">
        <v>74796634.430000007</v>
      </c>
      <c r="I425" s="480">
        <v>78.09</v>
      </c>
    </row>
    <row r="426" spans="1:9" ht="38.25" hidden="1" outlineLevel="4">
      <c r="A426" s="832" t="s">
        <v>980</v>
      </c>
      <c r="B426" s="482" t="s">
        <v>4002</v>
      </c>
      <c r="C426" s="831" t="s">
        <v>803</v>
      </c>
      <c r="D426" s="482" t="s">
        <v>804</v>
      </c>
      <c r="E426" s="484">
        <v>95784410.319999993</v>
      </c>
      <c r="F426" s="484">
        <v>95784410.319999993</v>
      </c>
      <c r="G426" s="484">
        <v>74796634.430000007</v>
      </c>
      <c r="H426" s="484">
        <v>74796634.430000007</v>
      </c>
      <c r="I426" s="480">
        <v>78.09</v>
      </c>
    </row>
    <row r="427" spans="1:9" ht="30.75" collapsed="1" thickBot="1">
      <c r="A427" s="854" t="s">
        <v>4003</v>
      </c>
      <c r="B427" s="853" t="s">
        <v>4004</v>
      </c>
      <c r="C427" s="463"/>
      <c r="D427" s="853"/>
      <c r="E427" s="852">
        <v>21475096400.869999</v>
      </c>
      <c r="F427" s="852">
        <v>21473370920</v>
      </c>
      <c r="G427" s="852">
        <v>15837869323.68</v>
      </c>
      <c r="H427" s="852">
        <v>15276125032.43</v>
      </c>
      <c r="I427" s="465">
        <v>71.13</v>
      </c>
    </row>
    <row r="428" spans="1:9" ht="38.25" hidden="1" outlineLevel="1">
      <c r="A428" s="851" t="s">
        <v>4005</v>
      </c>
      <c r="B428" s="467" t="s">
        <v>4006</v>
      </c>
      <c r="C428" s="468"/>
      <c r="D428" s="467"/>
      <c r="E428" s="469">
        <v>3955687326.5999999</v>
      </c>
      <c r="F428" s="469">
        <v>3955006054.3499999</v>
      </c>
      <c r="G428" s="469">
        <v>2962993228.04</v>
      </c>
      <c r="H428" s="469">
        <v>2666405938.4099998</v>
      </c>
      <c r="I428" s="470">
        <v>67.41</v>
      </c>
    </row>
    <row r="429" spans="1:9" ht="102" hidden="1" outlineLevel="2">
      <c r="A429" s="850" t="s">
        <v>4007</v>
      </c>
      <c r="B429" s="472" t="s">
        <v>4008</v>
      </c>
      <c r="C429" s="473"/>
      <c r="D429" s="472"/>
      <c r="E429" s="474">
        <v>3584257700</v>
      </c>
      <c r="F429" s="474">
        <v>3584257700</v>
      </c>
      <c r="G429" s="474">
        <v>2780001519.04</v>
      </c>
      <c r="H429" s="474">
        <v>2491124145.1700001</v>
      </c>
      <c r="I429" s="475">
        <v>69.5</v>
      </c>
    </row>
    <row r="430" spans="1:9" ht="76.5" hidden="1" outlineLevel="3">
      <c r="A430" s="833" t="s">
        <v>702</v>
      </c>
      <c r="B430" s="477" t="s">
        <v>4009</v>
      </c>
      <c r="C430" s="478"/>
      <c r="D430" s="477"/>
      <c r="E430" s="479">
        <v>3209073800</v>
      </c>
      <c r="F430" s="479">
        <v>3209073800</v>
      </c>
      <c r="G430" s="479">
        <v>2513652015.5799999</v>
      </c>
      <c r="H430" s="479">
        <v>2242344555.5799999</v>
      </c>
      <c r="I430" s="480">
        <v>69.88</v>
      </c>
    </row>
    <row r="431" spans="1:9" ht="76.5" hidden="1" outlineLevel="4">
      <c r="A431" s="832" t="s">
        <v>702</v>
      </c>
      <c r="B431" s="482" t="s">
        <v>4009</v>
      </c>
      <c r="C431" s="831" t="s">
        <v>1043</v>
      </c>
      <c r="D431" s="482" t="s">
        <v>1044</v>
      </c>
      <c r="E431" s="484">
        <v>3209073800</v>
      </c>
      <c r="F431" s="484">
        <v>3209073800</v>
      </c>
      <c r="G431" s="484">
        <v>2513652015.5799999</v>
      </c>
      <c r="H431" s="484">
        <v>2242344555.5799999</v>
      </c>
      <c r="I431" s="480">
        <v>69.88</v>
      </c>
    </row>
    <row r="432" spans="1:9" ht="63.75" hidden="1" outlineLevel="3">
      <c r="A432" s="833" t="s">
        <v>62</v>
      </c>
      <c r="B432" s="477" t="s">
        <v>4010</v>
      </c>
      <c r="C432" s="478"/>
      <c r="D432" s="477"/>
      <c r="E432" s="479">
        <v>41655100</v>
      </c>
      <c r="F432" s="479">
        <v>41655100</v>
      </c>
      <c r="G432" s="479">
        <v>36968407.729999997</v>
      </c>
      <c r="H432" s="479">
        <v>36968407.729999997</v>
      </c>
      <c r="I432" s="480">
        <v>88.75</v>
      </c>
    </row>
    <row r="433" spans="1:9" ht="63.75" hidden="1" outlineLevel="4">
      <c r="A433" s="832" t="s">
        <v>62</v>
      </c>
      <c r="B433" s="482" t="s">
        <v>4010</v>
      </c>
      <c r="C433" s="831" t="s">
        <v>1043</v>
      </c>
      <c r="D433" s="482" t="s">
        <v>1044</v>
      </c>
      <c r="E433" s="484">
        <v>41655100</v>
      </c>
      <c r="F433" s="484">
        <v>41655100</v>
      </c>
      <c r="G433" s="484">
        <v>36968407.729999997</v>
      </c>
      <c r="H433" s="484">
        <v>36968407.729999997</v>
      </c>
      <c r="I433" s="480">
        <v>88.75</v>
      </c>
    </row>
    <row r="434" spans="1:9" ht="76.5" hidden="1" outlineLevel="3">
      <c r="A434" s="833" t="s">
        <v>156</v>
      </c>
      <c r="B434" s="477" t="s">
        <v>4011</v>
      </c>
      <c r="C434" s="478"/>
      <c r="D434" s="477"/>
      <c r="E434" s="479">
        <v>274200</v>
      </c>
      <c r="F434" s="479">
        <v>274200</v>
      </c>
      <c r="G434" s="479">
        <v>224169.7</v>
      </c>
      <c r="H434" s="479">
        <v>224169.7</v>
      </c>
      <c r="I434" s="480">
        <v>81.75</v>
      </c>
    </row>
    <row r="435" spans="1:9" ht="76.5" hidden="1" outlineLevel="4">
      <c r="A435" s="832" t="s">
        <v>156</v>
      </c>
      <c r="B435" s="482" t="s">
        <v>4011</v>
      </c>
      <c r="C435" s="831" t="s">
        <v>1043</v>
      </c>
      <c r="D435" s="482" t="s">
        <v>1044</v>
      </c>
      <c r="E435" s="484">
        <v>274200</v>
      </c>
      <c r="F435" s="484">
        <v>274200</v>
      </c>
      <c r="G435" s="484">
        <v>224169.7</v>
      </c>
      <c r="H435" s="484">
        <v>224169.7</v>
      </c>
      <c r="I435" s="480">
        <v>81.75</v>
      </c>
    </row>
    <row r="436" spans="1:9" ht="140.25" hidden="1" outlineLevel="3">
      <c r="A436" s="833" t="s">
        <v>3759</v>
      </c>
      <c r="B436" s="477" t="s">
        <v>4012</v>
      </c>
      <c r="C436" s="478"/>
      <c r="D436" s="477"/>
      <c r="E436" s="479">
        <v>7203800</v>
      </c>
      <c r="F436" s="479">
        <v>7203800</v>
      </c>
      <c r="G436" s="479">
        <v>4699772.57</v>
      </c>
      <c r="H436" s="479">
        <v>4699772.57</v>
      </c>
      <c r="I436" s="480">
        <v>65.239999999999995</v>
      </c>
    </row>
    <row r="437" spans="1:9" ht="140.25" hidden="1" outlineLevel="4">
      <c r="A437" s="832" t="s">
        <v>3759</v>
      </c>
      <c r="B437" s="482" t="s">
        <v>4012</v>
      </c>
      <c r="C437" s="831" t="s">
        <v>1043</v>
      </c>
      <c r="D437" s="482" t="s">
        <v>1044</v>
      </c>
      <c r="E437" s="484">
        <v>7203800</v>
      </c>
      <c r="F437" s="484">
        <v>7203800</v>
      </c>
      <c r="G437" s="484">
        <v>4699772.57</v>
      </c>
      <c r="H437" s="484">
        <v>4699772.57</v>
      </c>
      <c r="I437" s="480">
        <v>65.239999999999995</v>
      </c>
    </row>
    <row r="438" spans="1:9" ht="25.5" hidden="1" outlineLevel="3">
      <c r="A438" s="833" t="s">
        <v>713</v>
      </c>
      <c r="B438" s="477" t="s">
        <v>4013</v>
      </c>
      <c r="C438" s="478"/>
      <c r="D438" s="477"/>
      <c r="E438" s="479">
        <v>70000</v>
      </c>
      <c r="F438" s="479">
        <v>70000</v>
      </c>
      <c r="G438" s="479">
        <v>70000</v>
      </c>
      <c r="H438" s="479">
        <v>70000</v>
      </c>
      <c r="I438" s="480">
        <v>100</v>
      </c>
    </row>
    <row r="439" spans="1:9" ht="25.5" hidden="1" outlineLevel="4">
      <c r="A439" s="832" t="s">
        <v>713</v>
      </c>
      <c r="B439" s="482" t="s">
        <v>4013</v>
      </c>
      <c r="C439" s="831" t="s">
        <v>1043</v>
      </c>
      <c r="D439" s="482" t="s">
        <v>1044</v>
      </c>
      <c r="E439" s="484">
        <v>70000</v>
      </c>
      <c r="F439" s="484">
        <v>70000</v>
      </c>
      <c r="G439" s="484">
        <v>70000</v>
      </c>
      <c r="H439" s="484">
        <v>70000</v>
      </c>
      <c r="I439" s="480">
        <v>100</v>
      </c>
    </row>
    <row r="440" spans="1:9" ht="153" hidden="1" outlineLevel="3">
      <c r="A440" s="833" t="s">
        <v>4014</v>
      </c>
      <c r="B440" s="477" t="s">
        <v>4015</v>
      </c>
      <c r="C440" s="478"/>
      <c r="D440" s="477"/>
      <c r="E440" s="479">
        <v>140800</v>
      </c>
      <c r="F440" s="479">
        <v>140800</v>
      </c>
      <c r="G440" s="479">
        <v>0</v>
      </c>
      <c r="H440" s="479">
        <v>0</v>
      </c>
      <c r="I440" s="480">
        <v>0</v>
      </c>
    </row>
    <row r="441" spans="1:9" ht="153" hidden="1" outlineLevel="4">
      <c r="A441" s="832" t="s">
        <v>4014</v>
      </c>
      <c r="B441" s="482" t="s">
        <v>4015</v>
      </c>
      <c r="C441" s="831" t="s">
        <v>1043</v>
      </c>
      <c r="D441" s="482" t="s">
        <v>1044</v>
      </c>
      <c r="E441" s="484">
        <v>140800</v>
      </c>
      <c r="F441" s="484">
        <v>140800</v>
      </c>
      <c r="G441" s="484">
        <v>0</v>
      </c>
      <c r="H441" s="484">
        <v>0</v>
      </c>
      <c r="I441" s="480">
        <v>0</v>
      </c>
    </row>
    <row r="442" spans="1:9" ht="127.5" hidden="1" outlineLevel="3">
      <c r="A442" s="833" t="s">
        <v>1054</v>
      </c>
      <c r="B442" s="477" t="s">
        <v>4016</v>
      </c>
      <c r="C442" s="478"/>
      <c r="D442" s="477"/>
      <c r="E442" s="479">
        <v>325840000</v>
      </c>
      <c r="F442" s="479">
        <v>325840000</v>
      </c>
      <c r="G442" s="479">
        <v>224387153.46000001</v>
      </c>
      <c r="H442" s="479">
        <v>206817239.59</v>
      </c>
      <c r="I442" s="480">
        <v>63.47</v>
      </c>
    </row>
    <row r="443" spans="1:9" ht="127.5" hidden="1" outlineLevel="4">
      <c r="A443" s="832" t="s">
        <v>1054</v>
      </c>
      <c r="B443" s="482" t="s">
        <v>4016</v>
      </c>
      <c r="C443" s="831" t="s">
        <v>1043</v>
      </c>
      <c r="D443" s="482" t="s">
        <v>1044</v>
      </c>
      <c r="E443" s="484">
        <v>325840000</v>
      </c>
      <c r="F443" s="484">
        <v>325840000</v>
      </c>
      <c r="G443" s="484">
        <v>224387153.46000001</v>
      </c>
      <c r="H443" s="484">
        <v>206817239.59</v>
      </c>
      <c r="I443" s="480">
        <v>63.47</v>
      </c>
    </row>
    <row r="444" spans="1:9" ht="63.75" hidden="1" outlineLevel="2">
      <c r="A444" s="850" t="s">
        <v>4017</v>
      </c>
      <c r="B444" s="472" t="s">
        <v>4018</v>
      </c>
      <c r="C444" s="473"/>
      <c r="D444" s="472"/>
      <c r="E444" s="474">
        <v>336606026.60000002</v>
      </c>
      <c r="F444" s="474">
        <v>335924754.35000002</v>
      </c>
      <c r="G444" s="474">
        <v>182667009</v>
      </c>
      <c r="H444" s="474">
        <v>175201723.16</v>
      </c>
      <c r="I444" s="475">
        <v>52.05</v>
      </c>
    </row>
    <row r="445" spans="1:9" ht="76.5" hidden="1" outlineLevel="3">
      <c r="A445" s="833" t="s">
        <v>702</v>
      </c>
      <c r="B445" s="477" t="s">
        <v>4019</v>
      </c>
      <c r="C445" s="478"/>
      <c r="D445" s="477"/>
      <c r="E445" s="479">
        <v>334302023.5</v>
      </c>
      <c r="F445" s="479">
        <v>333620751.25</v>
      </c>
      <c r="G445" s="479">
        <v>182249009.80000001</v>
      </c>
      <c r="H445" s="479">
        <v>174783723.96000001</v>
      </c>
      <c r="I445" s="480">
        <v>52.28</v>
      </c>
    </row>
    <row r="446" spans="1:9" ht="76.5" hidden="1" outlineLevel="4">
      <c r="A446" s="832" t="s">
        <v>702</v>
      </c>
      <c r="B446" s="482" t="s">
        <v>4019</v>
      </c>
      <c r="C446" s="831" t="s">
        <v>1043</v>
      </c>
      <c r="D446" s="482" t="s">
        <v>1044</v>
      </c>
      <c r="E446" s="484">
        <v>334302023.5</v>
      </c>
      <c r="F446" s="484">
        <v>333620751.25</v>
      </c>
      <c r="G446" s="484">
        <v>182249009.80000001</v>
      </c>
      <c r="H446" s="484">
        <v>174783723.96000001</v>
      </c>
      <c r="I446" s="480">
        <v>52.28</v>
      </c>
    </row>
    <row r="447" spans="1:9" ht="25.5" hidden="1" outlineLevel="3">
      <c r="A447" s="833" t="s">
        <v>713</v>
      </c>
      <c r="B447" s="477" t="s">
        <v>4020</v>
      </c>
      <c r="C447" s="478"/>
      <c r="D447" s="477"/>
      <c r="E447" s="479">
        <v>2304003.1</v>
      </c>
      <c r="F447" s="479">
        <v>2304003.1</v>
      </c>
      <c r="G447" s="479">
        <v>417999.2</v>
      </c>
      <c r="H447" s="479">
        <v>417999.2</v>
      </c>
      <c r="I447" s="480">
        <v>18.14</v>
      </c>
    </row>
    <row r="448" spans="1:9" ht="25.5" hidden="1" outlineLevel="4">
      <c r="A448" s="832" t="s">
        <v>713</v>
      </c>
      <c r="B448" s="482" t="s">
        <v>4020</v>
      </c>
      <c r="C448" s="831" t="s">
        <v>803</v>
      </c>
      <c r="D448" s="482" t="s">
        <v>804</v>
      </c>
      <c r="E448" s="484">
        <v>2304003.1</v>
      </c>
      <c r="F448" s="484">
        <v>2304003.1</v>
      </c>
      <c r="G448" s="484">
        <v>417999.2</v>
      </c>
      <c r="H448" s="484">
        <v>417999.2</v>
      </c>
      <c r="I448" s="480">
        <v>18.14</v>
      </c>
    </row>
    <row r="449" spans="1:9" ht="25.5" hidden="1" outlineLevel="2">
      <c r="A449" s="850" t="s">
        <v>1233</v>
      </c>
      <c r="B449" s="472" t="s">
        <v>4021</v>
      </c>
      <c r="C449" s="473"/>
      <c r="D449" s="472"/>
      <c r="E449" s="474">
        <v>34823600</v>
      </c>
      <c r="F449" s="474">
        <v>34823600</v>
      </c>
      <c r="G449" s="474">
        <v>324700</v>
      </c>
      <c r="H449" s="474">
        <v>80070.080000000002</v>
      </c>
      <c r="I449" s="475">
        <v>0.23</v>
      </c>
    </row>
    <row r="450" spans="1:9" ht="63.75" hidden="1" outlineLevel="3">
      <c r="A450" s="833" t="s">
        <v>4022</v>
      </c>
      <c r="B450" s="477" t="s">
        <v>4023</v>
      </c>
      <c r="C450" s="478"/>
      <c r="D450" s="477"/>
      <c r="E450" s="479">
        <v>34823600</v>
      </c>
      <c r="F450" s="479">
        <v>34823600</v>
      </c>
      <c r="G450" s="479">
        <v>324700</v>
      </c>
      <c r="H450" s="479">
        <v>80070.080000000002</v>
      </c>
      <c r="I450" s="480">
        <v>0.23</v>
      </c>
    </row>
    <row r="451" spans="1:9" ht="63.75" hidden="1" outlineLevel="4">
      <c r="A451" s="832" t="s">
        <v>4022</v>
      </c>
      <c r="B451" s="482" t="s">
        <v>4023</v>
      </c>
      <c r="C451" s="831" t="s">
        <v>1043</v>
      </c>
      <c r="D451" s="482" t="s">
        <v>1044</v>
      </c>
      <c r="E451" s="484">
        <v>34823600</v>
      </c>
      <c r="F451" s="484">
        <v>34823600</v>
      </c>
      <c r="G451" s="484">
        <v>324700</v>
      </c>
      <c r="H451" s="484">
        <v>80070.080000000002</v>
      </c>
      <c r="I451" s="480">
        <v>0.23</v>
      </c>
    </row>
    <row r="452" spans="1:9" ht="38.25" hidden="1" outlineLevel="1">
      <c r="A452" s="851" t="s">
        <v>1062</v>
      </c>
      <c r="B452" s="467" t="s">
        <v>4024</v>
      </c>
      <c r="C452" s="468"/>
      <c r="D452" s="467"/>
      <c r="E452" s="469">
        <v>14526313572.879999</v>
      </c>
      <c r="F452" s="469">
        <v>14526137871.52</v>
      </c>
      <c r="G452" s="469">
        <v>10738237012.85</v>
      </c>
      <c r="H452" s="469">
        <v>10646414140.879999</v>
      </c>
      <c r="I452" s="470">
        <v>73.290000000000006</v>
      </c>
    </row>
    <row r="453" spans="1:9" ht="25.5" hidden="1" outlineLevel="2">
      <c r="A453" s="850" t="s">
        <v>1064</v>
      </c>
      <c r="B453" s="472" t="s">
        <v>4025</v>
      </c>
      <c r="C453" s="473"/>
      <c r="D453" s="472"/>
      <c r="E453" s="474">
        <v>47613927.850000001</v>
      </c>
      <c r="F453" s="474">
        <v>47613927.850000001</v>
      </c>
      <c r="G453" s="474">
        <v>41425728.740000002</v>
      </c>
      <c r="H453" s="474">
        <v>40771928.740000002</v>
      </c>
      <c r="I453" s="475">
        <v>85.63</v>
      </c>
    </row>
    <row r="454" spans="1:9" ht="25.5" hidden="1" outlineLevel="3">
      <c r="A454" s="833" t="s">
        <v>808</v>
      </c>
      <c r="B454" s="477" t="s">
        <v>4026</v>
      </c>
      <c r="C454" s="478"/>
      <c r="D454" s="477"/>
      <c r="E454" s="479">
        <v>17148800</v>
      </c>
      <c r="F454" s="479">
        <v>17148800</v>
      </c>
      <c r="G454" s="479">
        <v>11741509.07</v>
      </c>
      <c r="H454" s="479">
        <v>11740909.07</v>
      </c>
      <c r="I454" s="480">
        <v>68.459999999999994</v>
      </c>
    </row>
    <row r="455" spans="1:9" ht="25.5" hidden="1" outlineLevel="4">
      <c r="A455" s="832" t="s">
        <v>808</v>
      </c>
      <c r="B455" s="482" t="s">
        <v>4026</v>
      </c>
      <c r="C455" s="831" t="s">
        <v>1043</v>
      </c>
      <c r="D455" s="482" t="s">
        <v>1044</v>
      </c>
      <c r="E455" s="484">
        <v>17148800</v>
      </c>
      <c r="F455" s="484">
        <v>17148800</v>
      </c>
      <c r="G455" s="484">
        <v>11741509.07</v>
      </c>
      <c r="H455" s="484">
        <v>11740909.07</v>
      </c>
      <c r="I455" s="480">
        <v>68.459999999999994</v>
      </c>
    </row>
    <row r="456" spans="1:9" ht="63.75" hidden="1" outlineLevel="3">
      <c r="A456" s="833" t="s">
        <v>4027</v>
      </c>
      <c r="B456" s="477" t="s">
        <v>4028</v>
      </c>
      <c r="C456" s="478"/>
      <c r="D456" s="477"/>
      <c r="E456" s="479">
        <v>2591500</v>
      </c>
      <c r="F456" s="479">
        <v>2591500</v>
      </c>
      <c r="G456" s="479">
        <v>2591500</v>
      </c>
      <c r="H456" s="479">
        <v>1938300</v>
      </c>
      <c r="I456" s="480">
        <v>74.790000000000006</v>
      </c>
    </row>
    <row r="457" spans="1:9" ht="63.75" hidden="1" outlineLevel="4">
      <c r="A457" s="832" t="s">
        <v>4027</v>
      </c>
      <c r="B457" s="482" t="s">
        <v>4028</v>
      </c>
      <c r="C457" s="831" t="s">
        <v>1043</v>
      </c>
      <c r="D457" s="482" t="s">
        <v>1044</v>
      </c>
      <c r="E457" s="484">
        <v>2591500</v>
      </c>
      <c r="F457" s="484">
        <v>2591500</v>
      </c>
      <c r="G457" s="484">
        <v>2591500</v>
      </c>
      <c r="H457" s="484">
        <v>1938300</v>
      </c>
      <c r="I457" s="480">
        <v>74.790000000000006</v>
      </c>
    </row>
    <row r="458" spans="1:9" ht="38.25" hidden="1" outlineLevel="3">
      <c r="A458" s="833" t="s">
        <v>4029</v>
      </c>
      <c r="B458" s="477" t="s">
        <v>4030</v>
      </c>
      <c r="C458" s="478"/>
      <c r="D458" s="477"/>
      <c r="E458" s="479">
        <v>3300000</v>
      </c>
      <c r="F458" s="479">
        <v>3300000</v>
      </c>
      <c r="G458" s="479">
        <v>3300000</v>
      </c>
      <c r="H458" s="479">
        <v>3300000</v>
      </c>
      <c r="I458" s="480">
        <v>100</v>
      </c>
    </row>
    <row r="459" spans="1:9" ht="38.25" hidden="1" outlineLevel="4">
      <c r="A459" s="832" t="s">
        <v>4029</v>
      </c>
      <c r="B459" s="482" t="s">
        <v>4030</v>
      </c>
      <c r="C459" s="831" t="s">
        <v>1043</v>
      </c>
      <c r="D459" s="482" t="s">
        <v>1044</v>
      </c>
      <c r="E459" s="484">
        <v>3300000</v>
      </c>
      <c r="F459" s="484">
        <v>3300000</v>
      </c>
      <c r="G459" s="484">
        <v>3300000</v>
      </c>
      <c r="H459" s="484">
        <v>3300000</v>
      </c>
      <c r="I459" s="480">
        <v>100</v>
      </c>
    </row>
    <row r="460" spans="1:9" ht="63.75" hidden="1" outlineLevel="3">
      <c r="A460" s="833" t="s">
        <v>4031</v>
      </c>
      <c r="B460" s="477" t="s">
        <v>4032</v>
      </c>
      <c r="C460" s="478"/>
      <c r="D460" s="477"/>
      <c r="E460" s="479">
        <v>7700000</v>
      </c>
      <c r="F460" s="479">
        <v>7700000</v>
      </c>
      <c r="G460" s="479">
        <v>7700000</v>
      </c>
      <c r="H460" s="479">
        <v>7700000</v>
      </c>
      <c r="I460" s="480">
        <v>100</v>
      </c>
    </row>
    <row r="461" spans="1:9" ht="63.75" hidden="1" outlineLevel="4">
      <c r="A461" s="832" t="s">
        <v>4031</v>
      </c>
      <c r="B461" s="482" t="s">
        <v>4032</v>
      </c>
      <c r="C461" s="831" t="s">
        <v>1043</v>
      </c>
      <c r="D461" s="482" t="s">
        <v>1044</v>
      </c>
      <c r="E461" s="484">
        <v>7700000</v>
      </c>
      <c r="F461" s="484">
        <v>7700000</v>
      </c>
      <c r="G461" s="484">
        <v>7700000</v>
      </c>
      <c r="H461" s="484">
        <v>7700000</v>
      </c>
      <c r="I461" s="480">
        <v>100</v>
      </c>
    </row>
    <row r="462" spans="1:9" ht="51" hidden="1" outlineLevel="3">
      <c r="A462" s="833" t="s">
        <v>4033</v>
      </c>
      <c r="B462" s="477" t="s">
        <v>4034</v>
      </c>
      <c r="C462" s="478"/>
      <c r="D462" s="477"/>
      <c r="E462" s="479">
        <v>1873627.85</v>
      </c>
      <c r="F462" s="479">
        <v>1873627.85</v>
      </c>
      <c r="G462" s="479">
        <v>1092719.67</v>
      </c>
      <c r="H462" s="479">
        <v>1092719.67</v>
      </c>
      <c r="I462" s="480">
        <v>58.32</v>
      </c>
    </row>
    <row r="463" spans="1:9" ht="51" hidden="1" outlineLevel="4">
      <c r="A463" s="832" t="s">
        <v>4033</v>
      </c>
      <c r="B463" s="482" t="s">
        <v>4034</v>
      </c>
      <c r="C463" s="831" t="s">
        <v>1582</v>
      </c>
      <c r="D463" s="482" t="s">
        <v>1583</v>
      </c>
      <c r="E463" s="484">
        <v>1873627.85</v>
      </c>
      <c r="F463" s="484">
        <v>1873627.85</v>
      </c>
      <c r="G463" s="484">
        <v>1092719.67</v>
      </c>
      <c r="H463" s="484">
        <v>1092719.67</v>
      </c>
      <c r="I463" s="480">
        <v>58.32</v>
      </c>
    </row>
    <row r="464" spans="1:9" ht="76.5" hidden="1" outlineLevel="3">
      <c r="A464" s="833" t="s">
        <v>4035</v>
      </c>
      <c r="B464" s="477" t="s">
        <v>4036</v>
      </c>
      <c r="C464" s="478"/>
      <c r="D464" s="477"/>
      <c r="E464" s="479">
        <v>15000000</v>
      </c>
      <c r="F464" s="479">
        <v>15000000</v>
      </c>
      <c r="G464" s="479">
        <v>15000000</v>
      </c>
      <c r="H464" s="479">
        <v>15000000</v>
      </c>
      <c r="I464" s="480">
        <v>100</v>
      </c>
    </row>
    <row r="465" spans="1:9" ht="76.5" hidden="1" outlineLevel="4">
      <c r="A465" s="832" t="s">
        <v>4035</v>
      </c>
      <c r="B465" s="482" t="s">
        <v>4036</v>
      </c>
      <c r="C465" s="831" t="s">
        <v>1043</v>
      </c>
      <c r="D465" s="482" t="s">
        <v>1044</v>
      </c>
      <c r="E465" s="484">
        <v>15000000</v>
      </c>
      <c r="F465" s="484">
        <v>15000000</v>
      </c>
      <c r="G465" s="484">
        <v>15000000</v>
      </c>
      <c r="H465" s="484">
        <v>15000000</v>
      </c>
      <c r="I465" s="480">
        <v>100</v>
      </c>
    </row>
    <row r="466" spans="1:9" ht="38.25" hidden="1" outlineLevel="2">
      <c r="A466" s="850" t="s">
        <v>4037</v>
      </c>
      <c r="B466" s="472" t="s">
        <v>4038</v>
      </c>
      <c r="C466" s="473"/>
      <c r="D466" s="472"/>
      <c r="E466" s="474">
        <v>390000</v>
      </c>
      <c r="F466" s="474">
        <v>390000</v>
      </c>
      <c r="G466" s="474">
        <v>220000</v>
      </c>
      <c r="H466" s="474">
        <v>220000</v>
      </c>
      <c r="I466" s="475">
        <v>56.41</v>
      </c>
    </row>
    <row r="467" spans="1:9" ht="25.5" hidden="1" outlineLevel="3">
      <c r="A467" s="833" t="s">
        <v>808</v>
      </c>
      <c r="B467" s="477" t="s">
        <v>4039</v>
      </c>
      <c r="C467" s="478"/>
      <c r="D467" s="477"/>
      <c r="E467" s="479">
        <v>390000</v>
      </c>
      <c r="F467" s="479">
        <v>390000</v>
      </c>
      <c r="G467" s="479">
        <v>220000</v>
      </c>
      <c r="H467" s="479">
        <v>220000</v>
      </c>
      <c r="I467" s="480">
        <v>56.41</v>
      </c>
    </row>
    <row r="468" spans="1:9" ht="25.5" hidden="1" outlineLevel="4">
      <c r="A468" s="832" t="s">
        <v>808</v>
      </c>
      <c r="B468" s="482" t="s">
        <v>4039</v>
      </c>
      <c r="C468" s="831" t="s">
        <v>896</v>
      </c>
      <c r="D468" s="482" t="s">
        <v>897</v>
      </c>
      <c r="E468" s="484">
        <v>390000</v>
      </c>
      <c r="F468" s="484">
        <v>390000</v>
      </c>
      <c r="G468" s="484">
        <v>220000</v>
      </c>
      <c r="H468" s="484">
        <v>220000</v>
      </c>
      <c r="I468" s="480">
        <v>56.41</v>
      </c>
    </row>
    <row r="469" spans="1:9" ht="38.25" hidden="1" outlineLevel="2">
      <c r="A469" s="850" t="s">
        <v>4040</v>
      </c>
      <c r="B469" s="472" t="s">
        <v>4041</v>
      </c>
      <c r="C469" s="473"/>
      <c r="D469" s="472"/>
      <c r="E469" s="474">
        <v>115329613</v>
      </c>
      <c r="F469" s="474">
        <v>115329613</v>
      </c>
      <c r="G469" s="474">
        <v>108277897</v>
      </c>
      <c r="H469" s="474">
        <v>108277897</v>
      </c>
      <c r="I469" s="475">
        <v>93.89</v>
      </c>
    </row>
    <row r="470" spans="1:9" ht="51" hidden="1" outlineLevel="3">
      <c r="A470" s="833" t="s">
        <v>1220</v>
      </c>
      <c r="B470" s="477" t="s">
        <v>4042</v>
      </c>
      <c r="C470" s="478"/>
      <c r="D470" s="477"/>
      <c r="E470" s="479">
        <v>104780127</v>
      </c>
      <c r="F470" s="479">
        <v>104780127</v>
      </c>
      <c r="G470" s="479">
        <v>98935685</v>
      </c>
      <c r="H470" s="479">
        <v>98935685</v>
      </c>
      <c r="I470" s="480">
        <v>94.42</v>
      </c>
    </row>
    <row r="471" spans="1:9" ht="51" hidden="1" outlineLevel="4">
      <c r="A471" s="832" t="s">
        <v>1220</v>
      </c>
      <c r="B471" s="482" t="s">
        <v>4042</v>
      </c>
      <c r="C471" s="831" t="s">
        <v>704</v>
      </c>
      <c r="D471" s="482" t="s">
        <v>705</v>
      </c>
      <c r="E471" s="484">
        <v>104780127</v>
      </c>
      <c r="F471" s="484">
        <v>104780127</v>
      </c>
      <c r="G471" s="484">
        <v>98935685</v>
      </c>
      <c r="H471" s="484">
        <v>98935685</v>
      </c>
      <c r="I471" s="480">
        <v>94.42</v>
      </c>
    </row>
    <row r="472" spans="1:9" ht="38.25" hidden="1" outlineLevel="3">
      <c r="A472" s="833" t="s">
        <v>1222</v>
      </c>
      <c r="B472" s="477" t="s">
        <v>4043</v>
      </c>
      <c r="C472" s="478"/>
      <c r="D472" s="477"/>
      <c r="E472" s="479">
        <v>7802732</v>
      </c>
      <c r="F472" s="479">
        <v>7802732</v>
      </c>
      <c r="G472" s="479">
        <v>7802712</v>
      </c>
      <c r="H472" s="479">
        <v>7802712</v>
      </c>
      <c r="I472" s="480">
        <v>100</v>
      </c>
    </row>
    <row r="473" spans="1:9" ht="38.25" hidden="1" outlineLevel="4">
      <c r="A473" s="832" t="s">
        <v>1222</v>
      </c>
      <c r="B473" s="482" t="s">
        <v>4043</v>
      </c>
      <c r="C473" s="831" t="s">
        <v>704</v>
      </c>
      <c r="D473" s="482" t="s">
        <v>705</v>
      </c>
      <c r="E473" s="484">
        <v>7802732</v>
      </c>
      <c r="F473" s="484">
        <v>7802732</v>
      </c>
      <c r="G473" s="484">
        <v>7802712</v>
      </c>
      <c r="H473" s="484">
        <v>7802712</v>
      </c>
      <c r="I473" s="480">
        <v>100</v>
      </c>
    </row>
    <row r="474" spans="1:9" ht="25.5" hidden="1" outlineLevel="3">
      <c r="A474" s="833" t="s">
        <v>1224</v>
      </c>
      <c r="B474" s="477" t="s">
        <v>4044</v>
      </c>
      <c r="C474" s="478"/>
      <c r="D474" s="477"/>
      <c r="E474" s="479">
        <v>2746754</v>
      </c>
      <c r="F474" s="479">
        <v>2746754</v>
      </c>
      <c r="G474" s="479">
        <v>1539500</v>
      </c>
      <c r="H474" s="479">
        <v>1539500</v>
      </c>
      <c r="I474" s="480">
        <v>56.05</v>
      </c>
    </row>
    <row r="475" spans="1:9" ht="25.5" hidden="1" outlineLevel="4">
      <c r="A475" s="832" t="s">
        <v>1224</v>
      </c>
      <c r="B475" s="482" t="s">
        <v>4044</v>
      </c>
      <c r="C475" s="831" t="s">
        <v>704</v>
      </c>
      <c r="D475" s="482" t="s">
        <v>705</v>
      </c>
      <c r="E475" s="484">
        <v>2746754</v>
      </c>
      <c r="F475" s="484">
        <v>2746754</v>
      </c>
      <c r="G475" s="484">
        <v>1539500</v>
      </c>
      <c r="H475" s="484">
        <v>1539500</v>
      </c>
      <c r="I475" s="480">
        <v>56.05</v>
      </c>
    </row>
    <row r="476" spans="1:9" ht="153" hidden="1" outlineLevel="2">
      <c r="A476" s="850" t="s">
        <v>4045</v>
      </c>
      <c r="B476" s="472" t="s">
        <v>4046</v>
      </c>
      <c r="C476" s="473"/>
      <c r="D476" s="472"/>
      <c r="E476" s="474">
        <v>21761500</v>
      </c>
      <c r="F476" s="474">
        <v>21585798.640000001</v>
      </c>
      <c r="G476" s="474">
        <v>17247918.789999999</v>
      </c>
      <c r="H476" s="474">
        <v>17222560.789999999</v>
      </c>
      <c r="I476" s="475">
        <v>79.14</v>
      </c>
    </row>
    <row r="477" spans="1:9" ht="25.5" hidden="1" outlineLevel="3">
      <c r="A477" s="833" t="s">
        <v>1077</v>
      </c>
      <c r="B477" s="477" t="s">
        <v>4047</v>
      </c>
      <c r="C477" s="478"/>
      <c r="D477" s="477"/>
      <c r="E477" s="479">
        <v>7661800</v>
      </c>
      <c r="F477" s="479">
        <v>7486098.6399999997</v>
      </c>
      <c r="G477" s="479">
        <v>5161321.08</v>
      </c>
      <c r="H477" s="479">
        <v>5135963.08</v>
      </c>
      <c r="I477" s="480">
        <v>67.03</v>
      </c>
    </row>
    <row r="478" spans="1:9" ht="25.5" hidden="1" outlineLevel="4">
      <c r="A478" s="832" t="s">
        <v>1077</v>
      </c>
      <c r="B478" s="482" t="s">
        <v>4047</v>
      </c>
      <c r="C478" s="831" t="s">
        <v>896</v>
      </c>
      <c r="D478" s="482" t="s">
        <v>897</v>
      </c>
      <c r="E478" s="484">
        <v>408000</v>
      </c>
      <c r="F478" s="484">
        <v>408000</v>
      </c>
      <c r="G478" s="484">
        <v>337408.9</v>
      </c>
      <c r="H478" s="484">
        <v>337408.9</v>
      </c>
      <c r="I478" s="480">
        <v>82.7</v>
      </c>
    </row>
    <row r="479" spans="1:9" ht="25.5" hidden="1" outlineLevel="4">
      <c r="A479" s="832" t="s">
        <v>1077</v>
      </c>
      <c r="B479" s="482" t="s">
        <v>4047</v>
      </c>
      <c r="C479" s="831" t="s">
        <v>1043</v>
      </c>
      <c r="D479" s="482" t="s">
        <v>1044</v>
      </c>
      <c r="E479" s="484">
        <v>7253800</v>
      </c>
      <c r="F479" s="484">
        <v>7078098.6399999997</v>
      </c>
      <c r="G479" s="484">
        <v>4823912.18</v>
      </c>
      <c r="H479" s="484">
        <v>4798554.18</v>
      </c>
      <c r="I479" s="480">
        <v>66.150000000000006</v>
      </c>
    </row>
    <row r="480" spans="1:9" ht="25.5" hidden="1" outlineLevel="3">
      <c r="A480" s="833" t="s">
        <v>713</v>
      </c>
      <c r="B480" s="477" t="s">
        <v>4048</v>
      </c>
      <c r="C480" s="478"/>
      <c r="D480" s="477"/>
      <c r="E480" s="479">
        <v>3239900</v>
      </c>
      <c r="F480" s="479">
        <v>3239900</v>
      </c>
      <c r="G480" s="479">
        <v>2051969.1</v>
      </c>
      <c r="H480" s="479">
        <v>2051969.1</v>
      </c>
      <c r="I480" s="480">
        <v>63.33</v>
      </c>
    </row>
    <row r="481" spans="1:9" ht="25.5" hidden="1" outlineLevel="4">
      <c r="A481" s="832" t="s">
        <v>713</v>
      </c>
      <c r="B481" s="482" t="s">
        <v>4048</v>
      </c>
      <c r="C481" s="831" t="s">
        <v>1043</v>
      </c>
      <c r="D481" s="482" t="s">
        <v>1044</v>
      </c>
      <c r="E481" s="484">
        <v>3239900</v>
      </c>
      <c r="F481" s="484">
        <v>3239900</v>
      </c>
      <c r="G481" s="484">
        <v>2051969.1</v>
      </c>
      <c r="H481" s="484">
        <v>2051969.1</v>
      </c>
      <c r="I481" s="480">
        <v>63.33</v>
      </c>
    </row>
    <row r="482" spans="1:9" ht="51" hidden="1" outlineLevel="3">
      <c r="A482" s="833" t="s">
        <v>4049</v>
      </c>
      <c r="B482" s="477" t="s">
        <v>4050</v>
      </c>
      <c r="C482" s="478"/>
      <c r="D482" s="477"/>
      <c r="E482" s="479">
        <v>859800</v>
      </c>
      <c r="F482" s="479">
        <v>859800</v>
      </c>
      <c r="G482" s="479">
        <v>34628.61</v>
      </c>
      <c r="H482" s="479">
        <v>34628.61</v>
      </c>
      <c r="I482" s="480">
        <v>4.03</v>
      </c>
    </row>
    <row r="483" spans="1:9" ht="51" hidden="1" outlineLevel="4">
      <c r="A483" s="832" t="s">
        <v>4049</v>
      </c>
      <c r="B483" s="482" t="s">
        <v>4050</v>
      </c>
      <c r="C483" s="831" t="s">
        <v>1043</v>
      </c>
      <c r="D483" s="482" t="s">
        <v>1044</v>
      </c>
      <c r="E483" s="484">
        <v>859800</v>
      </c>
      <c r="F483" s="484">
        <v>859800</v>
      </c>
      <c r="G483" s="484">
        <v>34628.61</v>
      </c>
      <c r="H483" s="484">
        <v>34628.61</v>
      </c>
      <c r="I483" s="480">
        <v>4.03</v>
      </c>
    </row>
    <row r="484" spans="1:9" ht="51" hidden="1" outlineLevel="3">
      <c r="A484" s="833" t="s">
        <v>4051</v>
      </c>
      <c r="B484" s="477" t="s">
        <v>4052</v>
      </c>
      <c r="C484" s="478"/>
      <c r="D484" s="477"/>
      <c r="E484" s="479">
        <v>10000000</v>
      </c>
      <c r="F484" s="479">
        <v>10000000</v>
      </c>
      <c r="G484" s="479">
        <v>10000000</v>
      </c>
      <c r="H484" s="479">
        <v>10000000</v>
      </c>
      <c r="I484" s="480">
        <v>100</v>
      </c>
    </row>
    <row r="485" spans="1:9" ht="51" hidden="1" outlineLevel="4">
      <c r="A485" s="832" t="s">
        <v>4051</v>
      </c>
      <c r="B485" s="482" t="s">
        <v>4052</v>
      </c>
      <c r="C485" s="831" t="s">
        <v>1043</v>
      </c>
      <c r="D485" s="482" t="s">
        <v>1044</v>
      </c>
      <c r="E485" s="484">
        <v>10000000</v>
      </c>
      <c r="F485" s="484">
        <v>10000000</v>
      </c>
      <c r="G485" s="484">
        <v>10000000</v>
      </c>
      <c r="H485" s="484">
        <v>10000000</v>
      </c>
      <c r="I485" s="480">
        <v>100</v>
      </c>
    </row>
    <row r="486" spans="1:9" ht="51" hidden="1" outlineLevel="2">
      <c r="A486" s="850" t="s">
        <v>4053</v>
      </c>
      <c r="B486" s="472" t="s">
        <v>4054</v>
      </c>
      <c r="C486" s="473"/>
      <c r="D486" s="472"/>
      <c r="E486" s="474">
        <v>13245684091.030001</v>
      </c>
      <c r="F486" s="474">
        <v>13245684091.030001</v>
      </c>
      <c r="G486" s="474">
        <v>9809834248.5799999</v>
      </c>
      <c r="H486" s="474">
        <v>9745596254.6399994</v>
      </c>
      <c r="I486" s="475">
        <v>73.58</v>
      </c>
    </row>
    <row r="487" spans="1:9" ht="51" hidden="1" outlineLevel="3">
      <c r="A487" s="833" t="s">
        <v>1084</v>
      </c>
      <c r="B487" s="477" t="s">
        <v>4055</v>
      </c>
      <c r="C487" s="478"/>
      <c r="D487" s="477"/>
      <c r="E487" s="479">
        <v>7728000</v>
      </c>
      <c r="F487" s="479">
        <v>7728000</v>
      </c>
      <c r="G487" s="479">
        <v>5870000</v>
      </c>
      <c r="H487" s="479">
        <v>5694096.7800000003</v>
      </c>
      <c r="I487" s="480">
        <v>73.680000000000007</v>
      </c>
    </row>
    <row r="488" spans="1:9" ht="51" hidden="1" outlineLevel="4">
      <c r="A488" s="832" t="s">
        <v>1084</v>
      </c>
      <c r="B488" s="482" t="s">
        <v>4055</v>
      </c>
      <c r="C488" s="831" t="s">
        <v>1043</v>
      </c>
      <c r="D488" s="482" t="s">
        <v>1044</v>
      </c>
      <c r="E488" s="484">
        <v>7728000</v>
      </c>
      <c r="F488" s="484">
        <v>7728000</v>
      </c>
      <c r="G488" s="484">
        <v>5870000</v>
      </c>
      <c r="H488" s="484">
        <v>5694096.7800000003</v>
      </c>
      <c r="I488" s="480">
        <v>73.680000000000007</v>
      </c>
    </row>
    <row r="489" spans="1:9" ht="51" hidden="1" outlineLevel="3">
      <c r="A489" s="833" t="s">
        <v>1086</v>
      </c>
      <c r="B489" s="477" t="s">
        <v>4056</v>
      </c>
      <c r="C489" s="478"/>
      <c r="D489" s="477"/>
      <c r="E489" s="479">
        <v>1666679390</v>
      </c>
      <c r="F489" s="479">
        <v>1666679390</v>
      </c>
      <c r="G489" s="479">
        <v>1207260548.22</v>
      </c>
      <c r="H489" s="479">
        <v>1204225168.8699999</v>
      </c>
      <c r="I489" s="480">
        <v>72.25</v>
      </c>
    </row>
    <row r="490" spans="1:9" ht="51" hidden="1" outlineLevel="4">
      <c r="A490" s="832" t="s">
        <v>1086</v>
      </c>
      <c r="B490" s="482" t="s">
        <v>4056</v>
      </c>
      <c r="C490" s="831" t="s">
        <v>1043</v>
      </c>
      <c r="D490" s="482" t="s">
        <v>1044</v>
      </c>
      <c r="E490" s="484">
        <v>1666679390</v>
      </c>
      <c r="F490" s="484">
        <v>1666679390</v>
      </c>
      <c r="G490" s="484">
        <v>1207260548.22</v>
      </c>
      <c r="H490" s="484">
        <v>1204225168.8699999</v>
      </c>
      <c r="I490" s="480">
        <v>72.25</v>
      </c>
    </row>
    <row r="491" spans="1:9" ht="51" hidden="1" outlineLevel="3">
      <c r="A491" s="833" t="s">
        <v>1088</v>
      </c>
      <c r="B491" s="477" t="s">
        <v>4057</v>
      </c>
      <c r="C491" s="478"/>
      <c r="D491" s="477"/>
      <c r="E491" s="479">
        <v>26159000</v>
      </c>
      <c r="F491" s="479">
        <v>26159000</v>
      </c>
      <c r="G491" s="479">
        <v>21470338.34</v>
      </c>
      <c r="H491" s="479">
        <v>21316366.710000001</v>
      </c>
      <c r="I491" s="480">
        <v>81.489999999999995</v>
      </c>
    </row>
    <row r="492" spans="1:9" ht="51" hidden="1" outlineLevel="4">
      <c r="A492" s="832" t="s">
        <v>1088</v>
      </c>
      <c r="B492" s="482" t="s">
        <v>4057</v>
      </c>
      <c r="C492" s="831" t="s">
        <v>1043</v>
      </c>
      <c r="D492" s="482" t="s">
        <v>1044</v>
      </c>
      <c r="E492" s="484">
        <v>26159000</v>
      </c>
      <c r="F492" s="484">
        <v>26159000</v>
      </c>
      <c r="G492" s="484">
        <v>21470338.34</v>
      </c>
      <c r="H492" s="484">
        <v>21316366.710000001</v>
      </c>
      <c r="I492" s="480">
        <v>81.489999999999995</v>
      </c>
    </row>
    <row r="493" spans="1:9" ht="63.75" hidden="1" outlineLevel="3">
      <c r="A493" s="833" t="s">
        <v>4058</v>
      </c>
      <c r="B493" s="477" t="s">
        <v>4059</v>
      </c>
      <c r="C493" s="478"/>
      <c r="D493" s="477"/>
      <c r="E493" s="479">
        <v>2829400</v>
      </c>
      <c r="F493" s="479">
        <v>2829400</v>
      </c>
      <c r="G493" s="479">
        <v>2118194.36</v>
      </c>
      <c r="H493" s="479">
        <v>2100193.71</v>
      </c>
      <c r="I493" s="480">
        <v>74.23</v>
      </c>
    </row>
    <row r="494" spans="1:9" ht="63.75" hidden="1" outlineLevel="4">
      <c r="A494" s="832" t="s">
        <v>4058</v>
      </c>
      <c r="B494" s="482" t="s">
        <v>4059</v>
      </c>
      <c r="C494" s="831" t="s">
        <v>1043</v>
      </c>
      <c r="D494" s="482" t="s">
        <v>1044</v>
      </c>
      <c r="E494" s="484">
        <v>2829400</v>
      </c>
      <c r="F494" s="484">
        <v>2829400</v>
      </c>
      <c r="G494" s="484">
        <v>2118194.36</v>
      </c>
      <c r="H494" s="484">
        <v>2100193.71</v>
      </c>
      <c r="I494" s="480">
        <v>74.23</v>
      </c>
    </row>
    <row r="495" spans="1:9" ht="25.5" hidden="1" outlineLevel="3">
      <c r="A495" s="833" t="s">
        <v>4060</v>
      </c>
      <c r="B495" s="477" t="s">
        <v>4061</v>
      </c>
      <c r="C495" s="478"/>
      <c r="D495" s="477"/>
      <c r="E495" s="479">
        <v>18300</v>
      </c>
      <c r="F495" s="479">
        <v>18300</v>
      </c>
      <c r="G495" s="479">
        <v>15000</v>
      </c>
      <c r="H495" s="479">
        <v>13500</v>
      </c>
      <c r="I495" s="480">
        <v>73.77</v>
      </c>
    </row>
    <row r="496" spans="1:9" ht="25.5" hidden="1" outlineLevel="4">
      <c r="A496" s="832" t="s">
        <v>4060</v>
      </c>
      <c r="B496" s="482" t="s">
        <v>4061</v>
      </c>
      <c r="C496" s="831" t="s">
        <v>1043</v>
      </c>
      <c r="D496" s="482" t="s">
        <v>1044</v>
      </c>
      <c r="E496" s="484">
        <v>18300</v>
      </c>
      <c r="F496" s="484">
        <v>18300</v>
      </c>
      <c r="G496" s="484">
        <v>15000</v>
      </c>
      <c r="H496" s="484">
        <v>13500</v>
      </c>
      <c r="I496" s="480">
        <v>73.77</v>
      </c>
    </row>
    <row r="497" spans="1:9" ht="25.5" hidden="1" outlineLevel="3">
      <c r="A497" s="833" t="s">
        <v>1090</v>
      </c>
      <c r="B497" s="477" t="s">
        <v>4062</v>
      </c>
      <c r="C497" s="478"/>
      <c r="D497" s="477"/>
      <c r="E497" s="479">
        <v>946613800</v>
      </c>
      <c r="F497" s="479">
        <v>946613800</v>
      </c>
      <c r="G497" s="479">
        <v>688710538.66999996</v>
      </c>
      <c r="H497" s="479">
        <v>685812625.23000002</v>
      </c>
      <c r="I497" s="480">
        <v>72.45</v>
      </c>
    </row>
    <row r="498" spans="1:9" ht="25.5" hidden="1" outlineLevel="4">
      <c r="A498" s="832" t="s">
        <v>1090</v>
      </c>
      <c r="B498" s="482" t="s">
        <v>4062</v>
      </c>
      <c r="C498" s="831" t="s">
        <v>1043</v>
      </c>
      <c r="D498" s="482" t="s">
        <v>1044</v>
      </c>
      <c r="E498" s="484">
        <v>946613800</v>
      </c>
      <c r="F498" s="484">
        <v>946613800</v>
      </c>
      <c r="G498" s="484">
        <v>688710538.66999996</v>
      </c>
      <c r="H498" s="484">
        <v>685812625.23000002</v>
      </c>
      <c r="I498" s="480">
        <v>72.45</v>
      </c>
    </row>
    <row r="499" spans="1:9" ht="25.5" hidden="1" outlineLevel="3">
      <c r="A499" s="833" t="s">
        <v>1092</v>
      </c>
      <c r="B499" s="477" t="s">
        <v>4063</v>
      </c>
      <c r="C499" s="478"/>
      <c r="D499" s="477"/>
      <c r="E499" s="479">
        <v>64800</v>
      </c>
      <c r="F499" s="479">
        <v>64800</v>
      </c>
      <c r="G499" s="479">
        <v>51446.400000000001</v>
      </c>
      <c r="H499" s="479">
        <v>51446.400000000001</v>
      </c>
      <c r="I499" s="480">
        <v>79.39</v>
      </c>
    </row>
    <row r="500" spans="1:9" ht="25.5" hidden="1" outlineLevel="4">
      <c r="A500" s="832" t="s">
        <v>1092</v>
      </c>
      <c r="B500" s="482" t="s">
        <v>4063</v>
      </c>
      <c r="C500" s="831" t="s">
        <v>1043</v>
      </c>
      <c r="D500" s="482" t="s">
        <v>1044</v>
      </c>
      <c r="E500" s="484">
        <v>64800</v>
      </c>
      <c r="F500" s="484">
        <v>64800</v>
      </c>
      <c r="G500" s="484">
        <v>51446.400000000001</v>
      </c>
      <c r="H500" s="484">
        <v>51446.400000000001</v>
      </c>
      <c r="I500" s="480">
        <v>79.39</v>
      </c>
    </row>
    <row r="501" spans="1:9" ht="51" hidden="1" outlineLevel="3">
      <c r="A501" s="833" t="s">
        <v>1094</v>
      </c>
      <c r="B501" s="477" t="s">
        <v>4064</v>
      </c>
      <c r="C501" s="478"/>
      <c r="D501" s="477"/>
      <c r="E501" s="479">
        <v>8681500</v>
      </c>
      <c r="F501" s="479">
        <v>8681500</v>
      </c>
      <c r="G501" s="479">
        <v>6442897.8700000001</v>
      </c>
      <c r="H501" s="479">
        <v>6390484.1399999997</v>
      </c>
      <c r="I501" s="480">
        <v>73.61</v>
      </c>
    </row>
    <row r="502" spans="1:9" ht="51" hidden="1" outlineLevel="4">
      <c r="A502" s="832" t="s">
        <v>1094</v>
      </c>
      <c r="B502" s="482" t="s">
        <v>4064</v>
      </c>
      <c r="C502" s="831" t="s">
        <v>1043</v>
      </c>
      <c r="D502" s="482" t="s">
        <v>1044</v>
      </c>
      <c r="E502" s="484">
        <v>8681500</v>
      </c>
      <c r="F502" s="484">
        <v>8681500</v>
      </c>
      <c r="G502" s="484">
        <v>6442897.8700000001</v>
      </c>
      <c r="H502" s="484">
        <v>6390484.1399999997</v>
      </c>
      <c r="I502" s="480">
        <v>73.61</v>
      </c>
    </row>
    <row r="503" spans="1:9" ht="38.25" hidden="1" outlineLevel="3">
      <c r="A503" s="833" t="s">
        <v>1096</v>
      </c>
      <c r="B503" s="477" t="s">
        <v>4065</v>
      </c>
      <c r="C503" s="478"/>
      <c r="D503" s="477"/>
      <c r="E503" s="479">
        <v>218773650</v>
      </c>
      <c r="F503" s="479">
        <v>218773650</v>
      </c>
      <c r="G503" s="479">
        <v>159138499.90000001</v>
      </c>
      <c r="H503" s="479">
        <v>158547741.34999999</v>
      </c>
      <c r="I503" s="480">
        <v>72.47</v>
      </c>
    </row>
    <row r="504" spans="1:9" ht="38.25" hidden="1" outlineLevel="4">
      <c r="A504" s="832" t="s">
        <v>1096</v>
      </c>
      <c r="B504" s="482" t="s">
        <v>4065</v>
      </c>
      <c r="C504" s="831" t="s">
        <v>1043</v>
      </c>
      <c r="D504" s="482" t="s">
        <v>1044</v>
      </c>
      <c r="E504" s="484">
        <v>218773650</v>
      </c>
      <c r="F504" s="484">
        <v>218773650</v>
      </c>
      <c r="G504" s="484">
        <v>159138499.90000001</v>
      </c>
      <c r="H504" s="484">
        <v>158547741.34999999</v>
      </c>
      <c r="I504" s="480">
        <v>72.47</v>
      </c>
    </row>
    <row r="505" spans="1:9" ht="38.25" hidden="1" outlineLevel="3">
      <c r="A505" s="833" t="s">
        <v>4066</v>
      </c>
      <c r="B505" s="477" t="s">
        <v>4067</v>
      </c>
      <c r="C505" s="478"/>
      <c r="D505" s="477"/>
      <c r="E505" s="479">
        <v>625583800</v>
      </c>
      <c r="F505" s="479">
        <v>625583800</v>
      </c>
      <c r="G505" s="479">
        <v>464955185.25</v>
      </c>
      <c r="H505" s="479">
        <v>463950943.26999998</v>
      </c>
      <c r="I505" s="480">
        <v>74.16</v>
      </c>
    </row>
    <row r="506" spans="1:9" ht="38.25" hidden="1" outlineLevel="4">
      <c r="A506" s="832" t="s">
        <v>4066</v>
      </c>
      <c r="B506" s="482" t="s">
        <v>4067</v>
      </c>
      <c r="C506" s="831" t="s">
        <v>1043</v>
      </c>
      <c r="D506" s="482" t="s">
        <v>1044</v>
      </c>
      <c r="E506" s="484">
        <v>625583800</v>
      </c>
      <c r="F506" s="484">
        <v>625583800</v>
      </c>
      <c r="G506" s="484">
        <v>464955185.25</v>
      </c>
      <c r="H506" s="484">
        <v>463950943.26999998</v>
      </c>
      <c r="I506" s="480">
        <v>74.16</v>
      </c>
    </row>
    <row r="507" spans="1:9" hidden="1" outlineLevel="3">
      <c r="A507" s="833" t="s">
        <v>1100</v>
      </c>
      <c r="B507" s="477" t="s">
        <v>4068</v>
      </c>
      <c r="C507" s="478"/>
      <c r="D507" s="477"/>
      <c r="E507" s="479">
        <v>118301850</v>
      </c>
      <c r="F507" s="479">
        <v>118301850</v>
      </c>
      <c r="G507" s="479">
        <v>87569909.390000001</v>
      </c>
      <c r="H507" s="479">
        <v>86546318.859999999</v>
      </c>
      <c r="I507" s="480">
        <v>73.16</v>
      </c>
    </row>
    <row r="508" spans="1:9" ht="25.5" hidden="1" outlineLevel="4">
      <c r="A508" s="832" t="s">
        <v>1100</v>
      </c>
      <c r="B508" s="482" t="s">
        <v>4068</v>
      </c>
      <c r="C508" s="831" t="s">
        <v>1043</v>
      </c>
      <c r="D508" s="482" t="s">
        <v>1044</v>
      </c>
      <c r="E508" s="484">
        <v>118301850</v>
      </c>
      <c r="F508" s="484">
        <v>118301850</v>
      </c>
      <c r="G508" s="484">
        <v>87569909.390000001</v>
      </c>
      <c r="H508" s="484">
        <v>86546318.859999999</v>
      </c>
      <c r="I508" s="480">
        <v>73.16</v>
      </c>
    </row>
    <row r="509" spans="1:9" ht="25.5" hidden="1" outlineLevel="3">
      <c r="A509" s="833" t="s">
        <v>1102</v>
      </c>
      <c r="B509" s="477" t="s">
        <v>4069</v>
      </c>
      <c r="C509" s="478"/>
      <c r="D509" s="477"/>
      <c r="E509" s="479">
        <v>283171900</v>
      </c>
      <c r="F509" s="479">
        <v>283171900</v>
      </c>
      <c r="G509" s="479">
        <v>167477262.83000001</v>
      </c>
      <c r="H509" s="479">
        <v>166726045</v>
      </c>
      <c r="I509" s="480">
        <v>58.88</v>
      </c>
    </row>
    <row r="510" spans="1:9" ht="25.5" hidden="1" outlineLevel="4">
      <c r="A510" s="832" t="s">
        <v>1102</v>
      </c>
      <c r="B510" s="482" t="s">
        <v>4069</v>
      </c>
      <c r="C510" s="831" t="s">
        <v>1043</v>
      </c>
      <c r="D510" s="482" t="s">
        <v>1044</v>
      </c>
      <c r="E510" s="484">
        <v>283171900</v>
      </c>
      <c r="F510" s="484">
        <v>283171900</v>
      </c>
      <c r="G510" s="484">
        <v>167477262.83000001</v>
      </c>
      <c r="H510" s="484">
        <v>166726045</v>
      </c>
      <c r="I510" s="480">
        <v>58.88</v>
      </c>
    </row>
    <row r="511" spans="1:9" ht="25.5" hidden="1" outlineLevel="3">
      <c r="A511" s="833" t="s">
        <v>1104</v>
      </c>
      <c r="B511" s="477" t="s">
        <v>4070</v>
      </c>
      <c r="C511" s="478"/>
      <c r="D511" s="477"/>
      <c r="E511" s="479">
        <v>11142750</v>
      </c>
      <c r="F511" s="479">
        <v>11142750</v>
      </c>
      <c r="G511" s="479">
        <v>6707727.6799999997</v>
      </c>
      <c r="H511" s="479">
        <v>6210033.7199999997</v>
      </c>
      <c r="I511" s="480">
        <v>55.73</v>
      </c>
    </row>
    <row r="512" spans="1:9" ht="25.5" hidden="1" outlineLevel="4">
      <c r="A512" s="832" t="s">
        <v>1104</v>
      </c>
      <c r="B512" s="482" t="s">
        <v>4070</v>
      </c>
      <c r="C512" s="831" t="s">
        <v>1043</v>
      </c>
      <c r="D512" s="482" t="s">
        <v>1044</v>
      </c>
      <c r="E512" s="484">
        <v>11142750</v>
      </c>
      <c r="F512" s="484">
        <v>11142750</v>
      </c>
      <c r="G512" s="484">
        <v>6707727.6799999997</v>
      </c>
      <c r="H512" s="484">
        <v>6210033.7199999997</v>
      </c>
      <c r="I512" s="480">
        <v>55.73</v>
      </c>
    </row>
    <row r="513" spans="1:9" ht="38.25" hidden="1" outlineLevel="3">
      <c r="A513" s="833" t="s">
        <v>1106</v>
      </c>
      <c r="B513" s="477" t="s">
        <v>4071</v>
      </c>
      <c r="C513" s="478"/>
      <c r="D513" s="477"/>
      <c r="E513" s="479">
        <v>2917500</v>
      </c>
      <c r="F513" s="479">
        <v>2917500</v>
      </c>
      <c r="G513" s="479">
        <v>1558788.16</v>
      </c>
      <c r="H513" s="479">
        <v>1426288.16</v>
      </c>
      <c r="I513" s="480">
        <v>48.89</v>
      </c>
    </row>
    <row r="514" spans="1:9" ht="38.25" hidden="1" outlineLevel="4">
      <c r="A514" s="832" t="s">
        <v>1106</v>
      </c>
      <c r="B514" s="482" t="s">
        <v>4071</v>
      </c>
      <c r="C514" s="831" t="s">
        <v>1043</v>
      </c>
      <c r="D514" s="482" t="s">
        <v>1044</v>
      </c>
      <c r="E514" s="484">
        <v>2917500</v>
      </c>
      <c r="F514" s="484">
        <v>2917500</v>
      </c>
      <c r="G514" s="484">
        <v>1558788.16</v>
      </c>
      <c r="H514" s="484">
        <v>1426288.16</v>
      </c>
      <c r="I514" s="480">
        <v>48.89</v>
      </c>
    </row>
    <row r="515" spans="1:9" ht="51" hidden="1" outlineLevel="3">
      <c r="A515" s="833" t="s">
        <v>1108</v>
      </c>
      <c r="B515" s="477" t="s">
        <v>4072</v>
      </c>
      <c r="C515" s="478"/>
      <c r="D515" s="477"/>
      <c r="E515" s="479">
        <v>1450000</v>
      </c>
      <c r="F515" s="479">
        <v>1450000</v>
      </c>
      <c r="G515" s="479">
        <v>1440000</v>
      </c>
      <c r="H515" s="479">
        <v>1440000</v>
      </c>
      <c r="I515" s="480">
        <v>99.31</v>
      </c>
    </row>
    <row r="516" spans="1:9" ht="51" hidden="1" outlineLevel="4">
      <c r="A516" s="832" t="s">
        <v>1108</v>
      </c>
      <c r="B516" s="482" t="s">
        <v>4072</v>
      </c>
      <c r="C516" s="831" t="s">
        <v>1043</v>
      </c>
      <c r="D516" s="482" t="s">
        <v>1044</v>
      </c>
      <c r="E516" s="484">
        <v>1450000</v>
      </c>
      <c r="F516" s="484">
        <v>1450000</v>
      </c>
      <c r="G516" s="484">
        <v>1440000</v>
      </c>
      <c r="H516" s="484">
        <v>1440000</v>
      </c>
      <c r="I516" s="480">
        <v>99.31</v>
      </c>
    </row>
    <row r="517" spans="1:9" ht="51" hidden="1" outlineLevel="3">
      <c r="A517" s="833" t="s">
        <v>4073</v>
      </c>
      <c r="B517" s="477" t="s">
        <v>4074</v>
      </c>
      <c r="C517" s="478"/>
      <c r="D517" s="477"/>
      <c r="E517" s="479">
        <v>5000000</v>
      </c>
      <c r="F517" s="479">
        <v>5000000</v>
      </c>
      <c r="G517" s="479">
        <v>5000000</v>
      </c>
      <c r="H517" s="479">
        <v>5000000</v>
      </c>
      <c r="I517" s="480">
        <v>100</v>
      </c>
    </row>
    <row r="518" spans="1:9" ht="51" hidden="1" outlineLevel="4">
      <c r="A518" s="832" t="s">
        <v>4073</v>
      </c>
      <c r="B518" s="482" t="s">
        <v>4074</v>
      </c>
      <c r="C518" s="831" t="s">
        <v>1043</v>
      </c>
      <c r="D518" s="482" t="s">
        <v>1044</v>
      </c>
      <c r="E518" s="484">
        <v>5000000</v>
      </c>
      <c r="F518" s="484">
        <v>5000000</v>
      </c>
      <c r="G518" s="484">
        <v>5000000</v>
      </c>
      <c r="H518" s="484">
        <v>5000000</v>
      </c>
      <c r="I518" s="480">
        <v>100</v>
      </c>
    </row>
    <row r="519" spans="1:9" ht="38.25" hidden="1" outlineLevel="3">
      <c r="A519" s="833" t="s">
        <v>1110</v>
      </c>
      <c r="B519" s="477" t="s">
        <v>4075</v>
      </c>
      <c r="C519" s="478"/>
      <c r="D519" s="477"/>
      <c r="E519" s="479">
        <v>9786500</v>
      </c>
      <c r="F519" s="479">
        <v>9786500</v>
      </c>
      <c r="G519" s="479">
        <v>7076080</v>
      </c>
      <c r="H519" s="479">
        <v>6771080</v>
      </c>
      <c r="I519" s="480">
        <v>69.19</v>
      </c>
    </row>
    <row r="520" spans="1:9" ht="38.25" hidden="1" outlineLevel="4">
      <c r="A520" s="832" t="s">
        <v>1110</v>
      </c>
      <c r="B520" s="482" t="s">
        <v>4075</v>
      </c>
      <c r="C520" s="831" t="s">
        <v>1043</v>
      </c>
      <c r="D520" s="482" t="s">
        <v>1044</v>
      </c>
      <c r="E520" s="484">
        <v>9786500</v>
      </c>
      <c r="F520" s="484">
        <v>9786500</v>
      </c>
      <c r="G520" s="484">
        <v>7076080</v>
      </c>
      <c r="H520" s="484">
        <v>6771080</v>
      </c>
      <c r="I520" s="480">
        <v>69.19</v>
      </c>
    </row>
    <row r="521" spans="1:9" ht="25.5" hidden="1" outlineLevel="3">
      <c r="A521" s="833" t="s">
        <v>1112</v>
      </c>
      <c r="B521" s="477" t="s">
        <v>4076</v>
      </c>
      <c r="C521" s="478"/>
      <c r="D521" s="477"/>
      <c r="E521" s="479">
        <v>1230500</v>
      </c>
      <c r="F521" s="479">
        <v>1230500</v>
      </c>
      <c r="G521" s="479">
        <v>1215664.8</v>
      </c>
      <c r="H521" s="479">
        <v>1191064.8</v>
      </c>
      <c r="I521" s="480">
        <v>96.8</v>
      </c>
    </row>
    <row r="522" spans="1:9" ht="25.5" hidden="1" outlineLevel="4">
      <c r="A522" s="832" t="s">
        <v>1112</v>
      </c>
      <c r="B522" s="482" t="s">
        <v>4076</v>
      </c>
      <c r="C522" s="831" t="s">
        <v>1043</v>
      </c>
      <c r="D522" s="482" t="s">
        <v>1044</v>
      </c>
      <c r="E522" s="484">
        <v>1230500</v>
      </c>
      <c r="F522" s="484">
        <v>1230500</v>
      </c>
      <c r="G522" s="484">
        <v>1215664.8</v>
      </c>
      <c r="H522" s="484">
        <v>1191064.8</v>
      </c>
      <c r="I522" s="480">
        <v>96.8</v>
      </c>
    </row>
    <row r="523" spans="1:9" ht="38.25" hidden="1" outlineLevel="3">
      <c r="A523" s="833" t="s">
        <v>1114</v>
      </c>
      <c r="B523" s="477" t="s">
        <v>4077</v>
      </c>
      <c r="C523" s="478"/>
      <c r="D523" s="477"/>
      <c r="E523" s="479">
        <v>16546000</v>
      </c>
      <c r="F523" s="479">
        <v>16546000</v>
      </c>
      <c r="G523" s="479">
        <v>16441820</v>
      </c>
      <c r="H523" s="479">
        <v>16396320</v>
      </c>
      <c r="I523" s="480">
        <v>99.1</v>
      </c>
    </row>
    <row r="524" spans="1:9" ht="38.25" hidden="1" outlineLevel="4">
      <c r="A524" s="832" t="s">
        <v>1114</v>
      </c>
      <c r="B524" s="482" t="s">
        <v>4077</v>
      </c>
      <c r="C524" s="831" t="s">
        <v>1043</v>
      </c>
      <c r="D524" s="482" t="s">
        <v>1044</v>
      </c>
      <c r="E524" s="484">
        <v>16546000</v>
      </c>
      <c r="F524" s="484">
        <v>16546000</v>
      </c>
      <c r="G524" s="484">
        <v>16441820</v>
      </c>
      <c r="H524" s="484">
        <v>16396320</v>
      </c>
      <c r="I524" s="480">
        <v>99.1</v>
      </c>
    </row>
    <row r="525" spans="1:9" ht="38.25" hidden="1" outlineLevel="3">
      <c r="A525" s="833" t="s">
        <v>1116</v>
      </c>
      <c r="B525" s="477" t="s">
        <v>4078</v>
      </c>
      <c r="C525" s="478"/>
      <c r="D525" s="477"/>
      <c r="E525" s="479">
        <v>569000</v>
      </c>
      <c r="F525" s="479">
        <v>569000</v>
      </c>
      <c r="G525" s="479">
        <v>295000</v>
      </c>
      <c r="H525" s="479">
        <v>280000</v>
      </c>
      <c r="I525" s="480">
        <v>49.21</v>
      </c>
    </row>
    <row r="526" spans="1:9" ht="38.25" hidden="1" outlineLevel="4">
      <c r="A526" s="832" t="s">
        <v>1116</v>
      </c>
      <c r="B526" s="482" t="s">
        <v>4078</v>
      </c>
      <c r="C526" s="831" t="s">
        <v>1043</v>
      </c>
      <c r="D526" s="482" t="s">
        <v>1044</v>
      </c>
      <c r="E526" s="484">
        <v>569000</v>
      </c>
      <c r="F526" s="484">
        <v>569000</v>
      </c>
      <c r="G526" s="484">
        <v>295000</v>
      </c>
      <c r="H526" s="484">
        <v>280000</v>
      </c>
      <c r="I526" s="480">
        <v>49.21</v>
      </c>
    </row>
    <row r="527" spans="1:9" ht="38.25" hidden="1" outlineLevel="3">
      <c r="A527" s="833" t="s">
        <v>1118</v>
      </c>
      <c r="B527" s="477" t="s">
        <v>4079</v>
      </c>
      <c r="C527" s="478"/>
      <c r="D527" s="477"/>
      <c r="E527" s="479">
        <v>21837000</v>
      </c>
      <c r="F527" s="479">
        <v>21837000</v>
      </c>
      <c r="G527" s="479">
        <v>21489380.100000001</v>
      </c>
      <c r="H527" s="479">
        <v>21425380.100000001</v>
      </c>
      <c r="I527" s="480">
        <v>98.12</v>
      </c>
    </row>
    <row r="528" spans="1:9" ht="38.25" hidden="1" outlineLevel="4">
      <c r="A528" s="832" t="s">
        <v>1118</v>
      </c>
      <c r="B528" s="482" t="s">
        <v>4079</v>
      </c>
      <c r="C528" s="831" t="s">
        <v>1043</v>
      </c>
      <c r="D528" s="482" t="s">
        <v>1044</v>
      </c>
      <c r="E528" s="484">
        <v>21837000</v>
      </c>
      <c r="F528" s="484">
        <v>21837000</v>
      </c>
      <c r="G528" s="484">
        <v>21489380.100000001</v>
      </c>
      <c r="H528" s="484">
        <v>21425380.100000001</v>
      </c>
      <c r="I528" s="480">
        <v>98.12</v>
      </c>
    </row>
    <row r="529" spans="1:9" ht="51" hidden="1" outlineLevel="3">
      <c r="A529" s="833" t="s">
        <v>4080</v>
      </c>
      <c r="B529" s="477" t="s">
        <v>4081</v>
      </c>
      <c r="C529" s="478"/>
      <c r="D529" s="477"/>
      <c r="E529" s="479">
        <v>70000000</v>
      </c>
      <c r="F529" s="479">
        <v>70000000</v>
      </c>
      <c r="G529" s="479">
        <v>54000000</v>
      </c>
      <c r="H529" s="479">
        <v>54000000</v>
      </c>
      <c r="I529" s="480">
        <v>77.14</v>
      </c>
    </row>
    <row r="530" spans="1:9" ht="51" hidden="1" outlineLevel="4">
      <c r="A530" s="832" t="s">
        <v>4080</v>
      </c>
      <c r="B530" s="482" t="s">
        <v>4081</v>
      </c>
      <c r="C530" s="831" t="s">
        <v>1043</v>
      </c>
      <c r="D530" s="482" t="s">
        <v>1044</v>
      </c>
      <c r="E530" s="484">
        <v>70000000</v>
      </c>
      <c r="F530" s="484">
        <v>70000000</v>
      </c>
      <c r="G530" s="484">
        <v>54000000</v>
      </c>
      <c r="H530" s="484">
        <v>54000000</v>
      </c>
      <c r="I530" s="480">
        <v>77.14</v>
      </c>
    </row>
    <row r="531" spans="1:9" ht="38.25" hidden="1" outlineLevel="3">
      <c r="A531" s="833" t="s">
        <v>1120</v>
      </c>
      <c r="B531" s="477" t="s">
        <v>4082</v>
      </c>
      <c r="C531" s="478"/>
      <c r="D531" s="477"/>
      <c r="E531" s="479">
        <v>90401210</v>
      </c>
      <c r="F531" s="479">
        <v>90401210</v>
      </c>
      <c r="G531" s="479">
        <v>88925821.109999999</v>
      </c>
      <c r="H531" s="479">
        <v>88845959.549999997</v>
      </c>
      <c r="I531" s="480">
        <v>98.28</v>
      </c>
    </row>
    <row r="532" spans="1:9" ht="38.25" hidden="1" outlineLevel="4">
      <c r="A532" s="832" t="s">
        <v>1120</v>
      </c>
      <c r="B532" s="482" t="s">
        <v>4082</v>
      </c>
      <c r="C532" s="831" t="s">
        <v>1043</v>
      </c>
      <c r="D532" s="482" t="s">
        <v>1044</v>
      </c>
      <c r="E532" s="484">
        <v>90401210</v>
      </c>
      <c r="F532" s="484">
        <v>90401210</v>
      </c>
      <c r="G532" s="484">
        <v>88925821.109999999</v>
      </c>
      <c r="H532" s="484">
        <v>88845959.549999997</v>
      </c>
      <c r="I532" s="480">
        <v>98.28</v>
      </c>
    </row>
    <row r="533" spans="1:9" ht="51" hidden="1" outlineLevel="3">
      <c r="A533" s="833" t="s">
        <v>1122</v>
      </c>
      <c r="B533" s="477" t="s">
        <v>4083</v>
      </c>
      <c r="C533" s="478"/>
      <c r="D533" s="477"/>
      <c r="E533" s="479">
        <v>9010100</v>
      </c>
      <c r="F533" s="479">
        <v>9010100</v>
      </c>
      <c r="G533" s="479">
        <v>6496796.4500000002</v>
      </c>
      <c r="H533" s="479">
        <v>5703380.3499999996</v>
      </c>
      <c r="I533" s="480">
        <v>63.3</v>
      </c>
    </row>
    <row r="534" spans="1:9" ht="51" hidden="1" outlineLevel="4">
      <c r="A534" s="832" t="s">
        <v>1122</v>
      </c>
      <c r="B534" s="482" t="s">
        <v>4083</v>
      </c>
      <c r="C534" s="831" t="s">
        <v>1043</v>
      </c>
      <c r="D534" s="482" t="s">
        <v>1044</v>
      </c>
      <c r="E534" s="484">
        <v>9010100</v>
      </c>
      <c r="F534" s="484">
        <v>9010100</v>
      </c>
      <c r="G534" s="484">
        <v>6496796.4500000002</v>
      </c>
      <c r="H534" s="484">
        <v>5703380.3499999996</v>
      </c>
      <c r="I534" s="480">
        <v>63.3</v>
      </c>
    </row>
    <row r="535" spans="1:9" ht="38.25" hidden="1" outlineLevel="3">
      <c r="A535" s="833" t="s">
        <v>1124</v>
      </c>
      <c r="B535" s="477" t="s">
        <v>4084</v>
      </c>
      <c r="C535" s="478"/>
      <c r="D535" s="477"/>
      <c r="E535" s="479">
        <v>8318900</v>
      </c>
      <c r="F535" s="479">
        <v>8318900</v>
      </c>
      <c r="G535" s="479">
        <v>3882143.9</v>
      </c>
      <c r="H535" s="479">
        <v>3719033.4</v>
      </c>
      <c r="I535" s="480">
        <v>44.71</v>
      </c>
    </row>
    <row r="536" spans="1:9" ht="38.25" hidden="1" outlineLevel="4">
      <c r="A536" s="832" t="s">
        <v>1124</v>
      </c>
      <c r="B536" s="482" t="s">
        <v>4084</v>
      </c>
      <c r="C536" s="831" t="s">
        <v>1043</v>
      </c>
      <c r="D536" s="482" t="s">
        <v>1044</v>
      </c>
      <c r="E536" s="484">
        <v>8318900</v>
      </c>
      <c r="F536" s="484">
        <v>8318900</v>
      </c>
      <c r="G536" s="484">
        <v>3882143.9</v>
      </c>
      <c r="H536" s="484">
        <v>3719033.4</v>
      </c>
      <c r="I536" s="480">
        <v>44.71</v>
      </c>
    </row>
    <row r="537" spans="1:9" ht="25.5" hidden="1" outlineLevel="3">
      <c r="A537" s="833" t="s">
        <v>1126</v>
      </c>
      <c r="B537" s="477" t="s">
        <v>4085</v>
      </c>
      <c r="C537" s="478"/>
      <c r="D537" s="477"/>
      <c r="E537" s="479">
        <v>3692200</v>
      </c>
      <c r="F537" s="479">
        <v>3692200</v>
      </c>
      <c r="G537" s="479">
        <v>3217795.16</v>
      </c>
      <c r="H537" s="479">
        <v>3194965.16</v>
      </c>
      <c r="I537" s="480">
        <v>86.53</v>
      </c>
    </row>
    <row r="538" spans="1:9" ht="25.5" hidden="1" outlineLevel="4">
      <c r="A538" s="832" t="s">
        <v>1126</v>
      </c>
      <c r="B538" s="482" t="s">
        <v>4085</v>
      </c>
      <c r="C538" s="831" t="s">
        <v>1043</v>
      </c>
      <c r="D538" s="482" t="s">
        <v>1044</v>
      </c>
      <c r="E538" s="484">
        <v>3692200</v>
      </c>
      <c r="F538" s="484">
        <v>3692200</v>
      </c>
      <c r="G538" s="484">
        <v>3217795.16</v>
      </c>
      <c r="H538" s="484">
        <v>3194965.16</v>
      </c>
      <c r="I538" s="480">
        <v>86.53</v>
      </c>
    </row>
    <row r="539" spans="1:9" ht="102" hidden="1" outlineLevel="3">
      <c r="A539" s="833" t="s">
        <v>1128</v>
      </c>
      <c r="B539" s="477" t="s">
        <v>4086</v>
      </c>
      <c r="C539" s="478"/>
      <c r="D539" s="477"/>
      <c r="E539" s="479">
        <v>5178300</v>
      </c>
      <c r="F539" s="479">
        <v>5178300</v>
      </c>
      <c r="G539" s="479">
        <v>3355766</v>
      </c>
      <c r="H539" s="479">
        <v>3322160</v>
      </c>
      <c r="I539" s="480">
        <v>64.16</v>
      </c>
    </row>
    <row r="540" spans="1:9" ht="102" hidden="1" outlineLevel="4">
      <c r="A540" s="832" t="s">
        <v>1128</v>
      </c>
      <c r="B540" s="482" t="s">
        <v>4086</v>
      </c>
      <c r="C540" s="831" t="s">
        <v>1043</v>
      </c>
      <c r="D540" s="482" t="s">
        <v>1044</v>
      </c>
      <c r="E540" s="484">
        <v>5178300</v>
      </c>
      <c r="F540" s="484">
        <v>5178300</v>
      </c>
      <c r="G540" s="484">
        <v>3355766</v>
      </c>
      <c r="H540" s="484">
        <v>3322160</v>
      </c>
      <c r="I540" s="480">
        <v>64.16</v>
      </c>
    </row>
    <row r="541" spans="1:9" ht="102" hidden="1" outlineLevel="3">
      <c r="A541" s="833" t="s">
        <v>1130</v>
      </c>
      <c r="B541" s="477" t="s">
        <v>4087</v>
      </c>
      <c r="C541" s="478"/>
      <c r="D541" s="477"/>
      <c r="E541" s="479">
        <v>77043600</v>
      </c>
      <c r="F541" s="479">
        <v>77043600</v>
      </c>
      <c r="G541" s="479">
        <v>62537265.990000002</v>
      </c>
      <c r="H541" s="479">
        <v>62392572.039999999</v>
      </c>
      <c r="I541" s="480">
        <v>80.98</v>
      </c>
    </row>
    <row r="542" spans="1:9" ht="102" hidden="1" outlineLevel="4">
      <c r="A542" s="832" t="s">
        <v>1130</v>
      </c>
      <c r="B542" s="482" t="s">
        <v>4087</v>
      </c>
      <c r="C542" s="831" t="s">
        <v>1043</v>
      </c>
      <c r="D542" s="482" t="s">
        <v>1044</v>
      </c>
      <c r="E542" s="484">
        <v>77043600</v>
      </c>
      <c r="F542" s="484">
        <v>77043600</v>
      </c>
      <c r="G542" s="484">
        <v>62537265.990000002</v>
      </c>
      <c r="H542" s="484">
        <v>62392572.039999999</v>
      </c>
      <c r="I542" s="480">
        <v>80.98</v>
      </c>
    </row>
    <row r="543" spans="1:9" ht="89.25" hidden="1" outlineLevel="3">
      <c r="A543" s="833" t="s">
        <v>1132</v>
      </c>
      <c r="B543" s="477" t="s">
        <v>4088</v>
      </c>
      <c r="C543" s="478"/>
      <c r="D543" s="477"/>
      <c r="E543" s="479">
        <v>1500</v>
      </c>
      <c r="F543" s="479">
        <v>1500</v>
      </c>
      <c r="G543" s="479">
        <v>516.89</v>
      </c>
      <c r="H543" s="479">
        <v>516.89</v>
      </c>
      <c r="I543" s="480">
        <v>34.46</v>
      </c>
    </row>
    <row r="544" spans="1:9" ht="89.25" hidden="1" outlineLevel="4">
      <c r="A544" s="832" t="s">
        <v>1132</v>
      </c>
      <c r="B544" s="482" t="s">
        <v>4088</v>
      </c>
      <c r="C544" s="831" t="s">
        <v>1043</v>
      </c>
      <c r="D544" s="482" t="s">
        <v>1044</v>
      </c>
      <c r="E544" s="484">
        <v>1500</v>
      </c>
      <c r="F544" s="484">
        <v>1500</v>
      </c>
      <c r="G544" s="484">
        <v>516.89</v>
      </c>
      <c r="H544" s="484">
        <v>516.89</v>
      </c>
      <c r="I544" s="480">
        <v>34.46</v>
      </c>
    </row>
    <row r="545" spans="1:9" ht="63.75" hidden="1" outlineLevel="3">
      <c r="A545" s="833" t="s">
        <v>1134</v>
      </c>
      <c r="B545" s="477" t="s">
        <v>4089</v>
      </c>
      <c r="C545" s="478"/>
      <c r="D545" s="477"/>
      <c r="E545" s="479">
        <v>56308300</v>
      </c>
      <c r="F545" s="479">
        <v>56308300</v>
      </c>
      <c r="G545" s="479">
        <v>41993447.460000001</v>
      </c>
      <c r="H545" s="479">
        <v>41795105.840000004</v>
      </c>
      <c r="I545" s="480">
        <v>74.23</v>
      </c>
    </row>
    <row r="546" spans="1:9" ht="63.75" hidden="1" outlineLevel="4">
      <c r="A546" s="832" t="s">
        <v>1134</v>
      </c>
      <c r="B546" s="482" t="s">
        <v>4089</v>
      </c>
      <c r="C546" s="831" t="s">
        <v>1043</v>
      </c>
      <c r="D546" s="482" t="s">
        <v>1044</v>
      </c>
      <c r="E546" s="484">
        <v>56308300</v>
      </c>
      <c r="F546" s="484">
        <v>56308300</v>
      </c>
      <c r="G546" s="484">
        <v>41993447.460000001</v>
      </c>
      <c r="H546" s="484">
        <v>41795105.840000004</v>
      </c>
      <c r="I546" s="480">
        <v>74.23</v>
      </c>
    </row>
    <row r="547" spans="1:9" ht="51" hidden="1" outlineLevel="3">
      <c r="A547" s="833" t="s">
        <v>4090</v>
      </c>
      <c r="B547" s="477" t="s">
        <v>4091</v>
      </c>
      <c r="C547" s="478"/>
      <c r="D547" s="477"/>
      <c r="E547" s="479">
        <v>23223300</v>
      </c>
      <c r="F547" s="479">
        <v>23223300</v>
      </c>
      <c r="G547" s="479">
        <v>16837590</v>
      </c>
      <c r="H547" s="479">
        <v>16307090</v>
      </c>
      <c r="I547" s="480">
        <v>70.22</v>
      </c>
    </row>
    <row r="548" spans="1:9" ht="51" hidden="1" outlineLevel="4">
      <c r="A548" s="832" t="s">
        <v>4090</v>
      </c>
      <c r="B548" s="482" t="s">
        <v>4091</v>
      </c>
      <c r="C548" s="831" t="s">
        <v>1043</v>
      </c>
      <c r="D548" s="482" t="s">
        <v>1044</v>
      </c>
      <c r="E548" s="484">
        <v>23223300</v>
      </c>
      <c r="F548" s="484">
        <v>23223300</v>
      </c>
      <c r="G548" s="484">
        <v>16837590</v>
      </c>
      <c r="H548" s="484">
        <v>16307090</v>
      </c>
      <c r="I548" s="480">
        <v>70.22</v>
      </c>
    </row>
    <row r="549" spans="1:9" ht="153" hidden="1" outlineLevel="3">
      <c r="A549" s="833" t="s">
        <v>4092</v>
      </c>
      <c r="B549" s="477" t="s">
        <v>4093</v>
      </c>
      <c r="C549" s="478"/>
      <c r="D549" s="477"/>
      <c r="E549" s="479">
        <v>343700000</v>
      </c>
      <c r="F549" s="479">
        <v>343700000</v>
      </c>
      <c r="G549" s="479">
        <v>178940000</v>
      </c>
      <c r="H549" s="479">
        <v>178935000</v>
      </c>
      <c r="I549" s="480">
        <v>52.06</v>
      </c>
    </row>
    <row r="550" spans="1:9" ht="153" hidden="1" outlineLevel="4">
      <c r="A550" s="832" t="s">
        <v>4092</v>
      </c>
      <c r="B550" s="482" t="s">
        <v>4093</v>
      </c>
      <c r="C550" s="831" t="s">
        <v>1043</v>
      </c>
      <c r="D550" s="482" t="s">
        <v>1044</v>
      </c>
      <c r="E550" s="484">
        <v>343700000</v>
      </c>
      <c r="F550" s="484">
        <v>343700000</v>
      </c>
      <c r="G550" s="484">
        <v>178940000</v>
      </c>
      <c r="H550" s="484">
        <v>178935000</v>
      </c>
      <c r="I550" s="480">
        <v>52.06</v>
      </c>
    </row>
    <row r="551" spans="1:9" ht="165.75" hidden="1" outlineLevel="3">
      <c r="A551" s="833" t="s">
        <v>4094</v>
      </c>
      <c r="B551" s="477" t="s">
        <v>4095</v>
      </c>
      <c r="C551" s="478"/>
      <c r="D551" s="477"/>
      <c r="E551" s="479">
        <v>214000000</v>
      </c>
      <c r="F551" s="479">
        <v>214000000</v>
      </c>
      <c r="G551" s="479">
        <v>213995000</v>
      </c>
      <c r="H551" s="479">
        <v>213995000</v>
      </c>
      <c r="I551" s="480">
        <v>100</v>
      </c>
    </row>
    <row r="552" spans="1:9" ht="165.75" hidden="1" outlineLevel="4">
      <c r="A552" s="832" t="s">
        <v>4094</v>
      </c>
      <c r="B552" s="482" t="s">
        <v>4095</v>
      </c>
      <c r="C552" s="831" t="s">
        <v>1043</v>
      </c>
      <c r="D552" s="482" t="s">
        <v>1044</v>
      </c>
      <c r="E552" s="484">
        <v>214000000</v>
      </c>
      <c r="F552" s="484">
        <v>214000000</v>
      </c>
      <c r="G552" s="484">
        <v>213995000</v>
      </c>
      <c r="H552" s="484">
        <v>213995000</v>
      </c>
      <c r="I552" s="480">
        <v>100</v>
      </c>
    </row>
    <row r="553" spans="1:9" ht="63.75" hidden="1" outlineLevel="3">
      <c r="A553" s="833" t="s">
        <v>4096</v>
      </c>
      <c r="B553" s="477" t="s">
        <v>4097</v>
      </c>
      <c r="C553" s="478"/>
      <c r="D553" s="477"/>
      <c r="E553" s="479">
        <v>34540000</v>
      </c>
      <c r="F553" s="479">
        <v>34540000</v>
      </c>
      <c r="G553" s="479">
        <v>28120000</v>
      </c>
      <c r="H553" s="479">
        <v>26960000</v>
      </c>
      <c r="I553" s="480">
        <v>78.05</v>
      </c>
    </row>
    <row r="554" spans="1:9" ht="63.75" hidden="1" outlineLevel="4">
      <c r="A554" s="832" t="s">
        <v>4096</v>
      </c>
      <c r="B554" s="482" t="s">
        <v>4097</v>
      </c>
      <c r="C554" s="831" t="s">
        <v>1043</v>
      </c>
      <c r="D554" s="482" t="s">
        <v>1044</v>
      </c>
      <c r="E554" s="484">
        <v>34540000</v>
      </c>
      <c r="F554" s="484">
        <v>34540000</v>
      </c>
      <c r="G554" s="484">
        <v>28120000</v>
      </c>
      <c r="H554" s="484">
        <v>26960000</v>
      </c>
      <c r="I554" s="480">
        <v>78.05</v>
      </c>
    </row>
    <row r="555" spans="1:9" ht="63.75" hidden="1" outlineLevel="3">
      <c r="A555" s="833" t="s">
        <v>4096</v>
      </c>
      <c r="B555" s="477" t="s">
        <v>4098</v>
      </c>
      <c r="C555" s="478"/>
      <c r="D555" s="477"/>
      <c r="E555" s="479">
        <v>16900000</v>
      </c>
      <c r="F555" s="479">
        <v>16900000</v>
      </c>
      <c r="G555" s="479">
        <v>16900000</v>
      </c>
      <c r="H555" s="479">
        <v>16900000</v>
      </c>
      <c r="I555" s="480">
        <v>100</v>
      </c>
    </row>
    <row r="556" spans="1:9" ht="63.75" hidden="1" outlineLevel="4">
      <c r="A556" s="832" t="s">
        <v>4096</v>
      </c>
      <c r="B556" s="482" t="s">
        <v>4098</v>
      </c>
      <c r="C556" s="831" t="s">
        <v>1043</v>
      </c>
      <c r="D556" s="482" t="s">
        <v>1044</v>
      </c>
      <c r="E556" s="484">
        <v>16900000</v>
      </c>
      <c r="F556" s="484">
        <v>16900000</v>
      </c>
      <c r="G556" s="484">
        <v>16900000</v>
      </c>
      <c r="H556" s="484">
        <v>16900000</v>
      </c>
      <c r="I556" s="480">
        <v>100</v>
      </c>
    </row>
    <row r="557" spans="1:9" ht="38.25" hidden="1" outlineLevel="3">
      <c r="A557" s="833" t="s">
        <v>4099</v>
      </c>
      <c r="B557" s="477" t="s">
        <v>4100</v>
      </c>
      <c r="C557" s="478"/>
      <c r="D557" s="477"/>
      <c r="E557" s="479">
        <v>20662700</v>
      </c>
      <c r="F557" s="479">
        <v>20662700</v>
      </c>
      <c r="G557" s="479">
        <v>10264300</v>
      </c>
      <c r="H557" s="479">
        <v>10030700</v>
      </c>
      <c r="I557" s="480">
        <v>48.54</v>
      </c>
    </row>
    <row r="558" spans="1:9" ht="38.25" hidden="1" outlineLevel="4">
      <c r="A558" s="832" t="s">
        <v>4099</v>
      </c>
      <c r="B558" s="482" t="s">
        <v>4100</v>
      </c>
      <c r="C558" s="831" t="s">
        <v>1043</v>
      </c>
      <c r="D558" s="482" t="s">
        <v>1044</v>
      </c>
      <c r="E558" s="484">
        <v>20662700</v>
      </c>
      <c r="F558" s="484">
        <v>20662700</v>
      </c>
      <c r="G558" s="484">
        <v>10264300</v>
      </c>
      <c r="H558" s="484">
        <v>10030700</v>
      </c>
      <c r="I558" s="480">
        <v>48.54</v>
      </c>
    </row>
    <row r="559" spans="1:9" ht="76.5" hidden="1" outlineLevel="3">
      <c r="A559" s="833" t="s">
        <v>4101</v>
      </c>
      <c r="B559" s="477" t="s">
        <v>4102</v>
      </c>
      <c r="C559" s="478"/>
      <c r="D559" s="477"/>
      <c r="E559" s="479">
        <v>600000</v>
      </c>
      <c r="F559" s="479">
        <v>600000</v>
      </c>
      <c r="G559" s="479">
        <v>300000</v>
      </c>
      <c r="H559" s="479">
        <v>300000</v>
      </c>
      <c r="I559" s="480">
        <v>50</v>
      </c>
    </row>
    <row r="560" spans="1:9" ht="76.5" hidden="1" outlineLevel="4">
      <c r="A560" s="832" t="s">
        <v>4101</v>
      </c>
      <c r="B560" s="482" t="s">
        <v>4102</v>
      </c>
      <c r="C560" s="831" t="s">
        <v>1043</v>
      </c>
      <c r="D560" s="482" t="s">
        <v>1044</v>
      </c>
      <c r="E560" s="484">
        <v>600000</v>
      </c>
      <c r="F560" s="484">
        <v>600000</v>
      </c>
      <c r="G560" s="484">
        <v>300000</v>
      </c>
      <c r="H560" s="484">
        <v>300000</v>
      </c>
      <c r="I560" s="480">
        <v>50</v>
      </c>
    </row>
    <row r="561" spans="1:9" ht="63.75" hidden="1" outlineLevel="3">
      <c r="A561" s="833" t="s">
        <v>4103</v>
      </c>
      <c r="B561" s="477" t="s">
        <v>4104</v>
      </c>
      <c r="C561" s="478"/>
      <c r="D561" s="477"/>
      <c r="E561" s="479">
        <v>983750</v>
      </c>
      <c r="F561" s="479">
        <v>983750</v>
      </c>
      <c r="G561" s="479">
        <v>32754</v>
      </c>
      <c r="H561" s="479">
        <v>32754</v>
      </c>
      <c r="I561" s="480">
        <v>3.33</v>
      </c>
    </row>
    <row r="562" spans="1:9" ht="63.75" hidden="1" outlineLevel="4">
      <c r="A562" s="832" t="s">
        <v>4103</v>
      </c>
      <c r="B562" s="482" t="s">
        <v>4104</v>
      </c>
      <c r="C562" s="831" t="s">
        <v>1043</v>
      </c>
      <c r="D562" s="482" t="s">
        <v>1044</v>
      </c>
      <c r="E562" s="484">
        <v>983750</v>
      </c>
      <c r="F562" s="484">
        <v>983750</v>
      </c>
      <c r="G562" s="484">
        <v>32754</v>
      </c>
      <c r="H562" s="484">
        <v>32754</v>
      </c>
      <c r="I562" s="480">
        <v>3.33</v>
      </c>
    </row>
    <row r="563" spans="1:9" ht="38.25" hidden="1" outlineLevel="3">
      <c r="A563" s="833" t="s">
        <v>4105</v>
      </c>
      <c r="B563" s="477" t="s">
        <v>4106</v>
      </c>
      <c r="C563" s="478"/>
      <c r="D563" s="477"/>
      <c r="E563" s="479">
        <v>2622000</v>
      </c>
      <c r="F563" s="479">
        <v>2622000</v>
      </c>
      <c r="G563" s="479">
        <v>203000</v>
      </c>
      <c r="H563" s="479">
        <v>185000</v>
      </c>
      <c r="I563" s="480">
        <v>7.06</v>
      </c>
    </row>
    <row r="564" spans="1:9" ht="38.25" hidden="1" outlineLevel="4">
      <c r="A564" s="832" t="s">
        <v>4105</v>
      </c>
      <c r="B564" s="482" t="s">
        <v>4106</v>
      </c>
      <c r="C564" s="831" t="s">
        <v>1043</v>
      </c>
      <c r="D564" s="482" t="s">
        <v>1044</v>
      </c>
      <c r="E564" s="484">
        <v>2622000</v>
      </c>
      <c r="F564" s="484">
        <v>2622000</v>
      </c>
      <c r="G564" s="484">
        <v>203000</v>
      </c>
      <c r="H564" s="484">
        <v>185000</v>
      </c>
      <c r="I564" s="480">
        <v>7.06</v>
      </c>
    </row>
    <row r="565" spans="1:9" ht="114.75" hidden="1" outlineLevel="3">
      <c r="A565" s="833" t="s">
        <v>4107</v>
      </c>
      <c r="B565" s="477" t="s">
        <v>4108</v>
      </c>
      <c r="C565" s="478"/>
      <c r="D565" s="477"/>
      <c r="E565" s="479">
        <v>1720000</v>
      </c>
      <c r="F565" s="479">
        <v>1720000</v>
      </c>
      <c r="G565" s="479">
        <v>346900</v>
      </c>
      <c r="H565" s="479">
        <v>346900</v>
      </c>
      <c r="I565" s="480">
        <v>20.170000000000002</v>
      </c>
    </row>
    <row r="566" spans="1:9" ht="114.75" hidden="1" outlineLevel="4">
      <c r="A566" s="832" t="s">
        <v>4107</v>
      </c>
      <c r="B566" s="482" t="s">
        <v>4108</v>
      </c>
      <c r="C566" s="831" t="s">
        <v>1043</v>
      </c>
      <c r="D566" s="482" t="s">
        <v>1044</v>
      </c>
      <c r="E566" s="484">
        <v>1720000</v>
      </c>
      <c r="F566" s="484">
        <v>1720000</v>
      </c>
      <c r="G566" s="484">
        <v>346900</v>
      </c>
      <c r="H566" s="484">
        <v>346900</v>
      </c>
      <c r="I566" s="480">
        <v>20.170000000000002</v>
      </c>
    </row>
    <row r="567" spans="1:9" ht="25.5" hidden="1" outlineLevel="3">
      <c r="A567" s="833" t="s">
        <v>1136</v>
      </c>
      <c r="B567" s="477" t="s">
        <v>4109</v>
      </c>
      <c r="C567" s="478"/>
      <c r="D567" s="477"/>
      <c r="E567" s="479">
        <v>147762300</v>
      </c>
      <c r="F567" s="479">
        <v>147762300</v>
      </c>
      <c r="G567" s="479">
        <v>0</v>
      </c>
      <c r="H567" s="479">
        <v>0</v>
      </c>
      <c r="I567" s="480">
        <v>0</v>
      </c>
    </row>
    <row r="568" spans="1:9" ht="25.5" hidden="1" outlineLevel="4">
      <c r="A568" s="832" t="s">
        <v>1136</v>
      </c>
      <c r="B568" s="482" t="s">
        <v>4109</v>
      </c>
      <c r="C568" s="831" t="s">
        <v>1043</v>
      </c>
      <c r="D568" s="482" t="s">
        <v>1044</v>
      </c>
      <c r="E568" s="484">
        <v>147762300</v>
      </c>
      <c r="F568" s="484">
        <v>147762300</v>
      </c>
      <c r="G568" s="484">
        <v>0</v>
      </c>
      <c r="H568" s="484">
        <v>0</v>
      </c>
      <c r="I568" s="480">
        <v>0</v>
      </c>
    </row>
    <row r="569" spans="1:9" ht="38.25" hidden="1" outlineLevel="3">
      <c r="A569" s="833" t="s">
        <v>1138</v>
      </c>
      <c r="B569" s="477" t="s">
        <v>4110</v>
      </c>
      <c r="C569" s="478"/>
      <c r="D569" s="477"/>
      <c r="E569" s="479">
        <v>218411900</v>
      </c>
      <c r="F569" s="479">
        <v>218411900</v>
      </c>
      <c r="G569" s="479">
        <v>155700000</v>
      </c>
      <c r="H569" s="479">
        <v>153468958.08000001</v>
      </c>
      <c r="I569" s="480">
        <v>70.27</v>
      </c>
    </row>
    <row r="570" spans="1:9" ht="38.25" hidden="1" outlineLevel="4">
      <c r="A570" s="832" t="s">
        <v>1138</v>
      </c>
      <c r="B570" s="482" t="s">
        <v>4110</v>
      </c>
      <c r="C570" s="831" t="s">
        <v>1043</v>
      </c>
      <c r="D570" s="482" t="s">
        <v>1044</v>
      </c>
      <c r="E570" s="484">
        <v>218411900</v>
      </c>
      <c r="F570" s="484">
        <v>218411900</v>
      </c>
      <c r="G570" s="484">
        <v>155700000</v>
      </c>
      <c r="H570" s="484">
        <v>153468958.08000001</v>
      </c>
      <c r="I570" s="480">
        <v>70.27</v>
      </c>
    </row>
    <row r="571" spans="1:9" ht="63.75" hidden="1" outlineLevel="3">
      <c r="A571" s="833" t="s">
        <v>1140</v>
      </c>
      <c r="B571" s="477" t="s">
        <v>4111</v>
      </c>
      <c r="C571" s="478"/>
      <c r="D571" s="477"/>
      <c r="E571" s="479">
        <v>3845700</v>
      </c>
      <c r="F571" s="479">
        <v>3845700</v>
      </c>
      <c r="G571" s="479">
        <v>2385000</v>
      </c>
      <c r="H571" s="479">
        <v>2144325.48</v>
      </c>
      <c r="I571" s="480">
        <v>55.76</v>
      </c>
    </row>
    <row r="572" spans="1:9" ht="63.75" hidden="1" outlineLevel="4">
      <c r="A572" s="832" t="s">
        <v>1140</v>
      </c>
      <c r="B572" s="482" t="s">
        <v>4111</v>
      </c>
      <c r="C572" s="831" t="s">
        <v>1043</v>
      </c>
      <c r="D572" s="482" t="s">
        <v>1044</v>
      </c>
      <c r="E572" s="484">
        <v>3845700</v>
      </c>
      <c r="F572" s="484">
        <v>3845700</v>
      </c>
      <c r="G572" s="484">
        <v>2385000</v>
      </c>
      <c r="H572" s="484">
        <v>2144325.48</v>
      </c>
      <c r="I572" s="480">
        <v>55.76</v>
      </c>
    </row>
    <row r="573" spans="1:9" ht="89.25" hidden="1" outlineLevel="3">
      <c r="A573" s="833" t="s">
        <v>1142</v>
      </c>
      <c r="B573" s="477" t="s">
        <v>4112</v>
      </c>
      <c r="C573" s="478"/>
      <c r="D573" s="477"/>
      <c r="E573" s="479">
        <v>62817840</v>
      </c>
      <c r="F573" s="479">
        <v>62817840</v>
      </c>
      <c r="G573" s="479">
        <v>3910266</v>
      </c>
      <c r="H573" s="479">
        <v>3895681</v>
      </c>
      <c r="I573" s="480">
        <v>6.2</v>
      </c>
    </row>
    <row r="574" spans="1:9" ht="89.25" hidden="1" outlineLevel="4">
      <c r="A574" s="832" t="s">
        <v>1142</v>
      </c>
      <c r="B574" s="482" t="s">
        <v>4112</v>
      </c>
      <c r="C574" s="831" t="s">
        <v>1043</v>
      </c>
      <c r="D574" s="482" t="s">
        <v>1044</v>
      </c>
      <c r="E574" s="484">
        <v>62817840</v>
      </c>
      <c r="F574" s="484">
        <v>62817840</v>
      </c>
      <c r="G574" s="484">
        <v>3910266</v>
      </c>
      <c r="H574" s="484">
        <v>3895681</v>
      </c>
      <c r="I574" s="480">
        <v>6.2</v>
      </c>
    </row>
    <row r="575" spans="1:9" ht="38.25" hidden="1" outlineLevel="3">
      <c r="A575" s="833" t="s">
        <v>4113</v>
      </c>
      <c r="B575" s="477" t="s">
        <v>4114</v>
      </c>
      <c r="C575" s="478"/>
      <c r="D575" s="477"/>
      <c r="E575" s="479">
        <v>6979150</v>
      </c>
      <c r="F575" s="479">
        <v>6979150</v>
      </c>
      <c r="G575" s="479">
        <v>5541051</v>
      </c>
      <c r="H575" s="479">
        <v>5495051</v>
      </c>
      <c r="I575" s="480">
        <v>78.739999999999995</v>
      </c>
    </row>
    <row r="576" spans="1:9" ht="38.25" hidden="1" outlineLevel="4">
      <c r="A576" s="832" t="s">
        <v>4113</v>
      </c>
      <c r="B576" s="482" t="s">
        <v>4114</v>
      </c>
      <c r="C576" s="831" t="s">
        <v>1043</v>
      </c>
      <c r="D576" s="482" t="s">
        <v>1044</v>
      </c>
      <c r="E576" s="484">
        <v>6979150</v>
      </c>
      <c r="F576" s="484">
        <v>6979150</v>
      </c>
      <c r="G576" s="484">
        <v>5541051</v>
      </c>
      <c r="H576" s="484">
        <v>5495051</v>
      </c>
      <c r="I576" s="480">
        <v>78.739999999999995</v>
      </c>
    </row>
    <row r="577" spans="1:9" ht="102" hidden="1" outlineLevel="3">
      <c r="A577" s="833" t="s">
        <v>4115</v>
      </c>
      <c r="B577" s="477" t="s">
        <v>4116</v>
      </c>
      <c r="C577" s="478"/>
      <c r="D577" s="477"/>
      <c r="E577" s="479">
        <v>1174000</v>
      </c>
      <c r="F577" s="479">
        <v>1174000</v>
      </c>
      <c r="G577" s="479">
        <v>41394</v>
      </c>
      <c r="H577" s="479">
        <v>41394</v>
      </c>
      <c r="I577" s="480">
        <v>3.53</v>
      </c>
    </row>
    <row r="578" spans="1:9" ht="102" hidden="1" outlineLevel="4">
      <c r="A578" s="832" t="s">
        <v>4115</v>
      </c>
      <c r="B578" s="482" t="s">
        <v>4116</v>
      </c>
      <c r="C578" s="831" t="s">
        <v>1043</v>
      </c>
      <c r="D578" s="482" t="s">
        <v>1044</v>
      </c>
      <c r="E578" s="484">
        <v>1174000</v>
      </c>
      <c r="F578" s="484">
        <v>1174000</v>
      </c>
      <c r="G578" s="484">
        <v>41394</v>
      </c>
      <c r="H578" s="484">
        <v>41394</v>
      </c>
      <c r="I578" s="480">
        <v>3.53</v>
      </c>
    </row>
    <row r="579" spans="1:9" ht="89.25" hidden="1" outlineLevel="3">
      <c r="A579" s="833" t="s">
        <v>4117</v>
      </c>
      <c r="B579" s="477" t="s">
        <v>4118</v>
      </c>
      <c r="C579" s="478"/>
      <c r="D579" s="477"/>
      <c r="E579" s="479">
        <v>12160500</v>
      </c>
      <c r="F579" s="479">
        <v>12160500</v>
      </c>
      <c r="G579" s="479">
        <v>330471.90000000002</v>
      </c>
      <c r="H579" s="479">
        <v>317471.90000000002</v>
      </c>
      <c r="I579" s="480">
        <v>2.61</v>
      </c>
    </row>
    <row r="580" spans="1:9" ht="89.25" hidden="1" outlineLevel="4">
      <c r="A580" s="832" t="s">
        <v>4117</v>
      </c>
      <c r="B580" s="482" t="s">
        <v>4118</v>
      </c>
      <c r="C580" s="831" t="s">
        <v>1043</v>
      </c>
      <c r="D580" s="482" t="s">
        <v>1044</v>
      </c>
      <c r="E580" s="484">
        <v>12160500</v>
      </c>
      <c r="F580" s="484">
        <v>12160500</v>
      </c>
      <c r="G580" s="484">
        <v>330471.90000000002</v>
      </c>
      <c r="H580" s="484">
        <v>317471.90000000002</v>
      </c>
      <c r="I580" s="480">
        <v>2.61</v>
      </c>
    </row>
    <row r="581" spans="1:9" ht="38.25" hidden="1" outlineLevel="3">
      <c r="A581" s="833" t="s">
        <v>1144</v>
      </c>
      <c r="B581" s="477" t="s">
        <v>4119</v>
      </c>
      <c r="C581" s="478"/>
      <c r="D581" s="477"/>
      <c r="E581" s="479">
        <v>1873976100</v>
      </c>
      <c r="F581" s="479">
        <v>1873976100</v>
      </c>
      <c r="G581" s="479">
        <v>1264062946.99</v>
      </c>
      <c r="H581" s="479">
        <v>1253362056.8900001</v>
      </c>
      <c r="I581" s="480">
        <v>66.88</v>
      </c>
    </row>
    <row r="582" spans="1:9" ht="38.25" hidden="1" outlineLevel="4">
      <c r="A582" s="832" t="s">
        <v>1144</v>
      </c>
      <c r="B582" s="482" t="s">
        <v>4119</v>
      </c>
      <c r="C582" s="831" t="s">
        <v>1043</v>
      </c>
      <c r="D582" s="482" t="s">
        <v>1044</v>
      </c>
      <c r="E582" s="484">
        <v>1873976100</v>
      </c>
      <c r="F582" s="484">
        <v>1873976100</v>
      </c>
      <c r="G582" s="484">
        <v>1264062946.99</v>
      </c>
      <c r="H582" s="484">
        <v>1253362056.8900001</v>
      </c>
      <c r="I582" s="480">
        <v>66.88</v>
      </c>
    </row>
    <row r="583" spans="1:9" ht="38.25" hidden="1" outlineLevel="3">
      <c r="A583" s="833" t="s">
        <v>1146</v>
      </c>
      <c r="B583" s="477" t="s">
        <v>4120</v>
      </c>
      <c r="C583" s="478"/>
      <c r="D583" s="477"/>
      <c r="E583" s="479">
        <v>122683800</v>
      </c>
      <c r="F583" s="479">
        <v>122683800</v>
      </c>
      <c r="G583" s="479">
        <v>79306175.709999993</v>
      </c>
      <c r="H583" s="479">
        <v>77254842.329999998</v>
      </c>
      <c r="I583" s="480">
        <v>62.97</v>
      </c>
    </row>
    <row r="584" spans="1:9" ht="38.25" hidden="1" outlineLevel="4">
      <c r="A584" s="832" t="s">
        <v>1146</v>
      </c>
      <c r="B584" s="482" t="s">
        <v>4120</v>
      </c>
      <c r="C584" s="831" t="s">
        <v>1043</v>
      </c>
      <c r="D584" s="482" t="s">
        <v>1044</v>
      </c>
      <c r="E584" s="484">
        <v>122683800</v>
      </c>
      <c r="F584" s="484">
        <v>122683800</v>
      </c>
      <c r="G584" s="484">
        <v>79306175.709999993</v>
      </c>
      <c r="H584" s="484">
        <v>77254842.329999998</v>
      </c>
      <c r="I584" s="480">
        <v>62.97</v>
      </c>
    </row>
    <row r="585" spans="1:9" ht="51" hidden="1" outlineLevel="3">
      <c r="A585" s="833" t="s">
        <v>4121</v>
      </c>
      <c r="B585" s="477" t="s">
        <v>4122</v>
      </c>
      <c r="C585" s="478"/>
      <c r="D585" s="477"/>
      <c r="E585" s="479">
        <v>26521850</v>
      </c>
      <c r="F585" s="479">
        <v>26521850</v>
      </c>
      <c r="G585" s="479">
        <v>14756486.27</v>
      </c>
      <c r="H585" s="479">
        <v>14268141.460000001</v>
      </c>
      <c r="I585" s="480">
        <v>53.8</v>
      </c>
    </row>
    <row r="586" spans="1:9" ht="51" hidden="1" outlineLevel="4">
      <c r="A586" s="832" t="s">
        <v>4121</v>
      </c>
      <c r="B586" s="482" t="s">
        <v>4122</v>
      </c>
      <c r="C586" s="831" t="s">
        <v>1043</v>
      </c>
      <c r="D586" s="482" t="s">
        <v>1044</v>
      </c>
      <c r="E586" s="484">
        <v>26521850</v>
      </c>
      <c r="F586" s="484">
        <v>26521850</v>
      </c>
      <c r="G586" s="484">
        <v>14756486.27</v>
      </c>
      <c r="H586" s="484">
        <v>14268141.460000001</v>
      </c>
      <c r="I586" s="480">
        <v>53.8</v>
      </c>
    </row>
    <row r="587" spans="1:9" ht="25.5" hidden="1" outlineLevel="3">
      <c r="A587" s="833" t="s">
        <v>1148</v>
      </c>
      <c r="B587" s="477" t="s">
        <v>4123</v>
      </c>
      <c r="C587" s="478"/>
      <c r="D587" s="477"/>
      <c r="E587" s="479">
        <v>119552500</v>
      </c>
      <c r="F587" s="479">
        <v>119552500</v>
      </c>
      <c r="G587" s="479">
        <v>89765591.120000005</v>
      </c>
      <c r="H587" s="479">
        <v>88552168.650000006</v>
      </c>
      <c r="I587" s="480">
        <v>74.069999999999993</v>
      </c>
    </row>
    <row r="588" spans="1:9" ht="25.5" hidden="1" outlineLevel="4">
      <c r="A588" s="832" t="s">
        <v>1148</v>
      </c>
      <c r="B588" s="482" t="s">
        <v>4123</v>
      </c>
      <c r="C588" s="831" t="s">
        <v>1043</v>
      </c>
      <c r="D588" s="482" t="s">
        <v>1044</v>
      </c>
      <c r="E588" s="484">
        <v>119552500</v>
      </c>
      <c r="F588" s="484">
        <v>119552500</v>
      </c>
      <c r="G588" s="484">
        <v>89765591.120000005</v>
      </c>
      <c r="H588" s="484">
        <v>88552168.650000006</v>
      </c>
      <c r="I588" s="480">
        <v>74.069999999999993</v>
      </c>
    </row>
    <row r="589" spans="1:9" ht="38.25" hidden="1" outlineLevel="3">
      <c r="A589" s="833" t="s">
        <v>1152</v>
      </c>
      <c r="B589" s="477" t="s">
        <v>4124</v>
      </c>
      <c r="C589" s="478"/>
      <c r="D589" s="477"/>
      <c r="E589" s="479">
        <v>18500</v>
      </c>
      <c r="F589" s="479">
        <v>18500</v>
      </c>
      <c r="G589" s="479">
        <v>5000</v>
      </c>
      <c r="H589" s="479">
        <v>1704.9</v>
      </c>
      <c r="I589" s="480">
        <v>9.2200000000000006</v>
      </c>
    </row>
    <row r="590" spans="1:9" ht="38.25" hidden="1" outlineLevel="4">
      <c r="A590" s="832" t="s">
        <v>1152</v>
      </c>
      <c r="B590" s="482" t="s">
        <v>4124</v>
      </c>
      <c r="C590" s="831" t="s">
        <v>1043</v>
      </c>
      <c r="D590" s="482" t="s">
        <v>1044</v>
      </c>
      <c r="E590" s="484">
        <v>18500</v>
      </c>
      <c r="F590" s="484">
        <v>18500</v>
      </c>
      <c r="G590" s="484">
        <v>5000</v>
      </c>
      <c r="H590" s="484">
        <v>1704.9</v>
      </c>
      <c r="I590" s="480">
        <v>9.2200000000000006</v>
      </c>
    </row>
    <row r="591" spans="1:9" ht="51" hidden="1" outlineLevel="3">
      <c r="A591" s="833" t="s">
        <v>1154</v>
      </c>
      <c r="B591" s="477" t="s">
        <v>4125</v>
      </c>
      <c r="C591" s="478"/>
      <c r="D591" s="477"/>
      <c r="E591" s="479">
        <v>9500</v>
      </c>
      <c r="F591" s="479">
        <v>9500</v>
      </c>
      <c r="G591" s="479">
        <v>0</v>
      </c>
      <c r="H591" s="479">
        <v>0</v>
      </c>
      <c r="I591" s="480">
        <v>0</v>
      </c>
    </row>
    <row r="592" spans="1:9" ht="51" hidden="1" outlineLevel="4">
      <c r="A592" s="832" t="s">
        <v>1154</v>
      </c>
      <c r="B592" s="482" t="s">
        <v>4125</v>
      </c>
      <c r="C592" s="831" t="s">
        <v>1043</v>
      </c>
      <c r="D592" s="482" t="s">
        <v>1044</v>
      </c>
      <c r="E592" s="484">
        <v>9500</v>
      </c>
      <c r="F592" s="484">
        <v>9500</v>
      </c>
      <c r="G592" s="484">
        <v>0</v>
      </c>
      <c r="H592" s="484">
        <v>0</v>
      </c>
      <c r="I592" s="480">
        <v>0</v>
      </c>
    </row>
    <row r="593" spans="1:9" ht="63.75" hidden="1" outlineLevel="3">
      <c r="A593" s="833" t="s">
        <v>1156</v>
      </c>
      <c r="B593" s="477" t="s">
        <v>4126</v>
      </c>
      <c r="C593" s="478"/>
      <c r="D593" s="477"/>
      <c r="E593" s="479">
        <v>95000</v>
      </c>
      <c r="F593" s="479">
        <v>95000</v>
      </c>
      <c r="G593" s="479">
        <v>0</v>
      </c>
      <c r="H593" s="479">
        <v>0</v>
      </c>
      <c r="I593" s="480">
        <v>0</v>
      </c>
    </row>
    <row r="594" spans="1:9" ht="63.75" hidden="1" outlineLevel="4">
      <c r="A594" s="832" t="s">
        <v>1156</v>
      </c>
      <c r="B594" s="482" t="s">
        <v>4126</v>
      </c>
      <c r="C594" s="831" t="s">
        <v>1043</v>
      </c>
      <c r="D594" s="482" t="s">
        <v>1044</v>
      </c>
      <c r="E594" s="484">
        <v>95000</v>
      </c>
      <c r="F594" s="484">
        <v>95000</v>
      </c>
      <c r="G594" s="484">
        <v>0</v>
      </c>
      <c r="H594" s="484">
        <v>0</v>
      </c>
      <c r="I594" s="480">
        <v>0</v>
      </c>
    </row>
    <row r="595" spans="1:9" ht="51" hidden="1" outlineLevel="3">
      <c r="A595" s="833" t="s">
        <v>1158</v>
      </c>
      <c r="B595" s="477" t="s">
        <v>4127</v>
      </c>
      <c r="C595" s="478"/>
      <c r="D595" s="477"/>
      <c r="E595" s="479">
        <v>41630500</v>
      </c>
      <c r="F595" s="479">
        <v>41630500</v>
      </c>
      <c r="G595" s="479">
        <v>19859580.57</v>
      </c>
      <c r="H595" s="479">
        <v>19571081.109999999</v>
      </c>
      <c r="I595" s="480">
        <v>47.01</v>
      </c>
    </row>
    <row r="596" spans="1:9" ht="51" hidden="1" outlineLevel="4">
      <c r="A596" s="832" t="s">
        <v>1158</v>
      </c>
      <c r="B596" s="482" t="s">
        <v>4127</v>
      </c>
      <c r="C596" s="831" t="s">
        <v>1043</v>
      </c>
      <c r="D596" s="482" t="s">
        <v>1044</v>
      </c>
      <c r="E596" s="484">
        <v>41630500</v>
      </c>
      <c r="F596" s="484">
        <v>41630500</v>
      </c>
      <c r="G596" s="484">
        <v>19859580.57</v>
      </c>
      <c r="H596" s="484">
        <v>19571081.109999999</v>
      </c>
      <c r="I596" s="480">
        <v>47.01</v>
      </c>
    </row>
    <row r="597" spans="1:9" ht="38.25" hidden="1" outlineLevel="3">
      <c r="A597" s="833" t="s">
        <v>1160</v>
      </c>
      <c r="B597" s="477" t="s">
        <v>4128</v>
      </c>
      <c r="C597" s="478"/>
      <c r="D597" s="477"/>
      <c r="E597" s="479">
        <v>5000000</v>
      </c>
      <c r="F597" s="479">
        <v>5000000</v>
      </c>
      <c r="G597" s="479">
        <v>3092300</v>
      </c>
      <c r="H597" s="479">
        <v>2933080</v>
      </c>
      <c r="I597" s="480">
        <v>58.66</v>
      </c>
    </row>
    <row r="598" spans="1:9" ht="38.25" hidden="1" outlineLevel="4">
      <c r="A598" s="832" t="s">
        <v>1160</v>
      </c>
      <c r="B598" s="482" t="s">
        <v>4128</v>
      </c>
      <c r="C598" s="831" t="s">
        <v>1043</v>
      </c>
      <c r="D598" s="482" t="s">
        <v>1044</v>
      </c>
      <c r="E598" s="484">
        <v>5000000</v>
      </c>
      <c r="F598" s="484">
        <v>5000000</v>
      </c>
      <c r="G598" s="484">
        <v>3092300</v>
      </c>
      <c r="H598" s="484">
        <v>2933080</v>
      </c>
      <c r="I598" s="480">
        <v>58.66</v>
      </c>
    </row>
    <row r="599" spans="1:9" ht="38.25" hidden="1" outlineLevel="3">
      <c r="A599" s="833" t="s">
        <v>1162</v>
      </c>
      <c r="B599" s="477" t="s">
        <v>4129</v>
      </c>
      <c r="C599" s="478"/>
      <c r="D599" s="477"/>
      <c r="E599" s="479">
        <v>5000000</v>
      </c>
      <c r="F599" s="479">
        <v>5000000</v>
      </c>
      <c r="G599" s="479">
        <v>2428434.4</v>
      </c>
      <c r="H599" s="479">
        <v>2321227.4</v>
      </c>
      <c r="I599" s="480">
        <v>46.42</v>
      </c>
    </row>
    <row r="600" spans="1:9" ht="38.25" hidden="1" outlineLevel="4">
      <c r="A600" s="832" t="s">
        <v>1162</v>
      </c>
      <c r="B600" s="482" t="s">
        <v>4129</v>
      </c>
      <c r="C600" s="831" t="s">
        <v>1043</v>
      </c>
      <c r="D600" s="482" t="s">
        <v>1044</v>
      </c>
      <c r="E600" s="484">
        <v>5000000</v>
      </c>
      <c r="F600" s="484">
        <v>5000000</v>
      </c>
      <c r="G600" s="484">
        <v>2428434.4</v>
      </c>
      <c r="H600" s="484">
        <v>2321227.4</v>
      </c>
      <c r="I600" s="480">
        <v>46.42</v>
      </c>
    </row>
    <row r="601" spans="1:9" ht="76.5" hidden="1" outlineLevel="3">
      <c r="A601" s="833" t="s">
        <v>1164</v>
      </c>
      <c r="B601" s="477" t="s">
        <v>4130</v>
      </c>
      <c r="C601" s="478"/>
      <c r="D601" s="477"/>
      <c r="E601" s="479">
        <v>34800</v>
      </c>
      <c r="F601" s="479">
        <v>34800</v>
      </c>
      <c r="G601" s="479">
        <v>0</v>
      </c>
      <c r="H601" s="479">
        <v>0</v>
      </c>
      <c r="I601" s="480">
        <v>0</v>
      </c>
    </row>
    <row r="602" spans="1:9" ht="76.5" hidden="1" outlineLevel="4">
      <c r="A602" s="832" t="s">
        <v>1164</v>
      </c>
      <c r="B602" s="482" t="s">
        <v>4130</v>
      </c>
      <c r="C602" s="831" t="s">
        <v>1043</v>
      </c>
      <c r="D602" s="482" t="s">
        <v>1044</v>
      </c>
      <c r="E602" s="484">
        <v>34800</v>
      </c>
      <c r="F602" s="484">
        <v>34800</v>
      </c>
      <c r="G602" s="484">
        <v>0</v>
      </c>
      <c r="H602" s="484">
        <v>0</v>
      </c>
      <c r="I602" s="480">
        <v>0</v>
      </c>
    </row>
    <row r="603" spans="1:9" ht="114.75" hidden="1" outlineLevel="3">
      <c r="A603" s="833" t="s">
        <v>1166</v>
      </c>
      <c r="B603" s="477" t="s">
        <v>4131</v>
      </c>
      <c r="C603" s="478"/>
      <c r="D603" s="477"/>
      <c r="E603" s="479">
        <v>389000</v>
      </c>
      <c r="F603" s="479">
        <v>389000</v>
      </c>
      <c r="G603" s="479">
        <v>103730</v>
      </c>
      <c r="H603" s="479">
        <v>96474.85</v>
      </c>
      <c r="I603" s="480">
        <v>24.8</v>
      </c>
    </row>
    <row r="604" spans="1:9" ht="114.75" hidden="1" outlineLevel="4">
      <c r="A604" s="832" t="s">
        <v>1166</v>
      </c>
      <c r="B604" s="482" t="s">
        <v>4131</v>
      </c>
      <c r="C604" s="831" t="s">
        <v>1043</v>
      </c>
      <c r="D604" s="482" t="s">
        <v>1044</v>
      </c>
      <c r="E604" s="484">
        <v>389000</v>
      </c>
      <c r="F604" s="484">
        <v>389000</v>
      </c>
      <c r="G604" s="484">
        <v>103730</v>
      </c>
      <c r="H604" s="484">
        <v>96474.85</v>
      </c>
      <c r="I604" s="480">
        <v>24.8</v>
      </c>
    </row>
    <row r="605" spans="1:9" ht="89.25" hidden="1" outlineLevel="3">
      <c r="A605" s="833" t="s">
        <v>1168</v>
      </c>
      <c r="B605" s="477" t="s">
        <v>4132</v>
      </c>
      <c r="C605" s="478"/>
      <c r="D605" s="477"/>
      <c r="E605" s="479">
        <v>6131700</v>
      </c>
      <c r="F605" s="479">
        <v>6131700</v>
      </c>
      <c r="G605" s="479">
        <v>3855000</v>
      </c>
      <c r="H605" s="479">
        <v>3473846.76</v>
      </c>
      <c r="I605" s="480">
        <v>56.65</v>
      </c>
    </row>
    <row r="606" spans="1:9" ht="89.25" hidden="1" outlineLevel="4">
      <c r="A606" s="832" t="s">
        <v>1168</v>
      </c>
      <c r="B606" s="482" t="s">
        <v>4132</v>
      </c>
      <c r="C606" s="831" t="s">
        <v>1043</v>
      </c>
      <c r="D606" s="482" t="s">
        <v>1044</v>
      </c>
      <c r="E606" s="484">
        <v>6131700</v>
      </c>
      <c r="F606" s="484">
        <v>6131700</v>
      </c>
      <c r="G606" s="484">
        <v>3855000</v>
      </c>
      <c r="H606" s="484">
        <v>3473846.76</v>
      </c>
      <c r="I606" s="480">
        <v>56.65</v>
      </c>
    </row>
    <row r="607" spans="1:9" ht="114.75" hidden="1" outlineLevel="3">
      <c r="A607" s="833" t="s">
        <v>1170</v>
      </c>
      <c r="B607" s="477" t="s">
        <v>4133</v>
      </c>
      <c r="C607" s="478"/>
      <c r="D607" s="477"/>
      <c r="E607" s="479">
        <v>2991300</v>
      </c>
      <c r="F607" s="479">
        <v>2991300</v>
      </c>
      <c r="G607" s="479">
        <v>2238040.41</v>
      </c>
      <c r="H607" s="479">
        <v>2238040.41</v>
      </c>
      <c r="I607" s="480">
        <v>74.819999999999993</v>
      </c>
    </row>
    <row r="608" spans="1:9" ht="114.75" hidden="1" outlineLevel="4">
      <c r="A608" s="832" t="s">
        <v>1170</v>
      </c>
      <c r="B608" s="482" t="s">
        <v>4133</v>
      </c>
      <c r="C608" s="831" t="s">
        <v>1043</v>
      </c>
      <c r="D608" s="482" t="s">
        <v>1044</v>
      </c>
      <c r="E608" s="484">
        <v>2991300</v>
      </c>
      <c r="F608" s="484">
        <v>2991300</v>
      </c>
      <c r="G608" s="484">
        <v>2238040.41</v>
      </c>
      <c r="H608" s="484">
        <v>2238040.41</v>
      </c>
      <c r="I608" s="480">
        <v>74.819999999999993</v>
      </c>
    </row>
    <row r="609" spans="1:9" ht="102" hidden="1" outlineLevel="3">
      <c r="A609" s="833" t="s">
        <v>4134</v>
      </c>
      <c r="B609" s="477" t="s">
        <v>4135</v>
      </c>
      <c r="C609" s="478"/>
      <c r="D609" s="477"/>
      <c r="E609" s="479">
        <v>109244400</v>
      </c>
      <c r="F609" s="479">
        <v>109244400</v>
      </c>
      <c r="G609" s="479">
        <v>73110683.209999993</v>
      </c>
      <c r="H609" s="479">
        <v>72731367.239999995</v>
      </c>
      <c r="I609" s="480">
        <v>66.58</v>
      </c>
    </row>
    <row r="610" spans="1:9" ht="102" hidden="1" outlineLevel="4">
      <c r="A610" s="832" t="s">
        <v>4134</v>
      </c>
      <c r="B610" s="482" t="s">
        <v>4135</v>
      </c>
      <c r="C610" s="831" t="s">
        <v>1043</v>
      </c>
      <c r="D610" s="482" t="s">
        <v>1044</v>
      </c>
      <c r="E610" s="484">
        <v>109244400</v>
      </c>
      <c r="F610" s="484">
        <v>109244400</v>
      </c>
      <c r="G610" s="484">
        <v>73110683.209999993</v>
      </c>
      <c r="H610" s="484">
        <v>72731367.239999995</v>
      </c>
      <c r="I610" s="480">
        <v>66.58</v>
      </c>
    </row>
    <row r="611" spans="1:9" ht="76.5" hidden="1" outlineLevel="3">
      <c r="A611" s="833" t="s">
        <v>1174</v>
      </c>
      <c r="B611" s="477" t="s">
        <v>4136</v>
      </c>
      <c r="C611" s="478"/>
      <c r="D611" s="477"/>
      <c r="E611" s="479">
        <v>6442500</v>
      </c>
      <c r="F611" s="479">
        <v>6442500</v>
      </c>
      <c r="G611" s="479">
        <v>4687290.4800000004</v>
      </c>
      <c r="H611" s="479">
        <v>4579381.63</v>
      </c>
      <c r="I611" s="480">
        <v>71.08</v>
      </c>
    </row>
    <row r="612" spans="1:9" ht="76.5" hidden="1" outlineLevel="4">
      <c r="A612" s="832" t="s">
        <v>1174</v>
      </c>
      <c r="B612" s="482" t="s">
        <v>4136</v>
      </c>
      <c r="C612" s="831" t="s">
        <v>1043</v>
      </c>
      <c r="D612" s="482" t="s">
        <v>1044</v>
      </c>
      <c r="E612" s="484">
        <v>6442500</v>
      </c>
      <c r="F612" s="484">
        <v>6442500</v>
      </c>
      <c r="G612" s="484">
        <v>4687290.4800000004</v>
      </c>
      <c r="H612" s="484">
        <v>4579381.63</v>
      </c>
      <c r="I612" s="480">
        <v>71.08</v>
      </c>
    </row>
    <row r="613" spans="1:9" ht="89.25" hidden="1" outlineLevel="3">
      <c r="A613" s="833" t="s">
        <v>4137</v>
      </c>
      <c r="B613" s="477" t="s">
        <v>4138</v>
      </c>
      <c r="C613" s="478"/>
      <c r="D613" s="477"/>
      <c r="E613" s="479">
        <v>246000</v>
      </c>
      <c r="F613" s="479">
        <v>246000</v>
      </c>
      <c r="G613" s="479">
        <v>10807.6</v>
      </c>
      <c r="H613" s="479">
        <v>10807.6</v>
      </c>
      <c r="I613" s="480">
        <v>4.3899999999999997</v>
      </c>
    </row>
    <row r="614" spans="1:9" ht="89.25" hidden="1" outlineLevel="4">
      <c r="A614" s="832" t="s">
        <v>4137</v>
      </c>
      <c r="B614" s="482" t="s">
        <v>4138</v>
      </c>
      <c r="C614" s="831" t="s">
        <v>1043</v>
      </c>
      <c r="D614" s="482" t="s">
        <v>1044</v>
      </c>
      <c r="E614" s="484">
        <v>246000</v>
      </c>
      <c r="F614" s="484">
        <v>246000</v>
      </c>
      <c r="G614" s="484">
        <v>10807.6</v>
      </c>
      <c r="H614" s="484">
        <v>10807.6</v>
      </c>
      <c r="I614" s="480">
        <v>4.3899999999999997</v>
      </c>
    </row>
    <row r="615" spans="1:9" ht="38.25" hidden="1" outlineLevel="3">
      <c r="A615" s="833" t="s">
        <v>4139</v>
      </c>
      <c r="B615" s="477" t="s">
        <v>4140</v>
      </c>
      <c r="C615" s="478"/>
      <c r="D615" s="477"/>
      <c r="E615" s="479">
        <v>4599000</v>
      </c>
      <c r="F615" s="479">
        <v>4599000</v>
      </c>
      <c r="G615" s="479">
        <v>0</v>
      </c>
      <c r="H615" s="479">
        <v>0</v>
      </c>
      <c r="I615" s="480">
        <v>0</v>
      </c>
    </row>
    <row r="616" spans="1:9" ht="38.25" hidden="1" outlineLevel="4">
      <c r="A616" s="832" t="s">
        <v>4139</v>
      </c>
      <c r="B616" s="482" t="s">
        <v>4140</v>
      </c>
      <c r="C616" s="831" t="s">
        <v>1043</v>
      </c>
      <c r="D616" s="482" t="s">
        <v>1044</v>
      </c>
      <c r="E616" s="484">
        <v>4599000</v>
      </c>
      <c r="F616" s="484">
        <v>4599000</v>
      </c>
      <c r="G616" s="484">
        <v>0</v>
      </c>
      <c r="H616" s="484">
        <v>0</v>
      </c>
      <c r="I616" s="480">
        <v>0</v>
      </c>
    </row>
    <row r="617" spans="1:9" ht="51" hidden="1" outlineLevel="3">
      <c r="A617" s="833" t="s">
        <v>1210</v>
      </c>
      <c r="B617" s="477" t="s">
        <v>4141</v>
      </c>
      <c r="C617" s="478"/>
      <c r="D617" s="477"/>
      <c r="E617" s="479">
        <v>6779300</v>
      </c>
      <c r="F617" s="479">
        <v>6779300</v>
      </c>
      <c r="G617" s="479">
        <v>0</v>
      </c>
      <c r="H617" s="479">
        <v>0</v>
      </c>
      <c r="I617" s="480">
        <v>0</v>
      </c>
    </row>
    <row r="618" spans="1:9" ht="51" hidden="1" outlineLevel="4">
      <c r="A618" s="832" t="s">
        <v>1210</v>
      </c>
      <c r="B618" s="482" t="s">
        <v>4141</v>
      </c>
      <c r="C618" s="831" t="s">
        <v>1043</v>
      </c>
      <c r="D618" s="482" t="s">
        <v>1044</v>
      </c>
      <c r="E618" s="484">
        <v>6779300</v>
      </c>
      <c r="F618" s="484">
        <v>6779300</v>
      </c>
      <c r="G618" s="484">
        <v>0</v>
      </c>
      <c r="H618" s="484">
        <v>0</v>
      </c>
      <c r="I618" s="480">
        <v>0</v>
      </c>
    </row>
    <row r="619" spans="1:9" ht="63.75" hidden="1" outlineLevel="3">
      <c r="A619" s="833" t="s">
        <v>4142</v>
      </c>
      <c r="B619" s="477" t="s">
        <v>4143</v>
      </c>
      <c r="C619" s="478"/>
      <c r="D619" s="477"/>
      <c r="E619" s="479">
        <v>1250000</v>
      </c>
      <c r="F619" s="479">
        <v>1250000</v>
      </c>
      <c r="G619" s="479">
        <v>740860</v>
      </c>
      <c r="H619" s="479">
        <v>740860</v>
      </c>
      <c r="I619" s="480">
        <v>59.27</v>
      </c>
    </row>
    <row r="620" spans="1:9" ht="63.75" hidden="1" outlineLevel="4">
      <c r="A620" s="832" t="s">
        <v>4142</v>
      </c>
      <c r="B620" s="482" t="s">
        <v>4143</v>
      </c>
      <c r="C620" s="831" t="s">
        <v>1043</v>
      </c>
      <c r="D620" s="482" t="s">
        <v>1044</v>
      </c>
      <c r="E620" s="484">
        <v>1250000</v>
      </c>
      <c r="F620" s="484">
        <v>1250000</v>
      </c>
      <c r="G620" s="484">
        <v>740860</v>
      </c>
      <c r="H620" s="484">
        <v>740860</v>
      </c>
      <c r="I620" s="480">
        <v>59.27</v>
      </c>
    </row>
    <row r="621" spans="1:9" ht="25.5" hidden="1" outlineLevel="3">
      <c r="A621" s="833" t="s">
        <v>713</v>
      </c>
      <c r="B621" s="477" t="s">
        <v>4144</v>
      </c>
      <c r="C621" s="478"/>
      <c r="D621" s="477"/>
      <c r="E621" s="479">
        <v>17207876.5</v>
      </c>
      <c r="F621" s="479">
        <v>17207876.5</v>
      </c>
      <c r="G621" s="479">
        <v>7668557.0899999999</v>
      </c>
      <c r="H621" s="479">
        <v>7641200.5700000003</v>
      </c>
      <c r="I621" s="480">
        <v>44.41</v>
      </c>
    </row>
    <row r="622" spans="1:9" ht="25.5" hidden="1" outlineLevel="4">
      <c r="A622" s="832" t="s">
        <v>713</v>
      </c>
      <c r="B622" s="482" t="s">
        <v>4144</v>
      </c>
      <c r="C622" s="831" t="s">
        <v>1043</v>
      </c>
      <c r="D622" s="482" t="s">
        <v>1044</v>
      </c>
      <c r="E622" s="484">
        <v>17207876.5</v>
      </c>
      <c r="F622" s="484">
        <v>17207876.5</v>
      </c>
      <c r="G622" s="484">
        <v>7668557.0899999999</v>
      </c>
      <c r="H622" s="484">
        <v>7641200.5700000003</v>
      </c>
      <c r="I622" s="480">
        <v>44.41</v>
      </c>
    </row>
    <row r="623" spans="1:9" ht="63.75" hidden="1" outlineLevel="3">
      <c r="A623" s="833" t="s">
        <v>4145</v>
      </c>
      <c r="B623" s="477" t="s">
        <v>4146</v>
      </c>
      <c r="C623" s="478"/>
      <c r="D623" s="477"/>
      <c r="E623" s="479">
        <v>377462800</v>
      </c>
      <c r="F623" s="479">
        <v>377462800</v>
      </c>
      <c r="G623" s="479">
        <v>377462800</v>
      </c>
      <c r="H623" s="479">
        <v>377462800</v>
      </c>
      <c r="I623" s="480">
        <v>100</v>
      </c>
    </row>
    <row r="624" spans="1:9" ht="63.75" hidden="1" outlineLevel="4">
      <c r="A624" s="832" t="s">
        <v>4145</v>
      </c>
      <c r="B624" s="482" t="s">
        <v>4146</v>
      </c>
      <c r="C624" s="831" t="s">
        <v>1043</v>
      </c>
      <c r="D624" s="482" t="s">
        <v>1044</v>
      </c>
      <c r="E624" s="484">
        <v>377462800</v>
      </c>
      <c r="F624" s="484">
        <v>377462800</v>
      </c>
      <c r="G624" s="484">
        <v>377462800</v>
      </c>
      <c r="H624" s="484">
        <v>377462800</v>
      </c>
      <c r="I624" s="480">
        <v>100</v>
      </c>
    </row>
    <row r="625" spans="1:9" ht="63.75" hidden="1" outlineLevel="3">
      <c r="A625" s="833" t="s">
        <v>4147</v>
      </c>
      <c r="B625" s="477" t="s">
        <v>4148</v>
      </c>
      <c r="C625" s="478"/>
      <c r="D625" s="477"/>
      <c r="E625" s="479">
        <v>1346968300</v>
      </c>
      <c r="F625" s="479">
        <v>1346968300</v>
      </c>
      <c r="G625" s="479">
        <v>716369400</v>
      </c>
      <c r="H625" s="479">
        <v>716369400</v>
      </c>
      <c r="I625" s="480">
        <v>53.18</v>
      </c>
    </row>
    <row r="626" spans="1:9" ht="63.75" hidden="1" outlineLevel="4">
      <c r="A626" s="832" t="s">
        <v>4147</v>
      </c>
      <c r="B626" s="482" t="s">
        <v>4148</v>
      </c>
      <c r="C626" s="831" t="s">
        <v>1043</v>
      </c>
      <c r="D626" s="482" t="s">
        <v>1044</v>
      </c>
      <c r="E626" s="484">
        <v>1346968300</v>
      </c>
      <c r="F626" s="484">
        <v>1346968300</v>
      </c>
      <c r="G626" s="484">
        <v>716369400</v>
      </c>
      <c r="H626" s="484">
        <v>716369400</v>
      </c>
      <c r="I626" s="480">
        <v>53.18</v>
      </c>
    </row>
    <row r="627" spans="1:9" ht="63.75" hidden="1" outlineLevel="3">
      <c r="A627" s="833" t="s">
        <v>1179</v>
      </c>
      <c r="B627" s="477" t="s">
        <v>4149</v>
      </c>
      <c r="C627" s="478"/>
      <c r="D627" s="477"/>
      <c r="E627" s="479">
        <v>74039200</v>
      </c>
      <c r="F627" s="479">
        <v>74039200</v>
      </c>
      <c r="G627" s="479">
        <v>71912978.299999997</v>
      </c>
      <c r="H627" s="479">
        <v>71703007.730000004</v>
      </c>
      <c r="I627" s="480">
        <v>96.84</v>
      </c>
    </row>
    <row r="628" spans="1:9" ht="63.75" hidden="1" outlineLevel="4">
      <c r="A628" s="832" t="s">
        <v>1179</v>
      </c>
      <c r="B628" s="482" t="s">
        <v>4149</v>
      </c>
      <c r="C628" s="831" t="s">
        <v>1043</v>
      </c>
      <c r="D628" s="482" t="s">
        <v>1044</v>
      </c>
      <c r="E628" s="484">
        <v>74039200</v>
      </c>
      <c r="F628" s="484">
        <v>74039200</v>
      </c>
      <c r="G628" s="484">
        <v>71912978.299999997</v>
      </c>
      <c r="H628" s="484">
        <v>71703007.730000004</v>
      </c>
      <c r="I628" s="480">
        <v>96.84</v>
      </c>
    </row>
    <row r="629" spans="1:9" ht="102" hidden="1" outlineLevel="3">
      <c r="A629" s="833" t="s">
        <v>1181</v>
      </c>
      <c r="B629" s="477" t="s">
        <v>4150</v>
      </c>
      <c r="C629" s="478"/>
      <c r="D629" s="477"/>
      <c r="E629" s="479">
        <v>47600</v>
      </c>
      <c r="F629" s="479">
        <v>47600</v>
      </c>
      <c r="G629" s="479">
        <v>14092.83</v>
      </c>
      <c r="H629" s="479">
        <v>14092.83</v>
      </c>
      <c r="I629" s="480">
        <v>29.61</v>
      </c>
    </row>
    <row r="630" spans="1:9" ht="102" hidden="1" outlineLevel="4">
      <c r="A630" s="832" t="s">
        <v>1181</v>
      </c>
      <c r="B630" s="482" t="s">
        <v>4150</v>
      </c>
      <c r="C630" s="831" t="s">
        <v>1043</v>
      </c>
      <c r="D630" s="482" t="s">
        <v>1044</v>
      </c>
      <c r="E630" s="484">
        <v>47600</v>
      </c>
      <c r="F630" s="484">
        <v>47600</v>
      </c>
      <c r="G630" s="484">
        <v>14092.83</v>
      </c>
      <c r="H630" s="484">
        <v>14092.83</v>
      </c>
      <c r="I630" s="480">
        <v>29.61</v>
      </c>
    </row>
    <row r="631" spans="1:9" ht="25.5" hidden="1" outlineLevel="3">
      <c r="A631" s="833" t="s">
        <v>1183</v>
      </c>
      <c r="B631" s="477" t="s">
        <v>4151</v>
      </c>
      <c r="C631" s="478"/>
      <c r="D631" s="477"/>
      <c r="E631" s="479">
        <v>474779200</v>
      </c>
      <c r="F631" s="479">
        <v>474779200</v>
      </c>
      <c r="G631" s="479">
        <v>350483989.87</v>
      </c>
      <c r="H631" s="479">
        <v>347630694.14999998</v>
      </c>
      <c r="I631" s="480">
        <v>73.22</v>
      </c>
    </row>
    <row r="632" spans="1:9" ht="25.5" hidden="1" outlineLevel="4">
      <c r="A632" s="832" t="s">
        <v>1183</v>
      </c>
      <c r="B632" s="482" t="s">
        <v>4151</v>
      </c>
      <c r="C632" s="831" t="s">
        <v>1043</v>
      </c>
      <c r="D632" s="482" t="s">
        <v>1044</v>
      </c>
      <c r="E632" s="484">
        <v>474779200</v>
      </c>
      <c r="F632" s="484">
        <v>474779200</v>
      </c>
      <c r="G632" s="484">
        <v>350483989.87</v>
      </c>
      <c r="H632" s="484">
        <v>347630694.14999998</v>
      </c>
      <c r="I632" s="480">
        <v>73.22</v>
      </c>
    </row>
    <row r="633" spans="1:9" ht="38.25" hidden="1" outlineLevel="3">
      <c r="A633" s="833" t="s">
        <v>4152</v>
      </c>
      <c r="B633" s="477" t="s">
        <v>4153</v>
      </c>
      <c r="C633" s="478"/>
      <c r="D633" s="477"/>
      <c r="E633" s="479">
        <v>236438</v>
      </c>
      <c r="F633" s="479">
        <v>236438</v>
      </c>
      <c r="G633" s="479">
        <v>176437.55</v>
      </c>
      <c r="H633" s="479">
        <v>176437.55</v>
      </c>
      <c r="I633" s="480">
        <v>74.62</v>
      </c>
    </row>
    <row r="634" spans="1:9" ht="38.25" hidden="1" outlineLevel="4">
      <c r="A634" s="832" t="s">
        <v>4152</v>
      </c>
      <c r="B634" s="482" t="s">
        <v>4153</v>
      </c>
      <c r="C634" s="831" t="s">
        <v>1043</v>
      </c>
      <c r="D634" s="482" t="s">
        <v>1044</v>
      </c>
      <c r="E634" s="484">
        <v>236438</v>
      </c>
      <c r="F634" s="484">
        <v>236438</v>
      </c>
      <c r="G634" s="484">
        <v>176437.55</v>
      </c>
      <c r="H634" s="484">
        <v>176437.55</v>
      </c>
      <c r="I634" s="480">
        <v>74.62</v>
      </c>
    </row>
    <row r="635" spans="1:9" ht="204" hidden="1" outlineLevel="3">
      <c r="A635" s="833" t="s">
        <v>4154</v>
      </c>
      <c r="B635" s="477" t="s">
        <v>4155</v>
      </c>
      <c r="C635" s="478"/>
      <c r="D635" s="477"/>
      <c r="E635" s="479">
        <v>157978600</v>
      </c>
      <c r="F635" s="479">
        <v>157978600</v>
      </c>
      <c r="G635" s="479">
        <v>100166553.23</v>
      </c>
      <c r="H635" s="479">
        <v>97177087.200000003</v>
      </c>
      <c r="I635" s="480">
        <v>61.51</v>
      </c>
    </row>
    <row r="636" spans="1:9" ht="204" hidden="1" outlineLevel="4">
      <c r="A636" s="832" t="s">
        <v>4154</v>
      </c>
      <c r="B636" s="482" t="s">
        <v>4155</v>
      </c>
      <c r="C636" s="831" t="s">
        <v>1043</v>
      </c>
      <c r="D636" s="482" t="s">
        <v>1044</v>
      </c>
      <c r="E636" s="484">
        <v>157978600</v>
      </c>
      <c r="F636" s="484">
        <v>157978600</v>
      </c>
      <c r="G636" s="484">
        <v>100166553.23</v>
      </c>
      <c r="H636" s="484">
        <v>97177087.200000003</v>
      </c>
      <c r="I636" s="480">
        <v>61.51</v>
      </c>
    </row>
    <row r="637" spans="1:9" ht="140.25" hidden="1" outlineLevel="3">
      <c r="A637" s="833" t="s">
        <v>4156</v>
      </c>
      <c r="B637" s="477" t="s">
        <v>4157</v>
      </c>
      <c r="C637" s="478"/>
      <c r="D637" s="477"/>
      <c r="E637" s="479">
        <v>3619500</v>
      </c>
      <c r="F637" s="479">
        <v>3619500</v>
      </c>
      <c r="G637" s="479">
        <v>2950000</v>
      </c>
      <c r="H637" s="479">
        <v>2444393.29</v>
      </c>
      <c r="I637" s="480">
        <v>67.53</v>
      </c>
    </row>
    <row r="638" spans="1:9" ht="140.25" hidden="1" outlineLevel="4">
      <c r="A638" s="832" t="s">
        <v>4156</v>
      </c>
      <c r="B638" s="482" t="s">
        <v>4157</v>
      </c>
      <c r="C638" s="831" t="s">
        <v>1043</v>
      </c>
      <c r="D638" s="482" t="s">
        <v>1044</v>
      </c>
      <c r="E638" s="484">
        <v>3619500</v>
      </c>
      <c r="F638" s="484">
        <v>3619500</v>
      </c>
      <c r="G638" s="484">
        <v>2950000</v>
      </c>
      <c r="H638" s="484">
        <v>2444393.29</v>
      </c>
      <c r="I638" s="480">
        <v>67.53</v>
      </c>
    </row>
    <row r="639" spans="1:9" ht="140.25" hidden="1" outlineLevel="3">
      <c r="A639" s="833" t="s">
        <v>4158</v>
      </c>
      <c r="B639" s="477" t="s">
        <v>4159</v>
      </c>
      <c r="C639" s="478"/>
      <c r="D639" s="477"/>
      <c r="E639" s="479">
        <v>43785</v>
      </c>
      <c r="F639" s="479">
        <v>43785</v>
      </c>
      <c r="G639" s="479">
        <v>5000</v>
      </c>
      <c r="H639" s="479">
        <v>4523.68</v>
      </c>
      <c r="I639" s="480">
        <v>10.33</v>
      </c>
    </row>
    <row r="640" spans="1:9" ht="140.25" hidden="1" outlineLevel="4">
      <c r="A640" s="832" t="s">
        <v>4158</v>
      </c>
      <c r="B640" s="482" t="s">
        <v>4159</v>
      </c>
      <c r="C640" s="831" t="s">
        <v>1043</v>
      </c>
      <c r="D640" s="482" t="s">
        <v>1044</v>
      </c>
      <c r="E640" s="484">
        <v>43785</v>
      </c>
      <c r="F640" s="484">
        <v>43785</v>
      </c>
      <c r="G640" s="484">
        <v>5000</v>
      </c>
      <c r="H640" s="484">
        <v>4523.68</v>
      </c>
      <c r="I640" s="480">
        <v>10.33</v>
      </c>
    </row>
    <row r="641" spans="1:9" ht="38.25" hidden="1" outlineLevel="3">
      <c r="A641" s="833" t="s">
        <v>1200</v>
      </c>
      <c r="B641" s="477" t="s">
        <v>4160</v>
      </c>
      <c r="C641" s="478"/>
      <c r="D641" s="477"/>
      <c r="E641" s="479">
        <v>2696200</v>
      </c>
      <c r="F641" s="479">
        <v>2696200</v>
      </c>
      <c r="G641" s="479">
        <v>1025000</v>
      </c>
      <c r="H641" s="479">
        <v>911154.65</v>
      </c>
      <c r="I641" s="480">
        <v>33.79</v>
      </c>
    </row>
    <row r="642" spans="1:9" ht="38.25" hidden="1" outlineLevel="4">
      <c r="A642" s="832" t="s">
        <v>1200</v>
      </c>
      <c r="B642" s="482" t="s">
        <v>4160</v>
      </c>
      <c r="C642" s="831" t="s">
        <v>1043</v>
      </c>
      <c r="D642" s="482" t="s">
        <v>1044</v>
      </c>
      <c r="E642" s="484">
        <v>2696200</v>
      </c>
      <c r="F642" s="484">
        <v>2696200</v>
      </c>
      <c r="G642" s="484">
        <v>1025000</v>
      </c>
      <c r="H642" s="484">
        <v>911154.65</v>
      </c>
      <c r="I642" s="480">
        <v>33.79</v>
      </c>
    </row>
    <row r="643" spans="1:9" ht="89.25" hidden="1" outlineLevel="3">
      <c r="A643" s="833" t="s">
        <v>4161</v>
      </c>
      <c r="B643" s="477" t="s">
        <v>4162</v>
      </c>
      <c r="C643" s="478"/>
      <c r="D643" s="477"/>
      <c r="E643" s="479">
        <v>45618500</v>
      </c>
      <c r="F643" s="479">
        <v>45618500</v>
      </c>
      <c r="G643" s="479">
        <v>26357293.039999999</v>
      </c>
      <c r="H643" s="479">
        <v>22988976.68</v>
      </c>
      <c r="I643" s="480">
        <v>50.39</v>
      </c>
    </row>
    <row r="644" spans="1:9" ht="89.25" hidden="1" outlineLevel="4">
      <c r="A644" s="832" t="s">
        <v>4161</v>
      </c>
      <c r="B644" s="482" t="s">
        <v>4162</v>
      </c>
      <c r="C644" s="831" t="s">
        <v>1043</v>
      </c>
      <c r="D644" s="482" t="s">
        <v>1044</v>
      </c>
      <c r="E644" s="484">
        <v>45618500</v>
      </c>
      <c r="F644" s="484">
        <v>45618500</v>
      </c>
      <c r="G644" s="484">
        <v>26357293.039999999</v>
      </c>
      <c r="H644" s="484">
        <v>22988976.68</v>
      </c>
      <c r="I644" s="480">
        <v>50.39</v>
      </c>
    </row>
    <row r="645" spans="1:9" ht="114.75" hidden="1" outlineLevel="3">
      <c r="A645" s="833" t="s">
        <v>4163</v>
      </c>
      <c r="B645" s="477" t="s">
        <v>4164</v>
      </c>
      <c r="C645" s="478"/>
      <c r="D645" s="477"/>
      <c r="E645" s="479">
        <v>23717537.530000001</v>
      </c>
      <c r="F645" s="479">
        <v>23717537.530000001</v>
      </c>
      <c r="G645" s="479">
        <v>18183601.32</v>
      </c>
      <c r="H645" s="479">
        <v>13654947.210000001</v>
      </c>
      <c r="I645" s="480">
        <v>57.57</v>
      </c>
    </row>
    <row r="646" spans="1:9" ht="114.75" hidden="1" outlineLevel="4">
      <c r="A646" s="832" t="s">
        <v>4163</v>
      </c>
      <c r="B646" s="482" t="s">
        <v>4164</v>
      </c>
      <c r="C646" s="831" t="s">
        <v>1043</v>
      </c>
      <c r="D646" s="482" t="s">
        <v>1044</v>
      </c>
      <c r="E646" s="484">
        <v>23717537.530000001</v>
      </c>
      <c r="F646" s="484">
        <v>23717537.530000001</v>
      </c>
      <c r="G646" s="484">
        <v>18183601.32</v>
      </c>
      <c r="H646" s="484">
        <v>13654947.210000001</v>
      </c>
      <c r="I646" s="480">
        <v>57.57</v>
      </c>
    </row>
    <row r="647" spans="1:9" ht="102" hidden="1" outlineLevel="3">
      <c r="A647" s="833" t="s">
        <v>4165</v>
      </c>
      <c r="B647" s="477" t="s">
        <v>4166</v>
      </c>
      <c r="C647" s="478"/>
      <c r="D647" s="477"/>
      <c r="E647" s="479">
        <v>3036400</v>
      </c>
      <c r="F647" s="479">
        <v>3036400</v>
      </c>
      <c r="G647" s="479">
        <v>2092614</v>
      </c>
      <c r="H647" s="479">
        <v>2092614</v>
      </c>
      <c r="I647" s="480">
        <v>68.92</v>
      </c>
    </row>
    <row r="648" spans="1:9" ht="102" hidden="1" outlineLevel="4">
      <c r="A648" s="832" t="s">
        <v>4165</v>
      </c>
      <c r="B648" s="482" t="s">
        <v>4166</v>
      </c>
      <c r="C648" s="831" t="s">
        <v>1043</v>
      </c>
      <c r="D648" s="482" t="s">
        <v>1044</v>
      </c>
      <c r="E648" s="484">
        <v>3036400</v>
      </c>
      <c r="F648" s="484">
        <v>3036400</v>
      </c>
      <c r="G648" s="484">
        <v>2092614</v>
      </c>
      <c r="H648" s="484">
        <v>2092614</v>
      </c>
      <c r="I648" s="480">
        <v>68.92</v>
      </c>
    </row>
    <row r="649" spans="1:9" ht="25.5" hidden="1" outlineLevel="3">
      <c r="A649" s="833" t="s">
        <v>1206</v>
      </c>
      <c r="B649" s="477" t="s">
        <v>4167</v>
      </c>
      <c r="C649" s="478"/>
      <c r="D649" s="477"/>
      <c r="E649" s="479">
        <v>1725159014</v>
      </c>
      <c r="F649" s="479">
        <v>1725159014</v>
      </c>
      <c r="G649" s="479">
        <v>1658981715.9100001</v>
      </c>
      <c r="H649" s="479">
        <v>1654363846.45</v>
      </c>
      <c r="I649" s="480">
        <v>95.9</v>
      </c>
    </row>
    <row r="650" spans="1:9" ht="25.5" hidden="1" outlineLevel="4">
      <c r="A650" s="832" t="s">
        <v>1206</v>
      </c>
      <c r="B650" s="482" t="s">
        <v>4167</v>
      </c>
      <c r="C650" s="831" t="s">
        <v>1043</v>
      </c>
      <c r="D650" s="482" t="s">
        <v>1044</v>
      </c>
      <c r="E650" s="484">
        <v>1725159014</v>
      </c>
      <c r="F650" s="484">
        <v>1725159014</v>
      </c>
      <c r="G650" s="484">
        <v>1658981715.9100001</v>
      </c>
      <c r="H650" s="484">
        <v>1654363846.45</v>
      </c>
      <c r="I650" s="480">
        <v>95.9</v>
      </c>
    </row>
    <row r="651" spans="1:9" ht="38.25" hidden="1" outlineLevel="3">
      <c r="A651" s="833" t="s">
        <v>4168</v>
      </c>
      <c r="B651" s="477" t="s">
        <v>4169</v>
      </c>
      <c r="C651" s="478"/>
      <c r="D651" s="477"/>
      <c r="E651" s="479">
        <v>899096200</v>
      </c>
      <c r="F651" s="479">
        <v>899096200</v>
      </c>
      <c r="G651" s="479">
        <v>897294820.13</v>
      </c>
      <c r="H651" s="479">
        <v>891565676.94000006</v>
      </c>
      <c r="I651" s="480">
        <v>99.16</v>
      </c>
    </row>
    <row r="652" spans="1:9" ht="38.25" hidden="1" outlineLevel="4">
      <c r="A652" s="832" t="s">
        <v>4168</v>
      </c>
      <c r="B652" s="482" t="s">
        <v>4169</v>
      </c>
      <c r="C652" s="831" t="s">
        <v>1043</v>
      </c>
      <c r="D652" s="482" t="s">
        <v>1044</v>
      </c>
      <c r="E652" s="484">
        <v>899096200</v>
      </c>
      <c r="F652" s="484">
        <v>899096200</v>
      </c>
      <c r="G652" s="484">
        <v>897294820.13</v>
      </c>
      <c r="H652" s="484">
        <v>891565676.94000006</v>
      </c>
      <c r="I652" s="480">
        <v>99.16</v>
      </c>
    </row>
    <row r="653" spans="1:9" ht="38.25" hidden="1" outlineLevel="3">
      <c r="A653" s="833" t="s">
        <v>4170</v>
      </c>
      <c r="B653" s="477" t="s">
        <v>4171</v>
      </c>
      <c r="C653" s="478"/>
      <c r="D653" s="477"/>
      <c r="E653" s="479">
        <v>286577700</v>
      </c>
      <c r="F653" s="479">
        <v>286577700</v>
      </c>
      <c r="G653" s="479">
        <v>194996124.68000001</v>
      </c>
      <c r="H653" s="479">
        <v>188740565.81999999</v>
      </c>
      <c r="I653" s="480">
        <v>65.86</v>
      </c>
    </row>
    <row r="654" spans="1:9" ht="38.25" hidden="1" outlineLevel="4">
      <c r="A654" s="832" t="s">
        <v>4170</v>
      </c>
      <c r="B654" s="482" t="s">
        <v>4171</v>
      </c>
      <c r="C654" s="831" t="s">
        <v>1043</v>
      </c>
      <c r="D654" s="482" t="s">
        <v>1044</v>
      </c>
      <c r="E654" s="484">
        <v>286577700</v>
      </c>
      <c r="F654" s="484">
        <v>286577700</v>
      </c>
      <c r="G654" s="484">
        <v>194996124.68000001</v>
      </c>
      <c r="H654" s="484">
        <v>188740565.81999999</v>
      </c>
      <c r="I654" s="480">
        <v>65.86</v>
      </c>
    </row>
    <row r="655" spans="1:9" ht="51" hidden="1" outlineLevel="3">
      <c r="A655" s="833" t="s">
        <v>1210</v>
      </c>
      <c r="B655" s="477" t="s">
        <v>4172</v>
      </c>
      <c r="C655" s="478"/>
      <c r="D655" s="477"/>
      <c r="E655" s="479">
        <v>67661600</v>
      </c>
      <c r="F655" s="479">
        <v>67661600</v>
      </c>
      <c r="G655" s="479">
        <v>55108782.039999999</v>
      </c>
      <c r="H655" s="479">
        <v>54675638.869999997</v>
      </c>
      <c r="I655" s="480">
        <v>80.81</v>
      </c>
    </row>
    <row r="656" spans="1:9" ht="51" hidden="1" outlineLevel="4">
      <c r="A656" s="832" t="s">
        <v>1210</v>
      </c>
      <c r="B656" s="482" t="s">
        <v>4172</v>
      </c>
      <c r="C656" s="831" t="s">
        <v>1043</v>
      </c>
      <c r="D656" s="482" t="s">
        <v>1044</v>
      </c>
      <c r="E656" s="484">
        <v>67661600</v>
      </c>
      <c r="F656" s="484">
        <v>67661600</v>
      </c>
      <c r="G656" s="484">
        <v>55108782.039999999</v>
      </c>
      <c r="H656" s="484">
        <v>54675638.869999997</v>
      </c>
      <c r="I656" s="480">
        <v>80.81</v>
      </c>
    </row>
    <row r="657" spans="1:9" ht="51" hidden="1" outlineLevel="2">
      <c r="A657" s="850" t="s">
        <v>4173</v>
      </c>
      <c r="B657" s="472" t="s">
        <v>4174</v>
      </c>
      <c r="C657" s="473"/>
      <c r="D657" s="472"/>
      <c r="E657" s="474">
        <v>77112300</v>
      </c>
      <c r="F657" s="474">
        <v>77112300</v>
      </c>
      <c r="G657" s="474">
        <v>63523100</v>
      </c>
      <c r="H657" s="474">
        <v>59741200</v>
      </c>
      <c r="I657" s="475">
        <v>77.47</v>
      </c>
    </row>
    <row r="658" spans="1:9" ht="25.5" hidden="1" outlineLevel="3">
      <c r="A658" s="833" t="s">
        <v>1077</v>
      </c>
      <c r="B658" s="477" t="s">
        <v>4175</v>
      </c>
      <c r="C658" s="478"/>
      <c r="D658" s="477"/>
      <c r="E658" s="479">
        <v>77112300</v>
      </c>
      <c r="F658" s="479">
        <v>77112300</v>
      </c>
      <c r="G658" s="479">
        <v>63523100</v>
      </c>
      <c r="H658" s="479">
        <v>59741200</v>
      </c>
      <c r="I658" s="480">
        <v>77.47</v>
      </c>
    </row>
    <row r="659" spans="1:9" ht="25.5" hidden="1" outlineLevel="4">
      <c r="A659" s="832" t="s">
        <v>1077</v>
      </c>
      <c r="B659" s="482" t="s">
        <v>4175</v>
      </c>
      <c r="C659" s="831" t="s">
        <v>1043</v>
      </c>
      <c r="D659" s="482" t="s">
        <v>1044</v>
      </c>
      <c r="E659" s="484">
        <v>77112300</v>
      </c>
      <c r="F659" s="484">
        <v>77112300</v>
      </c>
      <c r="G659" s="484">
        <v>63523100</v>
      </c>
      <c r="H659" s="484">
        <v>59741200</v>
      </c>
      <c r="I659" s="480">
        <v>77.47</v>
      </c>
    </row>
    <row r="660" spans="1:9" ht="51" hidden="1" outlineLevel="2">
      <c r="A660" s="850" t="s">
        <v>4176</v>
      </c>
      <c r="B660" s="472" t="s">
        <v>4177</v>
      </c>
      <c r="C660" s="473"/>
      <c r="D660" s="472"/>
      <c r="E660" s="474">
        <v>234989200</v>
      </c>
      <c r="F660" s="474">
        <v>234989200</v>
      </c>
      <c r="G660" s="474">
        <v>162999100</v>
      </c>
      <c r="H660" s="474">
        <v>142933600</v>
      </c>
      <c r="I660" s="475">
        <v>60.83</v>
      </c>
    </row>
    <row r="661" spans="1:9" ht="25.5" hidden="1" outlineLevel="3">
      <c r="A661" s="833" t="s">
        <v>1077</v>
      </c>
      <c r="B661" s="477" t="s">
        <v>4178</v>
      </c>
      <c r="C661" s="478"/>
      <c r="D661" s="477"/>
      <c r="E661" s="479">
        <v>234989200</v>
      </c>
      <c r="F661" s="479">
        <v>234989200</v>
      </c>
      <c r="G661" s="479">
        <v>162999100</v>
      </c>
      <c r="H661" s="479">
        <v>142933600</v>
      </c>
      <c r="I661" s="480">
        <v>60.83</v>
      </c>
    </row>
    <row r="662" spans="1:9" ht="25.5" hidden="1" outlineLevel="4">
      <c r="A662" s="832" t="s">
        <v>1077</v>
      </c>
      <c r="B662" s="482" t="s">
        <v>4178</v>
      </c>
      <c r="C662" s="831" t="s">
        <v>1043</v>
      </c>
      <c r="D662" s="482" t="s">
        <v>1044</v>
      </c>
      <c r="E662" s="484">
        <v>234989200</v>
      </c>
      <c r="F662" s="484">
        <v>234989200</v>
      </c>
      <c r="G662" s="484">
        <v>162999100</v>
      </c>
      <c r="H662" s="484">
        <v>142933600</v>
      </c>
      <c r="I662" s="480">
        <v>60.83</v>
      </c>
    </row>
    <row r="663" spans="1:9" ht="25.5" hidden="1" outlineLevel="2">
      <c r="A663" s="850" t="s">
        <v>1226</v>
      </c>
      <c r="B663" s="472" t="s">
        <v>4179</v>
      </c>
      <c r="C663" s="473"/>
      <c r="D663" s="472"/>
      <c r="E663" s="474">
        <v>783145800</v>
      </c>
      <c r="F663" s="474">
        <v>783145800</v>
      </c>
      <c r="G663" s="474">
        <v>534422183.74000001</v>
      </c>
      <c r="H663" s="474">
        <v>531363863.70999998</v>
      </c>
      <c r="I663" s="475">
        <v>67.849999999999994</v>
      </c>
    </row>
    <row r="664" spans="1:9" ht="51" hidden="1" outlineLevel="3">
      <c r="A664" s="833" t="s">
        <v>4180</v>
      </c>
      <c r="B664" s="477" t="s">
        <v>4181</v>
      </c>
      <c r="C664" s="478"/>
      <c r="D664" s="477"/>
      <c r="E664" s="479">
        <v>783145800</v>
      </c>
      <c r="F664" s="479">
        <v>783145800</v>
      </c>
      <c r="G664" s="479">
        <v>534422183.74000001</v>
      </c>
      <c r="H664" s="479">
        <v>531363863.70999998</v>
      </c>
      <c r="I664" s="480">
        <v>67.849999999999994</v>
      </c>
    </row>
    <row r="665" spans="1:9" ht="51" hidden="1" outlineLevel="4">
      <c r="A665" s="832" t="s">
        <v>4180</v>
      </c>
      <c r="B665" s="482" t="s">
        <v>4181</v>
      </c>
      <c r="C665" s="831" t="s">
        <v>1043</v>
      </c>
      <c r="D665" s="482" t="s">
        <v>1044</v>
      </c>
      <c r="E665" s="484">
        <v>783145800</v>
      </c>
      <c r="F665" s="484">
        <v>783145800</v>
      </c>
      <c r="G665" s="484">
        <v>534422183.74000001</v>
      </c>
      <c r="H665" s="484">
        <v>531363863.70999998</v>
      </c>
      <c r="I665" s="480">
        <v>67.849999999999994</v>
      </c>
    </row>
    <row r="666" spans="1:9" ht="25.5" hidden="1" outlineLevel="2">
      <c r="A666" s="850" t="s">
        <v>1233</v>
      </c>
      <c r="B666" s="472" t="s">
        <v>4182</v>
      </c>
      <c r="C666" s="473"/>
      <c r="D666" s="472"/>
      <c r="E666" s="474">
        <v>287141</v>
      </c>
      <c r="F666" s="474">
        <v>287141</v>
      </c>
      <c r="G666" s="474">
        <v>286836</v>
      </c>
      <c r="H666" s="474">
        <v>286836</v>
      </c>
      <c r="I666" s="475">
        <v>99.89</v>
      </c>
    </row>
    <row r="667" spans="1:9" ht="63.75" hidden="1" outlineLevel="3">
      <c r="A667" s="833" t="s">
        <v>1235</v>
      </c>
      <c r="B667" s="477" t="s">
        <v>4183</v>
      </c>
      <c r="C667" s="478"/>
      <c r="D667" s="477"/>
      <c r="E667" s="479">
        <v>287141</v>
      </c>
      <c r="F667" s="479">
        <v>287141</v>
      </c>
      <c r="G667" s="479">
        <v>286836</v>
      </c>
      <c r="H667" s="479">
        <v>286836</v>
      </c>
      <c r="I667" s="480">
        <v>99.89</v>
      </c>
    </row>
    <row r="668" spans="1:9" ht="63.75" hidden="1" outlineLevel="4">
      <c r="A668" s="832" t="s">
        <v>1235</v>
      </c>
      <c r="B668" s="482" t="s">
        <v>4183</v>
      </c>
      <c r="C668" s="831" t="s">
        <v>704</v>
      </c>
      <c r="D668" s="482" t="s">
        <v>705</v>
      </c>
      <c r="E668" s="484">
        <v>287141</v>
      </c>
      <c r="F668" s="484">
        <v>287141</v>
      </c>
      <c r="G668" s="484">
        <v>286836</v>
      </c>
      <c r="H668" s="484">
        <v>286836</v>
      </c>
      <c r="I668" s="480">
        <v>99.89</v>
      </c>
    </row>
    <row r="669" spans="1:9" ht="89.25" hidden="1" outlineLevel="1">
      <c r="A669" s="851" t="s">
        <v>4184</v>
      </c>
      <c r="B669" s="467" t="s">
        <v>4185</v>
      </c>
      <c r="C669" s="468"/>
      <c r="D669" s="467"/>
      <c r="E669" s="469">
        <v>2146704100.8199999</v>
      </c>
      <c r="F669" s="469">
        <v>2146704100.8199999</v>
      </c>
      <c r="G669" s="469">
        <v>1504176561.0699999</v>
      </c>
      <c r="H669" s="469">
        <v>1377780047.28</v>
      </c>
      <c r="I669" s="470">
        <v>64.180000000000007</v>
      </c>
    </row>
    <row r="670" spans="1:9" ht="76.5" hidden="1" outlineLevel="2">
      <c r="A670" s="850" t="s">
        <v>4186</v>
      </c>
      <c r="B670" s="472" t="s">
        <v>4187</v>
      </c>
      <c r="C670" s="473"/>
      <c r="D670" s="472"/>
      <c r="E670" s="474">
        <v>1143487384.78</v>
      </c>
      <c r="F670" s="474">
        <v>1143487384.78</v>
      </c>
      <c r="G670" s="474">
        <v>833149002.88999999</v>
      </c>
      <c r="H670" s="474">
        <v>784633040.19000006</v>
      </c>
      <c r="I670" s="475">
        <v>68.62</v>
      </c>
    </row>
    <row r="671" spans="1:9" ht="76.5" hidden="1" outlineLevel="3">
      <c r="A671" s="833" t="s">
        <v>702</v>
      </c>
      <c r="B671" s="477" t="s">
        <v>4188</v>
      </c>
      <c r="C671" s="478"/>
      <c r="D671" s="477"/>
      <c r="E671" s="479">
        <v>383100</v>
      </c>
      <c r="F671" s="479">
        <v>383100</v>
      </c>
      <c r="G671" s="479">
        <v>83100</v>
      </c>
      <c r="H671" s="479">
        <v>83100</v>
      </c>
      <c r="I671" s="480">
        <v>21.69</v>
      </c>
    </row>
    <row r="672" spans="1:9" ht="76.5" hidden="1" outlineLevel="4">
      <c r="A672" s="832" t="s">
        <v>702</v>
      </c>
      <c r="B672" s="482" t="s">
        <v>4188</v>
      </c>
      <c r="C672" s="831" t="s">
        <v>711</v>
      </c>
      <c r="D672" s="482" t="s">
        <v>712</v>
      </c>
      <c r="E672" s="484">
        <v>383100</v>
      </c>
      <c r="F672" s="484">
        <v>383100</v>
      </c>
      <c r="G672" s="484">
        <v>83100</v>
      </c>
      <c r="H672" s="484">
        <v>83100</v>
      </c>
      <c r="I672" s="480">
        <v>21.69</v>
      </c>
    </row>
    <row r="673" spans="1:9" ht="51" hidden="1" outlineLevel="3">
      <c r="A673" s="833" t="s">
        <v>1242</v>
      </c>
      <c r="B673" s="477" t="s">
        <v>4189</v>
      </c>
      <c r="C673" s="478"/>
      <c r="D673" s="477"/>
      <c r="E673" s="479">
        <v>5013100</v>
      </c>
      <c r="F673" s="479">
        <v>5013100</v>
      </c>
      <c r="G673" s="479">
        <v>2303311.81</v>
      </c>
      <c r="H673" s="479">
        <v>2303311.81</v>
      </c>
      <c r="I673" s="480">
        <v>45.95</v>
      </c>
    </row>
    <row r="674" spans="1:9" ht="51" hidden="1" outlineLevel="4">
      <c r="A674" s="832" t="s">
        <v>1242</v>
      </c>
      <c r="B674" s="482" t="s">
        <v>4189</v>
      </c>
      <c r="C674" s="831" t="s">
        <v>711</v>
      </c>
      <c r="D674" s="482" t="s">
        <v>712</v>
      </c>
      <c r="E674" s="484">
        <v>5013100</v>
      </c>
      <c r="F674" s="484">
        <v>5013100</v>
      </c>
      <c r="G674" s="484">
        <v>2303311.81</v>
      </c>
      <c r="H674" s="484">
        <v>2303311.81</v>
      </c>
      <c r="I674" s="480">
        <v>45.95</v>
      </c>
    </row>
    <row r="675" spans="1:9" ht="25.5" hidden="1" outlineLevel="3">
      <c r="A675" s="833" t="s">
        <v>713</v>
      </c>
      <c r="B675" s="477" t="s">
        <v>4190</v>
      </c>
      <c r="C675" s="478"/>
      <c r="D675" s="477"/>
      <c r="E675" s="479">
        <v>378800</v>
      </c>
      <c r="F675" s="479">
        <v>378800</v>
      </c>
      <c r="G675" s="479">
        <v>0</v>
      </c>
      <c r="H675" s="479">
        <v>0</v>
      </c>
      <c r="I675" s="480">
        <v>0</v>
      </c>
    </row>
    <row r="676" spans="1:9" ht="25.5" hidden="1" outlineLevel="4">
      <c r="A676" s="832" t="s">
        <v>713</v>
      </c>
      <c r="B676" s="482" t="s">
        <v>4190</v>
      </c>
      <c r="C676" s="831" t="s">
        <v>711</v>
      </c>
      <c r="D676" s="482" t="s">
        <v>712</v>
      </c>
      <c r="E676" s="484">
        <v>378800</v>
      </c>
      <c r="F676" s="484">
        <v>378800</v>
      </c>
      <c r="G676" s="484">
        <v>0</v>
      </c>
      <c r="H676" s="484">
        <v>0</v>
      </c>
      <c r="I676" s="480">
        <v>0</v>
      </c>
    </row>
    <row r="677" spans="1:9" ht="51" hidden="1" outlineLevel="3">
      <c r="A677" s="833" t="s">
        <v>1247</v>
      </c>
      <c r="B677" s="477" t="s">
        <v>4191</v>
      </c>
      <c r="C677" s="478"/>
      <c r="D677" s="477"/>
      <c r="E677" s="479">
        <v>991085600</v>
      </c>
      <c r="F677" s="479">
        <v>991085600</v>
      </c>
      <c r="G677" s="479">
        <v>723339228.01999998</v>
      </c>
      <c r="H677" s="479">
        <v>690048640.74000001</v>
      </c>
      <c r="I677" s="480">
        <v>69.63</v>
      </c>
    </row>
    <row r="678" spans="1:9" ht="51" hidden="1" outlineLevel="4">
      <c r="A678" s="832" t="s">
        <v>1247</v>
      </c>
      <c r="B678" s="482" t="s">
        <v>4191</v>
      </c>
      <c r="C678" s="831" t="s">
        <v>711</v>
      </c>
      <c r="D678" s="482" t="s">
        <v>712</v>
      </c>
      <c r="E678" s="484">
        <v>991085600</v>
      </c>
      <c r="F678" s="484">
        <v>991085600</v>
      </c>
      <c r="G678" s="484">
        <v>723339228.01999998</v>
      </c>
      <c r="H678" s="484">
        <v>690048640.74000001</v>
      </c>
      <c r="I678" s="480">
        <v>69.63</v>
      </c>
    </row>
    <row r="679" spans="1:9" ht="89.25" hidden="1" outlineLevel="3">
      <c r="A679" s="833" t="s">
        <v>1257</v>
      </c>
      <c r="B679" s="477" t="s">
        <v>4192</v>
      </c>
      <c r="C679" s="478"/>
      <c r="D679" s="477"/>
      <c r="E679" s="479">
        <v>12143900</v>
      </c>
      <c r="F679" s="479">
        <v>12143900</v>
      </c>
      <c r="G679" s="479">
        <v>8094120.4199999999</v>
      </c>
      <c r="H679" s="479">
        <v>7309712.4199999999</v>
      </c>
      <c r="I679" s="480">
        <v>60.19</v>
      </c>
    </row>
    <row r="680" spans="1:9" ht="89.25" hidden="1" outlineLevel="4">
      <c r="A680" s="832" t="s">
        <v>1257</v>
      </c>
      <c r="B680" s="482" t="s">
        <v>4192</v>
      </c>
      <c r="C680" s="831" t="s">
        <v>711</v>
      </c>
      <c r="D680" s="482" t="s">
        <v>712</v>
      </c>
      <c r="E680" s="484">
        <v>12143900</v>
      </c>
      <c r="F680" s="484">
        <v>12143900</v>
      </c>
      <c r="G680" s="484">
        <v>8094120.4199999999</v>
      </c>
      <c r="H680" s="484">
        <v>7309712.4199999999</v>
      </c>
      <c r="I680" s="480">
        <v>60.19</v>
      </c>
    </row>
    <row r="681" spans="1:9" ht="102" hidden="1" outlineLevel="3">
      <c r="A681" s="833" t="s">
        <v>4193</v>
      </c>
      <c r="B681" s="477" t="s">
        <v>4194</v>
      </c>
      <c r="C681" s="478"/>
      <c r="D681" s="477"/>
      <c r="E681" s="479">
        <v>134482884.78</v>
      </c>
      <c r="F681" s="479">
        <v>134482884.78</v>
      </c>
      <c r="G681" s="479">
        <v>99329242.640000001</v>
      </c>
      <c r="H681" s="479">
        <v>84888275.219999999</v>
      </c>
      <c r="I681" s="480">
        <v>63.12</v>
      </c>
    </row>
    <row r="682" spans="1:9" ht="102" hidden="1" outlineLevel="4">
      <c r="A682" s="832" t="s">
        <v>4193</v>
      </c>
      <c r="B682" s="482" t="s">
        <v>4194</v>
      </c>
      <c r="C682" s="831" t="s">
        <v>711</v>
      </c>
      <c r="D682" s="482" t="s">
        <v>712</v>
      </c>
      <c r="E682" s="484">
        <v>134482884.78</v>
      </c>
      <c r="F682" s="484">
        <v>134482884.78</v>
      </c>
      <c r="G682" s="484">
        <v>99329242.640000001</v>
      </c>
      <c r="H682" s="484">
        <v>84888275.219999999</v>
      </c>
      <c r="I682" s="480">
        <v>63.12</v>
      </c>
    </row>
    <row r="683" spans="1:9" ht="63.75" hidden="1" outlineLevel="2">
      <c r="A683" s="850" t="s">
        <v>4195</v>
      </c>
      <c r="B683" s="472" t="s">
        <v>4196</v>
      </c>
      <c r="C683" s="473"/>
      <c r="D683" s="472"/>
      <c r="E683" s="474">
        <v>345476199.63999999</v>
      </c>
      <c r="F683" s="474">
        <v>345476199.63999999</v>
      </c>
      <c r="G683" s="474">
        <v>232718464.77000001</v>
      </c>
      <c r="H683" s="474">
        <v>232718464.77000001</v>
      </c>
      <c r="I683" s="475">
        <v>67.36</v>
      </c>
    </row>
    <row r="684" spans="1:9" ht="76.5" hidden="1" outlineLevel="3">
      <c r="A684" s="833" t="s">
        <v>702</v>
      </c>
      <c r="B684" s="477" t="s">
        <v>4197</v>
      </c>
      <c r="C684" s="478"/>
      <c r="D684" s="477"/>
      <c r="E684" s="479">
        <v>344121199.63999999</v>
      </c>
      <c r="F684" s="479">
        <v>344121199.63999999</v>
      </c>
      <c r="G684" s="479">
        <v>232123402</v>
      </c>
      <c r="H684" s="479">
        <v>232123402</v>
      </c>
      <c r="I684" s="480">
        <v>67.45</v>
      </c>
    </row>
    <row r="685" spans="1:9" ht="76.5" hidden="1" outlineLevel="4">
      <c r="A685" s="832" t="s">
        <v>702</v>
      </c>
      <c r="B685" s="482" t="s">
        <v>4197</v>
      </c>
      <c r="C685" s="831" t="s">
        <v>896</v>
      </c>
      <c r="D685" s="482" t="s">
        <v>897</v>
      </c>
      <c r="E685" s="484">
        <v>1310299.6399999999</v>
      </c>
      <c r="F685" s="484">
        <v>1310299.6399999999</v>
      </c>
      <c r="G685" s="484">
        <v>306644</v>
      </c>
      <c r="H685" s="484">
        <v>306644</v>
      </c>
      <c r="I685" s="480">
        <v>23.4</v>
      </c>
    </row>
    <row r="686" spans="1:9" ht="76.5" hidden="1" outlineLevel="4">
      <c r="A686" s="832" t="s">
        <v>702</v>
      </c>
      <c r="B686" s="482" t="s">
        <v>4197</v>
      </c>
      <c r="C686" s="831" t="s">
        <v>711</v>
      </c>
      <c r="D686" s="482" t="s">
        <v>712</v>
      </c>
      <c r="E686" s="484">
        <v>342810900</v>
      </c>
      <c r="F686" s="484">
        <v>342810900</v>
      </c>
      <c r="G686" s="484">
        <v>231816758</v>
      </c>
      <c r="H686" s="484">
        <v>231816758</v>
      </c>
      <c r="I686" s="480">
        <v>67.62</v>
      </c>
    </row>
    <row r="687" spans="1:9" ht="140.25" hidden="1" outlineLevel="3">
      <c r="A687" s="833" t="s">
        <v>3759</v>
      </c>
      <c r="B687" s="477" t="s">
        <v>4198</v>
      </c>
      <c r="C687" s="478"/>
      <c r="D687" s="477"/>
      <c r="E687" s="479">
        <v>1266000</v>
      </c>
      <c r="F687" s="479">
        <v>1266000</v>
      </c>
      <c r="G687" s="479">
        <v>595062.77</v>
      </c>
      <c r="H687" s="479">
        <v>595062.77</v>
      </c>
      <c r="I687" s="480">
        <v>47</v>
      </c>
    </row>
    <row r="688" spans="1:9" ht="140.25" hidden="1" outlineLevel="4">
      <c r="A688" s="832" t="s">
        <v>3759</v>
      </c>
      <c r="B688" s="482" t="s">
        <v>4198</v>
      </c>
      <c r="C688" s="831" t="s">
        <v>711</v>
      </c>
      <c r="D688" s="482" t="s">
        <v>712</v>
      </c>
      <c r="E688" s="484">
        <v>1266000</v>
      </c>
      <c r="F688" s="484">
        <v>1266000</v>
      </c>
      <c r="G688" s="484">
        <v>595062.77</v>
      </c>
      <c r="H688" s="484">
        <v>595062.77</v>
      </c>
      <c r="I688" s="480">
        <v>47</v>
      </c>
    </row>
    <row r="689" spans="1:9" ht="153" hidden="1" outlineLevel="3">
      <c r="A689" s="833" t="s">
        <v>1255</v>
      </c>
      <c r="B689" s="477" t="s">
        <v>4199</v>
      </c>
      <c r="C689" s="478"/>
      <c r="D689" s="477"/>
      <c r="E689" s="479">
        <v>89000</v>
      </c>
      <c r="F689" s="479">
        <v>89000</v>
      </c>
      <c r="G689" s="479">
        <v>0</v>
      </c>
      <c r="H689" s="479">
        <v>0</v>
      </c>
      <c r="I689" s="480">
        <v>0</v>
      </c>
    </row>
    <row r="690" spans="1:9" ht="153" hidden="1" outlineLevel="4">
      <c r="A690" s="832" t="s">
        <v>1255</v>
      </c>
      <c r="B690" s="482" t="s">
        <v>4199</v>
      </c>
      <c r="C690" s="831" t="s">
        <v>711</v>
      </c>
      <c r="D690" s="482" t="s">
        <v>712</v>
      </c>
      <c r="E690" s="484">
        <v>89000</v>
      </c>
      <c r="F690" s="484">
        <v>89000</v>
      </c>
      <c r="G690" s="484">
        <v>0</v>
      </c>
      <c r="H690" s="484">
        <v>0</v>
      </c>
      <c r="I690" s="480">
        <v>0</v>
      </c>
    </row>
    <row r="691" spans="1:9" ht="178.5" hidden="1" outlineLevel="2">
      <c r="A691" s="850" t="s">
        <v>1259</v>
      </c>
      <c r="B691" s="472" t="s">
        <v>4200</v>
      </c>
      <c r="C691" s="473"/>
      <c r="D691" s="472"/>
      <c r="E691" s="474">
        <v>605305757.39999998</v>
      </c>
      <c r="F691" s="474">
        <v>605305757.39999998</v>
      </c>
      <c r="G691" s="474">
        <v>398576131.35000002</v>
      </c>
      <c r="H691" s="474">
        <v>323173413.31999999</v>
      </c>
      <c r="I691" s="475">
        <v>53.39</v>
      </c>
    </row>
    <row r="692" spans="1:9" ht="63.75" hidden="1" outlineLevel="3">
      <c r="A692" s="833" t="s">
        <v>1261</v>
      </c>
      <c r="B692" s="477" t="s">
        <v>4201</v>
      </c>
      <c r="C692" s="478"/>
      <c r="D692" s="477"/>
      <c r="E692" s="479">
        <v>318738057.39999998</v>
      </c>
      <c r="F692" s="479">
        <v>318738057.39999998</v>
      </c>
      <c r="G692" s="479">
        <v>196642207.15000001</v>
      </c>
      <c r="H692" s="479">
        <v>190044162.62</v>
      </c>
      <c r="I692" s="480">
        <v>59.62</v>
      </c>
    </row>
    <row r="693" spans="1:9" ht="63.75" hidden="1" outlineLevel="4">
      <c r="A693" s="832" t="s">
        <v>1261</v>
      </c>
      <c r="B693" s="482" t="s">
        <v>4201</v>
      </c>
      <c r="C693" s="831" t="s">
        <v>711</v>
      </c>
      <c r="D693" s="482" t="s">
        <v>712</v>
      </c>
      <c r="E693" s="484">
        <v>318738057.39999998</v>
      </c>
      <c r="F693" s="484">
        <v>318738057.39999998</v>
      </c>
      <c r="G693" s="484">
        <v>196642207.15000001</v>
      </c>
      <c r="H693" s="484">
        <v>190044162.62</v>
      </c>
      <c r="I693" s="480">
        <v>59.62</v>
      </c>
    </row>
    <row r="694" spans="1:9" ht="89.25" hidden="1" outlineLevel="3">
      <c r="A694" s="833" t="s">
        <v>4202</v>
      </c>
      <c r="B694" s="477" t="s">
        <v>4203</v>
      </c>
      <c r="C694" s="478"/>
      <c r="D694" s="477"/>
      <c r="E694" s="479">
        <v>268044600</v>
      </c>
      <c r="F694" s="479">
        <v>268044600</v>
      </c>
      <c r="G694" s="479">
        <v>183410824.19999999</v>
      </c>
      <c r="H694" s="479">
        <v>114606150.7</v>
      </c>
      <c r="I694" s="480">
        <v>42.76</v>
      </c>
    </row>
    <row r="695" spans="1:9" ht="89.25" hidden="1" outlineLevel="4">
      <c r="A695" s="832" t="s">
        <v>4202</v>
      </c>
      <c r="B695" s="482" t="s">
        <v>4203</v>
      </c>
      <c r="C695" s="831" t="s">
        <v>711</v>
      </c>
      <c r="D695" s="482" t="s">
        <v>712</v>
      </c>
      <c r="E695" s="484">
        <v>268044600</v>
      </c>
      <c r="F695" s="484">
        <v>268044600</v>
      </c>
      <c r="G695" s="484">
        <v>183410824.19999999</v>
      </c>
      <c r="H695" s="484">
        <v>114606150.7</v>
      </c>
      <c r="I695" s="480">
        <v>42.76</v>
      </c>
    </row>
    <row r="696" spans="1:9" ht="63.75" hidden="1" outlineLevel="3">
      <c r="A696" s="833" t="s">
        <v>1263</v>
      </c>
      <c r="B696" s="477" t="s">
        <v>4204</v>
      </c>
      <c r="C696" s="478"/>
      <c r="D696" s="477"/>
      <c r="E696" s="479">
        <v>18523100</v>
      </c>
      <c r="F696" s="479">
        <v>18523100</v>
      </c>
      <c r="G696" s="479">
        <v>18523100</v>
      </c>
      <c r="H696" s="479">
        <v>18523100</v>
      </c>
      <c r="I696" s="480">
        <v>100</v>
      </c>
    </row>
    <row r="697" spans="1:9" ht="63.75" hidden="1" outlineLevel="4">
      <c r="A697" s="832" t="s">
        <v>1263</v>
      </c>
      <c r="B697" s="482" t="s">
        <v>4204</v>
      </c>
      <c r="C697" s="831" t="s">
        <v>711</v>
      </c>
      <c r="D697" s="482" t="s">
        <v>712</v>
      </c>
      <c r="E697" s="484">
        <v>18523100</v>
      </c>
      <c r="F697" s="484">
        <v>18523100</v>
      </c>
      <c r="G697" s="484">
        <v>18523100</v>
      </c>
      <c r="H697" s="484">
        <v>18523100</v>
      </c>
      <c r="I697" s="480">
        <v>100</v>
      </c>
    </row>
    <row r="698" spans="1:9" ht="76.5" hidden="1" outlineLevel="2">
      <c r="A698" s="850" t="s">
        <v>1265</v>
      </c>
      <c r="B698" s="472" t="s">
        <v>4205</v>
      </c>
      <c r="C698" s="473"/>
      <c r="D698" s="472"/>
      <c r="E698" s="474">
        <v>52434759</v>
      </c>
      <c r="F698" s="474">
        <v>52434759</v>
      </c>
      <c r="G698" s="474">
        <v>39732962.060000002</v>
      </c>
      <c r="H698" s="474">
        <v>37255129</v>
      </c>
      <c r="I698" s="475">
        <v>71.05</v>
      </c>
    </row>
    <row r="699" spans="1:9" ht="89.25" hidden="1" outlineLevel="3">
      <c r="A699" s="833" t="s">
        <v>1267</v>
      </c>
      <c r="B699" s="477" t="s">
        <v>4206</v>
      </c>
      <c r="C699" s="478"/>
      <c r="D699" s="477"/>
      <c r="E699" s="479">
        <v>43523600</v>
      </c>
      <c r="F699" s="479">
        <v>43523600</v>
      </c>
      <c r="G699" s="479">
        <v>32942643</v>
      </c>
      <c r="H699" s="479">
        <v>30942864.43</v>
      </c>
      <c r="I699" s="480">
        <v>71.09</v>
      </c>
    </row>
    <row r="700" spans="1:9" ht="89.25" hidden="1" outlineLevel="4">
      <c r="A700" s="832" t="s">
        <v>1267</v>
      </c>
      <c r="B700" s="482" t="s">
        <v>4206</v>
      </c>
      <c r="C700" s="831" t="s">
        <v>711</v>
      </c>
      <c r="D700" s="482" t="s">
        <v>712</v>
      </c>
      <c r="E700" s="484">
        <v>43523600</v>
      </c>
      <c r="F700" s="484">
        <v>43523600</v>
      </c>
      <c r="G700" s="484">
        <v>32942643</v>
      </c>
      <c r="H700" s="484">
        <v>30942864.43</v>
      </c>
      <c r="I700" s="480">
        <v>71.09</v>
      </c>
    </row>
    <row r="701" spans="1:9" ht="89.25" hidden="1" outlineLevel="3">
      <c r="A701" s="833" t="s">
        <v>1269</v>
      </c>
      <c r="B701" s="477" t="s">
        <v>4207</v>
      </c>
      <c r="C701" s="478"/>
      <c r="D701" s="477"/>
      <c r="E701" s="479">
        <v>1133759</v>
      </c>
      <c r="F701" s="479">
        <v>1133759</v>
      </c>
      <c r="G701" s="479">
        <v>672901.96</v>
      </c>
      <c r="H701" s="479">
        <v>453179.57</v>
      </c>
      <c r="I701" s="480">
        <v>39.97</v>
      </c>
    </row>
    <row r="702" spans="1:9" ht="89.25" hidden="1" outlineLevel="4">
      <c r="A702" s="832" t="s">
        <v>1269</v>
      </c>
      <c r="B702" s="482" t="s">
        <v>4207</v>
      </c>
      <c r="C702" s="831" t="s">
        <v>711</v>
      </c>
      <c r="D702" s="482" t="s">
        <v>712</v>
      </c>
      <c r="E702" s="484">
        <v>1133759</v>
      </c>
      <c r="F702" s="484">
        <v>1133759</v>
      </c>
      <c r="G702" s="484">
        <v>672901.96</v>
      </c>
      <c r="H702" s="484">
        <v>453179.57</v>
      </c>
      <c r="I702" s="480">
        <v>39.97</v>
      </c>
    </row>
    <row r="703" spans="1:9" ht="153" hidden="1" outlineLevel="3">
      <c r="A703" s="833" t="s">
        <v>1271</v>
      </c>
      <c r="B703" s="477" t="s">
        <v>4208</v>
      </c>
      <c r="C703" s="478"/>
      <c r="D703" s="477"/>
      <c r="E703" s="479">
        <v>7777400</v>
      </c>
      <c r="F703" s="479">
        <v>7777400</v>
      </c>
      <c r="G703" s="479">
        <v>6117417.0999999996</v>
      </c>
      <c r="H703" s="479">
        <v>5859085</v>
      </c>
      <c r="I703" s="480">
        <v>75.33</v>
      </c>
    </row>
    <row r="704" spans="1:9" ht="153" hidden="1" outlineLevel="4">
      <c r="A704" s="832" t="s">
        <v>1271</v>
      </c>
      <c r="B704" s="482" t="s">
        <v>4208</v>
      </c>
      <c r="C704" s="831" t="s">
        <v>711</v>
      </c>
      <c r="D704" s="482" t="s">
        <v>712</v>
      </c>
      <c r="E704" s="484">
        <v>7777400</v>
      </c>
      <c r="F704" s="484">
        <v>7777400</v>
      </c>
      <c r="G704" s="484">
        <v>6117417.0999999996</v>
      </c>
      <c r="H704" s="484">
        <v>5859085</v>
      </c>
      <c r="I704" s="480">
        <v>75.33</v>
      </c>
    </row>
    <row r="705" spans="1:9" ht="38.25" hidden="1" outlineLevel="1">
      <c r="A705" s="851" t="s">
        <v>1019</v>
      </c>
      <c r="B705" s="467" t="s">
        <v>4209</v>
      </c>
      <c r="C705" s="468"/>
      <c r="D705" s="467"/>
      <c r="E705" s="469">
        <v>846391400.57000005</v>
      </c>
      <c r="F705" s="469">
        <v>845522893.30999994</v>
      </c>
      <c r="G705" s="469">
        <v>632462521.72000003</v>
      </c>
      <c r="H705" s="469">
        <v>585524905.86000001</v>
      </c>
      <c r="I705" s="470">
        <v>69.180000000000007</v>
      </c>
    </row>
    <row r="706" spans="1:9" ht="76.5" hidden="1" outlineLevel="2">
      <c r="A706" s="850" t="s">
        <v>4210</v>
      </c>
      <c r="B706" s="472" t="s">
        <v>4211</v>
      </c>
      <c r="C706" s="473"/>
      <c r="D706" s="472"/>
      <c r="E706" s="474">
        <v>818360400.57000005</v>
      </c>
      <c r="F706" s="474">
        <v>818360400.57000005</v>
      </c>
      <c r="G706" s="474">
        <v>609030997.37</v>
      </c>
      <c r="H706" s="474">
        <v>562273931.50999999</v>
      </c>
      <c r="I706" s="475">
        <v>68.709999999999994</v>
      </c>
    </row>
    <row r="707" spans="1:9" ht="25.5" hidden="1" outlineLevel="3">
      <c r="A707" s="833" t="s">
        <v>873</v>
      </c>
      <c r="B707" s="477" t="s">
        <v>4212</v>
      </c>
      <c r="C707" s="478"/>
      <c r="D707" s="477"/>
      <c r="E707" s="479">
        <v>165775815.13</v>
      </c>
      <c r="F707" s="479">
        <v>165775815.13</v>
      </c>
      <c r="G707" s="479">
        <v>134500000</v>
      </c>
      <c r="H707" s="479">
        <v>114707631.01000001</v>
      </c>
      <c r="I707" s="480">
        <v>69.19</v>
      </c>
    </row>
    <row r="708" spans="1:9" ht="25.5" hidden="1" outlineLevel="4">
      <c r="A708" s="832" t="s">
        <v>873</v>
      </c>
      <c r="B708" s="482" t="s">
        <v>4212</v>
      </c>
      <c r="C708" s="831" t="s">
        <v>1043</v>
      </c>
      <c r="D708" s="482" t="s">
        <v>1044</v>
      </c>
      <c r="E708" s="484">
        <v>165775815.13</v>
      </c>
      <c r="F708" s="484">
        <v>165775815.13</v>
      </c>
      <c r="G708" s="484">
        <v>134500000</v>
      </c>
      <c r="H708" s="484">
        <v>114707631.01000001</v>
      </c>
      <c r="I708" s="480">
        <v>69.19</v>
      </c>
    </row>
    <row r="709" spans="1:9" ht="38.25" hidden="1" outlineLevel="3">
      <c r="A709" s="833" t="s">
        <v>854</v>
      </c>
      <c r="B709" s="477" t="s">
        <v>4213</v>
      </c>
      <c r="C709" s="478"/>
      <c r="D709" s="477"/>
      <c r="E709" s="479">
        <v>3588885.44</v>
      </c>
      <c r="F709" s="479">
        <v>3588885.44</v>
      </c>
      <c r="G709" s="479">
        <v>3097760.69</v>
      </c>
      <c r="H709" s="479">
        <v>2431391.35</v>
      </c>
      <c r="I709" s="480">
        <v>67.75</v>
      </c>
    </row>
    <row r="710" spans="1:9" ht="38.25" hidden="1" outlineLevel="4">
      <c r="A710" s="832" t="s">
        <v>854</v>
      </c>
      <c r="B710" s="482" t="s">
        <v>4213</v>
      </c>
      <c r="C710" s="831" t="s">
        <v>1043</v>
      </c>
      <c r="D710" s="482" t="s">
        <v>1044</v>
      </c>
      <c r="E710" s="484">
        <v>3588885.44</v>
      </c>
      <c r="F710" s="484">
        <v>3588885.44</v>
      </c>
      <c r="G710" s="484">
        <v>3097760.69</v>
      </c>
      <c r="H710" s="484">
        <v>2431391.35</v>
      </c>
      <c r="I710" s="480">
        <v>67.75</v>
      </c>
    </row>
    <row r="711" spans="1:9" ht="76.5" hidden="1" outlineLevel="3">
      <c r="A711" s="833" t="s">
        <v>702</v>
      </c>
      <c r="B711" s="477" t="s">
        <v>4214</v>
      </c>
      <c r="C711" s="478"/>
      <c r="D711" s="477"/>
      <c r="E711" s="479">
        <v>633527528</v>
      </c>
      <c r="F711" s="479">
        <v>633527528</v>
      </c>
      <c r="G711" s="479">
        <v>458296348.91000003</v>
      </c>
      <c r="H711" s="479">
        <v>432541081.42000002</v>
      </c>
      <c r="I711" s="480">
        <v>68.28</v>
      </c>
    </row>
    <row r="712" spans="1:9" ht="76.5" hidden="1" outlineLevel="4">
      <c r="A712" s="832" t="s">
        <v>702</v>
      </c>
      <c r="B712" s="482" t="s">
        <v>4214</v>
      </c>
      <c r="C712" s="831" t="s">
        <v>1043</v>
      </c>
      <c r="D712" s="482" t="s">
        <v>1044</v>
      </c>
      <c r="E712" s="484">
        <v>633527528</v>
      </c>
      <c r="F712" s="484">
        <v>633527528</v>
      </c>
      <c r="G712" s="484">
        <v>458296348.91000003</v>
      </c>
      <c r="H712" s="484">
        <v>432541081.42000002</v>
      </c>
      <c r="I712" s="480">
        <v>68.28</v>
      </c>
    </row>
    <row r="713" spans="1:9" ht="63.75" hidden="1" outlineLevel="3">
      <c r="A713" s="833" t="s">
        <v>62</v>
      </c>
      <c r="B713" s="477" t="s">
        <v>4215</v>
      </c>
      <c r="C713" s="478"/>
      <c r="D713" s="477"/>
      <c r="E713" s="479">
        <v>15284639.619999999</v>
      </c>
      <c r="F713" s="479">
        <v>15284639.619999999</v>
      </c>
      <c r="G713" s="479">
        <v>12953355.390000001</v>
      </c>
      <c r="H713" s="479">
        <v>12410295.35</v>
      </c>
      <c r="I713" s="480">
        <v>81.19</v>
      </c>
    </row>
    <row r="714" spans="1:9" ht="63.75" hidden="1" outlineLevel="4">
      <c r="A714" s="832" t="s">
        <v>62</v>
      </c>
      <c r="B714" s="482" t="s">
        <v>4215</v>
      </c>
      <c r="C714" s="831" t="s">
        <v>1043</v>
      </c>
      <c r="D714" s="482" t="s">
        <v>1044</v>
      </c>
      <c r="E714" s="484">
        <v>15284639.619999999</v>
      </c>
      <c r="F714" s="484">
        <v>15284639.619999999</v>
      </c>
      <c r="G714" s="484">
        <v>12953355.390000001</v>
      </c>
      <c r="H714" s="484">
        <v>12410295.35</v>
      </c>
      <c r="I714" s="480">
        <v>81.19</v>
      </c>
    </row>
    <row r="715" spans="1:9" ht="76.5" hidden="1" outlineLevel="3">
      <c r="A715" s="833" t="s">
        <v>156</v>
      </c>
      <c r="B715" s="477" t="s">
        <v>4216</v>
      </c>
      <c r="C715" s="478"/>
      <c r="D715" s="477"/>
      <c r="E715" s="479">
        <v>92584.38</v>
      </c>
      <c r="F715" s="479">
        <v>92584.38</v>
      </c>
      <c r="G715" s="479">
        <v>92584.38</v>
      </c>
      <c r="H715" s="479">
        <v>92584.38</v>
      </c>
      <c r="I715" s="480">
        <v>100</v>
      </c>
    </row>
    <row r="716" spans="1:9" ht="76.5" hidden="1" outlineLevel="4">
      <c r="A716" s="832" t="s">
        <v>156</v>
      </c>
      <c r="B716" s="482" t="s">
        <v>4216</v>
      </c>
      <c r="C716" s="831" t="s">
        <v>1043</v>
      </c>
      <c r="D716" s="482" t="s">
        <v>1044</v>
      </c>
      <c r="E716" s="484">
        <v>92584.38</v>
      </c>
      <c r="F716" s="484">
        <v>92584.38</v>
      </c>
      <c r="G716" s="484">
        <v>92584.38</v>
      </c>
      <c r="H716" s="484">
        <v>92584.38</v>
      </c>
      <c r="I716" s="480">
        <v>100</v>
      </c>
    </row>
    <row r="717" spans="1:9" hidden="1" outlineLevel="3">
      <c r="A717" s="833" t="s">
        <v>2474</v>
      </c>
      <c r="B717" s="477" t="s">
        <v>4217</v>
      </c>
      <c r="C717" s="478"/>
      <c r="D717" s="477"/>
      <c r="E717" s="479">
        <v>90948</v>
      </c>
      <c r="F717" s="479">
        <v>90948</v>
      </c>
      <c r="G717" s="479">
        <v>90948</v>
      </c>
      <c r="H717" s="479">
        <v>90948</v>
      </c>
      <c r="I717" s="480">
        <v>100</v>
      </c>
    </row>
    <row r="718" spans="1:9" ht="25.5" hidden="1" outlineLevel="4">
      <c r="A718" s="832" t="s">
        <v>2474</v>
      </c>
      <c r="B718" s="482" t="s">
        <v>4217</v>
      </c>
      <c r="C718" s="831" t="s">
        <v>1043</v>
      </c>
      <c r="D718" s="482" t="s">
        <v>1044</v>
      </c>
      <c r="E718" s="484">
        <v>90948</v>
      </c>
      <c r="F718" s="484">
        <v>90948</v>
      </c>
      <c r="G718" s="484">
        <v>90948</v>
      </c>
      <c r="H718" s="484">
        <v>90948</v>
      </c>
      <c r="I718" s="480">
        <v>100</v>
      </c>
    </row>
    <row r="719" spans="1:9" ht="38.25" hidden="1" outlineLevel="2">
      <c r="A719" s="850" t="s">
        <v>1282</v>
      </c>
      <c r="B719" s="472" t="s">
        <v>4218</v>
      </c>
      <c r="C719" s="473"/>
      <c r="D719" s="472"/>
      <c r="E719" s="474">
        <v>28031000</v>
      </c>
      <c r="F719" s="474">
        <v>27162492.739999998</v>
      </c>
      <c r="G719" s="474">
        <v>23431524.350000001</v>
      </c>
      <c r="H719" s="474">
        <v>23250974.350000001</v>
      </c>
      <c r="I719" s="475">
        <v>82.95</v>
      </c>
    </row>
    <row r="720" spans="1:9" ht="51" hidden="1" outlineLevel="3">
      <c r="A720" s="833" t="s">
        <v>861</v>
      </c>
      <c r="B720" s="477" t="s">
        <v>4219</v>
      </c>
      <c r="C720" s="478"/>
      <c r="D720" s="477"/>
      <c r="E720" s="479">
        <v>28031000</v>
      </c>
      <c r="F720" s="479">
        <v>27162492.739999998</v>
      </c>
      <c r="G720" s="479">
        <v>23431524.350000001</v>
      </c>
      <c r="H720" s="479">
        <v>23250974.350000001</v>
      </c>
      <c r="I720" s="480">
        <v>82.95</v>
      </c>
    </row>
    <row r="721" spans="1:9" ht="51" hidden="1" outlineLevel="4">
      <c r="A721" s="832" t="s">
        <v>861</v>
      </c>
      <c r="B721" s="482" t="s">
        <v>4219</v>
      </c>
      <c r="C721" s="831" t="s">
        <v>1043</v>
      </c>
      <c r="D721" s="482" t="s">
        <v>1044</v>
      </c>
      <c r="E721" s="484">
        <v>28031000</v>
      </c>
      <c r="F721" s="484">
        <v>27162492.739999998</v>
      </c>
      <c r="G721" s="484">
        <v>23431524.350000001</v>
      </c>
      <c r="H721" s="484">
        <v>23250974.350000001</v>
      </c>
      <c r="I721" s="480">
        <v>82.95</v>
      </c>
    </row>
    <row r="722" spans="1:9" ht="30.75" collapsed="1" thickBot="1">
      <c r="A722" s="854" t="s">
        <v>3357</v>
      </c>
      <c r="B722" s="853" t="s">
        <v>3356</v>
      </c>
      <c r="C722" s="463"/>
      <c r="D722" s="853"/>
      <c r="E722" s="852">
        <v>2013514085.99</v>
      </c>
      <c r="F722" s="852">
        <v>1992155786.3299999</v>
      </c>
      <c r="G722" s="852">
        <v>1413851982.97</v>
      </c>
      <c r="H722" s="852">
        <v>1280783219.55</v>
      </c>
      <c r="I722" s="465">
        <v>63.61</v>
      </c>
    </row>
    <row r="723" spans="1:9" ht="51" outlineLevel="1">
      <c r="A723" s="851" t="s">
        <v>3355</v>
      </c>
      <c r="B723" s="467" t="s">
        <v>3354</v>
      </c>
      <c r="C723" s="468"/>
      <c r="D723" s="467"/>
      <c r="E723" s="469">
        <v>246241787.63</v>
      </c>
      <c r="F723" s="469">
        <v>244034068.56999999</v>
      </c>
      <c r="G723" s="469">
        <v>215265478.72999999</v>
      </c>
      <c r="H723" s="469">
        <v>214204708.58000001</v>
      </c>
      <c r="I723" s="470">
        <v>86.99</v>
      </c>
    </row>
    <row r="724" spans="1:9" ht="63.75" outlineLevel="2">
      <c r="A724" s="850" t="s">
        <v>3353</v>
      </c>
      <c r="B724" s="472" t="s">
        <v>3352</v>
      </c>
      <c r="C724" s="473"/>
      <c r="D724" s="472"/>
      <c r="E724" s="474">
        <v>237895845.63</v>
      </c>
      <c r="F724" s="474">
        <v>235693170.09</v>
      </c>
      <c r="G724" s="474">
        <v>209974625.18000001</v>
      </c>
      <c r="H724" s="474">
        <v>208913855.03</v>
      </c>
      <c r="I724" s="475">
        <v>87.82</v>
      </c>
    </row>
    <row r="725" spans="1:9" ht="25.5" outlineLevel="3">
      <c r="A725" s="833" t="s">
        <v>713</v>
      </c>
      <c r="B725" s="477" t="s">
        <v>3351</v>
      </c>
      <c r="C725" s="478"/>
      <c r="D725" s="477"/>
      <c r="E725" s="479">
        <v>876830.55</v>
      </c>
      <c r="F725" s="479">
        <v>758620.69</v>
      </c>
      <c r="G725" s="479">
        <v>758620.69</v>
      </c>
      <c r="H725" s="479">
        <v>758620.69</v>
      </c>
      <c r="I725" s="480">
        <v>86.52</v>
      </c>
    </row>
    <row r="726" spans="1:9" ht="25.5" outlineLevel="4">
      <c r="A726" s="832" t="s">
        <v>713</v>
      </c>
      <c r="B726" s="482" t="s">
        <v>3351</v>
      </c>
      <c r="C726" s="831" t="s">
        <v>3240</v>
      </c>
      <c r="D726" s="482" t="s">
        <v>717</v>
      </c>
      <c r="E726" s="484">
        <v>876830.55</v>
      </c>
      <c r="F726" s="484">
        <v>758620.69</v>
      </c>
      <c r="G726" s="484">
        <v>758620.69</v>
      </c>
      <c r="H726" s="484">
        <v>758620.69</v>
      </c>
      <c r="I726" s="480">
        <v>86.52</v>
      </c>
    </row>
    <row r="727" spans="1:9" ht="51" outlineLevel="3">
      <c r="A727" s="833" t="s">
        <v>3350</v>
      </c>
      <c r="B727" s="477" t="s">
        <v>3349</v>
      </c>
      <c r="C727" s="478"/>
      <c r="D727" s="477"/>
      <c r="E727" s="479">
        <v>57948036.420000002</v>
      </c>
      <c r="F727" s="479">
        <v>57948036.420000002</v>
      </c>
      <c r="G727" s="479">
        <v>49849056.770000003</v>
      </c>
      <c r="H727" s="479">
        <v>49849056.770000003</v>
      </c>
      <c r="I727" s="480">
        <v>86.02</v>
      </c>
    </row>
    <row r="728" spans="1:9" ht="51" outlineLevel="4">
      <c r="A728" s="832" t="s">
        <v>3350</v>
      </c>
      <c r="B728" s="482" t="s">
        <v>3349</v>
      </c>
      <c r="C728" s="831" t="s">
        <v>3240</v>
      </c>
      <c r="D728" s="482" t="s">
        <v>717</v>
      </c>
      <c r="E728" s="484">
        <v>57948036.420000002</v>
      </c>
      <c r="F728" s="484">
        <v>57948036.420000002</v>
      </c>
      <c r="G728" s="484">
        <v>49849056.770000003</v>
      </c>
      <c r="H728" s="484">
        <v>49849056.770000003</v>
      </c>
      <c r="I728" s="480">
        <v>86.02</v>
      </c>
    </row>
    <row r="729" spans="1:9" ht="38.25" outlineLevel="3">
      <c r="A729" s="833" t="s">
        <v>3346</v>
      </c>
      <c r="B729" s="477" t="s">
        <v>3345</v>
      </c>
      <c r="C729" s="478"/>
      <c r="D729" s="477"/>
      <c r="E729" s="479">
        <v>894678.66</v>
      </c>
      <c r="F729" s="479">
        <v>894678.66</v>
      </c>
      <c r="G729" s="479">
        <v>730000</v>
      </c>
      <c r="H729" s="479">
        <v>0</v>
      </c>
      <c r="I729" s="480">
        <v>0</v>
      </c>
    </row>
    <row r="730" spans="1:9" ht="38.25" outlineLevel="4">
      <c r="A730" s="832" t="s">
        <v>3346</v>
      </c>
      <c r="B730" s="482" t="s">
        <v>3345</v>
      </c>
      <c r="C730" s="831" t="s">
        <v>3240</v>
      </c>
      <c r="D730" s="482" t="s">
        <v>717</v>
      </c>
      <c r="E730" s="484">
        <v>894678.66</v>
      </c>
      <c r="F730" s="484">
        <v>894678.66</v>
      </c>
      <c r="G730" s="484">
        <v>730000</v>
      </c>
      <c r="H730" s="484">
        <v>0</v>
      </c>
      <c r="I730" s="480">
        <v>0</v>
      </c>
    </row>
    <row r="731" spans="1:9" ht="51" outlineLevel="3">
      <c r="A731" s="833" t="s">
        <v>3342</v>
      </c>
      <c r="B731" s="477" t="s">
        <v>3341</v>
      </c>
      <c r="C731" s="478"/>
      <c r="D731" s="477"/>
      <c r="E731" s="479">
        <v>1176300</v>
      </c>
      <c r="F731" s="479">
        <v>1176300</v>
      </c>
      <c r="G731" s="479">
        <v>1176300</v>
      </c>
      <c r="H731" s="479">
        <v>1176300</v>
      </c>
      <c r="I731" s="480">
        <v>100</v>
      </c>
    </row>
    <row r="732" spans="1:9" ht="51" outlineLevel="4">
      <c r="A732" s="832" t="s">
        <v>3342</v>
      </c>
      <c r="B732" s="482" t="s">
        <v>3341</v>
      </c>
      <c r="C732" s="831" t="s">
        <v>3240</v>
      </c>
      <c r="D732" s="482" t="s">
        <v>717</v>
      </c>
      <c r="E732" s="484">
        <v>1176300</v>
      </c>
      <c r="F732" s="484">
        <v>1176300</v>
      </c>
      <c r="G732" s="484">
        <v>1176300</v>
      </c>
      <c r="H732" s="484">
        <v>1176300</v>
      </c>
      <c r="I732" s="480">
        <v>100</v>
      </c>
    </row>
    <row r="733" spans="1:9" ht="51" outlineLevel="3">
      <c r="A733" s="833" t="s">
        <v>3338</v>
      </c>
      <c r="B733" s="477" t="s">
        <v>3337</v>
      </c>
      <c r="C733" s="478"/>
      <c r="D733" s="477"/>
      <c r="E733" s="479">
        <v>40000000</v>
      </c>
      <c r="F733" s="479">
        <v>40000000</v>
      </c>
      <c r="G733" s="479">
        <v>35440000</v>
      </c>
      <c r="H733" s="479">
        <v>35440000</v>
      </c>
      <c r="I733" s="480">
        <v>88.6</v>
      </c>
    </row>
    <row r="734" spans="1:9" ht="51" outlineLevel="4">
      <c r="A734" s="832" t="s">
        <v>3338</v>
      </c>
      <c r="B734" s="482" t="s">
        <v>3337</v>
      </c>
      <c r="C734" s="831" t="s">
        <v>3240</v>
      </c>
      <c r="D734" s="482" t="s">
        <v>717</v>
      </c>
      <c r="E734" s="484">
        <v>40000000</v>
      </c>
      <c r="F734" s="484">
        <v>40000000</v>
      </c>
      <c r="G734" s="484">
        <v>35440000</v>
      </c>
      <c r="H734" s="484">
        <v>35440000</v>
      </c>
      <c r="I734" s="480">
        <v>88.6</v>
      </c>
    </row>
    <row r="735" spans="1:9" ht="51" outlineLevel="3">
      <c r="A735" s="833" t="s">
        <v>3334</v>
      </c>
      <c r="B735" s="477" t="s">
        <v>3333</v>
      </c>
      <c r="C735" s="478"/>
      <c r="D735" s="477"/>
      <c r="E735" s="479">
        <v>20000000</v>
      </c>
      <c r="F735" s="479">
        <v>20000000</v>
      </c>
      <c r="G735" s="479">
        <v>18000000</v>
      </c>
      <c r="H735" s="479">
        <v>18000000</v>
      </c>
      <c r="I735" s="480">
        <v>90</v>
      </c>
    </row>
    <row r="736" spans="1:9" ht="51" outlineLevel="4">
      <c r="A736" s="832" t="s">
        <v>3334</v>
      </c>
      <c r="B736" s="482" t="s">
        <v>3333</v>
      </c>
      <c r="C736" s="831" t="s">
        <v>3240</v>
      </c>
      <c r="D736" s="482" t="s">
        <v>717</v>
      </c>
      <c r="E736" s="484">
        <v>20000000</v>
      </c>
      <c r="F736" s="484">
        <v>20000000</v>
      </c>
      <c r="G736" s="484">
        <v>18000000</v>
      </c>
      <c r="H736" s="484">
        <v>18000000</v>
      </c>
      <c r="I736" s="480">
        <v>90</v>
      </c>
    </row>
    <row r="737" spans="1:10" ht="51" outlineLevel="3">
      <c r="A737" s="833" t="s">
        <v>3330</v>
      </c>
      <c r="B737" s="477" t="s">
        <v>3329</v>
      </c>
      <c r="C737" s="478"/>
      <c r="D737" s="477"/>
      <c r="E737" s="479">
        <v>49000000</v>
      </c>
      <c r="F737" s="479">
        <v>49000000</v>
      </c>
      <c r="G737" s="479">
        <v>48500000</v>
      </c>
      <c r="H737" s="479">
        <v>48500000</v>
      </c>
      <c r="I737" s="480">
        <v>98.98</v>
      </c>
    </row>
    <row r="738" spans="1:10" ht="51" outlineLevel="4">
      <c r="A738" s="832" t="s">
        <v>3330</v>
      </c>
      <c r="B738" s="482" t="s">
        <v>3329</v>
      </c>
      <c r="C738" s="831" t="s">
        <v>3240</v>
      </c>
      <c r="D738" s="482" t="s">
        <v>717</v>
      </c>
      <c r="E738" s="484">
        <v>49000000</v>
      </c>
      <c r="F738" s="484">
        <v>49000000</v>
      </c>
      <c r="G738" s="484">
        <v>48500000</v>
      </c>
      <c r="H738" s="484">
        <v>48500000</v>
      </c>
      <c r="I738" s="480">
        <v>98.98</v>
      </c>
    </row>
    <row r="739" spans="1:10" ht="51" outlineLevel="3">
      <c r="A739" s="833" t="s">
        <v>3326</v>
      </c>
      <c r="B739" s="477" t="s">
        <v>3325</v>
      </c>
      <c r="C739" s="478"/>
      <c r="D739" s="477"/>
      <c r="E739" s="479">
        <v>24000000</v>
      </c>
      <c r="F739" s="479">
        <v>22500000</v>
      </c>
      <c r="G739" s="479">
        <v>22500000</v>
      </c>
      <c r="H739" s="479">
        <v>22500000</v>
      </c>
      <c r="I739" s="480">
        <v>93.75</v>
      </c>
    </row>
    <row r="740" spans="1:10" ht="51" outlineLevel="4">
      <c r="A740" s="832" t="s">
        <v>3326</v>
      </c>
      <c r="B740" s="482" t="s">
        <v>3325</v>
      </c>
      <c r="C740" s="831" t="s">
        <v>3240</v>
      </c>
      <c r="D740" s="482" t="s">
        <v>717</v>
      </c>
      <c r="E740" s="484">
        <v>24000000</v>
      </c>
      <c r="F740" s="484">
        <v>22500000</v>
      </c>
      <c r="G740" s="484">
        <v>22500000</v>
      </c>
      <c r="H740" s="484">
        <v>22500000</v>
      </c>
      <c r="I740" s="480">
        <v>93.75</v>
      </c>
    </row>
    <row r="741" spans="1:10" ht="38.25" outlineLevel="3">
      <c r="A741" s="833" t="s">
        <v>3323</v>
      </c>
      <c r="B741" s="477" t="s">
        <v>3322</v>
      </c>
      <c r="C741" s="478"/>
      <c r="D741" s="477"/>
      <c r="E741" s="479">
        <v>9000000</v>
      </c>
      <c r="F741" s="479">
        <v>9000000</v>
      </c>
      <c r="G741" s="479">
        <v>1639993.45</v>
      </c>
      <c r="H741" s="479">
        <v>1309223.8</v>
      </c>
      <c r="I741" s="480">
        <v>14.55</v>
      </c>
    </row>
    <row r="742" spans="1:10" ht="38.25" outlineLevel="4">
      <c r="A742" s="832" t="s">
        <v>3323</v>
      </c>
      <c r="B742" s="482" t="s">
        <v>3322</v>
      </c>
      <c r="C742" s="831" t="s">
        <v>3240</v>
      </c>
      <c r="D742" s="482" t="s">
        <v>717</v>
      </c>
      <c r="E742" s="484">
        <v>9000000</v>
      </c>
      <c r="F742" s="484">
        <v>9000000</v>
      </c>
      <c r="G742" s="484">
        <v>1639993.45</v>
      </c>
      <c r="H742" s="484">
        <v>1309223.8</v>
      </c>
      <c r="I742" s="480">
        <v>14.55</v>
      </c>
      <c r="J742" s="830">
        <v>1309.2238</v>
      </c>
    </row>
    <row r="743" spans="1:10" ht="38.25" outlineLevel="3">
      <c r="A743" s="833" t="s">
        <v>3319</v>
      </c>
      <c r="B743" s="477" t="s">
        <v>3318</v>
      </c>
      <c r="C743" s="478"/>
      <c r="D743" s="477"/>
      <c r="E743" s="479">
        <v>35000000</v>
      </c>
      <c r="F743" s="479">
        <v>34415534.32</v>
      </c>
      <c r="G743" s="479">
        <v>31380654.27</v>
      </c>
      <c r="H743" s="479">
        <v>31380653.77</v>
      </c>
      <c r="I743" s="480">
        <v>89.66</v>
      </c>
    </row>
    <row r="744" spans="1:10" ht="38.25" outlineLevel="4">
      <c r="A744" s="832" t="s">
        <v>3319</v>
      </c>
      <c r="B744" s="482" t="s">
        <v>3318</v>
      </c>
      <c r="C744" s="831" t="s">
        <v>3240</v>
      </c>
      <c r="D744" s="482" t="s">
        <v>717</v>
      </c>
      <c r="E744" s="484">
        <v>35000000</v>
      </c>
      <c r="F744" s="484">
        <v>34415534.32</v>
      </c>
      <c r="G744" s="484">
        <v>31380654.27</v>
      </c>
      <c r="H744" s="484">
        <v>31380653.77</v>
      </c>
      <c r="I744" s="480">
        <v>89.66</v>
      </c>
    </row>
    <row r="745" spans="1:10" ht="25.5" outlineLevel="2">
      <c r="A745" s="850" t="s">
        <v>3256</v>
      </c>
      <c r="B745" s="472" t="s">
        <v>3316</v>
      </c>
      <c r="C745" s="473"/>
      <c r="D745" s="472"/>
      <c r="E745" s="474">
        <v>8345942</v>
      </c>
      <c r="F745" s="474">
        <v>8340898.4800000004</v>
      </c>
      <c r="G745" s="474">
        <v>5290853.55</v>
      </c>
      <c r="H745" s="474">
        <v>5290853.55</v>
      </c>
      <c r="I745" s="475">
        <v>63.39</v>
      </c>
    </row>
    <row r="746" spans="1:10" ht="25.5" outlineLevel="3">
      <c r="A746" s="833" t="s">
        <v>713</v>
      </c>
      <c r="B746" s="477" t="s">
        <v>3313</v>
      </c>
      <c r="C746" s="478"/>
      <c r="D746" s="477"/>
      <c r="E746" s="479">
        <v>7159100</v>
      </c>
      <c r="F746" s="479">
        <v>7154056.4800000004</v>
      </c>
      <c r="G746" s="479">
        <v>4104011.55</v>
      </c>
      <c r="H746" s="479">
        <v>4104011.55</v>
      </c>
      <c r="I746" s="480">
        <v>57.33</v>
      </c>
    </row>
    <row r="747" spans="1:10" ht="25.5" outlineLevel="4">
      <c r="A747" s="832" t="s">
        <v>713</v>
      </c>
      <c r="B747" s="482" t="s">
        <v>3313</v>
      </c>
      <c r="C747" s="831" t="s">
        <v>3240</v>
      </c>
      <c r="D747" s="482" t="s">
        <v>717</v>
      </c>
      <c r="E747" s="484">
        <v>7159100</v>
      </c>
      <c r="F747" s="484">
        <v>7154056.4800000004</v>
      </c>
      <c r="G747" s="484">
        <v>4104011.55</v>
      </c>
      <c r="H747" s="484">
        <v>4104011.55</v>
      </c>
      <c r="I747" s="480">
        <v>57.33</v>
      </c>
    </row>
    <row r="748" spans="1:10" ht="38.25" outlineLevel="3">
      <c r="A748" s="833" t="s">
        <v>577</v>
      </c>
      <c r="B748" s="477" t="s">
        <v>3311</v>
      </c>
      <c r="C748" s="478"/>
      <c r="D748" s="477"/>
      <c r="E748" s="479">
        <v>1186842</v>
      </c>
      <c r="F748" s="479">
        <v>1186842</v>
      </c>
      <c r="G748" s="479">
        <v>1186842</v>
      </c>
      <c r="H748" s="479">
        <v>1186842</v>
      </c>
      <c r="I748" s="480">
        <v>100</v>
      </c>
    </row>
    <row r="749" spans="1:10" ht="38.25" outlineLevel="4">
      <c r="A749" s="832" t="s">
        <v>577</v>
      </c>
      <c r="B749" s="482" t="s">
        <v>3311</v>
      </c>
      <c r="C749" s="831" t="s">
        <v>3240</v>
      </c>
      <c r="D749" s="482" t="s">
        <v>717</v>
      </c>
      <c r="E749" s="484">
        <v>1186842</v>
      </c>
      <c r="F749" s="484">
        <v>1186842</v>
      </c>
      <c r="G749" s="484">
        <v>1186842</v>
      </c>
      <c r="H749" s="484">
        <v>1186842</v>
      </c>
      <c r="I749" s="480">
        <v>100</v>
      </c>
    </row>
    <row r="750" spans="1:10" ht="76.5" outlineLevel="1">
      <c r="A750" s="851" t="s">
        <v>3309</v>
      </c>
      <c r="B750" s="467" t="s">
        <v>3308</v>
      </c>
      <c r="C750" s="468"/>
      <c r="D750" s="467"/>
      <c r="E750" s="469">
        <v>1095529003.1400001</v>
      </c>
      <c r="F750" s="469">
        <v>1095392173.54</v>
      </c>
      <c r="G750" s="469">
        <v>821517023.09000003</v>
      </c>
      <c r="H750" s="469">
        <v>820551259.15999997</v>
      </c>
      <c r="I750" s="470">
        <v>74.900000000000006</v>
      </c>
    </row>
    <row r="751" spans="1:10" ht="89.25" outlineLevel="2">
      <c r="A751" s="850" t="s">
        <v>3307</v>
      </c>
      <c r="B751" s="472" t="s">
        <v>3306</v>
      </c>
      <c r="C751" s="473"/>
      <c r="D751" s="472"/>
      <c r="E751" s="474">
        <v>1035926254.88</v>
      </c>
      <c r="F751" s="474">
        <v>1035789425.28</v>
      </c>
      <c r="G751" s="474">
        <v>776950340.96000004</v>
      </c>
      <c r="H751" s="474">
        <v>776877677.02999997</v>
      </c>
      <c r="I751" s="475">
        <v>74.989999999999995</v>
      </c>
    </row>
    <row r="752" spans="1:10" ht="76.5" outlineLevel="3">
      <c r="A752" s="833" t="s">
        <v>702</v>
      </c>
      <c r="B752" s="477" t="s">
        <v>3299</v>
      </c>
      <c r="C752" s="478"/>
      <c r="D752" s="477"/>
      <c r="E752" s="479">
        <v>960110856.21000004</v>
      </c>
      <c r="F752" s="479">
        <v>959974026.61000001</v>
      </c>
      <c r="G752" s="479">
        <v>703714581.76999998</v>
      </c>
      <c r="H752" s="1557">
        <v>703714581.76999998</v>
      </c>
      <c r="I752" s="480">
        <v>73.3</v>
      </c>
      <c r="J752" s="830">
        <v>703714.58177000005</v>
      </c>
    </row>
    <row r="753" spans="1:10" ht="76.5" outlineLevel="4">
      <c r="A753" s="832" t="s">
        <v>702</v>
      </c>
      <c r="B753" s="482" t="s">
        <v>3299</v>
      </c>
      <c r="C753" s="831" t="s">
        <v>3240</v>
      </c>
      <c r="D753" s="482" t="s">
        <v>717</v>
      </c>
      <c r="E753" s="484">
        <v>960110856.21000004</v>
      </c>
      <c r="F753" s="484">
        <v>959974026.61000001</v>
      </c>
      <c r="G753" s="484">
        <v>703714581.76999998</v>
      </c>
      <c r="H753" s="484">
        <v>703714581.76999998</v>
      </c>
      <c r="I753" s="480">
        <v>73.3</v>
      </c>
    </row>
    <row r="754" spans="1:10" ht="63.75" outlineLevel="3">
      <c r="A754" s="833" t="s">
        <v>62</v>
      </c>
      <c r="B754" s="477" t="s">
        <v>3297</v>
      </c>
      <c r="C754" s="478"/>
      <c r="D754" s="477"/>
      <c r="E754" s="479">
        <v>5943377.8099999996</v>
      </c>
      <c r="F754" s="479">
        <v>5943377.8099999996</v>
      </c>
      <c r="G754" s="479">
        <v>5283317</v>
      </c>
      <c r="H754" s="1557">
        <v>5210653.07</v>
      </c>
      <c r="I754" s="480">
        <v>87.67</v>
      </c>
    </row>
    <row r="755" spans="1:10" ht="63.75" outlineLevel="4">
      <c r="A755" s="832" t="s">
        <v>62</v>
      </c>
      <c r="B755" s="482" t="s">
        <v>3297</v>
      </c>
      <c r="C755" s="831" t="s">
        <v>3240</v>
      </c>
      <c r="D755" s="482" t="s">
        <v>717</v>
      </c>
      <c r="E755" s="484">
        <v>5943377.8099999996</v>
      </c>
      <c r="F755" s="484">
        <v>5943377.8099999996</v>
      </c>
      <c r="G755" s="484">
        <v>5283317</v>
      </c>
      <c r="H755" s="484">
        <v>5210653.07</v>
      </c>
      <c r="I755" s="480">
        <v>87.67</v>
      </c>
    </row>
    <row r="756" spans="1:10" ht="76.5" outlineLevel="3">
      <c r="A756" s="833" t="s">
        <v>156</v>
      </c>
      <c r="B756" s="477" t="s">
        <v>3295</v>
      </c>
      <c r="C756" s="478"/>
      <c r="D756" s="477"/>
      <c r="E756" s="479">
        <v>134432.19</v>
      </c>
      <c r="F756" s="479">
        <v>134432.19</v>
      </c>
      <c r="G756" s="479">
        <v>134432.19</v>
      </c>
      <c r="H756" s="1557">
        <v>134432.19</v>
      </c>
      <c r="I756" s="480">
        <v>100</v>
      </c>
      <c r="J756" s="830">
        <v>134.43218999999999</v>
      </c>
    </row>
    <row r="757" spans="1:10" ht="76.5" outlineLevel="4">
      <c r="A757" s="832" t="s">
        <v>156</v>
      </c>
      <c r="B757" s="482" t="s">
        <v>3295</v>
      </c>
      <c r="C757" s="831" t="s">
        <v>3240</v>
      </c>
      <c r="D757" s="482" t="s">
        <v>717</v>
      </c>
      <c r="E757" s="484">
        <v>134432.19</v>
      </c>
      <c r="F757" s="484">
        <v>134432.19</v>
      </c>
      <c r="G757" s="484">
        <v>134432.19</v>
      </c>
      <c r="H757" s="484">
        <v>134432.19</v>
      </c>
      <c r="I757" s="480">
        <v>100</v>
      </c>
    </row>
    <row r="758" spans="1:10" ht="25.5" outlineLevel="3">
      <c r="A758" s="833" t="s">
        <v>713</v>
      </c>
      <c r="B758" s="477" t="s">
        <v>3291</v>
      </c>
      <c r="C758" s="478"/>
      <c r="D758" s="477"/>
      <c r="E758" s="479">
        <v>69737588.670000002</v>
      </c>
      <c r="F758" s="479">
        <v>69737588.670000002</v>
      </c>
      <c r="G758" s="479">
        <v>67818010</v>
      </c>
      <c r="H758" s="1557">
        <v>67818010</v>
      </c>
      <c r="I758" s="480">
        <v>97.25</v>
      </c>
    </row>
    <row r="759" spans="1:10" ht="25.5" outlineLevel="4">
      <c r="A759" s="832" t="s">
        <v>713</v>
      </c>
      <c r="B759" s="482" t="s">
        <v>3291</v>
      </c>
      <c r="C759" s="831" t="s">
        <v>3240</v>
      </c>
      <c r="D759" s="482" t="s">
        <v>717</v>
      </c>
      <c r="E759" s="484">
        <v>69737588.670000002</v>
      </c>
      <c r="F759" s="484">
        <v>69737588.670000002</v>
      </c>
      <c r="G759" s="484">
        <v>67818010</v>
      </c>
      <c r="H759" s="484">
        <v>67818010</v>
      </c>
      <c r="I759" s="480">
        <v>97.25</v>
      </c>
    </row>
    <row r="760" spans="1:10" ht="76.5" outlineLevel="2">
      <c r="A760" s="850" t="s">
        <v>3289</v>
      </c>
      <c r="B760" s="472" t="s">
        <v>3288</v>
      </c>
      <c r="C760" s="473"/>
      <c r="D760" s="472"/>
      <c r="E760" s="474">
        <v>47800000</v>
      </c>
      <c r="F760" s="474">
        <v>47800000</v>
      </c>
      <c r="G760" s="474">
        <v>32770630.739999998</v>
      </c>
      <c r="H760" s="474">
        <v>31877530.739999998</v>
      </c>
      <c r="I760" s="475">
        <v>66.69</v>
      </c>
    </row>
    <row r="761" spans="1:10" ht="76.5" outlineLevel="3">
      <c r="A761" s="833" t="s">
        <v>1324</v>
      </c>
      <c r="B761" s="477" t="s">
        <v>3287</v>
      </c>
      <c r="C761" s="478"/>
      <c r="D761" s="477"/>
      <c r="E761" s="479">
        <v>47800000</v>
      </c>
      <c r="F761" s="479">
        <v>47800000</v>
      </c>
      <c r="G761" s="479">
        <v>32770630.739999998</v>
      </c>
      <c r="H761" s="479">
        <v>31877530.739999998</v>
      </c>
      <c r="I761" s="480">
        <v>66.69</v>
      </c>
    </row>
    <row r="762" spans="1:10" ht="76.5" outlineLevel="4">
      <c r="A762" s="832" t="s">
        <v>1324</v>
      </c>
      <c r="B762" s="482" t="s">
        <v>3287</v>
      </c>
      <c r="C762" s="831" t="s">
        <v>3240</v>
      </c>
      <c r="D762" s="482" t="s">
        <v>717</v>
      </c>
      <c r="E762" s="484">
        <v>47800000</v>
      </c>
      <c r="F762" s="484">
        <v>47800000</v>
      </c>
      <c r="G762" s="484">
        <v>32770630.739999998</v>
      </c>
      <c r="H762" s="484">
        <v>31877530.739999998</v>
      </c>
      <c r="I762" s="480">
        <v>66.69</v>
      </c>
      <c r="J762" s="830">
        <v>31877.530739999998</v>
      </c>
    </row>
    <row r="763" spans="1:10" ht="25.5" outlineLevel="2">
      <c r="A763" s="850" t="s">
        <v>3256</v>
      </c>
      <c r="B763" s="472" t="s">
        <v>3285</v>
      </c>
      <c r="C763" s="473"/>
      <c r="D763" s="472"/>
      <c r="E763" s="474">
        <v>11802748.26</v>
      </c>
      <c r="F763" s="474">
        <v>11802748.26</v>
      </c>
      <c r="G763" s="474">
        <v>11796051.390000001</v>
      </c>
      <c r="H763" s="474">
        <v>11796051.390000001</v>
      </c>
      <c r="I763" s="475">
        <v>99.94</v>
      </c>
    </row>
    <row r="764" spans="1:10" ht="25.5" outlineLevel="3">
      <c r="A764" s="833" t="s">
        <v>3284</v>
      </c>
      <c r="B764" s="477" t="s">
        <v>3283</v>
      </c>
      <c r="C764" s="478"/>
      <c r="D764" s="477"/>
      <c r="E764" s="479">
        <v>4128297.87</v>
      </c>
      <c r="F764" s="479">
        <v>4128297.87</v>
      </c>
      <c r="G764" s="479">
        <v>4121601</v>
      </c>
      <c r="H764" s="479">
        <v>4121601</v>
      </c>
      <c r="I764" s="480">
        <v>99.84</v>
      </c>
    </row>
    <row r="765" spans="1:10" ht="25.5" outlineLevel="4">
      <c r="A765" s="832" t="s">
        <v>3284</v>
      </c>
      <c r="B765" s="482" t="s">
        <v>3283</v>
      </c>
      <c r="C765" s="831" t="s">
        <v>3240</v>
      </c>
      <c r="D765" s="482" t="s">
        <v>717</v>
      </c>
      <c r="E765" s="484">
        <v>4128297.87</v>
      </c>
      <c r="F765" s="484">
        <v>4128297.87</v>
      </c>
      <c r="G765" s="484">
        <v>4121601</v>
      </c>
      <c r="H765" s="484">
        <v>4121601</v>
      </c>
      <c r="I765" s="480">
        <v>99.84</v>
      </c>
    </row>
    <row r="766" spans="1:10" ht="102" outlineLevel="3">
      <c r="A766" s="833" t="s">
        <v>3281</v>
      </c>
      <c r="B766" s="477" t="s">
        <v>3280</v>
      </c>
      <c r="C766" s="478"/>
      <c r="D766" s="477"/>
      <c r="E766" s="479">
        <v>7674450.3899999997</v>
      </c>
      <c r="F766" s="479">
        <v>7674450.3899999997</v>
      </c>
      <c r="G766" s="479">
        <v>7674450.3899999997</v>
      </c>
      <c r="H766" s="479">
        <v>7674450.3899999997</v>
      </c>
      <c r="I766" s="480">
        <v>100</v>
      </c>
    </row>
    <row r="767" spans="1:10" ht="102" outlineLevel="4">
      <c r="A767" s="832" t="s">
        <v>3281</v>
      </c>
      <c r="B767" s="482" t="s">
        <v>3280</v>
      </c>
      <c r="C767" s="831" t="s">
        <v>3240</v>
      </c>
      <c r="D767" s="482" t="s">
        <v>717</v>
      </c>
      <c r="E767" s="484">
        <v>7674450.3899999997</v>
      </c>
      <c r="F767" s="484">
        <v>7674450.3899999997</v>
      </c>
      <c r="G767" s="484">
        <v>7674450.3899999997</v>
      </c>
      <c r="H767" s="484">
        <v>7674450.3899999997</v>
      </c>
      <c r="I767" s="480">
        <v>100</v>
      </c>
    </row>
    <row r="768" spans="1:10" ht="25.5" outlineLevel="1">
      <c r="A768" s="851" t="s">
        <v>1326</v>
      </c>
      <c r="B768" s="467" t="s">
        <v>3278</v>
      </c>
      <c r="C768" s="468"/>
      <c r="D768" s="467"/>
      <c r="E768" s="469">
        <v>616947252.13</v>
      </c>
      <c r="F768" s="469">
        <v>600619954.33000004</v>
      </c>
      <c r="G768" s="469">
        <v>340940323.25999999</v>
      </c>
      <c r="H768" s="469">
        <v>210463723.25999999</v>
      </c>
      <c r="I768" s="470">
        <v>34.11</v>
      </c>
    </row>
    <row r="769" spans="1:9" ht="51" outlineLevel="2">
      <c r="A769" s="850" t="s">
        <v>1328</v>
      </c>
      <c r="B769" s="472" t="s">
        <v>4220</v>
      </c>
      <c r="C769" s="473"/>
      <c r="D769" s="472"/>
      <c r="E769" s="474">
        <v>11363210.130000001</v>
      </c>
      <c r="F769" s="474">
        <v>11363210.130000001</v>
      </c>
      <c r="G769" s="474">
        <v>8370710.1299999999</v>
      </c>
      <c r="H769" s="474">
        <v>8370710.1299999999</v>
      </c>
      <c r="I769" s="475">
        <v>73.67</v>
      </c>
    </row>
    <row r="770" spans="1:9" ht="38.25" outlineLevel="3">
      <c r="A770" s="833" t="s">
        <v>982</v>
      </c>
      <c r="B770" s="477" t="s">
        <v>4221</v>
      </c>
      <c r="C770" s="478"/>
      <c r="D770" s="477"/>
      <c r="E770" s="479">
        <v>11363210.130000001</v>
      </c>
      <c r="F770" s="479">
        <v>11363210.130000001</v>
      </c>
      <c r="G770" s="479">
        <v>8370710.1299999999</v>
      </c>
      <c r="H770" s="479">
        <v>8370710.1299999999</v>
      </c>
      <c r="I770" s="480">
        <v>73.67</v>
      </c>
    </row>
    <row r="771" spans="1:9" ht="38.25" outlineLevel="4">
      <c r="A771" s="832" t="s">
        <v>982</v>
      </c>
      <c r="B771" s="482" t="s">
        <v>4221</v>
      </c>
      <c r="C771" s="831" t="s">
        <v>803</v>
      </c>
      <c r="D771" s="482" t="s">
        <v>804</v>
      </c>
      <c r="E771" s="484">
        <v>11363210.130000001</v>
      </c>
      <c r="F771" s="484">
        <v>11363210.130000001</v>
      </c>
      <c r="G771" s="484">
        <v>8370710.1299999999</v>
      </c>
      <c r="H771" s="484">
        <v>8370710.1299999999</v>
      </c>
      <c r="I771" s="480">
        <v>73.67</v>
      </c>
    </row>
    <row r="772" spans="1:9" ht="63.75" outlineLevel="2">
      <c r="A772" s="850" t="s">
        <v>1334</v>
      </c>
      <c r="B772" s="472" t="s">
        <v>3277</v>
      </c>
      <c r="C772" s="473"/>
      <c r="D772" s="472"/>
      <c r="E772" s="474">
        <v>127462551.72</v>
      </c>
      <c r="F772" s="474">
        <v>111135253.92</v>
      </c>
      <c r="G772" s="474">
        <v>37854443.049999997</v>
      </c>
      <c r="H772" s="474">
        <v>37854443.049999997</v>
      </c>
      <c r="I772" s="475">
        <v>29.7</v>
      </c>
    </row>
    <row r="773" spans="1:9" ht="25.5" outlineLevel="3">
      <c r="A773" s="833" t="s">
        <v>713</v>
      </c>
      <c r="B773" s="477" t="s">
        <v>4222</v>
      </c>
      <c r="C773" s="478"/>
      <c r="D773" s="477"/>
      <c r="E773" s="479">
        <v>4306473</v>
      </c>
      <c r="F773" s="479">
        <v>4306473</v>
      </c>
      <c r="G773" s="479">
        <v>0</v>
      </c>
      <c r="H773" s="479">
        <v>0</v>
      </c>
      <c r="I773" s="480">
        <v>0</v>
      </c>
    </row>
    <row r="774" spans="1:9" ht="25.5" outlineLevel="4">
      <c r="A774" s="832" t="s">
        <v>713</v>
      </c>
      <c r="B774" s="482" t="s">
        <v>4222</v>
      </c>
      <c r="C774" s="831" t="s">
        <v>803</v>
      </c>
      <c r="D774" s="482" t="s">
        <v>804</v>
      </c>
      <c r="E774" s="484">
        <v>4306473</v>
      </c>
      <c r="F774" s="484">
        <v>4306473</v>
      </c>
      <c r="G774" s="484">
        <v>0</v>
      </c>
      <c r="H774" s="484">
        <v>0</v>
      </c>
      <c r="I774" s="480">
        <v>0</v>
      </c>
    </row>
    <row r="775" spans="1:9" ht="25.5" outlineLevel="3">
      <c r="A775" s="833" t="s">
        <v>3274</v>
      </c>
      <c r="B775" s="477" t="s">
        <v>3276</v>
      </c>
      <c r="C775" s="478"/>
      <c r="D775" s="477"/>
      <c r="E775" s="479">
        <v>4400000</v>
      </c>
      <c r="F775" s="479">
        <v>0</v>
      </c>
      <c r="G775" s="479">
        <v>0</v>
      </c>
      <c r="H775" s="479">
        <v>0</v>
      </c>
      <c r="I775" s="480">
        <v>0</v>
      </c>
    </row>
    <row r="776" spans="1:9" ht="25.5" outlineLevel="4">
      <c r="A776" s="832" t="s">
        <v>3274</v>
      </c>
      <c r="B776" s="482" t="s">
        <v>3276</v>
      </c>
      <c r="C776" s="831" t="s">
        <v>3240</v>
      </c>
      <c r="D776" s="482" t="s">
        <v>717</v>
      </c>
      <c r="E776" s="484">
        <v>4400000</v>
      </c>
      <c r="F776" s="484">
        <v>0</v>
      </c>
      <c r="G776" s="484">
        <v>0</v>
      </c>
      <c r="H776" s="484">
        <v>0</v>
      </c>
      <c r="I776" s="480">
        <v>0</v>
      </c>
    </row>
    <row r="777" spans="1:9" ht="38.25" outlineLevel="3">
      <c r="A777" s="833" t="s">
        <v>3273</v>
      </c>
      <c r="B777" s="477" t="s">
        <v>3272</v>
      </c>
      <c r="C777" s="478"/>
      <c r="D777" s="477"/>
      <c r="E777" s="479">
        <v>11927297.800000001</v>
      </c>
      <c r="F777" s="479">
        <v>0</v>
      </c>
      <c r="G777" s="479">
        <v>0</v>
      </c>
      <c r="H777" s="479">
        <v>0</v>
      </c>
      <c r="I777" s="480">
        <v>0</v>
      </c>
    </row>
    <row r="778" spans="1:9" ht="38.25" outlineLevel="4">
      <c r="A778" s="832" t="s">
        <v>3273</v>
      </c>
      <c r="B778" s="482" t="s">
        <v>3272</v>
      </c>
      <c r="C778" s="831" t="s">
        <v>3240</v>
      </c>
      <c r="D778" s="482" t="s">
        <v>717</v>
      </c>
      <c r="E778" s="484">
        <v>11927297.800000001</v>
      </c>
      <c r="F778" s="484">
        <v>0</v>
      </c>
      <c r="G778" s="484">
        <v>0</v>
      </c>
      <c r="H778" s="484">
        <v>0</v>
      </c>
      <c r="I778" s="480">
        <v>0</v>
      </c>
    </row>
    <row r="779" spans="1:9" ht="51" outlineLevel="3">
      <c r="A779" s="833" t="s">
        <v>1338</v>
      </c>
      <c r="B779" s="477" t="s">
        <v>3269</v>
      </c>
      <c r="C779" s="478"/>
      <c r="D779" s="477"/>
      <c r="E779" s="479">
        <v>106828780.92</v>
      </c>
      <c r="F779" s="479">
        <v>106828780.92</v>
      </c>
      <c r="G779" s="479">
        <v>37854443.049999997</v>
      </c>
      <c r="H779" s="479">
        <v>37854443.049999997</v>
      </c>
      <c r="I779" s="480">
        <v>35.43</v>
      </c>
    </row>
    <row r="780" spans="1:9" ht="51" outlineLevel="4">
      <c r="A780" s="832" t="s">
        <v>1338</v>
      </c>
      <c r="B780" s="482" t="s">
        <v>3269</v>
      </c>
      <c r="C780" s="831" t="s">
        <v>3240</v>
      </c>
      <c r="D780" s="482" t="s">
        <v>717</v>
      </c>
      <c r="E780" s="484">
        <v>18347957.699999999</v>
      </c>
      <c r="F780" s="484">
        <v>18347957.699999999</v>
      </c>
      <c r="G780" s="484">
        <v>0</v>
      </c>
      <c r="H780" s="484">
        <v>0</v>
      </c>
      <c r="I780" s="480">
        <v>0</v>
      </c>
    </row>
    <row r="781" spans="1:9" ht="51" outlineLevel="4">
      <c r="A781" s="832" t="s">
        <v>1338</v>
      </c>
      <c r="B781" s="482" t="s">
        <v>3269</v>
      </c>
      <c r="C781" s="831" t="s">
        <v>803</v>
      </c>
      <c r="D781" s="482" t="s">
        <v>804</v>
      </c>
      <c r="E781" s="484">
        <v>88480823.219999999</v>
      </c>
      <c r="F781" s="484">
        <v>88480823.219999999</v>
      </c>
      <c r="G781" s="484">
        <v>37854443.049999997</v>
      </c>
      <c r="H781" s="484">
        <v>37854443.049999997</v>
      </c>
      <c r="I781" s="480">
        <v>42.78</v>
      </c>
    </row>
    <row r="782" spans="1:9" ht="63.75" outlineLevel="2">
      <c r="A782" s="850" t="s">
        <v>3267</v>
      </c>
      <c r="B782" s="472" t="s">
        <v>3266</v>
      </c>
      <c r="C782" s="473"/>
      <c r="D782" s="472"/>
      <c r="E782" s="474">
        <v>7025221.1299999999</v>
      </c>
      <c r="F782" s="474">
        <v>7025221.1299999999</v>
      </c>
      <c r="G782" s="474">
        <v>5671830.4199999999</v>
      </c>
      <c r="H782" s="474">
        <v>5671830.4199999999</v>
      </c>
      <c r="I782" s="475">
        <v>80.739999999999995</v>
      </c>
    </row>
    <row r="783" spans="1:9" ht="51" outlineLevel="3">
      <c r="A783" s="833" t="s">
        <v>3265</v>
      </c>
      <c r="B783" s="477" t="s">
        <v>3264</v>
      </c>
      <c r="C783" s="478"/>
      <c r="D783" s="477"/>
      <c r="E783" s="479">
        <v>7025221.1299999999</v>
      </c>
      <c r="F783" s="479">
        <v>7025221.1299999999</v>
      </c>
      <c r="G783" s="479">
        <v>5671830.4199999999</v>
      </c>
      <c r="H783" s="479">
        <v>5671830.4199999999</v>
      </c>
      <c r="I783" s="480">
        <v>80.739999999999995</v>
      </c>
    </row>
    <row r="784" spans="1:9" ht="51" outlineLevel="4">
      <c r="A784" s="832" t="s">
        <v>3265</v>
      </c>
      <c r="B784" s="482" t="s">
        <v>3264</v>
      </c>
      <c r="C784" s="831" t="s">
        <v>3240</v>
      </c>
      <c r="D784" s="482" t="s">
        <v>717</v>
      </c>
      <c r="E784" s="484">
        <v>7025221.1299999999</v>
      </c>
      <c r="F784" s="484">
        <v>7025221.1299999999</v>
      </c>
      <c r="G784" s="484">
        <v>5671830.4199999999</v>
      </c>
      <c r="H784" s="484">
        <v>5671830.4199999999</v>
      </c>
      <c r="I784" s="480">
        <v>80.739999999999995</v>
      </c>
    </row>
    <row r="785" spans="1:9" ht="51" outlineLevel="2">
      <c r="A785" s="850" t="s">
        <v>3262</v>
      </c>
      <c r="B785" s="472" t="s">
        <v>3261</v>
      </c>
      <c r="C785" s="473"/>
      <c r="D785" s="472"/>
      <c r="E785" s="474">
        <v>304029700</v>
      </c>
      <c r="F785" s="474">
        <v>304029700</v>
      </c>
      <c r="G785" s="474">
        <v>180476600</v>
      </c>
      <c r="H785" s="474">
        <v>50000000</v>
      </c>
      <c r="I785" s="475">
        <v>16.45</v>
      </c>
    </row>
    <row r="786" spans="1:9" ht="76.5" outlineLevel="3">
      <c r="A786" s="833" t="s">
        <v>4223</v>
      </c>
      <c r="B786" s="477" t="s">
        <v>4224</v>
      </c>
      <c r="C786" s="478"/>
      <c r="D786" s="477"/>
      <c r="E786" s="479">
        <v>6710000</v>
      </c>
      <c r="F786" s="479">
        <v>6710000</v>
      </c>
      <c r="G786" s="479">
        <v>0</v>
      </c>
      <c r="H786" s="479">
        <v>0</v>
      </c>
      <c r="I786" s="480">
        <v>0</v>
      </c>
    </row>
    <row r="787" spans="1:9" ht="76.5" outlineLevel="4">
      <c r="A787" s="832" t="s">
        <v>4223</v>
      </c>
      <c r="B787" s="482" t="s">
        <v>4224</v>
      </c>
      <c r="C787" s="831" t="s">
        <v>803</v>
      </c>
      <c r="D787" s="482" t="s">
        <v>804</v>
      </c>
      <c r="E787" s="484">
        <v>6710000</v>
      </c>
      <c r="F787" s="484">
        <v>6710000</v>
      </c>
      <c r="G787" s="484">
        <v>0</v>
      </c>
      <c r="H787" s="484">
        <v>0</v>
      </c>
      <c r="I787" s="480">
        <v>0</v>
      </c>
    </row>
    <row r="788" spans="1:9" ht="63.75" outlineLevel="3">
      <c r="A788" s="833" t="s">
        <v>3260</v>
      </c>
      <c r="B788" s="477" t="s">
        <v>3259</v>
      </c>
      <c r="C788" s="478"/>
      <c r="D788" s="477"/>
      <c r="E788" s="479">
        <v>297319700</v>
      </c>
      <c r="F788" s="479">
        <v>297319700</v>
      </c>
      <c r="G788" s="479">
        <v>180476600</v>
      </c>
      <c r="H788" s="479">
        <v>50000000</v>
      </c>
      <c r="I788" s="480">
        <v>16.82</v>
      </c>
    </row>
    <row r="789" spans="1:9" ht="63.75" outlineLevel="4">
      <c r="A789" s="832" t="s">
        <v>3260</v>
      </c>
      <c r="B789" s="482" t="s">
        <v>3259</v>
      </c>
      <c r="C789" s="831" t="s">
        <v>803</v>
      </c>
      <c r="D789" s="482" t="s">
        <v>804</v>
      </c>
      <c r="E789" s="484">
        <v>297319700</v>
      </c>
      <c r="F789" s="484">
        <v>297319700</v>
      </c>
      <c r="G789" s="484">
        <v>180476600</v>
      </c>
      <c r="H789" s="484">
        <v>50000000</v>
      </c>
      <c r="I789" s="480">
        <v>16.82</v>
      </c>
    </row>
    <row r="790" spans="1:9" ht="51" outlineLevel="2">
      <c r="A790" s="850" t="s">
        <v>4225</v>
      </c>
      <c r="B790" s="472" t="s">
        <v>4226</v>
      </c>
      <c r="C790" s="473"/>
      <c r="D790" s="472"/>
      <c r="E790" s="474">
        <v>28000000</v>
      </c>
      <c r="F790" s="474">
        <v>28000000</v>
      </c>
      <c r="G790" s="474">
        <v>0</v>
      </c>
      <c r="H790" s="474">
        <v>0</v>
      </c>
      <c r="I790" s="475">
        <v>0</v>
      </c>
    </row>
    <row r="791" spans="1:9" ht="38.25" outlineLevel="3">
      <c r="A791" s="833" t="s">
        <v>982</v>
      </c>
      <c r="B791" s="477" t="s">
        <v>4227</v>
      </c>
      <c r="C791" s="478"/>
      <c r="D791" s="477"/>
      <c r="E791" s="479">
        <v>28000000</v>
      </c>
      <c r="F791" s="479">
        <v>28000000</v>
      </c>
      <c r="G791" s="479">
        <v>0</v>
      </c>
      <c r="H791" s="479">
        <v>0</v>
      </c>
      <c r="I791" s="480">
        <v>0</v>
      </c>
    </row>
    <row r="792" spans="1:9" ht="38.25" outlineLevel="4">
      <c r="A792" s="832" t="s">
        <v>982</v>
      </c>
      <c r="B792" s="482" t="s">
        <v>4227</v>
      </c>
      <c r="C792" s="831" t="s">
        <v>803</v>
      </c>
      <c r="D792" s="482" t="s">
        <v>804</v>
      </c>
      <c r="E792" s="484">
        <v>28000000</v>
      </c>
      <c r="F792" s="484">
        <v>28000000</v>
      </c>
      <c r="G792" s="484">
        <v>0</v>
      </c>
      <c r="H792" s="484">
        <v>0</v>
      </c>
      <c r="I792" s="480">
        <v>0</v>
      </c>
    </row>
    <row r="793" spans="1:9" ht="25.5" outlineLevel="2">
      <c r="A793" s="850" t="s">
        <v>3256</v>
      </c>
      <c r="B793" s="472" t="s">
        <v>3255</v>
      </c>
      <c r="C793" s="473"/>
      <c r="D793" s="472"/>
      <c r="E793" s="474">
        <v>139066569.15000001</v>
      </c>
      <c r="F793" s="474">
        <v>139066569.15000001</v>
      </c>
      <c r="G793" s="474">
        <v>108566739.66</v>
      </c>
      <c r="H793" s="474">
        <v>108566739.66</v>
      </c>
      <c r="I793" s="475">
        <v>78.069999999999993</v>
      </c>
    </row>
    <row r="794" spans="1:9" ht="25.5" outlineLevel="3">
      <c r="A794" s="833" t="s">
        <v>713</v>
      </c>
      <c r="B794" s="477" t="s">
        <v>3254</v>
      </c>
      <c r="C794" s="478"/>
      <c r="D794" s="477"/>
      <c r="E794" s="479">
        <v>3950250</v>
      </c>
      <c r="F794" s="479">
        <v>3950250</v>
      </c>
      <c r="G794" s="479">
        <v>3950250</v>
      </c>
      <c r="H794" s="479">
        <v>3950250</v>
      </c>
      <c r="I794" s="480">
        <v>100</v>
      </c>
    </row>
    <row r="795" spans="1:9" ht="25.5" outlineLevel="4">
      <c r="A795" s="832" t="s">
        <v>713</v>
      </c>
      <c r="B795" s="482" t="s">
        <v>3254</v>
      </c>
      <c r="C795" s="831" t="s">
        <v>3240</v>
      </c>
      <c r="D795" s="482" t="s">
        <v>717</v>
      </c>
      <c r="E795" s="484">
        <v>3950250</v>
      </c>
      <c r="F795" s="484">
        <v>3950250</v>
      </c>
      <c r="G795" s="484">
        <v>3950250</v>
      </c>
      <c r="H795" s="484">
        <v>3950250</v>
      </c>
      <c r="I795" s="480">
        <v>100</v>
      </c>
    </row>
    <row r="796" spans="1:9" ht="63.75" outlineLevel="3">
      <c r="A796" s="833" t="s">
        <v>4228</v>
      </c>
      <c r="B796" s="477" t="s">
        <v>4229</v>
      </c>
      <c r="C796" s="478"/>
      <c r="D796" s="477"/>
      <c r="E796" s="479">
        <v>135116319.15000001</v>
      </c>
      <c r="F796" s="479">
        <v>135116319.15000001</v>
      </c>
      <c r="G796" s="479">
        <v>104616489.66</v>
      </c>
      <c r="H796" s="479">
        <v>104616489.66</v>
      </c>
      <c r="I796" s="480">
        <v>77.430000000000007</v>
      </c>
    </row>
    <row r="797" spans="1:9" ht="63.75" outlineLevel="4">
      <c r="A797" s="832" t="s">
        <v>4228</v>
      </c>
      <c r="B797" s="482" t="s">
        <v>4229</v>
      </c>
      <c r="C797" s="831" t="s">
        <v>803</v>
      </c>
      <c r="D797" s="482" t="s">
        <v>804</v>
      </c>
      <c r="E797" s="484">
        <v>135116319.15000001</v>
      </c>
      <c r="F797" s="484">
        <v>135116319.15000001</v>
      </c>
      <c r="G797" s="484">
        <v>104616489.66</v>
      </c>
      <c r="H797" s="484">
        <v>104616489.66</v>
      </c>
      <c r="I797" s="480">
        <v>77.430000000000007</v>
      </c>
    </row>
    <row r="798" spans="1:9" ht="38.25" outlineLevel="1">
      <c r="A798" s="851" t="s">
        <v>1019</v>
      </c>
      <c r="B798" s="467" t="s">
        <v>3251</v>
      </c>
      <c r="C798" s="468"/>
      <c r="D798" s="467"/>
      <c r="E798" s="469">
        <v>54796043.090000004</v>
      </c>
      <c r="F798" s="469">
        <v>52109589.890000001</v>
      </c>
      <c r="G798" s="469">
        <v>36129157.890000001</v>
      </c>
      <c r="H798" s="469">
        <v>35563528.549999997</v>
      </c>
      <c r="I798" s="470">
        <v>64.900000000000006</v>
      </c>
    </row>
    <row r="799" spans="1:9" ht="51" outlineLevel="2">
      <c r="A799" s="850" t="s">
        <v>1346</v>
      </c>
      <c r="B799" s="472" t="s">
        <v>3250</v>
      </c>
      <c r="C799" s="473"/>
      <c r="D799" s="472"/>
      <c r="E799" s="474">
        <v>54796043.090000004</v>
      </c>
      <c r="F799" s="474">
        <v>52109589.890000001</v>
      </c>
      <c r="G799" s="474">
        <v>36129157.890000001</v>
      </c>
      <c r="H799" s="474">
        <v>35563528.549999997</v>
      </c>
      <c r="I799" s="475">
        <v>64.900000000000006</v>
      </c>
    </row>
    <row r="800" spans="1:9" ht="25.5" outlineLevel="3">
      <c r="A800" s="833" t="s">
        <v>873</v>
      </c>
      <c r="B800" s="477" t="s">
        <v>3249</v>
      </c>
      <c r="C800" s="478"/>
      <c r="D800" s="477"/>
      <c r="E800" s="479">
        <v>49459799.810000002</v>
      </c>
      <c r="F800" s="479">
        <v>46773346.609999999</v>
      </c>
      <c r="G800" s="479">
        <v>33307424.239999998</v>
      </c>
      <c r="H800" s="479">
        <v>32759994.969999999</v>
      </c>
      <c r="I800" s="480">
        <v>66.239999999999995</v>
      </c>
    </row>
    <row r="801" spans="1:9" ht="25.5" outlineLevel="4">
      <c r="A801" s="832" t="s">
        <v>873</v>
      </c>
      <c r="B801" s="482" t="s">
        <v>3249</v>
      </c>
      <c r="C801" s="831" t="s">
        <v>3240</v>
      </c>
      <c r="D801" s="482" t="s">
        <v>717</v>
      </c>
      <c r="E801" s="484">
        <v>49459799.810000002</v>
      </c>
      <c r="F801" s="484">
        <v>46773346.609999999</v>
      </c>
      <c r="G801" s="484">
        <v>33307424.239999998</v>
      </c>
      <c r="H801" s="484">
        <v>32759994.969999999</v>
      </c>
      <c r="I801" s="480">
        <v>66.239999999999995</v>
      </c>
    </row>
    <row r="802" spans="1:9" ht="38.25" outlineLevel="3">
      <c r="A802" s="833" t="s">
        <v>854</v>
      </c>
      <c r="B802" s="477" t="s">
        <v>3248</v>
      </c>
      <c r="C802" s="478"/>
      <c r="D802" s="477"/>
      <c r="E802" s="479">
        <v>4957943.28</v>
      </c>
      <c r="F802" s="479">
        <v>4957943.28</v>
      </c>
      <c r="G802" s="479">
        <v>2656548.0499999998</v>
      </c>
      <c r="H802" s="479">
        <v>2656373.31</v>
      </c>
      <c r="I802" s="480">
        <v>53.58</v>
      </c>
    </row>
    <row r="803" spans="1:9" ht="38.25" outlineLevel="4">
      <c r="A803" s="832" t="s">
        <v>854</v>
      </c>
      <c r="B803" s="482" t="s">
        <v>3248</v>
      </c>
      <c r="C803" s="831" t="s">
        <v>3240</v>
      </c>
      <c r="D803" s="482" t="s">
        <v>717</v>
      </c>
      <c r="E803" s="484">
        <v>4957943.28</v>
      </c>
      <c r="F803" s="484">
        <v>4957943.28</v>
      </c>
      <c r="G803" s="484">
        <v>2656548.0499999998</v>
      </c>
      <c r="H803" s="484">
        <v>2656373.31</v>
      </c>
      <c r="I803" s="480">
        <v>53.58</v>
      </c>
    </row>
    <row r="804" spans="1:9" ht="63.75" outlineLevel="3">
      <c r="A804" s="833" t="s">
        <v>62</v>
      </c>
      <c r="B804" s="477" t="s">
        <v>3247</v>
      </c>
      <c r="C804" s="478"/>
      <c r="D804" s="477"/>
      <c r="E804" s="479">
        <v>378300</v>
      </c>
      <c r="F804" s="479">
        <v>378300</v>
      </c>
      <c r="G804" s="479">
        <v>165185.60000000001</v>
      </c>
      <c r="H804" s="479">
        <v>147160.26999999999</v>
      </c>
      <c r="I804" s="480">
        <v>38.9</v>
      </c>
    </row>
    <row r="805" spans="1:9" ht="63.75" outlineLevel="4">
      <c r="A805" s="832" t="s">
        <v>62</v>
      </c>
      <c r="B805" s="482" t="s">
        <v>3247</v>
      </c>
      <c r="C805" s="831" t="s">
        <v>3240</v>
      </c>
      <c r="D805" s="482" t="s">
        <v>717</v>
      </c>
      <c r="E805" s="484">
        <v>378300</v>
      </c>
      <c r="F805" s="484">
        <v>378300</v>
      </c>
      <c r="G805" s="484">
        <v>165185.60000000001</v>
      </c>
      <c r="H805" s="484">
        <v>147160.26999999999</v>
      </c>
      <c r="I805" s="480">
        <v>38.9</v>
      </c>
    </row>
    <row r="806" spans="1:9" ht="30.75" thickBot="1">
      <c r="A806" s="854" t="s">
        <v>4230</v>
      </c>
      <c r="B806" s="853" t="s">
        <v>4231</v>
      </c>
      <c r="C806" s="463"/>
      <c r="D806" s="853"/>
      <c r="E806" s="852">
        <v>2936865541.5</v>
      </c>
      <c r="F806" s="852">
        <v>2900983600.4200001</v>
      </c>
      <c r="G806" s="852">
        <v>1767689466.0599999</v>
      </c>
      <c r="H806" s="852">
        <v>1725687611.0799999</v>
      </c>
      <c r="I806" s="465">
        <v>58.76</v>
      </c>
    </row>
    <row r="807" spans="1:9" hidden="1" outlineLevel="1">
      <c r="A807" s="851" t="s">
        <v>1353</v>
      </c>
      <c r="B807" s="467" t="s">
        <v>4232</v>
      </c>
      <c r="C807" s="468"/>
      <c r="D807" s="467"/>
      <c r="E807" s="469">
        <v>454637451.22000003</v>
      </c>
      <c r="F807" s="469">
        <v>450407149.60000002</v>
      </c>
      <c r="G807" s="469">
        <v>274763710.43000001</v>
      </c>
      <c r="H807" s="469">
        <v>266190770.30000001</v>
      </c>
      <c r="I807" s="470">
        <v>58.55</v>
      </c>
    </row>
    <row r="808" spans="1:9" ht="127.5" hidden="1" outlineLevel="2">
      <c r="A808" s="850" t="s">
        <v>4233</v>
      </c>
      <c r="B808" s="472" t="s">
        <v>4234</v>
      </c>
      <c r="C808" s="473"/>
      <c r="D808" s="472"/>
      <c r="E808" s="474">
        <v>3210121.6</v>
      </c>
      <c r="F808" s="474">
        <v>2700000</v>
      </c>
      <c r="G808" s="474">
        <v>0</v>
      </c>
      <c r="H808" s="474">
        <v>0</v>
      </c>
      <c r="I808" s="475">
        <v>0</v>
      </c>
    </row>
    <row r="809" spans="1:9" ht="76.5" hidden="1" outlineLevel="3">
      <c r="A809" s="833" t="s">
        <v>702</v>
      </c>
      <c r="B809" s="477" t="s">
        <v>4235</v>
      </c>
      <c r="C809" s="478"/>
      <c r="D809" s="477"/>
      <c r="E809" s="479">
        <v>3210121.6</v>
      </c>
      <c r="F809" s="479">
        <v>2700000</v>
      </c>
      <c r="G809" s="479">
        <v>0</v>
      </c>
      <c r="H809" s="479">
        <v>0</v>
      </c>
      <c r="I809" s="480">
        <v>0</v>
      </c>
    </row>
    <row r="810" spans="1:9" ht="76.5" hidden="1" outlineLevel="4">
      <c r="A810" s="832" t="s">
        <v>702</v>
      </c>
      <c r="B810" s="482" t="s">
        <v>4235</v>
      </c>
      <c r="C810" s="831" t="s">
        <v>896</v>
      </c>
      <c r="D810" s="482" t="s">
        <v>897</v>
      </c>
      <c r="E810" s="484">
        <v>3210121.6</v>
      </c>
      <c r="F810" s="484">
        <v>2700000</v>
      </c>
      <c r="G810" s="484">
        <v>0</v>
      </c>
      <c r="H810" s="484">
        <v>0</v>
      </c>
      <c r="I810" s="480">
        <v>0</v>
      </c>
    </row>
    <row r="811" spans="1:9" ht="63.75" hidden="1" outlineLevel="2">
      <c r="A811" s="850" t="s">
        <v>4236</v>
      </c>
      <c r="B811" s="472" t="s">
        <v>4237</v>
      </c>
      <c r="C811" s="473"/>
      <c r="D811" s="472"/>
      <c r="E811" s="474">
        <v>136677508.66</v>
      </c>
      <c r="F811" s="474">
        <v>132957328.64</v>
      </c>
      <c r="G811" s="474">
        <v>97567916.260000005</v>
      </c>
      <c r="H811" s="474">
        <v>88994976.129999995</v>
      </c>
      <c r="I811" s="475">
        <v>65.11</v>
      </c>
    </row>
    <row r="812" spans="1:9" ht="76.5" hidden="1" outlineLevel="3">
      <c r="A812" s="833" t="s">
        <v>702</v>
      </c>
      <c r="B812" s="477" t="s">
        <v>4238</v>
      </c>
      <c r="C812" s="478"/>
      <c r="D812" s="477"/>
      <c r="E812" s="479">
        <v>134928832.75999999</v>
      </c>
      <c r="F812" s="479">
        <v>131208652.73999999</v>
      </c>
      <c r="G812" s="479">
        <v>96328985.950000003</v>
      </c>
      <c r="H812" s="479">
        <v>87817810.280000001</v>
      </c>
      <c r="I812" s="480">
        <v>65.08</v>
      </c>
    </row>
    <row r="813" spans="1:9" ht="76.5" hidden="1" outlineLevel="4">
      <c r="A813" s="832" t="s">
        <v>702</v>
      </c>
      <c r="B813" s="482" t="s">
        <v>4238</v>
      </c>
      <c r="C813" s="831" t="s">
        <v>896</v>
      </c>
      <c r="D813" s="482" t="s">
        <v>897</v>
      </c>
      <c r="E813" s="484">
        <v>134928832.75999999</v>
      </c>
      <c r="F813" s="484">
        <v>131208652.73999999</v>
      </c>
      <c r="G813" s="484">
        <v>96328985.950000003</v>
      </c>
      <c r="H813" s="484">
        <v>87817810.280000001</v>
      </c>
      <c r="I813" s="480">
        <v>65.08</v>
      </c>
    </row>
    <row r="814" spans="1:9" ht="63.75" hidden="1" outlineLevel="3">
      <c r="A814" s="833" t="s">
        <v>62</v>
      </c>
      <c r="B814" s="477" t="s">
        <v>4239</v>
      </c>
      <c r="C814" s="478"/>
      <c r="D814" s="477"/>
      <c r="E814" s="479">
        <v>1565656.47</v>
      </c>
      <c r="F814" s="479">
        <v>1565656.47</v>
      </c>
      <c r="G814" s="479">
        <v>1055910.8799999999</v>
      </c>
      <c r="H814" s="479">
        <v>994146.42</v>
      </c>
      <c r="I814" s="480">
        <v>63.5</v>
      </c>
    </row>
    <row r="815" spans="1:9" ht="63.75" hidden="1" outlineLevel="4">
      <c r="A815" s="832" t="s">
        <v>62</v>
      </c>
      <c r="B815" s="482" t="s">
        <v>4239</v>
      </c>
      <c r="C815" s="831" t="s">
        <v>896</v>
      </c>
      <c r="D815" s="482" t="s">
        <v>897</v>
      </c>
      <c r="E815" s="484">
        <v>1565656.47</v>
      </c>
      <c r="F815" s="484">
        <v>1565656.47</v>
      </c>
      <c r="G815" s="484">
        <v>1055910.8799999999</v>
      </c>
      <c r="H815" s="484">
        <v>994146.42</v>
      </c>
      <c r="I815" s="480">
        <v>63.5</v>
      </c>
    </row>
    <row r="816" spans="1:9" ht="76.5" hidden="1" outlineLevel="3">
      <c r="A816" s="833" t="s">
        <v>156</v>
      </c>
      <c r="B816" s="477" t="s">
        <v>4240</v>
      </c>
      <c r="C816" s="478"/>
      <c r="D816" s="477"/>
      <c r="E816" s="479">
        <v>183019.43</v>
      </c>
      <c r="F816" s="479">
        <v>183019.43</v>
      </c>
      <c r="G816" s="479">
        <v>183019.43</v>
      </c>
      <c r="H816" s="479">
        <v>183019.43</v>
      </c>
      <c r="I816" s="480">
        <v>100</v>
      </c>
    </row>
    <row r="817" spans="1:9" ht="76.5" hidden="1" outlineLevel="4">
      <c r="A817" s="832" t="s">
        <v>156</v>
      </c>
      <c r="B817" s="482" t="s">
        <v>4240</v>
      </c>
      <c r="C817" s="831" t="s">
        <v>896</v>
      </c>
      <c r="D817" s="482" t="s">
        <v>897</v>
      </c>
      <c r="E817" s="484">
        <v>183019.43</v>
      </c>
      <c r="F817" s="484">
        <v>183019.43</v>
      </c>
      <c r="G817" s="484">
        <v>183019.43</v>
      </c>
      <c r="H817" s="484">
        <v>183019.43</v>
      </c>
      <c r="I817" s="480">
        <v>100</v>
      </c>
    </row>
    <row r="818" spans="1:9" ht="25.5" hidden="1" outlineLevel="2">
      <c r="A818" s="850" t="s">
        <v>4241</v>
      </c>
      <c r="B818" s="472" t="s">
        <v>4242</v>
      </c>
      <c r="C818" s="473"/>
      <c r="D818" s="472"/>
      <c r="E818" s="474">
        <v>217578258.75999999</v>
      </c>
      <c r="F818" s="474">
        <v>217578258.75999999</v>
      </c>
      <c r="G818" s="474">
        <v>150024231.97</v>
      </c>
      <c r="H818" s="474">
        <v>150024231.97</v>
      </c>
      <c r="I818" s="475">
        <v>68.95</v>
      </c>
    </row>
    <row r="819" spans="1:9" ht="76.5" hidden="1" outlineLevel="3">
      <c r="A819" s="833" t="s">
        <v>702</v>
      </c>
      <c r="B819" s="477" t="s">
        <v>4243</v>
      </c>
      <c r="C819" s="478"/>
      <c r="D819" s="477"/>
      <c r="E819" s="479">
        <v>217280905.80000001</v>
      </c>
      <c r="F819" s="479">
        <v>217280905.80000001</v>
      </c>
      <c r="G819" s="479">
        <v>149869161.59999999</v>
      </c>
      <c r="H819" s="479">
        <v>149869161.59999999</v>
      </c>
      <c r="I819" s="480">
        <v>68.97</v>
      </c>
    </row>
    <row r="820" spans="1:9" ht="76.5" hidden="1" outlineLevel="4">
      <c r="A820" s="832" t="s">
        <v>702</v>
      </c>
      <c r="B820" s="482" t="s">
        <v>4243</v>
      </c>
      <c r="C820" s="831" t="s">
        <v>896</v>
      </c>
      <c r="D820" s="482" t="s">
        <v>897</v>
      </c>
      <c r="E820" s="484">
        <v>217280905.80000001</v>
      </c>
      <c r="F820" s="484">
        <v>217280905.80000001</v>
      </c>
      <c r="G820" s="484">
        <v>149869161.59999999</v>
      </c>
      <c r="H820" s="484">
        <v>149869161.59999999</v>
      </c>
      <c r="I820" s="480">
        <v>68.97</v>
      </c>
    </row>
    <row r="821" spans="1:9" ht="140.25" hidden="1" outlineLevel="3">
      <c r="A821" s="833" t="s">
        <v>3759</v>
      </c>
      <c r="B821" s="477" t="s">
        <v>4244</v>
      </c>
      <c r="C821" s="478"/>
      <c r="D821" s="477"/>
      <c r="E821" s="479">
        <v>297352.96000000002</v>
      </c>
      <c r="F821" s="479">
        <v>297352.96000000002</v>
      </c>
      <c r="G821" s="479">
        <v>155070.37</v>
      </c>
      <c r="H821" s="479">
        <v>155070.37</v>
      </c>
      <c r="I821" s="480">
        <v>52.15</v>
      </c>
    </row>
    <row r="822" spans="1:9" ht="140.25" hidden="1" outlineLevel="4">
      <c r="A822" s="832" t="s">
        <v>3759</v>
      </c>
      <c r="B822" s="482" t="s">
        <v>4244</v>
      </c>
      <c r="C822" s="831" t="s">
        <v>896</v>
      </c>
      <c r="D822" s="482" t="s">
        <v>897</v>
      </c>
      <c r="E822" s="484">
        <v>297352.96000000002</v>
      </c>
      <c r="F822" s="484">
        <v>297352.96000000002</v>
      </c>
      <c r="G822" s="484">
        <v>155070.37</v>
      </c>
      <c r="H822" s="484">
        <v>155070.37</v>
      </c>
      <c r="I822" s="480">
        <v>52.15</v>
      </c>
    </row>
    <row r="823" spans="1:9" ht="51" hidden="1" outlineLevel="2">
      <c r="A823" s="850" t="s">
        <v>4245</v>
      </c>
      <c r="B823" s="472" t="s">
        <v>4246</v>
      </c>
      <c r="C823" s="473"/>
      <c r="D823" s="472"/>
      <c r="E823" s="474">
        <v>74006668.200000003</v>
      </c>
      <c r="F823" s="474">
        <v>74006668.200000003</v>
      </c>
      <c r="G823" s="474">
        <v>4006668.2</v>
      </c>
      <c r="H823" s="474">
        <v>4006668.2</v>
      </c>
      <c r="I823" s="475">
        <v>5.41</v>
      </c>
    </row>
    <row r="824" spans="1:9" ht="76.5" hidden="1" outlineLevel="3">
      <c r="A824" s="833" t="s">
        <v>702</v>
      </c>
      <c r="B824" s="477" t="s">
        <v>4247</v>
      </c>
      <c r="C824" s="478"/>
      <c r="D824" s="477"/>
      <c r="E824" s="479">
        <v>72251668.200000003</v>
      </c>
      <c r="F824" s="479">
        <v>72251668.200000003</v>
      </c>
      <c r="G824" s="479">
        <v>2251668.2000000002</v>
      </c>
      <c r="H824" s="479">
        <v>2251668.2000000002</v>
      </c>
      <c r="I824" s="480">
        <v>3.12</v>
      </c>
    </row>
    <row r="825" spans="1:9" ht="76.5" hidden="1" outlineLevel="4">
      <c r="A825" s="832" t="s">
        <v>702</v>
      </c>
      <c r="B825" s="482" t="s">
        <v>4247</v>
      </c>
      <c r="C825" s="831" t="s">
        <v>896</v>
      </c>
      <c r="D825" s="482" t="s">
        <v>897</v>
      </c>
      <c r="E825" s="484">
        <v>72251668.200000003</v>
      </c>
      <c r="F825" s="484">
        <v>72251668.200000003</v>
      </c>
      <c r="G825" s="484">
        <v>2251668.2000000002</v>
      </c>
      <c r="H825" s="484">
        <v>2251668.2000000002</v>
      </c>
      <c r="I825" s="480">
        <v>3.12</v>
      </c>
    </row>
    <row r="826" spans="1:9" ht="89.25" hidden="1" outlineLevel="3">
      <c r="A826" s="833" t="s">
        <v>3964</v>
      </c>
      <c r="B826" s="477" t="s">
        <v>4248</v>
      </c>
      <c r="C826" s="478"/>
      <c r="D826" s="477"/>
      <c r="E826" s="479">
        <v>1755000</v>
      </c>
      <c r="F826" s="479">
        <v>1755000</v>
      </c>
      <c r="G826" s="479">
        <v>1755000</v>
      </c>
      <c r="H826" s="479">
        <v>1755000</v>
      </c>
      <c r="I826" s="480">
        <v>100</v>
      </c>
    </row>
    <row r="827" spans="1:9" ht="89.25" hidden="1" outlineLevel="4">
      <c r="A827" s="832" t="s">
        <v>3964</v>
      </c>
      <c r="B827" s="482" t="s">
        <v>4248</v>
      </c>
      <c r="C827" s="831" t="s">
        <v>896</v>
      </c>
      <c r="D827" s="482" t="s">
        <v>897</v>
      </c>
      <c r="E827" s="484">
        <v>1755000</v>
      </c>
      <c r="F827" s="484">
        <v>1755000</v>
      </c>
      <c r="G827" s="484">
        <v>1755000</v>
      </c>
      <c r="H827" s="484">
        <v>1755000</v>
      </c>
      <c r="I827" s="480">
        <v>100</v>
      </c>
    </row>
    <row r="828" spans="1:9" ht="25.5" hidden="1" outlineLevel="2">
      <c r="A828" s="850" t="s">
        <v>1398</v>
      </c>
      <c r="B828" s="472" t="s">
        <v>4249</v>
      </c>
      <c r="C828" s="473"/>
      <c r="D828" s="472"/>
      <c r="E828" s="474">
        <v>23164894</v>
      </c>
      <c r="F828" s="474">
        <v>23164894</v>
      </c>
      <c r="G828" s="474">
        <v>23164894</v>
      </c>
      <c r="H828" s="474">
        <v>23164894</v>
      </c>
      <c r="I828" s="475">
        <v>100</v>
      </c>
    </row>
    <row r="829" spans="1:9" ht="25.5" hidden="1" outlineLevel="3">
      <c r="A829" s="833" t="s">
        <v>4250</v>
      </c>
      <c r="B829" s="477" t="s">
        <v>4251</v>
      </c>
      <c r="C829" s="478"/>
      <c r="D829" s="477"/>
      <c r="E829" s="479">
        <v>23164894</v>
      </c>
      <c r="F829" s="479">
        <v>23164894</v>
      </c>
      <c r="G829" s="479">
        <v>23164894</v>
      </c>
      <c r="H829" s="479">
        <v>23164894</v>
      </c>
      <c r="I829" s="480">
        <v>100</v>
      </c>
    </row>
    <row r="830" spans="1:9" ht="25.5" hidden="1" outlineLevel="4">
      <c r="A830" s="832" t="s">
        <v>4250</v>
      </c>
      <c r="B830" s="482" t="s">
        <v>4251</v>
      </c>
      <c r="C830" s="831" t="s">
        <v>896</v>
      </c>
      <c r="D830" s="482" t="s">
        <v>897</v>
      </c>
      <c r="E830" s="484">
        <v>23164894</v>
      </c>
      <c r="F830" s="484">
        <v>23164894</v>
      </c>
      <c r="G830" s="484">
        <v>23164894</v>
      </c>
      <c r="H830" s="484">
        <v>23164894</v>
      </c>
      <c r="I830" s="480">
        <v>100</v>
      </c>
    </row>
    <row r="831" spans="1:9" ht="63.75" hidden="1" outlineLevel="1">
      <c r="A831" s="851" t="s">
        <v>4252</v>
      </c>
      <c r="B831" s="467" t="s">
        <v>4253</v>
      </c>
      <c r="C831" s="468"/>
      <c r="D831" s="467"/>
      <c r="E831" s="469">
        <v>329717998.18000001</v>
      </c>
      <c r="F831" s="469">
        <v>329717998.18000001</v>
      </c>
      <c r="G831" s="469">
        <v>249559737.16</v>
      </c>
      <c r="H831" s="469">
        <v>249559737.16</v>
      </c>
      <c r="I831" s="470">
        <v>75.69</v>
      </c>
    </row>
    <row r="832" spans="1:9" ht="38.25" hidden="1" outlineLevel="2">
      <c r="A832" s="850" t="s">
        <v>4254</v>
      </c>
      <c r="B832" s="472" t="s">
        <v>4255</v>
      </c>
      <c r="C832" s="473"/>
      <c r="D832" s="472"/>
      <c r="E832" s="474">
        <v>286239998.18000001</v>
      </c>
      <c r="F832" s="474">
        <v>286239998.18000001</v>
      </c>
      <c r="G832" s="474">
        <v>206831425.16</v>
      </c>
      <c r="H832" s="474">
        <v>206831425.16</v>
      </c>
      <c r="I832" s="475">
        <v>72.260000000000005</v>
      </c>
    </row>
    <row r="833" spans="1:9" ht="76.5" hidden="1" outlineLevel="3">
      <c r="A833" s="833" t="s">
        <v>702</v>
      </c>
      <c r="B833" s="477" t="s">
        <v>4256</v>
      </c>
      <c r="C833" s="478"/>
      <c r="D833" s="477"/>
      <c r="E833" s="479">
        <v>282493308.18000001</v>
      </c>
      <c r="F833" s="479">
        <v>282493308.18000001</v>
      </c>
      <c r="G833" s="479">
        <v>203294910.18000001</v>
      </c>
      <c r="H833" s="479">
        <v>203294910.18000001</v>
      </c>
      <c r="I833" s="480">
        <v>71.959999999999994</v>
      </c>
    </row>
    <row r="834" spans="1:9" ht="76.5" hidden="1" outlineLevel="4">
      <c r="A834" s="832" t="s">
        <v>702</v>
      </c>
      <c r="B834" s="482" t="s">
        <v>4256</v>
      </c>
      <c r="C834" s="831" t="s">
        <v>896</v>
      </c>
      <c r="D834" s="482" t="s">
        <v>897</v>
      </c>
      <c r="E834" s="484">
        <v>282493308.18000001</v>
      </c>
      <c r="F834" s="484">
        <v>282493308.18000001</v>
      </c>
      <c r="G834" s="484">
        <v>203294910.18000001</v>
      </c>
      <c r="H834" s="484">
        <v>203294910.18000001</v>
      </c>
      <c r="I834" s="480">
        <v>71.959999999999994</v>
      </c>
    </row>
    <row r="835" spans="1:9" ht="25.5" hidden="1" outlineLevel="3">
      <c r="A835" s="833" t="s">
        <v>713</v>
      </c>
      <c r="B835" s="477" t="s">
        <v>4257</v>
      </c>
      <c r="C835" s="478"/>
      <c r="D835" s="477"/>
      <c r="E835" s="479">
        <v>195000</v>
      </c>
      <c r="F835" s="479">
        <v>195000</v>
      </c>
      <c r="G835" s="479">
        <v>195000</v>
      </c>
      <c r="H835" s="479">
        <v>195000</v>
      </c>
      <c r="I835" s="480">
        <v>100</v>
      </c>
    </row>
    <row r="836" spans="1:9" ht="25.5" hidden="1" outlineLevel="4">
      <c r="A836" s="832" t="s">
        <v>713</v>
      </c>
      <c r="B836" s="482" t="s">
        <v>4257</v>
      </c>
      <c r="C836" s="831" t="s">
        <v>896</v>
      </c>
      <c r="D836" s="482" t="s">
        <v>897</v>
      </c>
      <c r="E836" s="484">
        <v>195000</v>
      </c>
      <c r="F836" s="484">
        <v>195000</v>
      </c>
      <c r="G836" s="484">
        <v>195000</v>
      </c>
      <c r="H836" s="484">
        <v>195000</v>
      </c>
      <c r="I836" s="480">
        <v>100</v>
      </c>
    </row>
    <row r="837" spans="1:9" ht="25.5" hidden="1" outlineLevel="3">
      <c r="A837" s="833" t="s">
        <v>4258</v>
      </c>
      <c r="B837" s="477" t="s">
        <v>4259</v>
      </c>
      <c r="C837" s="478"/>
      <c r="D837" s="477"/>
      <c r="E837" s="479">
        <v>3551690</v>
      </c>
      <c r="F837" s="479">
        <v>3551690</v>
      </c>
      <c r="G837" s="479">
        <v>3341514.98</v>
      </c>
      <c r="H837" s="479">
        <v>3341514.98</v>
      </c>
      <c r="I837" s="480">
        <v>94.08</v>
      </c>
    </row>
    <row r="838" spans="1:9" ht="25.5" hidden="1" outlineLevel="4">
      <c r="A838" s="832" t="s">
        <v>4258</v>
      </c>
      <c r="B838" s="482" t="s">
        <v>4259</v>
      </c>
      <c r="C838" s="831" t="s">
        <v>896</v>
      </c>
      <c r="D838" s="482" t="s">
        <v>897</v>
      </c>
      <c r="E838" s="484">
        <v>3551690</v>
      </c>
      <c r="F838" s="484">
        <v>3551690</v>
      </c>
      <c r="G838" s="484">
        <v>3341514.98</v>
      </c>
      <c r="H838" s="484">
        <v>3341514.98</v>
      </c>
      <c r="I838" s="480">
        <v>94.08</v>
      </c>
    </row>
    <row r="839" spans="1:9" ht="38.25" hidden="1" outlineLevel="2">
      <c r="A839" s="850" t="s">
        <v>4260</v>
      </c>
      <c r="B839" s="472" t="s">
        <v>4261</v>
      </c>
      <c r="C839" s="473"/>
      <c r="D839" s="472"/>
      <c r="E839" s="474">
        <v>3478000</v>
      </c>
      <c r="F839" s="474">
        <v>3478000</v>
      </c>
      <c r="G839" s="474">
        <v>2728312</v>
      </c>
      <c r="H839" s="474">
        <v>2728312</v>
      </c>
      <c r="I839" s="475">
        <v>78.44</v>
      </c>
    </row>
    <row r="840" spans="1:9" ht="76.5" hidden="1" outlineLevel="3">
      <c r="A840" s="833" t="s">
        <v>702</v>
      </c>
      <c r="B840" s="477" t="s">
        <v>4262</v>
      </c>
      <c r="C840" s="478"/>
      <c r="D840" s="477"/>
      <c r="E840" s="479">
        <v>1838000</v>
      </c>
      <c r="F840" s="479">
        <v>1838000</v>
      </c>
      <c r="G840" s="479">
        <v>1228312</v>
      </c>
      <c r="H840" s="479">
        <v>1228312</v>
      </c>
      <c r="I840" s="480">
        <v>66.83</v>
      </c>
    </row>
    <row r="841" spans="1:9" ht="76.5" hidden="1" outlineLevel="4">
      <c r="A841" s="832" t="s">
        <v>702</v>
      </c>
      <c r="B841" s="482" t="s">
        <v>4262</v>
      </c>
      <c r="C841" s="831" t="s">
        <v>896</v>
      </c>
      <c r="D841" s="482" t="s">
        <v>897</v>
      </c>
      <c r="E841" s="484">
        <v>1838000</v>
      </c>
      <c r="F841" s="484">
        <v>1838000</v>
      </c>
      <c r="G841" s="484">
        <v>1228312</v>
      </c>
      <c r="H841" s="484">
        <v>1228312</v>
      </c>
      <c r="I841" s="480">
        <v>66.83</v>
      </c>
    </row>
    <row r="842" spans="1:9" ht="25.5" hidden="1" outlineLevel="3">
      <c r="A842" s="833" t="s">
        <v>713</v>
      </c>
      <c r="B842" s="477" t="s">
        <v>4263</v>
      </c>
      <c r="C842" s="478"/>
      <c r="D842" s="477"/>
      <c r="E842" s="479">
        <v>1640000</v>
      </c>
      <c r="F842" s="479">
        <v>1640000</v>
      </c>
      <c r="G842" s="479">
        <v>1500000</v>
      </c>
      <c r="H842" s="479">
        <v>1500000</v>
      </c>
      <c r="I842" s="480">
        <v>91.46</v>
      </c>
    </row>
    <row r="843" spans="1:9" ht="25.5" hidden="1" outlineLevel="4">
      <c r="A843" s="832" t="s">
        <v>713</v>
      </c>
      <c r="B843" s="482" t="s">
        <v>4263</v>
      </c>
      <c r="C843" s="831" t="s">
        <v>896</v>
      </c>
      <c r="D843" s="482" t="s">
        <v>897</v>
      </c>
      <c r="E843" s="484">
        <v>1640000</v>
      </c>
      <c r="F843" s="484">
        <v>1640000</v>
      </c>
      <c r="G843" s="484">
        <v>1500000</v>
      </c>
      <c r="H843" s="484">
        <v>1500000</v>
      </c>
      <c r="I843" s="480">
        <v>91.46</v>
      </c>
    </row>
    <row r="844" spans="1:9" ht="25.5" hidden="1" outlineLevel="2">
      <c r="A844" s="850" t="s">
        <v>1398</v>
      </c>
      <c r="B844" s="472" t="s">
        <v>4264</v>
      </c>
      <c r="C844" s="473"/>
      <c r="D844" s="472"/>
      <c r="E844" s="474">
        <v>40000000</v>
      </c>
      <c r="F844" s="474">
        <v>40000000</v>
      </c>
      <c r="G844" s="474">
        <v>40000000</v>
      </c>
      <c r="H844" s="474">
        <v>40000000</v>
      </c>
      <c r="I844" s="475">
        <v>100</v>
      </c>
    </row>
    <row r="845" spans="1:9" ht="25.5" hidden="1" outlineLevel="3">
      <c r="A845" s="833" t="s">
        <v>1436</v>
      </c>
      <c r="B845" s="477" t="s">
        <v>4265</v>
      </c>
      <c r="C845" s="478"/>
      <c r="D845" s="477"/>
      <c r="E845" s="479">
        <v>40000000</v>
      </c>
      <c r="F845" s="479">
        <v>40000000</v>
      </c>
      <c r="G845" s="479">
        <v>40000000</v>
      </c>
      <c r="H845" s="479">
        <v>40000000</v>
      </c>
      <c r="I845" s="480">
        <v>100</v>
      </c>
    </row>
    <row r="846" spans="1:9" ht="25.5" hidden="1" outlineLevel="4">
      <c r="A846" s="832" t="s">
        <v>1436</v>
      </c>
      <c r="B846" s="482" t="s">
        <v>4265</v>
      </c>
      <c r="C846" s="831" t="s">
        <v>896</v>
      </c>
      <c r="D846" s="482" t="s">
        <v>897</v>
      </c>
      <c r="E846" s="484">
        <v>40000000</v>
      </c>
      <c r="F846" s="484">
        <v>40000000</v>
      </c>
      <c r="G846" s="484">
        <v>40000000</v>
      </c>
      <c r="H846" s="484">
        <v>40000000</v>
      </c>
      <c r="I846" s="480">
        <v>100</v>
      </c>
    </row>
    <row r="847" spans="1:9" ht="38.25" hidden="1" outlineLevel="1">
      <c r="A847" s="851" t="s">
        <v>4266</v>
      </c>
      <c r="B847" s="467" t="s">
        <v>4267</v>
      </c>
      <c r="C847" s="468"/>
      <c r="D847" s="467"/>
      <c r="E847" s="469">
        <v>1877580861.23</v>
      </c>
      <c r="F847" s="469">
        <v>1853847608.6099999</v>
      </c>
      <c r="G847" s="469">
        <v>1051127764.63</v>
      </c>
      <c r="H847" s="469">
        <v>1022682297.41</v>
      </c>
      <c r="I847" s="470">
        <v>54.47</v>
      </c>
    </row>
    <row r="848" spans="1:9" ht="38.25" hidden="1" outlineLevel="2">
      <c r="A848" s="850" t="s">
        <v>4268</v>
      </c>
      <c r="B848" s="472" t="s">
        <v>4269</v>
      </c>
      <c r="C848" s="473"/>
      <c r="D848" s="472"/>
      <c r="E848" s="474">
        <v>148083706.15000001</v>
      </c>
      <c r="F848" s="474">
        <v>148083706.15000001</v>
      </c>
      <c r="G848" s="474">
        <v>104529885.93000001</v>
      </c>
      <c r="H848" s="474">
        <v>104529885.93000001</v>
      </c>
      <c r="I848" s="475">
        <v>70.59</v>
      </c>
    </row>
    <row r="849" spans="1:9" ht="76.5" hidden="1" outlineLevel="3">
      <c r="A849" s="833" t="s">
        <v>702</v>
      </c>
      <c r="B849" s="477" t="s">
        <v>4270</v>
      </c>
      <c r="C849" s="478"/>
      <c r="D849" s="477"/>
      <c r="E849" s="479">
        <v>140744466.15000001</v>
      </c>
      <c r="F849" s="479">
        <v>140744466.15000001</v>
      </c>
      <c r="G849" s="479">
        <v>100121849.93000001</v>
      </c>
      <c r="H849" s="479">
        <v>100121849.93000001</v>
      </c>
      <c r="I849" s="480">
        <v>71.14</v>
      </c>
    </row>
    <row r="850" spans="1:9" ht="76.5" hidden="1" outlineLevel="4">
      <c r="A850" s="832" t="s">
        <v>702</v>
      </c>
      <c r="B850" s="482" t="s">
        <v>4270</v>
      </c>
      <c r="C850" s="831" t="s">
        <v>896</v>
      </c>
      <c r="D850" s="482" t="s">
        <v>897</v>
      </c>
      <c r="E850" s="484">
        <v>140744466.15000001</v>
      </c>
      <c r="F850" s="484">
        <v>140744466.15000001</v>
      </c>
      <c r="G850" s="484">
        <v>100121849.93000001</v>
      </c>
      <c r="H850" s="484">
        <v>100121849.93000001</v>
      </c>
      <c r="I850" s="480">
        <v>71.14</v>
      </c>
    </row>
    <row r="851" spans="1:9" ht="165.75" hidden="1" outlineLevel="3">
      <c r="A851" s="833" t="s">
        <v>3815</v>
      </c>
      <c r="B851" s="477" t="s">
        <v>4271</v>
      </c>
      <c r="C851" s="478"/>
      <c r="D851" s="477"/>
      <c r="E851" s="479">
        <v>93744</v>
      </c>
      <c r="F851" s="479">
        <v>93744</v>
      </c>
      <c r="G851" s="479">
        <v>71436</v>
      </c>
      <c r="H851" s="479">
        <v>71436</v>
      </c>
      <c r="I851" s="480">
        <v>76.2</v>
      </c>
    </row>
    <row r="852" spans="1:9" ht="165.75" hidden="1" outlineLevel="4">
      <c r="A852" s="832" t="s">
        <v>3815</v>
      </c>
      <c r="B852" s="482" t="s">
        <v>4271</v>
      </c>
      <c r="C852" s="831" t="s">
        <v>896</v>
      </c>
      <c r="D852" s="482" t="s">
        <v>897</v>
      </c>
      <c r="E852" s="484">
        <v>93744</v>
      </c>
      <c r="F852" s="484">
        <v>93744</v>
      </c>
      <c r="G852" s="484">
        <v>71436</v>
      </c>
      <c r="H852" s="484">
        <v>71436</v>
      </c>
      <c r="I852" s="480">
        <v>76.2</v>
      </c>
    </row>
    <row r="853" spans="1:9" ht="51" hidden="1" outlineLevel="3">
      <c r="A853" s="833" t="s">
        <v>900</v>
      </c>
      <c r="B853" s="477" t="s">
        <v>4272</v>
      </c>
      <c r="C853" s="478"/>
      <c r="D853" s="477"/>
      <c r="E853" s="479">
        <v>5183096</v>
      </c>
      <c r="F853" s="479">
        <v>5183096</v>
      </c>
      <c r="G853" s="479">
        <v>2885000</v>
      </c>
      <c r="H853" s="479">
        <v>2885000</v>
      </c>
      <c r="I853" s="480">
        <v>55.66</v>
      </c>
    </row>
    <row r="854" spans="1:9" ht="51" hidden="1" outlineLevel="4">
      <c r="A854" s="832" t="s">
        <v>900</v>
      </c>
      <c r="B854" s="482" t="s">
        <v>4272</v>
      </c>
      <c r="C854" s="831" t="s">
        <v>896</v>
      </c>
      <c r="D854" s="482" t="s">
        <v>897</v>
      </c>
      <c r="E854" s="484">
        <v>5183096</v>
      </c>
      <c r="F854" s="484">
        <v>5183096</v>
      </c>
      <c r="G854" s="484">
        <v>2885000</v>
      </c>
      <c r="H854" s="484">
        <v>2885000</v>
      </c>
      <c r="I854" s="480">
        <v>55.66</v>
      </c>
    </row>
    <row r="855" spans="1:9" ht="153" hidden="1" outlineLevel="3">
      <c r="A855" s="833" t="s">
        <v>3819</v>
      </c>
      <c r="B855" s="477" t="s">
        <v>4273</v>
      </c>
      <c r="C855" s="478"/>
      <c r="D855" s="477"/>
      <c r="E855" s="479">
        <v>2062400</v>
      </c>
      <c r="F855" s="479">
        <v>2062400</v>
      </c>
      <c r="G855" s="479">
        <v>1451600</v>
      </c>
      <c r="H855" s="479">
        <v>1451600</v>
      </c>
      <c r="I855" s="480">
        <v>70.38</v>
      </c>
    </row>
    <row r="856" spans="1:9" ht="153" hidden="1" outlineLevel="4">
      <c r="A856" s="832" t="s">
        <v>3819</v>
      </c>
      <c r="B856" s="482" t="s">
        <v>4273</v>
      </c>
      <c r="C856" s="831" t="s">
        <v>896</v>
      </c>
      <c r="D856" s="482" t="s">
        <v>897</v>
      </c>
      <c r="E856" s="484">
        <v>2062400</v>
      </c>
      <c r="F856" s="484">
        <v>2062400</v>
      </c>
      <c r="G856" s="484">
        <v>1451600</v>
      </c>
      <c r="H856" s="484">
        <v>1451600</v>
      </c>
      <c r="I856" s="480">
        <v>70.38</v>
      </c>
    </row>
    <row r="857" spans="1:9" ht="38.25" hidden="1" outlineLevel="2">
      <c r="A857" s="850" t="s">
        <v>4274</v>
      </c>
      <c r="B857" s="472" t="s">
        <v>4275</v>
      </c>
      <c r="C857" s="473"/>
      <c r="D857" s="472"/>
      <c r="E857" s="474">
        <v>370883897</v>
      </c>
      <c r="F857" s="474">
        <v>370883897</v>
      </c>
      <c r="G857" s="474">
        <v>244984420</v>
      </c>
      <c r="H857" s="474">
        <v>244984420</v>
      </c>
      <c r="I857" s="475">
        <v>66.05</v>
      </c>
    </row>
    <row r="858" spans="1:9" ht="76.5" hidden="1" outlineLevel="3">
      <c r="A858" s="833" t="s">
        <v>702</v>
      </c>
      <c r="B858" s="477" t="s">
        <v>4276</v>
      </c>
      <c r="C858" s="478"/>
      <c r="D858" s="477"/>
      <c r="E858" s="479">
        <v>370883897</v>
      </c>
      <c r="F858" s="479">
        <v>370883897</v>
      </c>
      <c r="G858" s="479">
        <v>244984420</v>
      </c>
      <c r="H858" s="479">
        <v>244984420</v>
      </c>
      <c r="I858" s="480">
        <v>66.05</v>
      </c>
    </row>
    <row r="859" spans="1:9" ht="76.5" hidden="1" outlineLevel="4">
      <c r="A859" s="832" t="s">
        <v>702</v>
      </c>
      <c r="B859" s="482" t="s">
        <v>4276</v>
      </c>
      <c r="C859" s="831" t="s">
        <v>896</v>
      </c>
      <c r="D859" s="482" t="s">
        <v>897</v>
      </c>
      <c r="E859" s="484">
        <v>370883897</v>
      </c>
      <c r="F859" s="484">
        <v>370883897</v>
      </c>
      <c r="G859" s="484">
        <v>244984420</v>
      </c>
      <c r="H859" s="484">
        <v>244984420</v>
      </c>
      <c r="I859" s="480">
        <v>66.05</v>
      </c>
    </row>
    <row r="860" spans="1:9" ht="38.25" hidden="1" outlineLevel="2">
      <c r="A860" s="850" t="s">
        <v>1387</v>
      </c>
      <c r="B860" s="472" t="s">
        <v>4277</v>
      </c>
      <c r="C860" s="473"/>
      <c r="D860" s="472"/>
      <c r="E860" s="474">
        <v>222727200</v>
      </c>
      <c r="F860" s="474">
        <v>222727200</v>
      </c>
      <c r="G860" s="474">
        <v>128476196.56</v>
      </c>
      <c r="H860" s="474">
        <v>128476196.56</v>
      </c>
      <c r="I860" s="475">
        <v>57.68</v>
      </c>
    </row>
    <row r="861" spans="1:9" ht="76.5" hidden="1" outlineLevel="3">
      <c r="A861" s="833" t="s">
        <v>702</v>
      </c>
      <c r="B861" s="477" t="s">
        <v>4278</v>
      </c>
      <c r="C861" s="478"/>
      <c r="D861" s="477"/>
      <c r="E861" s="479">
        <v>222727200</v>
      </c>
      <c r="F861" s="479">
        <v>222727200</v>
      </c>
      <c r="G861" s="479">
        <v>128476196.56</v>
      </c>
      <c r="H861" s="479">
        <v>128476196.56</v>
      </c>
      <c r="I861" s="480">
        <v>57.68</v>
      </c>
    </row>
    <row r="862" spans="1:9" ht="76.5" hidden="1" outlineLevel="4">
      <c r="A862" s="832" t="s">
        <v>702</v>
      </c>
      <c r="B862" s="482" t="s">
        <v>4278</v>
      </c>
      <c r="C862" s="831" t="s">
        <v>896</v>
      </c>
      <c r="D862" s="482" t="s">
        <v>897</v>
      </c>
      <c r="E862" s="484">
        <v>222727200</v>
      </c>
      <c r="F862" s="484">
        <v>222727200</v>
      </c>
      <c r="G862" s="484">
        <v>128476196.56</v>
      </c>
      <c r="H862" s="484">
        <v>128476196.56</v>
      </c>
      <c r="I862" s="480">
        <v>57.68</v>
      </c>
    </row>
    <row r="863" spans="1:9" ht="38.25" hidden="1" outlineLevel="2">
      <c r="A863" s="850" t="s">
        <v>4279</v>
      </c>
      <c r="B863" s="472" t="s">
        <v>4280</v>
      </c>
      <c r="C863" s="473"/>
      <c r="D863" s="472"/>
      <c r="E863" s="474">
        <v>114166026</v>
      </c>
      <c r="F863" s="474">
        <v>106253657.75</v>
      </c>
      <c r="G863" s="474">
        <v>92615713.5</v>
      </c>
      <c r="H863" s="474">
        <v>92615713.5</v>
      </c>
      <c r="I863" s="475">
        <v>81.12</v>
      </c>
    </row>
    <row r="864" spans="1:9" ht="51" hidden="1" outlineLevel="3">
      <c r="A864" s="833" t="s">
        <v>3350</v>
      </c>
      <c r="B864" s="477" t="s">
        <v>4281</v>
      </c>
      <c r="C864" s="478"/>
      <c r="D864" s="477"/>
      <c r="E864" s="479">
        <v>90035295</v>
      </c>
      <c r="F864" s="479">
        <v>84870296.75</v>
      </c>
      <c r="G864" s="479">
        <v>71232352.5</v>
      </c>
      <c r="H864" s="479">
        <v>71232352.5</v>
      </c>
      <c r="I864" s="480">
        <v>79.12</v>
      </c>
    </row>
    <row r="865" spans="1:9" ht="51" hidden="1" outlineLevel="4">
      <c r="A865" s="832" t="s">
        <v>3350</v>
      </c>
      <c r="B865" s="482" t="s">
        <v>4281</v>
      </c>
      <c r="C865" s="831" t="s">
        <v>896</v>
      </c>
      <c r="D865" s="482" t="s">
        <v>897</v>
      </c>
      <c r="E865" s="484">
        <v>90035295</v>
      </c>
      <c r="F865" s="484">
        <v>84870296.75</v>
      </c>
      <c r="G865" s="484">
        <v>71232352.5</v>
      </c>
      <c r="H865" s="484">
        <v>71232352.5</v>
      </c>
      <c r="I865" s="480">
        <v>79.12</v>
      </c>
    </row>
    <row r="866" spans="1:9" ht="63.75" hidden="1" outlineLevel="3">
      <c r="A866" s="833" t="s">
        <v>4282</v>
      </c>
      <c r="B866" s="477" t="s">
        <v>4283</v>
      </c>
      <c r="C866" s="478"/>
      <c r="D866" s="477"/>
      <c r="E866" s="479">
        <v>12130731</v>
      </c>
      <c r="F866" s="479">
        <v>12130731</v>
      </c>
      <c r="G866" s="479">
        <v>12130731</v>
      </c>
      <c r="H866" s="479">
        <v>12130731</v>
      </c>
      <c r="I866" s="480">
        <v>100</v>
      </c>
    </row>
    <row r="867" spans="1:9" ht="63.75" hidden="1" outlineLevel="4">
      <c r="A867" s="832" t="s">
        <v>4282</v>
      </c>
      <c r="B867" s="482" t="s">
        <v>4283</v>
      </c>
      <c r="C867" s="831" t="s">
        <v>896</v>
      </c>
      <c r="D867" s="482" t="s">
        <v>897</v>
      </c>
      <c r="E867" s="484">
        <v>12130731</v>
      </c>
      <c r="F867" s="484">
        <v>12130731</v>
      </c>
      <c r="G867" s="484">
        <v>12130731</v>
      </c>
      <c r="H867" s="484">
        <v>12130731</v>
      </c>
      <c r="I867" s="480">
        <v>100</v>
      </c>
    </row>
    <row r="868" spans="1:9" ht="89.25" hidden="1" outlineLevel="3">
      <c r="A868" s="833" t="s">
        <v>4284</v>
      </c>
      <c r="B868" s="477" t="s">
        <v>4285</v>
      </c>
      <c r="C868" s="478"/>
      <c r="D868" s="477"/>
      <c r="E868" s="479">
        <v>4000000</v>
      </c>
      <c r="F868" s="479">
        <v>3657480</v>
      </c>
      <c r="G868" s="479">
        <v>3657480</v>
      </c>
      <c r="H868" s="479">
        <v>3657480</v>
      </c>
      <c r="I868" s="480">
        <v>91.44</v>
      </c>
    </row>
    <row r="869" spans="1:9" ht="89.25" hidden="1" outlineLevel="4">
      <c r="A869" s="832" t="s">
        <v>4284</v>
      </c>
      <c r="B869" s="482" t="s">
        <v>4285</v>
      </c>
      <c r="C869" s="831" t="s">
        <v>896</v>
      </c>
      <c r="D869" s="482" t="s">
        <v>897</v>
      </c>
      <c r="E869" s="484">
        <v>4000000</v>
      </c>
      <c r="F869" s="484">
        <v>3657480</v>
      </c>
      <c r="G869" s="484">
        <v>3657480</v>
      </c>
      <c r="H869" s="484">
        <v>3657480</v>
      </c>
      <c r="I869" s="480">
        <v>91.44</v>
      </c>
    </row>
    <row r="870" spans="1:9" ht="38.25" hidden="1" outlineLevel="3">
      <c r="A870" s="833" t="s">
        <v>4286</v>
      </c>
      <c r="B870" s="477" t="s">
        <v>4287</v>
      </c>
      <c r="C870" s="478"/>
      <c r="D870" s="477"/>
      <c r="E870" s="479">
        <v>4000000</v>
      </c>
      <c r="F870" s="479">
        <v>1595150</v>
      </c>
      <c r="G870" s="479">
        <v>1595150</v>
      </c>
      <c r="H870" s="479">
        <v>1595150</v>
      </c>
      <c r="I870" s="480">
        <v>39.880000000000003</v>
      </c>
    </row>
    <row r="871" spans="1:9" ht="38.25" hidden="1" outlineLevel="4">
      <c r="A871" s="832" t="s">
        <v>4286</v>
      </c>
      <c r="B871" s="482" t="s">
        <v>4287</v>
      </c>
      <c r="C871" s="831" t="s">
        <v>896</v>
      </c>
      <c r="D871" s="482" t="s">
        <v>897</v>
      </c>
      <c r="E871" s="484">
        <v>4000000</v>
      </c>
      <c r="F871" s="484">
        <v>1595150</v>
      </c>
      <c r="G871" s="484">
        <v>1595150</v>
      </c>
      <c r="H871" s="484">
        <v>1595150</v>
      </c>
      <c r="I871" s="480">
        <v>39.880000000000003</v>
      </c>
    </row>
    <row r="872" spans="1:9" ht="89.25" hidden="1" outlineLevel="3">
      <c r="A872" s="833" t="s">
        <v>4288</v>
      </c>
      <c r="B872" s="477" t="s">
        <v>4289</v>
      </c>
      <c r="C872" s="478"/>
      <c r="D872" s="477"/>
      <c r="E872" s="479">
        <v>1000000</v>
      </c>
      <c r="F872" s="479">
        <v>1000000</v>
      </c>
      <c r="G872" s="479">
        <v>1000000</v>
      </c>
      <c r="H872" s="479">
        <v>1000000</v>
      </c>
      <c r="I872" s="480">
        <v>100</v>
      </c>
    </row>
    <row r="873" spans="1:9" ht="89.25" hidden="1" outlineLevel="4">
      <c r="A873" s="832" t="s">
        <v>4288</v>
      </c>
      <c r="B873" s="482" t="s">
        <v>4289</v>
      </c>
      <c r="C873" s="831" t="s">
        <v>896</v>
      </c>
      <c r="D873" s="482" t="s">
        <v>897</v>
      </c>
      <c r="E873" s="484">
        <v>1000000</v>
      </c>
      <c r="F873" s="484">
        <v>1000000</v>
      </c>
      <c r="G873" s="484">
        <v>1000000</v>
      </c>
      <c r="H873" s="484">
        <v>1000000</v>
      </c>
      <c r="I873" s="480">
        <v>100</v>
      </c>
    </row>
    <row r="874" spans="1:9" ht="51" hidden="1" outlineLevel="3">
      <c r="A874" s="833" t="s">
        <v>4290</v>
      </c>
      <c r="B874" s="477" t="s">
        <v>4291</v>
      </c>
      <c r="C874" s="478"/>
      <c r="D874" s="477"/>
      <c r="E874" s="479">
        <v>3000000</v>
      </c>
      <c r="F874" s="479">
        <v>3000000</v>
      </c>
      <c r="G874" s="479">
        <v>3000000</v>
      </c>
      <c r="H874" s="479">
        <v>3000000</v>
      </c>
      <c r="I874" s="480">
        <v>100</v>
      </c>
    </row>
    <row r="875" spans="1:9" ht="51" hidden="1" outlineLevel="4">
      <c r="A875" s="832" t="s">
        <v>4290</v>
      </c>
      <c r="B875" s="482" t="s">
        <v>4291</v>
      </c>
      <c r="C875" s="831" t="s">
        <v>896</v>
      </c>
      <c r="D875" s="482" t="s">
        <v>897</v>
      </c>
      <c r="E875" s="484">
        <v>3000000</v>
      </c>
      <c r="F875" s="484">
        <v>3000000</v>
      </c>
      <c r="G875" s="484">
        <v>3000000</v>
      </c>
      <c r="H875" s="484">
        <v>3000000</v>
      </c>
      <c r="I875" s="480">
        <v>100</v>
      </c>
    </row>
    <row r="876" spans="1:9" ht="51" hidden="1" outlineLevel="2">
      <c r="A876" s="850" t="s">
        <v>4292</v>
      </c>
      <c r="B876" s="472" t="s">
        <v>4293</v>
      </c>
      <c r="C876" s="473"/>
      <c r="D876" s="472"/>
      <c r="E876" s="474">
        <v>25300000</v>
      </c>
      <c r="F876" s="474">
        <v>10300000</v>
      </c>
      <c r="G876" s="474">
        <v>9500000</v>
      </c>
      <c r="H876" s="474">
        <v>9500000</v>
      </c>
      <c r="I876" s="475">
        <v>37.549999999999997</v>
      </c>
    </row>
    <row r="877" spans="1:9" ht="25.5" hidden="1" outlineLevel="3">
      <c r="A877" s="833" t="s">
        <v>713</v>
      </c>
      <c r="B877" s="477" t="s">
        <v>4294</v>
      </c>
      <c r="C877" s="478"/>
      <c r="D877" s="477"/>
      <c r="E877" s="479">
        <v>2000000</v>
      </c>
      <c r="F877" s="479">
        <v>2000000</v>
      </c>
      <c r="G877" s="479">
        <v>2000000</v>
      </c>
      <c r="H877" s="479">
        <v>2000000</v>
      </c>
      <c r="I877" s="480">
        <v>100</v>
      </c>
    </row>
    <row r="878" spans="1:9" ht="25.5" hidden="1" outlineLevel="4">
      <c r="A878" s="832" t="s">
        <v>713</v>
      </c>
      <c r="B878" s="482" t="s">
        <v>4294</v>
      </c>
      <c r="C878" s="831" t="s">
        <v>896</v>
      </c>
      <c r="D878" s="482" t="s">
        <v>897</v>
      </c>
      <c r="E878" s="484">
        <v>2000000</v>
      </c>
      <c r="F878" s="484">
        <v>2000000</v>
      </c>
      <c r="G878" s="484">
        <v>2000000</v>
      </c>
      <c r="H878" s="484">
        <v>2000000</v>
      </c>
      <c r="I878" s="480">
        <v>100</v>
      </c>
    </row>
    <row r="879" spans="1:9" ht="63.75" hidden="1" outlineLevel="3">
      <c r="A879" s="833" t="s">
        <v>4295</v>
      </c>
      <c r="B879" s="477" t="s">
        <v>4296</v>
      </c>
      <c r="C879" s="478"/>
      <c r="D879" s="477"/>
      <c r="E879" s="479">
        <v>8300000</v>
      </c>
      <c r="F879" s="479">
        <v>8300000</v>
      </c>
      <c r="G879" s="479">
        <v>7500000</v>
      </c>
      <c r="H879" s="479">
        <v>7500000</v>
      </c>
      <c r="I879" s="480">
        <v>90.36</v>
      </c>
    </row>
    <row r="880" spans="1:9" ht="63.75" hidden="1" outlineLevel="4">
      <c r="A880" s="832" t="s">
        <v>4295</v>
      </c>
      <c r="B880" s="482" t="s">
        <v>4296</v>
      </c>
      <c r="C880" s="831" t="s">
        <v>896</v>
      </c>
      <c r="D880" s="482" t="s">
        <v>897</v>
      </c>
      <c r="E880" s="484">
        <v>8300000</v>
      </c>
      <c r="F880" s="484">
        <v>8300000</v>
      </c>
      <c r="G880" s="484">
        <v>7500000</v>
      </c>
      <c r="H880" s="484">
        <v>7500000</v>
      </c>
      <c r="I880" s="480">
        <v>90.36</v>
      </c>
    </row>
    <row r="881" spans="1:9" ht="38.25" hidden="1" outlineLevel="3">
      <c r="A881" s="833" t="s">
        <v>4297</v>
      </c>
      <c r="B881" s="477" t="s">
        <v>4298</v>
      </c>
      <c r="C881" s="478"/>
      <c r="D881" s="477"/>
      <c r="E881" s="479">
        <v>15000000</v>
      </c>
      <c r="F881" s="479">
        <v>0</v>
      </c>
      <c r="G881" s="479">
        <v>0</v>
      </c>
      <c r="H881" s="479">
        <v>0</v>
      </c>
      <c r="I881" s="480">
        <v>0</v>
      </c>
    </row>
    <row r="882" spans="1:9" ht="38.25" hidden="1" outlineLevel="4">
      <c r="A882" s="832" t="s">
        <v>4297</v>
      </c>
      <c r="B882" s="482" t="s">
        <v>4298</v>
      </c>
      <c r="C882" s="831" t="s">
        <v>896</v>
      </c>
      <c r="D882" s="482" t="s">
        <v>897</v>
      </c>
      <c r="E882" s="484">
        <v>15000000</v>
      </c>
      <c r="F882" s="484">
        <v>0</v>
      </c>
      <c r="G882" s="484">
        <v>0</v>
      </c>
      <c r="H882" s="484">
        <v>0</v>
      </c>
      <c r="I882" s="480">
        <v>0</v>
      </c>
    </row>
    <row r="883" spans="1:9" ht="38.25" hidden="1" outlineLevel="2">
      <c r="A883" s="850" t="s">
        <v>4299</v>
      </c>
      <c r="B883" s="472" t="s">
        <v>4300</v>
      </c>
      <c r="C883" s="473"/>
      <c r="D883" s="472"/>
      <c r="E883" s="474">
        <v>1277500</v>
      </c>
      <c r="F883" s="474">
        <v>1277500</v>
      </c>
      <c r="G883" s="474">
        <v>1175800</v>
      </c>
      <c r="H883" s="474">
        <v>1175800</v>
      </c>
      <c r="I883" s="475">
        <v>92.04</v>
      </c>
    </row>
    <row r="884" spans="1:9" ht="25.5" hidden="1" outlineLevel="3">
      <c r="A884" s="833" t="s">
        <v>713</v>
      </c>
      <c r="B884" s="477" t="s">
        <v>4301</v>
      </c>
      <c r="C884" s="478"/>
      <c r="D884" s="477"/>
      <c r="E884" s="479">
        <v>1277500</v>
      </c>
      <c r="F884" s="479">
        <v>1277500</v>
      </c>
      <c r="G884" s="479">
        <v>1175800</v>
      </c>
      <c r="H884" s="479">
        <v>1175800</v>
      </c>
      <c r="I884" s="480">
        <v>92.04</v>
      </c>
    </row>
    <row r="885" spans="1:9" ht="25.5" hidden="1" outlineLevel="4">
      <c r="A885" s="832" t="s">
        <v>713</v>
      </c>
      <c r="B885" s="482" t="s">
        <v>4301</v>
      </c>
      <c r="C885" s="831" t="s">
        <v>896</v>
      </c>
      <c r="D885" s="482" t="s">
        <v>897</v>
      </c>
      <c r="E885" s="484">
        <v>1277500</v>
      </c>
      <c r="F885" s="484">
        <v>1277500</v>
      </c>
      <c r="G885" s="484">
        <v>1175800</v>
      </c>
      <c r="H885" s="484">
        <v>1175800</v>
      </c>
      <c r="I885" s="480">
        <v>92.04</v>
      </c>
    </row>
    <row r="886" spans="1:9" ht="89.25" hidden="1" outlineLevel="2">
      <c r="A886" s="850" t="s">
        <v>4302</v>
      </c>
      <c r="B886" s="472" t="s">
        <v>4303</v>
      </c>
      <c r="C886" s="473"/>
      <c r="D886" s="472"/>
      <c r="E886" s="474">
        <v>63634468.799999997</v>
      </c>
      <c r="F886" s="474">
        <v>63634468.799999997</v>
      </c>
      <c r="G886" s="474">
        <v>47329630.399999999</v>
      </c>
      <c r="H886" s="474">
        <v>29942378.359999999</v>
      </c>
      <c r="I886" s="475">
        <v>47.05</v>
      </c>
    </row>
    <row r="887" spans="1:9" ht="76.5" hidden="1" outlineLevel="3">
      <c r="A887" s="833" t="s">
        <v>702</v>
      </c>
      <c r="B887" s="477" t="s">
        <v>4304</v>
      </c>
      <c r="C887" s="478"/>
      <c r="D887" s="477"/>
      <c r="E887" s="479">
        <v>25493856</v>
      </c>
      <c r="F887" s="479">
        <v>25493856</v>
      </c>
      <c r="G887" s="479">
        <v>15000000</v>
      </c>
      <c r="H887" s="479">
        <v>15000000</v>
      </c>
      <c r="I887" s="480">
        <v>58.84</v>
      </c>
    </row>
    <row r="888" spans="1:9" ht="76.5" hidden="1" outlineLevel="4">
      <c r="A888" s="832" t="s">
        <v>702</v>
      </c>
      <c r="B888" s="482" t="s">
        <v>4304</v>
      </c>
      <c r="C888" s="831" t="s">
        <v>896</v>
      </c>
      <c r="D888" s="482" t="s">
        <v>897</v>
      </c>
      <c r="E888" s="484">
        <v>25493856</v>
      </c>
      <c r="F888" s="484">
        <v>25493856</v>
      </c>
      <c r="G888" s="484">
        <v>15000000</v>
      </c>
      <c r="H888" s="484">
        <v>15000000</v>
      </c>
      <c r="I888" s="480">
        <v>58.84</v>
      </c>
    </row>
    <row r="889" spans="1:9" ht="25.5" hidden="1" outlineLevel="3">
      <c r="A889" s="833" t="s">
        <v>713</v>
      </c>
      <c r="B889" s="477" t="s">
        <v>4305</v>
      </c>
      <c r="C889" s="478"/>
      <c r="D889" s="477"/>
      <c r="E889" s="479">
        <v>6617000.4000000004</v>
      </c>
      <c r="F889" s="479">
        <v>6617000.4000000004</v>
      </c>
      <c r="G889" s="479">
        <v>6617000.4000000004</v>
      </c>
      <c r="H889" s="479">
        <v>5728748.3600000003</v>
      </c>
      <c r="I889" s="480">
        <v>86.58</v>
      </c>
    </row>
    <row r="890" spans="1:9" ht="25.5" hidden="1" outlineLevel="4">
      <c r="A890" s="832" t="s">
        <v>713</v>
      </c>
      <c r="B890" s="482" t="s">
        <v>4305</v>
      </c>
      <c r="C890" s="831" t="s">
        <v>803</v>
      </c>
      <c r="D890" s="482" t="s">
        <v>804</v>
      </c>
      <c r="E890" s="484">
        <v>6617000.4000000004</v>
      </c>
      <c r="F890" s="484">
        <v>6617000.4000000004</v>
      </c>
      <c r="G890" s="484">
        <v>6617000.4000000004</v>
      </c>
      <c r="H890" s="484">
        <v>5728748.3600000003</v>
      </c>
      <c r="I890" s="480">
        <v>86.58</v>
      </c>
    </row>
    <row r="891" spans="1:9" ht="51" hidden="1" outlineLevel="3">
      <c r="A891" s="833" t="s">
        <v>801</v>
      </c>
      <c r="B891" s="477" t="s">
        <v>4306</v>
      </c>
      <c r="C891" s="478"/>
      <c r="D891" s="477"/>
      <c r="E891" s="479">
        <v>20401922.260000002</v>
      </c>
      <c r="F891" s="479">
        <v>20401922.260000002</v>
      </c>
      <c r="G891" s="479">
        <v>16499000</v>
      </c>
      <c r="H891" s="479">
        <v>0</v>
      </c>
      <c r="I891" s="480">
        <v>0</v>
      </c>
    </row>
    <row r="892" spans="1:9" ht="51" hidden="1" outlineLevel="4">
      <c r="A892" s="832" t="s">
        <v>801</v>
      </c>
      <c r="B892" s="482" t="s">
        <v>4306</v>
      </c>
      <c r="C892" s="831" t="s">
        <v>803</v>
      </c>
      <c r="D892" s="482" t="s">
        <v>804</v>
      </c>
      <c r="E892" s="484">
        <v>20401922.260000002</v>
      </c>
      <c r="F892" s="484">
        <v>20401922.260000002</v>
      </c>
      <c r="G892" s="484">
        <v>16499000</v>
      </c>
      <c r="H892" s="484">
        <v>0</v>
      </c>
      <c r="I892" s="480">
        <v>0</v>
      </c>
    </row>
    <row r="893" spans="1:9" ht="38.25" hidden="1" outlineLevel="3">
      <c r="A893" s="833" t="s">
        <v>1380</v>
      </c>
      <c r="B893" s="477" t="s">
        <v>4307</v>
      </c>
      <c r="C893" s="478"/>
      <c r="D893" s="477"/>
      <c r="E893" s="479">
        <v>11121690.140000001</v>
      </c>
      <c r="F893" s="479">
        <v>11121690.140000001</v>
      </c>
      <c r="G893" s="479">
        <v>9213630</v>
      </c>
      <c r="H893" s="479">
        <v>9213630</v>
      </c>
      <c r="I893" s="480">
        <v>82.84</v>
      </c>
    </row>
    <row r="894" spans="1:9" ht="38.25" hidden="1" outlineLevel="4">
      <c r="A894" s="832" t="s">
        <v>1380</v>
      </c>
      <c r="B894" s="482" t="s">
        <v>4307</v>
      </c>
      <c r="C894" s="831" t="s">
        <v>896</v>
      </c>
      <c r="D894" s="482" t="s">
        <v>897</v>
      </c>
      <c r="E894" s="484">
        <v>11121690.140000001</v>
      </c>
      <c r="F894" s="484">
        <v>11121690.140000001</v>
      </c>
      <c r="G894" s="484">
        <v>9213630</v>
      </c>
      <c r="H894" s="484">
        <v>9213630</v>
      </c>
      <c r="I894" s="480">
        <v>82.84</v>
      </c>
    </row>
    <row r="895" spans="1:9" ht="76.5" hidden="1" outlineLevel="2">
      <c r="A895" s="850" t="s">
        <v>4308</v>
      </c>
      <c r="B895" s="472" t="s">
        <v>4309</v>
      </c>
      <c r="C895" s="473"/>
      <c r="D895" s="472"/>
      <c r="E895" s="474">
        <v>423941332.27999997</v>
      </c>
      <c r="F895" s="474">
        <v>423941332.27999997</v>
      </c>
      <c r="G895" s="474">
        <v>71014554.140000001</v>
      </c>
      <c r="H895" s="474">
        <v>69956338.980000004</v>
      </c>
      <c r="I895" s="475">
        <v>16.5</v>
      </c>
    </row>
    <row r="896" spans="1:9" ht="63.75" hidden="1" outlineLevel="3">
      <c r="A896" s="833" t="s">
        <v>4310</v>
      </c>
      <c r="B896" s="477" t="s">
        <v>4311</v>
      </c>
      <c r="C896" s="478"/>
      <c r="D896" s="477"/>
      <c r="E896" s="479">
        <v>81870744.209999993</v>
      </c>
      <c r="F896" s="479">
        <v>81870744.209999993</v>
      </c>
      <c r="G896" s="479">
        <v>26695343.050000001</v>
      </c>
      <c r="H896" s="479">
        <v>26695343.050000001</v>
      </c>
      <c r="I896" s="480">
        <v>32.61</v>
      </c>
    </row>
    <row r="897" spans="1:9" ht="63.75" hidden="1" outlineLevel="4">
      <c r="A897" s="832" t="s">
        <v>4310</v>
      </c>
      <c r="B897" s="482" t="s">
        <v>4311</v>
      </c>
      <c r="C897" s="831" t="s">
        <v>896</v>
      </c>
      <c r="D897" s="482" t="s">
        <v>897</v>
      </c>
      <c r="E897" s="484">
        <v>21182574</v>
      </c>
      <c r="F897" s="484">
        <v>21182574</v>
      </c>
      <c r="G897" s="484">
        <v>0</v>
      </c>
      <c r="H897" s="484">
        <v>0</v>
      </c>
      <c r="I897" s="480">
        <v>0</v>
      </c>
    </row>
    <row r="898" spans="1:9" ht="63.75" hidden="1" outlineLevel="4">
      <c r="A898" s="832" t="s">
        <v>4310</v>
      </c>
      <c r="B898" s="482" t="s">
        <v>4311</v>
      </c>
      <c r="C898" s="831" t="s">
        <v>803</v>
      </c>
      <c r="D898" s="482" t="s">
        <v>804</v>
      </c>
      <c r="E898" s="484">
        <v>60688170.210000001</v>
      </c>
      <c r="F898" s="484">
        <v>60688170.210000001</v>
      </c>
      <c r="G898" s="484">
        <v>26695343.050000001</v>
      </c>
      <c r="H898" s="484">
        <v>26695343.050000001</v>
      </c>
      <c r="I898" s="480">
        <v>43.99</v>
      </c>
    </row>
    <row r="899" spans="1:9" ht="38.25" hidden="1" outlineLevel="3">
      <c r="A899" s="833" t="s">
        <v>982</v>
      </c>
      <c r="B899" s="477" t="s">
        <v>4312</v>
      </c>
      <c r="C899" s="478"/>
      <c r="D899" s="477"/>
      <c r="E899" s="479">
        <v>338170588.06999999</v>
      </c>
      <c r="F899" s="479">
        <v>338170588.06999999</v>
      </c>
      <c r="G899" s="479">
        <v>40453531.090000004</v>
      </c>
      <c r="H899" s="479">
        <v>39395315.93</v>
      </c>
      <c r="I899" s="480">
        <v>11.65</v>
      </c>
    </row>
    <row r="900" spans="1:9" ht="38.25" hidden="1" outlineLevel="4">
      <c r="A900" s="832" t="s">
        <v>982</v>
      </c>
      <c r="B900" s="482" t="s">
        <v>4312</v>
      </c>
      <c r="C900" s="831" t="s">
        <v>803</v>
      </c>
      <c r="D900" s="482" t="s">
        <v>804</v>
      </c>
      <c r="E900" s="484">
        <v>338170588.06999999</v>
      </c>
      <c r="F900" s="484">
        <v>338170588.06999999</v>
      </c>
      <c r="G900" s="484">
        <v>40453531.090000004</v>
      </c>
      <c r="H900" s="484">
        <v>39395315.93</v>
      </c>
      <c r="I900" s="480">
        <v>11.65</v>
      </c>
    </row>
    <row r="901" spans="1:9" ht="89.25" hidden="1" outlineLevel="3">
      <c r="A901" s="833" t="s">
        <v>4313</v>
      </c>
      <c r="B901" s="477" t="s">
        <v>4314</v>
      </c>
      <c r="C901" s="478"/>
      <c r="D901" s="477"/>
      <c r="E901" s="479">
        <v>3900000</v>
      </c>
      <c r="F901" s="479">
        <v>3900000</v>
      </c>
      <c r="G901" s="479">
        <v>3865680</v>
      </c>
      <c r="H901" s="479">
        <v>3865680</v>
      </c>
      <c r="I901" s="480">
        <v>99.12</v>
      </c>
    </row>
    <row r="902" spans="1:9" ht="89.25" hidden="1" outlineLevel="4">
      <c r="A902" s="832" t="s">
        <v>4313</v>
      </c>
      <c r="B902" s="482" t="s">
        <v>4314</v>
      </c>
      <c r="C902" s="831" t="s">
        <v>896</v>
      </c>
      <c r="D902" s="482" t="s">
        <v>897</v>
      </c>
      <c r="E902" s="484">
        <v>3900000</v>
      </c>
      <c r="F902" s="484">
        <v>3900000</v>
      </c>
      <c r="G902" s="484">
        <v>3865680</v>
      </c>
      <c r="H902" s="484">
        <v>3865680</v>
      </c>
      <c r="I902" s="480">
        <v>99.12</v>
      </c>
    </row>
    <row r="903" spans="1:9" ht="25.5" hidden="1" outlineLevel="2">
      <c r="A903" s="850" t="s">
        <v>4315</v>
      </c>
      <c r="B903" s="472" t="s">
        <v>4316</v>
      </c>
      <c r="C903" s="473"/>
      <c r="D903" s="472"/>
      <c r="E903" s="474">
        <v>30000000</v>
      </c>
      <c r="F903" s="474">
        <v>29179115.629999999</v>
      </c>
      <c r="G903" s="474">
        <v>26724375.629999999</v>
      </c>
      <c r="H903" s="474">
        <v>26724375.629999999</v>
      </c>
      <c r="I903" s="475">
        <v>89.08</v>
      </c>
    </row>
    <row r="904" spans="1:9" ht="76.5" hidden="1" outlineLevel="3">
      <c r="A904" s="833" t="s">
        <v>702</v>
      </c>
      <c r="B904" s="477" t="s">
        <v>4317</v>
      </c>
      <c r="C904" s="478"/>
      <c r="D904" s="477"/>
      <c r="E904" s="479">
        <v>10000000</v>
      </c>
      <c r="F904" s="479">
        <v>10000000</v>
      </c>
      <c r="G904" s="479">
        <v>10000000</v>
      </c>
      <c r="H904" s="479">
        <v>10000000</v>
      </c>
      <c r="I904" s="480">
        <v>100</v>
      </c>
    </row>
    <row r="905" spans="1:9" ht="76.5" hidden="1" outlineLevel="4">
      <c r="A905" s="832" t="s">
        <v>702</v>
      </c>
      <c r="B905" s="482" t="s">
        <v>4317</v>
      </c>
      <c r="C905" s="831" t="s">
        <v>896</v>
      </c>
      <c r="D905" s="482" t="s">
        <v>897</v>
      </c>
      <c r="E905" s="484">
        <v>10000000</v>
      </c>
      <c r="F905" s="484">
        <v>10000000</v>
      </c>
      <c r="G905" s="484">
        <v>10000000</v>
      </c>
      <c r="H905" s="484">
        <v>10000000</v>
      </c>
      <c r="I905" s="480">
        <v>100</v>
      </c>
    </row>
    <row r="906" spans="1:9" ht="38.25" hidden="1" outlineLevel="3">
      <c r="A906" s="833" t="s">
        <v>4318</v>
      </c>
      <c r="B906" s="477" t="s">
        <v>4319</v>
      </c>
      <c r="C906" s="478"/>
      <c r="D906" s="477"/>
      <c r="E906" s="479">
        <v>20000000</v>
      </c>
      <c r="F906" s="479">
        <v>19179115.629999999</v>
      </c>
      <c r="G906" s="479">
        <v>16724375.630000001</v>
      </c>
      <c r="H906" s="479">
        <v>16724375.630000001</v>
      </c>
      <c r="I906" s="480">
        <v>83.62</v>
      </c>
    </row>
    <row r="907" spans="1:9" ht="38.25" hidden="1" outlineLevel="4">
      <c r="A907" s="832" t="s">
        <v>4318</v>
      </c>
      <c r="B907" s="482" t="s">
        <v>4319</v>
      </c>
      <c r="C907" s="831" t="s">
        <v>896</v>
      </c>
      <c r="D907" s="482" t="s">
        <v>897</v>
      </c>
      <c r="E907" s="484">
        <v>20000000</v>
      </c>
      <c r="F907" s="484">
        <v>19179115.629999999</v>
      </c>
      <c r="G907" s="484">
        <v>16724375.630000001</v>
      </c>
      <c r="H907" s="484">
        <v>16724375.630000001</v>
      </c>
      <c r="I907" s="480">
        <v>83.62</v>
      </c>
    </row>
    <row r="908" spans="1:9" ht="51" hidden="1" outlineLevel="2">
      <c r="A908" s="850" t="s">
        <v>4320</v>
      </c>
      <c r="B908" s="472" t="s">
        <v>4321</v>
      </c>
      <c r="C908" s="473"/>
      <c r="D908" s="472"/>
      <c r="E908" s="474">
        <v>182097800</v>
      </c>
      <c r="F908" s="474">
        <v>182097800</v>
      </c>
      <c r="G908" s="474">
        <v>130000000</v>
      </c>
      <c r="H908" s="474">
        <v>120000000</v>
      </c>
      <c r="I908" s="475">
        <v>65.900000000000006</v>
      </c>
    </row>
    <row r="909" spans="1:9" ht="63.75" hidden="1" outlineLevel="3">
      <c r="A909" s="833" t="s">
        <v>3260</v>
      </c>
      <c r="B909" s="477" t="s">
        <v>4322</v>
      </c>
      <c r="C909" s="478"/>
      <c r="D909" s="477"/>
      <c r="E909" s="479">
        <v>182097800</v>
      </c>
      <c r="F909" s="479">
        <v>182097800</v>
      </c>
      <c r="G909" s="479">
        <v>130000000</v>
      </c>
      <c r="H909" s="479">
        <v>120000000</v>
      </c>
      <c r="I909" s="480">
        <v>65.900000000000006</v>
      </c>
    </row>
    <row r="910" spans="1:9" ht="63.75" hidden="1" outlineLevel="4">
      <c r="A910" s="832" t="s">
        <v>3260</v>
      </c>
      <c r="B910" s="482" t="s">
        <v>4322</v>
      </c>
      <c r="C910" s="831" t="s">
        <v>803</v>
      </c>
      <c r="D910" s="482" t="s">
        <v>804</v>
      </c>
      <c r="E910" s="484">
        <v>182097800</v>
      </c>
      <c r="F910" s="484">
        <v>182097800</v>
      </c>
      <c r="G910" s="484">
        <v>130000000</v>
      </c>
      <c r="H910" s="484">
        <v>120000000</v>
      </c>
      <c r="I910" s="480">
        <v>65.900000000000006</v>
      </c>
    </row>
    <row r="911" spans="1:9" ht="25.5" hidden="1" outlineLevel="2">
      <c r="A911" s="850" t="s">
        <v>1398</v>
      </c>
      <c r="B911" s="472" t="s">
        <v>4323</v>
      </c>
      <c r="C911" s="473"/>
      <c r="D911" s="472"/>
      <c r="E911" s="474">
        <v>291756165</v>
      </c>
      <c r="F911" s="474">
        <v>291756165</v>
      </c>
      <c r="G911" s="474">
        <v>191064422.47</v>
      </c>
      <c r="H911" s="474">
        <v>191064422.44999999</v>
      </c>
      <c r="I911" s="475">
        <v>65.489999999999995</v>
      </c>
    </row>
    <row r="912" spans="1:9" ht="25.5" hidden="1" outlineLevel="3">
      <c r="A912" s="833" t="s">
        <v>4324</v>
      </c>
      <c r="B912" s="477" t="s">
        <v>4325</v>
      </c>
      <c r="C912" s="478"/>
      <c r="D912" s="477"/>
      <c r="E912" s="479">
        <v>141544465</v>
      </c>
      <c r="F912" s="479">
        <v>141544465</v>
      </c>
      <c r="G912" s="479">
        <v>115513948.05</v>
      </c>
      <c r="H912" s="479">
        <v>115513948.05</v>
      </c>
      <c r="I912" s="480">
        <v>81.61</v>
      </c>
    </row>
    <row r="913" spans="1:9" ht="25.5" hidden="1" outlineLevel="4">
      <c r="A913" s="832" t="s">
        <v>4324</v>
      </c>
      <c r="B913" s="482" t="s">
        <v>4325</v>
      </c>
      <c r="C913" s="831" t="s">
        <v>803</v>
      </c>
      <c r="D913" s="482" t="s">
        <v>804</v>
      </c>
      <c r="E913" s="484">
        <v>141544465</v>
      </c>
      <c r="F913" s="484">
        <v>141544465</v>
      </c>
      <c r="G913" s="484">
        <v>115513948.05</v>
      </c>
      <c r="H913" s="484">
        <v>115513948.05</v>
      </c>
      <c r="I913" s="480">
        <v>81.61</v>
      </c>
    </row>
    <row r="914" spans="1:9" ht="25.5" hidden="1" outlineLevel="3">
      <c r="A914" s="833" t="s">
        <v>4258</v>
      </c>
      <c r="B914" s="477" t="s">
        <v>4326</v>
      </c>
      <c r="C914" s="478"/>
      <c r="D914" s="477"/>
      <c r="E914" s="479">
        <v>150211700</v>
      </c>
      <c r="F914" s="479">
        <v>150211700</v>
      </c>
      <c r="G914" s="479">
        <v>75550474.420000002</v>
      </c>
      <c r="H914" s="479">
        <v>75550474.400000006</v>
      </c>
      <c r="I914" s="480">
        <v>50.3</v>
      </c>
    </row>
    <row r="915" spans="1:9" ht="25.5" hidden="1" outlineLevel="4">
      <c r="A915" s="832" t="s">
        <v>4258</v>
      </c>
      <c r="B915" s="482" t="s">
        <v>4326</v>
      </c>
      <c r="C915" s="831" t="s">
        <v>896</v>
      </c>
      <c r="D915" s="482" t="s">
        <v>897</v>
      </c>
      <c r="E915" s="484">
        <v>38166500</v>
      </c>
      <c r="F915" s="484">
        <v>38166500</v>
      </c>
      <c r="G915" s="484">
        <v>38166500</v>
      </c>
      <c r="H915" s="484">
        <v>38166499.979999997</v>
      </c>
      <c r="I915" s="480">
        <v>100</v>
      </c>
    </row>
    <row r="916" spans="1:9" ht="25.5" hidden="1" outlineLevel="4">
      <c r="A916" s="832" t="s">
        <v>4258</v>
      </c>
      <c r="B916" s="482" t="s">
        <v>4326</v>
      </c>
      <c r="C916" s="831" t="s">
        <v>803</v>
      </c>
      <c r="D916" s="482" t="s">
        <v>804</v>
      </c>
      <c r="E916" s="484">
        <v>112045200</v>
      </c>
      <c r="F916" s="484">
        <v>112045200</v>
      </c>
      <c r="G916" s="484">
        <v>37383974.420000002</v>
      </c>
      <c r="H916" s="484">
        <v>37383974.420000002</v>
      </c>
      <c r="I916" s="480">
        <v>33.369999999999997</v>
      </c>
    </row>
    <row r="917" spans="1:9" ht="25.5" hidden="1" outlineLevel="2">
      <c r="A917" s="850" t="s">
        <v>4327</v>
      </c>
      <c r="B917" s="472" t="s">
        <v>4328</v>
      </c>
      <c r="C917" s="473"/>
      <c r="D917" s="472"/>
      <c r="E917" s="474">
        <v>212766</v>
      </c>
      <c r="F917" s="474">
        <v>212766</v>
      </c>
      <c r="G917" s="474">
        <v>212766</v>
      </c>
      <c r="H917" s="474">
        <v>212766</v>
      </c>
      <c r="I917" s="475">
        <v>100</v>
      </c>
    </row>
    <row r="918" spans="1:9" ht="25.5" hidden="1" outlineLevel="3">
      <c r="A918" s="833" t="s">
        <v>4258</v>
      </c>
      <c r="B918" s="477" t="s">
        <v>4329</v>
      </c>
      <c r="C918" s="478"/>
      <c r="D918" s="477"/>
      <c r="E918" s="479">
        <v>212766</v>
      </c>
      <c r="F918" s="479">
        <v>212766</v>
      </c>
      <c r="G918" s="479">
        <v>212766</v>
      </c>
      <c r="H918" s="479">
        <v>212766</v>
      </c>
      <c r="I918" s="480">
        <v>100</v>
      </c>
    </row>
    <row r="919" spans="1:9" ht="25.5" hidden="1" outlineLevel="4">
      <c r="A919" s="832" t="s">
        <v>4258</v>
      </c>
      <c r="B919" s="482" t="s">
        <v>4329</v>
      </c>
      <c r="C919" s="831" t="s">
        <v>896</v>
      </c>
      <c r="D919" s="482" t="s">
        <v>897</v>
      </c>
      <c r="E919" s="484">
        <v>212766</v>
      </c>
      <c r="F919" s="484">
        <v>212766</v>
      </c>
      <c r="G919" s="484">
        <v>212766</v>
      </c>
      <c r="H919" s="484">
        <v>212766</v>
      </c>
      <c r="I919" s="480">
        <v>100</v>
      </c>
    </row>
    <row r="920" spans="1:9" ht="25.5" hidden="1" outlineLevel="2">
      <c r="A920" s="850" t="s">
        <v>1438</v>
      </c>
      <c r="B920" s="472" t="s">
        <v>4330</v>
      </c>
      <c r="C920" s="473"/>
      <c r="D920" s="472"/>
      <c r="E920" s="474">
        <v>3500000</v>
      </c>
      <c r="F920" s="474">
        <v>3500000</v>
      </c>
      <c r="G920" s="474">
        <v>3500000</v>
      </c>
      <c r="H920" s="474">
        <v>3500000</v>
      </c>
      <c r="I920" s="475">
        <v>100</v>
      </c>
    </row>
    <row r="921" spans="1:9" hidden="1" outlineLevel="3">
      <c r="A921" s="833" t="s">
        <v>1440</v>
      </c>
      <c r="B921" s="477" t="s">
        <v>4331</v>
      </c>
      <c r="C921" s="478"/>
      <c r="D921" s="477"/>
      <c r="E921" s="479">
        <v>3500000</v>
      </c>
      <c r="F921" s="479">
        <v>3500000</v>
      </c>
      <c r="G921" s="479">
        <v>3500000</v>
      </c>
      <c r="H921" s="479">
        <v>3500000</v>
      </c>
      <c r="I921" s="480">
        <v>100</v>
      </c>
    </row>
    <row r="922" spans="1:9" ht="25.5" hidden="1" outlineLevel="4">
      <c r="A922" s="832" t="s">
        <v>1440</v>
      </c>
      <c r="B922" s="482" t="s">
        <v>4331</v>
      </c>
      <c r="C922" s="831" t="s">
        <v>896</v>
      </c>
      <c r="D922" s="482" t="s">
        <v>897</v>
      </c>
      <c r="E922" s="484">
        <v>3500000</v>
      </c>
      <c r="F922" s="484">
        <v>3500000</v>
      </c>
      <c r="G922" s="484">
        <v>3500000</v>
      </c>
      <c r="H922" s="484">
        <v>3500000</v>
      </c>
      <c r="I922" s="480">
        <v>100</v>
      </c>
    </row>
    <row r="923" spans="1:9" ht="38.25" hidden="1" outlineLevel="1">
      <c r="A923" s="851" t="s">
        <v>1019</v>
      </c>
      <c r="B923" s="467" t="s">
        <v>4332</v>
      </c>
      <c r="C923" s="468"/>
      <c r="D923" s="467"/>
      <c r="E923" s="469">
        <v>274929230.87</v>
      </c>
      <c r="F923" s="469">
        <v>267010844.03</v>
      </c>
      <c r="G923" s="469">
        <v>192238253.84</v>
      </c>
      <c r="H923" s="469">
        <v>187254806.21000001</v>
      </c>
      <c r="I923" s="470">
        <v>68.11</v>
      </c>
    </row>
    <row r="924" spans="1:9" ht="51" hidden="1" outlineLevel="2">
      <c r="A924" s="850" t="s">
        <v>1404</v>
      </c>
      <c r="B924" s="472" t="s">
        <v>4333</v>
      </c>
      <c r="C924" s="473"/>
      <c r="D924" s="472"/>
      <c r="E924" s="474">
        <v>74055151.870000005</v>
      </c>
      <c r="F924" s="474">
        <v>66136765.030000001</v>
      </c>
      <c r="G924" s="474">
        <v>51258253.840000004</v>
      </c>
      <c r="H924" s="474">
        <v>46274806.210000001</v>
      </c>
      <c r="I924" s="475">
        <v>62.49</v>
      </c>
    </row>
    <row r="925" spans="1:9" ht="25.5" hidden="1" outlineLevel="3">
      <c r="A925" s="833" t="s">
        <v>873</v>
      </c>
      <c r="B925" s="477" t="s">
        <v>4334</v>
      </c>
      <c r="C925" s="478"/>
      <c r="D925" s="477"/>
      <c r="E925" s="479">
        <v>57418364.57</v>
      </c>
      <c r="F925" s="479">
        <v>49499977.729999997</v>
      </c>
      <c r="G925" s="479">
        <v>38967600</v>
      </c>
      <c r="H925" s="479">
        <v>34013152.380000003</v>
      </c>
      <c r="I925" s="480">
        <v>59.24</v>
      </c>
    </row>
    <row r="926" spans="1:9" ht="25.5" hidden="1" outlineLevel="4">
      <c r="A926" s="832" t="s">
        <v>873</v>
      </c>
      <c r="B926" s="482" t="s">
        <v>4334</v>
      </c>
      <c r="C926" s="831" t="s">
        <v>896</v>
      </c>
      <c r="D926" s="482" t="s">
        <v>897</v>
      </c>
      <c r="E926" s="484">
        <v>57418364.57</v>
      </c>
      <c r="F926" s="484">
        <v>49499977.729999997</v>
      </c>
      <c r="G926" s="484">
        <v>38967600</v>
      </c>
      <c r="H926" s="484">
        <v>34013152.380000003</v>
      </c>
      <c r="I926" s="480">
        <v>59.24</v>
      </c>
    </row>
    <row r="927" spans="1:9" ht="38.25" hidden="1" outlineLevel="3">
      <c r="A927" s="833" t="s">
        <v>854</v>
      </c>
      <c r="B927" s="477" t="s">
        <v>4335</v>
      </c>
      <c r="C927" s="478"/>
      <c r="D927" s="477"/>
      <c r="E927" s="479">
        <v>1727031.3</v>
      </c>
      <c r="F927" s="479">
        <v>1727031.3</v>
      </c>
      <c r="G927" s="479">
        <v>1313460.69</v>
      </c>
      <c r="H927" s="479">
        <v>1313460.69</v>
      </c>
      <c r="I927" s="480">
        <v>76.05</v>
      </c>
    </row>
    <row r="928" spans="1:9" ht="38.25" hidden="1" outlineLevel="4">
      <c r="A928" s="832" t="s">
        <v>854</v>
      </c>
      <c r="B928" s="482" t="s">
        <v>4335</v>
      </c>
      <c r="C928" s="831" t="s">
        <v>896</v>
      </c>
      <c r="D928" s="482" t="s">
        <v>897</v>
      </c>
      <c r="E928" s="484">
        <v>1727031.3</v>
      </c>
      <c r="F928" s="484">
        <v>1727031.3</v>
      </c>
      <c r="G928" s="484">
        <v>1313460.69</v>
      </c>
      <c r="H928" s="484">
        <v>1313460.69</v>
      </c>
      <c r="I928" s="480">
        <v>76.05</v>
      </c>
    </row>
    <row r="929" spans="1:9" ht="63.75" hidden="1" outlineLevel="3">
      <c r="A929" s="833" t="s">
        <v>62</v>
      </c>
      <c r="B929" s="477" t="s">
        <v>4336</v>
      </c>
      <c r="C929" s="478"/>
      <c r="D929" s="477"/>
      <c r="E929" s="479">
        <v>13727486.800000001</v>
      </c>
      <c r="F929" s="479">
        <v>13727486.800000001</v>
      </c>
      <c r="G929" s="479">
        <v>10734193.15</v>
      </c>
      <c r="H929" s="479">
        <v>10734193.15</v>
      </c>
      <c r="I929" s="480">
        <v>78.19</v>
      </c>
    </row>
    <row r="930" spans="1:9" ht="63.75" hidden="1" outlineLevel="4">
      <c r="A930" s="832" t="s">
        <v>62</v>
      </c>
      <c r="B930" s="482" t="s">
        <v>4336</v>
      </c>
      <c r="C930" s="831" t="s">
        <v>896</v>
      </c>
      <c r="D930" s="482" t="s">
        <v>897</v>
      </c>
      <c r="E930" s="484">
        <v>13727486.800000001</v>
      </c>
      <c r="F930" s="484">
        <v>13727486.800000001</v>
      </c>
      <c r="G930" s="484">
        <v>10734193.15</v>
      </c>
      <c r="H930" s="484">
        <v>10734193.15</v>
      </c>
      <c r="I930" s="480">
        <v>78.19</v>
      </c>
    </row>
    <row r="931" spans="1:9" ht="76.5" hidden="1" outlineLevel="3">
      <c r="A931" s="833" t="s">
        <v>156</v>
      </c>
      <c r="B931" s="477" t="s">
        <v>4337</v>
      </c>
      <c r="C931" s="478"/>
      <c r="D931" s="477"/>
      <c r="E931" s="479">
        <v>719669.2</v>
      </c>
      <c r="F931" s="479">
        <v>719669.2</v>
      </c>
      <c r="G931" s="479">
        <v>0</v>
      </c>
      <c r="H931" s="479">
        <v>0</v>
      </c>
      <c r="I931" s="480">
        <v>0</v>
      </c>
    </row>
    <row r="932" spans="1:9" ht="76.5" hidden="1" outlineLevel="4">
      <c r="A932" s="832" t="s">
        <v>156</v>
      </c>
      <c r="B932" s="482" t="s">
        <v>4337</v>
      </c>
      <c r="C932" s="831" t="s">
        <v>896</v>
      </c>
      <c r="D932" s="482" t="s">
        <v>897</v>
      </c>
      <c r="E932" s="484">
        <v>719669.2</v>
      </c>
      <c r="F932" s="484">
        <v>719669.2</v>
      </c>
      <c r="G932" s="484">
        <v>0</v>
      </c>
      <c r="H932" s="484">
        <v>0</v>
      </c>
      <c r="I932" s="480">
        <v>0</v>
      </c>
    </row>
    <row r="933" spans="1:9" ht="25.5" hidden="1" outlineLevel="3">
      <c r="A933" s="833" t="s">
        <v>713</v>
      </c>
      <c r="B933" s="477" t="s">
        <v>4338</v>
      </c>
      <c r="C933" s="478"/>
      <c r="D933" s="477"/>
      <c r="E933" s="479">
        <v>180000</v>
      </c>
      <c r="F933" s="479">
        <v>180000</v>
      </c>
      <c r="G933" s="479">
        <v>0</v>
      </c>
      <c r="H933" s="479">
        <v>0</v>
      </c>
      <c r="I933" s="480">
        <v>0</v>
      </c>
    </row>
    <row r="934" spans="1:9" ht="25.5" hidden="1" outlineLevel="4">
      <c r="A934" s="832" t="s">
        <v>713</v>
      </c>
      <c r="B934" s="482" t="s">
        <v>4338</v>
      </c>
      <c r="C934" s="831" t="s">
        <v>896</v>
      </c>
      <c r="D934" s="482" t="s">
        <v>897</v>
      </c>
      <c r="E934" s="484">
        <v>180000</v>
      </c>
      <c r="F934" s="484">
        <v>180000</v>
      </c>
      <c r="G934" s="484">
        <v>0</v>
      </c>
      <c r="H934" s="484">
        <v>0</v>
      </c>
      <c r="I934" s="480">
        <v>0</v>
      </c>
    </row>
    <row r="935" spans="1:9" ht="38.25" hidden="1" outlineLevel="3">
      <c r="A935" s="833" t="s">
        <v>4339</v>
      </c>
      <c r="B935" s="477" t="s">
        <v>4340</v>
      </c>
      <c r="C935" s="478"/>
      <c r="D935" s="477"/>
      <c r="E935" s="479">
        <v>282600</v>
      </c>
      <c r="F935" s="479">
        <v>282600</v>
      </c>
      <c r="G935" s="479">
        <v>243000</v>
      </c>
      <c r="H935" s="479">
        <v>213999.99</v>
      </c>
      <c r="I935" s="480">
        <v>75.73</v>
      </c>
    </row>
    <row r="936" spans="1:9" ht="38.25" hidden="1" outlineLevel="4">
      <c r="A936" s="832" t="s">
        <v>4339</v>
      </c>
      <c r="B936" s="482" t="s">
        <v>4340</v>
      </c>
      <c r="C936" s="831" t="s">
        <v>896</v>
      </c>
      <c r="D936" s="482" t="s">
        <v>897</v>
      </c>
      <c r="E936" s="484">
        <v>282600</v>
      </c>
      <c r="F936" s="484">
        <v>282600</v>
      </c>
      <c r="G936" s="484">
        <v>243000</v>
      </c>
      <c r="H936" s="484">
        <v>213999.99</v>
      </c>
      <c r="I936" s="480">
        <v>75.73</v>
      </c>
    </row>
    <row r="937" spans="1:9" ht="76.5" hidden="1" outlineLevel="2">
      <c r="A937" s="850" t="s">
        <v>4341</v>
      </c>
      <c r="B937" s="472" t="s">
        <v>4342</v>
      </c>
      <c r="C937" s="473"/>
      <c r="D937" s="472"/>
      <c r="E937" s="474">
        <v>200874079</v>
      </c>
      <c r="F937" s="474">
        <v>200874079</v>
      </c>
      <c r="G937" s="474">
        <v>140980000</v>
      </c>
      <c r="H937" s="474">
        <v>140980000</v>
      </c>
      <c r="I937" s="475">
        <v>70.180000000000007</v>
      </c>
    </row>
    <row r="938" spans="1:9" ht="76.5" hidden="1" outlineLevel="3">
      <c r="A938" s="833" t="s">
        <v>702</v>
      </c>
      <c r="B938" s="477" t="s">
        <v>4343</v>
      </c>
      <c r="C938" s="478"/>
      <c r="D938" s="477"/>
      <c r="E938" s="479">
        <v>200874079</v>
      </c>
      <c r="F938" s="479">
        <v>200874079</v>
      </c>
      <c r="G938" s="479">
        <v>140980000</v>
      </c>
      <c r="H938" s="479">
        <v>140980000</v>
      </c>
      <c r="I938" s="480">
        <v>70.180000000000007</v>
      </c>
    </row>
    <row r="939" spans="1:9" ht="76.5" hidden="1" outlineLevel="4">
      <c r="A939" s="832" t="s">
        <v>702</v>
      </c>
      <c r="B939" s="482" t="s">
        <v>4343</v>
      </c>
      <c r="C939" s="831" t="s">
        <v>896</v>
      </c>
      <c r="D939" s="482" t="s">
        <v>897</v>
      </c>
      <c r="E939" s="484">
        <v>200874079</v>
      </c>
      <c r="F939" s="484">
        <v>200874079</v>
      </c>
      <c r="G939" s="484">
        <v>140980000</v>
      </c>
      <c r="H939" s="484">
        <v>140980000</v>
      </c>
      <c r="I939" s="480">
        <v>70.180000000000007</v>
      </c>
    </row>
    <row r="940" spans="1:9" ht="30.75" collapsed="1" thickBot="1">
      <c r="A940" s="854" t="s">
        <v>4344</v>
      </c>
      <c r="B940" s="853" t="s">
        <v>4345</v>
      </c>
      <c r="C940" s="463"/>
      <c r="D940" s="853"/>
      <c r="E940" s="852">
        <v>1088008451</v>
      </c>
      <c r="F940" s="852">
        <v>1087445751</v>
      </c>
      <c r="G940" s="852">
        <v>808351238.26999998</v>
      </c>
      <c r="H940" s="852">
        <v>754081184.91999996</v>
      </c>
      <c r="I940" s="465">
        <v>69.31</v>
      </c>
    </row>
    <row r="941" spans="1:9" ht="25.5" hidden="1" outlineLevel="1">
      <c r="A941" s="851" t="s">
        <v>1444</v>
      </c>
      <c r="B941" s="467" t="s">
        <v>4346</v>
      </c>
      <c r="C941" s="468"/>
      <c r="D941" s="467"/>
      <c r="E941" s="469">
        <v>1085246150</v>
      </c>
      <c r="F941" s="469">
        <v>1084683450</v>
      </c>
      <c r="G941" s="469">
        <v>806878785.96000004</v>
      </c>
      <c r="H941" s="469">
        <v>752618788.15999997</v>
      </c>
      <c r="I941" s="470">
        <v>69.349999999999994</v>
      </c>
    </row>
    <row r="942" spans="1:9" ht="38.25" hidden="1" outlineLevel="2">
      <c r="A942" s="850" t="s">
        <v>1446</v>
      </c>
      <c r="B942" s="472" t="s">
        <v>4347</v>
      </c>
      <c r="C942" s="473"/>
      <c r="D942" s="472"/>
      <c r="E942" s="474">
        <v>970088450</v>
      </c>
      <c r="F942" s="474">
        <v>970088450</v>
      </c>
      <c r="G942" s="474">
        <v>773966934.59000003</v>
      </c>
      <c r="H942" s="474">
        <v>719706936.78999996</v>
      </c>
      <c r="I942" s="475">
        <v>74.19</v>
      </c>
    </row>
    <row r="943" spans="1:9" ht="76.5" hidden="1" outlineLevel="3">
      <c r="A943" s="833" t="s">
        <v>702</v>
      </c>
      <c r="B943" s="477" t="s">
        <v>4348</v>
      </c>
      <c r="C943" s="478"/>
      <c r="D943" s="477"/>
      <c r="E943" s="479">
        <v>459824350</v>
      </c>
      <c r="F943" s="479">
        <v>459824350</v>
      </c>
      <c r="G943" s="479">
        <v>375611313.77999997</v>
      </c>
      <c r="H943" s="479">
        <v>340899473.77999997</v>
      </c>
      <c r="I943" s="480">
        <v>74.14</v>
      </c>
    </row>
    <row r="944" spans="1:9" ht="76.5" hidden="1" outlineLevel="4">
      <c r="A944" s="832" t="s">
        <v>702</v>
      </c>
      <c r="B944" s="482" t="s">
        <v>4348</v>
      </c>
      <c r="C944" s="831" t="s">
        <v>1043</v>
      </c>
      <c r="D944" s="482" t="s">
        <v>1044</v>
      </c>
      <c r="E944" s="484">
        <v>459824350</v>
      </c>
      <c r="F944" s="484">
        <v>459824350</v>
      </c>
      <c r="G944" s="484">
        <v>375611313.77999997</v>
      </c>
      <c r="H944" s="484">
        <v>340899473.77999997</v>
      </c>
      <c r="I944" s="480">
        <v>74.14</v>
      </c>
    </row>
    <row r="945" spans="1:9" ht="63.75" hidden="1" outlineLevel="3">
      <c r="A945" s="833" t="s">
        <v>62</v>
      </c>
      <c r="B945" s="477" t="s">
        <v>4349</v>
      </c>
      <c r="C945" s="478"/>
      <c r="D945" s="477"/>
      <c r="E945" s="479">
        <v>5895100</v>
      </c>
      <c r="F945" s="479">
        <v>5895100</v>
      </c>
      <c r="G945" s="479">
        <v>3980000</v>
      </c>
      <c r="H945" s="479">
        <v>3980000</v>
      </c>
      <c r="I945" s="480">
        <v>67.510000000000005</v>
      </c>
    </row>
    <row r="946" spans="1:9" ht="63.75" hidden="1" outlineLevel="4">
      <c r="A946" s="832" t="s">
        <v>62</v>
      </c>
      <c r="B946" s="482" t="s">
        <v>4349</v>
      </c>
      <c r="C946" s="831" t="s">
        <v>1043</v>
      </c>
      <c r="D946" s="482" t="s">
        <v>1044</v>
      </c>
      <c r="E946" s="484">
        <v>5895100</v>
      </c>
      <c r="F946" s="484">
        <v>5895100</v>
      </c>
      <c r="G946" s="484">
        <v>3980000</v>
      </c>
      <c r="H946" s="484">
        <v>3980000</v>
      </c>
      <c r="I946" s="480">
        <v>67.510000000000005</v>
      </c>
    </row>
    <row r="947" spans="1:9" ht="76.5" hidden="1" outlineLevel="3">
      <c r="A947" s="833" t="s">
        <v>156</v>
      </c>
      <c r="B947" s="477" t="s">
        <v>4350</v>
      </c>
      <c r="C947" s="478"/>
      <c r="D947" s="477"/>
      <c r="E947" s="479">
        <v>50000</v>
      </c>
      <c r="F947" s="479">
        <v>50000</v>
      </c>
      <c r="G947" s="479">
        <v>0</v>
      </c>
      <c r="H947" s="479">
        <v>0</v>
      </c>
      <c r="I947" s="480">
        <v>0</v>
      </c>
    </row>
    <row r="948" spans="1:9" ht="76.5" hidden="1" outlineLevel="4">
      <c r="A948" s="832" t="s">
        <v>156</v>
      </c>
      <c r="B948" s="482" t="s">
        <v>4350</v>
      </c>
      <c r="C948" s="831" t="s">
        <v>1043</v>
      </c>
      <c r="D948" s="482" t="s">
        <v>1044</v>
      </c>
      <c r="E948" s="484">
        <v>50000</v>
      </c>
      <c r="F948" s="484">
        <v>50000</v>
      </c>
      <c r="G948" s="484">
        <v>0</v>
      </c>
      <c r="H948" s="484">
        <v>0</v>
      </c>
      <c r="I948" s="480">
        <v>0</v>
      </c>
    </row>
    <row r="949" spans="1:9" ht="89.25" hidden="1" outlineLevel="3">
      <c r="A949" s="833" t="s">
        <v>4351</v>
      </c>
      <c r="B949" s="477" t="s">
        <v>4352</v>
      </c>
      <c r="C949" s="478"/>
      <c r="D949" s="477"/>
      <c r="E949" s="479">
        <v>323602700</v>
      </c>
      <c r="F949" s="479">
        <v>323602700</v>
      </c>
      <c r="G949" s="479">
        <v>236882300.11000001</v>
      </c>
      <c r="H949" s="479">
        <v>217334142.31</v>
      </c>
      <c r="I949" s="480">
        <v>67.16</v>
      </c>
    </row>
    <row r="950" spans="1:9" ht="89.25" hidden="1" outlineLevel="4">
      <c r="A950" s="832" t="s">
        <v>4351</v>
      </c>
      <c r="B950" s="482" t="s">
        <v>4352</v>
      </c>
      <c r="C950" s="831" t="s">
        <v>1043</v>
      </c>
      <c r="D950" s="482" t="s">
        <v>1044</v>
      </c>
      <c r="E950" s="484">
        <v>323602700</v>
      </c>
      <c r="F950" s="484">
        <v>323602700</v>
      </c>
      <c r="G950" s="484">
        <v>236882300.11000001</v>
      </c>
      <c r="H950" s="484">
        <v>217334142.31</v>
      </c>
      <c r="I950" s="480">
        <v>67.16</v>
      </c>
    </row>
    <row r="951" spans="1:9" ht="63.75" hidden="1" outlineLevel="3">
      <c r="A951" s="833" t="s">
        <v>4353</v>
      </c>
      <c r="B951" s="477" t="s">
        <v>4354</v>
      </c>
      <c r="C951" s="478"/>
      <c r="D951" s="477"/>
      <c r="E951" s="479">
        <v>4500000</v>
      </c>
      <c r="F951" s="479">
        <v>4500000</v>
      </c>
      <c r="G951" s="479">
        <v>1800000</v>
      </c>
      <c r="H951" s="479">
        <v>1800000</v>
      </c>
      <c r="I951" s="480">
        <v>40</v>
      </c>
    </row>
    <row r="952" spans="1:9" ht="63.75" hidden="1" outlineLevel="4">
      <c r="A952" s="832" t="s">
        <v>4353</v>
      </c>
      <c r="B952" s="482" t="s">
        <v>4354</v>
      </c>
      <c r="C952" s="831" t="s">
        <v>1043</v>
      </c>
      <c r="D952" s="482" t="s">
        <v>1044</v>
      </c>
      <c r="E952" s="484">
        <v>4500000</v>
      </c>
      <c r="F952" s="484">
        <v>4500000</v>
      </c>
      <c r="G952" s="484">
        <v>1800000</v>
      </c>
      <c r="H952" s="484">
        <v>1800000</v>
      </c>
      <c r="I952" s="480">
        <v>40</v>
      </c>
    </row>
    <row r="953" spans="1:9" ht="76.5" hidden="1" outlineLevel="3">
      <c r="A953" s="833" t="s">
        <v>4355</v>
      </c>
      <c r="B953" s="477" t="s">
        <v>4356</v>
      </c>
      <c r="C953" s="478"/>
      <c r="D953" s="477"/>
      <c r="E953" s="479">
        <v>19016300</v>
      </c>
      <c r="F953" s="479">
        <v>19016300</v>
      </c>
      <c r="G953" s="479">
        <v>16120998.640000001</v>
      </c>
      <c r="H953" s="479">
        <v>16120998.640000001</v>
      </c>
      <c r="I953" s="480">
        <v>84.77</v>
      </c>
    </row>
    <row r="954" spans="1:9" ht="76.5" hidden="1" outlineLevel="4">
      <c r="A954" s="832" t="s">
        <v>4355</v>
      </c>
      <c r="B954" s="482" t="s">
        <v>4356</v>
      </c>
      <c r="C954" s="831" t="s">
        <v>1043</v>
      </c>
      <c r="D954" s="482" t="s">
        <v>1044</v>
      </c>
      <c r="E954" s="484">
        <v>19016300</v>
      </c>
      <c r="F954" s="484">
        <v>19016300</v>
      </c>
      <c r="G954" s="484">
        <v>16120998.640000001</v>
      </c>
      <c r="H954" s="484">
        <v>16120998.640000001</v>
      </c>
      <c r="I954" s="480">
        <v>84.77</v>
      </c>
    </row>
    <row r="955" spans="1:9" ht="89.25" hidden="1" outlineLevel="3">
      <c r="A955" s="833" t="s">
        <v>4357</v>
      </c>
      <c r="B955" s="477" t="s">
        <v>4358</v>
      </c>
      <c r="C955" s="478"/>
      <c r="D955" s="477"/>
      <c r="E955" s="479">
        <v>157200000</v>
      </c>
      <c r="F955" s="479">
        <v>157200000</v>
      </c>
      <c r="G955" s="479">
        <v>139572322.06</v>
      </c>
      <c r="H955" s="479">
        <v>139572322.06</v>
      </c>
      <c r="I955" s="480">
        <v>88.79</v>
      </c>
    </row>
    <row r="956" spans="1:9" ht="89.25" hidden="1" outlineLevel="4">
      <c r="A956" s="832" t="s">
        <v>4357</v>
      </c>
      <c r="B956" s="482" t="s">
        <v>4358</v>
      </c>
      <c r="C956" s="831" t="s">
        <v>1043</v>
      </c>
      <c r="D956" s="482" t="s">
        <v>1044</v>
      </c>
      <c r="E956" s="484">
        <v>157200000</v>
      </c>
      <c r="F956" s="484">
        <v>157200000</v>
      </c>
      <c r="G956" s="484">
        <v>139572322.06</v>
      </c>
      <c r="H956" s="484">
        <v>139572322.06</v>
      </c>
      <c r="I956" s="480">
        <v>88.79</v>
      </c>
    </row>
    <row r="957" spans="1:9" ht="25.5" hidden="1" outlineLevel="2">
      <c r="A957" s="850" t="s">
        <v>3922</v>
      </c>
      <c r="B957" s="472" t="s">
        <v>4359</v>
      </c>
      <c r="C957" s="473"/>
      <c r="D957" s="472"/>
      <c r="E957" s="474">
        <v>115157700</v>
      </c>
      <c r="F957" s="474">
        <v>114595000</v>
      </c>
      <c r="G957" s="474">
        <v>32911851.370000001</v>
      </c>
      <c r="H957" s="474">
        <v>32911851.370000001</v>
      </c>
      <c r="I957" s="475">
        <v>28.58</v>
      </c>
    </row>
    <row r="958" spans="1:9" ht="25.5" hidden="1" outlineLevel="3">
      <c r="A958" s="833" t="s">
        <v>4360</v>
      </c>
      <c r="B958" s="477" t="s">
        <v>4361</v>
      </c>
      <c r="C958" s="478"/>
      <c r="D958" s="477"/>
      <c r="E958" s="479">
        <v>89479800</v>
      </c>
      <c r="F958" s="479">
        <v>89479800</v>
      </c>
      <c r="G958" s="479">
        <v>7796651.3700000001</v>
      </c>
      <c r="H958" s="479">
        <v>7796651.3700000001</v>
      </c>
      <c r="I958" s="480">
        <v>8.7100000000000009</v>
      </c>
    </row>
    <row r="959" spans="1:9" ht="25.5" hidden="1" outlineLevel="4">
      <c r="A959" s="832" t="s">
        <v>4360</v>
      </c>
      <c r="B959" s="482" t="s">
        <v>4361</v>
      </c>
      <c r="C959" s="831" t="s">
        <v>1043</v>
      </c>
      <c r="D959" s="482" t="s">
        <v>1044</v>
      </c>
      <c r="E959" s="484">
        <v>89479800</v>
      </c>
      <c r="F959" s="484">
        <v>89479800</v>
      </c>
      <c r="G959" s="484">
        <v>7796651.3700000001</v>
      </c>
      <c r="H959" s="484">
        <v>7796651.3700000001</v>
      </c>
      <c r="I959" s="480">
        <v>8.7100000000000009</v>
      </c>
    </row>
    <row r="960" spans="1:9" ht="51" hidden="1" outlineLevel="3">
      <c r="A960" s="833" t="s">
        <v>4362</v>
      </c>
      <c r="B960" s="477" t="s">
        <v>4363</v>
      </c>
      <c r="C960" s="478"/>
      <c r="D960" s="477"/>
      <c r="E960" s="479">
        <v>70305</v>
      </c>
      <c r="F960" s="479">
        <v>0</v>
      </c>
      <c r="G960" s="479">
        <v>0</v>
      </c>
      <c r="H960" s="479">
        <v>0</v>
      </c>
      <c r="I960" s="480">
        <v>0</v>
      </c>
    </row>
    <row r="961" spans="1:9" ht="51" hidden="1" outlineLevel="4">
      <c r="A961" s="832" t="s">
        <v>4362</v>
      </c>
      <c r="B961" s="482" t="s">
        <v>4363</v>
      </c>
      <c r="C961" s="831" t="s">
        <v>1043</v>
      </c>
      <c r="D961" s="482" t="s">
        <v>1044</v>
      </c>
      <c r="E961" s="484">
        <v>70305</v>
      </c>
      <c r="F961" s="484">
        <v>0</v>
      </c>
      <c r="G961" s="484">
        <v>0</v>
      </c>
      <c r="H961" s="484">
        <v>0</v>
      </c>
      <c r="I961" s="480">
        <v>0</v>
      </c>
    </row>
    <row r="962" spans="1:9" ht="63.75" hidden="1" outlineLevel="3">
      <c r="A962" s="833" t="s">
        <v>4364</v>
      </c>
      <c r="B962" s="477" t="s">
        <v>4365</v>
      </c>
      <c r="C962" s="478"/>
      <c r="D962" s="477"/>
      <c r="E962" s="479">
        <v>492395</v>
      </c>
      <c r="F962" s="479">
        <v>0</v>
      </c>
      <c r="G962" s="479">
        <v>0</v>
      </c>
      <c r="H962" s="479">
        <v>0</v>
      </c>
      <c r="I962" s="480">
        <v>0</v>
      </c>
    </row>
    <row r="963" spans="1:9" ht="63.75" hidden="1" outlineLevel="4">
      <c r="A963" s="832" t="s">
        <v>4364</v>
      </c>
      <c r="B963" s="482" t="s">
        <v>4365</v>
      </c>
      <c r="C963" s="831" t="s">
        <v>1043</v>
      </c>
      <c r="D963" s="482" t="s">
        <v>1044</v>
      </c>
      <c r="E963" s="484">
        <v>492395</v>
      </c>
      <c r="F963" s="484">
        <v>0</v>
      </c>
      <c r="G963" s="484">
        <v>0</v>
      </c>
      <c r="H963" s="484">
        <v>0</v>
      </c>
      <c r="I963" s="480">
        <v>0</v>
      </c>
    </row>
    <row r="964" spans="1:9" ht="63.75" hidden="1" outlineLevel="3">
      <c r="A964" s="833" t="s">
        <v>4366</v>
      </c>
      <c r="B964" s="477" t="s">
        <v>4367</v>
      </c>
      <c r="C964" s="478"/>
      <c r="D964" s="477"/>
      <c r="E964" s="479">
        <v>25115200</v>
      </c>
      <c r="F964" s="479">
        <v>25115200</v>
      </c>
      <c r="G964" s="479">
        <v>25115200</v>
      </c>
      <c r="H964" s="479">
        <v>25115200</v>
      </c>
      <c r="I964" s="480">
        <v>100</v>
      </c>
    </row>
    <row r="965" spans="1:9" ht="63.75" hidden="1" outlineLevel="4">
      <c r="A965" s="832" t="s">
        <v>4366</v>
      </c>
      <c r="B965" s="482" t="s">
        <v>4367</v>
      </c>
      <c r="C965" s="831" t="s">
        <v>1043</v>
      </c>
      <c r="D965" s="482" t="s">
        <v>1044</v>
      </c>
      <c r="E965" s="484">
        <v>25115200</v>
      </c>
      <c r="F965" s="484">
        <v>25115200</v>
      </c>
      <c r="G965" s="484">
        <v>25115200</v>
      </c>
      <c r="H965" s="484">
        <v>25115200</v>
      </c>
      <c r="I965" s="480">
        <v>100</v>
      </c>
    </row>
    <row r="966" spans="1:9" ht="63.75" hidden="1" outlineLevel="1">
      <c r="A966" s="851" t="s">
        <v>1459</v>
      </c>
      <c r="B966" s="467" t="s">
        <v>4368</v>
      </c>
      <c r="C966" s="468"/>
      <c r="D966" s="467"/>
      <c r="E966" s="469">
        <v>2562301</v>
      </c>
      <c r="F966" s="469">
        <v>2562301</v>
      </c>
      <c r="G966" s="469">
        <v>1384552.31</v>
      </c>
      <c r="H966" s="469">
        <v>1374496.76</v>
      </c>
      <c r="I966" s="470">
        <v>53.64</v>
      </c>
    </row>
    <row r="967" spans="1:9" ht="38.25" hidden="1" outlineLevel="2">
      <c r="A967" s="850" t="s">
        <v>4369</v>
      </c>
      <c r="B967" s="472" t="s">
        <v>4370</v>
      </c>
      <c r="C967" s="473"/>
      <c r="D967" s="472"/>
      <c r="E967" s="474">
        <v>2562301</v>
      </c>
      <c r="F967" s="474">
        <v>2562301</v>
      </c>
      <c r="G967" s="474">
        <v>1384552.31</v>
      </c>
      <c r="H967" s="474">
        <v>1374496.76</v>
      </c>
      <c r="I967" s="475">
        <v>53.64</v>
      </c>
    </row>
    <row r="968" spans="1:9" ht="76.5" hidden="1" outlineLevel="3">
      <c r="A968" s="833" t="s">
        <v>702</v>
      </c>
      <c r="B968" s="477" t="s">
        <v>4371</v>
      </c>
      <c r="C968" s="478"/>
      <c r="D968" s="477"/>
      <c r="E968" s="479">
        <v>752301</v>
      </c>
      <c r="F968" s="479">
        <v>752301</v>
      </c>
      <c r="G968" s="479">
        <v>328719.56</v>
      </c>
      <c r="H968" s="479">
        <v>328719.56</v>
      </c>
      <c r="I968" s="480">
        <v>43.7</v>
      </c>
    </row>
    <row r="969" spans="1:9" ht="76.5" hidden="1" outlineLevel="4">
      <c r="A969" s="832" t="s">
        <v>702</v>
      </c>
      <c r="B969" s="482" t="s">
        <v>4371</v>
      </c>
      <c r="C969" s="831" t="s">
        <v>704</v>
      </c>
      <c r="D969" s="482" t="s">
        <v>705</v>
      </c>
      <c r="E969" s="484">
        <v>752301</v>
      </c>
      <c r="F969" s="484">
        <v>752301</v>
      </c>
      <c r="G969" s="484">
        <v>328719.56</v>
      </c>
      <c r="H969" s="484">
        <v>328719.56</v>
      </c>
      <c r="I969" s="480">
        <v>43.7</v>
      </c>
    </row>
    <row r="970" spans="1:9" ht="89.25" hidden="1" outlineLevel="3">
      <c r="A970" s="833" t="s">
        <v>4372</v>
      </c>
      <c r="B970" s="477" t="s">
        <v>4373</v>
      </c>
      <c r="C970" s="478"/>
      <c r="D970" s="477"/>
      <c r="E970" s="479">
        <v>1810000</v>
      </c>
      <c r="F970" s="479">
        <v>1810000</v>
      </c>
      <c r="G970" s="479">
        <v>1055832.75</v>
      </c>
      <c r="H970" s="479">
        <v>1045777.2</v>
      </c>
      <c r="I970" s="480">
        <v>57.78</v>
      </c>
    </row>
    <row r="971" spans="1:9" ht="89.25" hidden="1" outlineLevel="4">
      <c r="A971" s="832" t="s">
        <v>4372</v>
      </c>
      <c r="B971" s="482" t="s">
        <v>4373</v>
      </c>
      <c r="C971" s="831" t="s">
        <v>1043</v>
      </c>
      <c r="D971" s="482" t="s">
        <v>1044</v>
      </c>
      <c r="E971" s="484">
        <v>1810000</v>
      </c>
      <c r="F971" s="484">
        <v>1810000</v>
      </c>
      <c r="G971" s="484">
        <v>1055832.75</v>
      </c>
      <c r="H971" s="484">
        <v>1045777.2</v>
      </c>
      <c r="I971" s="480">
        <v>57.78</v>
      </c>
    </row>
    <row r="972" spans="1:9" ht="25.5" hidden="1" outlineLevel="1">
      <c r="A972" s="851" t="s">
        <v>4374</v>
      </c>
      <c r="B972" s="467" t="s">
        <v>4375</v>
      </c>
      <c r="C972" s="468"/>
      <c r="D972" s="467"/>
      <c r="E972" s="469">
        <v>200000</v>
      </c>
      <c r="F972" s="469">
        <v>200000</v>
      </c>
      <c r="G972" s="469">
        <v>87900</v>
      </c>
      <c r="H972" s="469">
        <v>87900</v>
      </c>
      <c r="I972" s="470">
        <v>43.95</v>
      </c>
    </row>
    <row r="973" spans="1:9" ht="89.25" hidden="1" outlineLevel="2">
      <c r="A973" s="850" t="s">
        <v>4376</v>
      </c>
      <c r="B973" s="472" t="s">
        <v>4377</v>
      </c>
      <c r="C973" s="473"/>
      <c r="D973" s="472"/>
      <c r="E973" s="474">
        <v>200000</v>
      </c>
      <c r="F973" s="474">
        <v>200000</v>
      </c>
      <c r="G973" s="474">
        <v>87900</v>
      </c>
      <c r="H973" s="474">
        <v>87900</v>
      </c>
      <c r="I973" s="475">
        <v>43.95</v>
      </c>
    </row>
    <row r="974" spans="1:9" ht="25.5" hidden="1" outlineLevel="3">
      <c r="A974" s="833" t="s">
        <v>1482</v>
      </c>
      <c r="B974" s="477" t="s">
        <v>4378</v>
      </c>
      <c r="C974" s="478"/>
      <c r="D974" s="477"/>
      <c r="E974" s="479">
        <v>186000</v>
      </c>
      <c r="F974" s="479">
        <v>186000</v>
      </c>
      <c r="G974" s="479">
        <v>87900</v>
      </c>
      <c r="H974" s="479">
        <v>87900</v>
      </c>
      <c r="I974" s="480">
        <v>47.26</v>
      </c>
    </row>
    <row r="975" spans="1:9" ht="25.5" hidden="1" outlineLevel="4">
      <c r="A975" s="832" t="s">
        <v>1482</v>
      </c>
      <c r="B975" s="482" t="s">
        <v>4378</v>
      </c>
      <c r="C975" s="831" t="s">
        <v>1043</v>
      </c>
      <c r="D975" s="482" t="s">
        <v>1044</v>
      </c>
      <c r="E975" s="484">
        <v>186000</v>
      </c>
      <c r="F975" s="484">
        <v>186000</v>
      </c>
      <c r="G975" s="484">
        <v>87900</v>
      </c>
      <c r="H975" s="484">
        <v>87900</v>
      </c>
      <c r="I975" s="480">
        <v>47.26</v>
      </c>
    </row>
    <row r="976" spans="1:9" ht="76.5" hidden="1" outlineLevel="3">
      <c r="A976" s="833" t="s">
        <v>1027</v>
      </c>
      <c r="B976" s="477" t="s">
        <v>4379</v>
      </c>
      <c r="C976" s="478"/>
      <c r="D976" s="477"/>
      <c r="E976" s="479">
        <v>14000</v>
      </c>
      <c r="F976" s="479">
        <v>14000</v>
      </c>
      <c r="G976" s="479">
        <v>0</v>
      </c>
      <c r="H976" s="479">
        <v>0</v>
      </c>
      <c r="I976" s="480">
        <v>0</v>
      </c>
    </row>
    <row r="977" spans="1:9" ht="76.5" hidden="1" outlineLevel="4">
      <c r="A977" s="832" t="s">
        <v>1027</v>
      </c>
      <c r="B977" s="482" t="s">
        <v>4379</v>
      </c>
      <c r="C977" s="831" t="s">
        <v>1043</v>
      </c>
      <c r="D977" s="482" t="s">
        <v>1044</v>
      </c>
      <c r="E977" s="484">
        <v>14000</v>
      </c>
      <c r="F977" s="484">
        <v>14000</v>
      </c>
      <c r="G977" s="484">
        <v>0</v>
      </c>
      <c r="H977" s="484">
        <v>0</v>
      </c>
      <c r="I977" s="480">
        <v>0</v>
      </c>
    </row>
    <row r="978" spans="1:9" ht="45.75" collapsed="1" thickBot="1">
      <c r="A978" s="854" t="s">
        <v>4380</v>
      </c>
      <c r="B978" s="853" t="s">
        <v>4381</v>
      </c>
      <c r="C978" s="463"/>
      <c r="D978" s="853"/>
      <c r="E978" s="852">
        <v>16325430029.549999</v>
      </c>
      <c r="F978" s="852">
        <v>15820944959.209999</v>
      </c>
      <c r="G978" s="852">
        <v>10564561589.940001</v>
      </c>
      <c r="H978" s="852">
        <v>9900353743.1599998</v>
      </c>
      <c r="I978" s="465">
        <v>60.64</v>
      </c>
    </row>
    <row r="979" spans="1:9" hidden="1" outlineLevel="1">
      <c r="A979" s="851" t="s">
        <v>4382</v>
      </c>
      <c r="B979" s="467" t="s">
        <v>4383</v>
      </c>
      <c r="C979" s="468"/>
      <c r="D979" s="467"/>
      <c r="E979" s="469">
        <v>3287831901.3600001</v>
      </c>
      <c r="F979" s="469">
        <v>3204771084.6300001</v>
      </c>
      <c r="G979" s="469">
        <v>1925831105.72</v>
      </c>
      <c r="H979" s="469">
        <v>1849307288.3599999</v>
      </c>
      <c r="I979" s="470">
        <v>56.25</v>
      </c>
    </row>
    <row r="980" spans="1:9" ht="38.25" hidden="1" outlineLevel="2">
      <c r="A980" s="850" t="s">
        <v>4384</v>
      </c>
      <c r="B980" s="472" t="s">
        <v>4385</v>
      </c>
      <c r="C980" s="473"/>
      <c r="D980" s="472"/>
      <c r="E980" s="474">
        <v>1118349201.21</v>
      </c>
      <c r="F980" s="474">
        <v>1118126098.52</v>
      </c>
      <c r="G980" s="474">
        <v>306345136.07999998</v>
      </c>
      <c r="H980" s="474">
        <v>302516565.43000001</v>
      </c>
      <c r="I980" s="475">
        <v>27.05</v>
      </c>
    </row>
    <row r="981" spans="1:9" ht="51" hidden="1" outlineLevel="3">
      <c r="A981" s="833" t="s">
        <v>801</v>
      </c>
      <c r="B981" s="477" t="s">
        <v>4386</v>
      </c>
      <c r="C981" s="478"/>
      <c r="D981" s="477"/>
      <c r="E981" s="479">
        <v>643916148.78999996</v>
      </c>
      <c r="F981" s="479">
        <v>643693046.10000002</v>
      </c>
      <c r="G981" s="479">
        <v>50721473.329999998</v>
      </c>
      <c r="H981" s="479">
        <v>50721473.329999998</v>
      </c>
      <c r="I981" s="480">
        <v>7.88</v>
      </c>
    </row>
    <row r="982" spans="1:9" ht="51" hidden="1" outlineLevel="4">
      <c r="A982" s="832" t="s">
        <v>801</v>
      </c>
      <c r="B982" s="482" t="s">
        <v>4386</v>
      </c>
      <c r="C982" s="831" t="s">
        <v>803</v>
      </c>
      <c r="D982" s="482" t="s">
        <v>804</v>
      </c>
      <c r="E982" s="484">
        <v>643916148.78999996</v>
      </c>
      <c r="F982" s="484">
        <v>643693046.10000002</v>
      </c>
      <c r="G982" s="484">
        <v>50721473.329999998</v>
      </c>
      <c r="H982" s="484">
        <v>50721473.329999998</v>
      </c>
      <c r="I982" s="480">
        <v>7.88</v>
      </c>
    </row>
    <row r="983" spans="1:9" ht="63.75" hidden="1" outlineLevel="3">
      <c r="A983" s="833" t="s">
        <v>4387</v>
      </c>
      <c r="B983" s="477" t="s">
        <v>4388</v>
      </c>
      <c r="C983" s="478"/>
      <c r="D983" s="477"/>
      <c r="E983" s="479">
        <v>413372792.54000002</v>
      </c>
      <c r="F983" s="479">
        <v>413372792.54000002</v>
      </c>
      <c r="G983" s="479">
        <v>211914076.62</v>
      </c>
      <c r="H983" s="479">
        <v>211914076.62</v>
      </c>
      <c r="I983" s="480">
        <v>51.26</v>
      </c>
    </row>
    <row r="984" spans="1:9" ht="63.75" hidden="1" outlineLevel="4">
      <c r="A984" s="832" t="s">
        <v>4387</v>
      </c>
      <c r="B984" s="482" t="s">
        <v>4388</v>
      </c>
      <c r="C984" s="831" t="s">
        <v>803</v>
      </c>
      <c r="D984" s="482" t="s">
        <v>804</v>
      </c>
      <c r="E984" s="484">
        <v>413372792.54000002</v>
      </c>
      <c r="F984" s="484">
        <v>413372792.54000002</v>
      </c>
      <c r="G984" s="484">
        <v>211914076.62</v>
      </c>
      <c r="H984" s="484">
        <v>211914076.62</v>
      </c>
      <c r="I984" s="480">
        <v>51.26</v>
      </c>
    </row>
    <row r="985" spans="1:9" ht="51" hidden="1" outlineLevel="3">
      <c r="A985" s="833" t="s">
        <v>4389</v>
      </c>
      <c r="B985" s="477" t="s">
        <v>4390</v>
      </c>
      <c r="C985" s="478"/>
      <c r="D985" s="477"/>
      <c r="E985" s="479">
        <v>46602946</v>
      </c>
      <c r="F985" s="479">
        <v>46602946</v>
      </c>
      <c r="G985" s="479">
        <v>34952209.5</v>
      </c>
      <c r="H985" s="479">
        <v>34952209.5</v>
      </c>
      <c r="I985" s="480">
        <v>75</v>
      </c>
    </row>
    <row r="986" spans="1:9" ht="51" hidden="1" outlineLevel="4">
      <c r="A986" s="832" t="s">
        <v>4389</v>
      </c>
      <c r="B986" s="482" t="s">
        <v>4390</v>
      </c>
      <c r="C986" s="831" t="s">
        <v>803</v>
      </c>
      <c r="D986" s="482" t="s">
        <v>804</v>
      </c>
      <c r="E986" s="484">
        <v>46602946</v>
      </c>
      <c r="F986" s="484">
        <v>46602946</v>
      </c>
      <c r="G986" s="484">
        <v>34952209.5</v>
      </c>
      <c r="H986" s="484">
        <v>34952209.5</v>
      </c>
      <c r="I986" s="480">
        <v>75</v>
      </c>
    </row>
    <row r="987" spans="1:9" ht="51" hidden="1" outlineLevel="3">
      <c r="A987" s="833" t="s">
        <v>4391</v>
      </c>
      <c r="B987" s="477" t="s">
        <v>4392</v>
      </c>
      <c r="C987" s="478"/>
      <c r="D987" s="477"/>
      <c r="E987" s="479">
        <v>708664</v>
      </c>
      <c r="F987" s="479">
        <v>708664</v>
      </c>
      <c r="G987" s="479">
        <v>708664</v>
      </c>
      <c r="H987" s="479">
        <v>708664</v>
      </c>
      <c r="I987" s="480">
        <v>100</v>
      </c>
    </row>
    <row r="988" spans="1:9" ht="51" hidden="1" outlineLevel="4">
      <c r="A988" s="832" t="s">
        <v>4391</v>
      </c>
      <c r="B988" s="482" t="s">
        <v>4392</v>
      </c>
      <c r="C988" s="831" t="s">
        <v>803</v>
      </c>
      <c r="D988" s="482" t="s">
        <v>804</v>
      </c>
      <c r="E988" s="484">
        <v>708664</v>
      </c>
      <c r="F988" s="484">
        <v>708664</v>
      </c>
      <c r="G988" s="484">
        <v>708664</v>
      </c>
      <c r="H988" s="484">
        <v>708664</v>
      </c>
      <c r="I988" s="480">
        <v>100</v>
      </c>
    </row>
    <row r="989" spans="1:9" ht="89.25" hidden="1" outlineLevel="3">
      <c r="A989" s="833" t="s">
        <v>4393</v>
      </c>
      <c r="B989" s="477" t="s">
        <v>4394</v>
      </c>
      <c r="C989" s="478"/>
      <c r="D989" s="477"/>
      <c r="E989" s="479">
        <v>9516131.7799999993</v>
      </c>
      <c r="F989" s="479">
        <v>9516131.7799999993</v>
      </c>
      <c r="G989" s="479">
        <v>6996525.4299999997</v>
      </c>
      <c r="H989" s="479">
        <v>3716784.19</v>
      </c>
      <c r="I989" s="480">
        <v>39.06</v>
      </c>
    </row>
    <row r="990" spans="1:9" ht="89.25" hidden="1" outlineLevel="4">
      <c r="A990" s="832" t="s">
        <v>4393</v>
      </c>
      <c r="B990" s="482" t="s">
        <v>4394</v>
      </c>
      <c r="C990" s="831" t="s">
        <v>803</v>
      </c>
      <c r="D990" s="482" t="s">
        <v>804</v>
      </c>
      <c r="E990" s="484">
        <v>9516131.7799999993</v>
      </c>
      <c r="F990" s="484">
        <v>9516131.7799999993</v>
      </c>
      <c r="G990" s="484">
        <v>6996525.4299999997</v>
      </c>
      <c r="H990" s="484">
        <v>3716784.19</v>
      </c>
      <c r="I990" s="480">
        <v>39.06</v>
      </c>
    </row>
    <row r="991" spans="1:9" ht="76.5" hidden="1" outlineLevel="3">
      <c r="A991" s="833" t="s">
        <v>4395</v>
      </c>
      <c r="B991" s="477" t="s">
        <v>4396</v>
      </c>
      <c r="C991" s="478"/>
      <c r="D991" s="477"/>
      <c r="E991" s="479">
        <v>4232518.0999999996</v>
      </c>
      <c r="F991" s="479">
        <v>4232518.0999999996</v>
      </c>
      <c r="G991" s="479">
        <v>1052187.2</v>
      </c>
      <c r="H991" s="479">
        <v>503357.79</v>
      </c>
      <c r="I991" s="480">
        <v>11.89</v>
      </c>
    </row>
    <row r="992" spans="1:9" ht="76.5" hidden="1" outlineLevel="4">
      <c r="A992" s="832" t="s">
        <v>4395</v>
      </c>
      <c r="B992" s="482" t="s">
        <v>4396</v>
      </c>
      <c r="C992" s="831" t="s">
        <v>803</v>
      </c>
      <c r="D992" s="482" t="s">
        <v>804</v>
      </c>
      <c r="E992" s="484">
        <v>4232518.0999999996</v>
      </c>
      <c r="F992" s="484">
        <v>4232518.0999999996</v>
      </c>
      <c r="G992" s="484">
        <v>1052187.2</v>
      </c>
      <c r="H992" s="484">
        <v>503357.79</v>
      </c>
      <c r="I992" s="480">
        <v>11.89</v>
      </c>
    </row>
    <row r="993" spans="1:9" ht="63.75" hidden="1" outlineLevel="2">
      <c r="A993" s="850" t="s">
        <v>4397</v>
      </c>
      <c r="B993" s="472" t="s">
        <v>4398</v>
      </c>
      <c r="C993" s="473"/>
      <c r="D993" s="472"/>
      <c r="E993" s="474">
        <v>5000000</v>
      </c>
      <c r="F993" s="474">
        <v>4990000</v>
      </c>
      <c r="G993" s="474">
        <v>3742500</v>
      </c>
      <c r="H993" s="474">
        <v>3742500</v>
      </c>
      <c r="I993" s="475">
        <v>74.849999999999994</v>
      </c>
    </row>
    <row r="994" spans="1:9" ht="25.5" hidden="1" outlineLevel="3">
      <c r="A994" s="833" t="s">
        <v>713</v>
      </c>
      <c r="B994" s="477" t="s">
        <v>4399</v>
      </c>
      <c r="C994" s="478"/>
      <c r="D994" s="477"/>
      <c r="E994" s="479">
        <v>5000000</v>
      </c>
      <c r="F994" s="479">
        <v>4990000</v>
      </c>
      <c r="G994" s="479">
        <v>3742500</v>
      </c>
      <c r="H994" s="479">
        <v>3742500</v>
      </c>
      <c r="I994" s="480">
        <v>74.849999999999994</v>
      </c>
    </row>
    <row r="995" spans="1:9" ht="25.5" hidden="1" outlineLevel="4">
      <c r="A995" s="832" t="s">
        <v>713</v>
      </c>
      <c r="B995" s="482" t="s">
        <v>4399</v>
      </c>
      <c r="C995" s="831" t="s">
        <v>803</v>
      </c>
      <c r="D995" s="482" t="s">
        <v>804</v>
      </c>
      <c r="E995" s="484">
        <v>5000000</v>
      </c>
      <c r="F995" s="484">
        <v>4990000</v>
      </c>
      <c r="G995" s="484">
        <v>3742500</v>
      </c>
      <c r="H995" s="484">
        <v>3742500</v>
      </c>
      <c r="I995" s="480">
        <v>74.849999999999994</v>
      </c>
    </row>
    <row r="996" spans="1:9" ht="76.5" hidden="1" outlineLevel="2">
      <c r="A996" s="850" t="s">
        <v>4400</v>
      </c>
      <c r="B996" s="472" t="s">
        <v>4401</v>
      </c>
      <c r="C996" s="473"/>
      <c r="D996" s="472"/>
      <c r="E996" s="474">
        <v>869184738.37</v>
      </c>
      <c r="F996" s="474">
        <v>786357024.33000004</v>
      </c>
      <c r="G996" s="474">
        <v>459764420.36000001</v>
      </c>
      <c r="H996" s="474">
        <v>423833380.93000001</v>
      </c>
      <c r="I996" s="475">
        <v>48.76</v>
      </c>
    </row>
    <row r="997" spans="1:9" ht="63.75" hidden="1" outlineLevel="3">
      <c r="A997" s="833" t="s">
        <v>4402</v>
      </c>
      <c r="B997" s="477" t="s">
        <v>4403</v>
      </c>
      <c r="C997" s="478"/>
      <c r="D997" s="477"/>
      <c r="E997" s="479">
        <v>141600000</v>
      </c>
      <c r="F997" s="479">
        <v>141600000</v>
      </c>
      <c r="G997" s="479">
        <v>141600000</v>
      </c>
      <c r="H997" s="479">
        <v>106200000</v>
      </c>
      <c r="I997" s="480">
        <v>75</v>
      </c>
    </row>
    <row r="998" spans="1:9" ht="63.75" hidden="1" outlineLevel="4">
      <c r="A998" s="832" t="s">
        <v>4402</v>
      </c>
      <c r="B998" s="482" t="s">
        <v>4403</v>
      </c>
      <c r="C998" s="831" t="s">
        <v>803</v>
      </c>
      <c r="D998" s="482" t="s">
        <v>804</v>
      </c>
      <c r="E998" s="484">
        <v>141600000</v>
      </c>
      <c r="F998" s="484">
        <v>141600000</v>
      </c>
      <c r="G998" s="484">
        <v>141600000</v>
      </c>
      <c r="H998" s="484">
        <v>106200000</v>
      </c>
      <c r="I998" s="480">
        <v>75</v>
      </c>
    </row>
    <row r="999" spans="1:9" ht="89.25" hidden="1" outlineLevel="3">
      <c r="A999" s="833" t="s">
        <v>4404</v>
      </c>
      <c r="B999" s="477" t="s">
        <v>4405</v>
      </c>
      <c r="C999" s="478"/>
      <c r="D999" s="477"/>
      <c r="E999" s="479">
        <v>7183701.3899999997</v>
      </c>
      <c r="F999" s="479">
        <v>7183701.3899999997</v>
      </c>
      <c r="G999" s="479">
        <v>7183701.3899999997</v>
      </c>
      <c r="H999" s="479">
        <v>7183701.3899999997</v>
      </c>
      <c r="I999" s="480">
        <v>100</v>
      </c>
    </row>
    <row r="1000" spans="1:9" ht="89.25" hidden="1" outlineLevel="4">
      <c r="A1000" s="832" t="s">
        <v>4404</v>
      </c>
      <c r="B1000" s="482" t="s">
        <v>4405</v>
      </c>
      <c r="C1000" s="831" t="s">
        <v>803</v>
      </c>
      <c r="D1000" s="482" t="s">
        <v>804</v>
      </c>
      <c r="E1000" s="484">
        <v>7183701.3899999997</v>
      </c>
      <c r="F1000" s="484">
        <v>7183701.3899999997</v>
      </c>
      <c r="G1000" s="484">
        <v>7183701.3899999997</v>
      </c>
      <c r="H1000" s="484">
        <v>7183701.3899999997</v>
      </c>
      <c r="I1000" s="480">
        <v>100</v>
      </c>
    </row>
    <row r="1001" spans="1:9" ht="89.25" hidden="1" outlineLevel="3">
      <c r="A1001" s="833" t="s">
        <v>4406</v>
      </c>
      <c r="B1001" s="477" t="s">
        <v>4407</v>
      </c>
      <c r="C1001" s="478"/>
      <c r="D1001" s="477"/>
      <c r="E1001" s="479">
        <v>4901073.7300000004</v>
      </c>
      <c r="F1001" s="479">
        <v>4651528.18</v>
      </c>
      <c r="G1001" s="479">
        <v>4651528.18</v>
      </c>
      <c r="H1001" s="479">
        <v>4651528.18</v>
      </c>
      <c r="I1001" s="480">
        <v>94.91</v>
      </c>
    </row>
    <row r="1002" spans="1:9" ht="89.25" hidden="1" outlineLevel="4">
      <c r="A1002" s="832" t="s">
        <v>4406</v>
      </c>
      <c r="B1002" s="482" t="s">
        <v>4407</v>
      </c>
      <c r="C1002" s="831" t="s">
        <v>803</v>
      </c>
      <c r="D1002" s="482" t="s">
        <v>804</v>
      </c>
      <c r="E1002" s="484">
        <v>4901073.7300000004</v>
      </c>
      <c r="F1002" s="484">
        <v>4651528.18</v>
      </c>
      <c r="G1002" s="484">
        <v>4651528.18</v>
      </c>
      <c r="H1002" s="484">
        <v>4651528.18</v>
      </c>
      <c r="I1002" s="480">
        <v>94.91</v>
      </c>
    </row>
    <row r="1003" spans="1:9" ht="114.75" hidden="1" outlineLevel="3">
      <c r="A1003" s="833" t="s">
        <v>4408</v>
      </c>
      <c r="B1003" s="477" t="s">
        <v>4409</v>
      </c>
      <c r="C1003" s="478"/>
      <c r="D1003" s="477"/>
      <c r="E1003" s="479">
        <v>28181173.920000002</v>
      </c>
      <c r="F1003" s="479">
        <v>26745989.030000001</v>
      </c>
      <c r="G1003" s="479">
        <v>26745989.030000001</v>
      </c>
      <c r="H1003" s="479">
        <v>26745989.030000001</v>
      </c>
      <c r="I1003" s="480">
        <v>94.91</v>
      </c>
    </row>
    <row r="1004" spans="1:9" ht="114.75" hidden="1" outlineLevel="4">
      <c r="A1004" s="832" t="s">
        <v>4408</v>
      </c>
      <c r="B1004" s="482" t="s">
        <v>4409</v>
      </c>
      <c r="C1004" s="831" t="s">
        <v>803</v>
      </c>
      <c r="D1004" s="482" t="s">
        <v>804</v>
      </c>
      <c r="E1004" s="484">
        <v>28181173.920000002</v>
      </c>
      <c r="F1004" s="484">
        <v>26745989.030000001</v>
      </c>
      <c r="G1004" s="484">
        <v>26745989.030000001</v>
      </c>
      <c r="H1004" s="484">
        <v>26745989.030000001</v>
      </c>
      <c r="I1004" s="480">
        <v>94.91</v>
      </c>
    </row>
    <row r="1005" spans="1:9" ht="63.75" hidden="1" outlineLevel="3">
      <c r="A1005" s="833" t="s">
        <v>4410</v>
      </c>
      <c r="B1005" s="477" t="s">
        <v>4411</v>
      </c>
      <c r="C1005" s="478"/>
      <c r="D1005" s="477"/>
      <c r="E1005" s="479">
        <v>352108204.94999999</v>
      </c>
      <c r="F1005" s="479">
        <v>270965221.35000002</v>
      </c>
      <c r="G1005" s="479">
        <v>97536015.980000004</v>
      </c>
      <c r="H1005" s="479">
        <v>97536015.980000004</v>
      </c>
      <c r="I1005" s="480">
        <v>27.7</v>
      </c>
    </row>
    <row r="1006" spans="1:9" ht="63.75" hidden="1" outlineLevel="4">
      <c r="A1006" s="832" t="s">
        <v>4410</v>
      </c>
      <c r="B1006" s="482" t="s">
        <v>4411</v>
      </c>
      <c r="C1006" s="831" t="s">
        <v>803</v>
      </c>
      <c r="D1006" s="482" t="s">
        <v>804</v>
      </c>
      <c r="E1006" s="484">
        <v>352108204.94999999</v>
      </c>
      <c r="F1006" s="484">
        <v>270965221.35000002</v>
      </c>
      <c r="G1006" s="484">
        <v>97536015.980000004</v>
      </c>
      <c r="H1006" s="484">
        <v>97536015.980000004</v>
      </c>
      <c r="I1006" s="480">
        <v>27.7</v>
      </c>
    </row>
    <row r="1007" spans="1:9" ht="76.5" hidden="1" outlineLevel="3">
      <c r="A1007" s="833" t="s">
        <v>4412</v>
      </c>
      <c r="B1007" s="477" t="s">
        <v>4413</v>
      </c>
      <c r="C1007" s="478"/>
      <c r="D1007" s="477"/>
      <c r="E1007" s="479">
        <v>138231444.38</v>
      </c>
      <c r="F1007" s="479">
        <v>138231444.38</v>
      </c>
      <c r="G1007" s="479">
        <v>11253870.210000001</v>
      </c>
      <c r="H1007" s="479">
        <v>11253870.210000001</v>
      </c>
      <c r="I1007" s="480">
        <v>8.14</v>
      </c>
    </row>
    <row r="1008" spans="1:9" ht="76.5" hidden="1" outlineLevel="4">
      <c r="A1008" s="832" t="s">
        <v>4412</v>
      </c>
      <c r="B1008" s="482" t="s">
        <v>4413</v>
      </c>
      <c r="C1008" s="831" t="s">
        <v>803</v>
      </c>
      <c r="D1008" s="482" t="s">
        <v>804</v>
      </c>
      <c r="E1008" s="484">
        <v>138231444.38</v>
      </c>
      <c r="F1008" s="484">
        <v>138231444.38</v>
      </c>
      <c r="G1008" s="484">
        <v>11253870.210000001</v>
      </c>
      <c r="H1008" s="484">
        <v>11253870.210000001</v>
      </c>
      <c r="I1008" s="480">
        <v>8.14</v>
      </c>
    </row>
    <row r="1009" spans="1:9" ht="51" hidden="1" outlineLevel="3">
      <c r="A1009" s="833" t="s">
        <v>4414</v>
      </c>
      <c r="B1009" s="477" t="s">
        <v>4415</v>
      </c>
      <c r="C1009" s="478"/>
      <c r="D1009" s="477"/>
      <c r="E1009" s="479">
        <v>98564140</v>
      </c>
      <c r="F1009" s="479">
        <v>98564140</v>
      </c>
      <c r="G1009" s="479">
        <v>98564140</v>
      </c>
      <c r="H1009" s="479">
        <v>98564140</v>
      </c>
      <c r="I1009" s="480">
        <v>100</v>
      </c>
    </row>
    <row r="1010" spans="1:9" ht="51" hidden="1" outlineLevel="4">
      <c r="A1010" s="832" t="s">
        <v>4414</v>
      </c>
      <c r="B1010" s="482" t="s">
        <v>4415</v>
      </c>
      <c r="C1010" s="831" t="s">
        <v>1582</v>
      </c>
      <c r="D1010" s="482" t="s">
        <v>1583</v>
      </c>
      <c r="E1010" s="484">
        <v>98564140</v>
      </c>
      <c r="F1010" s="484">
        <v>98564140</v>
      </c>
      <c r="G1010" s="484">
        <v>98564140</v>
      </c>
      <c r="H1010" s="484">
        <v>98564140</v>
      </c>
      <c r="I1010" s="480">
        <v>100</v>
      </c>
    </row>
    <row r="1011" spans="1:9" ht="51" hidden="1" outlineLevel="3">
      <c r="A1011" s="833" t="s">
        <v>4416</v>
      </c>
      <c r="B1011" s="477" t="s">
        <v>4417</v>
      </c>
      <c r="C1011" s="478"/>
      <c r="D1011" s="477"/>
      <c r="E1011" s="479">
        <v>98415000</v>
      </c>
      <c r="F1011" s="479">
        <v>98415000</v>
      </c>
      <c r="G1011" s="479">
        <v>72229175.569999993</v>
      </c>
      <c r="H1011" s="479">
        <v>71698136.140000001</v>
      </c>
      <c r="I1011" s="480">
        <v>72.849999999999994</v>
      </c>
    </row>
    <row r="1012" spans="1:9" ht="51" hidden="1" outlineLevel="4">
      <c r="A1012" s="832" t="s">
        <v>4416</v>
      </c>
      <c r="B1012" s="482" t="s">
        <v>4417</v>
      </c>
      <c r="C1012" s="831" t="s">
        <v>803</v>
      </c>
      <c r="D1012" s="482" t="s">
        <v>804</v>
      </c>
      <c r="E1012" s="484">
        <v>98415000</v>
      </c>
      <c r="F1012" s="484">
        <v>98415000</v>
      </c>
      <c r="G1012" s="484">
        <v>72229175.569999993</v>
      </c>
      <c r="H1012" s="484">
        <v>71698136.140000001</v>
      </c>
      <c r="I1012" s="480">
        <v>72.849999999999994</v>
      </c>
    </row>
    <row r="1013" spans="1:9" ht="89.25" hidden="1" outlineLevel="2">
      <c r="A1013" s="850" t="s">
        <v>4418</v>
      </c>
      <c r="B1013" s="472" t="s">
        <v>4419</v>
      </c>
      <c r="C1013" s="473"/>
      <c r="D1013" s="472"/>
      <c r="E1013" s="474">
        <v>13776800</v>
      </c>
      <c r="F1013" s="474">
        <v>13776800</v>
      </c>
      <c r="G1013" s="474">
        <v>13776800</v>
      </c>
      <c r="H1013" s="474">
        <v>13776800</v>
      </c>
      <c r="I1013" s="475">
        <v>100</v>
      </c>
    </row>
    <row r="1014" spans="1:9" ht="63.75" hidden="1" outlineLevel="3">
      <c r="A1014" s="833" t="s">
        <v>4420</v>
      </c>
      <c r="B1014" s="477" t="s">
        <v>4421</v>
      </c>
      <c r="C1014" s="478"/>
      <c r="D1014" s="477"/>
      <c r="E1014" s="479">
        <v>4071300</v>
      </c>
      <c r="F1014" s="479">
        <v>4071300</v>
      </c>
      <c r="G1014" s="479">
        <v>4071300</v>
      </c>
      <c r="H1014" s="479">
        <v>4071300</v>
      </c>
      <c r="I1014" s="480">
        <v>100</v>
      </c>
    </row>
    <row r="1015" spans="1:9" ht="63.75" hidden="1" outlineLevel="4">
      <c r="A1015" s="832" t="s">
        <v>4420</v>
      </c>
      <c r="B1015" s="482" t="s">
        <v>4421</v>
      </c>
      <c r="C1015" s="831" t="s">
        <v>803</v>
      </c>
      <c r="D1015" s="482" t="s">
        <v>804</v>
      </c>
      <c r="E1015" s="484">
        <v>4071300</v>
      </c>
      <c r="F1015" s="484">
        <v>4071300</v>
      </c>
      <c r="G1015" s="484">
        <v>4071300</v>
      </c>
      <c r="H1015" s="484">
        <v>4071300</v>
      </c>
      <c r="I1015" s="480">
        <v>100</v>
      </c>
    </row>
    <row r="1016" spans="1:9" ht="76.5" hidden="1" outlineLevel="3">
      <c r="A1016" s="833" t="s">
        <v>1529</v>
      </c>
      <c r="B1016" s="477" t="s">
        <v>4422</v>
      </c>
      <c r="C1016" s="478"/>
      <c r="D1016" s="477"/>
      <c r="E1016" s="479">
        <v>9705500</v>
      </c>
      <c r="F1016" s="479">
        <v>9705500</v>
      </c>
      <c r="G1016" s="479">
        <v>9705500</v>
      </c>
      <c r="H1016" s="479">
        <v>9705500</v>
      </c>
      <c r="I1016" s="480">
        <v>100</v>
      </c>
    </row>
    <row r="1017" spans="1:9" ht="76.5" hidden="1" outlineLevel="4">
      <c r="A1017" s="832" t="s">
        <v>1529</v>
      </c>
      <c r="B1017" s="482" t="s">
        <v>4422</v>
      </c>
      <c r="C1017" s="831" t="s">
        <v>803</v>
      </c>
      <c r="D1017" s="482" t="s">
        <v>804</v>
      </c>
      <c r="E1017" s="484">
        <v>9705500</v>
      </c>
      <c r="F1017" s="484">
        <v>9705500</v>
      </c>
      <c r="G1017" s="484">
        <v>9705500</v>
      </c>
      <c r="H1017" s="484">
        <v>9705500</v>
      </c>
      <c r="I1017" s="480">
        <v>100</v>
      </c>
    </row>
    <row r="1018" spans="1:9" ht="63.75" hidden="1" outlineLevel="2">
      <c r="A1018" s="850" t="s">
        <v>4423</v>
      </c>
      <c r="B1018" s="472" t="s">
        <v>4424</v>
      </c>
      <c r="C1018" s="473"/>
      <c r="D1018" s="472"/>
      <c r="E1018" s="474">
        <v>82800458</v>
      </c>
      <c r="F1018" s="474">
        <v>82800458</v>
      </c>
      <c r="G1018" s="474">
        <v>82494687.480000004</v>
      </c>
      <c r="H1018" s="474">
        <v>75543008.109999999</v>
      </c>
      <c r="I1018" s="475">
        <v>91.24</v>
      </c>
    </row>
    <row r="1019" spans="1:9" ht="25.5" hidden="1" outlineLevel="3">
      <c r="A1019" s="833" t="s">
        <v>713</v>
      </c>
      <c r="B1019" s="477" t="s">
        <v>4425</v>
      </c>
      <c r="C1019" s="478"/>
      <c r="D1019" s="477"/>
      <c r="E1019" s="479">
        <v>3000</v>
      </c>
      <c r="F1019" s="479">
        <v>3000</v>
      </c>
      <c r="G1019" s="479">
        <v>3000</v>
      </c>
      <c r="H1019" s="479">
        <v>3000</v>
      </c>
      <c r="I1019" s="480">
        <v>100</v>
      </c>
    </row>
    <row r="1020" spans="1:9" ht="25.5" hidden="1" outlineLevel="4">
      <c r="A1020" s="832" t="s">
        <v>713</v>
      </c>
      <c r="B1020" s="482" t="s">
        <v>4425</v>
      </c>
      <c r="C1020" s="831" t="s">
        <v>803</v>
      </c>
      <c r="D1020" s="482" t="s">
        <v>804</v>
      </c>
      <c r="E1020" s="484">
        <v>3000</v>
      </c>
      <c r="F1020" s="484">
        <v>3000</v>
      </c>
      <c r="G1020" s="484">
        <v>3000</v>
      </c>
      <c r="H1020" s="484">
        <v>3000</v>
      </c>
      <c r="I1020" s="480">
        <v>100</v>
      </c>
    </row>
    <row r="1021" spans="1:9" ht="76.5" hidden="1" outlineLevel="3">
      <c r="A1021" s="833" t="s">
        <v>4426</v>
      </c>
      <c r="B1021" s="477" t="s">
        <v>4427</v>
      </c>
      <c r="C1021" s="478"/>
      <c r="D1021" s="477"/>
      <c r="E1021" s="479">
        <v>29534358</v>
      </c>
      <c r="F1021" s="479">
        <v>29534358</v>
      </c>
      <c r="G1021" s="479">
        <v>29534358</v>
      </c>
      <c r="H1021" s="479">
        <v>23241933.829999998</v>
      </c>
      <c r="I1021" s="480">
        <v>78.69</v>
      </c>
    </row>
    <row r="1022" spans="1:9" ht="76.5" hidden="1" outlineLevel="4">
      <c r="A1022" s="832" t="s">
        <v>4426</v>
      </c>
      <c r="B1022" s="482" t="s">
        <v>4427</v>
      </c>
      <c r="C1022" s="831" t="s">
        <v>803</v>
      </c>
      <c r="D1022" s="482" t="s">
        <v>804</v>
      </c>
      <c r="E1022" s="484">
        <v>29534358</v>
      </c>
      <c r="F1022" s="484">
        <v>29534358</v>
      </c>
      <c r="G1022" s="484">
        <v>29534358</v>
      </c>
      <c r="H1022" s="484">
        <v>23241933.829999998</v>
      </c>
      <c r="I1022" s="480">
        <v>78.69</v>
      </c>
    </row>
    <row r="1023" spans="1:9" ht="25.5" hidden="1" outlineLevel="3">
      <c r="A1023" s="833" t="s">
        <v>1536</v>
      </c>
      <c r="B1023" s="477" t="s">
        <v>4428</v>
      </c>
      <c r="C1023" s="478"/>
      <c r="D1023" s="477"/>
      <c r="E1023" s="479">
        <v>53263100</v>
      </c>
      <c r="F1023" s="479">
        <v>53263100</v>
      </c>
      <c r="G1023" s="479">
        <v>52957329.479999997</v>
      </c>
      <c r="H1023" s="479">
        <v>52298074.280000001</v>
      </c>
      <c r="I1023" s="480">
        <v>98.19</v>
      </c>
    </row>
    <row r="1024" spans="1:9" ht="25.5" hidden="1" outlineLevel="4">
      <c r="A1024" s="832" t="s">
        <v>1536</v>
      </c>
      <c r="B1024" s="482" t="s">
        <v>4428</v>
      </c>
      <c r="C1024" s="831" t="s">
        <v>803</v>
      </c>
      <c r="D1024" s="482" t="s">
        <v>804</v>
      </c>
      <c r="E1024" s="484">
        <v>53263100</v>
      </c>
      <c r="F1024" s="484">
        <v>53263100</v>
      </c>
      <c r="G1024" s="484">
        <v>52957329.479999997</v>
      </c>
      <c r="H1024" s="484">
        <v>52298074.280000001</v>
      </c>
      <c r="I1024" s="480">
        <v>98.19</v>
      </c>
    </row>
    <row r="1025" spans="1:9" ht="51" hidden="1" outlineLevel="2">
      <c r="A1025" s="850" t="s">
        <v>4429</v>
      </c>
      <c r="B1025" s="472" t="s">
        <v>4430</v>
      </c>
      <c r="C1025" s="473"/>
      <c r="D1025" s="472"/>
      <c r="E1025" s="474">
        <v>22321000</v>
      </c>
      <c r="F1025" s="474">
        <v>22321000</v>
      </c>
      <c r="G1025" s="474">
        <v>21624000</v>
      </c>
      <c r="H1025" s="474">
        <v>11712146.140000001</v>
      </c>
      <c r="I1025" s="475">
        <v>52.47</v>
      </c>
    </row>
    <row r="1026" spans="1:9" ht="63.75" hidden="1" outlineLevel="3">
      <c r="A1026" s="833" t="s">
        <v>1531</v>
      </c>
      <c r="B1026" s="477" t="s">
        <v>4431</v>
      </c>
      <c r="C1026" s="478"/>
      <c r="D1026" s="477"/>
      <c r="E1026" s="479">
        <v>22321000</v>
      </c>
      <c r="F1026" s="479">
        <v>22321000</v>
      </c>
      <c r="G1026" s="479">
        <v>21624000</v>
      </c>
      <c r="H1026" s="479">
        <v>11712146.140000001</v>
      </c>
      <c r="I1026" s="480">
        <v>52.47</v>
      </c>
    </row>
    <row r="1027" spans="1:9" ht="63.75" hidden="1" outlineLevel="4">
      <c r="A1027" s="832" t="s">
        <v>1531</v>
      </c>
      <c r="B1027" s="482" t="s">
        <v>4431</v>
      </c>
      <c r="C1027" s="831" t="s">
        <v>803</v>
      </c>
      <c r="D1027" s="482" t="s">
        <v>804</v>
      </c>
      <c r="E1027" s="484">
        <v>22321000</v>
      </c>
      <c r="F1027" s="484">
        <v>22321000</v>
      </c>
      <c r="G1027" s="484">
        <v>21624000</v>
      </c>
      <c r="H1027" s="484">
        <v>11712146.140000001</v>
      </c>
      <c r="I1027" s="480">
        <v>52.47</v>
      </c>
    </row>
    <row r="1028" spans="1:9" ht="38.25" hidden="1" outlineLevel="2">
      <c r="A1028" s="850" t="s">
        <v>4432</v>
      </c>
      <c r="B1028" s="472" t="s">
        <v>4433</v>
      </c>
      <c r="C1028" s="473"/>
      <c r="D1028" s="472"/>
      <c r="E1028" s="474">
        <v>957075201.53999996</v>
      </c>
      <c r="F1028" s="474">
        <v>957075201.53999996</v>
      </c>
      <c r="G1028" s="474">
        <v>868183150.58000004</v>
      </c>
      <c r="H1028" s="474">
        <v>851943576.58000004</v>
      </c>
      <c r="I1028" s="475">
        <v>89.02</v>
      </c>
    </row>
    <row r="1029" spans="1:9" ht="38.25" hidden="1" outlineLevel="3">
      <c r="A1029" s="833" t="s">
        <v>4434</v>
      </c>
      <c r="B1029" s="477" t="s">
        <v>4435</v>
      </c>
      <c r="C1029" s="478"/>
      <c r="D1029" s="477"/>
      <c r="E1029" s="479">
        <v>200000000</v>
      </c>
      <c r="F1029" s="479">
        <v>200000000</v>
      </c>
      <c r="G1029" s="479">
        <v>200000000</v>
      </c>
      <c r="H1029" s="479">
        <v>200000000</v>
      </c>
      <c r="I1029" s="480">
        <v>100</v>
      </c>
    </row>
    <row r="1030" spans="1:9" ht="38.25" hidden="1" outlineLevel="4">
      <c r="A1030" s="832" t="s">
        <v>4434</v>
      </c>
      <c r="B1030" s="482" t="s">
        <v>4435</v>
      </c>
      <c r="C1030" s="831" t="s">
        <v>803</v>
      </c>
      <c r="D1030" s="482" t="s">
        <v>804</v>
      </c>
      <c r="E1030" s="484">
        <v>200000000</v>
      </c>
      <c r="F1030" s="484">
        <v>200000000</v>
      </c>
      <c r="G1030" s="484">
        <v>200000000</v>
      </c>
      <c r="H1030" s="484">
        <v>200000000</v>
      </c>
      <c r="I1030" s="480">
        <v>100</v>
      </c>
    </row>
    <row r="1031" spans="1:9" ht="63.75" hidden="1" outlineLevel="3">
      <c r="A1031" s="833" t="s">
        <v>4436</v>
      </c>
      <c r="B1031" s="477" t="s">
        <v>4437</v>
      </c>
      <c r="C1031" s="478"/>
      <c r="D1031" s="477"/>
      <c r="E1031" s="479">
        <v>476252426</v>
      </c>
      <c r="F1031" s="479">
        <v>476252426</v>
      </c>
      <c r="G1031" s="479">
        <v>430000000</v>
      </c>
      <c r="H1031" s="479">
        <v>413760426</v>
      </c>
      <c r="I1031" s="480">
        <v>86.88</v>
      </c>
    </row>
    <row r="1032" spans="1:9" ht="63.75" hidden="1" outlineLevel="4">
      <c r="A1032" s="832" t="s">
        <v>4436</v>
      </c>
      <c r="B1032" s="482" t="s">
        <v>4437</v>
      </c>
      <c r="C1032" s="831" t="s">
        <v>803</v>
      </c>
      <c r="D1032" s="482" t="s">
        <v>804</v>
      </c>
      <c r="E1032" s="484">
        <v>476252426</v>
      </c>
      <c r="F1032" s="484">
        <v>476252426</v>
      </c>
      <c r="G1032" s="484">
        <v>430000000</v>
      </c>
      <c r="H1032" s="484">
        <v>413760426</v>
      </c>
      <c r="I1032" s="480">
        <v>86.88</v>
      </c>
    </row>
    <row r="1033" spans="1:9" ht="127.5" hidden="1" outlineLevel="3">
      <c r="A1033" s="833" t="s">
        <v>4438</v>
      </c>
      <c r="B1033" s="477" t="s">
        <v>4439</v>
      </c>
      <c r="C1033" s="478"/>
      <c r="D1033" s="477"/>
      <c r="E1033" s="479">
        <v>266326617.36000001</v>
      </c>
      <c r="F1033" s="479">
        <v>266326617.36000001</v>
      </c>
      <c r="G1033" s="479">
        <v>238183150.58000001</v>
      </c>
      <c r="H1033" s="479">
        <v>238183150.58000001</v>
      </c>
      <c r="I1033" s="480">
        <v>89.43</v>
      </c>
    </row>
    <row r="1034" spans="1:9" ht="127.5" hidden="1" outlineLevel="4">
      <c r="A1034" s="832" t="s">
        <v>4438</v>
      </c>
      <c r="B1034" s="482" t="s">
        <v>4439</v>
      </c>
      <c r="C1034" s="831" t="s">
        <v>803</v>
      </c>
      <c r="D1034" s="482" t="s">
        <v>804</v>
      </c>
      <c r="E1034" s="484">
        <v>266326617.36000001</v>
      </c>
      <c r="F1034" s="484">
        <v>266326617.36000001</v>
      </c>
      <c r="G1034" s="484">
        <v>238183150.58000001</v>
      </c>
      <c r="H1034" s="484">
        <v>238183150.58000001</v>
      </c>
      <c r="I1034" s="480">
        <v>89.43</v>
      </c>
    </row>
    <row r="1035" spans="1:9" ht="140.25" hidden="1" outlineLevel="3">
      <c r="A1035" s="833" t="s">
        <v>4440</v>
      </c>
      <c r="B1035" s="477" t="s">
        <v>4441</v>
      </c>
      <c r="C1035" s="478"/>
      <c r="D1035" s="477"/>
      <c r="E1035" s="479">
        <v>14496158.18</v>
      </c>
      <c r="F1035" s="479">
        <v>14496158.18</v>
      </c>
      <c r="G1035" s="479">
        <v>0</v>
      </c>
      <c r="H1035" s="479">
        <v>0</v>
      </c>
      <c r="I1035" s="480">
        <v>0</v>
      </c>
    </row>
    <row r="1036" spans="1:9" ht="140.25" hidden="1" outlineLevel="4">
      <c r="A1036" s="832" t="s">
        <v>4440</v>
      </c>
      <c r="B1036" s="482" t="s">
        <v>4441</v>
      </c>
      <c r="C1036" s="831" t="s">
        <v>803</v>
      </c>
      <c r="D1036" s="482" t="s">
        <v>804</v>
      </c>
      <c r="E1036" s="484">
        <v>14496158.18</v>
      </c>
      <c r="F1036" s="484">
        <v>14496158.18</v>
      </c>
      <c r="G1036" s="484">
        <v>0</v>
      </c>
      <c r="H1036" s="484">
        <v>0</v>
      </c>
      <c r="I1036" s="480">
        <v>0</v>
      </c>
    </row>
    <row r="1037" spans="1:9" ht="38.25" hidden="1" outlineLevel="2">
      <c r="A1037" s="850" t="s">
        <v>4442</v>
      </c>
      <c r="B1037" s="472" t="s">
        <v>4443</v>
      </c>
      <c r="C1037" s="473"/>
      <c r="D1037" s="472"/>
      <c r="E1037" s="474">
        <v>18235472.719999999</v>
      </c>
      <c r="F1037" s="474">
        <v>18235472.719999999</v>
      </c>
      <c r="G1037" s="474">
        <v>7813566.8099999996</v>
      </c>
      <c r="H1037" s="474">
        <v>7813566.8099999996</v>
      </c>
      <c r="I1037" s="475">
        <v>42.85</v>
      </c>
    </row>
    <row r="1038" spans="1:9" ht="153" hidden="1" outlineLevel="3">
      <c r="A1038" s="833" t="s">
        <v>4444</v>
      </c>
      <c r="B1038" s="477" t="s">
        <v>4445</v>
      </c>
      <c r="C1038" s="478"/>
      <c r="D1038" s="477"/>
      <c r="E1038" s="479">
        <v>7813566.8099999996</v>
      </c>
      <c r="F1038" s="479">
        <v>7813566.8099999996</v>
      </c>
      <c r="G1038" s="479">
        <v>7813566.8099999996</v>
      </c>
      <c r="H1038" s="479">
        <v>7813566.8099999996</v>
      </c>
      <c r="I1038" s="480">
        <v>100</v>
      </c>
    </row>
    <row r="1039" spans="1:9" ht="153" hidden="1" outlineLevel="4">
      <c r="A1039" s="832" t="s">
        <v>4444</v>
      </c>
      <c r="B1039" s="482" t="s">
        <v>4445</v>
      </c>
      <c r="C1039" s="831" t="s">
        <v>803</v>
      </c>
      <c r="D1039" s="482" t="s">
        <v>804</v>
      </c>
      <c r="E1039" s="484">
        <v>7813566.8099999996</v>
      </c>
      <c r="F1039" s="484">
        <v>7813566.8099999996</v>
      </c>
      <c r="G1039" s="484">
        <v>7813566.8099999996</v>
      </c>
      <c r="H1039" s="484">
        <v>7813566.8099999996</v>
      </c>
      <c r="I1039" s="480">
        <v>100</v>
      </c>
    </row>
    <row r="1040" spans="1:9" ht="165.75" hidden="1" outlineLevel="3">
      <c r="A1040" s="833" t="s">
        <v>4446</v>
      </c>
      <c r="B1040" s="477" t="s">
        <v>4447</v>
      </c>
      <c r="C1040" s="478"/>
      <c r="D1040" s="477"/>
      <c r="E1040" s="479">
        <v>10421905.91</v>
      </c>
      <c r="F1040" s="479">
        <v>10421905.91</v>
      </c>
      <c r="G1040" s="479">
        <v>0</v>
      </c>
      <c r="H1040" s="479">
        <v>0</v>
      </c>
      <c r="I1040" s="480">
        <v>0</v>
      </c>
    </row>
    <row r="1041" spans="1:9" ht="165.75" hidden="1" outlineLevel="4">
      <c r="A1041" s="832" t="s">
        <v>4446</v>
      </c>
      <c r="B1041" s="482" t="s">
        <v>4447</v>
      </c>
      <c r="C1041" s="831" t="s">
        <v>803</v>
      </c>
      <c r="D1041" s="482" t="s">
        <v>804</v>
      </c>
      <c r="E1041" s="484">
        <v>10421905.91</v>
      </c>
      <c r="F1041" s="484">
        <v>10421905.91</v>
      </c>
      <c r="G1041" s="484">
        <v>0</v>
      </c>
      <c r="H1041" s="484">
        <v>0</v>
      </c>
      <c r="I1041" s="480">
        <v>0</v>
      </c>
    </row>
    <row r="1042" spans="1:9" hidden="1" outlineLevel="2">
      <c r="A1042" s="850" t="s">
        <v>1546</v>
      </c>
      <c r="B1042" s="472" t="s">
        <v>4448</v>
      </c>
      <c r="C1042" s="473"/>
      <c r="D1042" s="472"/>
      <c r="E1042" s="474">
        <v>40792214.520000003</v>
      </c>
      <c r="F1042" s="474">
        <v>40792214.520000003</v>
      </c>
      <c r="G1042" s="474">
        <v>27217352.52</v>
      </c>
      <c r="H1042" s="474">
        <v>23556252.469999999</v>
      </c>
      <c r="I1042" s="475">
        <v>57.75</v>
      </c>
    </row>
    <row r="1043" spans="1:9" ht="63.75" hidden="1" outlineLevel="3">
      <c r="A1043" s="833" t="s">
        <v>4449</v>
      </c>
      <c r="B1043" s="477" t="s">
        <v>4450</v>
      </c>
      <c r="C1043" s="478"/>
      <c r="D1043" s="477"/>
      <c r="E1043" s="479">
        <v>40217892.490000002</v>
      </c>
      <c r="F1043" s="479">
        <v>40217892.490000002</v>
      </c>
      <c r="G1043" s="479">
        <v>27217352.52</v>
      </c>
      <c r="H1043" s="479">
        <v>23556252.469999999</v>
      </c>
      <c r="I1043" s="480">
        <v>58.57</v>
      </c>
    </row>
    <row r="1044" spans="1:9" ht="63.75" hidden="1" outlineLevel="4">
      <c r="A1044" s="832" t="s">
        <v>4449</v>
      </c>
      <c r="B1044" s="482" t="s">
        <v>4450</v>
      </c>
      <c r="C1044" s="831" t="s">
        <v>803</v>
      </c>
      <c r="D1044" s="482" t="s">
        <v>804</v>
      </c>
      <c r="E1044" s="484">
        <v>40217892.490000002</v>
      </c>
      <c r="F1044" s="484">
        <v>40217892.490000002</v>
      </c>
      <c r="G1044" s="484">
        <v>27217352.52</v>
      </c>
      <c r="H1044" s="484">
        <v>23556252.469999999</v>
      </c>
      <c r="I1044" s="480">
        <v>58.57</v>
      </c>
    </row>
    <row r="1045" spans="1:9" ht="76.5" hidden="1" outlineLevel="3">
      <c r="A1045" s="833" t="s">
        <v>4451</v>
      </c>
      <c r="B1045" s="477" t="s">
        <v>4452</v>
      </c>
      <c r="C1045" s="478"/>
      <c r="D1045" s="477"/>
      <c r="E1045" s="479">
        <v>574322.03</v>
      </c>
      <c r="F1045" s="479">
        <v>574322.03</v>
      </c>
      <c r="G1045" s="479">
        <v>0</v>
      </c>
      <c r="H1045" s="479">
        <v>0</v>
      </c>
      <c r="I1045" s="480">
        <v>0</v>
      </c>
    </row>
    <row r="1046" spans="1:9" ht="76.5" hidden="1" outlineLevel="4">
      <c r="A1046" s="832" t="s">
        <v>4451</v>
      </c>
      <c r="B1046" s="482" t="s">
        <v>4452</v>
      </c>
      <c r="C1046" s="831" t="s">
        <v>803</v>
      </c>
      <c r="D1046" s="482" t="s">
        <v>804</v>
      </c>
      <c r="E1046" s="484">
        <v>574322.03</v>
      </c>
      <c r="F1046" s="484">
        <v>574322.03</v>
      </c>
      <c r="G1046" s="484">
        <v>0</v>
      </c>
      <c r="H1046" s="484">
        <v>0</v>
      </c>
      <c r="I1046" s="480">
        <v>0</v>
      </c>
    </row>
    <row r="1047" spans="1:9" hidden="1" outlineLevel="2">
      <c r="A1047" s="850" t="s">
        <v>1555</v>
      </c>
      <c r="B1047" s="472" t="s">
        <v>4453</v>
      </c>
      <c r="C1047" s="473"/>
      <c r="D1047" s="472"/>
      <c r="E1047" s="474">
        <v>160296815</v>
      </c>
      <c r="F1047" s="474">
        <v>160296815</v>
      </c>
      <c r="G1047" s="474">
        <v>134869491.88999999</v>
      </c>
      <c r="H1047" s="474">
        <v>134869491.88999999</v>
      </c>
      <c r="I1047" s="475">
        <v>84.14</v>
      </c>
    </row>
    <row r="1048" spans="1:9" ht="38.25" hidden="1" outlineLevel="3">
      <c r="A1048" s="833" t="s">
        <v>1557</v>
      </c>
      <c r="B1048" s="477" t="s">
        <v>4454</v>
      </c>
      <c r="C1048" s="478"/>
      <c r="D1048" s="477"/>
      <c r="E1048" s="479">
        <v>160296815</v>
      </c>
      <c r="F1048" s="479">
        <v>160296815</v>
      </c>
      <c r="G1048" s="479">
        <v>134869491.88999999</v>
      </c>
      <c r="H1048" s="479">
        <v>134869491.88999999</v>
      </c>
      <c r="I1048" s="480">
        <v>84.14</v>
      </c>
    </row>
    <row r="1049" spans="1:9" ht="38.25" hidden="1" outlineLevel="4">
      <c r="A1049" s="832" t="s">
        <v>1557</v>
      </c>
      <c r="B1049" s="482" t="s">
        <v>4454</v>
      </c>
      <c r="C1049" s="831" t="s">
        <v>803</v>
      </c>
      <c r="D1049" s="482" t="s">
        <v>804</v>
      </c>
      <c r="E1049" s="484">
        <v>160296815</v>
      </c>
      <c r="F1049" s="484">
        <v>160296815</v>
      </c>
      <c r="G1049" s="484">
        <v>134869491.88999999</v>
      </c>
      <c r="H1049" s="484">
        <v>134869491.88999999</v>
      </c>
      <c r="I1049" s="480">
        <v>84.14</v>
      </c>
    </row>
    <row r="1050" spans="1:9" ht="25.5" hidden="1" outlineLevel="1">
      <c r="A1050" s="851" t="s">
        <v>4455</v>
      </c>
      <c r="B1050" s="467" t="s">
        <v>4456</v>
      </c>
      <c r="C1050" s="468"/>
      <c r="D1050" s="467"/>
      <c r="E1050" s="469">
        <v>2257080411.7399998</v>
      </c>
      <c r="F1050" s="469">
        <v>2240274882.0500002</v>
      </c>
      <c r="G1050" s="469">
        <v>1060024208.59</v>
      </c>
      <c r="H1050" s="469">
        <v>978404009.35000002</v>
      </c>
      <c r="I1050" s="470">
        <v>43.35</v>
      </c>
    </row>
    <row r="1051" spans="1:9" ht="38.25" hidden="1" outlineLevel="2">
      <c r="A1051" s="850" t="s">
        <v>4457</v>
      </c>
      <c r="B1051" s="472" t="s">
        <v>4458</v>
      </c>
      <c r="C1051" s="473"/>
      <c r="D1051" s="472"/>
      <c r="E1051" s="474">
        <v>334154229.57999998</v>
      </c>
      <c r="F1051" s="474">
        <v>317348699.88999999</v>
      </c>
      <c r="G1051" s="474">
        <v>228397747.56999999</v>
      </c>
      <c r="H1051" s="474">
        <v>208591153.53</v>
      </c>
      <c r="I1051" s="475">
        <v>62.42</v>
      </c>
    </row>
    <row r="1052" spans="1:9" ht="25.5" hidden="1" outlineLevel="3">
      <c r="A1052" s="833" t="s">
        <v>873</v>
      </c>
      <c r="B1052" s="477" t="s">
        <v>4459</v>
      </c>
      <c r="C1052" s="478"/>
      <c r="D1052" s="477"/>
      <c r="E1052" s="479">
        <v>157967181.61000001</v>
      </c>
      <c r="F1052" s="479">
        <v>141178668.72</v>
      </c>
      <c r="G1052" s="479">
        <v>112040000</v>
      </c>
      <c r="H1052" s="479">
        <v>101803693.47</v>
      </c>
      <c r="I1052" s="480">
        <v>64.45</v>
      </c>
    </row>
    <row r="1053" spans="1:9" ht="25.5" hidden="1" outlineLevel="4">
      <c r="A1053" s="832" t="s">
        <v>873</v>
      </c>
      <c r="B1053" s="482" t="s">
        <v>4459</v>
      </c>
      <c r="C1053" s="831" t="s">
        <v>1502</v>
      </c>
      <c r="D1053" s="482" t="s">
        <v>1503</v>
      </c>
      <c r="E1053" s="484">
        <v>57632058.280000001</v>
      </c>
      <c r="F1053" s="484">
        <v>51351566.439999998</v>
      </c>
      <c r="G1053" s="484">
        <v>37940000</v>
      </c>
      <c r="H1053" s="484">
        <v>35652354.520000003</v>
      </c>
      <c r="I1053" s="480">
        <v>61.86</v>
      </c>
    </row>
    <row r="1054" spans="1:9" ht="25.5" hidden="1" outlineLevel="4">
      <c r="A1054" s="832" t="s">
        <v>873</v>
      </c>
      <c r="B1054" s="482" t="s">
        <v>4459</v>
      </c>
      <c r="C1054" s="831" t="s">
        <v>803</v>
      </c>
      <c r="D1054" s="482" t="s">
        <v>804</v>
      </c>
      <c r="E1054" s="484">
        <v>100335123.33</v>
      </c>
      <c r="F1054" s="484">
        <v>89827102.280000001</v>
      </c>
      <c r="G1054" s="484">
        <v>74100000</v>
      </c>
      <c r="H1054" s="484">
        <v>66151338.950000003</v>
      </c>
      <c r="I1054" s="480">
        <v>65.930000000000007</v>
      </c>
    </row>
    <row r="1055" spans="1:9" ht="38.25" hidden="1" outlineLevel="3">
      <c r="A1055" s="833" t="s">
        <v>854</v>
      </c>
      <c r="B1055" s="477" t="s">
        <v>4460</v>
      </c>
      <c r="C1055" s="478"/>
      <c r="D1055" s="477"/>
      <c r="E1055" s="479">
        <v>3906602.28</v>
      </c>
      <c r="F1055" s="479">
        <v>3889585.48</v>
      </c>
      <c r="G1055" s="479">
        <v>1930472.81</v>
      </c>
      <c r="H1055" s="479">
        <v>1924914.8</v>
      </c>
      <c r="I1055" s="480">
        <v>49.27</v>
      </c>
    </row>
    <row r="1056" spans="1:9" ht="38.25" hidden="1" outlineLevel="4">
      <c r="A1056" s="832" t="s">
        <v>854</v>
      </c>
      <c r="B1056" s="482" t="s">
        <v>4460</v>
      </c>
      <c r="C1056" s="831" t="s">
        <v>1502</v>
      </c>
      <c r="D1056" s="482" t="s">
        <v>1503</v>
      </c>
      <c r="E1056" s="484">
        <v>1850000</v>
      </c>
      <c r="F1056" s="484">
        <v>1850000</v>
      </c>
      <c r="G1056" s="484">
        <v>857829.08</v>
      </c>
      <c r="H1056" s="484">
        <v>857829.08</v>
      </c>
      <c r="I1056" s="480">
        <v>46.37</v>
      </c>
    </row>
    <row r="1057" spans="1:9" ht="38.25" hidden="1" outlineLevel="4">
      <c r="A1057" s="832" t="s">
        <v>854</v>
      </c>
      <c r="B1057" s="482" t="s">
        <v>4460</v>
      </c>
      <c r="C1057" s="831" t="s">
        <v>803</v>
      </c>
      <c r="D1057" s="482" t="s">
        <v>804</v>
      </c>
      <c r="E1057" s="484">
        <v>2056602.28</v>
      </c>
      <c r="F1057" s="484">
        <v>2039585.48</v>
      </c>
      <c r="G1057" s="484">
        <v>1072643.73</v>
      </c>
      <c r="H1057" s="484">
        <v>1067085.72</v>
      </c>
      <c r="I1057" s="480">
        <v>51.89</v>
      </c>
    </row>
    <row r="1058" spans="1:9" ht="76.5" hidden="1" outlineLevel="3">
      <c r="A1058" s="833" t="s">
        <v>702</v>
      </c>
      <c r="B1058" s="477" t="s">
        <v>4461</v>
      </c>
      <c r="C1058" s="478"/>
      <c r="D1058" s="477"/>
      <c r="E1058" s="479">
        <v>160347271.22999999</v>
      </c>
      <c r="F1058" s="479">
        <v>160347271.22999999</v>
      </c>
      <c r="G1058" s="479">
        <v>110127444.12</v>
      </c>
      <c r="H1058" s="479">
        <v>100624218.11</v>
      </c>
      <c r="I1058" s="480">
        <v>62.75</v>
      </c>
    </row>
    <row r="1059" spans="1:9" ht="76.5" hidden="1" outlineLevel="4">
      <c r="A1059" s="832" t="s">
        <v>702</v>
      </c>
      <c r="B1059" s="482" t="s">
        <v>4461</v>
      </c>
      <c r="C1059" s="831" t="s">
        <v>803</v>
      </c>
      <c r="D1059" s="482" t="s">
        <v>804</v>
      </c>
      <c r="E1059" s="484">
        <v>160347271.22999999</v>
      </c>
      <c r="F1059" s="484">
        <v>160347271.22999999</v>
      </c>
      <c r="G1059" s="484">
        <v>110127444.12</v>
      </c>
      <c r="H1059" s="484">
        <v>100624218.11</v>
      </c>
      <c r="I1059" s="480">
        <v>62.75</v>
      </c>
    </row>
    <row r="1060" spans="1:9" ht="63.75" hidden="1" outlineLevel="3">
      <c r="A1060" s="833" t="s">
        <v>62</v>
      </c>
      <c r="B1060" s="477" t="s">
        <v>4462</v>
      </c>
      <c r="C1060" s="478"/>
      <c r="D1060" s="477"/>
      <c r="E1060" s="479">
        <v>4580309.8</v>
      </c>
      <c r="F1060" s="479">
        <v>4580309.8</v>
      </c>
      <c r="G1060" s="479">
        <v>4138411.98</v>
      </c>
      <c r="H1060" s="479">
        <v>4076908.49</v>
      </c>
      <c r="I1060" s="480">
        <v>89.01</v>
      </c>
    </row>
    <row r="1061" spans="1:9" ht="63.75" hidden="1" outlineLevel="4">
      <c r="A1061" s="832" t="s">
        <v>62</v>
      </c>
      <c r="B1061" s="482" t="s">
        <v>4462</v>
      </c>
      <c r="C1061" s="831" t="s">
        <v>1502</v>
      </c>
      <c r="D1061" s="482" t="s">
        <v>1503</v>
      </c>
      <c r="E1061" s="484">
        <v>900000</v>
      </c>
      <c r="F1061" s="484">
        <v>900000</v>
      </c>
      <c r="G1061" s="484">
        <v>834526.18</v>
      </c>
      <c r="H1061" s="484">
        <v>834526.18</v>
      </c>
      <c r="I1061" s="480">
        <v>92.73</v>
      </c>
    </row>
    <row r="1062" spans="1:9" ht="63.75" hidden="1" outlineLevel="4">
      <c r="A1062" s="832" t="s">
        <v>62</v>
      </c>
      <c r="B1062" s="482" t="s">
        <v>4462</v>
      </c>
      <c r="C1062" s="831" t="s">
        <v>803</v>
      </c>
      <c r="D1062" s="482" t="s">
        <v>804</v>
      </c>
      <c r="E1062" s="484">
        <v>3680309.8</v>
      </c>
      <c r="F1062" s="484">
        <v>3680309.8</v>
      </c>
      <c r="G1062" s="484">
        <v>3303885.8</v>
      </c>
      <c r="H1062" s="484">
        <v>3242382.31</v>
      </c>
      <c r="I1062" s="480">
        <v>88.1</v>
      </c>
    </row>
    <row r="1063" spans="1:9" ht="76.5" hidden="1" outlineLevel="3">
      <c r="A1063" s="833" t="s">
        <v>156</v>
      </c>
      <c r="B1063" s="477" t="s">
        <v>4463</v>
      </c>
      <c r="C1063" s="478"/>
      <c r="D1063" s="477"/>
      <c r="E1063" s="479">
        <v>57864.66</v>
      </c>
      <c r="F1063" s="479">
        <v>57864.66</v>
      </c>
      <c r="G1063" s="479">
        <v>57864.66</v>
      </c>
      <c r="H1063" s="479">
        <v>57864.66</v>
      </c>
      <c r="I1063" s="480">
        <v>100</v>
      </c>
    </row>
    <row r="1064" spans="1:9" ht="76.5" hidden="1" outlineLevel="4">
      <c r="A1064" s="832" t="s">
        <v>156</v>
      </c>
      <c r="B1064" s="482" t="s">
        <v>4463</v>
      </c>
      <c r="C1064" s="831" t="s">
        <v>1502</v>
      </c>
      <c r="D1064" s="482" t="s">
        <v>1503</v>
      </c>
      <c r="E1064" s="484">
        <v>57864.66</v>
      </c>
      <c r="F1064" s="484">
        <v>57864.66</v>
      </c>
      <c r="G1064" s="484">
        <v>57864.66</v>
      </c>
      <c r="H1064" s="484">
        <v>57864.66</v>
      </c>
      <c r="I1064" s="480">
        <v>100</v>
      </c>
    </row>
    <row r="1065" spans="1:9" ht="76.5" hidden="1" outlineLevel="3">
      <c r="A1065" s="833" t="s">
        <v>1027</v>
      </c>
      <c r="B1065" s="477" t="s">
        <v>4464</v>
      </c>
      <c r="C1065" s="478"/>
      <c r="D1065" s="477"/>
      <c r="E1065" s="479">
        <v>295000</v>
      </c>
      <c r="F1065" s="479">
        <v>295000</v>
      </c>
      <c r="G1065" s="479">
        <v>103554</v>
      </c>
      <c r="H1065" s="479">
        <v>103554</v>
      </c>
      <c r="I1065" s="480">
        <v>35.1</v>
      </c>
    </row>
    <row r="1066" spans="1:9" ht="76.5" hidden="1" outlineLevel="4">
      <c r="A1066" s="832" t="s">
        <v>1027</v>
      </c>
      <c r="B1066" s="482" t="s">
        <v>4464</v>
      </c>
      <c r="C1066" s="831" t="s">
        <v>803</v>
      </c>
      <c r="D1066" s="482" t="s">
        <v>804</v>
      </c>
      <c r="E1066" s="484">
        <v>295000</v>
      </c>
      <c r="F1066" s="484">
        <v>295000</v>
      </c>
      <c r="G1066" s="484">
        <v>103554</v>
      </c>
      <c r="H1066" s="484">
        <v>103554</v>
      </c>
      <c r="I1066" s="480">
        <v>35.1</v>
      </c>
    </row>
    <row r="1067" spans="1:9" ht="25.5" hidden="1" outlineLevel="3">
      <c r="A1067" s="833" t="s">
        <v>713</v>
      </c>
      <c r="B1067" s="477" t="s">
        <v>4465</v>
      </c>
      <c r="C1067" s="478"/>
      <c r="D1067" s="477"/>
      <c r="E1067" s="479">
        <v>7000000</v>
      </c>
      <c r="F1067" s="479">
        <v>7000000</v>
      </c>
      <c r="G1067" s="479">
        <v>0</v>
      </c>
      <c r="H1067" s="479">
        <v>0</v>
      </c>
      <c r="I1067" s="480">
        <v>0</v>
      </c>
    </row>
    <row r="1068" spans="1:9" ht="25.5" hidden="1" outlineLevel="4">
      <c r="A1068" s="832" t="s">
        <v>713</v>
      </c>
      <c r="B1068" s="482" t="s">
        <v>4465</v>
      </c>
      <c r="C1068" s="831" t="s">
        <v>1502</v>
      </c>
      <c r="D1068" s="482" t="s">
        <v>1503</v>
      </c>
      <c r="E1068" s="484">
        <v>7000000</v>
      </c>
      <c r="F1068" s="484">
        <v>7000000</v>
      </c>
      <c r="G1068" s="484">
        <v>0</v>
      </c>
      <c r="H1068" s="484">
        <v>0</v>
      </c>
      <c r="I1068" s="480">
        <v>0</v>
      </c>
    </row>
    <row r="1069" spans="1:9" ht="63.75" hidden="1" outlineLevel="2">
      <c r="A1069" s="850" t="s">
        <v>4466</v>
      </c>
      <c r="B1069" s="472" t="s">
        <v>4467</v>
      </c>
      <c r="C1069" s="473"/>
      <c r="D1069" s="472"/>
      <c r="E1069" s="474">
        <v>444094214.72000003</v>
      </c>
      <c r="F1069" s="474">
        <v>444094214.72000003</v>
      </c>
      <c r="G1069" s="474">
        <v>180123124.50999999</v>
      </c>
      <c r="H1069" s="474">
        <v>180123124.50999999</v>
      </c>
      <c r="I1069" s="475">
        <v>40.56</v>
      </c>
    </row>
    <row r="1070" spans="1:9" ht="63.75" hidden="1" outlineLevel="3">
      <c r="A1070" s="833" t="s">
        <v>4468</v>
      </c>
      <c r="B1070" s="477" t="s">
        <v>4469</v>
      </c>
      <c r="C1070" s="478"/>
      <c r="D1070" s="477"/>
      <c r="E1070" s="479">
        <v>444094214.72000003</v>
      </c>
      <c r="F1070" s="479">
        <v>444094214.72000003</v>
      </c>
      <c r="G1070" s="479">
        <v>180123124.50999999</v>
      </c>
      <c r="H1070" s="479">
        <v>180123124.50999999</v>
      </c>
      <c r="I1070" s="480">
        <v>40.56</v>
      </c>
    </row>
    <row r="1071" spans="1:9" ht="63.75" hidden="1" outlineLevel="4">
      <c r="A1071" s="832" t="s">
        <v>4468</v>
      </c>
      <c r="B1071" s="482" t="s">
        <v>4469</v>
      </c>
      <c r="C1071" s="831" t="s">
        <v>1502</v>
      </c>
      <c r="D1071" s="482" t="s">
        <v>1503</v>
      </c>
      <c r="E1071" s="484">
        <v>188522011.22</v>
      </c>
      <c r="F1071" s="484">
        <v>188522011.22</v>
      </c>
      <c r="G1071" s="484">
        <v>31233346.449999999</v>
      </c>
      <c r="H1071" s="484">
        <v>31233346.449999999</v>
      </c>
      <c r="I1071" s="480">
        <v>16.57</v>
      </c>
    </row>
    <row r="1072" spans="1:9" ht="63.75" hidden="1" outlineLevel="4">
      <c r="A1072" s="832" t="s">
        <v>4468</v>
      </c>
      <c r="B1072" s="482" t="s">
        <v>4469</v>
      </c>
      <c r="C1072" s="831" t="s">
        <v>1568</v>
      </c>
      <c r="D1072" s="482" t="s">
        <v>1569</v>
      </c>
      <c r="E1072" s="484">
        <v>84000000</v>
      </c>
      <c r="F1072" s="484">
        <v>84000000</v>
      </c>
      <c r="G1072" s="484">
        <v>26581738.399999999</v>
      </c>
      <c r="H1072" s="484">
        <v>26581738.399999999</v>
      </c>
      <c r="I1072" s="480">
        <v>31.64</v>
      </c>
    </row>
    <row r="1073" spans="1:9" ht="63.75" hidden="1" outlineLevel="4">
      <c r="A1073" s="832" t="s">
        <v>4468</v>
      </c>
      <c r="B1073" s="482" t="s">
        <v>4469</v>
      </c>
      <c r="C1073" s="831" t="s">
        <v>1582</v>
      </c>
      <c r="D1073" s="482" t="s">
        <v>1583</v>
      </c>
      <c r="E1073" s="484">
        <v>171572203.5</v>
      </c>
      <c r="F1073" s="484">
        <v>171572203.5</v>
      </c>
      <c r="G1073" s="484">
        <v>122308039.66</v>
      </c>
      <c r="H1073" s="484">
        <v>122308039.66</v>
      </c>
      <c r="I1073" s="480">
        <v>71.290000000000006</v>
      </c>
    </row>
    <row r="1074" spans="1:9" ht="38.25" hidden="1" outlineLevel="2">
      <c r="A1074" s="850" t="s">
        <v>4470</v>
      </c>
      <c r="B1074" s="472" t="s">
        <v>4471</v>
      </c>
      <c r="C1074" s="473"/>
      <c r="D1074" s="472"/>
      <c r="E1074" s="474">
        <v>187096929.25999999</v>
      </c>
      <c r="F1074" s="474">
        <v>187096929.25999999</v>
      </c>
      <c r="G1074" s="474">
        <v>60974917.539999999</v>
      </c>
      <c r="H1074" s="474">
        <v>60974917.539999999</v>
      </c>
      <c r="I1074" s="475">
        <v>32.590000000000003</v>
      </c>
    </row>
    <row r="1075" spans="1:9" ht="38.25" hidden="1" outlineLevel="3">
      <c r="A1075" s="833" t="s">
        <v>982</v>
      </c>
      <c r="B1075" s="477" t="s">
        <v>4472</v>
      </c>
      <c r="C1075" s="478"/>
      <c r="D1075" s="477"/>
      <c r="E1075" s="479">
        <v>187096929.25999999</v>
      </c>
      <c r="F1075" s="479">
        <v>187096929.25999999</v>
      </c>
      <c r="G1075" s="479">
        <v>60974917.539999999</v>
      </c>
      <c r="H1075" s="479">
        <v>60974917.539999999</v>
      </c>
      <c r="I1075" s="480">
        <v>32.590000000000003</v>
      </c>
    </row>
    <row r="1076" spans="1:9" ht="38.25" hidden="1" outlineLevel="4">
      <c r="A1076" s="832" t="s">
        <v>982</v>
      </c>
      <c r="B1076" s="482" t="s">
        <v>4472</v>
      </c>
      <c r="C1076" s="831" t="s">
        <v>803</v>
      </c>
      <c r="D1076" s="482" t="s">
        <v>804</v>
      </c>
      <c r="E1076" s="484">
        <v>187096929.25999999</v>
      </c>
      <c r="F1076" s="484">
        <v>187096929.25999999</v>
      </c>
      <c r="G1076" s="484">
        <v>60974917.539999999</v>
      </c>
      <c r="H1076" s="484">
        <v>60974917.539999999</v>
      </c>
      <c r="I1076" s="480">
        <v>32.590000000000003</v>
      </c>
    </row>
    <row r="1077" spans="1:9" ht="63.75" hidden="1" outlineLevel="2">
      <c r="A1077" s="850" t="s">
        <v>4473</v>
      </c>
      <c r="B1077" s="472" t="s">
        <v>4474</v>
      </c>
      <c r="C1077" s="473"/>
      <c r="D1077" s="472"/>
      <c r="E1077" s="474">
        <v>61572633.149999999</v>
      </c>
      <c r="F1077" s="474">
        <v>61572633.149999999</v>
      </c>
      <c r="G1077" s="474">
        <v>43760428.149999999</v>
      </c>
      <c r="H1077" s="474">
        <v>43760428.149999999</v>
      </c>
      <c r="I1077" s="475">
        <v>71.069999999999993</v>
      </c>
    </row>
    <row r="1078" spans="1:9" ht="38.25" hidden="1" outlineLevel="3">
      <c r="A1078" s="833" t="s">
        <v>2394</v>
      </c>
      <c r="B1078" s="477" t="s">
        <v>4475</v>
      </c>
      <c r="C1078" s="478"/>
      <c r="D1078" s="477"/>
      <c r="E1078" s="479">
        <v>57572633.149999999</v>
      </c>
      <c r="F1078" s="479">
        <v>57572633.149999999</v>
      </c>
      <c r="G1078" s="479">
        <v>43760428.149999999</v>
      </c>
      <c r="H1078" s="479">
        <v>43760428.149999999</v>
      </c>
      <c r="I1078" s="480">
        <v>76.010000000000005</v>
      </c>
    </row>
    <row r="1079" spans="1:9" ht="38.25" hidden="1" outlineLevel="4">
      <c r="A1079" s="832" t="s">
        <v>2394</v>
      </c>
      <c r="B1079" s="482" t="s">
        <v>4475</v>
      </c>
      <c r="C1079" s="831" t="s">
        <v>1502</v>
      </c>
      <c r="D1079" s="482" t="s">
        <v>1503</v>
      </c>
      <c r="E1079" s="484">
        <v>57572633.149999999</v>
      </c>
      <c r="F1079" s="484">
        <v>57572633.149999999</v>
      </c>
      <c r="G1079" s="484">
        <v>43760428.149999999</v>
      </c>
      <c r="H1079" s="484">
        <v>43760428.149999999</v>
      </c>
      <c r="I1079" s="480">
        <v>76.010000000000005</v>
      </c>
    </row>
    <row r="1080" spans="1:9" ht="63.75" hidden="1" outlineLevel="3">
      <c r="A1080" s="833" t="s">
        <v>4476</v>
      </c>
      <c r="B1080" s="477" t="s">
        <v>4477</v>
      </c>
      <c r="C1080" s="478"/>
      <c r="D1080" s="477"/>
      <c r="E1080" s="479">
        <v>4000000</v>
      </c>
      <c r="F1080" s="479">
        <v>4000000</v>
      </c>
      <c r="G1080" s="479">
        <v>0</v>
      </c>
      <c r="H1080" s="479">
        <v>0</v>
      </c>
      <c r="I1080" s="480">
        <v>0</v>
      </c>
    </row>
    <row r="1081" spans="1:9" ht="63.75" hidden="1" outlineLevel="4">
      <c r="A1081" s="832" t="s">
        <v>4476</v>
      </c>
      <c r="B1081" s="482" t="s">
        <v>4477</v>
      </c>
      <c r="C1081" s="831" t="s">
        <v>1502</v>
      </c>
      <c r="D1081" s="482" t="s">
        <v>1503</v>
      </c>
      <c r="E1081" s="484">
        <v>4000000</v>
      </c>
      <c r="F1081" s="484">
        <v>4000000</v>
      </c>
      <c r="G1081" s="484">
        <v>0</v>
      </c>
      <c r="H1081" s="484">
        <v>0</v>
      </c>
      <c r="I1081" s="480">
        <v>0</v>
      </c>
    </row>
    <row r="1082" spans="1:9" ht="25.5" hidden="1" outlineLevel="2">
      <c r="A1082" s="850" t="s">
        <v>4478</v>
      </c>
      <c r="B1082" s="472" t="s">
        <v>4479</v>
      </c>
      <c r="C1082" s="473"/>
      <c r="D1082" s="472"/>
      <c r="E1082" s="474">
        <v>13270484.859999999</v>
      </c>
      <c r="F1082" s="474">
        <v>13270484.859999999</v>
      </c>
      <c r="G1082" s="474">
        <v>0</v>
      </c>
      <c r="H1082" s="474">
        <v>0</v>
      </c>
      <c r="I1082" s="475">
        <v>0</v>
      </c>
    </row>
    <row r="1083" spans="1:9" ht="51" hidden="1" outlineLevel="3">
      <c r="A1083" s="833" t="s">
        <v>4480</v>
      </c>
      <c r="B1083" s="477" t="s">
        <v>4481</v>
      </c>
      <c r="C1083" s="478"/>
      <c r="D1083" s="477"/>
      <c r="E1083" s="479">
        <v>10077239.380000001</v>
      </c>
      <c r="F1083" s="479">
        <v>10077239.380000001</v>
      </c>
      <c r="G1083" s="479">
        <v>0</v>
      </c>
      <c r="H1083" s="479">
        <v>0</v>
      </c>
      <c r="I1083" s="480">
        <v>0</v>
      </c>
    </row>
    <row r="1084" spans="1:9" ht="51" hidden="1" outlineLevel="4">
      <c r="A1084" s="832" t="s">
        <v>4480</v>
      </c>
      <c r="B1084" s="482" t="s">
        <v>4481</v>
      </c>
      <c r="C1084" s="831" t="s">
        <v>803</v>
      </c>
      <c r="D1084" s="482" t="s">
        <v>804</v>
      </c>
      <c r="E1084" s="484">
        <v>10077239.380000001</v>
      </c>
      <c r="F1084" s="484">
        <v>10077239.380000001</v>
      </c>
      <c r="G1084" s="484">
        <v>0</v>
      </c>
      <c r="H1084" s="484">
        <v>0</v>
      </c>
      <c r="I1084" s="480">
        <v>0</v>
      </c>
    </row>
    <row r="1085" spans="1:9" ht="76.5" hidden="1" outlineLevel="3">
      <c r="A1085" s="833" t="s">
        <v>4482</v>
      </c>
      <c r="B1085" s="477" t="s">
        <v>4483</v>
      </c>
      <c r="C1085" s="478"/>
      <c r="D1085" s="477"/>
      <c r="E1085" s="479">
        <v>3193245.48</v>
      </c>
      <c r="F1085" s="479">
        <v>3193245.48</v>
      </c>
      <c r="G1085" s="479">
        <v>0</v>
      </c>
      <c r="H1085" s="479">
        <v>0</v>
      </c>
      <c r="I1085" s="480">
        <v>0</v>
      </c>
    </row>
    <row r="1086" spans="1:9" ht="76.5" hidden="1" outlineLevel="4">
      <c r="A1086" s="832" t="s">
        <v>4482</v>
      </c>
      <c r="B1086" s="482" t="s">
        <v>4483</v>
      </c>
      <c r="C1086" s="831" t="s">
        <v>803</v>
      </c>
      <c r="D1086" s="482" t="s">
        <v>804</v>
      </c>
      <c r="E1086" s="484">
        <v>3193245.48</v>
      </c>
      <c r="F1086" s="484">
        <v>3193245.48</v>
      </c>
      <c r="G1086" s="484">
        <v>0</v>
      </c>
      <c r="H1086" s="484">
        <v>0</v>
      </c>
      <c r="I1086" s="480">
        <v>0</v>
      </c>
    </row>
    <row r="1087" spans="1:9" ht="114.75" hidden="1" outlineLevel="2">
      <c r="A1087" s="850" t="s">
        <v>4484</v>
      </c>
      <c r="B1087" s="472" t="s">
        <v>4485</v>
      </c>
      <c r="C1087" s="473"/>
      <c r="D1087" s="472"/>
      <c r="E1087" s="474">
        <v>118479361.64</v>
      </c>
      <c r="F1087" s="474">
        <v>118479361.64</v>
      </c>
      <c r="G1087" s="474">
        <v>35285306.049999997</v>
      </c>
      <c r="H1087" s="474">
        <v>35285306.049999997</v>
      </c>
      <c r="I1087" s="475">
        <v>29.78</v>
      </c>
    </row>
    <row r="1088" spans="1:9" ht="25.5" hidden="1" outlineLevel="3">
      <c r="A1088" s="833" t="s">
        <v>4486</v>
      </c>
      <c r="B1088" s="477" t="s">
        <v>4487</v>
      </c>
      <c r="C1088" s="478"/>
      <c r="D1088" s="477"/>
      <c r="E1088" s="479">
        <v>77087145.239999995</v>
      </c>
      <c r="F1088" s="479">
        <v>77087145.239999995</v>
      </c>
      <c r="G1088" s="479">
        <v>35285306.049999997</v>
      </c>
      <c r="H1088" s="479">
        <v>35285306.049999997</v>
      </c>
      <c r="I1088" s="480">
        <v>45.77</v>
      </c>
    </row>
    <row r="1089" spans="1:9" ht="25.5" hidden="1" outlineLevel="4">
      <c r="A1089" s="832" t="s">
        <v>4486</v>
      </c>
      <c r="B1089" s="482" t="s">
        <v>4487</v>
      </c>
      <c r="C1089" s="831" t="s">
        <v>803</v>
      </c>
      <c r="D1089" s="482" t="s">
        <v>804</v>
      </c>
      <c r="E1089" s="484">
        <v>77087145.239999995</v>
      </c>
      <c r="F1089" s="484">
        <v>77087145.239999995</v>
      </c>
      <c r="G1089" s="484">
        <v>35285306.049999997</v>
      </c>
      <c r="H1089" s="484">
        <v>35285306.049999997</v>
      </c>
      <c r="I1089" s="480">
        <v>45.77</v>
      </c>
    </row>
    <row r="1090" spans="1:9" ht="76.5" hidden="1" outlineLevel="3">
      <c r="A1090" s="833" t="s">
        <v>4488</v>
      </c>
      <c r="B1090" s="477" t="s">
        <v>4489</v>
      </c>
      <c r="C1090" s="478"/>
      <c r="D1090" s="477"/>
      <c r="E1090" s="479">
        <v>41392216.399999999</v>
      </c>
      <c r="F1090" s="479">
        <v>41392216.399999999</v>
      </c>
      <c r="G1090" s="479">
        <v>0</v>
      </c>
      <c r="H1090" s="479">
        <v>0</v>
      </c>
      <c r="I1090" s="480">
        <v>0</v>
      </c>
    </row>
    <row r="1091" spans="1:9" ht="76.5" hidden="1" outlineLevel="4">
      <c r="A1091" s="832" t="s">
        <v>4488</v>
      </c>
      <c r="B1091" s="482" t="s">
        <v>4489</v>
      </c>
      <c r="C1091" s="831" t="s">
        <v>803</v>
      </c>
      <c r="D1091" s="482" t="s">
        <v>804</v>
      </c>
      <c r="E1091" s="484">
        <v>41392216.399999999</v>
      </c>
      <c r="F1091" s="484">
        <v>41392216.399999999</v>
      </c>
      <c r="G1091" s="484">
        <v>0</v>
      </c>
      <c r="H1091" s="484">
        <v>0</v>
      </c>
      <c r="I1091" s="480">
        <v>0</v>
      </c>
    </row>
    <row r="1092" spans="1:9" ht="38.25" hidden="1" outlineLevel="2">
      <c r="A1092" s="850" t="s">
        <v>4490</v>
      </c>
      <c r="B1092" s="472" t="s">
        <v>4491</v>
      </c>
      <c r="C1092" s="473"/>
      <c r="D1092" s="472"/>
      <c r="E1092" s="474">
        <v>199907784.91999999</v>
      </c>
      <c r="F1092" s="474">
        <v>199907784.91999999</v>
      </c>
      <c r="G1092" s="474">
        <v>83757936.090000004</v>
      </c>
      <c r="H1092" s="474">
        <v>42227931.649999999</v>
      </c>
      <c r="I1092" s="475">
        <v>21.12</v>
      </c>
    </row>
    <row r="1093" spans="1:9" ht="76.5" hidden="1" outlineLevel="3">
      <c r="A1093" s="833" t="s">
        <v>4492</v>
      </c>
      <c r="B1093" s="477" t="s">
        <v>4493</v>
      </c>
      <c r="C1093" s="478"/>
      <c r="D1093" s="477"/>
      <c r="E1093" s="479">
        <v>100000000</v>
      </c>
      <c r="F1093" s="479">
        <v>100000000</v>
      </c>
      <c r="G1093" s="479">
        <v>59007936.090000004</v>
      </c>
      <c r="H1093" s="479">
        <v>17477931.649999999</v>
      </c>
      <c r="I1093" s="480">
        <v>17.48</v>
      </c>
    </row>
    <row r="1094" spans="1:9" ht="76.5" hidden="1" outlineLevel="4">
      <c r="A1094" s="832" t="s">
        <v>4492</v>
      </c>
      <c r="B1094" s="482" t="s">
        <v>4493</v>
      </c>
      <c r="C1094" s="831" t="s">
        <v>1502</v>
      </c>
      <c r="D1094" s="482" t="s">
        <v>1503</v>
      </c>
      <c r="E1094" s="484">
        <v>100000000</v>
      </c>
      <c r="F1094" s="484">
        <v>100000000</v>
      </c>
      <c r="G1094" s="484">
        <v>59007936.090000004</v>
      </c>
      <c r="H1094" s="484">
        <v>17477931.649999999</v>
      </c>
      <c r="I1094" s="480">
        <v>17.48</v>
      </c>
    </row>
    <row r="1095" spans="1:9" ht="89.25" hidden="1" outlineLevel="3">
      <c r="A1095" s="833" t="s">
        <v>4494</v>
      </c>
      <c r="B1095" s="477" t="s">
        <v>4495</v>
      </c>
      <c r="C1095" s="478"/>
      <c r="D1095" s="477"/>
      <c r="E1095" s="479">
        <v>99907784.920000002</v>
      </c>
      <c r="F1095" s="479">
        <v>99907784.920000002</v>
      </c>
      <c r="G1095" s="479">
        <v>24750000</v>
      </c>
      <c r="H1095" s="479">
        <v>24750000</v>
      </c>
      <c r="I1095" s="480">
        <v>24.77</v>
      </c>
    </row>
    <row r="1096" spans="1:9" ht="89.25" hidden="1" outlineLevel="4">
      <c r="A1096" s="832" t="s">
        <v>4494</v>
      </c>
      <c r="B1096" s="482" t="s">
        <v>4495</v>
      </c>
      <c r="C1096" s="831" t="s">
        <v>1502</v>
      </c>
      <c r="D1096" s="482" t="s">
        <v>1503</v>
      </c>
      <c r="E1096" s="484">
        <v>99907784.920000002</v>
      </c>
      <c r="F1096" s="484">
        <v>99907784.920000002</v>
      </c>
      <c r="G1096" s="484">
        <v>24750000</v>
      </c>
      <c r="H1096" s="484">
        <v>24750000</v>
      </c>
      <c r="I1096" s="480">
        <v>24.77</v>
      </c>
    </row>
    <row r="1097" spans="1:9" ht="51" hidden="1" outlineLevel="2">
      <c r="A1097" s="850" t="s">
        <v>4496</v>
      </c>
      <c r="B1097" s="472" t="s">
        <v>4497</v>
      </c>
      <c r="C1097" s="473"/>
      <c r="D1097" s="472"/>
      <c r="E1097" s="474">
        <v>58224615.829999998</v>
      </c>
      <c r="F1097" s="474">
        <v>58224615.829999998</v>
      </c>
      <c r="G1097" s="474">
        <v>58224615.829999998</v>
      </c>
      <c r="H1097" s="474">
        <v>58224615.829999998</v>
      </c>
      <c r="I1097" s="475">
        <v>100</v>
      </c>
    </row>
    <row r="1098" spans="1:9" ht="51" hidden="1" outlineLevel="3">
      <c r="A1098" s="833" t="s">
        <v>4498</v>
      </c>
      <c r="B1098" s="477" t="s">
        <v>4499</v>
      </c>
      <c r="C1098" s="478"/>
      <c r="D1098" s="477"/>
      <c r="E1098" s="479">
        <v>58224615.829999998</v>
      </c>
      <c r="F1098" s="479">
        <v>58224615.829999998</v>
      </c>
      <c r="G1098" s="479">
        <v>58224615.829999998</v>
      </c>
      <c r="H1098" s="479">
        <v>58224615.829999998</v>
      </c>
      <c r="I1098" s="480">
        <v>100</v>
      </c>
    </row>
    <row r="1099" spans="1:9" ht="51" hidden="1" outlineLevel="4">
      <c r="A1099" s="832" t="s">
        <v>4498</v>
      </c>
      <c r="B1099" s="482" t="s">
        <v>4499</v>
      </c>
      <c r="C1099" s="831" t="s">
        <v>1582</v>
      </c>
      <c r="D1099" s="482" t="s">
        <v>1583</v>
      </c>
      <c r="E1099" s="484">
        <v>58224615.829999998</v>
      </c>
      <c r="F1099" s="484">
        <v>58224615.829999998</v>
      </c>
      <c r="G1099" s="484">
        <v>58224615.829999998</v>
      </c>
      <c r="H1099" s="484">
        <v>58224615.829999998</v>
      </c>
      <c r="I1099" s="480">
        <v>100</v>
      </c>
    </row>
    <row r="1100" spans="1:9" ht="25.5" hidden="1" outlineLevel="2">
      <c r="A1100" s="850" t="s">
        <v>2406</v>
      </c>
      <c r="B1100" s="472" t="s">
        <v>4500</v>
      </c>
      <c r="C1100" s="473"/>
      <c r="D1100" s="472"/>
      <c r="E1100" s="474">
        <v>840280157.77999997</v>
      </c>
      <c r="F1100" s="474">
        <v>840280157.77999997</v>
      </c>
      <c r="G1100" s="474">
        <v>369500132.85000002</v>
      </c>
      <c r="H1100" s="474">
        <v>349216532.08999997</v>
      </c>
      <c r="I1100" s="475">
        <v>41.56</v>
      </c>
    </row>
    <row r="1101" spans="1:9" ht="63.75" hidden="1" outlineLevel="3">
      <c r="A1101" s="833" t="s">
        <v>4501</v>
      </c>
      <c r="B1101" s="477" t="s">
        <v>4502</v>
      </c>
      <c r="C1101" s="478"/>
      <c r="D1101" s="477"/>
      <c r="E1101" s="479">
        <v>197376126</v>
      </c>
      <c r="F1101" s="479">
        <v>197376126</v>
      </c>
      <c r="G1101" s="479">
        <v>49875254.700000003</v>
      </c>
      <c r="H1101" s="479">
        <v>49875254.700000003</v>
      </c>
      <c r="I1101" s="480">
        <v>25.27</v>
      </c>
    </row>
    <row r="1102" spans="1:9" ht="63.75" hidden="1" outlineLevel="4">
      <c r="A1102" s="832" t="s">
        <v>4501</v>
      </c>
      <c r="B1102" s="482" t="s">
        <v>4502</v>
      </c>
      <c r="C1102" s="831" t="s">
        <v>1502</v>
      </c>
      <c r="D1102" s="482" t="s">
        <v>1503</v>
      </c>
      <c r="E1102" s="484">
        <v>197376126</v>
      </c>
      <c r="F1102" s="484">
        <v>197376126</v>
      </c>
      <c r="G1102" s="484">
        <v>49875254.700000003</v>
      </c>
      <c r="H1102" s="484">
        <v>49875254.700000003</v>
      </c>
      <c r="I1102" s="480">
        <v>25.27</v>
      </c>
    </row>
    <row r="1103" spans="1:9" ht="25.5" hidden="1" outlineLevel="3">
      <c r="A1103" s="833" t="s">
        <v>4503</v>
      </c>
      <c r="B1103" s="477" t="s">
        <v>4504</v>
      </c>
      <c r="C1103" s="478"/>
      <c r="D1103" s="477"/>
      <c r="E1103" s="479">
        <v>195266727.66</v>
      </c>
      <c r="F1103" s="479">
        <v>195266727.66</v>
      </c>
      <c r="G1103" s="479">
        <v>72916133.790000007</v>
      </c>
      <c r="H1103" s="479">
        <v>59771096.619999997</v>
      </c>
      <c r="I1103" s="480">
        <v>30.61</v>
      </c>
    </row>
    <row r="1104" spans="1:9" ht="25.5" hidden="1" outlineLevel="4">
      <c r="A1104" s="832" t="s">
        <v>4503</v>
      </c>
      <c r="B1104" s="482" t="s">
        <v>4504</v>
      </c>
      <c r="C1104" s="831" t="s">
        <v>1502</v>
      </c>
      <c r="D1104" s="482" t="s">
        <v>1503</v>
      </c>
      <c r="E1104" s="484">
        <v>195266727.66</v>
      </c>
      <c r="F1104" s="484">
        <v>195266727.66</v>
      </c>
      <c r="G1104" s="484">
        <v>72916133.790000007</v>
      </c>
      <c r="H1104" s="484">
        <v>59771096.619999997</v>
      </c>
      <c r="I1104" s="480">
        <v>30.61</v>
      </c>
    </row>
    <row r="1105" spans="1:9" ht="63.75" hidden="1" outlineLevel="3">
      <c r="A1105" s="833" t="s">
        <v>2412</v>
      </c>
      <c r="B1105" s="477" t="s">
        <v>4505</v>
      </c>
      <c r="C1105" s="478"/>
      <c r="D1105" s="477"/>
      <c r="E1105" s="479">
        <v>447637304.12</v>
      </c>
      <c r="F1105" s="479">
        <v>447637304.12</v>
      </c>
      <c r="G1105" s="479">
        <v>246708744.36000001</v>
      </c>
      <c r="H1105" s="479">
        <v>239570180.77000001</v>
      </c>
      <c r="I1105" s="480">
        <v>53.52</v>
      </c>
    </row>
    <row r="1106" spans="1:9" ht="63.75" hidden="1" outlineLevel="4">
      <c r="A1106" s="832" t="s">
        <v>2412</v>
      </c>
      <c r="B1106" s="482" t="s">
        <v>4505</v>
      </c>
      <c r="C1106" s="831" t="s">
        <v>1502</v>
      </c>
      <c r="D1106" s="482" t="s">
        <v>1503</v>
      </c>
      <c r="E1106" s="484">
        <v>447637304.12</v>
      </c>
      <c r="F1106" s="484">
        <v>447637304.12</v>
      </c>
      <c r="G1106" s="484">
        <v>246708744.36000001</v>
      </c>
      <c r="H1106" s="484">
        <v>239570180.77000001</v>
      </c>
      <c r="I1106" s="480">
        <v>53.52</v>
      </c>
    </row>
    <row r="1107" spans="1:9" ht="38.25" hidden="1" outlineLevel="1">
      <c r="A1107" s="851" t="s">
        <v>4506</v>
      </c>
      <c r="B1107" s="467" t="s">
        <v>4507</v>
      </c>
      <c r="C1107" s="468"/>
      <c r="D1107" s="467"/>
      <c r="E1107" s="469">
        <v>3598263019.21</v>
      </c>
      <c r="F1107" s="469">
        <v>3598263019.21</v>
      </c>
      <c r="G1107" s="469">
        <v>1306340921.0599999</v>
      </c>
      <c r="H1107" s="469">
        <v>1131038010.8</v>
      </c>
      <c r="I1107" s="470">
        <v>31.43</v>
      </c>
    </row>
    <row r="1108" spans="1:9" ht="63.75" hidden="1" outlineLevel="2">
      <c r="A1108" s="850" t="s">
        <v>4508</v>
      </c>
      <c r="B1108" s="472" t="s">
        <v>4509</v>
      </c>
      <c r="C1108" s="473"/>
      <c r="D1108" s="472"/>
      <c r="E1108" s="474">
        <v>387899094.58999997</v>
      </c>
      <c r="F1108" s="474">
        <v>387899094.58999997</v>
      </c>
      <c r="G1108" s="474">
        <v>148266192.37</v>
      </c>
      <c r="H1108" s="474">
        <v>132539360.09999999</v>
      </c>
      <c r="I1108" s="475">
        <v>34.17</v>
      </c>
    </row>
    <row r="1109" spans="1:9" ht="102" hidden="1" outlineLevel="3">
      <c r="A1109" s="833" t="s">
        <v>4510</v>
      </c>
      <c r="B1109" s="477" t="s">
        <v>4511</v>
      </c>
      <c r="C1109" s="478"/>
      <c r="D1109" s="477"/>
      <c r="E1109" s="479">
        <v>8817296.75</v>
      </c>
      <c r="F1109" s="479">
        <v>8817296.75</v>
      </c>
      <c r="G1109" s="479">
        <v>2204517.75</v>
      </c>
      <c r="H1109" s="479">
        <v>2204517.75</v>
      </c>
      <c r="I1109" s="480">
        <v>25</v>
      </c>
    </row>
    <row r="1110" spans="1:9" ht="102" hidden="1" outlineLevel="4">
      <c r="A1110" s="832" t="s">
        <v>4510</v>
      </c>
      <c r="B1110" s="482" t="s">
        <v>4511</v>
      </c>
      <c r="C1110" s="831" t="s">
        <v>803</v>
      </c>
      <c r="D1110" s="482" t="s">
        <v>804</v>
      </c>
      <c r="E1110" s="484">
        <v>8817296.75</v>
      </c>
      <c r="F1110" s="484">
        <v>8817296.75</v>
      </c>
      <c r="G1110" s="484">
        <v>2204517.75</v>
      </c>
      <c r="H1110" s="484">
        <v>2204517.75</v>
      </c>
      <c r="I1110" s="480">
        <v>25</v>
      </c>
    </row>
    <row r="1111" spans="1:9" ht="38.25" hidden="1" outlineLevel="3">
      <c r="A1111" s="833" t="s">
        <v>4512</v>
      </c>
      <c r="B1111" s="477" t="s">
        <v>4513</v>
      </c>
      <c r="C1111" s="478"/>
      <c r="D1111" s="477"/>
      <c r="E1111" s="479">
        <v>540360</v>
      </c>
      <c r="F1111" s="479">
        <v>540360</v>
      </c>
      <c r="G1111" s="479">
        <v>540360</v>
      </c>
      <c r="H1111" s="479">
        <v>540360</v>
      </c>
      <c r="I1111" s="480">
        <v>100</v>
      </c>
    </row>
    <row r="1112" spans="1:9" ht="38.25" hidden="1" outlineLevel="4">
      <c r="A1112" s="832" t="s">
        <v>4512</v>
      </c>
      <c r="B1112" s="482" t="s">
        <v>4513</v>
      </c>
      <c r="C1112" s="831" t="s">
        <v>803</v>
      </c>
      <c r="D1112" s="482" t="s">
        <v>804</v>
      </c>
      <c r="E1112" s="484">
        <v>540360</v>
      </c>
      <c r="F1112" s="484">
        <v>540360</v>
      </c>
      <c r="G1112" s="484">
        <v>540360</v>
      </c>
      <c r="H1112" s="484">
        <v>540360</v>
      </c>
      <c r="I1112" s="480">
        <v>100</v>
      </c>
    </row>
    <row r="1113" spans="1:9" ht="102" hidden="1" outlineLevel="3">
      <c r="A1113" s="833" t="s">
        <v>4514</v>
      </c>
      <c r="B1113" s="477" t="s">
        <v>4515</v>
      </c>
      <c r="C1113" s="478"/>
      <c r="D1113" s="477"/>
      <c r="E1113" s="479">
        <v>287906266.06</v>
      </c>
      <c r="F1113" s="479">
        <v>287906266.06</v>
      </c>
      <c r="G1113" s="479">
        <v>98697288.079999998</v>
      </c>
      <c r="H1113" s="479">
        <v>95063316.480000004</v>
      </c>
      <c r="I1113" s="480">
        <v>33.020000000000003</v>
      </c>
    </row>
    <row r="1114" spans="1:9" ht="102" hidden="1" outlineLevel="4">
      <c r="A1114" s="832" t="s">
        <v>4514</v>
      </c>
      <c r="B1114" s="482" t="s">
        <v>4515</v>
      </c>
      <c r="C1114" s="831" t="s">
        <v>803</v>
      </c>
      <c r="D1114" s="482" t="s">
        <v>804</v>
      </c>
      <c r="E1114" s="484">
        <v>287906266.06</v>
      </c>
      <c r="F1114" s="484">
        <v>287906266.06</v>
      </c>
      <c r="G1114" s="484">
        <v>98697288.079999998</v>
      </c>
      <c r="H1114" s="484">
        <v>95063316.480000004</v>
      </c>
      <c r="I1114" s="480">
        <v>33.020000000000003</v>
      </c>
    </row>
    <row r="1115" spans="1:9" ht="51" hidden="1" outlineLevel="3">
      <c r="A1115" s="833" t="s">
        <v>4516</v>
      </c>
      <c r="B1115" s="477" t="s">
        <v>4517</v>
      </c>
      <c r="C1115" s="478"/>
      <c r="D1115" s="477"/>
      <c r="E1115" s="479">
        <v>19471066.329999998</v>
      </c>
      <c r="F1115" s="479">
        <v>19471066.329999998</v>
      </c>
      <c r="G1115" s="479">
        <v>0</v>
      </c>
      <c r="H1115" s="479">
        <v>0</v>
      </c>
      <c r="I1115" s="480">
        <v>0</v>
      </c>
    </row>
    <row r="1116" spans="1:9" ht="51" hidden="1" outlineLevel="4">
      <c r="A1116" s="832" t="s">
        <v>4516</v>
      </c>
      <c r="B1116" s="482" t="s">
        <v>4517</v>
      </c>
      <c r="C1116" s="831" t="s">
        <v>803</v>
      </c>
      <c r="D1116" s="482" t="s">
        <v>804</v>
      </c>
      <c r="E1116" s="484">
        <v>19471066.329999998</v>
      </c>
      <c r="F1116" s="484">
        <v>19471066.329999998</v>
      </c>
      <c r="G1116" s="484">
        <v>0</v>
      </c>
      <c r="H1116" s="484">
        <v>0</v>
      </c>
      <c r="I1116" s="480">
        <v>0</v>
      </c>
    </row>
    <row r="1117" spans="1:9" ht="63.75" hidden="1" outlineLevel="3">
      <c r="A1117" s="833" t="s">
        <v>4518</v>
      </c>
      <c r="B1117" s="477" t="s">
        <v>4519</v>
      </c>
      <c r="C1117" s="478"/>
      <c r="D1117" s="477"/>
      <c r="E1117" s="479">
        <v>7085573.9900000002</v>
      </c>
      <c r="F1117" s="479">
        <v>7085573.9900000002</v>
      </c>
      <c r="G1117" s="479">
        <v>0</v>
      </c>
      <c r="H1117" s="479">
        <v>0</v>
      </c>
      <c r="I1117" s="480">
        <v>0</v>
      </c>
    </row>
    <row r="1118" spans="1:9" ht="63.75" hidden="1" outlineLevel="4">
      <c r="A1118" s="832" t="s">
        <v>4518</v>
      </c>
      <c r="B1118" s="482" t="s">
        <v>4519</v>
      </c>
      <c r="C1118" s="831" t="s">
        <v>803</v>
      </c>
      <c r="D1118" s="482" t="s">
        <v>804</v>
      </c>
      <c r="E1118" s="484">
        <v>7085573.9900000002</v>
      </c>
      <c r="F1118" s="484">
        <v>7085573.9900000002</v>
      </c>
      <c r="G1118" s="484">
        <v>0</v>
      </c>
      <c r="H1118" s="484">
        <v>0</v>
      </c>
      <c r="I1118" s="480">
        <v>0</v>
      </c>
    </row>
    <row r="1119" spans="1:9" ht="76.5" hidden="1" outlineLevel="3">
      <c r="A1119" s="833" t="s">
        <v>4520</v>
      </c>
      <c r="B1119" s="477" t="s">
        <v>4521</v>
      </c>
      <c r="C1119" s="478"/>
      <c r="D1119" s="477"/>
      <c r="E1119" s="479">
        <v>64078531.460000001</v>
      </c>
      <c r="F1119" s="479">
        <v>64078531.460000001</v>
      </c>
      <c r="G1119" s="479">
        <v>46824026.539999999</v>
      </c>
      <c r="H1119" s="479">
        <v>34731165.869999997</v>
      </c>
      <c r="I1119" s="480">
        <v>54.2</v>
      </c>
    </row>
    <row r="1120" spans="1:9" ht="76.5" hidden="1" outlineLevel="4">
      <c r="A1120" s="832" t="s">
        <v>4520</v>
      </c>
      <c r="B1120" s="482" t="s">
        <v>4521</v>
      </c>
      <c r="C1120" s="831" t="s">
        <v>803</v>
      </c>
      <c r="D1120" s="482" t="s">
        <v>804</v>
      </c>
      <c r="E1120" s="484">
        <v>64078531.460000001</v>
      </c>
      <c r="F1120" s="484">
        <v>64078531.460000001</v>
      </c>
      <c r="G1120" s="484">
        <v>46824026.539999999</v>
      </c>
      <c r="H1120" s="484">
        <v>34731165.869999997</v>
      </c>
      <c r="I1120" s="480">
        <v>54.2</v>
      </c>
    </row>
    <row r="1121" spans="1:9" ht="38.25" hidden="1" outlineLevel="2">
      <c r="A1121" s="850" t="s">
        <v>1549</v>
      </c>
      <c r="B1121" s="472" t="s">
        <v>4522</v>
      </c>
      <c r="C1121" s="473"/>
      <c r="D1121" s="472"/>
      <c r="E1121" s="474">
        <v>3210363924.6199999</v>
      </c>
      <c r="F1121" s="474">
        <v>3210363924.6199999</v>
      </c>
      <c r="G1121" s="474">
        <v>1158074728.6900001</v>
      </c>
      <c r="H1121" s="474">
        <v>998498650.70000005</v>
      </c>
      <c r="I1121" s="475">
        <v>31.1</v>
      </c>
    </row>
    <row r="1122" spans="1:9" ht="76.5" hidden="1" outlineLevel="3">
      <c r="A1122" s="833" t="s">
        <v>4523</v>
      </c>
      <c r="B1122" s="477" t="s">
        <v>4524</v>
      </c>
      <c r="C1122" s="478"/>
      <c r="D1122" s="477"/>
      <c r="E1122" s="479">
        <v>2378285250.8800001</v>
      </c>
      <c r="F1122" s="479">
        <v>2378285250.8800001</v>
      </c>
      <c r="G1122" s="479">
        <v>986209154.33000004</v>
      </c>
      <c r="H1122" s="479">
        <v>831795916.61000001</v>
      </c>
      <c r="I1122" s="480">
        <v>34.97</v>
      </c>
    </row>
    <row r="1123" spans="1:9" ht="76.5" hidden="1" outlineLevel="4">
      <c r="A1123" s="832" t="s">
        <v>4523</v>
      </c>
      <c r="B1123" s="482" t="s">
        <v>4524</v>
      </c>
      <c r="C1123" s="831" t="s">
        <v>803</v>
      </c>
      <c r="D1123" s="482" t="s">
        <v>804</v>
      </c>
      <c r="E1123" s="484">
        <v>2378285250.8800001</v>
      </c>
      <c r="F1123" s="484">
        <v>2378285250.8800001</v>
      </c>
      <c r="G1123" s="484">
        <v>986209154.33000004</v>
      </c>
      <c r="H1123" s="484">
        <v>831795916.61000001</v>
      </c>
      <c r="I1123" s="480">
        <v>34.97</v>
      </c>
    </row>
    <row r="1124" spans="1:9" ht="25.5" hidden="1" outlineLevel="3">
      <c r="A1124" s="833" t="s">
        <v>4525</v>
      </c>
      <c r="B1124" s="477" t="s">
        <v>4526</v>
      </c>
      <c r="C1124" s="478"/>
      <c r="D1124" s="477"/>
      <c r="E1124" s="479">
        <v>832078673.74000001</v>
      </c>
      <c r="F1124" s="479">
        <v>832078673.74000001</v>
      </c>
      <c r="G1124" s="479">
        <v>171865574.36000001</v>
      </c>
      <c r="H1124" s="479">
        <v>166702734.09</v>
      </c>
      <c r="I1124" s="480">
        <v>20.03</v>
      </c>
    </row>
    <row r="1125" spans="1:9" ht="25.5" hidden="1" outlineLevel="4">
      <c r="A1125" s="832" t="s">
        <v>4525</v>
      </c>
      <c r="B1125" s="482" t="s">
        <v>4526</v>
      </c>
      <c r="C1125" s="831" t="s">
        <v>803</v>
      </c>
      <c r="D1125" s="482" t="s">
        <v>804</v>
      </c>
      <c r="E1125" s="484">
        <v>832078673.74000001</v>
      </c>
      <c r="F1125" s="484">
        <v>832078673.74000001</v>
      </c>
      <c r="G1125" s="484">
        <v>171865574.36000001</v>
      </c>
      <c r="H1125" s="484">
        <v>166702734.09</v>
      </c>
      <c r="I1125" s="480">
        <v>20.03</v>
      </c>
    </row>
    <row r="1126" spans="1:9" ht="63.75" hidden="1" outlineLevel="1">
      <c r="A1126" s="851" t="s">
        <v>4527</v>
      </c>
      <c r="B1126" s="467" t="s">
        <v>4528</v>
      </c>
      <c r="C1126" s="468"/>
      <c r="D1126" s="467"/>
      <c r="E1126" s="469">
        <v>7050575293.9499998</v>
      </c>
      <c r="F1126" s="469">
        <v>6654554244.1099997</v>
      </c>
      <c r="G1126" s="469">
        <v>6182320140.1300001</v>
      </c>
      <c r="H1126" s="469">
        <v>5858997332.4700003</v>
      </c>
      <c r="I1126" s="470">
        <v>83.1</v>
      </c>
    </row>
    <row r="1127" spans="1:9" ht="63.75" hidden="1" outlineLevel="2">
      <c r="A1127" s="850" t="s">
        <v>4529</v>
      </c>
      <c r="B1127" s="472" t="s">
        <v>4530</v>
      </c>
      <c r="C1127" s="473"/>
      <c r="D1127" s="472"/>
      <c r="E1127" s="474">
        <v>632875050.38</v>
      </c>
      <c r="F1127" s="474">
        <v>577603833</v>
      </c>
      <c r="G1127" s="474">
        <v>215803555</v>
      </c>
      <c r="H1127" s="474">
        <v>215803555</v>
      </c>
      <c r="I1127" s="475">
        <v>34.1</v>
      </c>
    </row>
    <row r="1128" spans="1:9" ht="38.25" hidden="1" outlineLevel="3">
      <c r="A1128" s="833" t="s">
        <v>4531</v>
      </c>
      <c r="B1128" s="477" t="s">
        <v>4532</v>
      </c>
      <c r="C1128" s="478"/>
      <c r="D1128" s="477"/>
      <c r="E1128" s="479">
        <v>7783333</v>
      </c>
      <c r="F1128" s="479">
        <v>7783333</v>
      </c>
      <c r="G1128" s="479">
        <v>0</v>
      </c>
      <c r="H1128" s="479">
        <v>0</v>
      </c>
      <c r="I1128" s="480">
        <v>0</v>
      </c>
    </row>
    <row r="1129" spans="1:9" ht="38.25" hidden="1" outlineLevel="4">
      <c r="A1129" s="832" t="s">
        <v>4531</v>
      </c>
      <c r="B1129" s="482" t="s">
        <v>4532</v>
      </c>
      <c r="C1129" s="831" t="s">
        <v>1582</v>
      </c>
      <c r="D1129" s="482" t="s">
        <v>1583</v>
      </c>
      <c r="E1129" s="484">
        <v>7783333</v>
      </c>
      <c r="F1129" s="484">
        <v>7783333</v>
      </c>
      <c r="G1129" s="484">
        <v>0</v>
      </c>
      <c r="H1129" s="484">
        <v>0</v>
      </c>
      <c r="I1129" s="480">
        <v>0</v>
      </c>
    </row>
    <row r="1130" spans="1:9" ht="51" hidden="1" outlineLevel="3">
      <c r="A1130" s="833" t="s">
        <v>801</v>
      </c>
      <c r="B1130" s="477" t="s">
        <v>4533</v>
      </c>
      <c r="C1130" s="478"/>
      <c r="D1130" s="477"/>
      <c r="E1130" s="479">
        <v>600425017.38</v>
      </c>
      <c r="F1130" s="479">
        <v>552850800</v>
      </c>
      <c r="G1130" s="479">
        <v>215803555</v>
      </c>
      <c r="H1130" s="479">
        <v>215803555</v>
      </c>
      <c r="I1130" s="480">
        <v>35.94</v>
      </c>
    </row>
    <row r="1131" spans="1:9" ht="51" hidden="1" outlineLevel="4">
      <c r="A1131" s="832" t="s">
        <v>801</v>
      </c>
      <c r="B1131" s="482" t="s">
        <v>4533</v>
      </c>
      <c r="C1131" s="831" t="s">
        <v>803</v>
      </c>
      <c r="D1131" s="482" t="s">
        <v>804</v>
      </c>
      <c r="E1131" s="484">
        <v>392574217.38</v>
      </c>
      <c r="F1131" s="484">
        <v>345000000</v>
      </c>
      <c r="G1131" s="484">
        <v>7952755</v>
      </c>
      <c r="H1131" s="484">
        <v>7952755</v>
      </c>
      <c r="I1131" s="480">
        <v>2.0299999999999998</v>
      </c>
    </row>
    <row r="1132" spans="1:9" ht="51" hidden="1" outlineLevel="4">
      <c r="A1132" s="832" t="s">
        <v>801</v>
      </c>
      <c r="B1132" s="482" t="s">
        <v>4533</v>
      </c>
      <c r="C1132" s="831" t="s">
        <v>1582</v>
      </c>
      <c r="D1132" s="482" t="s">
        <v>1583</v>
      </c>
      <c r="E1132" s="484">
        <v>207850800</v>
      </c>
      <c r="F1132" s="484">
        <v>207850800</v>
      </c>
      <c r="G1132" s="484">
        <v>207850800</v>
      </c>
      <c r="H1132" s="484">
        <v>207850800</v>
      </c>
      <c r="I1132" s="480">
        <v>100</v>
      </c>
    </row>
    <row r="1133" spans="1:9" ht="38.25" hidden="1" outlineLevel="3">
      <c r="A1133" s="833" t="s">
        <v>982</v>
      </c>
      <c r="B1133" s="477" t="s">
        <v>4534</v>
      </c>
      <c r="C1133" s="478"/>
      <c r="D1133" s="477"/>
      <c r="E1133" s="479">
        <v>7697000</v>
      </c>
      <c r="F1133" s="479">
        <v>0</v>
      </c>
      <c r="G1133" s="479">
        <v>0</v>
      </c>
      <c r="H1133" s="479">
        <v>0</v>
      </c>
      <c r="I1133" s="480">
        <v>0</v>
      </c>
    </row>
    <row r="1134" spans="1:9" ht="38.25" hidden="1" outlineLevel="4">
      <c r="A1134" s="832" t="s">
        <v>982</v>
      </c>
      <c r="B1134" s="482" t="s">
        <v>4534</v>
      </c>
      <c r="C1134" s="831" t="s">
        <v>1582</v>
      </c>
      <c r="D1134" s="482" t="s">
        <v>1583</v>
      </c>
      <c r="E1134" s="484">
        <v>7697000</v>
      </c>
      <c r="F1134" s="484">
        <v>0</v>
      </c>
      <c r="G1134" s="484">
        <v>0</v>
      </c>
      <c r="H1134" s="484">
        <v>0</v>
      </c>
      <c r="I1134" s="480">
        <v>0</v>
      </c>
    </row>
    <row r="1135" spans="1:9" ht="76.5" hidden="1" outlineLevel="3">
      <c r="A1135" s="833" t="s">
        <v>4535</v>
      </c>
      <c r="B1135" s="477" t="s">
        <v>4536</v>
      </c>
      <c r="C1135" s="478"/>
      <c r="D1135" s="477"/>
      <c r="E1135" s="479">
        <v>16969700</v>
      </c>
      <c r="F1135" s="479">
        <v>16969700</v>
      </c>
      <c r="G1135" s="479">
        <v>0</v>
      </c>
      <c r="H1135" s="479">
        <v>0</v>
      </c>
      <c r="I1135" s="480">
        <v>0</v>
      </c>
    </row>
    <row r="1136" spans="1:9" ht="76.5" hidden="1" outlineLevel="4">
      <c r="A1136" s="832" t="s">
        <v>4535</v>
      </c>
      <c r="B1136" s="482" t="s">
        <v>4536</v>
      </c>
      <c r="C1136" s="831" t="s">
        <v>803</v>
      </c>
      <c r="D1136" s="482" t="s">
        <v>804</v>
      </c>
      <c r="E1136" s="484">
        <v>16969700</v>
      </c>
      <c r="F1136" s="484">
        <v>16969700</v>
      </c>
      <c r="G1136" s="484">
        <v>0</v>
      </c>
      <c r="H1136" s="484">
        <v>0</v>
      </c>
      <c r="I1136" s="480">
        <v>0</v>
      </c>
    </row>
    <row r="1137" spans="1:9" ht="25.5" hidden="1" outlineLevel="2">
      <c r="A1137" s="850" t="s">
        <v>4537</v>
      </c>
      <c r="B1137" s="472" t="s">
        <v>4538</v>
      </c>
      <c r="C1137" s="473"/>
      <c r="D1137" s="472"/>
      <c r="E1137" s="474">
        <v>6106946486.21</v>
      </c>
      <c r="F1137" s="474">
        <v>5766702763.1899996</v>
      </c>
      <c r="G1137" s="474">
        <v>5764457747.6099997</v>
      </c>
      <c r="H1137" s="474">
        <v>5442805058.04</v>
      </c>
      <c r="I1137" s="475">
        <v>89.12</v>
      </c>
    </row>
    <row r="1138" spans="1:9" ht="76.5" hidden="1" outlineLevel="3">
      <c r="A1138" s="833" t="s">
        <v>1606</v>
      </c>
      <c r="B1138" s="477" t="s">
        <v>4539</v>
      </c>
      <c r="C1138" s="478"/>
      <c r="D1138" s="477"/>
      <c r="E1138" s="479">
        <v>29790400</v>
      </c>
      <c r="F1138" s="479">
        <v>21987011.719999999</v>
      </c>
      <c r="G1138" s="479">
        <v>19741996.140000001</v>
      </c>
      <c r="H1138" s="479">
        <v>19741996.140000001</v>
      </c>
      <c r="I1138" s="480">
        <v>66.27</v>
      </c>
    </row>
    <row r="1139" spans="1:9" ht="76.5" hidden="1" outlineLevel="4">
      <c r="A1139" s="832" t="s">
        <v>1606</v>
      </c>
      <c r="B1139" s="482" t="s">
        <v>4539</v>
      </c>
      <c r="C1139" s="831" t="s">
        <v>1582</v>
      </c>
      <c r="D1139" s="482" t="s">
        <v>1583</v>
      </c>
      <c r="E1139" s="484">
        <v>29790400</v>
      </c>
      <c r="F1139" s="484">
        <v>21987011.719999999</v>
      </c>
      <c r="G1139" s="484">
        <v>19741996.140000001</v>
      </c>
      <c r="H1139" s="484">
        <v>19741996.140000001</v>
      </c>
      <c r="I1139" s="480">
        <v>66.27</v>
      </c>
    </row>
    <row r="1140" spans="1:9" ht="76.5" hidden="1" outlineLevel="3">
      <c r="A1140" s="833" t="s">
        <v>1608</v>
      </c>
      <c r="B1140" s="477" t="s">
        <v>4540</v>
      </c>
      <c r="C1140" s="478"/>
      <c r="D1140" s="477"/>
      <c r="E1140" s="479">
        <v>325971916.61000001</v>
      </c>
      <c r="F1140" s="479">
        <v>224803575.86000001</v>
      </c>
      <c r="G1140" s="479">
        <v>224803575.86000001</v>
      </c>
      <c r="H1140" s="479">
        <v>224803575.86000001</v>
      </c>
      <c r="I1140" s="480">
        <v>68.959999999999994</v>
      </c>
    </row>
    <row r="1141" spans="1:9" ht="76.5" hidden="1" outlineLevel="4">
      <c r="A1141" s="832" t="s">
        <v>1608</v>
      </c>
      <c r="B1141" s="482" t="s">
        <v>4540</v>
      </c>
      <c r="C1141" s="831" t="s">
        <v>1582</v>
      </c>
      <c r="D1141" s="482" t="s">
        <v>1583</v>
      </c>
      <c r="E1141" s="484">
        <v>325971916.61000001</v>
      </c>
      <c r="F1141" s="484">
        <v>224803575.86000001</v>
      </c>
      <c r="G1141" s="484">
        <v>224803575.86000001</v>
      </c>
      <c r="H1141" s="484">
        <v>224803575.86000001</v>
      </c>
      <c r="I1141" s="480">
        <v>68.959999999999994</v>
      </c>
    </row>
    <row r="1142" spans="1:9" ht="63.75" hidden="1" outlineLevel="3">
      <c r="A1142" s="833" t="s">
        <v>1610</v>
      </c>
      <c r="B1142" s="477" t="s">
        <v>4541</v>
      </c>
      <c r="C1142" s="478"/>
      <c r="D1142" s="477"/>
      <c r="E1142" s="479">
        <v>2526429516.71</v>
      </c>
      <c r="F1142" s="479">
        <v>2442732714.71</v>
      </c>
      <c r="G1142" s="479">
        <v>2442732714.71</v>
      </c>
      <c r="H1142" s="479">
        <v>2442732714.71</v>
      </c>
      <c r="I1142" s="480">
        <v>96.69</v>
      </c>
    </row>
    <row r="1143" spans="1:9" ht="63.75" hidden="1" outlineLevel="4">
      <c r="A1143" s="832" t="s">
        <v>1610</v>
      </c>
      <c r="B1143" s="482" t="s">
        <v>4541</v>
      </c>
      <c r="C1143" s="831" t="s">
        <v>1582</v>
      </c>
      <c r="D1143" s="482" t="s">
        <v>1583</v>
      </c>
      <c r="E1143" s="484">
        <v>2526429516.71</v>
      </c>
      <c r="F1143" s="484">
        <v>2442732714.71</v>
      </c>
      <c r="G1143" s="484">
        <v>2442732714.71</v>
      </c>
      <c r="H1143" s="484">
        <v>2442732714.71</v>
      </c>
      <c r="I1143" s="480">
        <v>96.69</v>
      </c>
    </row>
    <row r="1144" spans="1:9" ht="114.75" hidden="1" outlineLevel="3">
      <c r="A1144" s="833" t="s">
        <v>4542</v>
      </c>
      <c r="B1144" s="477" t="s">
        <v>4543</v>
      </c>
      <c r="C1144" s="478"/>
      <c r="D1144" s="477"/>
      <c r="E1144" s="479">
        <v>33683511.609999999</v>
      </c>
      <c r="F1144" s="479">
        <v>33683511.609999999</v>
      </c>
      <c r="G1144" s="479">
        <v>33683511.609999999</v>
      </c>
      <c r="H1144" s="479">
        <v>33683511.609999999</v>
      </c>
      <c r="I1144" s="480">
        <v>100</v>
      </c>
    </row>
    <row r="1145" spans="1:9" ht="114.75" hidden="1" outlineLevel="4">
      <c r="A1145" s="832" t="s">
        <v>4542</v>
      </c>
      <c r="B1145" s="482" t="s">
        <v>4543</v>
      </c>
      <c r="C1145" s="831" t="s">
        <v>1582</v>
      </c>
      <c r="D1145" s="482" t="s">
        <v>1583</v>
      </c>
      <c r="E1145" s="484">
        <v>33683511.609999999</v>
      </c>
      <c r="F1145" s="484">
        <v>33683511.609999999</v>
      </c>
      <c r="G1145" s="484">
        <v>33683511.609999999</v>
      </c>
      <c r="H1145" s="484">
        <v>33683511.609999999</v>
      </c>
      <c r="I1145" s="480">
        <v>100</v>
      </c>
    </row>
    <row r="1146" spans="1:9" ht="140.25" hidden="1" outlineLevel="3">
      <c r="A1146" s="833" t="s">
        <v>4544</v>
      </c>
      <c r="B1146" s="477" t="s">
        <v>4545</v>
      </c>
      <c r="C1146" s="478"/>
      <c r="D1146" s="477"/>
      <c r="E1146" s="479">
        <v>2029010094.28</v>
      </c>
      <c r="F1146" s="479">
        <v>2029010094.28</v>
      </c>
      <c r="G1146" s="479">
        <v>2029010094.28</v>
      </c>
      <c r="H1146" s="479">
        <v>2029010094.28</v>
      </c>
      <c r="I1146" s="480">
        <v>100</v>
      </c>
    </row>
    <row r="1147" spans="1:9" ht="140.25" hidden="1" outlineLevel="4">
      <c r="A1147" s="832" t="s">
        <v>4544</v>
      </c>
      <c r="B1147" s="482" t="s">
        <v>4545</v>
      </c>
      <c r="C1147" s="831" t="s">
        <v>1582</v>
      </c>
      <c r="D1147" s="482" t="s">
        <v>1583</v>
      </c>
      <c r="E1147" s="484">
        <v>2029010094.28</v>
      </c>
      <c r="F1147" s="484">
        <v>2029010094.28</v>
      </c>
      <c r="G1147" s="484">
        <v>2029010094.28</v>
      </c>
      <c r="H1147" s="484">
        <v>2029010094.28</v>
      </c>
      <c r="I1147" s="480">
        <v>100</v>
      </c>
    </row>
    <row r="1148" spans="1:9" ht="51" hidden="1" outlineLevel="3">
      <c r="A1148" s="833" t="s">
        <v>1612</v>
      </c>
      <c r="B1148" s="477" t="s">
        <v>4546</v>
      </c>
      <c r="C1148" s="478"/>
      <c r="D1148" s="477"/>
      <c r="E1148" s="479">
        <v>399529850.75</v>
      </c>
      <c r="F1148" s="479">
        <v>267561076.97999999</v>
      </c>
      <c r="G1148" s="479">
        <v>267561076.97999999</v>
      </c>
      <c r="H1148" s="479">
        <v>267561076.97999999</v>
      </c>
      <c r="I1148" s="480">
        <v>66.97</v>
      </c>
    </row>
    <row r="1149" spans="1:9" ht="51" hidden="1" outlineLevel="4">
      <c r="A1149" s="832" t="s">
        <v>1612</v>
      </c>
      <c r="B1149" s="482" t="s">
        <v>4546</v>
      </c>
      <c r="C1149" s="831" t="s">
        <v>1582</v>
      </c>
      <c r="D1149" s="482" t="s">
        <v>1583</v>
      </c>
      <c r="E1149" s="484">
        <v>399529850.75</v>
      </c>
      <c r="F1149" s="484">
        <v>267561076.97999999</v>
      </c>
      <c r="G1149" s="484">
        <v>267561076.97999999</v>
      </c>
      <c r="H1149" s="484">
        <v>267561076.97999999</v>
      </c>
      <c r="I1149" s="480">
        <v>66.97</v>
      </c>
    </row>
    <row r="1150" spans="1:9" ht="153" hidden="1" outlineLevel="3">
      <c r="A1150" s="833" t="s">
        <v>4547</v>
      </c>
      <c r="B1150" s="477" t="s">
        <v>4548</v>
      </c>
      <c r="C1150" s="478"/>
      <c r="D1150" s="477"/>
      <c r="E1150" s="479">
        <v>10081196.25</v>
      </c>
      <c r="F1150" s="479">
        <v>0</v>
      </c>
      <c r="G1150" s="479">
        <v>0</v>
      </c>
      <c r="H1150" s="479">
        <v>0</v>
      </c>
      <c r="I1150" s="480">
        <v>0</v>
      </c>
    </row>
    <row r="1151" spans="1:9" ht="153" hidden="1" outlineLevel="4">
      <c r="A1151" s="832" t="s">
        <v>4547</v>
      </c>
      <c r="B1151" s="482" t="s">
        <v>4548</v>
      </c>
      <c r="C1151" s="831" t="s">
        <v>1582</v>
      </c>
      <c r="D1151" s="482" t="s">
        <v>1583</v>
      </c>
      <c r="E1151" s="484">
        <v>10081196.25</v>
      </c>
      <c r="F1151" s="484">
        <v>0</v>
      </c>
      <c r="G1151" s="484">
        <v>0</v>
      </c>
      <c r="H1151" s="484">
        <v>0</v>
      </c>
      <c r="I1151" s="480">
        <v>0</v>
      </c>
    </row>
    <row r="1152" spans="1:9" ht="229.5" hidden="1" outlineLevel="3">
      <c r="A1152" s="833" t="s">
        <v>4549</v>
      </c>
      <c r="B1152" s="477" t="s">
        <v>4550</v>
      </c>
      <c r="C1152" s="478"/>
      <c r="D1152" s="477"/>
      <c r="E1152" s="479">
        <v>752450000</v>
      </c>
      <c r="F1152" s="479">
        <v>746924778.02999997</v>
      </c>
      <c r="G1152" s="479">
        <v>746924778.02999997</v>
      </c>
      <c r="H1152" s="479">
        <v>425272088.45999998</v>
      </c>
      <c r="I1152" s="480">
        <v>56.52</v>
      </c>
    </row>
    <row r="1153" spans="1:9" ht="229.5" hidden="1" outlineLevel="4">
      <c r="A1153" s="832" t="s">
        <v>4549</v>
      </c>
      <c r="B1153" s="482" t="s">
        <v>4550</v>
      </c>
      <c r="C1153" s="831" t="s">
        <v>1582</v>
      </c>
      <c r="D1153" s="482" t="s">
        <v>1583</v>
      </c>
      <c r="E1153" s="484">
        <v>752450000</v>
      </c>
      <c r="F1153" s="484">
        <v>746924778.02999997</v>
      </c>
      <c r="G1153" s="484">
        <v>746924778.02999997</v>
      </c>
      <c r="H1153" s="484">
        <v>425272088.45999998</v>
      </c>
      <c r="I1153" s="480">
        <v>56.52</v>
      </c>
    </row>
    <row r="1154" spans="1:9" ht="76.5" hidden="1" outlineLevel="2">
      <c r="A1154" s="850" t="s">
        <v>4551</v>
      </c>
      <c r="B1154" s="472" t="s">
        <v>4552</v>
      </c>
      <c r="C1154" s="473"/>
      <c r="D1154" s="472"/>
      <c r="E1154" s="474">
        <v>202561717.06999999</v>
      </c>
      <c r="F1154" s="474">
        <v>202561717.06999999</v>
      </c>
      <c r="G1154" s="474">
        <v>128446471.8</v>
      </c>
      <c r="H1154" s="474">
        <v>128446471.8</v>
      </c>
      <c r="I1154" s="475">
        <v>63.41</v>
      </c>
    </row>
    <row r="1155" spans="1:9" ht="63.75" hidden="1" outlineLevel="3">
      <c r="A1155" s="833" t="s">
        <v>4553</v>
      </c>
      <c r="B1155" s="477" t="s">
        <v>4554</v>
      </c>
      <c r="C1155" s="478"/>
      <c r="D1155" s="477"/>
      <c r="E1155" s="479">
        <v>62927611.899999999</v>
      </c>
      <c r="F1155" s="479">
        <v>62927611.899999999</v>
      </c>
      <c r="G1155" s="479">
        <v>59274274.909999996</v>
      </c>
      <c r="H1155" s="479">
        <v>59274274.909999996</v>
      </c>
      <c r="I1155" s="480">
        <v>94.19</v>
      </c>
    </row>
    <row r="1156" spans="1:9" ht="63.75" hidden="1" outlineLevel="4">
      <c r="A1156" s="832" t="s">
        <v>4553</v>
      </c>
      <c r="B1156" s="482" t="s">
        <v>4554</v>
      </c>
      <c r="C1156" s="831" t="s">
        <v>1582</v>
      </c>
      <c r="D1156" s="482" t="s">
        <v>1583</v>
      </c>
      <c r="E1156" s="484">
        <v>62927611.899999999</v>
      </c>
      <c r="F1156" s="484">
        <v>62927611.899999999</v>
      </c>
      <c r="G1156" s="484">
        <v>59274274.909999996</v>
      </c>
      <c r="H1156" s="484">
        <v>59274274.909999996</v>
      </c>
      <c r="I1156" s="480">
        <v>94.19</v>
      </c>
    </row>
    <row r="1157" spans="1:9" ht="89.25" hidden="1" outlineLevel="3">
      <c r="A1157" s="833" t="s">
        <v>4555</v>
      </c>
      <c r="B1157" s="477" t="s">
        <v>4556</v>
      </c>
      <c r="C1157" s="478"/>
      <c r="D1157" s="477"/>
      <c r="E1157" s="479">
        <v>28051408.02</v>
      </c>
      <c r="F1157" s="479">
        <v>28051408.02</v>
      </c>
      <c r="G1157" s="479">
        <v>4206530.3899999997</v>
      </c>
      <c r="H1157" s="479">
        <v>4206530.3899999997</v>
      </c>
      <c r="I1157" s="480">
        <v>15</v>
      </c>
    </row>
    <row r="1158" spans="1:9" ht="89.25" hidden="1" outlineLevel="4">
      <c r="A1158" s="832" t="s">
        <v>4555</v>
      </c>
      <c r="B1158" s="482" t="s">
        <v>4556</v>
      </c>
      <c r="C1158" s="831" t="s">
        <v>1582</v>
      </c>
      <c r="D1158" s="482" t="s">
        <v>1583</v>
      </c>
      <c r="E1158" s="484">
        <v>28051408.02</v>
      </c>
      <c r="F1158" s="484">
        <v>28051408.02</v>
      </c>
      <c r="G1158" s="484">
        <v>4206530.3899999997</v>
      </c>
      <c r="H1158" s="484">
        <v>4206530.3899999997</v>
      </c>
      <c r="I1158" s="480">
        <v>15</v>
      </c>
    </row>
    <row r="1159" spans="1:9" ht="38.25" hidden="1" outlineLevel="3">
      <c r="A1159" s="833" t="s">
        <v>1618</v>
      </c>
      <c r="B1159" s="477" t="s">
        <v>4557</v>
      </c>
      <c r="C1159" s="478"/>
      <c r="D1159" s="477"/>
      <c r="E1159" s="479">
        <v>98732836.890000001</v>
      </c>
      <c r="F1159" s="479">
        <v>98732836.890000001</v>
      </c>
      <c r="G1159" s="479">
        <v>52115806.240000002</v>
      </c>
      <c r="H1159" s="479">
        <v>52115806.240000002</v>
      </c>
      <c r="I1159" s="480">
        <v>52.78</v>
      </c>
    </row>
    <row r="1160" spans="1:9" ht="38.25" hidden="1" outlineLevel="4">
      <c r="A1160" s="832" t="s">
        <v>1618</v>
      </c>
      <c r="B1160" s="482" t="s">
        <v>4557</v>
      </c>
      <c r="C1160" s="831" t="s">
        <v>1582</v>
      </c>
      <c r="D1160" s="482" t="s">
        <v>1583</v>
      </c>
      <c r="E1160" s="484">
        <v>98732836.890000001</v>
      </c>
      <c r="F1160" s="484">
        <v>98732836.890000001</v>
      </c>
      <c r="G1160" s="484">
        <v>52115806.240000002</v>
      </c>
      <c r="H1160" s="484">
        <v>52115806.240000002</v>
      </c>
      <c r="I1160" s="480">
        <v>52.78</v>
      </c>
    </row>
    <row r="1161" spans="1:9" ht="51" hidden="1" outlineLevel="3">
      <c r="A1161" s="833" t="s">
        <v>4558</v>
      </c>
      <c r="B1161" s="477" t="s">
        <v>4559</v>
      </c>
      <c r="C1161" s="478"/>
      <c r="D1161" s="477"/>
      <c r="E1161" s="479">
        <v>12849860.26</v>
      </c>
      <c r="F1161" s="479">
        <v>12849860.26</v>
      </c>
      <c r="G1161" s="479">
        <v>12849860.26</v>
      </c>
      <c r="H1161" s="479">
        <v>12849860.26</v>
      </c>
      <c r="I1161" s="480">
        <v>100</v>
      </c>
    </row>
    <row r="1162" spans="1:9" ht="51" hidden="1" outlineLevel="4">
      <c r="A1162" s="832" t="s">
        <v>4558</v>
      </c>
      <c r="B1162" s="482" t="s">
        <v>4559</v>
      </c>
      <c r="C1162" s="831" t="s">
        <v>1582</v>
      </c>
      <c r="D1162" s="482" t="s">
        <v>1583</v>
      </c>
      <c r="E1162" s="484">
        <v>12849860.26</v>
      </c>
      <c r="F1162" s="484">
        <v>12849860.26</v>
      </c>
      <c r="G1162" s="484">
        <v>12849860.26</v>
      </c>
      <c r="H1162" s="484">
        <v>12849860.26</v>
      </c>
      <c r="I1162" s="480">
        <v>100</v>
      </c>
    </row>
    <row r="1163" spans="1:9" ht="102" hidden="1" outlineLevel="2">
      <c r="A1163" s="850" t="s">
        <v>4560</v>
      </c>
      <c r="B1163" s="472" t="s">
        <v>4561</v>
      </c>
      <c r="C1163" s="473"/>
      <c r="D1163" s="472"/>
      <c r="E1163" s="474">
        <v>108192040.29000001</v>
      </c>
      <c r="F1163" s="474">
        <v>107685930.84999999</v>
      </c>
      <c r="G1163" s="474">
        <v>73612365.719999999</v>
      </c>
      <c r="H1163" s="474">
        <v>71942247.629999995</v>
      </c>
      <c r="I1163" s="475">
        <v>66.489999999999995</v>
      </c>
    </row>
    <row r="1164" spans="1:9" ht="25.5" hidden="1" outlineLevel="3">
      <c r="A1164" s="833" t="s">
        <v>873</v>
      </c>
      <c r="B1164" s="477" t="s">
        <v>4562</v>
      </c>
      <c r="C1164" s="478"/>
      <c r="D1164" s="477"/>
      <c r="E1164" s="479">
        <v>80427388.040000007</v>
      </c>
      <c r="F1164" s="479">
        <v>79921278.599999994</v>
      </c>
      <c r="G1164" s="479">
        <v>53400000</v>
      </c>
      <c r="H1164" s="479">
        <v>52955457.560000002</v>
      </c>
      <c r="I1164" s="480">
        <v>65.84</v>
      </c>
    </row>
    <row r="1165" spans="1:9" ht="38.25" hidden="1" outlineLevel="4">
      <c r="A1165" s="832" t="s">
        <v>873</v>
      </c>
      <c r="B1165" s="482" t="s">
        <v>4562</v>
      </c>
      <c r="C1165" s="831" t="s">
        <v>1582</v>
      </c>
      <c r="D1165" s="482" t="s">
        <v>1583</v>
      </c>
      <c r="E1165" s="484">
        <v>80427388.040000007</v>
      </c>
      <c r="F1165" s="484">
        <v>79921278.599999994</v>
      </c>
      <c r="G1165" s="484">
        <v>53400000</v>
      </c>
      <c r="H1165" s="484">
        <v>52955457.560000002</v>
      </c>
      <c r="I1165" s="480">
        <v>65.84</v>
      </c>
    </row>
    <row r="1166" spans="1:9" ht="38.25" hidden="1" outlineLevel="3">
      <c r="A1166" s="833" t="s">
        <v>854</v>
      </c>
      <c r="B1166" s="477" t="s">
        <v>4563</v>
      </c>
      <c r="C1166" s="478"/>
      <c r="D1166" s="477"/>
      <c r="E1166" s="479">
        <v>1460250</v>
      </c>
      <c r="F1166" s="479">
        <v>1460250</v>
      </c>
      <c r="G1166" s="479">
        <v>808332.05</v>
      </c>
      <c r="H1166" s="479">
        <v>808332.05</v>
      </c>
      <c r="I1166" s="480">
        <v>55.36</v>
      </c>
    </row>
    <row r="1167" spans="1:9" ht="38.25" hidden="1" outlineLevel="4">
      <c r="A1167" s="832" t="s">
        <v>854</v>
      </c>
      <c r="B1167" s="482" t="s">
        <v>4563</v>
      </c>
      <c r="C1167" s="831" t="s">
        <v>1582</v>
      </c>
      <c r="D1167" s="482" t="s">
        <v>1583</v>
      </c>
      <c r="E1167" s="484">
        <v>1460250</v>
      </c>
      <c r="F1167" s="484">
        <v>1460250</v>
      </c>
      <c r="G1167" s="484">
        <v>808332.05</v>
      </c>
      <c r="H1167" s="484">
        <v>808332.05</v>
      </c>
      <c r="I1167" s="480">
        <v>55.36</v>
      </c>
    </row>
    <row r="1168" spans="1:9" ht="76.5" hidden="1" outlineLevel="3">
      <c r="A1168" s="833" t="s">
        <v>702</v>
      </c>
      <c r="B1168" s="477" t="s">
        <v>4564</v>
      </c>
      <c r="C1168" s="478"/>
      <c r="D1168" s="477"/>
      <c r="E1168" s="479">
        <v>24814402.25</v>
      </c>
      <c r="F1168" s="479">
        <v>24814402.25</v>
      </c>
      <c r="G1168" s="479">
        <v>18218059.609999999</v>
      </c>
      <c r="H1168" s="479">
        <v>16998765.23</v>
      </c>
      <c r="I1168" s="480">
        <v>68.5</v>
      </c>
    </row>
    <row r="1169" spans="1:9" ht="76.5" hidden="1" outlineLevel="4">
      <c r="A1169" s="832" t="s">
        <v>702</v>
      </c>
      <c r="B1169" s="482" t="s">
        <v>4564</v>
      </c>
      <c r="C1169" s="831" t="s">
        <v>1582</v>
      </c>
      <c r="D1169" s="482" t="s">
        <v>1583</v>
      </c>
      <c r="E1169" s="484">
        <v>24814402.25</v>
      </c>
      <c r="F1169" s="484">
        <v>24814402.25</v>
      </c>
      <c r="G1169" s="484">
        <v>18218059.609999999</v>
      </c>
      <c r="H1169" s="484">
        <v>16998765.23</v>
      </c>
      <c r="I1169" s="480">
        <v>68.5</v>
      </c>
    </row>
    <row r="1170" spans="1:9" ht="63.75" hidden="1" outlineLevel="3">
      <c r="A1170" s="833" t="s">
        <v>62</v>
      </c>
      <c r="B1170" s="477" t="s">
        <v>4565</v>
      </c>
      <c r="C1170" s="478"/>
      <c r="D1170" s="477"/>
      <c r="E1170" s="479">
        <v>1490000</v>
      </c>
      <c r="F1170" s="479">
        <v>1490000</v>
      </c>
      <c r="G1170" s="479">
        <v>1185974.06</v>
      </c>
      <c r="H1170" s="479">
        <v>1179692.79</v>
      </c>
      <c r="I1170" s="480">
        <v>79.17</v>
      </c>
    </row>
    <row r="1171" spans="1:9" ht="63.75" hidden="1" outlineLevel="4">
      <c r="A1171" s="832" t="s">
        <v>62</v>
      </c>
      <c r="B1171" s="482" t="s">
        <v>4565</v>
      </c>
      <c r="C1171" s="831" t="s">
        <v>1582</v>
      </c>
      <c r="D1171" s="482" t="s">
        <v>1583</v>
      </c>
      <c r="E1171" s="484">
        <v>1490000</v>
      </c>
      <c r="F1171" s="484">
        <v>1490000</v>
      </c>
      <c r="G1171" s="484">
        <v>1185974.06</v>
      </c>
      <c r="H1171" s="484">
        <v>1179692.79</v>
      </c>
      <c r="I1171" s="480">
        <v>79.17</v>
      </c>
    </row>
    <row r="1172" spans="1:9" ht="51" hidden="1" outlineLevel="1">
      <c r="A1172" s="851" t="s">
        <v>4566</v>
      </c>
      <c r="B1172" s="467" t="s">
        <v>4567</v>
      </c>
      <c r="C1172" s="468"/>
      <c r="D1172" s="467"/>
      <c r="E1172" s="469">
        <v>131679403.29000001</v>
      </c>
      <c r="F1172" s="469">
        <v>123081729.20999999</v>
      </c>
      <c r="G1172" s="469">
        <v>90045214.439999998</v>
      </c>
      <c r="H1172" s="469">
        <v>82607102.180000007</v>
      </c>
      <c r="I1172" s="470">
        <v>62.73</v>
      </c>
    </row>
    <row r="1173" spans="1:9" ht="51" hidden="1" outlineLevel="2">
      <c r="A1173" s="850" t="s">
        <v>4568</v>
      </c>
      <c r="B1173" s="472" t="s">
        <v>4569</v>
      </c>
      <c r="C1173" s="473"/>
      <c r="D1173" s="472"/>
      <c r="E1173" s="474">
        <v>131679403.29000001</v>
      </c>
      <c r="F1173" s="474">
        <v>123081729.20999999</v>
      </c>
      <c r="G1173" s="474">
        <v>90045214.439999998</v>
      </c>
      <c r="H1173" s="474">
        <v>82607102.180000007</v>
      </c>
      <c r="I1173" s="475">
        <v>62.73</v>
      </c>
    </row>
    <row r="1174" spans="1:9" ht="25.5" hidden="1" outlineLevel="3">
      <c r="A1174" s="833" t="s">
        <v>873</v>
      </c>
      <c r="B1174" s="477" t="s">
        <v>4570</v>
      </c>
      <c r="C1174" s="478"/>
      <c r="D1174" s="477"/>
      <c r="E1174" s="479">
        <v>125604201.37</v>
      </c>
      <c r="F1174" s="479">
        <v>117006527.29000001</v>
      </c>
      <c r="G1174" s="479">
        <v>86446400.060000002</v>
      </c>
      <c r="H1174" s="479">
        <v>79017774.829999998</v>
      </c>
      <c r="I1174" s="480">
        <v>62.91</v>
      </c>
    </row>
    <row r="1175" spans="1:9" ht="38.25" hidden="1" outlineLevel="4">
      <c r="A1175" s="832" t="s">
        <v>873</v>
      </c>
      <c r="B1175" s="482" t="s">
        <v>4570</v>
      </c>
      <c r="C1175" s="831" t="s">
        <v>4571</v>
      </c>
      <c r="D1175" s="482" t="s">
        <v>1593</v>
      </c>
      <c r="E1175" s="484">
        <v>125604201.37</v>
      </c>
      <c r="F1175" s="484">
        <v>117006527.29000001</v>
      </c>
      <c r="G1175" s="484">
        <v>86446400.060000002</v>
      </c>
      <c r="H1175" s="484">
        <v>79017774.829999998</v>
      </c>
      <c r="I1175" s="480">
        <v>62.91</v>
      </c>
    </row>
    <row r="1176" spans="1:9" ht="38.25" hidden="1" outlineLevel="3">
      <c r="A1176" s="833" t="s">
        <v>854</v>
      </c>
      <c r="B1176" s="477" t="s">
        <v>4572</v>
      </c>
      <c r="C1176" s="478"/>
      <c r="D1176" s="477"/>
      <c r="E1176" s="479">
        <v>4652860.63</v>
      </c>
      <c r="F1176" s="479">
        <v>4652860.63</v>
      </c>
      <c r="G1176" s="479">
        <v>2359385.54</v>
      </c>
      <c r="H1176" s="479">
        <v>2349898.54</v>
      </c>
      <c r="I1176" s="480">
        <v>50.5</v>
      </c>
    </row>
    <row r="1177" spans="1:9" ht="38.25" hidden="1" outlineLevel="4">
      <c r="A1177" s="832" t="s">
        <v>854</v>
      </c>
      <c r="B1177" s="482" t="s">
        <v>4572</v>
      </c>
      <c r="C1177" s="831" t="s">
        <v>4571</v>
      </c>
      <c r="D1177" s="482" t="s">
        <v>1593</v>
      </c>
      <c r="E1177" s="484">
        <v>4652860.63</v>
      </c>
      <c r="F1177" s="484">
        <v>4652860.63</v>
      </c>
      <c r="G1177" s="484">
        <v>2359385.54</v>
      </c>
      <c r="H1177" s="484">
        <v>2349898.54</v>
      </c>
      <c r="I1177" s="480">
        <v>50.5</v>
      </c>
    </row>
    <row r="1178" spans="1:9" ht="63.75" hidden="1" outlineLevel="3">
      <c r="A1178" s="833" t="s">
        <v>62</v>
      </c>
      <c r="B1178" s="477" t="s">
        <v>4573</v>
      </c>
      <c r="C1178" s="478"/>
      <c r="D1178" s="477"/>
      <c r="E1178" s="479">
        <v>1349243.29</v>
      </c>
      <c r="F1178" s="479">
        <v>1349243.29</v>
      </c>
      <c r="G1178" s="479">
        <v>1172720.8400000001</v>
      </c>
      <c r="H1178" s="479">
        <v>1172720.81</v>
      </c>
      <c r="I1178" s="480">
        <v>86.92</v>
      </c>
    </row>
    <row r="1179" spans="1:9" ht="63.75" hidden="1" outlineLevel="4">
      <c r="A1179" s="832" t="s">
        <v>62</v>
      </c>
      <c r="B1179" s="482" t="s">
        <v>4573</v>
      </c>
      <c r="C1179" s="831" t="s">
        <v>4571</v>
      </c>
      <c r="D1179" s="482" t="s">
        <v>1593</v>
      </c>
      <c r="E1179" s="484">
        <v>1349243.29</v>
      </c>
      <c r="F1179" s="484">
        <v>1349243.29</v>
      </c>
      <c r="G1179" s="484">
        <v>1172720.8400000001</v>
      </c>
      <c r="H1179" s="484">
        <v>1172720.81</v>
      </c>
      <c r="I1179" s="480">
        <v>86.92</v>
      </c>
    </row>
    <row r="1180" spans="1:9" ht="76.5" hidden="1" outlineLevel="3">
      <c r="A1180" s="833" t="s">
        <v>156</v>
      </c>
      <c r="B1180" s="477" t="s">
        <v>4574</v>
      </c>
      <c r="C1180" s="478"/>
      <c r="D1180" s="477"/>
      <c r="E1180" s="479">
        <v>66708</v>
      </c>
      <c r="F1180" s="479">
        <v>66708</v>
      </c>
      <c r="G1180" s="479">
        <v>66708</v>
      </c>
      <c r="H1180" s="479">
        <v>66708</v>
      </c>
      <c r="I1180" s="480">
        <v>100</v>
      </c>
    </row>
    <row r="1181" spans="1:9" ht="76.5" hidden="1" outlineLevel="4">
      <c r="A1181" s="832" t="s">
        <v>156</v>
      </c>
      <c r="B1181" s="482" t="s">
        <v>4574</v>
      </c>
      <c r="C1181" s="831" t="s">
        <v>4571</v>
      </c>
      <c r="D1181" s="482" t="s">
        <v>1593</v>
      </c>
      <c r="E1181" s="484">
        <v>66708</v>
      </c>
      <c r="F1181" s="484">
        <v>66708</v>
      </c>
      <c r="G1181" s="484">
        <v>66708</v>
      </c>
      <c r="H1181" s="484">
        <v>66708</v>
      </c>
      <c r="I1181" s="480">
        <v>100</v>
      </c>
    </row>
    <row r="1182" spans="1:9" ht="76.5" hidden="1" outlineLevel="3">
      <c r="A1182" s="833" t="s">
        <v>1027</v>
      </c>
      <c r="B1182" s="477" t="s">
        <v>4575</v>
      </c>
      <c r="C1182" s="478"/>
      <c r="D1182" s="477"/>
      <c r="E1182" s="479">
        <v>6390</v>
      </c>
      <c r="F1182" s="479">
        <v>6390</v>
      </c>
      <c r="G1182" s="479">
        <v>0</v>
      </c>
      <c r="H1182" s="479">
        <v>0</v>
      </c>
      <c r="I1182" s="480">
        <v>0</v>
      </c>
    </row>
    <row r="1183" spans="1:9" ht="76.5" hidden="1" outlineLevel="4">
      <c r="A1183" s="832" t="s">
        <v>1027</v>
      </c>
      <c r="B1183" s="482" t="s">
        <v>4575</v>
      </c>
      <c r="C1183" s="831" t="s">
        <v>4571</v>
      </c>
      <c r="D1183" s="482" t="s">
        <v>1593</v>
      </c>
      <c r="E1183" s="484">
        <v>6390</v>
      </c>
      <c r="F1183" s="484">
        <v>6390</v>
      </c>
      <c r="G1183" s="484">
        <v>0</v>
      </c>
      <c r="H1183" s="484">
        <v>0</v>
      </c>
      <c r="I1183" s="480">
        <v>0</v>
      </c>
    </row>
    <row r="1184" spans="1:9" ht="30.75" collapsed="1" thickBot="1">
      <c r="A1184" s="854" t="s">
        <v>4576</v>
      </c>
      <c r="B1184" s="853" t="s">
        <v>4577</v>
      </c>
      <c r="C1184" s="463"/>
      <c r="D1184" s="853"/>
      <c r="E1184" s="852">
        <v>2390373334.7399998</v>
      </c>
      <c r="F1184" s="852">
        <v>2123354257.0699999</v>
      </c>
      <c r="G1184" s="852">
        <v>1553549782.8599999</v>
      </c>
      <c r="H1184" s="852">
        <v>1451702181.0799999</v>
      </c>
      <c r="I1184" s="465">
        <v>60.73</v>
      </c>
    </row>
    <row r="1185" spans="1:9" ht="25.5" hidden="1" outlineLevel="1">
      <c r="A1185" s="851" t="s">
        <v>1624</v>
      </c>
      <c r="B1185" s="467" t="s">
        <v>4578</v>
      </c>
      <c r="C1185" s="468"/>
      <c r="D1185" s="467"/>
      <c r="E1185" s="469">
        <v>51198146.799999997</v>
      </c>
      <c r="F1185" s="469">
        <v>51198146.799999997</v>
      </c>
      <c r="G1185" s="469">
        <v>37492753.619999997</v>
      </c>
      <c r="H1185" s="469">
        <v>33304891.57</v>
      </c>
      <c r="I1185" s="470">
        <v>65.05</v>
      </c>
    </row>
    <row r="1186" spans="1:9" ht="38.25" hidden="1" outlineLevel="2">
      <c r="A1186" s="850" t="s">
        <v>1626</v>
      </c>
      <c r="B1186" s="472" t="s">
        <v>4579</v>
      </c>
      <c r="C1186" s="473"/>
      <c r="D1186" s="472"/>
      <c r="E1186" s="474">
        <v>103000</v>
      </c>
      <c r="F1186" s="474">
        <v>103000</v>
      </c>
      <c r="G1186" s="474">
        <v>11000</v>
      </c>
      <c r="H1186" s="474">
        <v>10610</v>
      </c>
      <c r="I1186" s="475">
        <v>10.3</v>
      </c>
    </row>
    <row r="1187" spans="1:9" ht="76.5" hidden="1" outlineLevel="3">
      <c r="A1187" s="833" t="s">
        <v>702</v>
      </c>
      <c r="B1187" s="477" t="s">
        <v>4580</v>
      </c>
      <c r="C1187" s="478"/>
      <c r="D1187" s="477"/>
      <c r="E1187" s="479">
        <v>63000</v>
      </c>
      <c r="F1187" s="479">
        <v>63000</v>
      </c>
      <c r="G1187" s="479">
        <v>0</v>
      </c>
      <c r="H1187" s="479">
        <v>0</v>
      </c>
      <c r="I1187" s="480">
        <v>0</v>
      </c>
    </row>
    <row r="1188" spans="1:9" ht="76.5" hidden="1" outlineLevel="4">
      <c r="A1188" s="832" t="s">
        <v>702</v>
      </c>
      <c r="B1188" s="482" t="s">
        <v>4580</v>
      </c>
      <c r="C1188" s="831" t="s">
        <v>896</v>
      </c>
      <c r="D1188" s="482" t="s">
        <v>897</v>
      </c>
      <c r="E1188" s="484">
        <v>63000</v>
      </c>
      <c r="F1188" s="484">
        <v>63000</v>
      </c>
      <c r="G1188" s="484">
        <v>0</v>
      </c>
      <c r="H1188" s="484">
        <v>0</v>
      </c>
      <c r="I1188" s="480">
        <v>0</v>
      </c>
    </row>
    <row r="1189" spans="1:9" ht="25.5" hidden="1" outlineLevel="3">
      <c r="A1189" s="833" t="s">
        <v>713</v>
      </c>
      <c r="B1189" s="477" t="s">
        <v>4581</v>
      </c>
      <c r="C1189" s="478"/>
      <c r="D1189" s="477"/>
      <c r="E1189" s="479">
        <v>40000</v>
      </c>
      <c r="F1189" s="479">
        <v>40000</v>
      </c>
      <c r="G1189" s="479">
        <v>11000</v>
      </c>
      <c r="H1189" s="479">
        <v>10610</v>
      </c>
      <c r="I1189" s="480">
        <v>26.53</v>
      </c>
    </row>
    <row r="1190" spans="1:9" ht="25.5" hidden="1" outlineLevel="4">
      <c r="A1190" s="832" t="s">
        <v>713</v>
      </c>
      <c r="B1190" s="482" t="s">
        <v>4581</v>
      </c>
      <c r="C1190" s="831" t="s">
        <v>3659</v>
      </c>
      <c r="D1190" s="482" t="s">
        <v>716</v>
      </c>
      <c r="E1190" s="484">
        <v>40000</v>
      </c>
      <c r="F1190" s="484">
        <v>40000</v>
      </c>
      <c r="G1190" s="484">
        <v>11000</v>
      </c>
      <c r="H1190" s="484">
        <v>10610</v>
      </c>
      <c r="I1190" s="480">
        <v>26.53</v>
      </c>
    </row>
    <row r="1191" spans="1:9" ht="63.75" hidden="1" outlineLevel="2">
      <c r="A1191" s="850" t="s">
        <v>1630</v>
      </c>
      <c r="B1191" s="472" t="s">
        <v>4582</v>
      </c>
      <c r="C1191" s="473"/>
      <c r="D1191" s="472"/>
      <c r="E1191" s="474">
        <v>42807446.799999997</v>
      </c>
      <c r="F1191" s="474">
        <v>42807446.799999997</v>
      </c>
      <c r="G1191" s="474">
        <v>29656353.620000001</v>
      </c>
      <c r="H1191" s="474">
        <v>25468881.57</v>
      </c>
      <c r="I1191" s="475">
        <v>59.5</v>
      </c>
    </row>
    <row r="1192" spans="1:9" ht="51" hidden="1" outlineLevel="3">
      <c r="A1192" s="833" t="s">
        <v>1632</v>
      </c>
      <c r="B1192" s="477" t="s">
        <v>4583</v>
      </c>
      <c r="C1192" s="478"/>
      <c r="D1192" s="477"/>
      <c r="E1192" s="479">
        <v>42807446.799999997</v>
      </c>
      <c r="F1192" s="479">
        <v>42807446.799999997</v>
      </c>
      <c r="G1192" s="479">
        <v>29656353.620000001</v>
      </c>
      <c r="H1192" s="479">
        <v>25468881.57</v>
      </c>
      <c r="I1192" s="480">
        <v>59.5</v>
      </c>
    </row>
    <row r="1193" spans="1:9" ht="51" hidden="1" outlineLevel="4">
      <c r="A1193" s="832" t="s">
        <v>1632</v>
      </c>
      <c r="B1193" s="482" t="s">
        <v>4583</v>
      </c>
      <c r="C1193" s="831" t="s">
        <v>3659</v>
      </c>
      <c r="D1193" s="482" t="s">
        <v>716</v>
      </c>
      <c r="E1193" s="484">
        <v>42807446.799999997</v>
      </c>
      <c r="F1193" s="484">
        <v>42807446.799999997</v>
      </c>
      <c r="G1193" s="484">
        <v>29656353.620000001</v>
      </c>
      <c r="H1193" s="484">
        <v>25468881.57</v>
      </c>
      <c r="I1193" s="480">
        <v>59.5</v>
      </c>
    </row>
    <row r="1194" spans="1:9" ht="89.25" hidden="1" outlineLevel="2">
      <c r="A1194" s="850" t="s">
        <v>4584</v>
      </c>
      <c r="B1194" s="472" t="s">
        <v>4585</v>
      </c>
      <c r="C1194" s="473"/>
      <c r="D1194" s="472"/>
      <c r="E1194" s="474">
        <v>3235700</v>
      </c>
      <c r="F1194" s="474">
        <v>3235700</v>
      </c>
      <c r="G1194" s="474">
        <v>2818000</v>
      </c>
      <c r="H1194" s="474">
        <v>2818000</v>
      </c>
      <c r="I1194" s="475">
        <v>87.09</v>
      </c>
    </row>
    <row r="1195" spans="1:9" ht="76.5" hidden="1" outlineLevel="3">
      <c r="A1195" s="833" t="s">
        <v>702</v>
      </c>
      <c r="B1195" s="477" t="s">
        <v>4586</v>
      </c>
      <c r="C1195" s="478"/>
      <c r="D1195" s="477"/>
      <c r="E1195" s="479">
        <v>55000</v>
      </c>
      <c r="F1195" s="479">
        <v>55000</v>
      </c>
      <c r="G1195" s="479">
        <v>55000</v>
      </c>
      <c r="H1195" s="479">
        <v>55000</v>
      </c>
      <c r="I1195" s="480">
        <v>100</v>
      </c>
    </row>
    <row r="1196" spans="1:9" ht="76.5" hidden="1" outlineLevel="4">
      <c r="A1196" s="832" t="s">
        <v>702</v>
      </c>
      <c r="B1196" s="482" t="s">
        <v>4586</v>
      </c>
      <c r="C1196" s="831" t="s">
        <v>711</v>
      </c>
      <c r="D1196" s="482" t="s">
        <v>712</v>
      </c>
      <c r="E1196" s="484">
        <v>55000</v>
      </c>
      <c r="F1196" s="484">
        <v>55000</v>
      </c>
      <c r="G1196" s="484">
        <v>55000</v>
      </c>
      <c r="H1196" s="484">
        <v>55000</v>
      </c>
      <c r="I1196" s="480">
        <v>100</v>
      </c>
    </row>
    <row r="1197" spans="1:9" ht="89.25" hidden="1" outlineLevel="3">
      <c r="A1197" s="833" t="s">
        <v>3964</v>
      </c>
      <c r="B1197" s="477" t="s">
        <v>4587</v>
      </c>
      <c r="C1197" s="478"/>
      <c r="D1197" s="477"/>
      <c r="E1197" s="479">
        <v>2650000</v>
      </c>
      <c r="F1197" s="479">
        <v>2650000</v>
      </c>
      <c r="G1197" s="479">
        <v>2650000</v>
      </c>
      <c r="H1197" s="479">
        <v>2650000</v>
      </c>
      <c r="I1197" s="480">
        <v>100</v>
      </c>
    </row>
    <row r="1198" spans="1:9" ht="89.25" hidden="1" outlineLevel="4">
      <c r="A1198" s="832" t="s">
        <v>3964</v>
      </c>
      <c r="B1198" s="482" t="s">
        <v>4587</v>
      </c>
      <c r="C1198" s="831" t="s">
        <v>3659</v>
      </c>
      <c r="D1198" s="482" t="s">
        <v>716</v>
      </c>
      <c r="E1198" s="484">
        <v>2650000</v>
      </c>
      <c r="F1198" s="484">
        <v>2650000</v>
      </c>
      <c r="G1198" s="484">
        <v>2650000</v>
      </c>
      <c r="H1198" s="484">
        <v>2650000</v>
      </c>
      <c r="I1198" s="480">
        <v>100</v>
      </c>
    </row>
    <row r="1199" spans="1:9" ht="25.5" hidden="1" outlineLevel="3">
      <c r="A1199" s="833" t="s">
        <v>713</v>
      </c>
      <c r="B1199" s="477" t="s">
        <v>4588</v>
      </c>
      <c r="C1199" s="478"/>
      <c r="D1199" s="477"/>
      <c r="E1199" s="479">
        <v>530700</v>
      </c>
      <c r="F1199" s="479">
        <v>530700</v>
      </c>
      <c r="G1199" s="479">
        <v>113000</v>
      </c>
      <c r="H1199" s="479">
        <v>113000</v>
      </c>
      <c r="I1199" s="480">
        <v>21.29</v>
      </c>
    </row>
    <row r="1200" spans="1:9" ht="25.5" hidden="1" outlineLevel="4">
      <c r="A1200" s="832" t="s">
        <v>713</v>
      </c>
      <c r="B1200" s="482" t="s">
        <v>4588</v>
      </c>
      <c r="C1200" s="831" t="s">
        <v>1641</v>
      </c>
      <c r="D1200" s="482" t="s">
        <v>1642</v>
      </c>
      <c r="E1200" s="484">
        <v>372300</v>
      </c>
      <c r="F1200" s="484">
        <v>372300</v>
      </c>
      <c r="G1200" s="484">
        <v>0</v>
      </c>
      <c r="H1200" s="484">
        <v>0</v>
      </c>
      <c r="I1200" s="480">
        <v>0</v>
      </c>
    </row>
    <row r="1201" spans="1:9" ht="25.5" hidden="1" outlineLevel="4">
      <c r="A1201" s="832" t="s">
        <v>713</v>
      </c>
      <c r="B1201" s="482" t="s">
        <v>4588</v>
      </c>
      <c r="C1201" s="831" t="s">
        <v>896</v>
      </c>
      <c r="D1201" s="482" t="s">
        <v>897</v>
      </c>
      <c r="E1201" s="484">
        <v>158400</v>
      </c>
      <c r="F1201" s="484">
        <v>158400</v>
      </c>
      <c r="G1201" s="484">
        <v>113000</v>
      </c>
      <c r="H1201" s="484">
        <v>113000</v>
      </c>
      <c r="I1201" s="480">
        <v>71.34</v>
      </c>
    </row>
    <row r="1202" spans="1:9" ht="63.75" hidden="1" outlineLevel="2">
      <c r="A1202" s="850" t="s">
        <v>4589</v>
      </c>
      <c r="B1202" s="472" t="s">
        <v>4590</v>
      </c>
      <c r="C1202" s="473"/>
      <c r="D1202" s="472"/>
      <c r="E1202" s="474">
        <v>43000</v>
      </c>
      <c r="F1202" s="474">
        <v>43000</v>
      </c>
      <c r="G1202" s="474">
        <v>7400</v>
      </c>
      <c r="H1202" s="474">
        <v>7400</v>
      </c>
      <c r="I1202" s="475">
        <v>17.21</v>
      </c>
    </row>
    <row r="1203" spans="1:9" ht="25.5" hidden="1" outlineLevel="3">
      <c r="A1203" s="833" t="s">
        <v>713</v>
      </c>
      <c r="B1203" s="477" t="s">
        <v>4591</v>
      </c>
      <c r="C1203" s="478"/>
      <c r="D1203" s="477"/>
      <c r="E1203" s="479">
        <v>43000</v>
      </c>
      <c r="F1203" s="479">
        <v>43000</v>
      </c>
      <c r="G1203" s="479">
        <v>7400</v>
      </c>
      <c r="H1203" s="479">
        <v>7400</v>
      </c>
      <c r="I1203" s="480">
        <v>17.21</v>
      </c>
    </row>
    <row r="1204" spans="1:9" ht="25.5" hidden="1" outlineLevel="4">
      <c r="A1204" s="832" t="s">
        <v>713</v>
      </c>
      <c r="B1204" s="482" t="s">
        <v>4591</v>
      </c>
      <c r="C1204" s="831" t="s">
        <v>3659</v>
      </c>
      <c r="D1204" s="482" t="s">
        <v>716</v>
      </c>
      <c r="E1204" s="484">
        <v>43000</v>
      </c>
      <c r="F1204" s="484">
        <v>43000</v>
      </c>
      <c r="G1204" s="484">
        <v>7400</v>
      </c>
      <c r="H1204" s="484">
        <v>7400</v>
      </c>
      <c r="I1204" s="480">
        <v>17.21</v>
      </c>
    </row>
    <row r="1205" spans="1:9" ht="76.5" hidden="1" outlineLevel="2">
      <c r="A1205" s="850" t="s">
        <v>4592</v>
      </c>
      <c r="B1205" s="472" t="s">
        <v>4593</v>
      </c>
      <c r="C1205" s="473"/>
      <c r="D1205" s="472"/>
      <c r="E1205" s="474">
        <v>5000000</v>
      </c>
      <c r="F1205" s="474">
        <v>5000000</v>
      </c>
      <c r="G1205" s="474">
        <v>5000000</v>
      </c>
      <c r="H1205" s="474">
        <v>5000000</v>
      </c>
      <c r="I1205" s="475">
        <v>100</v>
      </c>
    </row>
    <row r="1206" spans="1:9" ht="63.75" hidden="1" outlineLevel="3">
      <c r="A1206" s="833" t="s">
        <v>4594</v>
      </c>
      <c r="B1206" s="477" t="s">
        <v>4595</v>
      </c>
      <c r="C1206" s="478"/>
      <c r="D1206" s="477"/>
      <c r="E1206" s="479">
        <v>5000000</v>
      </c>
      <c r="F1206" s="479">
        <v>5000000</v>
      </c>
      <c r="G1206" s="479">
        <v>5000000</v>
      </c>
      <c r="H1206" s="479">
        <v>5000000</v>
      </c>
      <c r="I1206" s="480">
        <v>100</v>
      </c>
    </row>
    <row r="1207" spans="1:9" ht="63.75" hidden="1" outlineLevel="4">
      <c r="A1207" s="832" t="s">
        <v>4594</v>
      </c>
      <c r="B1207" s="482" t="s">
        <v>4595</v>
      </c>
      <c r="C1207" s="831" t="s">
        <v>3659</v>
      </c>
      <c r="D1207" s="482" t="s">
        <v>716</v>
      </c>
      <c r="E1207" s="484">
        <v>5000000</v>
      </c>
      <c r="F1207" s="484">
        <v>5000000</v>
      </c>
      <c r="G1207" s="484">
        <v>5000000</v>
      </c>
      <c r="H1207" s="484">
        <v>5000000</v>
      </c>
      <c r="I1207" s="480">
        <v>100</v>
      </c>
    </row>
    <row r="1208" spans="1:9" ht="51" hidden="1" outlineLevel="2">
      <c r="A1208" s="850" t="s">
        <v>4596</v>
      </c>
      <c r="B1208" s="472" t="s">
        <v>4597</v>
      </c>
      <c r="C1208" s="473"/>
      <c r="D1208" s="472"/>
      <c r="E1208" s="474">
        <v>9000</v>
      </c>
      <c r="F1208" s="474">
        <v>9000</v>
      </c>
      <c r="G1208" s="474">
        <v>0</v>
      </c>
      <c r="H1208" s="474">
        <v>0</v>
      </c>
      <c r="I1208" s="475">
        <v>0</v>
      </c>
    </row>
    <row r="1209" spans="1:9" ht="25.5" hidden="1" outlineLevel="3">
      <c r="A1209" s="833" t="s">
        <v>713</v>
      </c>
      <c r="B1209" s="477" t="s">
        <v>4598</v>
      </c>
      <c r="C1209" s="478"/>
      <c r="D1209" s="477"/>
      <c r="E1209" s="479">
        <v>9000</v>
      </c>
      <c r="F1209" s="479">
        <v>9000</v>
      </c>
      <c r="G1209" s="479">
        <v>0</v>
      </c>
      <c r="H1209" s="479">
        <v>0</v>
      </c>
      <c r="I1209" s="480">
        <v>0</v>
      </c>
    </row>
    <row r="1210" spans="1:9" ht="25.5" hidden="1" outlineLevel="4">
      <c r="A1210" s="832" t="s">
        <v>713</v>
      </c>
      <c r="B1210" s="482" t="s">
        <v>4598</v>
      </c>
      <c r="C1210" s="831" t="s">
        <v>3659</v>
      </c>
      <c r="D1210" s="482" t="s">
        <v>716</v>
      </c>
      <c r="E1210" s="484">
        <v>9000</v>
      </c>
      <c r="F1210" s="484">
        <v>9000</v>
      </c>
      <c r="G1210" s="484">
        <v>0</v>
      </c>
      <c r="H1210" s="484">
        <v>0</v>
      </c>
      <c r="I1210" s="480">
        <v>0</v>
      </c>
    </row>
    <row r="1211" spans="1:9" ht="51" hidden="1" outlineLevel="1">
      <c r="A1211" s="851" t="s">
        <v>4599</v>
      </c>
      <c r="B1211" s="467" t="s">
        <v>4600</v>
      </c>
      <c r="C1211" s="468"/>
      <c r="D1211" s="467"/>
      <c r="E1211" s="469">
        <v>2116923807.54</v>
      </c>
      <c r="F1211" s="469">
        <v>1862025773.0599999</v>
      </c>
      <c r="G1211" s="469">
        <v>1353467140.3599999</v>
      </c>
      <c r="H1211" s="469">
        <v>1265926085.3800001</v>
      </c>
      <c r="I1211" s="470">
        <v>59.8</v>
      </c>
    </row>
    <row r="1212" spans="1:9" ht="89.25" hidden="1" outlineLevel="2">
      <c r="A1212" s="850" t="s">
        <v>4601</v>
      </c>
      <c r="B1212" s="472" t="s">
        <v>4602</v>
      </c>
      <c r="C1212" s="473"/>
      <c r="D1212" s="472"/>
      <c r="E1212" s="474">
        <v>66436197.609999999</v>
      </c>
      <c r="F1212" s="474">
        <v>63544457.640000001</v>
      </c>
      <c r="G1212" s="474">
        <v>35925355.649999999</v>
      </c>
      <c r="H1212" s="474">
        <v>35922871.350000001</v>
      </c>
      <c r="I1212" s="475">
        <v>54.07</v>
      </c>
    </row>
    <row r="1213" spans="1:9" ht="76.5" hidden="1" outlineLevel="3">
      <c r="A1213" s="833" t="s">
        <v>702</v>
      </c>
      <c r="B1213" s="477" t="s">
        <v>4603</v>
      </c>
      <c r="C1213" s="478"/>
      <c r="D1213" s="477"/>
      <c r="E1213" s="479">
        <v>66436197.609999999</v>
      </c>
      <c r="F1213" s="479">
        <v>63544457.640000001</v>
      </c>
      <c r="G1213" s="479">
        <v>35925355.649999999</v>
      </c>
      <c r="H1213" s="479">
        <v>35922871.350000001</v>
      </c>
      <c r="I1213" s="480">
        <v>54.07</v>
      </c>
    </row>
    <row r="1214" spans="1:9" ht="76.5" hidden="1" outlineLevel="4">
      <c r="A1214" s="832" t="s">
        <v>702</v>
      </c>
      <c r="B1214" s="482" t="s">
        <v>4603</v>
      </c>
      <c r="C1214" s="831" t="s">
        <v>3659</v>
      </c>
      <c r="D1214" s="482" t="s">
        <v>716</v>
      </c>
      <c r="E1214" s="484">
        <v>66436197.609999999</v>
      </c>
      <c r="F1214" s="484">
        <v>63544457.640000001</v>
      </c>
      <c r="G1214" s="484">
        <v>35925355.649999999</v>
      </c>
      <c r="H1214" s="484">
        <v>35922871.350000001</v>
      </c>
      <c r="I1214" s="480">
        <v>54.07</v>
      </c>
    </row>
    <row r="1215" spans="1:9" ht="63.75" hidden="1" outlineLevel="2">
      <c r="A1215" s="850" t="s">
        <v>4604</v>
      </c>
      <c r="B1215" s="472" t="s">
        <v>4605</v>
      </c>
      <c r="C1215" s="473"/>
      <c r="D1215" s="472"/>
      <c r="E1215" s="474">
        <v>1705206097.2</v>
      </c>
      <c r="F1215" s="474">
        <v>1703199802.6900001</v>
      </c>
      <c r="G1215" s="474">
        <v>1287491010.8399999</v>
      </c>
      <c r="H1215" s="474">
        <v>1199952440.1600001</v>
      </c>
      <c r="I1215" s="475">
        <v>70.37</v>
      </c>
    </row>
    <row r="1216" spans="1:9" ht="76.5" hidden="1" outlineLevel="3">
      <c r="A1216" s="833" t="s">
        <v>702</v>
      </c>
      <c r="B1216" s="477" t="s">
        <v>4606</v>
      </c>
      <c r="C1216" s="478"/>
      <c r="D1216" s="477"/>
      <c r="E1216" s="479">
        <v>1677559539.8900001</v>
      </c>
      <c r="F1216" s="479">
        <v>1676551830.3800001</v>
      </c>
      <c r="G1216" s="479">
        <v>1268386188.29</v>
      </c>
      <c r="H1216" s="479">
        <v>1182857955.3800001</v>
      </c>
      <c r="I1216" s="480">
        <v>70.510000000000005</v>
      </c>
    </row>
    <row r="1217" spans="1:9" ht="76.5" hidden="1" outlineLevel="4">
      <c r="A1217" s="832" t="s">
        <v>702</v>
      </c>
      <c r="B1217" s="482" t="s">
        <v>4606</v>
      </c>
      <c r="C1217" s="831" t="s">
        <v>3659</v>
      </c>
      <c r="D1217" s="482" t="s">
        <v>716</v>
      </c>
      <c r="E1217" s="484">
        <v>1677559539.8900001</v>
      </c>
      <c r="F1217" s="484">
        <v>1676551830.3800001</v>
      </c>
      <c r="G1217" s="484">
        <v>1268386188.29</v>
      </c>
      <c r="H1217" s="484">
        <v>1182857955.3800001</v>
      </c>
      <c r="I1217" s="480">
        <v>70.510000000000005</v>
      </c>
    </row>
    <row r="1218" spans="1:9" ht="63.75" hidden="1" outlineLevel="3">
      <c r="A1218" s="833" t="s">
        <v>62</v>
      </c>
      <c r="B1218" s="477" t="s">
        <v>4607</v>
      </c>
      <c r="C1218" s="478"/>
      <c r="D1218" s="477"/>
      <c r="E1218" s="479">
        <v>25069586</v>
      </c>
      <c r="F1218" s="479">
        <v>25069586</v>
      </c>
      <c r="G1218" s="479">
        <v>18795515.609999999</v>
      </c>
      <c r="H1218" s="479">
        <v>16785177.84</v>
      </c>
      <c r="I1218" s="480">
        <v>66.95</v>
      </c>
    </row>
    <row r="1219" spans="1:9" ht="63.75" hidden="1" outlineLevel="4">
      <c r="A1219" s="832" t="s">
        <v>62</v>
      </c>
      <c r="B1219" s="482" t="s">
        <v>4607</v>
      </c>
      <c r="C1219" s="831" t="s">
        <v>3659</v>
      </c>
      <c r="D1219" s="482" t="s">
        <v>716</v>
      </c>
      <c r="E1219" s="484">
        <v>25069586</v>
      </c>
      <c r="F1219" s="484">
        <v>25069586</v>
      </c>
      <c r="G1219" s="484">
        <v>18795515.609999999</v>
      </c>
      <c r="H1219" s="484">
        <v>16785177.84</v>
      </c>
      <c r="I1219" s="480">
        <v>66.95</v>
      </c>
    </row>
    <row r="1220" spans="1:9" ht="76.5" hidden="1" outlineLevel="3">
      <c r="A1220" s="833" t="s">
        <v>156</v>
      </c>
      <c r="B1220" s="477" t="s">
        <v>4608</v>
      </c>
      <c r="C1220" s="478"/>
      <c r="D1220" s="477"/>
      <c r="E1220" s="479">
        <v>417521.31</v>
      </c>
      <c r="F1220" s="479">
        <v>417521.31</v>
      </c>
      <c r="G1220" s="479">
        <v>108694.2</v>
      </c>
      <c r="H1220" s="479">
        <v>108694.2</v>
      </c>
      <c r="I1220" s="480">
        <v>26.03</v>
      </c>
    </row>
    <row r="1221" spans="1:9" ht="76.5" hidden="1" outlineLevel="4">
      <c r="A1221" s="832" t="s">
        <v>156</v>
      </c>
      <c r="B1221" s="482" t="s">
        <v>4608</v>
      </c>
      <c r="C1221" s="831" t="s">
        <v>3659</v>
      </c>
      <c r="D1221" s="482" t="s">
        <v>716</v>
      </c>
      <c r="E1221" s="484">
        <v>417521.31</v>
      </c>
      <c r="F1221" s="484">
        <v>417521.31</v>
      </c>
      <c r="G1221" s="484">
        <v>108694.2</v>
      </c>
      <c r="H1221" s="484">
        <v>108694.2</v>
      </c>
      <c r="I1221" s="480">
        <v>26.03</v>
      </c>
    </row>
    <row r="1222" spans="1:9" hidden="1" outlineLevel="3">
      <c r="A1222" s="833" t="s">
        <v>2474</v>
      </c>
      <c r="B1222" s="477" t="s">
        <v>4609</v>
      </c>
      <c r="C1222" s="478"/>
      <c r="D1222" s="477"/>
      <c r="E1222" s="479">
        <v>156880</v>
      </c>
      <c r="F1222" s="479">
        <v>156880</v>
      </c>
      <c r="G1222" s="479">
        <v>0</v>
      </c>
      <c r="H1222" s="479">
        <v>0</v>
      </c>
      <c r="I1222" s="480">
        <v>0</v>
      </c>
    </row>
    <row r="1223" spans="1:9" ht="25.5" hidden="1" outlineLevel="4">
      <c r="A1223" s="832" t="s">
        <v>2474</v>
      </c>
      <c r="B1223" s="482" t="s">
        <v>4609</v>
      </c>
      <c r="C1223" s="831" t="s">
        <v>3659</v>
      </c>
      <c r="D1223" s="482" t="s">
        <v>716</v>
      </c>
      <c r="E1223" s="484">
        <v>156880</v>
      </c>
      <c r="F1223" s="484">
        <v>156880</v>
      </c>
      <c r="G1223" s="484">
        <v>0</v>
      </c>
      <c r="H1223" s="484">
        <v>0</v>
      </c>
      <c r="I1223" s="480">
        <v>0</v>
      </c>
    </row>
    <row r="1224" spans="1:9" ht="76.5" hidden="1" outlineLevel="3">
      <c r="A1224" s="833" t="s">
        <v>1027</v>
      </c>
      <c r="B1224" s="477" t="s">
        <v>4610</v>
      </c>
      <c r="C1224" s="478"/>
      <c r="D1224" s="477"/>
      <c r="E1224" s="479">
        <v>2002570</v>
      </c>
      <c r="F1224" s="479">
        <v>1003985</v>
      </c>
      <c r="G1224" s="479">
        <v>200612.74</v>
      </c>
      <c r="H1224" s="479">
        <v>200612.74</v>
      </c>
      <c r="I1224" s="480">
        <v>10.02</v>
      </c>
    </row>
    <row r="1225" spans="1:9" ht="76.5" hidden="1" outlineLevel="4">
      <c r="A1225" s="832" t="s">
        <v>1027</v>
      </c>
      <c r="B1225" s="482" t="s">
        <v>4610</v>
      </c>
      <c r="C1225" s="831" t="s">
        <v>3659</v>
      </c>
      <c r="D1225" s="482" t="s">
        <v>716</v>
      </c>
      <c r="E1225" s="484">
        <v>2002570</v>
      </c>
      <c r="F1225" s="484">
        <v>1003985</v>
      </c>
      <c r="G1225" s="484">
        <v>200612.74</v>
      </c>
      <c r="H1225" s="484">
        <v>200612.74</v>
      </c>
      <c r="I1225" s="480">
        <v>10.02</v>
      </c>
    </row>
    <row r="1226" spans="1:9" ht="38.25" hidden="1" outlineLevel="2">
      <c r="A1226" s="850" t="s">
        <v>4611</v>
      </c>
      <c r="B1226" s="472" t="s">
        <v>4612</v>
      </c>
      <c r="C1226" s="473"/>
      <c r="D1226" s="472"/>
      <c r="E1226" s="474">
        <v>1875000</v>
      </c>
      <c r="F1226" s="474">
        <v>1875000</v>
      </c>
      <c r="G1226" s="474">
        <v>1874880</v>
      </c>
      <c r="H1226" s="474">
        <v>1874880</v>
      </c>
      <c r="I1226" s="475">
        <v>99.99</v>
      </c>
    </row>
    <row r="1227" spans="1:9" ht="76.5" hidden="1" outlineLevel="3">
      <c r="A1227" s="833" t="s">
        <v>4613</v>
      </c>
      <c r="B1227" s="477" t="s">
        <v>4614</v>
      </c>
      <c r="C1227" s="478"/>
      <c r="D1227" s="477"/>
      <c r="E1227" s="479">
        <v>1875000</v>
      </c>
      <c r="F1227" s="479">
        <v>1875000</v>
      </c>
      <c r="G1227" s="479">
        <v>1874880</v>
      </c>
      <c r="H1227" s="479">
        <v>1874880</v>
      </c>
      <c r="I1227" s="480">
        <v>99.99</v>
      </c>
    </row>
    <row r="1228" spans="1:9" ht="76.5" hidden="1" outlineLevel="4">
      <c r="A1228" s="832" t="s">
        <v>4613</v>
      </c>
      <c r="B1228" s="482" t="s">
        <v>4614</v>
      </c>
      <c r="C1228" s="831" t="s">
        <v>1043</v>
      </c>
      <c r="D1228" s="482" t="s">
        <v>1044</v>
      </c>
      <c r="E1228" s="484">
        <v>1875000</v>
      </c>
      <c r="F1228" s="484">
        <v>1875000</v>
      </c>
      <c r="G1228" s="484">
        <v>1874880</v>
      </c>
      <c r="H1228" s="484">
        <v>1874880</v>
      </c>
      <c r="I1228" s="480">
        <v>99.99</v>
      </c>
    </row>
    <row r="1229" spans="1:9" ht="51" hidden="1" outlineLevel="2">
      <c r="A1229" s="850" t="s">
        <v>4615</v>
      </c>
      <c r="B1229" s="472" t="s">
        <v>4616</v>
      </c>
      <c r="C1229" s="473"/>
      <c r="D1229" s="472"/>
      <c r="E1229" s="474">
        <v>343406512.73000002</v>
      </c>
      <c r="F1229" s="474">
        <v>93406512.730000004</v>
      </c>
      <c r="G1229" s="474">
        <v>28175893.870000001</v>
      </c>
      <c r="H1229" s="474">
        <v>28175893.870000001</v>
      </c>
      <c r="I1229" s="475">
        <v>8.1999999999999993</v>
      </c>
    </row>
    <row r="1230" spans="1:9" ht="76.5" hidden="1" outlineLevel="3">
      <c r="A1230" s="833" t="s">
        <v>702</v>
      </c>
      <c r="B1230" s="477" t="s">
        <v>4617</v>
      </c>
      <c r="C1230" s="478"/>
      <c r="D1230" s="477"/>
      <c r="E1230" s="479">
        <v>343331512.73000002</v>
      </c>
      <c r="F1230" s="479">
        <v>93331512.730000004</v>
      </c>
      <c r="G1230" s="479">
        <v>28175893.870000001</v>
      </c>
      <c r="H1230" s="479">
        <v>28175893.870000001</v>
      </c>
      <c r="I1230" s="480">
        <v>8.2100000000000009</v>
      </c>
    </row>
    <row r="1231" spans="1:9" ht="76.5" hidden="1" outlineLevel="4">
      <c r="A1231" s="832" t="s">
        <v>702</v>
      </c>
      <c r="B1231" s="482" t="s">
        <v>4617</v>
      </c>
      <c r="C1231" s="831" t="s">
        <v>3659</v>
      </c>
      <c r="D1231" s="482" t="s">
        <v>716</v>
      </c>
      <c r="E1231" s="484">
        <v>343331512.73000002</v>
      </c>
      <c r="F1231" s="484">
        <v>93331512.730000004</v>
      </c>
      <c r="G1231" s="484">
        <v>28175893.870000001</v>
      </c>
      <c r="H1231" s="484">
        <v>28175893.870000001</v>
      </c>
      <c r="I1231" s="480">
        <v>8.2100000000000009</v>
      </c>
    </row>
    <row r="1232" spans="1:9" ht="76.5" hidden="1" outlineLevel="3">
      <c r="A1232" s="833" t="s">
        <v>1027</v>
      </c>
      <c r="B1232" s="477" t="s">
        <v>4618</v>
      </c>
      <c r="C1232" s="478"/>
      <c r="D1232" s="477"/>
      <c r="E1232" s="479">
        <v>75000</v>
      </c>
      <c r="F1232" s="479">
        <v>75000</v>
      </c>
      <c r="G1232" s="479">
        <v>0</v>
      </c>
      <c r="H1232" s="479">
        <v>0</v>
      </c>
      <c r="I1232" s="480">
        <v>0</v>
      </c>
    </row>
    <row r="1233" spans="1:9" ht="76.5" hidden="1" outlineLevel="4">
      <c r="A1233" s="832" t="s">
        <v>1027</v>
      </c>
      <c r="B1233" s="482" t="s">
        <v>4618</v>
      </c>
      <c r="C1233" s="831" t="s">
        <v>3659</v>
      </c>
      <c r="D1233" s="482" t="s">
        <v>716</v>
      </c>
      <c r="E1233" s="484">
        <v>75000</v>
      </c>
      <c r="F1233" s="484">
        <v>75000</v>
      </c>
      <c r="G1233" s="484">
        <v>0</v>
      </c>
      <c r="H1233" s="484">
        <v>0</v>
      </c>
      <c r="I1233" s="480">
        <v>0</v>
      </c>
    </row>
    <row r="1234" spans="1:9" ht="25.5" hidden="1" outlineLevel="1">
      <c r="A1234" s="851" t="s">
        <v>4619</v>
      </c>
      <c r="B1234" s="467" t="s">
        <v>4620</v>
      </c>
      <c r="C1234" s="468"/>
      <c r="D1234" s="467"/>
      <c r="E1234" s="469">
        <v>122063560.36</v>
      </c>
      <c r="F1234" s="469">
        <v>122063560.36</v>
      </c>
      <c r="G1234" s="469">
        <v>109123931.53</v>
      </c>
      <c r="H1234" s="469">
        <v>103504802.53</v>
      </c>
      <c r="I1234" s="470">
        <v>84.8</v>
      </c>
    </row>
    <row r="1235" spans="1:9" ht="38.25" hidden="1" outlineLevel="2">
      <c r="A1235" s="850" t="s">
        <v>4621</v>
      </c>
      <c r="B1235" s="472" t="s">
        <v>4622</v>
      </c>
      <c r="C1235" s="473"/>
      <c r="D1235" s="472"/>
      <c r="E1235" s="474">
        <v>20904390.899999999</v>
      </c>
      <c r="F1235" s="474">
        <v>20904390.899999999</v>
      </c>
      <c r="G1235" s="474">
        <v>20137827.800000001</v>
      </c>
      <c r="H1235" s="474">
        <v>20137827.800000001</v>
      </c>
      <c r="I1235" s="475">
        <v>96.33</v>
      </c>
    </row>
    <row r="1236" spans="1:9" ht="76.5" hidden="1" outlineLevel="3">
      <c r="A1236" s="833" t="s">
        <v>702</v>
      </c>
      <c r="B1236" s="477" t="s">
        <v>4623</v>
      </c>
      <c r="C1236" s="478"/>
      <c r="D1236" s="477"/>
      <c r="E1236" s="479">
        <v>12949530.9</v>
      </c>
      <c r="F1236" s="479">
        <v>12949530.9</v>
      </c>
      <c r="G1236" s="479">
        <v>12864479.800000001</v>
      </c>
      <c r="H1236" s="479">
        <v>12864479.800000001</v>
      </c>
      <c r="I1236" s="480">
        <v>99.34</v>
      </c>
    </row>
    <row r="1237" spans="1:9" ht="76.5" hidden="1" outlineLevel="4">
      <c r="A1237" s="832" t="s">
        <v>702</v>
      </c>
      <c r="B1237" s="482" t="s">
        <v>4623</v>
      </c>
      <c r="C1237" s="831" t="s">
        <v>3659</v>
      </c>
      <c r="D1237" s="482" t="s">
        <v>716</v>
      </c>
      <c r="E1237" s="484">
        <v>12949530.9</v>
      </c>
      <c r="F1237" s="484">
        <v>12949530.9</v>
      </c>
      <c r="G1237" s="484">
        <v>12864479.800000001</v>
      </c>
      <c r="H1237" s="484">
        <v>12864479.800000001</v>
      </c>
      <c r="I1237" s="480">
        <v>99.34</v>
      </c>
    </row>
    <row r="1238" spans="1:9" ht="51" hidden="1" outlineLevel="3">
      <c r="A1238" s="833" t="s">
        <v>4624</v>
      </c>
      <c r="B1238" s="477" t="s">
        <v>4625</v>
      </c>
      <c r="C1238" s="478"/>
      <c r="D1238" s="477"/>
      <c r="E1238" s="479">
        <v>7954860</v>
      </c>
      <c r="F1238" s="479">
        <v>7954860</v>
      </c>
      <c r="G1238" s="479">
        <v>7273348</v>
      </c>
      <c r="H1238" s="479">
        <v>7273348</v>
      </c>
      <c r="I1238" s="480">
        <v>91.43</v>
      </c>
    </row>
    <row r="1239" spans="1:9" ht="51" hidden="1" outlineLevel="4">
      <c r="A1239" s="832" t="s">
        <v>4624</v>
      </c>
      <c r="B1239" s="482" t="s">
        <v>4625</v>
      </c>
      <c r="C1239" s="831" t="s">
        <v>704</v>
      </c>
      <c r="D1239" s="482" t="s">
        <v>705</v>
      </c>
      <c r="E1239" s="484">
        <v>7954860</v>
      </c>
      <c r="F1239" s="484">
        <v>7954860</v>
      </c>
      <c r="G1239" s="484">
        <v>7273348</v>
      </c>
      <c r="H1239" s="484">
        <v>7273348</v>
      </c>
      <c r="I1239" s="480">
        <v>91.43</v>
      </c>
    </row>
    <row r="1240" spans="1:9" ht="38.25" hidden="1" outlineLevel="2">
      <c r="A1240" s="850" t="s">
        <v>4626</v>
      </c>
      <c r="B1240" s="472" t="s">
        <v>4627</v>
      </c>
      <c r="C1240" s="473"/>
      <c r="D1240" s="472"/>
      <c r="E1240" s="474">
        <v>8974269.5199999996</v>
      </c>
      <c r="F1240" s="474">
        <v>8974269.5199999996</v>
      </c>
      <c r="G1240" s="474">
        <v>4562083.17</v>
      </c>
      <c r="H1240" s="474">
        <v>4562083.17</v>
      </c>
      <c r="I1240" s="475">
        <v>50.84</v>
      </c>
    </row>
    <row r="1241" spans="1:9" ht="76.5" hidden="1" outlineLevel="3">
      <c r="A1241" s="833" t="s">
        <v>702</v>
      </c>
      <c r="B1241" s="477" t="s">
        <v>4628</v>
      </c>
      <c r="C1241" s="478"/>
      <c r="D1241" s="477"/>
      <c r="E1241" s="479">
        <v>8839269.5199999996</v>
      </c>
      <c r="F1241" s="479">
        <v>8839269.5199999996</v>
      </c>
      <c r="G1241" s="479">
        <v>4532083.17</v>
      </c>
      <c r="H1241" s="479">
        <v>4532083.17</v>
      </c>
      <c r="I1241" s="480">
        <v>51.27</v>
      </c>
    </row>
    <row r="1242" spans="1:9" ht="76.5" hidden="1" outlineLevel="4">
      <c r="A1242" s="832" t="s">
        <v>702</v>
      </c>
      <c r="B1242" s="482" t="s">
        <v>4628</v>
      </c>
      <c r="C1242" s="831" t="s">
        <v>3659</v>
      </c>
      <c r="D1242" s="482" t="s">
        <v>716</v>
      </c>
      <c r="E1242" s="484">
        <v>8839269.5199999996</v>
      </c>
      <c r="F1242" s="484">
        <v>8839269.5199999996</v>
      </c>
      <c r="G1242" s="484">
        <v>4532083.17</v>
      </c>
      <c r="H1242" s="484">
        <v>4532083.17</v>
      </c>
      <c r="I1242" s="480">
        <v>51.27</v>
      </c>
    </row>
    <row r="1243" spans="1:9" ht="76.5" hidden="1" outlineLevel="3">
      <c r="A1243" s="833" t="s">
        <v>1027</v>
      </c>
      <c r="B1243" s="477" t="s">
        <v>4629</v>
      </c>
      <c r="C1243" s="478"/>
      <c r="D1243" s="477"/>
      <c r="E1243" s="479">
        <v>135000</v>
      </c>
      <c r="F1243" s="479">
        <v>135000</v>
      </c>
      <c r="G1243" s="479">
        <v>30000</v>
      </c>
      <c r="H1243" s="479">
        <v>30000</v>
      </c>
      <c r="I1243" s="480">
        <v>22.22</v>
      </c>
    </row>
    <row r="1244" spans="1:9" ht="76.5" hidden="1" outlineLevel="4">
      <c r="A1244" s="832" t="s">
        <v>1027</v>
      </c>
      <c r="B1244" s="482" t="s">
        <v>4629</v>
      </c>
      <c r="C1244" s="831" t="s">
        <v>3659</v>
      </c>
      <c r="D1244" s="482" t="s">
        <v>716</v>
      </c>
      <c r="E1244" s="484">
        <v>135000</v>
      </c>
      <c r="F1244" s="484">
        <v>135000</v>
      </c>
      <c r="G1244" s="484">
        <v>30000</v>
      </c>
      <c r="H1244" s="484">
        <v>30000</v>
      </c>
      <c r="I1244" s="480">
        <v>22.22</v>
      </c>
    </row>
    <row r="1245" spans="1:9" ht="76.5" hidden="1" outlineLevel="2">
      <c r="A1245" s="850" t="s">
        <v>4630</v>
      </c>
      <c r="B1245" s="472" t="s">
        <v>4631</v>
      </c>
      <c r="C1245" s="473"/>
      <c r="D1245" s="472"/>
      <c r="E1245" s="474">
        <v>92184899.939999998</v>
      </c>
      <c r="F1245" s="474">
        <v>92184899.939999998</v>
      </c>
      <c r="G1245" s="474">
        <v>84424020.560000002</v>
      </c>
      <c r="H1245" s="474">
        <v>78804891.560000002</v>
      </c>
      <c r="I1245" s="475">
        <v>85.49</v>
      </c>
    </row>
    <row r="1246" spans="1:9" ht="25.5" hidden="1" outlineLevel="3">
      <c r="A1246" s="833" t="s">
        <v>713</v>
      </c>
      <c r="B1246" s="477" t="s">
        <v>4632</v>
      </c>
      <c r="C1246" s="478"/>
      <c r="D1246" s="477"/>
      <c r="E1246" s="479">
        <v>1237500</v>
      </c>
      <c r="F1246" s="479">
        <v>1237500</v>
      </c>
      <c r="G1246" s="479">
        <v>1237500</v>
      </c>
      <c r="H1246" s="479">
        <v>1237500</v>
      </c>
      <c r="I1246" s="480">
        <v>100</v>
      </c>
    </row>
    <row r="1247" spans="1:9" ht="25.5" hidden="1" outlineLevel="4">
      <c r="A1247" s="832" t="s">
        <v>713</v>
      </c>
      <c r="B1247" s="482" t="s">
        <v>4632</v>
      </c>
      <c r="C1247" s="831" t="s">
        <v>3659</v>
      </c>
      <c r="D1247" s="482" t="s">
        <v>716</v>
      </c>
      <c r="E1247" s="484">
        <v>1237500</v>
      </c>
      <c r="F1247" s="484">
        <v>1237500</v>
      </c>
      <c r="G1247" s="484">
        <v>1237500</v>
      </c>
      <c r="H1247" s="484">
        <v>1237500</v>
      </c>
      <c r="I1247" s="480">
        <v>100</v>
      </c>
    </row>
    <row r="1248" spans="1:9" ht="51" hidden="1" outlineLevel="3">
      <c r="A1248" s="833" t="s">
        <v>4624</v>
      </c>
      <c r="B1248" s="477" t="s">
        <v>4633</v>
      </c>
      <c r="C1248" s="478"/>
      <c r="D1248" s="477"/>
      <c r="E1248" s="479">
        <v>90947399.939999998</v>
      </c>
      <c r="F1248" s="479">
        <v>90947399.939999998</v>
      </c>
      <c r="G1248" s="479">
        <v>83186520.560000002</v>
      </c>
      <c r="H1248" s="479">
        <v>77567391.560000002</v>
      </c>
      <c r="I1248" s="480">
        <v>85.29</v>
      </c>
    </row>
    <row r="1249" spans="1:9" ht="51" hidden="1" outlineLevel="4">
      <c r="A1249" s="832" t="s">
        <v>4624</v>
      </c>
      <c r="B1249" s="482" t="s">
        <v>4633</v>
      </c>
      <c r="C1249" s="831" t="s">
        <v>3659</v>
      </c>
      <c r="D1249" s="482" t="s">
        <v>716</v>
      </c>
      <c r="E1249" s="484">
        <v>90947399.939999998</v>
      </c>
      <c r="F1249" s="484">
        <v>90947399.939999998</v>
      </c>
      <c r="G1249" s="484">
        <v>83186520.560000002</v>
      </c>
      <c r="H1249" s="484">
        <v>77567391.560000002</v>
      </c>
      <c r="I1249" s="480">
        <v>85.29</v>
      </c>
    </row>
    <row r="1250" spans="1:9" ht="38.25" hidden="1" outlineLevel="1">
      <c r="A1250" s="851" t="s">
        <v>1019</v>
      </c>
      <c r="B1250" s="467" t="s">
        <v>4634</v>
      </c>
      <c r="C1250" s="468"/>
      <c r="D1250" s="467"/>
      <c r="E1250" s="469">
        <v>100187820.04000001</v>
      </c>
      <c r="F1250" s="469">
        <v>88066776.849999994</v>
      </c>
      <c r="G1250" s="469">
        <v>53465957.350000001</v>
      </c>
      <c r="H1250" s="469">
        <v>48966401.600000001</v>
      </c>
      <c r="I1250" s="470">
        <v>48.87</v>
      </c>
    </row>
    <row r="1251" spans="1:9" ht="51" hidden="1" outlineLevel="2">
      <c r="A1251" s="850" t="s">
        <v>4635</v>
      </c>
      <c r="B1251" s="472" t="s">
        <v>4636</v>
      </c>
      <c r="C1251" s="473"/>
      <c r="D1251" s="472"/>
      <c r="E1251" s="474">
        <v>100187820.04000001</v>
      </c>
      <c r="F1251" s="474">
        <v>88066776.849999994</v>
      </c>
      <c r="G1251" s="474">
        <v>53465957.350000001</v>
      </c>
      <c r="H1251" s="474">
        <v>48966401.600000001</v>
      </c>
      <c r="I1251" s="475">
        <v>48.87</v>
      </c>
    </row>
    <row r="1252" spans="1:9" ht="25.5" hidden="1" outlineLevel="3">
      <c r="A1252" s="833" t="s">
        <v>873</v>
      </c>
      <c r="B1252" s="477" t="s">
        <v>4637</v>
      </c>
      <c r="C1252" s="478"/>
      <c r="D1252" s="477"/>
      <c r="E1252" s="479">
        <v>93307420.040000007</v>
      </c>
      <c r="F1252" s="479">
        <v>81186376.849999994</v>
      </c>
      <c r="G1252" s="479">
        <v>51224015.979999997</v>
      </c>
      <c r="H1252" s="479">
        <v>46782116.329999998</v>
      </c>
      <c r="I1252" s="480">
        <v>50.14</v>
      </c>
    </row>
    <row r="1253" spans="1:9" ht="25.5" hidden="1" outlineLevel="4">
      <c r="A1253" s="832" t="s">
        <v>873</v>
      </c>
      <c r="B1253" s="482" t="s">
        <v>4637</v>
      </c>
      <c r="C1253" s="831" t="s">
        <v>3659</v>
      </c>
      <c r="D1253" s="482" t="s">
        <v>716</v>
      </c>
      <c r="E1253" s="484">
        <v>93307420.040000007</v>
      </c>
      <c r="F1253" s="484">
        <v>81186376.849999994</v>
      </c>
      <c r="G1253" s="484">
        <v>51224015.979999997</v>
      </c>
      <c r="H1253" s="484">
        <v>46782116.329999998</v>
      </c>
      <c r="I1253" s="480">
        <v>50.14</v>
      </c>
    </row>
    <row r="1254" spans="1:9" ht="38.25" hidden="1" outlineLevel="3">
      <c r="A1254" s="833" t="s">
        <v>854</v>
      </c>
      <c r="B1254" s="477" t="s">
        <v>4638</v>
      </c>
      <c r="C1254" s="478"/>
      <c r="D1254" s="477"/>
      <c r="E1254" s="479">
        <v>3779400</v>
      </c>
      <c r="F1254" s="479">
        <v>3779400</v>
      </c>
      <c r="G1254" s="479">
        <v>1994177.57</v>
      </c>
      <c r="H1254" s="479">
        <v>1969068.67</v>
      </c>
      <c r="I1254" s="480">
        <v>52.1</v>
      </c>
    </row>
    <row r="1255" spans="1:9" ht="38.25" hidden="1" outlineLevel="4">
      <c r="A1255" s="832" t="s">
        <v>854</v>
      </c>
      <c r="B1255" s="482" t="s">
        <v>4638</v>
      </c>
      <c r="C1255" s="831" t="s">
        <v>3659</v>
      </c>
      <c r="D1255" s="482" t="s">
        <v>716</v>
      </c>
      <c r="E1255" s="484">
        <v>3779400</v>
      </c>
      <c r="F1255" s="484">
        <v>3779400</v>
      </c>
      <c r="G1255" s="484">
        <v>1994177.57</v>
      </c>
      <c r="H1255" s="484">
        <v>1969068.67</v>
      </c>
      <c r="I1255" s="480">
        <v>52.1</v>
      </c>
    </row>
    <row r="1256" spans="1:9" ht="63.75" hidden="1" outlineLevel="3">
      <c r="A1256" s="833" t="s">
        <v>62</v>
      </c>
      <c r="B1256" s="477" t="s">
        <v>4639</v>
      </c>
      <c r="C1256" s="478"/>
      <c r="D1256" s="477"/>
      <c r="E1256" s="479">
        <v>540000</v>
      </c>
      <c r="F1256" s="479">
        <v>540000</v>
      </c>
      <c r="G1256" s="479">
        <v>221843.8</v>
      </c>
      <c r="H1256" s="479">
        <v>189296.6</v>
      </c>
      <c r="I1256" s="480">
        <v>35.049999999999997</v>
      </c>
    </row>
    <row r="1257" spans="1:9" ht="63.75" hidden="1" outlineLevel="4">
      <c r="A1257" s="832" t="s">
        <v>62</v>
      </c>
      <c r="B1257" s="482" t="s">
        <v>4639</v>
      </c>
      <c r="C1257" s="831" t="s">
        <v>3659</v>
      </c>
      <c r="D1257" s="482" t="s">
        <v>716</v>
      </c>
      <c r="E1257" s="484">
        <v>540000</v>
      </c>
      <c r="F1257" s="484">
        <v>540000</v>
      </c>
      <c r="G1257" s="484">
        <v>221843.8</v>
      </c>
      <c r="H1257" s="484">
        <v>189296.6</v>
      </c>
      <c r="I1257" s="480">
        <v>35.049999999999997</v>
      </c>
    </row>
    <row r="1258" spans="1:9" ht="76.5" hidden="1" outlineLevel="3">
      <c r="A1258" s="833" t="s">
        <v>1027</v>
      </c>
      <c r="B1258" s="477" t="s">
        <v>4640</v>
      </c>
      <c r="C1258" s="478"/>
      <c r="D1258" s="477"/>
      <c r="E1258" s="479">
        <v>2561000</v>
      </c>
      <c r="F1258" s="479">
        <v>2561000</v>
      </c>
      <c r="G1258" s="479">
        <v>25920</v>
      </c>
      <c r="H1258" s="479">
        <v>25920</v>
      </c>
      <c r="I1258" s="480">
        <v>1.01</v>
      </c>
    </row>
    <row r="1259" spans="1:9" ht="76.5" hidden="1" outlineLevel="4">
      <c r="A1259" s="832" t="s">
        <v>1027</v>
      </c>
      <c r="B1259" s="482" t="s">
        <v>4640</v>
      </c>
      <c r="C1259" s="831" t="s">
        <v>3659</v>
      </c>
      <c r="D1259" s="482" t="s">
        <v>716</v>
      </c>
      <c r="E1259" s="484">
        <v>2561000</v>
      </c>
      <c r="F1259" s="484">
        <v>2561000</v>
      </c>
      <c r="G1259" s="484">
        <v>25920</v>
      </c>
      <c r="H1259" s="484">
        <v>25920</v>
      </c>
      <c r="I1259" s="480">
        <v>1.01</v>
      </c>
    </row>
    <row r="1260" spans="1:9" ht="30.75" collapsed="1" thickBot="1">
      <c r="A1260" s="854" t="s">
        <v>4641</v>
      </c>
      <c r="B1260" s="853" t="s">
        <v>4642</v>
      </c>
      <c r="C1260" s="463"/>
      <c r="D1260" s="853"/>
      <c r="E1260" s="852">
        <v>1765101493.3099999</v>
      </c>
      <c r="F1260" s="852">
        <v>1759770495.23</v>
      </c>
      <c r="G1260" s="852">
        <v>814657261.5</v>
      </c>
      <c r="H1260" s="852">
        <v>743422609.88999999</v>
      </c>
      <c r="I1260" s="465">
        <v>42.12</v>
      </c>
    </row>
    <row r="1261" spans="1:9" ht="25.5" hidden="1" outlineLevel="1">
      <c r="A1261" s="851" t="s">
        <v>1696</v>
      </c>
      <c r="B1261" s="467" t="s">
        <v>4643</v>
      </c>
      <c r="C1261" s="468"/>
      <c r="D1261" s="467"/>
      <c r="E1261" s="469">
        <v>27079410</v>
      </c>
      <c r="F1261" s="469">
        <v>27029410</v>
      </c>
      <c r="G1261" s="469">
        <v>5642323.5599999996</v>
      </c>
      <c r="H1261" s="469">
        <v>5642323.5599999996</v>
      </c>
      <c r="I1261" s="470">
        <v>20.84</v>
      </c>
    </row>
    <row r="1262" spans="1:9" ht="25.5" hidden="1" outlineLevel="2">
      <c r="A1262" s="850" t="s">
        <v>1698</v>
      </c>
      <c r="B1262" s="472" t="s">
        <v>4644</v>
      </c>
      <c r="C1262" s="473"/>
      <c r="D1262" s="472"/>
      <c r="E1262" s="474">
        <v>9480000</v>
      </c>
      <c r="F1262" s="474">
        <v>9480000</v>
      </c>
      <c r="G1262" s="474">
        <v>1500000</v>
      </c>
      <c r="H1262" s="474">
        <v>1500000</v>
      </c>
      <c r="I1262" s="475">
        <v>15.82</v>
      </c>
    </row>
    <row r="1263" spans="1:9" ht="25.5" hidden="1" outlineLevel="3">
      <c r="A1263" s="833" t="s">
        <v>713</v>
      </c>
      <c r="B1263" s="477" t="s">
        <v>4645</v>
      </c>
      <c r="C1263" s="478"/>
      <c r="D1263" s="477"/>
      <c r="E1263" s="479">
        <v>9480000</v>
      </c>
      <c r="F1263" s="479">
        <v>9480000</v>
      </c>
      <c r="G1263" s="479">
        <v>1500000</v>
      </c>
      <c r="H1263" s="479">
        <v>1500000</v>
      </c>
      <c r="I1263" s="480">
        <v>15.82</v>
      </c>
    </row>
    <row r="1264" spans="1:9" ht="38.25" hidden="1" outlineLevel="4">
      <c r="A1264" s="832" t="s">
        <v>713</v>
      </c>
      <c r="B1264" s="482" t="s">
        <v>4645</v>
      </c>
      <c r="C1264" s="831" t="s">
        <v>4646</v>
      </c>
      <c r="D1264" s="482" t="s">
        <v>1702</v>
      </c>
      <c r="E1264" s="484">
        <v>9480000</v>
      </c>
      <c r="F1264" s="484">
        <v>9480000</v>
      </c>
      <c r="G1264" s="484">
        <v>1500000</v>
      </c>
      <c r="H1264" s="484">
        <v>1500000</v>
      </c>
      <c r="I1264" s="480">
        <v>15.82</v>
      </c>
    </row>
    <row r="1265" spans="1:9" ht="51" hidden="1" outlineLevel="2">
      <c r="A1265" s="850" t="s">
        <v>1703</v>
      </c>
      <c r="B1265" s="472" t="s">
        <v>4647</v>
      </c>
      <c r="C1265" s="473"/>
      <c r="D1265" s="472"/>
      <c r="E1265" s="474">
        <v>10770000</v>
      </c>
      <c r="F1265" s="474">
        <v>10770000</v>
      </c>
      <c r="G1265" s="474">
        <v>3292323.56</v>
      </c>
      <c r="H1265" s="474">
        <v>3292323.56</v>
      </c>
      <c r="I1265" s="475">
        <v>30.57</v>
      </c>
    </row>
    <row r="1266" spans="1:9" ht="25.5" hidden="1" outlineLevel="3">
      <c r="A1266" s="833" t="s">
        <v>713</v>
      </c>
      <c r="B1266" s="477" t="s">
        <v>4648</v>
      </c>
      <c r="C1266" s="478"/>
      <c r="D1266" s="477"/>
      <c r="E1266" s="479">
        <v>10770000</v>
      </c>
      <c r="F1266" s="479">
        <v>10770000</v>
      </c>
      <c r="G1266" s="479">
        <v>3292323.56</v>
      </c>
      <c r="H1266" s="479">
        <v>3292323.56</v>
      </c>
      <c r="I1266" s="480">
        <v>30.57</v>
      </c>
    </row>
    <row r="1267" spans="1:9" ht="38.25" hidden="1" outlineLevel="4">
      <c r="A1267" s="832" t="s">
        <v>713</v>
      </c>
      <c r="B1267" s="482" t="s">
        <v>4648</v>
      </c>
      <c r="C1267" s="831" t="s">
        <v>4646</v>
      </c>
      <c r="D1267" s="482" t="s">
        <v>1702</v>
      </c>
      <c r="E1267" s="484">
        <v>10770000</v>
      </c>
      <c r="F1267" s="484">
        <v>10770000</v>
      </c>
      <c r="G1267" s="484">
        <v>3292323.56</v>
      </c>
      <c r="H1267" s="484">
        <v>3292323.56</v>
      </c>
      <c r="I1267" s="480">
        <v>30.57</v>
      </c>
    </row>
    <row r="1268" spans="1:9" ht="25.5" hidden="1" outlineLevel="2">
      <c r="A1268" s="850" t="s">
        <v>1706</v>
      </c>
      <c r="B1268" s="472" t="s">
        <v>4649</v>
      </c>
      <c r="C1268" s="473"/>
      <c r="D1268" s="472"/>
      <c r="E1268" s="474">
        <v>4100000</v>
      </c>
      <c r="F1268" s="474">
        <v>4050000</v>
      </c>
      <c r="G1268" s="474">
        <v>0</v>
      </c>
      <c r="H1268" s="474">
        <v>0</v>
      </c>
      <c r="I1268" s="475">
        <v>0</v>
      </c>
    </row>
    <row r="1269" spans="1:9" ht="25.5" hidden="1" outlineLevel="3">
      <c r="A1269" s="833" t="s">
        <v>713</v>
      </c>
      <c r="B1269" s="477" t="s">
        <v>4650</v>
      </c>
      <c r="C1269" s="478"/>
      <c r="D1269" s="477"/>
      <c r="E1269" s="479">
        <v>4100000</v>
      </c>
      <c r="F1269" s="479">
        <v>4050000</v>
      </c>
      <c r="G1269" s="479">
        <v>0</v>
      </c>
      <c r="H1269" s="479">
        <v>0</v>
      </c>
      <c r="I1269" s="480">
        <v>0</v>
      </c>
    </row>
    <row r="1270" spans="1:9" ht="38.25" hidden="1" outlineLevel="4">
      <c r="A1270" s="832" t="s">
        <v>713</v>
      </c>
      <c r="B1270" s="482" t="s">
        <v>4650</v>
      </c>
      <c r="C1270" s="831" t="s">
        <v>4646</v>
      </c>
      <c r="D1270" s="482" t="s">
        <v>1702</v>
      </c>
      <c r="E1270" s="484">
        <v>4100000</v>
      </c>
      <c r="F1270" s="484">
        <v>4050000</v>
      </c>
      <c r="G1270" s="484">
        <v>0</v>
      </c>
      <c r="H1270" s="484">
        <v>0</v>
      </c>
      <c r="I1270" s="480">
        <v>0</v>
      </c>
    </row>
    <row r="1271" spans="1:9" ht="51" hidden="1" outlineLevel="2">
      <c r="A1271" s="850" t="s">
        <v>4651</v>
      </c>
      <c r="B1271" s="472" t="s">
        <v>4652</v>
      </c>
      <c r="C1271" s="473"/>
      <c r="D1271" s="472"/>
      <c r="E1271" s="474">
        <v>1929410</v>
      </c>
      <c r="F1271" s="474">
        <v>1929410</v>
      </c>
      <c r="G1271" s="474">
        <v>850000</v>
      </c>
      <c r="H1271" s="474">
        <v>850000</v>
      </c>
      <c r="I1271" s="475">
        <v>44.05</v>
      </c>
    </row>
    <row r="1272" spans="1:9" ht="25.5" hidden="1" outlineLevel="3">
      <c r="A1272" s="833" t="s">
        <v>713</v>
      </c>
      <c r="B1272" s="477" t="s">
        <v>4653</v>
      </c>
      <c r="C1272" s="478"/>
      <c r="D1272" s="477"/>
      <c r="E1272" s="479">
        <v>1929410</v>
      </c>
      <c r="F1272" s="479">
        <v>1929410</v>
      </c>
      <c r="G1272" s="479">
        <v>850000</v>
      </c>
      <c r="H1272" s="479">
        <v>850000</v>
      </c>
      <c r="I1272" s="480">
        <v>44.05</v>
      </c>
    </row>
    <row r="1273" spans="1:9" ht="38.25" hidden="1" outlineLevel="4">
      <c r="A1273" s="832" t="s">
        <v>713</v>
      </c>
      <c r="B1273" s="482" t="s">
        <v>4653</v>
      </c>
      <c r="C1273" s="831" t="s">
        <v>4646</v>
      </c>
      <c r="D1273" s="482" t="s">
        <v>1702</v>
      </c>
      <c r="E1273" s="484">
        <v>1929410</v>
      </c>
      <c r="F1273" s="484">
        <v>1929410</v>
      </c>
      <c r="G1273" s="484">
        <v>850000</v>
      </c>
      <c r="H1273" s="484">
        <v>850000</v>
      </c>
      <c r="I1273" s="480">
        <v>44.05</v>
      </c>
    </row>
    <row r="1274" spans="1:9" ht="51" hidden="1" outlineLevel="2">
      <c r="A1274" s="850" t="s">
        <v>4654</v>
      </c>
      <c r="B1274" s="472" t="s">
        <v>4655</v>
      </c>
      <c r="C1274" s="473"/>
      <c r="D1274" s="472"/>
      <c r="E1274" s="474">
        <v>800000</v>
      </c>
      <c r="F1274" s="474">
        <v>800000</v>
      </c>
      <c r="G1274" s="474">
        <v>0</v>
      </c>
      <c r="H1274" s="474">
        <v>0</v>
      </c>
      <c r="I1274" s="475">
        <v>0</v>
      </c>
    </row>
    <row r="1275" spans="1:9" ht="25.5" hidden="1" outlineLevel="3">
      <c r="A1275" s="833" t="s">
        <v>713</v>
      </c>
      <c r="B1275" s="477" t="s">
        <v>4656</v>
      </c>
      <c r="C1275" s="478"/>
      <c r="D1275" s="477"/>
      <c r="E1275" s="479">
        <v>800000</v>
      </c>
      <c r="F1275" s="479">
        <v>800000</v>
      </c>
      <c r="G1275" s="479">
        <v>0</v>
      </c>
      <c r="H1275" s="479">
        <v>0</v>
      </c>
      <c r="I1275" s="480">
        <v>0</v>
      </c>
    </row>
    <row r="1276" spans="1:9" ht="38.25" hidden="1" outlineLevel="4">
      <c r="A1276" s="832" t="s">
        <v>713</v>
      </c>
      <c r="B1276" s="482" t="s">
        <v>4656</v>
      </c>
      <c r="C1276" s="831" t="s">
        <v>4646</v>
      </c>
      <c r="D1276" s="482" t="s">
        <v>1702</v>
      </c>
      <c r="E1276" s="484">
        <v>800000</v>
      </c>
      <c r="F1276" s="484">
        <v>800000</v>
      </c>
      <c r="G1276" s="484">
        <v>0</v>
      </c>
      <c r="H1276" s="484">
        <v>0</v>
      </c>
      <c r="I1276" s="480">
        <v>0</v>
      </c>
    </row>
    <row r="1277" spans="1:9" ht="25.5" hidden="1" outlineLevel="1">
      <c r="A1277" s="851" t="s">
        <v>1713</v>
      </c>
      <c r="B1277" s="467" t="s">
        <v>4657</v>
      </c>
      <c r="C1277" s="468"/>
      <c r="D1277" s="467"/>
      <c r="E1277" s="469">
        <v>280164503.52999997</v>
      </c>
      <c r="F1277" s="469">
        <v>280073935.75999999</v>
      </c>
      <c r="G1277" s="469">
        <v>206552698.63</v>
      </c>
      <c r="H1277" s="469">
        <v>206552698.63</v>
      </c>
      <c r="I1277" s="470">
        <v>73.73</v>
      </c>
    </row>
    <row r="1278" spans="1:9" ht="25.5" hidden="1" outlineLevel="2">
      <c r="A1278" s="850" t="s">
        <v>1715</v>
      </c>
      <c r="B1278" s="472" t="s">
        <v>4658</v>
      </c>
      <c r="C1278" s="473"/>
      <c r="D1278" s="472"/>
      <c r="E1278" s="474">
        <v>265374861.53</v>
      </c>
      <c r="F1278" s="474">
        <v>265374861.53</v>
      </c>
      <c r="G1278" s="474">
        <v>202968500.52000001</v>
      </c>
      <c r="H1278" s="474">
        <v>202968500.52000001</v>
      </c>
      <c r="I1278" s="475">
        <v>76.48</v>
      </c>
    </row>
    <row r="1279" spans="1:9" ht="76.5" hidden="1" outlineLevel="3">
      <c r="A1279" s="833" t="s">
        <v>702</v>
      </c>
      <c r="B1279" s="477" t="s">
        <v>4659</v>
      </c>
      <c r="C1279" s="478"/>
      <c r="D1279" s="477"/>
      <c r="E1279" s="479">
        <v>140716776.65000001</v>
      </c>
      <c r="F1279" s="479">
        <v>140716776.65000001</v>
      </c>
      <c r="G1279" s="479">
        <v>110160943.64</v>
      </c>
      <c r="H1279" s="479">
        <v>110160943.64</v>
      </c>
      <c r="I1279" s="480">
        <v>78.290000000000006</v>
      </c>
    </row>
    <row r="1280" spans="1:9" ht="76.5" hidden="1" outlineLevel="4">
      <c r="A1280" s="832" t="s">
        <v>702</v>
      </c>
      <c r="B1280" s="482" t="s">
        <v>4659</v>
      </c>
      <c r="C1280" s="831" t="s">
        <v>4646</v>
      </c>
      <c r="D1280" s="482" t="s">
        <v>1702</v>
      </c>
      <c r="E1280" s="484">
        <v>140716776.65000001</v>
      </c>
      <c r="F1280" s="484">
        <v>140716776.65000001</v>
      </c>
      <c r="G1280" s="484">
        <v>110160943.64</v>
      </c>
      <c r="H1280" s="484">
        <v>110160943.64</v>
      </c>
      <c r="I1280" s="480">
        <v>78.290000000000006</v>
      </c>
    </row>
    <row r="1281" spans="1:9" ht="63.75" hidden="1" outlineLevel="3">
      <c r="A1281" s="833" t="s">
        <v>62</v>
      </c>
      <c r="B1281" s="477" t="s">
        <v>4660</v>
      </c>
      <c r="C1281" s="478"/>
      <c r="D1281" s="477"/>
      <c r="E1281" s="479">
        <v>1500000</v>
      </c>
      <c r="F1281" s="479">
        <v>1500000</v>
      </c>
      <c r="G1281" s="479">
        <v>1500000</v>
      </c>
      <c r="H1281" s="479">
        <v>1500000</v>
      </c>
      <c r="I1281" s="480">
        <v>100</v>
      </c>
    </row>
    <row r="1282" spans="1:9" ht="63.75" hidden="1" outlineLevel="4">
      <c r="A1282" s="832" t="s">
        <v>62</v>
      </c>
      <c r="B1282" s="482" t="s">
        <v>4660</v>
      </c>
      <c r="C1282" s="831" t="s">
        <v>4646</v>
      </c>
      <c r="D1282" s="482" t="s">
        <v>1702</v>
      </c>
      <c r="E1282" s="484">
        <v>1500000</v>
      </c>
      <c r="F1282" s="484">
        <v>1500000</v>
      </c>
      <c r="G1282" s="484">
        <v>1500000</v>
      </c>
      <c r="H1282" s="484">
        <v>1500000</v>
      </c>
      <c r="I1282" s="480">
        <v>100</v>
      </c>
    </row>
    <row r="1283" spans="1:9" ht="76.5" hidden="1" outlineLevel="3">
      <c r="A1283" s="833" t="s">
        <v>1027</v>
      </c>
      <c r="B1283" s="477" t="s">
        <v>4661</v>
      </c>
      <c r="C1283" s="478"/>
      <c r="D1283" s="477"/>
      <c r="E1283" s="479">
        <v>6435484.8799999999</v>
      </c>
      <c r="F1283" s="479">
        <v>6435484.8799999999</v>
      </c>
      <c r="G1283" s="479">
        <v>6435484.8799999999</v>
      </c>
      <c r="H1283" s="479">
        <v>6435484.8799999999</v>
      </c>
      <c r="I1283" s="480">
        <v>100</v>
      </c>
    </row>
    <row r="1284" spans="1:9" ht="76.5" hidden="1" outlineLevel="4">
      <c r="A1284" s="832" t="s">
        <v>1027</v>
      </c>
      <c r="B1284" s="482" t="s">
        <v>4661</v>
      </c>
      <c r="C1284" s="831" t="s">
        <v>4646</v>
      </c>
      <c r="D1284" s="482" t="s">
        <v>1702</v>
      </c>
      <c r="E1284" s="484">
        <v>6435484.8799999999</v>
      </c>
      <c r="F1284" s="484">
        <v>6435484.8799999999</v>
      </c>
      <c r="G1284" s="484">
        <v>6435484.8799999999</v>
      </c>
      <c r="H1284" s="484">
        <v>6435484.8799999999</v>
      </c>
      <c r="I1284" s="480">
        <v>100</v>
      </c>
    </row>
    <row r="1285" spans="1:9" ht="25.5" hidden="1" outlineLevel="3">
      <c r="A1285" s="833" t="s">
        <v>4662</v>
      </c>
      <c r="B1285" s="477" t="s">
        <v>4663</v>
      </c>
      <c r="C1285" s="478"/>
      <c r="D1285" s="477"/>
      <c r="E1285" s="479">
        <v>116722600</v>
      </c>
      <c r="F1285" s="479">
        <v>116722600</v>
      </c>
      <c r="G1285" s="479">
        <v>84872072</v>
      </c>
      <c r="H1285" s="479">
        <v>84872072</v>
      </c>
      <c r="I1285" s="480">
        <v>72.709999999999994</v>
      </c>
    </row>
    <row r="1286" spans="1:9" ht="38.25" hidden="1" outlineLevel="4">
      <c r="A1286" s="832" t="s">
        <v>4662</v>
      </c>
      <c r="B1286" s="482" t="s">
        <v>4663</v>
      </c>
      <c r="C1286" s="831" t="s">
        <v>4646</v>
      </c>
      <c r="D1286" s="482" t="s">
        <v>1702</v>
      </c>
      <c r="E1286" s="484">
        <v>116722600</v>
      </c>
      <c r="F1286" s="484">
        <v>116722600</v>
      </c>
      <c r="G1286" s="484">
        <v>84872072</v>
      </c>
      <c r="H1286" s="484">
        <v>84872072</v>
      </c>
      <c r="I1286" s="480">
        <v>72.709999999999994</v>
      </c>
    </row>
    <row r="1287" spans="1:9" ht="38.25" hidden="1" outlineLevel="2">
      <c r="A1287" s="850" t="s">
        <v>1723</v>
      </c>
      <c r="B1287" s="472" t="s">
        <v>4664</v>
      </c>
      <c r="C1287" s="473"/>
      <c r="D1287" s="472"/>
      <c r="E1287" s="474">
        <v>375000</v>
      </c>
      <c r="F1287" s="474">
        <v>375000</v>
      </c>
      <c r="G1287" s="474">
        <v>0</v>
      </c>
      <c r="H1287" s="474">
        <v>0</v>
      </c>
      <c r="I1287" s="475">
        <v>0</v>
      </c>
    </row>
    <row r="1288" spans="1:9" ht="25.5" hidden="1" outlineLevel="3">
      <c r="A1288" s="833" t="s">
        <v>1721</v>
      </c>
      <c r="B1288" s="477" t="s">
        <v>4665</v>
      </c>
      <c r="C1288" s="478"/>
      <c r="D1288" s="477"/>
      <c r="E1288" s="479">
        <v>375000</v>
      </c>
      <c r="F1288" s="479">
        <v>375000</v>
      </c>
      <c r="G1288" s="479">
        <v>0</v>
      </c>
      <c r="H1288" s="479">
        <v>0</v>
      </c>
      <c r="I1288" s="480">
        <v>0</v>
      </c>
    </row>
    <row r="1289" spans="1:9" ht="38.25" hidden="1" outlineLevel="4">
      <c r="A1289" s="832" t="s">
        <v>1721</v>
      </c>
      <c r="B1289" s="482" t="s">
        <v>4665</v>
      </c>
      <c r="C1289" s="831" t="s">
        <v>4646</v>
      </c>
      <c r="D1289" s="482" t="s">
        <v>1702</v>
      </c>
      <c r="E1289" s="484">
        <v>375000</v>
      </c>
      <c r="F1289" s="484">
        <v>375000</v>
      </c>
      <c r="G1289" s="484">
        <v>0</v>
      </c>
      <c r="H1289" s="484">
        <v>0</v>
      </c>
      <c r="I1289" s="480">
        <v>0</v>
      </c>
    </row>
    <row r="1290" spans="1:9" ht="25.5" hidden="1" outlineLevel="2">
      <c r="A1290" s="850" t="s">
        <v>1726</v>
      </c>
      <c r="B1290" s="472" t="s">
        <v>4666</v>
      </c>
      <c r="C1290" s="473"/>
      <c r="D1290" s="472"/>
      <c r="E1290" s="474">
        <v>9225000</v>
      </c>
      <c r="F1290" s="474">
        <v>9225000</v>
      </c>
      <c r="G1290" s="474">
        <v>0</v>
      </c>
      <c r="H1290" s="474">
        <v>0</v>
      </c>
      <c r="I1290" s="475">
        <v>0</v>
      </c>
    </row>
    <row r="1291" spans="1:9" ht="25.5" hidden="1" outlineLevel="3">
      <c r="A1291" s="833" t="s">
        <v>713</v>
      </c>
      <c r="B1291" s="477" t="s">
        <v>4667</v>
      </c>
      <c r="C1291" s="478"/>
      <c r="D1291" s="477"/>
      <c r="E1291" s="479">
        <v>8100000</v>
      </c>
      <c r="F1291" s="479">
        <v>8100000</v>
      </c>
      <c r="G1291" s="479">
        <v>0</v>
      </c>
      <c r="H1291" s="479">
        <v>0</v>
      </c>
      <c r="I1291" s="480">
        <v>0</v>
      </c>
    </row>
    <row r="1292" spans="1:9" ht="38.25" hidden="1" outlineLevel="4">
      <c r="A1292" s="832" t="s">
        <v>713</v>
      </c>
      <c r="B1292" s="482" t="s">
        <v>4667</v>
      </c>
      <c r="C1292" s="831" t="s">
        <v>4646</v>
      </c>
      <c r="D1292" s="482" t="s">
        <v>1702</v>
      </c>
      <c r="E1292" s="484">
        <v>8100000</v>
      </c>
      <c r="F1292" s="484">
        <v>8100000</v>
      </c>
      <c r="G1292" s="484">
        <v>0</v>
      </c>
      <c r="H1292" s="484">
        <v>0</v>
      </c>
      <c r="I1292" s="480">
        <v>0</v>
      </c>
    </row>
    <row r="1293" spans="1:9" ht="25.5" hidden="1" outlineLevel="3">
      <c r="A1293" s="833" t="s">
        <v>1721</v>
      </c>
      <c r="B1293" s="477" t="s">
        <v>4668</v>
      </c>
      <c r="C1293" s="478"/>
      <c r="D1293" s="477"/>
      <c r="E1293" s="479">
        <v>1125000</v>
      </c>
      <c r="F1293" s="479">
        <v>1125000</v>
      </c>
      <c r="G1293" s="479">
        <v>0</v>
      </c>
      <c r="H1293" s="479">
        <v>0</v>
      </c>
      <c r="I1293" s="480">
        <v>0</v>
      </c>
    </row>
    <row r="1294" spans="1:9" ht="38.25" hidden="1" outlineLevel="4">
      <c r="A1294" s="832" t="s">
        <v>1721</v>
      </c>
      <c r="B1294" s="482" t="s">
        <v>4668</v>
      </c>
      <c r="C1294" s="831" t="s">
        <v>4646</v>
      </c>
      <c r="D1294" s="482" t="s">
        <v>1702</v>
      </c>
      <c r="E1294" s="484">
        <v>1125000</v>
      </c>
      <c r="F1294" s="484">
        <v>1125000</v>
      </c>
      <c r="G1294" s="484">
        <v>0</v>
      </c>
      <c r="H1294" s="484">
        <v>0</v>
      </c>
      <c r="I1294" s="480">
        <v>0</v>
      </c>
    </row>
    <row r="1295" spans="1:9" ht="38.25" hidden="1" outlineLevel="2">
      <c r="A1295" s="850" t="s">
        <v>1729</v>
      </c>
      <c r="B1295" s="472" t="s">
        <v>4669</v>
      </c>
      <c r="C1295" s="473"/>
      <c r="D1295" s="472"/>
      <c r="E1295" s="474">
        <v>2028042</v>
      </c>
      <c r="F1295" s="474">
        <v>1937474.23</v>
      </c>
      <c r="G1295" s="474">
        <v>422598.11</v>
      </c>
      <c r="H1295" s="474">
        <v>422598.11</v>
      </c>
      <c r="I1295" s="475">
        <v>20.84</v>
      </c>
    </row>
    <row r="1296" spans="1:9" ht="25.5" hidden="1" outlineLevel="3">
      <c r="A1296" s="833" t="s">
        <v>713</v>
      </c>
      <c r="B1296" s="477" t="s">
        <v>4670</v>
      </c>
      <c r="C1296" s="478"/>
      <c r="D1296" s="477"/>
      <c r="E1296" s="479">
        <v>1413042</v>
      </c>
      <c r="F1296" s="479">
        <v>1322474.23</v>
      </c>
      <c r="G1296" s="479">
        <v>175326.6</v>
      </c>
      <c r="H1296" s="479">
        <v>175326.6</v>
      </c>
      <c r="I1296" s="480">
        <v>12.41</v>
      </c>
    </row>
    <row r="1297" spans="1:9" ht="38.25" hidden="1" outlineLevel="4">
      <c r="A1297" s="832" t="s">
        <v>713</v>
      </c>
      <c r="B1297" s="482" t="s">
        <v>4670</v>
      </c>
      <c r="C1297" s="831" t="s">
        <v>4646</v>
      </c>
      <c r="D1297" s="482" t="s">
        <v>1702</v>
      </c>
      <c r="E1297" s="484">
        <v>1413042</v>
      </c>
      <c r="F1297" s="484">
        <v>1322474.23</v>
      </c>
      <c r="G1297" s="484">
        <v>175326.6</v>
      </c>
      <c r="H1297" s="484">
        <v>175326.6</v>
      </c>
      <c r="I1297" s="480">
        <v>12.41</v>
      </c>
    </row>
    <row r="1298" spans="1:9" ht="25.5" hidden="1" outlineLevel="3">
      <c r="A1298" s="833" t="s">
        <v>1721</v>
      </c>
      <c r="B1298" s="477" t="s">
        <v>4671</v>
      </c>
      <c r="C1298" s="478"/>
      <c r="D1298" s="477"/>
      <c r="E1298" s="479">
        <v>615000</v>
      </c>
      <c r="F1298" s="479">
        <v>615000</v>
      </c>
      <c r="G1298" s="479">
        <v>247271.51</v>
      </c>
      <c r="H1298" s="479">
        <v>247271.51</v>
      </c>
      <c r="I1298" s="480">
        <v>40.21</v>
      </c>
    </row>
    <row r="1299" spans="1:9" ht="38.25" hidden="1" outlineLevel="4">
      <c r="A1299" s="832" t="s">
        <v>1721</v>
      </c>
      <c r="B1299" s="482" t="s">
        <v>4671</v>
      </c>
      <c r="C1299" s="831" t="s">
        <v>4646</v>
      </c>
      <c r="D1299" s="482" t="s">
        <v>1702</v>
      </c>
      <c r="E1299" s="484">
        <v>615000</v>
      </c>
      <c r="F1299" s="484">
        <v>615000</v>
      </c>
      <c r="G1299" s="484">
        <v>247271.51</v>
      </c>
      <c r="H1299" s="484">
        <v>247271.51</v>
      </c>
      <c r="I1299" s="480">
        <v>40.21</v>
      </c>
    </row>
    <row r="1300" spans="1:9" ht="25.5" hidden="1" outlineLevel="2">
      <c r="A1300" s="850" t="s">
        <v>1732</v>
      </c>
      <c r="B1300" s="472" t="s">
        <v>4672</v>
      </c>
      <c r="C1300" s="473"/>
      <c r="D1300" s="472"/>
      <c r="E1300" s="474">
        <v>3161600</v>
      </c>
      <c r="F1300" s="474">
        <v>3161600</v>
      </c>
      <c r="G1300" s="474">
        <v>3161600</v>
      </c>
      <c r="H1300" s="474">
        <v>3161600</v>
      </c>
      <c r="I1300" s="475">
        <v>100</v>
      </c>
    </row>
    <row r="1301" spans="1:9" hidden="1" outlineLevel="3">
      <c r="A1301" s="833" t="s">
        <v>1734</v>
      </c>
      <c r="B1301" s="477" t="s">
        <v>4673</v>
      </c>
      <c r="C1301" s="478"/>
      <c r="D1301" s="477"/>
      <c r="E1301" s="479">
        <v>3149200</v>
      </c>
      <c r="F1301" s="479">
        <v>3149200</v>
      </c>
      <c r="G1301" s="479">
        <v>3149200</v>
      </c>
      <c r="H1301" s="479">
        <v>3149200</v>
      </c>
      <c r="I1301" s="480">
        <v>100</v>
      </c>
    </row>
    <row r="1302" spans="1:9" ht="38.25" hidden="1" outlineLevel="4">
      <c r="A1302" s="832" t="s">
        <v>1734</v>
      </c>
      <c r="B1302" s="482" t="s">
        <v>4673</v>
      </c>
      <c r="C1302" s="831" t="s">
        <v>4646</v>
      </c>
      <c r="D1302" s="482" t="s">
        <v>1702</v>
      </c>
      <c r="E1302" s="484">
        <v>3149200</v>
      </c>
      <c r="F1302" s="484">
        <v>3149200</v>
      </c>
      <c r="G1302" s="484">
        <v>3149200</v>
      </c>
      <c r="H1302" s="484">
        <v>3149200</v>
      </c>
      <c r="I1302" s="480">
        <v>100</v>
      </c>
    </row>
    <row r="1303" spans="1:9" ht="25.5" hidden="1" outlineLevel="3">
      <c r="A1303" s="833" t="s">
        <v>1738</v>
      </c>
      <c r="B1303" s="477" t="s">
        <v>4674</v>
      </c>
      <c r="C1303" s="478"/>
      <c r="D1303" s="477"/>
      <c r="E1303" s="479">
        <v>12400</v>
      </c>
      <c r="F1303" s="479">
        <v>12400</v>
      </c>
      <c r="G1303" s="479">
        <v>12400</v>
      </c>
      <c r="H1303" s="479">
        <v>12400</v>
      </c>
      <c r="I1303" s="480">
        <v>100</v>
      </c>
    </row>
    <row r="1304" spans="1:9" ht="38.25" hidden="1" outlineLevel="4">
      <c r="A1304" s="832" t="s">
        <v>1738</v>
      </c>
      <c r="B1304" s="482" t="s">
        <v>4674</v>
      </c>
      <c r="C1304" s="831" t="s">
        <v>4646</v>
      </c>
      <c r="D1304" s="482" t="s">
        <v>1702</v>
      </c>
      <c r="E1304" s="484">
        <v>12400</v>
      </c>
      <c r="F1304" s="484">
        <v>12400</v>
      </c>
      <c r="G1304" s="484">
        <v>12400</v>
      </c>
      <c r="H1304" s="484">
        <v>12400</v>
      </c>
      <c r="I1304" s="480">
        <v>100</v>
      </c>
    </row>
    <row r="1305" spans="1:9" ht="38.25" hidden="1" outlineLevel="1">
      <c r="A1305" s="851" t="s">
        <v>1742</v>
      </c>
      <c r="B1305" s="467" t="s">
        <v>4675</v>
      </c>
      <c r="C1305" s="468"/>
      <c r="D1305" s="467"/>
      <c r="E1305" s="469">
        <v>43620960.710000001</v>
      </c>
      <c r="F1305" s="469">
        <v>43620960.710000001</v>
      </c>
      <c r="G1305" s="469">
        <v>25809092</v>
      </c>
      <c r="H1305" s="469">
        <v>25809092</v>
      </c>
      <c r="I1305" s="470">
        <v>59.17</v>
      </c>
    </row>
    <row r="1306" spans="1:9" ht="38.25" hidden="1" outlineLevel="2">
      <c r="A1306" s="850" t="s">
        <v>1744</v>
      </c>
      <c r="B1306" s="472" t="s">
        <v>4676</v>
      </c>
      <c r="C1306" s="473"/>
      <c r="D1306" s="472"/>
      <c r="E1306" s="474">
        <v>11175500</v>
      </c>
      <c r="F1306" s="474">
        <v>11175500</v>
      </c>
      <c r="G1306" s="474">
        <v>0</v>
      </c>
      <c r="H1306" s="474">
        <v>0</v>
      </c>
      <c r="I1306" s="475">
        <v>0</v>
      </c>
    </row>
    <row r="1307" spans="1:9" ht="25.5" hidden="1" outlineLevel="3">
      <c r="A1307" s="833" t="s">
        <v>1746</v>
      </c>
      <c r="B1307" s="477" t="s">
        <v>4677</v>
      </c>
      <c r="C1307" s="478"/>
      <c r="D1307" s="477"/>
      <c r="E1307" s="479">
        <v>11175500</v>
      </c>
      <c r="F1307" s="479">
        <v>11175500</v>
      </c>
      <c r="G1307" s="479">
        <v>0</v>
      </c>
      <c r="H1307" s="479">
        <v>0</v>
      </c>
      <c r="I1307" s="480">
        <v>0</v>
      </c>
    </row>
    <row r="1308" spans="1:9" ht="38.25" hidden="1" outlineLevel="4">
      <c r="A1308" s="832" t="s">
        <v>1746</v>
      </c>
      <c r="B1308" s="482" t="s">
        <v>4677</v>
      </c>
      <c r="C1308" s="831" t="s">
        <v>4646</v>
      </c>
      <c r="D1308" s="482" t="s">
        <v>1702</v>
      </c>
      <c r="E1308" s="484">
        <v>11175500</v>
      </c>
      <c r="F1308" s="484">
        <v>11175500</v>
      </c>
      <c r="G1308" s="484">
        <v>0</v>
      </c>
      <c r="H1308" s="484">
        <v>0</v>
      </c>
      <c r="I1308" s="480">
        <v>0</v>
      </c>
    </row>
    <row r="1309" spans="1:9" ht="38.25" hidden="1" outlineLevel="2">
      <c r="A1309" s="850" t="s">
        <v>1748</v>
      </c>
      <c r="B1309" s="472" t="s">
        <v>4678</v>
      </c>
      <c r="C1309" s="473"/>
      <c r="D1309" s="472"/>
      <c r="E1309" s="474">
        <v>276000</v>
      </c>
      <c r="F1309" s="474">
        <v>276000</v>
      </c>
      <c r="G1309" s="474">
        <v>0</v>
      </c>
      <c r="H1309" s="474">
        <v>0</v>
      </c>
      <c r="I1309" s="475">
        <v>0</v>
      </c>
    </row>
    <row r="1310" spans="1:9" ht="25.5" hidden="1" outlineLevel="3">
      <c r="A1310" s="833" t="s">
        <v>713</v>
      </c>
      <c r="B1310" s="477" t="s">
        <v>4679</v>
      </c>
      <c r="C1310" s="478"/>
      <c r="D1310" s="477"/>
      <c r="E1310" s="479">
        <v>276000</v>
      </c>
      <c r="F1310" s="479">
        <v>276000</v>
      </c>
      <c r="G1310" s="479">
        <v>0</v>
      </c>
      <c r="H1310" s="479">
        <v>0</v>
      </c>
      <c r="I1310" s="480">
        <v>0</v>
      </c>
    </row>
    <row r="1311" spans="1:9" ht="38.25" hidden="1" outlineLevel="4">
      <c r="A1311" s="832" t="s">
        <v>713</v>
      </c>
      <c r="B1311" s="482" t="s">
        <v>4679</v>
      </c>
      <c r="C1311" s="831" t="s">
        <v>4646</v>
      </c>
      <c r="D1311" s="482" t="s">
        <v>1702</v>
      </c>
      <c r="E1311" s="484">
        <v>276000</v>
      </c>
      <c r="F1311" s="484">
        <v>276000</v>
      </c>
      <c r="G1311" s="484">
        <v>0</v>
      </c>
      <c r="H1311" s="484">
        <v>0</v>
      </c>
      <c r="I1311" s="480">
        <v>0</v>
      </c>
    </row>
    <row r="1312" spans="1:9" ht="51" hidden="1" outlineLevel="2">
      <c r="A1312" s="850" t="s">
        <v>4680</v>
      </c>
      <c r="B1312" s="472" t="s">
        <v>4681</v>
      </c>
      <c r="C1312" s="473"/>
      <c r="D1312" s="472"/>
      <c r="E1312" s="474">
        <v>687807.5</v>
      </c>
      <c r="F1312" s="474">
        <v>687807.5</v>
      </c>
      <c r="G1312" s="474">
        <v>0</v>
      </c>
      <c r="H1312" s="474">
        <v>0</v>
      </c>
      <c r="I1312" s="475">
        <v>0</v>
      </c>
    </row>
    <row r="1313" spans="1:9" ht="25.5" hidden="1" outlineLevel="3">
      <c r="A1313" s="833" t="s">
        <v>713</v>
      </c>
      <c r="B1313" s="477" t="s">
        <v>4682</v>
      </c>
      <c r="C1313" s="478"/>
      <c r="D1313" s="477"/>
      <c r="E1313" s="479">
        <v>687807.5</v>
      </c>
      <c r="F1313" s="479">
        <v>687807.5</v>
      </c>
      <c r="G1313" s="479">
        <v>0</v>
      </c>
      <c r="H1313" s="479">
        <v>0</v>
      </c>
      <c r="I1313" s="480">
        <v>0</v>
      </c>
    </row>
    <row r="1314" spans="1:9" ht="38.25" hidden="1" outlineLevel="4">
      <c r="A1314" s="832" t="s">
        <v>713</v>
      </c>
      <c r="B1314" s="482" t="s">
        <v>4682</v>
      </c>
      <c r="C1314" s="831" t="s">
        <v>4646</v>
      </c>
      <c r="D1314" s="482" t="s">
        <v>1702</v>
      </c>
      <c r="E1314" s="484">
        <v>687807.5</v>
      </c>
      <c r="F1314" s="484">
        <v>687807.5</v>
      </c>
      <c r="G1314" s="484">
        <v>0</v>
      </c>
      <c r="H1314" s="484">
        <v>0</v>
      </c>
      <c r="I1314" s="480">
        <v>0</v>
      </c>
    </row>
    <row r="1315" spans="1:9" ht="51" hidden="1" outlineLevel="2">
      <c r="A1315" s="850" t="s">
        <v>4683</v>
      </c>
      <c r="B1315" s="472" t="s">
        <v>4684</v>
      </c>
      <c r="C1315" s="473"/>
      <c r="D1315" s="472"/>
      <c r="E1315" s="474">
        <v>830000</v>
      </c>
      <c r="F1315" s="474">
        <v>830000</v>
      </c>
      <c r="G1315" s="474">
        <v>662280</v>
      </c>
      <c r="H1315" s="474">
        <v>662280</v>
      </c>
      <c r="I1315" s="475">
        <v>79.790000000000006</v>
      </c>
    </row>
    <row r="1316" spans="1:9" ht="25.5" hidden="1" outlineLevel="3">
      <c r="A1316" s="833" t="s">
        <v>713</v>
      </c>
      <c r="B1316" s="477" t="s">
        <v>4685</v>
      </c>
      <c r="C1316" s="478"/>
      <c r="D1316" s="477"/>
      <c r="E1316" s="479">
        <v>830000</v>
      </c>
      <c r="F1316" s="479">
        <v>830000</v>
      </c>
      <c r="G1316" s="479">
        <v>662280</v>
      </c>
      <c r="H1316" s="479">
        <v>662280</v>
      </c>
      <c r="I1316" s="480">
        <v>79.790000000000006</v>
      </c>
    </row>
    <row r="1317" spans="1:9" ht="38.25" hidden="1" outlineLevel="4">
      <c r="A1317" s="832" t="s">
        <v>713</v>
      </c>
      <c r="B1317" s="482" t="s">
        <v>4685</v>
      </c>
      <c r="C1317" s="831" t="s">
        <v>4646</v>
      </c>
      <c r="D1317" s="482" t="s">
        <v>1702</v>
      </c>
      <c r="E1317" s="484">
        <v>830000</v>
      </c>
      <c r="F1317" s="484">
        <v>830000</v>
      </c>
      <c r="G1317" s="484">
        <v>662280</v>
      </c>
      <c r="H1317" s="484">
        <v>662280</v>
      </c>
      <c r="I1317" s="480">
        <v>79.790000000000006</v>
      </c>
    </row>
    <row r="1318" spans="1:9" ht="38.25" hidden="1" outlineLevel="2">
      <c r="A1318" s="850" t="s">
        <v>4686</v>
      </c>
      <c r="B1318" s="472" t="s">
        <v>4687</v>
      </c>
      <c r="C1318" s="473"/>
      <c r="D1318" s="472"/>
      <c r="E1318" s="474">
        <v>457000</v>
      </c>
      <c r="F1318" s="474">
        <v>457000</v>
      </c>
      <c r="G1318" s="474">
        <v>457000</v>
      </c>
      <c r="H1318" s="474">
        <v>457000</v>
      </c>
      <c r="I1318" s="475">
        <v>100</v>
      </c>
    </row>
    <row r="1319" spans="1:9" ht="25.5" hidden="1" outlineLevel="3">
      <c r="A1319" s="833" t="s">
        <v>713</v>
      </c>
      <c r="B1319" s="477" t="s">
        <v>4688</v>
      </c>
      <c r="C1319" s="478"/>
      <c r="D1319" s="477"/>
      <c r="E1319" s="479">
        <v>457000</v>
      </c>
      <c r="F1319" s="479">
        <v>457000</v>
      </c>
      <c r="G1319" s="479">
        <v>457000</v>
      </c>
      <c r="H1319" s="479">
        <v>457000</v>
      </c>
      <c r="I1319" s="480">
        <v>100</v>
      </c>
    </row>
    <row r="1320" spans="1:9" ht="38.25" hidden="1" outlineLevel="4">
      <c r="A1320" s="832" t="s">
        <v>713</v>
      </c>
      <c r="B1320" s="482" t="s">
        <v>4688</v>
      </c>
      <c r="C1320" s="831" t="s">
        <v>4646</v>
      </c>
      <c r="D1320" s="482" t="s">
        <v>1702</v>
      </c>
      <c r="E1320" s="484">
        <v>457000</v>
      </c>
      <c r="F1320" s="484">
        <v>457000</v>
      </c>
      <c r="G1320" s="484">
        <v>457000</v>
      </c>
      <c r="H1320" s="484">
        <v>457000</v>
      </c>
      <c r="I1320" s="480">
        <v>100</v>
      </c>
    </row>
    <row r="1321" spans="1:9" ht="38.25" hidden="1" outlineLevel="2">
      <c r="A1321" s="850" t="s">
        <v>4689</v>
      </c>
      <c r="B1321" s="472" t="s">
        <v>4690</v>
      </c>
      <c r="C1321" s="473"/>
      <c r="D1321" s="472"/>
      <c r="E1321" s="474">
        <v>30194653.210000001</v>
      </c>
      <c r="F1321" s="474">
        <v>30194653.210000001</v>
      </c>
      <c r="G1321" s="474">
        <v>24689812</v>
      </c>
      <c r="H1321" s="474">
        <v>24689812</v>
      </c>
      <c r="I1321" s="475">
        <v>81.77</v>
      </c>
    </row>
    <row r="1322" spans="1:9" ht="76.5" hidden="1" outlineLevel="3">
      <c r="A1322" s="833" t="s">
        <v>702</v>
      </c>
      <c r="B1322" s="477" t="s">
        <v>4691</v>
      </c>
      <c r="C1322" s="478"/>
      <c r="D1322" s="477"/>
      <c r="E1322" s="479">
        <v>30194653.210000001</v>
      </c>
      <c r="F1322" s="479">
        <v>30194653.210000001</v>
      </c>
      <c r="G1322" s="479">
        <v>24689812</v>
      </c>
      <c r="H1322" s="479">
        <v>24689812</v>
      </c>
      <c r="I1322" s="480">
        <v>81.77</v>
      </c>
    </row>
    <row r="1323" spans="1:9" ht="76.5" hidden="1" outlineLevel="4">
      <c r="A1323" s="832" t="s">
        <v>702</v>
      </c>
      <c r="B1323" s="482" t="s">
        <v>4691</v>
      </c>
      <c r="C1323" s="831" t="s">
        <v>4646</v>
      </c>
      <c r="D1323" s="482" t="s">
        <v>1702</v>
      </c>
      <c r="E1323" s="484">
        <v>30194653.210000001</v>
      </c>
      <c r="F1323" s="484">
        <v>30194653.210000001</v>
      </c>
      <c r="G1323" s="484">
        <v>24689812</v>
      </c>
      <c r="H1323" s="484">
        <v>24689812</v>
      </c>
      <c r="I1323" s="480">
        <v>81.77</v>
      </c>
    </row>
    <row r="1324" spans="1:9" ht="38.25" hidden="1" outlineLevel="1">
      <c r="A1324" s="851" t="s">
        <v>1019</v>
      </c>
      <c r="B1324" s="467" t="s">
        <v>4692</v>
      </c>
      <c r="C1324" s="468"/>
      <c r="D1324" s="467"/>
      <c r="E1324" s="469">
        <v>489177397.14999998</v>
      </c>
      <c r="F1324" s="469">
        <v>487979503.77999997</v>
      </c>
      <c r="G1324" s="469">
        <v>377188556.48000002</v>
      </c>
      <c r="H1324" s="469">
        <v>341889251.05000001</v>
      </c>
      <c r="I1324" s="470">
        <v>69.89</v>
      </c>
    </row>
    <row r="1325" spans="1:9" ht="76.5" hidden="1" outlineLevel="2">
      <c r="A1325" s="850" t="s">
        <v>1758</v>
      </c>
      <c r="B1325" s="472" t="s">
        <v>4693</v>
      </c>
      <c r="C1325" s="473"/>
      <c r="D1325" s="472"/>
      <c r="E1325" s="474">
        <v>489177397.14999998</v>
      </c>
      <c r="F1325" s="474">
        <v>487979503.77999997</v>
      </c>
      <c r="G1325" s="474">
        <v>377188556.48000002</v>
      </c>
      <c r="H1325" s="474">
        <v>341889251.05000001</v>
      </c>
      <c r="I1325" s="475">
        <v>69.89</v>
      </c>
    </row>
    <row r="1326" spans="1:9" ht="25.5" hidden="1" outlineLevel="3">
      <c r="A1326" s="833" t="s">
        <v>873</v>
      </c>
      <c r="B1326" s="477" t="s">
        <v>4694</v>
      </c>
      <c r="C1326" s="478"/>
      <c r="D1326" s="477"/>
      <c r="E1326" s="479">
        <v>93017383.290000007</v>
      </c>
      <c r="F1326" s="479">
        <v>93017383.290000007</v>
      </c>
      <c r="G1326" s="479">
        <v>78000000</v>
      </c>
      <c r="H1326" s="479">
        <v>67497336.609999999</v>
      </c>
      <c r="I1326" s="480">
        <v>72.56</v>
      </c>
    </row>
    <row r="1327" spans="1:9" ht="38.25" hidden="1" outlineLevel="4">
      <c r="A1327" s="832" t="s">
        <v>873</v>
      </c>
      <c r="B1327" s="482" t="s">
        <v>4694</v>
      </c>
      <c r="C1327" s="831" t="s">
        <v>4646</v>
      </c>
      <c r="D1327" s="482" t="s">
        <v>1702</v>
      </c>
      <c r="E1327" s="484">
        <v>93017383.290000007</v>
      </c>
      <c r="F1327" s="484">
        <v>93017383.290000007</v>
      </c>
      <c r="G1327" s="484">
        <v>78000000</v>
      </c>
      <c r="H1327" s="484">
        <v>67497336.609999999</v>
      </c>
      <c r="I1327" s="480">
        <v>72.56</v>
      </c>
    </row>
    <row r="1328" spans="1:9" ht="38.25" hidden="1" outlineLevel="3">
      <c r="A1328" s="833" t="s">
        <v>854</v>
      </c>
      <c r="B1328" s="477" t="s">
        <v>4695</v>
      </c>
      <c r="C1328" s="478"/>
      <c r="D1328" s="477"/>
      <c r="E1328" s="479">
        <v>2492094.81</v>
      </c>
      <c r="F1328" s="479">
        <v>2492094.81</v>
      </c>
      <c r="G1328" s="479">
        <v>1793109.65</v>
      </c>
      <c r="H1328" s="479">
        <v>1527817.15</v>
      </c>
      <c r="I1328" s="480">
        <v>61.31</v>
      </c>
    </row>
    <row r="1329" spans="1:9" ht="38.25" hidden="1" outlineLevel="4">
      <c r="A1329" s="832" t="s">
        <v>854</v>
      </c>
      <c r="B1329" s="482" t="s">
        <v>4695</v>
      </c>
      <c r="C1329" s="831" t="s">
        <v>4646</v>
      </c>
      <c r="D1329" s="482" t="s">
        <v>1702</v>
      </c>
      <c r="E1329" s="484">
        <v>2492094.81</v>
      </c>
      <c r="F1329" s="484">
        <v>2492094.81</v>
      </c>
      <c r="G1329" s="484">
        <v>1793109.65</v>
      </c>
      <c r="H1329" s="484">
        <v>1527817.15</v>
      </c>
      <c r="I1329" s="480">
        <v>61.31</v>
      </c>
    </row>
    <row r="1330" spans="1:9" ht="76.5" hidden="1" outlineLevel="3">
      <c r="A1330" s="833" t="s">
        <v>702</v>
      </c>
      <c r="B1330" s="477" t="s">
        <v>4696</v>
      </c>
      <c r="C1330" s="478"/>
      <c r="D1330" s="477"/>
      <c r="E1330" s="479">
        <v>194300039.91</v>
      </c>
      <c r="F1330" s="479">
        <v>193102146.53999999</v>
      </c>
      <c r="G1330" s="479">
        <v>154578898.78999999</v>
      </c>
      <c r="H1330" s="479">
        <v>135183823.93000001</v>
      </c>
      <c r="I1330" s="480">
        <v>69.569999999999993</v>
      </c>
    </row>
    <row r="1331" spans="1:9" ht="76.5" hidden="1" outlineLevel="4">
      <c r="A1331" s="832" t="s">
        <v>702</v>
      </c>
      <c r="B1331" s="482" t="s">
        <v>4696</v>
      </c>
      <c r="C1331" s="831" t="s">
        <v>4646</v>
      </c>
      <c r="D1331" s="482" t="s">
        <v>1702</v>
      </c>
      <c r="E1331" s="484">
        <v>194300039.91</v>
      </c>
      <c r="F1331" s="484">
        <v>193102146.53999999</v>
      </c>
      <c r="G1331" s="484">
        <v>154578898.78999999</v>
      </c>
      <c r="H1331" s="484">
        <v>135183823.93000001</v>
      </c>
      <c r="I1331" s="480">
        <v>69.569999999999993</v>
      </c>
    </row>
    <row r="1332" spans="1:9" ht="63.75" hidden="1" outlineLevel="3">
      <c r="A1332" s="833" t="s">
        <v>62</v>
      </c>
      <c r="B1332" s="477" t="s">
        <v>4697</v>
      </c>
      <c r="C1332" s="478"/>
      <c r="D1332" s="477"/>
      <c r="E1332" s="479">
        <v>3241125.2</v>
      </c>
      <c r="F1332" s="479">
        <v>3241125.2</v>
      </c>
      <c r="G1332" s="479">
        <v>1618175.7</v>
      </c>
      <c r="H1332" s="479">
        <v>1146929</v>
      </c>
      <c r="I1332" s="480">
        <v>35.39</v>
      </c>
    </row>
    <row r="1333" spans="1:9" ht="63.75" hidden="1" outlineLevel="4">
      <c r="A1333" s="832" t="s">
        <v>62</v>
      </c>
      <c r="B1333" s="482" t="s">
        <v>4697</v>
      </c>
      <c r="C1333" s="831" t="s">
        <v>4646</v>
      </c>
      <c r="D1333" s="482" t="s">
        <v>1702</v>
      </c>
      <c r="E1333" s="484">
        <v>3241125.2</v>
      </c>
      <c r="F1333" s="484">
        <v>3241125.2</v>
      </c>
      <c r="G1333" s="484">
        <v>1618175.7</v>
      </c>
      <c r="H1333" s="484">
        <v>1146929</v>
      </c>
      <c r="I1333" s="480">
        <v>35.39</v>
      </c>
    </row>
    <row r="1334" spans="1:9" hidden="1" outlineLevel="3">
      <c r="A1334" s="833" t="s">
        <v>2474</v>
      </c>
      <c r="B1334" s="477" t="s">
        <v>4698</v>
      </c>
      <c r="C1334" s="478"/>
      <c r="D1334" s="477"/>
      <c r="E1334" s="479">
        <v>10417258</v>
      </c>
      <c r="F1334" s="479">
        <v>10417258</v>
      </c>
      <c r="G1334" s="479">
        <v>10417258</v>
      </c>
      <c r="H1334" s="479">
        <v>10417258</v>
      </c>
      <c r="I1334" s="480">
        <v>100</v>
      </c>
    </row>
    <row r="1335" spans="1:9" ht="38.25" hidden="1" outlineLevel="4">
      <c r="A1335" s="832" t="s">
        <v>2474</v>
      </c>
      <c r="B1335" s="482" t="s">
        <v>4698</v>
      </c>
      <c r="C1335" s="831" t="s">
        <v>4646</v>
      </c>
      <c r="D1335" s="482" t="s">
        <v>1702</v>
      </c>
      <c r="E1335" s="484">
        <v>10417258</v>
      </c>
      <c r="F1335" s="484">
        <v>10417258</v>
      </c>
      <c r="G1335" s="484">
        <v>10417258</v>
      </c>
      <c r="H1335" s="484">
        <v>10417258</v>
      </c>
      <c r="I1335" s="480">
        <v>100</v>
      </c>
    </row>
    <row r="1336" spans="1:9" ht="38.25" hidden="1" outlineLevel="3">
      <c r="A1336" s="833" t="s">
        <v>4699</v>
      </c>
      <c r="B1336" s="477" t="s">
        <v>4700</v>
      </c>
      <c r="C1336" s="478"/>
      <c r="D1336" s="477"/>
      <c r="E1336" s="479">
        <v>23592897.510000002</v>
      </c>
      <c r="F1336" s="479">
        <v>23592897.510000002</v>
      </c>
      <c r="G1336" s="479">
        <v>23592897.510000002</v>
      </c>
      <c r="H1336" s="479">
        <v>23592897.510000002</v>
      </c>
      <c r="I1336" s="480">
        <v>100</v>
      </c>
    </row>
    <row r="1337" spans="1:9" ht="38.25" hidden="1" outlineLevel="4">
      <c r="A1337" s="832" t="s">
        <v>4699</v>
      </c>
      <c r="B1337" s="482" t="s">
        <v>4700</v>
      </c>
      <c r="C1337" s="831" t="s">
        <v>4646</v>
      </c>
      <c r="D1337" s="482" t="s">
        <v>1702</v>
      </c>
      <c r="E1337" s="484">
        <v>23592897.510000002</v>
      </c>
      <c r="F1337" s="484">
        <v>23592897.510000002</v>
      </c>
      <c r="G1337" s="484">
        <v>23592897.510000002</v>
      </c>
      <c r="H1337" s="484">
        <v>23592897.510000002</v>
      </c>
      <c r="I1337" s="480">
        <v>100</v>
      </c>
    </row>
    <row r="1338" spans="1:9" ht="76.5" hidden="1" outlineLevel="3">
      <c r="A1338" s="833" t="s">
        <v>1027</v>
      </c>
      <c r="B1338" s="477" t="s">
        <v>4701</v>
      </c>
      <c r="C1338" s="478"/>
      <c r="D1338" s="477"/>
      <c r="E1338" s="479">
        <v>120000</v>
      </c>
      <c r="F1338" s="479">
        <v>120000</v>
      </c>
      <c r="G1338" s="479">
        <v>19200</v>
      </c>
      <c r="H1338" s="479">
        <v>19200</v>
      </c>
      <c r="I1338" s="480">
        <v>16</v>
      </c>
    </row>
    <row r="1339" spans="1:9" ht="76.5" hidden="1" outlineLevel="4">
      <c r="A1339" s="832" t="s">
        <v>1027</v>
      </c>
      <c r="B1339" s="482" t="s">
        <v>4701</v>
      </c>
      <c r="C1339" s="831" t="s">
        <v>4646</v>
      </c>
      <c r="D1339" s="482" t="s">
        <v>1702</v>
      </c>
      <c r="E1339" s="484">
        <v>120000</v>
      </c>
      <c r="F1339" s="484">
        <v>120000</v>
      </c>
      <c r="G1339" s="484">
        <v>19200</v>
      </c>
      <c r="H1339" s="484">
        <v>19200</v>
      </c>
      <c r="I1339" s="480">
        <v>16</v>
      </c>
    </row>
    <row r="1340" spans="1:9" ht="25.5" hidden="1" outlineLevel="3">
      <c r="A1340" s="833" t="s">
        <v>713</v>
      </c>
      <c r="B1340" s="477" t="s">
        <v>4702</v>
      </c>
      <c r="C1340" s="478"/>
      <c r="D1340" s="477"/>
      <c r="E1340" s="479">
        <v>70590</v>
      </c>
      <c r="F1340" s="479">
        <v>70590</v>
      </c>
      <c r="G1340" s="479">
        <v>70590</v>
      </c>
      <c r="H1340" s="479">
        <v>70590</v>
      </c>
      <c r="I1340" s="480">
        <v>100</v>
      </c>
    </row>
    <row r="1341" spans="1:9" ht="38.25" hidden="1" outlineLevel="4">
      <c r="A1341" s="832" t="s">
        <v>713</v>
      </c>
      <c r="B1341" s="482" t="s">
        <v>4702</v>
      </c>
      <c r="C1341" s="831" t="s">
        <v>4646</v>
      </c>
      <c r="D1341" s="482" t="s">
        <v>1702</v>
      </c>
      <c r="E1341" s="484">
        <v>70590</v>
      </c>
      <c r="F1341" s="484">
        <v>70590</v>
      </c>
      <c r="G1341" s="484">
        <v>70590</v>
      </c>
      <c r="H1341" s="484">
        <v>70590</v>
      </c>
      <c r="I1341" s="480">
        <v>100</v>
      </c>
    </row>
    <row r="1342" spans="1:9" ht="25.5" hidden="1" outlineLevel="3">
      <c r="A1342" s="833" t="s">
        <v>1721</v>
      </c>
      <c r="B1342" s="477" t="s">
        <v>4703</v>
      </c>
      <c r="C1342" s="478"/>
      <c r="D1342" s="477"/>
      <c r="E1342" s="479">
        <v>151108400</v>
      </c>
      <c r="F1342" s="479">
        <v>151108400</v>
      </c>
      <c r="G1342" s="479">
        <v>99598280.739999995</v>
      </c>
      <c r="H1342" s="479">
        <v>95435393.090000004</v>
      </c>
      <c r="I1342" s="480">
        <v>63.16</v>
      </c>
    </row>
    <row r="1343" spans="1:9" ht="38.25" hidden="1" outlineLevel="4">
      <c r="A1343" s="832" t="s">
        <v>1721</v>
      </c>
      <c r="B1343" s="482" t="s">
        <v>4703</v>
      </c>
      <c r="C1343" s="831" t="s">
        <v>4646</v>
      </c>
      <c r="D1343" s="482" t="s">
        <v>1702</v>
      </c>
      <c r="E1343" s="484">
        <v>151108400</v>
      </c>
      <c r="F1343" s="484">
        <v>151108400</v>
      </c>
      <c r="G1343" s="484">
        <v>99598280.739999995</v>
      </c>
      <c r="H1343" s="484">
        <v>95435393.090000004</v>
      </c>
      <c r="I1343" s="480">
        <v>63.16</v>
      </c>
    </row>
    <row r="1344" spans="1:9" ht="38.25" hidden="1" outlineLevel="3">
      <c r="A1344" s="833" t="s">
        <v>4704</v>
      </c>
      <c r="B1344" s="477" t="s">
        <v>4705</v>
      </c>
      <c r="C1344" s="478"/>
      <c r="D1344" s="477"/>
      <c r="E1344" s="479">
        <v>100000</v>
      </c>
      <c r="F1344" s="479">
        <v>100000</v>
      </c>
      <c r="G1344" s="479">
        <v>100000</v>
      </c>
      <c r="H1344" s="479">
        <v>100000</v>
      </c>
      <c r="I1344" s="480">
        <v>100</v>
      </c>
    </row>
    <row r="1345" spans="1:9" ht="38.25" hidden="1" outlineLevel="4">
      <c r="A1345" s="832" t="s">
        <v>4704</v>
      </c>
      <c r="B1345" s="482" t="s">
        <v>4705</v>
      </c>
      <c r="C1345" s="831" t="s">
        <v>4646</v>
      </c>
      <c r="D1345" s="482" t="s">
        <v>1702</v>
      </c>
      <c r="E1345" s="484">
        <v>100000</v>
      </c>
      <c r="F1345" s="484">
        <v>100000</v>
      </c>
      <c r="G1345" s="484">
        <v>100000</v>
      </c>
      <c r="H1345" s="484">
        <v>100000</v>
      </c>
      <c r="I1345" s="480">
        <v>100</v>
      </c>
    </row>
    <row r="1346" spans="1:9" ht="38.25" hidden="1" outlineLevel="3">
      <c r="A1346" s="833" t="s">
        <v>4706</v>
      </c>
      <c r="B1346" s="477" t="s">
        <v>4707</v>
      </c>
      <c r="C1346" s="478"/>
      <c r="D1346" s="477"/>
      <c r="E1346" s="479">
        <v>10717608.43</v>
      </c>
      <c r="F1346" s="479">
        <v>10717608.43</v>
      </c>
      <c r="G1346" s="479">
        <v>7400146.0899999999</v>
      </c>
      <c r="H1346" s="479">
        <v>6898005.7599999998</v>
      </c>
      <c r="I1346" s="480">
        <v>64.36</v>
      </c>
    </row>
    <row r="1347" spans="1:9" ht="38.25" hidden="1" outlineLevel="4">
      <c r="A1347" s="832" t="s">
        <v>4706</v>
      </c>
      <c r="B1347" s="482" t="s">
        <v>4707</v>
      </c>
      <c r="C1347" s="831" t="s">
        <v>4646</v>
      </c>
      <c r="D1347" s="482" t="s">
        <v>1702</v>
      </c>
      <c r="E1347" s="484">
        <v>10717608.43</v>
      </c>
      <c r="F1347" s="484">
        <v>10717608.43</v>
      </c>
      <c r="G1347" s="484">
        <v>7400146.0899999999</v>
      </c>
      <c r="H1347" s="484">
        <v>6898005.7599999998</v>
      </c>
      <c r="I1347" s="480">
        <v>64.36</v>
      </c>
    </row>
    <row r="1348" spans="1:9" ht="25.5" hidden="1" outlineLevel="1">
      <c r="A1348" s="851" t="s">
        <v>1767</v>
      </c>
      <c r="B1348" s="467" t="s">
        <v>4708</v>
      </c>
      <c r="C1348" s="468"/>
      <c r="D1348" s="467"/>
      <c r="E1348" s="469">
        <v>914163871.91999996</v>
      </c>
      <c r="F1348" s="469">
        <v>910171334.98000002</v>
      </c>
      <c r="G1348" s="469">
        <v>190295170.66</v>
      </c>
      <c r="H1348" s="469">
        <v>154359824.47999999</v>
      </c>
      <c r="I1348" s="470">
        <v>16.89</v>
      </c>
    </row>
    <row r="1349" spans="1:9" ht="51" hidden="1" outlineLevel="2">
      <c r="A1349" s="850" t="s">
        <v>4709</v>
      </c>
      <c r="B1349" s="472" t="s">
        <v>4710</v>
      </c>
      <c r="C1349" s="473"/>
      <c r="D1349" s="472"/>
      <c r="E1349" s="474">
        <v>66791659.32</v>
      </c>
      <c r="F1349" s="474">
        <v>62799122.380000003</v>
      </c>
      <c r="G1349" s="474">
        <v>11630913.43</v>
      </c>
      <c r="H1349" s="474">
        <v>5297347.25</v>
      </c>
      <c r="I1349" s="475">
        <v>7.93</v>
      </c>
    </row>
    <row r="1350" spans="1:9" ht="38.25" hidden="1" outlineLevel="3">
      <c r="A1350" s="833" t="s">
        <v>1774</v>
      </c>
      <c r="B1350" s="477" t="s">
        <v>4711</v>
      </c>
      <c r="C1350" s="478"/>
      <c r="D1350" s="477"/>
      <c r="E1350" s="479">
        <v>66791659.32</v>
      </c>
      <c r="F1350" s="479">
        <v>62799122.380000003</v>
      </c>
      <c r="G1350" s="479">
        <v>11630913.43</v>
      </c>
      <c r="H1350" s="479">
        <v>5297347.25</v>
      </c>
      <c r="I1350" s="480">
        <v>7.93</v>
      </c>
    </row>
    <row r="1351" spans="1:9" ht="38.25" hidden="1" outlineLevel="4">
      <c r="A1351" s="832" t="s">
        <v>1774</v>
      </c>
      <c r="B1351" s="482" t="s">
        <v>4711</v>
      </c>
      <c r="C1351" s="831" t="s">
        <v>4646</v>
      </c>
      <c r="D1351" s="482" t="s">
        <v>1702</v>
      </c>
      <c r="E1351" s="484">
        <v>66791659.32</v>
      </c>
      <c r="F1351" s="484">
        <v>62799122.380000003</v>
      </c>
      <c r="G1351" s="484">
        <v>11630913.43</v>
      </c>
      <c r="H1351" s="484">
        <v>5297347.25</v>
      </c>
      <c r="I1351" s="480">
        <v>7.93</v>
      </c>
    </row>
    <row r="1352" spans="1:9" hidden="1" outlineLevel="2">
      <c r="A1352" s="850" t="s">
        <v>1779</v>
      </c>
      <c r="B1352" s="472" t="s">
        <v>4712</v>
      </c>
      <c r="C1352" s="473"/>
      <c r="D1352" s="472"/>
      <c r="E1352" s="474">
        <v>847372212.60000002</v>
      </c>
      <c r="F1352" s="474">
        <v>847372212.60000002</v>
      </c>
      <c r="G1352" s="474">
        <v>178664257.22999999</v>
      </c>
      <c r="H1352" s="474">
        <v>149062477.22999999</v>
      </c>
      <c r="I1352" s="475">
        <v>17.59</v>
      </c>
    </row>
    <row r="1353" spans="1:9" ht="63.75" hidden="1" outlineLevel="3">
      <c r="A1353" s="833" t="s">
        <v>4713</v>
      </c>
      <c r="B1353" s="477" t="s">
        <v>4714</v>
      </c>
      <c r="C1353" s="478"/>
      <c r="D1353" s="477"/>
      <c r="E1353" s="479">
        <v>384974800</v>
      </c>
      <c r="F1353" s="479">
        <v>384974800</v>
      </c>
      <c r="G1353" s="479">
        <v>0</v>
      </c>
      <c r="H1353" s="479">
        <v>0</v>
      </c>
      <c r="I1353" s="480">
        <v>0</v>
      </c>
    </row>
    <row r="1354" spans="1:9" ht="63.75" hidden="1" outlineLevel="4">
      <c r="A1354" s="832" t="s">
        <v>4713</v>
      </c>
      <c r="B1354" s="482" t="s">
        <v>4714</v>
      </c>
      <c r="C1354" s="831" t="s">
        <v>4646</v>
      </c>
      <c r="D1354" s="482" t="s">
        <v>1702</v>
      </c>
      <c r="E1354" s="484">
        <v>384974800</v>
      </c>
      <c r="F1354" s="484">
        <v>384974800</v>
      </c>
      <c r="G1354" s="484">
        <v>0</v>
      </c>
      <c r="H1354" s="484">
        <v>0</v>
      </c>
      <c r="I1354" s="480">
        <v>0</v>
      </c>
    </row>
    <row r="1355" spans="1:9" ht="102" hidden="1" outlineLevel="3">
      <c r="A1355" s="833" t="s">
        <v>4715</v>
      </c>
      <c r="B1355" s="477" t="s">
        <v>4716</v>
      </c>
      <c r="C1355" s="478"/>
      <c r="D1355" s="477"/>
      <c r="E1355" s="479">
        <v>271436530.5</v>
      </c>
      <c r="F1355" s="479">
        <v>271436530.5</v>
      </c>
      <c r="G1355" s="479">
        <v>115141154.69</v>
      </c>
      <c r="H1355" s="479">
        <v>85539374.689999998</v>
      </c>
      <c r="I1355" s="480">
        <v>31.51</v>
      </c>
    </row>
    <row r="1356" spans="1:9" ht="102" hidden="1" outlineLevel="4">
      <c r="A1356" s="832" t="s">
        <v>4715</v>
      </c>
      <c r="B1356" s="482" t="s">
        <v>4716</v>
      </c>
      <c r="C1356" s="831" t="s">
        <v>4646</v>
      </c>
      <c r="D1356" s="482" t="s">
        <v>1702</v>
      </c>
      <c r="E1356" s="484">
        <v>271436530.5</v>
      </c>
      <c r="F1356" s="484">
        <v>271436530.5</v>
      </c>
      <c r="G1356" s="484">
        <v>115141154.69</v>
      </c>
      <c r="H1356" s="484">
        <v>85539374.689999998</v>
      </c>
      <c r="I1356" s="480">
        <v>31.51</v>
      </c>
    </row>
    <row r="1357" spans="1:9" ht="89.25" hidden="1" outlineLevel="3">
      <c r="A1357" s="833" t="s">
        <v>4717</v>
      </c>
      <c r="B1357" s="477" t="s">
        <v>4718</v>
      </c>
      <c r="C1357" s="478"/>
      <c r="D1357" s="477"/>
      <c r="E1357" s="479">
        <v>190960882.09999999</v>
      </c>
      <c r="F1357" s="479">
        <v>190960882.09999999</v>
      </c>
      <c r="G1357" s="479">
        <v>63523102.539999999</v>
      </c>
      <c r="H1357" s="479">
        <v>63523102.539999999</v>
      </c>
      <c r="I1357" s="480">
        <v>33.26</v>
      </c>
    </row>
    <row r="1358" spans="1:9" ht="89.25" hidden="1" outlineLevel="4">
      <c r="A1358" s="832" t="s">
        <v>4717</v>
      </c>
      <c r="B1358" s="482" t="s">
        <v>4718</v>
      </c>
      <c r="C1358" s="831" t="s">
        <v>4646</v>
      </c>
      <c r="D1358" s="482" t="s">
        <v>1702</v>
      </c>
      <c r="E1358" s="484">
        <v>190960882.09999999</v>
      </c>
      <c r="F1358" s="484">
        <v>190960882.09999999</v>
      </c>
      <c r="G1358" s="484">
        <v>63523102.539999999</v>
      </c>
      <c r="H1358" s="484">
        <v>63523102.539999999</v>
      </c>
      <c r="I1358" s="480">
        <v>33.26</v>
      </c>
    </row>
    <row r="1359" spans="1:9" ht="51" hidden="1" outlineLevel="1">
      <c r="A1359" s="851" t="s">
        <v>1783</v>
      </c>
      <c r="B1359" s="467" t="s">
        <v>4719</v>
      </c>
      <c r="C1359" s="468"/>
      <c r="D1359" s="467"/>
      <c r="E1359" s="469">
        <v>10895350</v>
      </c>
      <c r="F1359" s="469">
        <v>10895350</v>
      </c>
      <c r="G1359" s="469">
        <v>9169420.1699999999</v>
      </c>
      <c r="H1359" s="469">
        <v>9169420.1699999999</v>
      </c>
      <c r="I1359" s="470">
        <v>84.16</v>
      </c>
    </row>
    <row r="1360" spans="1:9" ht="51" hidden="1" outlineLevel="2">
      <c r="A1360" s="850" t="s">
        <v>1785</v>
      </c>
      <c r="B1360" s="472" t="s">
        <v>4720</v>
      </c>
      <c r="C1360" s="473"/>
      <c r="D1360" s="472"/>
      <c r="E1360" s="474">
        <v>3112903</v>
      </c>
      <c r="F1360" s="474">
        <v>3112903</v>
      </c>
      <c r="G1360" s="474">
        <v>2057212.17</v>
      </c>
      <c r="H1360" s="474">
        <v>2057212.17</v>
      </c>
      <c r="I1360" s="475">
        <v>66.09</v>
      </c>
    </row>
    <row r="1361" spans="1:9" ht="25.5" hidden="1" outlineLevel="3">
      <c r="A1361" s="833" t="s">
        <v>713</v>
      </c>
      <c r="B1361" s="477" t="s">
        <v>4721</v>
      </c>
      <c r="C1361" s="478"/>
      <c r="D1361" s="477"/>
      <c r="E1361" s="479">
        <v>2539947</v>
      </c>
      <c r="F1361" s="479">
        <v>2539947</v>
      </c>
      <c r="G1361" s="479">
        <v>1537156.17</v>
      </c>
      <c r="H1361" s="479">
        <v>1537156.17</v>
      </c>
      <c r="I1361" s="480">
        <v>60.52</v>
      </c>
    </row>
    <row r="1362" spans="1:9" ht="38.25" hidden="1" outlineLevel="4">
      <c r="A1362" s="832" t="s">
        <v>713</v>
      </c>
      <c r="B1362" s="482" t="s">
        <v>4721</v>
      </c>
      <c r="C1362" s="831" t="s">
        <v>4646</v>
      </c>
      <c r="D1362" s="482" t="s">
        <v>1702</v>
      </c>
      <c r="E1362" s="484">
        <v>2539947</v>
      </c>
      <c r="F1362" s="484">
        <v>2539947</v>
      </c>
      <c r="G1362" s="484">
        <v>1537156.17</v>
      </c>
      <c r="H1362" s="484">
        <v>1537156.17</v>
      </c>
      <c r="I1362" s="480">
        <v>60.52</v>
      </c>
    </row>
    <row r="1363" spans="1:9" ht="51" hidden="1" outlineLevel="3">
      <c r="A1363" s="833" t="s">
        <v>4624</v>
      </c>
      <c r="B1363" s="477" t="s">
        <v>4722</v>
      </c>
      <c r="C1363" s="478"/>
      <c r="D1363" s="477"/>
      <c r="E1363" s="479">
        <v>520056</v>
      </c>
      <c r="F1363" s="479">
        <v>520056</v>
      </c>
      <c r="G1363" s="479">
        <v>520056</v>
      </c>
      <c r="H1363" s="479">
        <v>520056</v>
      </c>
      <c r="I1363" s="480">
        <v>100</v>
      </c>
    </row>
    <row r="1364" spans="1:9" ht="51" hidden="1" outlineLevel="4">
      <c r="A1364" s="832" t="s">
        <v>4624</v>
      </c>
      <c r="B1364" s="482" t="s">
        <v>4722</v>
      </c>
      <c r="C1364" s="831" t="s">
        <v>4646</v>
      </c>
      <c r="D1364" s="482" t="s">
        <v>1702</v>
      </c>
      <c r="E1364" s="484">
        <v>520056</v>
      </c>
      <c r="F1364" s="484">
        <v>520056</v>
      </c>
      <c r="G1364" s="484">
        <v>520056</v>
      </c>
      <c r="H1364" s="484">
        <v>520056</v>
      </c>
      <c r="I1364" s="480">
        <v>100</v>
      </c>
    </row>
    <row r="1365" spans="1:9" ht="63.75" hidden="1" outlineLevel="3">
      <c r="A1365" s="833" t="s">
        <v>4723</v>
      </c>
      <c r="B1365" s="477" t="s">
        <v>4724</v>
      </c>
      <c r="C1365" s="478"/>
      <c r="D1365" s="477"/>
      <c r="E1365" s="479">
        <v>52900</v>
      </c>
      <c r="F1365" s="479">
        <v>52900</v>
      </c>
      <c r="G1365" s="479">
        <v>0</v>
      </c>
      <c r="H1365" s="479">
        <v>0</v>
      </c>
      <c r="I1365" s="480">
        <v>0</v>
      </c>
    </row>
    <row r="1366" spans="1:9" ht="63.75" hidden="1" outlineLevel="4">
      <c r="A1366" s="832" t="s">
        <v>4723</v>
      </c>
      <c r="B1366" s="482" t="s">
        <v>4724</v>
      </c>
      <c r="C1366" s="831" t="s">
        <v>4646</v>
      </c>
      <c r="D1366" s="482" t="s">
        <v>1702</v>
      </c>
      <c r="E1366" s="484">
        <v>52900</v>
      </c>
      <c r="F1366" s="484">
        <v>52900</v>
      </c>
      <c r="G1366" s="484">
        <v>0</v>
      </c>
      <c r="H1366" s="484">
        <v>0</v>
      </c>
      <c r="I1366" s="480">
        <v>0</v>
      </c>
    </row>
    <row r="1367" spans="1:9" ht="63.75" hidden="1" outlineLevel="2">
      <c r="A1367" s="850" t="s">
        <v>1790</v>
      </c>
      <c r="B1367" s="472" t="s">
        <v>4725</v>
      </c>
      <c r="C1367" s="473"/>
      <c r="D1367" s="472"/>
      <c r="E1367" s="474">
        <v>3054271</v>
      </c>
      <c r="F1367" s="474">
        <v>3054271</v>
      </c>
      <c r="G1367" s="474">
        <v>2384032</v>
      </c>
      <c r="H1367" s="474">
        <v>2384032</v>
      </c>
      <c r="I1367" s="475">
        <v>78.06</v>
      </c>
    </row>
    <row r="1368" spans="1:9" ht="25.5" hidden="1" outlineLevel="3">
      <c r="A1368" s="833" t="s">
        <v>713</v>
      </c>
      <c r="B1368" s="477" t="s">
        <v>4726</v>
      </c>
      <c r="C1368" s="478"/>
      <c r="D1368" s="477"/>
      <c r="E1368" s="479">
        <v>1891979.43</v>
      </c>
      <c r="F1368" s="479">
        <v>1891979.43</v>
      </c>
      <c r="G1368" s="479">
        <v>1830666</v>
      </c>
      <c r="H1368" s="479">
        <v>1830666</v>
      </c>
      <c r="I1368" s="480">
        <v>96.76</v>
      </c>
    </row>
    <row r="1369" spans="1:9" ht="38.25" hidden="1" outlineLevel="4">
      <c r="A1369" s="832" t="s">
        <v>713</v>
      </c>
      <c r="B1369" s="482" t="s">
        <v>4726</v>
      </c>
      <c r="C1369" s="831" t="s">
        <v>4646</v>
      </c>
      <c r="D1369" s="482" t="s">
        <v>1702</v>
      </c>
      <c r="E1369" s="484">
        <v>1891979.43</v>
      </c>
      <c r="F1369" s="484">
        <v>1891979.43</v>
      </c>
      <c r="G1369" s="484">
        <v>1830666</v>
      </c>
      <c r="H1369" s="484">
        <v>1830666</v>
      </c>
      <c r="I1369" s="480">
        <v>96.76</v>
      </c>
    </row>
    <row r="1370" spans="1:9" ht="38.25" hidden="1" outlineLevel="3">
      <c r="A1370" s="833" t="s">
        <v>4706</v>
      </c>
      <c r="B1370" s="477" t="s">
        <v>4727</v>
      </c>
      <c r="C1370" s="478"/>
      <c r="D1370" s="477"/>
      <c r="E1370" s="479">
        <v>1162291.57</v>
      </c>
      <c r="F1370" s="479">
        <v>1162291.57</v>
      </c>
      <c r="G1370" s="479">
        <v>553366</v>
      </c>
      <c r="H1370" s="479">
        <v>553366</v>
      </c>
      <c r="I1370" s="480">
        <v>47.61</v>
      </c>
    </row>
    <row r="1371" spans="1:9" ht="38.25" hidden="1" outlineLevel="4">
      <c r="A1371" s="832" t="s">
        <v>4706</v>
      </c>
      <c r="B1371" s="482" t="s">
        <v>4727</v>
      </c>
      <c r="C1371" s="831" t="s">
        <v>4646</v>
      </c>
      <c r="D1371" s="482" t="s">
        <v>1702</v>
      </c>
      <c r="E1371" s="484">
        <v>1162291.57</v>
      </c>
      <c r="F1371" s="484">
        <v>1162291.57</v>
      </c>
      <c r="G1371" s="484">
        <v>553366</v>
      </c>
      <c r="H1371" s="484">
        <v>553366</v>
      </c>
      <c r="I1371" s="480">
        <v>47.61</v>
      </c>
    </row>
    <row r="1372" spans="1:9" ht="51" hidden="1" outlineLevel="2">
      <c r="A1372" s="850" t="s">
        <v>4728</v>
      </c>
      <c r="B1372" s="472" t="s">
        <v>4729</v>
      </c>
      <c r="C1372" s="473"/>
      <c r="D1372" s="472"/>
      <c r="E1372" s="474">
        <v>4728176</v>
      </c>
      <c r="F1372" s="474">
        <v>4728176</v>
      </c>
      <c r="G1372" s="474">
        <v>4728176</v>
      </c>
      <c r="H1372" s="474">
        <v>4728176</v>
      </c>
      <c r="I1372" s="475">
        <v>100</v>
      </c>
    </row>
    <row r="1373" spans="1:9" ht="51" hidden="1" outlineLevel="3">
      <c r="A1373" s="833" t="s">
        <v>4624</v>
      </c>
      <c r="B1373" s="477" t="s">
        <v>4730</v>
      </c>
      <c r="C1373" s="478"/>
      <c r="D1373" s="477"/>
      <c r="E1373" s="479">
        <v>4728176</v>
      </c>
      <c r="F1373" s="479">
        <v>4728176</v>
      </c>
      <c r="G1373" s="479">
        <v>4728176</v>
      </c>
      <c r="H1373" s="479">
        <v>4728176</v>
      </c>
      <c r="I1373" s="480">
        <v>100</v>
      </c>
    </row>
    <row r="1374" spans="1:9" ht="51" hidden="1" outlineLevel="4">
      <c r="A1374" s="832" t="s">
        <v>4624</v>
      </c>
      <c r="B1374" s="482" t="s">
        <v>4730</v>
      </c>
      <c r="C1374" s="831" t="s">
        <v>4646</v>
      </c>
      <c r="D1374" s="482" t="s">
        <v>1702</v>
      </c>
      <c r="E1374" s="484">
        <v>4728176</v>
      </c>
      <c r="F1374" s="484">
        <v>4728176</v>
      </c>
      <c r="G1374" s="484">
        <v>4728176</v>
      </c>
      <c r="H1374" s="484">
        <v>4728176</v>
      </c>
      <c r="I1374" s="480">
        <v>100</v>
      </c>
    </row>
    <row r="1375" spans="1:9" ht="30.75" collapsed="1" thickBot="1">
      <c r="A1375" s="854" t="s">
        <v>4731</v>
      </c>
      <c r="B1375" s="853" t="s">
        <v>4732</v>
      </c>
      <c r="C1375" s="463"/>
      <c r="D1375" s="853"/>
      <c r="E1375" s="852">
        <v>1270743996.25</v>
      </c>
      <c r="F1375" s="852">
        <v>1259145188.7</v>
      </c>
      <c r="G1375" s="852">
        <v>888748010.78999996</v>
      </c>
      <c r="H1375" s="852">
        <v>847169709.22000003</v>
      </c>
      <c r="I1375" s="465">
        <v>66.67</v>
      </c>
    </row>
    <row r="1376" spans="1:9" ht="25.5" hidden="1" outlineLevel="1">
      <c r="A1376" s="851" t="s">
        <v>1796</v>
      </c>
      <c r="B1376" s="467" t="s">
        <v>4733</v>
      </c>
      <c r="C1376" s="468"/>
      <c r="D1376" s="467"/>
      <c r="E1376" s="469">
        <v>702143201.23000002</v>
      </c>
      <c r="F1376" s="469">
        <v>700143201.23000002</v>
      </c>
      <c r="G1376" s="469">
        <v>591195987.72000003</v>
      </c>
      <c r="H1376" s="469">
        <v>552767990.75999999</v>
      </c>
      <c r="I1376" s="470">
        <v>78.73</v>
      </c>
    </row>
    <row r="1377" spans="1:9" ht="38.25" hidden="1" outlineLevel="2">
      <c r="A1377" s="850" t="s">
        <v>1798</v>
      </c>
      <c r="B1377" s="472" t="s">
        <v>4734</v>
      </c>
      <c r="C1377" s="473"/>
      <c r="D1377" s="472"/>
      <c r="E1377" s="474">
        <v>82400000</v>
      </c>
      <c r="F1377" s="474">
        <v>80400000</v>
      </c>
      <c r="G1377" s="474">
        <v>76950360</v>
      </c>
      <c r="H1377" s="474">
        <v>76266980</v>
      </c>
      <c r="I1377" s="475">
        <v>92.56</v>
      </c>
    </row>
    <row r="1378" spans="1:9" ht="76.5" hidden="1" outlineLevel="3">
      <c r="A1378" s="833" t="s">
        <v>4735</v>
      </c>
      <c r="B1378" s="477" t="s">
        <v>4736</v>
      </c>
      <c r="C1378" s="478"/>
      <c r="D1378" s="477"/>
      <c r="E1378" s="479">
        <v>70000000</v>
      </c>
      <c r="F1378" s="479">
        <v>70000000</v>
      </c>
      <c r="G1378" s="479">
        <v>66550360</v>
      </c>
      <c r="H1378" s="479">
        <v>65866980</v>
      </c>
      <c r="I1378" s="480">
        <v>94.1</v>
      </c>
    </row>
    <row r="1379" spans="1:9" ht="76.5" hidden="1" outlineLevel="4">
      <c r="A1379" s="832" t="s">
        <v>4735</v>
      </c>
      <c r="B1379" s="482" t="s">
        <v>4736</v>
      </c>
      <c r="C1379" s="831" t="s">
        <v>4646</v>
      </c>
      <c r="D1379" s="482" t="s">
        <v>1702</v>
      </c>
      <c r="E1379" s="484">
        <v>70000000</v>
      </c>
      <c r="F1379" s="484">
        <v>70000000</v>
      </c>
      <c r="G1379" s="484">
        <v>66550360</v>
      </c>
      <c r="H1379" s="484">
        <v>65866980</v>
      </c>
      <c r="I1379" s="480">
        <v>94.1</v>
      </c>
    </row>
    <row r="1380" spans="1:9" ht="76.5" hidden="1" outlineLevel="3">
      <c r="A1380" s="833" t="s">
        <v>1800</v>
      </c>
      <c r="B1380" s="477" t="s">
        <v>4737</v>
      </c>
      <c r="C1380" s="478"/>
      <c r="D1380" s="477"/>
      <c r="E1380" s="479">
        <v>2000000</v>
      </c>
      <c r="F1380" s="479">
        <v>0</v>
      </c>
      <c r="G1380" s="479">
        <v>0</v>
      </c>
      <c r="H1380" s="479">
        <v>0</v>
      </c>
      <c r="I1380" s="480">
        <v>0</v>
      </c>
    </row>
    <row r="1381" spans="1:9" ht="76.5" hidden="1" outlineLevel="4">
      <c r="A1381" s="832" t="s">
        <v>1800</v>
      </c>
      <c r="B1381" s="482" t="s">
        <v>4737</v>
      </c>
      <c r="C1381" s="831" t="s">
        <v>4646</v>
      </c>
      <c r="D1381" s="482" t="s">
        <v>1702</v>
      </c>
      <c r="E1381" s="484">
        <v>2000000</v>
      </c>
      <c r="F1381" s="484">
        <v>0</v>
      </c>
      <c r="G1381" s="484">
        <v>0</v>
      </c>
      <c r="H1381" s="484">
        <v>0</v>
      </c>
      <c r="I1381" s="480">
        <v>0</v>
      </c>
    </row>
    <row r="1382" spans="1:9" ht="51" hidden="1" outlineLevel="3">
      <c r="A1382" s="833" t="s">
        <v>1804</v>
      </c>
      <c r="B1382" s="477" t="s">
        <v>4738</v>
      </c>
      <c r="C1382" s="478"/>
      <c r="D1382" s="477"/>
      <c r="E1382" s="479">
        <v>10400000</v>
      </c>
      <c r="F1382" s="479">
        <v>10400000</v>
      </c>
      <c r="G1382" s="479">
        <v>10400000</v>
      </c>
      <c r="H1382" s="479">
        <v>10400000</v>
      </c>
      <c r="I1382" s="480">
        <v>100</v>
      </c>
    </row>
    <row r="1383" spans="1:9" ht="51" hidden="1" outlineLevel="4">
      <c r="A1383" s="832" t="s">
        <v>1804</v>
      </c>
      <c r="B1383" s="482" t="s">
        <v>4738</v>
      </c>
      <c r="C1383" s="831" t="s">
        <v>4646</v>
      </c>
      <c r="D1383" s="482" t="s">
        <v>1702</v>
      </c>
      <c r="E1383" s="484">
        <v>10400000</v>
      </c>
      <c r="F1383" s="484">
        <v>10400000</v>
      </c>
      <c r="G1383" s="484">
        <v>10400000</v>
      </c>
      <c r="H1383" s="484">
        <v>10400000</v>
      </c>
      <c r="I1383" s="480">
        <v>100</v>
      </c>
    </row>
    <row r="1384" spans="1:9" ht="25.5" hidden="1" outlineLevel="2">
      <c r="A1384" s="850" t="s">
        <v>1806</v>
      </c>
      <c r="B1384" s="472" t="s">
        <v>4739</v>
      </c>
      <c r="C1384" s="473"/>
      <c r="D1384" s="472"/>
      <c r="E1384" s="474">
        <v>6845070.4199999999</v>
      </c>
      <c r="F1384" s="474">
        <v>6845070.4199999999</v>
      </c>
      <c r="G1384" s="474">
        <v>5008369.09</v>
      </c>
      <c r="H1384" s="474">
        <v>5008369.09</v>
      </c>
      <c r="I1384" s="475">
        <v>73.17</v>
      </c>
    </row>
    <row r="1385" spans="1:9" ht="114.75" hidden="1" outlineLevel="3">
      <c r="A1385" s="833" t="s">
        <v>4740</v>
      </c>
      <c r="B1385" s="477" t="s">
        <v>4741</v>
      </c>
      <c r="C1385" s="478"/>
      <c r="D1385" s="477"/>
      <c r="E1385" s="479">
        <v>6845070.4199999999</v>
      </c>
      <c r="F1385" s="479">
        <v>6845070.4199999999</v>
      </c>
      <c r="G1385" s="479">
        <v>5008369.09</v>
      </c>
      <c r="H1385" s="479">
        <v>5008369.09</v>
      </c>
      <c r="I1385" s="480">
        <v>73.17</v>
      </c>
    </row>
    <row r="1386" spans="1:9" ht="114.75" hidden="1" outlineLevel="4">
      <c r="A1386" s="832" t="s">
        <v>4740</v>
      </c>
      <c r="B1386" s="482" t="s">
        <v>4741</v>
      </c>
      <c r="C1386" s="831" t="s">
        <v>4646</v>
      </c>
      <c r="D1386" s="482" t="s">
        <v>1702</v>
      </c>
      <c r="E1386" s="484">
        <v>6845070.4199999999</v>
      </c>
      <c r="F1386" s="484">
        <v>6845070.4199999999</v>
      </c>
      <c r="G1386" s="484">
        <v>5008369.09</v>
      </c>
      <c r="H1386" s="484">
        <v>5008369.09</v>
      </c>
      <c r="I1386" s="480">
        <v>73.17</v>
      </c>
    </row>
    <row r="1387" spans="1:9" ht="38.25" hidden="1" outlineLevel="2">
      <c r="A1387" s="850" t="s">
        <v>1810</v>
      </c>
      <c r="B1387" s="472" t="s">
        <v>4742</v>
      </c>
      <c r="C1387" s="473"/>
      <c r="D1387" s="472"/>
      <c r="E1387" s="474">
        <v>524239980.50999999</v>
      </c>
      <c r="F1387" s="474">
        <v>524239980.50999999</v>
      </c>
      <c r="G1387" s="474">
        <v>436248200.94</v>
      </c>
      <c r="H1387" s="474">
        <v>403699265.5</v>
      </c>
      <c r="I1387" s="475">
        <v>77.010000000000005</v>
      </c>
    </row>
    <row r="1388" spans="1:9" ht="76.5" hidden="1" outlineLevel="3">
      <c r="A1388" s="833" t="s">
        <v>4743</v>
      </c>
      <c r="B1388" s="477" t="s">
        <v>4744</v>
      </c>
      <c r="C1388" s="478"/>
      <c r="D1388" s="477"/>
      <c r="E1388" s="479">
        <v>50286000</v>
      </c>
      <c r="F1388" s="479">
        <v>50286000</v>
      </c>
      <c r="G1388" s="479">
        <v>50286000</v>
      </c>
      <c r="H1388" s="479">
        <v>50286000</v>
      </c>
      <c r="I1388" s="480">
        <v>100</v>
      </c>
    </row>
    <row r="1389" spans="1:9" ht="76.5" hidden="1" outlineLevel="4">
      <c r="A1389" s="832" t="s">
        <v>4743</v>
      </c>
      <c r="B1389" s="482" t="s">
        <v>4744</v>
      </c>
      <c r="C1389" s="831" t="s">
        <v>4646</v>
      </c>
      <c r="D1389" s="482" t="s">
        <v>1702</v>
      </c>
      <c r="E1389" s="484">
        <v>50286000</v>
      </c>
      <c r="F1389" s="484">
        <v>50286000</v>
      </c>
      <c r="G1389" s="484">
        <v>50286000</v>
      </c>
      <c r="H1389" s="484">
        <v>50286000</v>
      </c>
      <c r="I1389" s="480">
        <v>100</v>
      </c>
    </row>
    <row r="1390" spans="1:9" ht="63.75" hidden="1" outlineLevel="3">
      <c r="A1390" s="833" t="s">
        <v>4745</v>
      </c>
      <c r="B1390" s="477" t="s">
        <v>4746</v>
      </c>
      <c r="C1390" s="478"/>
      <c r="D1390" s="477"/>
      <c r="E1390" s="479">
        <v>71498816.549999997</v>
      </c>
      <c r="F1390" s="479">
        <v>71498816.549999997</v>
      </c>
      <c r="G1390" s="479">
        <v>52862200.939999998</v>
      </c>
      <c r="H1390" s="479">
        <v>48183149.469999999</v>
      </c>
      <c r="I1390" s="480">
        <v>67.39</v>
      </c>
    </row>
    <row r="1391" spans="1:9" ht="63.75" hidden="1" outlineLevel="4">
      <c r="A1391" s="832" t="s">
        <v>4745</v>
      </c>
      <c r="B1391" s="482" t="s">
        <v>4746</v>
      </c>
      <c r="C1391" s="831" t="s">
        <v>4646</v>
      </c>
      <c r="D1391" s="482" t="s">
        <v>1702</v>
      </c>
      <c r="E1391" s="484">
        <v>71498816.549999997</v>
      </c>
      <c r="F1391" s="484">
        <v>71498816.549999997</v>
      </c>
      <c r="G1391" s="484">
        <v>52862200.939999998</v>
      </c>
      <c r="H1391" s="484">
        <v>48183149.469999999</v>
      </c>
      <c r="I1391" s="480">
        <v>67.39</v>
      </c>
    </row>
    <row r="1392" spans="1:9" ht="63.75" hidden="1" outlineLevel="3">
      <c r="A1392" s="833" t="s">
        <v>4747</v>
      </c>
      <c r="B1392" s="477" t="s">
        <v>4748</v>
      </c>
      <c r="C1392" s="478"/>
      <c r="D1392" s="477"/>
      <c r="E1392" s="479">
        <v>700000</v>
      </c>
      <c r="F1392" s="479">
        <v>700000</v>
      </c>
      <c r="G1392" s="479">
        <v>700000</v>
      </c>
      <c r="H1392" s="479">
        <v>490875</v>
      </c>
      <c r="I1392" s="480">
        <v>70.13</v>
      </c>
    </row>
    <row r="1393" spans="1:9" ht="63.75" hidden="1" outlineLevel="4">
      <c r="A1393" s="832" t="s">
        <v>4747</v>
      </c>
      <c r="B1393" s="482" t="s">
        <v>4748</v>
      </c>
      <c r="C1393" s="831" t="s">
        <v>4646</v>
      </c>
      <c r="D1393" s="482" t="s">
        <v>1702</v>
      </c>
      <c r="E1393" s="484">
        <v>700000</v>
      </c>
      <c r="F1393" s="484">
        <v>700000</v>
      </c>
      <c r="G1393" s="484">
        <v>700000</v>
      </c>
      <c r="H1393" s="484">
        <v>490875</v>
      </c>
      <c r="I1393" s="480">
        <v>70.13</v>
      </c>
    </row>
    <row r="1394" spans="1:9" ht="89.25" hidden="1" outlineLevel="3">
      <c r="A1394" s="833" t="s">
        <v>4749</v>
      </c>
      <c r="B1394" s="477" t="s">
        <v>4750</v>
      </c>
      <c r="C1394" s="478"/>
      <c r="D1394" s="477"/>
      <c r="E1394" s="479">
        <v>389169811.85000002</v>
      </c>
      <c r="F1394" s="479">
        <v>389169811.85000002</v>
      </c>
      <c r="G1394" s="479">
        <v>330400000</v>
      </c>
      <c r="H1394" s="479">
        <v>302850132.93000001</v>
      </c>
      <c r="I1394" s="480">
        <v>77.819999999999993</v>
      </c>
    </row>
    <row r="1395" spans="1:9" ht="89.25" hidden="1" outlineLevel="4">
      <c r="A1395" s="832" t="s">
        <v>4749</v>
      </c>
      <c r="B1395" s="482" t="s">
        <v>4750</v>
      </c>
      <c r="C1395" s="831" t="s">
        <v>4646</v>
      </c>
      <c r="D1395" s="482" t="s">
        <v>1702</v>
      </c>
      <c r="E1395" s="484">
        <v>389169811.85000002</v>
      </c>
      <c r="F1395" s="484">
        <v>389169811.85000002</v>
      </c>
      <c r="G1395" s="484">
        <v>330400000</v>
      </c>
      <c r="H1395" s="484">
        <v>302850132.93000001</v>
      </c>
      <c r="I1395" s="480">
        <v>77.819999999999993</v>
      </c>
    </row>
    <row r="1396" spans="1:9" hidden="1" outlineLevel="3">
      <c r="A1396" s="833" t="s">
        <v>4751</v>
      </c>
      <c r="B1396" s="477" t="s">
        <v>4752</v>
      </c>
      <c r="C1396" s="478"/>
      <c r="D1396" s="477"/>
      <c r="E1396" s="479">
        <v>2000000</v>
      </c>
      <c r="F1396" s="479">
        <v>2000000</v>
      </c>
      <c r="G1396" s="479">
        <v>2000000</v>
      </c>
      <c r="H1396" s="479">
        <v>1889108.1</v>
      </c>
      <c r="I1396" s="480">
        <v>94.46</v>
      </c>
    </row>
    <row r="1397" spans="1:9" ht="38.25" hidden="1" outlineLevel="4">
      <c r="A1397" s="832" t="s">
        <v>4751</v>
      </c>
      <c r="B1397" s="482" t="s">
        <v>4752</v>
      </c>
      <c r="C1397" s="831" t="s">
        <v>4646</v>
      </c>
      <c r="D1397" s="482" t="s">
        <v>1702</v>
      </c>
      <c r="E1397" s="484">
        <v>2000000</v>
      </c>
      <c r="F1397" s="484">
        <v>2000000</v>
      </c>
      <c r="G1397" s="484">
        <v>2000000</v>
      </c>
      <c r="H1397" s="484">
        <v>1889108.1</v>
      </c>
      <c r="I1397" s="480">
        <v>94.46</v>
      </c>
    </row>
    <row r="1398" spans="1:9" ht="114.75" hidden="1" outlineLevel="3">
      <c r="A1398" s="833" t="s">
        <v>4753</v>
      </c>
      <c r="B1398" s="477" t="s">
        <v>4754</v>
      </c>
      <c r="C1398" s="478"/>
      <c r="D1398" s="477"/>
      <c r="E1398" s="479">
        <v>10585352.109999999</v>
      </c>
      <c r="F1398" s="479">
        <v>10585352.109999999</v>
      </c>
      <c r="G1398" s="479">
        <v>0</v>
      </c>
      <c r="H1398" s="479">
        <v>0</v>
      </c>
      <c r="I1398" s="480">
        <v>0</v>
      </c>
    </row>
    <row r="1399" spans="1:9" ht="114.75" hidden="1" outlineLevel="4">
      <c r="A1399" s="832" t="s">
        <v>4753</v>
      </c>
      <c r="B1399" s="482" t="s">
        <v>4754</v>
      </c>
      <c r="C1399" s="831" t="s">
        <v>4646</v>
      </c>
      <c r="D1399" s="482" t="s">
        <v>1702</v>
      </c>
      <c r="E1399" s="484">
        <v>10585352.109999999</v>
      </c>
      <c r="F1399" s="484">
        <v>10585352.109999999</v>
      </c>
      <c r="G1399" s="484">
        <v>0</v>
      </c>
      <c r="H1399" s="484">
        <v>0</v>
      </c>
      <c r="I1399" s="480">
        <v>0</v>
      </c>
    </row>
    <row r="1400" spans="1:9" ht="25.5" hidden="1" outlineLevel="2">
      <c r="A1400" s="850" t="s">
        <v>1819</v>
      </c>
      <c r="B1400" s="472" t="s">
        <v>4755</v>
      </c>
      <c r="C1400" s="473"/>
      <c r="D1400" s="472"/>
      <c r="E1400" s="474">
        <v>34084092.600000001</v>
      </c>
      <c r="F1400" s="474">
        <v>34084092.600000001</v>
      </c>
      <c r="G1400" s="474">
        <v>24800000</v>
      </c>
      <c r="H1400" s="474">
        <v>19604318.48</v>
      </c>
      <c r="I1400" s="475">
        <v>57.52</v>
      </c>
    </row>
    <row r="1401" spans="1:9" ht="63.75" hidden="1" outlineLevel="3">
      <c r="A1401" s="833" t="s">
        <v>4756</v>
      </c>
      <c r="B1401" s="477" t="s">
        <v>4757</v>
      </c>
      <c r="C1401" s="478"/>
      <c r="D1401" s="477"/>
      <c r="E1401" s="479">
        <v>32084092.600000001</v>
      </c>
      <c r="F1401" s="479">
        <v>32084092.600000001</v>
      </c>
      <c r="G1401" s="479">
        <v>24000000</v>
      </c>
      <c r="H1401" s="479">
        <v>19263688.48</v>
      </c>
      <c r="I1401" s="480">
        <v>60.04</v>
      </c>
    </row>
    <row r="1402" spans="1:9" ht="63.75" hidden="1" outlineLevel="4">
      <c r="A1402" s="832" t="s">
        <v>4756</v>
      </c>
      <c r="B1402" s="482" t="s">
        <v>4757</v>
      </c>
      <c r="C1402" s="831" t="s">
        <v>4646</v>
      </c>
      <c r="D1402" s="482" t="s">
        <v>1702</v>
      </c>
      <c r="E1402" s="484">
        <v>32084092.600000001</v>
      </c>
      <c r="F1402" s="484">
        <v>32084092.600000001</v>
      </c>
      <c r="G1402" s="484">
        <v>24000000</v>
      </c>
      <c r="H1402" s="484">
        <v>19263688.48</v>
      </c>
      <c r="I1402" s="480">
        <v>60.04</v>
      </c>
    </row>
    <row r="1403" spans="1:9" ht="38.25" hidden="1" outlineLevel="3">
      <c r="A1403" s="833" t="s">
        <v>4758</v>
      </c>
      <c r="B1403" s="477" t="s">
        <v>4759</v>
      </c>
      <c r="C1403" s="478"/>
      <c r="D1403" s="477"/>
      <c r="E1403" s="479">
        <v>2000000</v>
      </c>
      <c r="F1403" s="479">
        <v>2000000</v>
      </c>
      <c r="G1403" s="479">
        <v>800000</v>
      </c>
      <c r="H1403" s="479">
        <v>340630</v>
      </c>
      <c r="I1403" s="480">
        <v>17.03</v>
      </c>
    </row>
    <row r="1404" spans="1:9" ht="38.25" hidden="1" outlineLevel="4">
      <c r="A1404" s="832" t="s">
        <v>4758</v>
      </c>
      <c r="B1404" s="482" t="s">
        <v>4759</v>
      </c>
      <c r="C1404" s="831" t="s">
        <v>4646</v>
      </c>
      <c r="D1404" s="482" t="s">
        <v>1702</v>
      </c>
      <c r="E1404" s="484">
        <v>2000000</v>
      </c>
      <c r="F1404" s="484">
        <v>2000000</v>
      </c>
      <c r="G1404" s="484">
        <v>800000</v>
      </c>
      <c r="H1404" s="484">
        <v>340630</v>
      </c>
      <c r="I1404" s="480">
        <v>17.03</v>
      </c>
    </row>
    <row r="1405" spans="1:9" ht="25.5" hidden="1" outlineLevel="2">
      <c r="A1405" s="850" t="s">
        <v>4760</v>
      </c>
      <c r="B1405" s="472" t="s">
        <v>4761</v>
      </c>
      <c r="C1405" s="473"/>
      <c r="D1405" s="472"/>
      <c r="E1405" s="474">
        <v>38467943.670000002</v>
      </c>
      <c r="F1405" s="474">
        <v>38467943.670000002</v>
      </c>
      <c r="G1405" s="474">
        <v>34042943.659999996</v>
      </c>
      <c r="H1405" s="474">
        <v>34042943.659999996</v>
      </c>
      <c r="I1405" s="475">
        <v>88.5</v>
      </c>
    </row>
    <row r="1406" spans="1:9" ht="25.5" hidden="1" outlineLevel="3">
      <c r="A1406" s="833" t="s">
        <v>4762</v>
      </c>
      <c r="B1406" s="477" t="s">
        <v>4763</v>
      </c>
      <c r="C1406" s="478"/>
      <c r="D1406" s="477"/>
      <c r="E1406" s="479">
        <v>4425000</v>
      </c>
      <c r="F1406" s="479">
        <v>4425000</v>
      </c>
      <c r="G1406" s="479">
        <v>0</v>
      </c>
      <c r="H1406" s="479">
        <v>0</v>
      </c>
      <c r="I1406" s="480">
        <v>0</v>
      </c>
    </row>
    <row r="1407" spans="1:9" ht="38.25" hidden="1" outlineLevel="4">
      <c r="A1407" s="832" t="s">
        <v>4762</v>
      </c>
      <c r="B1407" s="482" t="s">
        <v>4763</v>
      </c>
      <c r="C1407" s="831" t="s">
        <v>4646</v>
      </c>
      <c r="D1407" s="482" t="s">
        <v>1702</v>
      </c>
      <c r="E1407" s="484">
        <v>4425000</v>
      </c>
      <c r="F1407" s="484">
        <v>4425000</v>
      </c>
      <c r="G1407" s="484">
        <v>0</v>
      </c>
      <c r="H1407" s="484">
        <v>0</v>
      </c>
      <c r="I1407" s="480">
        <v>0</v>
      </c>
    </row>
    <row r="1408" spans="1:9" ht="63.75" hidden="1" outlineLevel="3">
      <c r="A1408" s="833" t="s">
        <v>4764</v>
      </c>
      <c r="B1408" s="477" t="s">
        <v>4765</v>
      </c>
      <c r="C1408" s="478"/>
      <c r="D1408" s="477"/>
      <c r="E1408" s="479">
        <v>34042943.670000002</v>
      </c>
      <c r="F1408" s="479">
        <v>34042943.670000002</v>
      </c>
      <c r="G1408" s="479">
        <v>34042943.659999996</v>
      </c>
      <c r="H1408" s="479">
        <v>34042943.659999996</v>
      </c>
      <c r="I1408" s="480">
        <v>100</v>
      </c>
    </row>
    <row r="1409" spans="1:9" ht="63.75" hidden="1" outlineLevel="4">
      <c r="A1409" s="832" t="s">
        <v>4764</v>
      </c>
      <c r="B1409" s="482" t="s">
        <v>4765</v>
      </c>
      <c r="C1409" s="831" t="s">
        <v>4646</v>
      </c>
      <c r="D1409" s="482" t="s">
        <v>1702</v>
      </c>
      <c r="E1409" s="484">
        <v>34042943.670000002</v>
      </c>
      <c r="F1409" s="484">
        <v>34042943.670000002</v>
      </c>
      <c r="G1409" s="484">
        <v>34042943.659999996</v>
      </c>
      <c r="H1409" s="484">
        <v>34042943.659999996</v>
      </c>
      <c r="I1409" s="480">
        <v>100</v>
      </c>
    </row>
    <row r="1410" spans="1:9" ht="38.25" hidden="1" outlineLevel="2">
      <c r="A1410" s="850" t="s">
        <v>2022</v>
      </c>
      <c r="B1410" s="472" t="s">
        <v>4766</v>
      </c>
      <c r="C1410" s="473"/>
      <c r="D1410" s="472"/>
      <c r="E1410" s="474">
        <v>16106114.029999999</v>
      </c>
      <c r="F1410" s="474">
        <v>16106114.029999999</v>
      </c>
      <c r="G1410" s="474">
        <v>14146114.029999999</v>
      </c>
      <c r="H1410" s="474">
        <v>14146114.029999999</v>
      </c>
      <c r="I1410" s="475">
        <v>87.83</v>
      </c>
    </row>
    <row r="1411" spans="1:9" ht="76.5" hidden="1" outlineLevel="3">
      <c r="A1411" s="833" t="s">
        <v>4767</v>
      </c>
      <c r="B1411" s="477" t="s">
        <v>4768</v>
      </c>
      <c r="C1411" s="478"/>
      <c r="D1411" s="477"/>
      <c r="E1411" s="479">
        <v>5319148.9400000004</v>
      </c>
      <c r="F1411" s="479">
        <v>5319148.9400000004</v>
      </c>
      <c r="G1411" s="479">
        <v>5319148.9400000004</v>
      </c>
      <c r="H1411" s="479">
        <v>5319148.9400000004</v>
      </c>
      <c r="I1411" s="480">
        <v>100</v>
      </c>
    </row>
    <row r="1412" spans="1:9" ht="76.5" hidden="1" outlineLevel="4">
      <c r="A1412" s="832" t="s">
        <v>4767</v>
      </c>
      <c r="B1412" s="482" t="s">
        <v>4768</v>
      </c>
      <c r="C1412" s="831" t="s">
        <v>4646</v>
      </c>
      <c r="D1412" s="482" t="s">
        <v>1702</v>
      </c>
      <c r="E1412" s="484">
        <v>5319148.9400000004</v>
      </c>
      <c r="F1412" s="484">
        <v>5319148.9400000004</v>
      </c>
      <c r="G1412" s="484">
        <v>5319148.9400000004</v>
      </c>
      <c r="H1412" s="484">
        <v>5319148.9400000004</v>
      </c>
      <c r="I1412" s="480">
        <v>100</v>
      </c>
    </row>
    <row r="1413" spans="1:9" ht="38.25" hidden="1" outlineLevel="3">
      <c r="A1413" s="833" t="s">
        <v>4769</v>
      </c>
      <c r="B1413" s="477" t="s">
        <v>4770</v>
      </c>
      <c r="C1413" s="478"/>
      <c r="D1413" s="477"/>
      <c r="E1413" s="479">
        <v>3000000</v>
      </c>
      <c r="F1413" s="479">
        <v>3000000</v>
      </c>
      <c r="G1413" s="479">
        <v>3000000</v>
      </c>
      <c r="H1413" s="479">
        <v>3000000</v>
      </c>
      <c r="I1413" s="480">
        <v>100</v>
      </c>
    </row>
    <row r="1414" spans="1:9" ht="38.25" hidden="1" outlineLevel="4">
      <c r="A1414" s="832" t="s">
        <v>4769</v>
      </c>
      <c r="B1414" s="482" t="s">
        <v>4770</v>
      </c>
      <c r="C1414" s="831" t="s">
        <v>4646</v>
      </c>
      <c r="D1414" s="482" t="s">
        <v>1702</v>
      </c>
      <c r="E1414" s="484">
        <v>3000000</v>
      </c>
      <c r="F1414" s="484">
        <v>3000000</v>
      </c>
      <c r="G1414" s="484">
        <v>3000000</v>
      </c>
      <c r="H1414" s="484">
        <v>3000000</v>
      </c>
      <c r="I1414" s="480">
        <v>100</v>
      </c>
    </row>
    <row r="1415" spans="1:9" ht="51" hidden="1" outlineLevel="3">
      <c r="A1415" s="833" t="s">
        <v>1828</v>
      </c>
      <c r="B1415" s="477" t="s">
        <v>4771</v>
      </c>
      <c r="C1415" s="478"/>
      <c r="D1415" s="477"/>
      <c r="E1415" s="479">
        <v>5826965.0899999999</v>
      </c>
      <c r="F1415" s="479">
        <v>5826965.0899999999</v>
      </c>
      <c r="G1415" s="479">
        <v>5826965.0899999999</v>
      </c>
      <c r="H1415" s="479">
        <v>5826965.0899999999</v>
      </c>
      <c r="I1415" s="480">
        <v>100</v>
      </c>
    </row>
    <row r="1416" spans="1:9" ht="51" hidden="1" outlineLevel="4">
      <c r="A1416" s="832" t="s">
        <v>1828</v>
      </c>
      <c r="B1416" s="482" t="s">
        <v>4771</v>
      </c>
      <c r="C1416" s="831" t="s">
        <v>4646</v>
      </c>
      <c r="D1416" s="482" t="s">
        <v>1702</v>
      </c>
      <c r="E1416" s="484">
        <v>5826965.0899999999</v>
      </c>
      <c r="F1416" s="484">
        <v>5826965.0899999999</v>
      </c>
      <c r="G1416" s="484">
        <v>5826965.0899999999</v>
      </c>
      <c r="H1416" s="484">
        <v>5826965.0899999999</v>
      </c>
      <c r="I1416" s="480">
        <v>100</v>
      </c>
    </row>
    <row r="1417" spans="1:9" ht="38.25" hidden="1" outlineLevel="3">
      <c r="A1417" s="833" t="s">
        <v>4769</v>
      </c>
      <c r="B1417" s="477" t="s">
        <v>4772</v>
      </c>
      <c r="C1417" s="478"/>
      <c r="D1417" s="477"/>
      <c r="E1417" s="479">
        <v>1960000</v>
      </c>
      <c r="F1417" s="479">
        <v>1960000</v>
      </c>
      <c r="G1417" s="479">
        <v>0</v>
      </c>
      <c r="H1417" s="479">
        <v>0</v>
      </c>
      <c r="I1417" s="480">
        <v>0</v>
      </c>
    </row>
    <row r="1418" spans="1:9" ht="38.25" hidden="1" outlineLevel="4">
      <c r="A1418" s="832" t="s">
        <v>4769</v>
      </c>
      <c r="B1418" s="482" t="s">
        <v>4772</v>
      </c>
      <c r="C1418" s="831" t="s">
        <v>4646</v>
      </c>
      <c r="D1418" s="482" t="s">
        <v>1702</v>
      </c>
      <c r="E1418" s="484">
        <v>1960000</v>
      </c>
      <c r="F1418" s="484">
        <v>1960000</v>
      </c>
      <c r="G1418" s="484">
        <v>0</v>
      </c>
      <c r="H1418" s="484">
        <v>0</v>
      </c>
      <c r="I1418" s="480">
        <v>0</v>
      </c>
    </row>
    <row r="1419" spans="1:9" ht="25.5" hidden="1" outlineLevel="1">
      <c r="A1419" s="851" t="s">
        <v>4773</v>
      </c>
      <c r="B1419" s="467" t="s">
        <v>4774</v>
      </c>
      <c r="C1419" s="468"/>
      <c r="D1419" s="467"/>
      <c r="E1419" s="469">
        <v>69325135.099999994</v>
      </c>
      <c r="F1419" s="469">
        <v>69325135.099999994</v>
      </c>
      <c r="G1419" s="469">
        <v>44289952</v>
      </c>
      <c r="H1419" s="469">
        <v>44289952</v>
      </c>
      <c r="I1419" s="470">
        <v>63.89</v>
      </c>
    </row>
    <row r="1420" spans="1:9" ht="38.25" hidden="1" outlineLevel="2">
      <c r="A1420" s="850" t="s">
        <v>4775</v>
      </c>
      <c r="B1420" s="472" t="s">
        <v>4776</v>
      </c>
      <c r="C1420" s="473"/>
      <c r="D1420" s="472"/>
      <c r="E1420" s="474">
        <v>24268183.100000001</v>
      </c>
      <c r="F1420" s="474">
        <v>24268183.100000001</v>
      </c>
      <c r="G1420" s="474">
        <v>0</v>
      </c>
      <c r="H1420" s="474">
        <v>0</v>
      </c>
      <c r="I1420" s="475">
        <v>0</v>
      </c>
    </row>
    <row r="1421" spans="1:9" ht="127.5" hidden="1" outlineLevel="3">
      <c r="A1421" s="833" t="s">
        <v>4777</v>
      </c>
      <c r="B1421" s="477" t="s">
        <v>4778</v>
      </c>
      <c r="C1421" s="478"/>
      <c r="D1421" s="477"/>
      <c r="E1421" s="479">
        <v>24268183.100000001</v>
      </c>
      <c r="F1421" s="479">
        <v>24268183.100000001</v>
      </c>
      <c r="G1421" s="479">
        <v>0</v>
      </c>
      <c r="H1421" s="479">
        <v>0</v>
      </c>
      <c r="I1421" s="480">
        <v>0</v>
      </c>
    </row>
    <row r="1422" spans="1:9" ht="127.5" hidden="1" outlineLevel="4">
      <c r="A1422" s="832" t="s">
        <v>4777</v>
      </c>
      <c r="B1422" s="482" t="s">
        <v>4778</v>
      </c>
      <c r="C1422" s="831" t="s">
        <v>4646</v>
      </c>
      <c r="D1422" s="482" t="s">
        <v>1702</v>
      </c>
      <c r="E1422" s="484">
        <v>24268183.100000001</v>
      </c>
      <c r="F1422" s="484">
        <v>24268183.100000001</v>
      </c>
      <c r="G1422" s="484">
        <v>0</v>
      </c>
      <c r="H1422" s="484">
        <v>0</v>
      </c>
      <c r="I1422" s="480">
        <v>0</v>
      </c>
    </row>
    <row r="1423" spans="1:9" ht="51" hidden="1" outlineLevel="2">
      <c r="A1423" s="850" t="s">
        <v>4779</v>
      </c>
      <c r="B1423" s="472" t="s">
        <v>4780</v>
      </c>
      <c r="C1423" s="473"/>
      <c r="D1423" s="472"/>
      <c r="E1423" s="474">
        <v>767000</v>
      </c>
      <c r="F1423" s="474">
        <v>767000</v>
      </c>
      <c r="G1423" s="474">
        <v>0</v>
      </c>
      <c r="H1423" s="474">
        <v>0</v>
      </c>
      <c r="I1423" s="475">
        <v>0</v>
      </c>
    </row>
    <row r="1424" spans="1:9" ht="51" hidden="1" outlineLevel="3">
      <c r="A1424" s="833" t="s">
        <v>4781</v>
      </c>
      <c r="B1424" s="477" t="s">
        <v>4782</v>
      </c>
      <c r="C1424" s="478"/>
      <c r="D1424" s="477"/>
      <c r="E1424" s="479">
        <v>767000</v>
      </c>
      <c r="F1424" s="479">
        <v>767000</v>
      </c>
      <c r="G1424" s="479">
        <v>0</v>
      </c>
      <c r="H1424" s="479">
        <v>0</v>
      </c>
      <c r="I1424" s="480">
        <v>0</v>
      </c>
    </row>
    <row r="1425" spans="1:9" ht="51" hidden="1" outlineLevel="4">
      <c r="A1425" s="832" t="s">
        <v>4781</v>
      </c>
      <c r="B1425" s="482" t="s">
        <v>4782</v>
      </c>
      <c r="C1425" s="831" t="s">
        <v>4646</v>
      </c>
      <c r="D1425" s="482" t="s">
        <v>1702</v>
      </c>
      <c r="E1425" s="484">
        <v>767000</v>
      </c>
      <c r="F1425" s="484">
        <v>767000</v>
      </c>
      <c r="G1425" s="484">
        <v>0</v>
      </c>
      <c r="H1425" s="484">
        <v>0</v>
      </c>
      <c r="I1425" s="480">
        <v>0</v>
      </c>
    </row>
    <row r="1426" spans="1:9" ht="51" hidden="1" outlineLevel="2">
      <c r="A1426" s="850" t="s">
        <v>4783</v>
      </c>
      <c r="B1426" s="472" t="s">
        <v>4784</v>
      </c>
      <c r="C1426" s="473"/>
      <c r="D1426" s="472"/>
      <c r="E1426" s="474">
        <v>44289952</v>
      </c>
      <c r="F1426" s="474">
        <v>44289952</v>
      </c>
      <c r="G1426" s="474">
        <v>44289952</v>
      </c>
      <c r="H1426" s="474">
        <v>44289952</v>
      </c>
      <c r="I1426" s="475">
        <v>100</v>
      </c>
    </row>
    <row r="1427" spans="1:9" ht="89.25" hidden="1" outlineLevel="3">
      <c r="A1427" s="833" t="s">
        <v>4785</v>
      </c>
      <c r="B1427" s="477" t="s">
        <v>4786</v>
      </c>
      <c r="C1427" s="478"/>
      <c r="D1427" s="477"/>
      <c r="E1427" s="479">
        <v>44289952</v>
      </c>
      <c r="F1427" s="479">
        <v>44289952</v>
      </c>
      <c r="G1427" s="479">
        <v>44289952</v>
      </c>
      <c r="H1427" s="479">
        <v>44289952</v>
      </c>
      <c r="I1427" s="480">
        <v>100</v>
      </c>
    </row>
    <row r="1428" spans="1:9" ht="89.25" hidden="1" outlineLevel="4">
      <c r="A1428" s="832" t="s">
        <v>4785</v>
      </c>
      <c r="B1428" s="482" t="s">
        <v>4786</v>
      </c>
      <c r="C1428" s="831" t="s">
        <v>4646</v>
      </c>
      <c r="D1428" s="482" t="s">
        <v>1702</v>
      </c>
      <c r="E1428" s="484">
        <v>44289952</v>
      </c>
      <c r="F1428" s="484">
        <v>44289952</v>
      </c>
      <c r="G1428" s="484">
        <v>44289952</v>
      </c>
      <c r="H1428" s="484">
        <v>44289952</v>
      </c>
      <c r="I1428" s="480">
        <v>100</v>
      </c>
    </row>
    <row r="1429" spans="1:9" ht="51" hidden="1" outlineLevel="1">
      <c r="A1429" s="851" t="s">
        <v>4787</v>
      </c>
      <c r="B1429" s="467" t="s">
        <v>4788</v>
      </c>
      <c r="C1429" s="468"/>
      <c r="D1429" s="467"/>
      <c r="E1429" s="469">
        <v>244771270.69999999</v>
      </c>
      <c r="F1429" s="469">
        <v>241010352.53999999</v>
      </c>
      <c r="G1429" s="469">
        <v>140334990.81</v>
      </c>
      <c r="H1429" s="469">
        <v>138561916.71000001</v>
      </c>
      <c r="I1429" s="470">
        <v>56.61</v>
      </c>
    </row>
    <row r="1430" spans="1:9" ht="89.25" hidden="1" outlineLevel="2">
      <c r="A1430" s="850" t="s">
        <v>4789</v>
      </c>
      <c r="B1430" s="472" t="s">
        <v>4790</v>
      </c>
      <c r="C1430" s="473"/>
      <c r="D1430" s="472"/>
      <c r="E1430" s="474">
        <v>152625188.78</v>
      </c>
      <c r="F1430" s="474">
        <v>152625188.78</v>
      </c>
      <c r="G1430" s="474">
        <v>104862549.31999999</v>
      </c>
      <c r="H1430" s="474">
        <v>104862549.31999999</v>
      </c>
      <c r="I1430" s="475">
        <v>68.709999999999994</v>
      </c>
    </row>
    <row r="1431" spans="1:9" ht="76.5" hidden="1" outlineLevel="3">
      <c r="A1431" s="833" t="s">
        <v>702</v>
      </c>
      <c r="B1431" s="477" t="s">
        <v>4791</v>
      </c>
      <c r="C1431" s="478"/>
      <c r="D1431" s="477"/>
      <c r="E1431" s="479">
        <v>150954364.88</v>
      </c>
      <c r="F1431" s="479">
        <v>150954364.88</v>
      </c>
      <c r="G1431" s="479">
        <v>103400000</v>
      </c>
      <c r="H1431" s="479">
        <v>103400000</v>
      </c>
      <c r="I1431" s="480">
        <v>68.5</v>
      </c>
    </row>
    <row r="1432" spans="1:9" ht="76.5" hidden="1" outlineLevel="4">
      <c r="A1432" s="832" t="s">
        <v>702</v>
      </c>
      <c r="B1432" s="482" t="s">
        <v>4791</v>
      </c>
      <c r="C1432" s="831" t="s">
        <v>1844</v>
      </c>
      <c r="D1432" s="482" t="s">
        <v>1845</v>
      </c>
      <c r="E1432" s="484">
        <v>150954364.88</v>
      </c>
      <c r="F1432" s="484">
        <v>150954364.88</v>
      </c>
      <c r="G1432" s="484">
        <v>103400000</v>
      </c>
      <c r="H1432" s="484">
        <v>103400000</v>
      </c>
      <c r="I1432" s="480">
        <v>68.5</v>
      </c>
    </row>
    <row r="1433" spans="1:9" ht="63.75" hidden="1" outlineLevel="3">
      <c r="A1433" s="833" t="s">
        <v>62</v>
      </c>
      <c r="B1433" s="477" t="s">
        <v>4792</v>
      </c>
      <c r="C1433" s="478"/>
      <c r="D1433" s="477"/>
      <c r="E1433" s="479">
        <v>1216400</v>
      </c>
      <c r="F1433" s="479">
        <v>1216400</v>
      </c>
      <c r="G1433" s="479">
        <v>1216400</v>
      </c>
      <c r="H1433" s="479">
        <v>1216400</v>
      </c>
      <c r="I1433" s="480">
        <v>100</v>
      </c>
    </row>
    <row r="1434" spans="1:9" ht="63.75" hidden="1" outlineLevel="4">
      <c r="A1434" s="832" t="s">
        <v>62</v>
      </c>
      <c r="B1434" s="482" t="s">
        <v>4792</v>
      </c>
      <c r="C1434" s="831" t="s">
        <v>1844</v>
      </c>
      <c r="D1434" s="482" t="s">
        <v>1845</v>
      </c>
      <c r="E1434" s="484">
        <v>1216400</v>
      </c>
      <c r="F1434" s="484">
        <v>1216400</v>
      </c>
      <c r="G1434" s="484">
        <v>1216400</v>
      </c>
      <c r="H1434" s="484">
        <v>1216400</v>
      </c>
      <c r="I1434" s="480">
        <v>100</v>
      </c>
    </row>
    <row r="1435" spans="1:9" ht="140.25" hidden="1" outlineLevel="3">
      <c r="A1435" s="833" t="s">
        <v>3759</v>
      </c>
      <c r="B1435" s="477" t="s">
        <v>4793</v>
      </c>
      <c r="C1435" s="478"/>
      <c r="D1435" s="477"/>
      <c r="E1435" s="479">
        <v>454423.9</v>
      </c>
      <c r="F1435" s="479">
        <v>454423.9</v>
      </c>
      <c r="G1435" s="479">
        <v>246149.32</v>
      </c>
      <c r="H1435" s="479">
        <v>246149.32</v>
      </c>
      <c r="I1435" s="480">
        <v>54.17</v>
      </c>
    </row>
    <row r="1436" spans="1:9" ht="140.25" hidden="1" outlineLevel="4">
      <c r="A1436" s="832" t="s">
        <v>3759</v>
      </c>
      <c r="B1436" s="482" t="s">
        <v>4793</v>
      </c>
      <c r="C1436" s="831" t="s">
        <v>1844</v>
      </c>
      <c r="D1436" s="482" t="s">
        <v>1845</v>
      </c>
      <c r="E1436" s="484">
        <v>454423.9</v>
      </c>
      <c r="F1436" s="484">
        <v>454423.9</v>
      </c>
      <c r="G1436" s="484">
        <v>246149.32</v>
      </c>
      <c r="H1436" s="484">
        <v>246149.32</v>
      </c>
      <c r="I1436" s="480">
        <v>54.17</v>
      </c>
    </row>
    <row r="1437" spans="1:9" ht="51" hidden="1" outlineLevel="2">
      <c r="A1437" s="850" t="s">
        <v>4794</v>
      </c>
      <c r="B1437" s="472" t="s">
        <v>4795</v>
      </c>
      <c r="C1437" s="473"/>
      <c r="D1437" s="472"/>
      <c r="E1437" s="474">
        <v>3769848.46</v>
      </c>
      <c r="F1437" s="474">
        <v>3769848.46</v>
      </c>
      <c r="G1437" s="474">
        <v>3699885.91</v>
      </c>
      <c r="H1437" s="474">
        <v>3699885.91</v>
      </c>
      <c r="I1437" s="475">
        <v>98.14</v>
      </c>
    </row>
    <row r="1438" spans="1:9" ht="76.5" hidden="1" outlineLevel="3">
      <c r="A1438" s="833" t="s">
        <v>702</v>
      </c>
      <c r="B1438" s="477" t="s">
        <v>4796</v>
      </c>
      <c r="C1438" s="478"/>
      <c r="D1438" s="477"/>
      <c r="E1438" s="479">
        <v>3769848.46</v>
      </c>
      <c r="F1438" s="479">
        <v>3769848.46</v>
      </c>
      <c r="G1438" s="479">
        <v>3699885.91</v>
      </c>
      <c r="H1438" s="479">
        <v>3699885.91</v>
      </c>
      <c r="I1438" s="480">
        <v>98.14</v>
      </c>
    </row>
    <row r="1439" spans="1:9" ht="76.5" hidden="1" outlineLevel="4">
      <c r="A1439" s="832" t="s">
        <v>702</v>
      </c>
      <c r="B1439" s="482" t="s">
        <v>4796</v>
      </c>
      <c r="C1439" s="831" t="s">
        <v>1844</v>
      </c>
      <c r="D1439" s="482" t="s">
        <v>1845</v>
      </c>
      <c r="E1439" s="484">
        <v>3769848.46</v>
      </c>
      <c r="F1439" s="484">
        <v>3769848.46</v>
      </c>
      <c r="G1439" s="484">
        <v>3699885.91</v>
      </c>
      <c r="H1439" s="484">
        <v>3699885.91</v>
      </c>
      <c r="I1439" s="480">
        <v>98.14</v>
      </c>
    </row>
    <row r="1440" spans="1:9" ht="63.75" hidden="1" outlineLevel="2">
      <c r="A1440" s="850" t="s">
        <v>4797</v>
      </c>
      <c r="B1440" s="472" t="s">
        <v>4798</v>
      </c>
      <c r="C1440" s="473"/>
      <c r="D1440" s="472"/>
      <c r="E1440" s="474">
        <v>424500</v>
      </c>
      <c r="F1440" s="474">
        <v>424500</v>
      </c>
      <c r="G1440" s="474">
        <v>254934.98</v>
      </c>
      <c r="H1440" s="474">
        <v>254934.98</v>
      </c>
      <c r="I1440" s="475">
        <v>60.06</v>
      </c>
    </row>
    <row r="1441" spans="1:9" ht="76.5" hidden="1" outlineLevel="3">
      <c r="A1441" s="833" t="s">
        <v>702</v>
      </c>
      <c r="B1441" s="477" t="s">
        <v>4799</v>
      </c>
      <c r="C1441" s="478"/>
      <c r="D1441" s="477"/>
      <c r="E1441" s="479">
        <v>424500</v>
      </c>
      <c r="F1441" s="479">
        <v>424500</v>
      </c>
      <c r="G1441" s="479">
        <v>254934.98</v>
      </c>
      <c r="H1441" s="479">
        <v>254934.98</v>
      </c>
      <c r="I1441" s="480">
        <v>60.06</v>
      </c>
    </row>
    <row r="1442" spans="1:9" ht="76.5" hidden="1" outlineLevel="4">
      <c r="A1442" s="832" t="s">
        <v>702</v>
      </c>
      <c r="B1442" s="482" t="s">
        <v>4799</v>
      </c>
      <c r="C1442" s="831" t="s">
        <v>1844</v>
      </c>
      <c r="D1442" s="482" t="s">
        <v>1845</v>
      </c>
      <c r="E1442" s="484">
        <v>424500</v>
      </c>
      <c r="F1442" s="484">
        <v>424500</v>
      </c>
      <c r="G1442" s="484">
        <v>254934.98</v>
      </c>
      <c r="H1442" s="484">
        <v>254934.98</v>
      </c>
      <c r="I1442" s="480">
        <v>60.06</v>
      </c>
    </row>
    <row r="1443" spans="1:9" ht="25.5" hidden="1" outlineLevel="2">
      <c r="A1443" s="850" t="s">
        <v>1851</v>
      </c>
      <c r="B1443" s="472" t="s">
        <v>4800</v>
      </c>
      <c r="C1443" s="473"/>
      <c r="D1443" s="472"/>
      <c r="E1443" s="474">
        <v>79767236.459999993</v>
      </c>
      <c r="F1443" s="474">
        <v>76006318.299999997</v>
      </c>
      <c r="G1443" s="474">
        <v>31517620.600000001</v>
      </c>
      <c r="H1443" s="474">
        <v>29744546.5</v>
      </c>
      <c r="I1443" s="475">
        <v>37.29</v>
      </c>
    </row>
    <row r="1444" spans="1:9" ht="76.5" hidden="1" outlineLevel="3">
      <c r="A1444" s="833" t="s">
        <v>4801</v>
      </c>
      <c r="B1444" s="477" t="s">
        <v>4802</v>
      </c>
      <c r="C1444" s="478"/>
      <c r="D1444" s="477"/>
      <c r="E1444" s="479">
        <v>1948821</v>
      </c>
      <c r="F1444" s="479">
        <v>1504144.84</v>
      </c>
      <c r="G1444" s="479">
        <v>1504144.84</v>
      </c>
      <c r="H1444" s="479">
        <v>1504144.84</v>
      </c>
      <c r="I1444" s="480">
        <v>77.180000000000007</v>
      </c>
    </row>
    <row r="1445" spans="1:9" ht="76.5" hidden="1" outlineLevel="4">
      <c r="A1445" s="832" t="s">
        <v>4801</v>
      </c>
      <c r="B1445" s="482" t="s">
        <v>4802</v>
      </c>
      <c r="C1445" s="831" t="s">
        <v>1844</v>
      </c>
      <c r="D1445" s="482" t="s">
        <v>1845</v>
      </c>
      <c r="E1445" s="484">
        <v>1948821</v>
      </c>
      <c r="F1445" s="484">
        <v>1504144.84</v>
      </c>
      <c r="G1445" s="484">
        <v>1504144.84</v>
      </c>
      <c r="H1445" s="484">
        <v>1504144.84</v>
      </c>
      <c r="I1445" s="480">
        <v>77.180000000000007</v>
      </c>
    </row>
    <row r="1446" spans="1:9" ht="51" hidden="1" outlineLevel="3">
      <c r="A1446" s="833" t="s">
        <v>1853</v>
      </c>
      <c r="B1446" s="477" t="s">
        <v>4803</v>
      </c>
      <c r="C1446" s="478"/>
      <c r="D1446" s="477"/>
      <c r="E1446" s="479">
        <v>77818415.459999993</v>
      </c>
      <c r="F1446" s="479">
        <v>74502173.459999993</v>
      </c>
      <c r="G1446" s="479">
        <v>30013475.760000002</v>
      </c>
      <c r="H1446" s="479">
        <v>28240401.66</v>
      </c>
      <c r="I1446" s="480">
        <v>36.29</v>
      </c>
    </row>
    <row r="1447" spans="1:9" ht="51" hidden="1" outlineLevel="4">
      <c r="A1447" s="832" t="s">
        <v>1853</v>
      </c>
      <c r="B1447" s="482" t="s">
        <v>4803</v>
      </c>
      <c r="C1447" s="831" t="s">
        <v>1844</v>
      </c>
      <c r="D1447" s="482" t="s">
        <v>1845</v>
      </c>
      <c r="E1447" s="484">
        <v>77818415.459999993</v>
      </c>
      <c r="F1447" s="484">
        <v>74502173.459999993</v>
      </c>
      <c r="G1447" s="484">
        <v>30013475.760000002</v>
      </c>
      <c r="H1447" s="484">
        <v>28240401.66</v>
      </c>
      <c r="I1447" s="480">
        <v>36.29</v>
      </c>
    </row>
    <row r="1448" spans="1:9" ht="51" hidden="1" outlineLevel="2">
      <c r="A1448" s="850" t="s">
        <v>4804</v>
      </c>
      <c r="B1448" s="472" t="s">
        <v>4805</v>
      </c>
      <c r="C1448" s="473"/>
      <c r="D1448" s="472"/>
      <c r="E1448" s="474">
        <v>8184497</v>
      </c>
      <c r="F1448" s="474">
        <v>8184497</v>
      </c>
      <c r="G1448" s="474">
        <v>0</v>
      </c>
      <c r="H1448" s="474">
        <v>0</v>
      </c>
      <c r="I1448" s="475">
        <v>0</v>
      </c>
    </row>
    <row r="1449" spans="1:9" ht="63.75" hidden="1" outlineLevel="3">
      <c r="A1449" s="833" t="s">
        <v>4806</v>
      </c>
      <c r="B1449" s="477" t="s">
        <v>4807</v>
      </c>
      <c r="C1449" s="478"/>
      <c r="D1449" s="477"/>
      <c r="E1449" s="479">
        <v>8184497</v>
      </c>
      <c r="F1449" s="479">
        <v>8184497</v>
      </c>
      <c r="G1449" s="479">
        <v>0</v>
      </c>
      <c r="H1449" s="479">
        <v>0</v>
      </c>
      <c r="I1449" s="480">
        <v>0</v>
      </c>
    </row>
    <row r="1450" spans="1:9" ht="63.75" hidden="1" outlineLevel="4">
      <c r="A1450" s="832" t="s">
        <v>4806</v>
      </c>
      <c r="B1450" s="482" t="s">
        <v>4807</v>
      </c>
      <c r="C1450" s="831" t="s">
        <v>1844</v>
      </c>
      <c r="D1450" s="482" t="s">
        <v>1845</v>
      </c>
      <c r="E1450" s="484">
        <v>8184497</v>
      </c>
      <c r="F1450" s="484">
        <v>8184497</v>
      </c>
      <c r="G1450" s="484">
        <v>0</v>
      </c>
      <c r="H1450" s="484">
        <v>0</v>
      </c>
      <c r="I1450" s="480">
        <v>0</v>
      </c>
    </row>
    <row r="1451" spans="1:9" ht="63.75" hidden="1" outlineLevel="1">
      <c r="A1451" s="851" t="s">
        <v>4808</v>
      </c>
      <c r="B1451" s="467" t="s">
        <v>4809</v>
      </c>
      <c r="C1451" s="468"/>
      <c r="D1451" s="467"/>
      <c r="E1451" s="469">
        <v>46178013.369999997</v>
      </c>
      <c r="F1451" s="469">
        <v>46178013.369999997</v>
      </c>
      <c r="G1451" s="469">
        <v>33545154.73</v>
      </c>
      <c r="H1451" s="469">
        <v>32167924.219999999</v>
      </c>
      <c r="I1451" s="470">
        <v>69.66</v>
      </c>
    </row>
    <row r="1452" spans="1:9" ht="51" hidden="1" outlineLevel="2">
      <c r="A1452" s="850" t="s">
        <v>4810</v>
      </c>
      <c r="B1452" s="472" t="s">
        <v>4811</v>
      </c>
      <c r="C1452" s="473"/>
      <c r="D1452" s="472"/>
      <c r="E1452" s="474">
        <v>46178013.369999997</v>
      </c>
      <c r="F1452" s="474">
        <v>46178013.369999997</v>
      </c>
      <c r="G1452" s="474">
        <v>33545154.73</v>
      </c>
      <c r="H1452" s="474">
        <v>32167924.219999999</v>
      </c>
      <c r="I1452" s="475">
        <v>69.66</v>
      </c>
    </row>
    <row r="1453" spans="1:9" ht="25.5" hidden="1" outlineLevel="3">
      <c r="A1453" s="833" t="s">
        <v>873</v>
      </c>
      <c r="B1453" s="477" t="s">
        <v>4812</v>
      </c>
      <c r="C1453" s="478"/>
      <c r="D1453" s="477"/>
      <c r="E1453" s="479">
        <v>44801338.259999998</v>
      </c>
      <c r="F1453" s="479">
        <v>44801338.259999998</v>
      </c>
      <c r="G1453" s="479">
        <v>32918400</v>
      </c>
      <c r="H1453" s="479">
        <v>31548218.719999999</v>
      </c>
      <c r="I1453" s="480">
        <v>70.42</v>
      </c>
    </row>
    <row r="1454" spans="1:9" ht="25.5" hidden="1" outlineLevel="4">
      <c r="A1454" s="832" t="s">
        <v>873</v>
      </c>
      <c r="B1454" s="482" t="s">
        <v>4812</v>
      </c>
      <c r="C1454" s="831" t="s">
        <v>1844</v>
      </c>
      <c r="D1454" s="482" t="s">
        <v>1845</v>
      </c>
      <c r="E1454" s="484">
        <v>44801338.259999998</v>
      </c>
      <c r="F1454" s="484">
        <v>44801338.259999998</v>
      </c>
      <c r="G1454" s="484">
        <v>32918400</v>
      </c>
      <c r="H1454" s="484">
        <v>31548218.719999999</v>
      </c>
      <c r="I1454" s="480">
        <v>70.42</v>
      </c>
    </row>
    <row r="1455" spans="1:9" ht="38.25" hidden="1" outlineLevel="3">
      <c r="A1455" s="833" t="s">
        <v>854</v>
      </c>
      <c r="B1455" s="477" t="s">
        <v>4813</v>
      </c>
      <c r="C1455" s="478"/>
      <c r="D1455" s="477"/>
      <c r="E1455" s="479">
        <v>846675.11</v>
      </c>
      <c r="F1455" s="479">
        <v>846675.11</v>
      </c>
      <c r="G1455" s="479">
        <v>360927.97</v>
      </c>
      <c r="H1455" s="479">
        <v>360927.97</v>
      </c>
      <c r="I1455" s="480">
        <v>42.63</v>
      </c>
    </row>
    <row r="1456" spans="1:9" ht="38.25" hidden="1" outlineLevel="4">
      <c r="A1456" s="832" t="s">
        <v>854</v>
      </c>
      <c r="B1456" s="482" t="s">
        <v>4813</v>
      </c>
      <c r="C1456" s="831" t="s">
        <v>1844</v>
      </c>
      <c r="D1456" s="482" t="s">
        <v>1845</v>
      </c>
      <c r="E1456" s="484">
        <v>846675.11</v>
      </c>
      <c r="F1456" s="484">
        <v>846675.11</v>
      </c>
      <c r="G1456" s="484">
        <v>360927.97</v>
      </c>
      <c r="H1456" s="484">
        <v>360927.97</v>
      </c>
      <c r="I1456" s="480">
        <v>42.63</v>
      </c>
    </row>
    <row r="1457" spans="1:9" ht="63.75" hidden="1" outlineLevel="3">
      <c r="A1457" s="833" t="s">
        <v>62</v>
      </c>
      <c r="B1457" s="477" t="s">
        <v>4814</v>
      </c>
      <c r="C1457" s="478"/>
      <c r="D1457" s="477"/>
      <c r="E1457" s="479">
        <v>530000</v>
      </c>
      <c r="F1457" s="479">
        <v>530000</v>
      </c>
      <c r="G1457" s="479">
        <v>265826.76</v>
      </c>
      <c r="H1457" s="479">
        <v>258777.53</v>
      </c>
      <c r="I1457" s="480">
        <v>48.83</v>
      </c>
    </row>
    <row r="1458" spans="1:9" ht="63.75" hidden="1" outlineLevel="4">
      <c r="A1458" s="832" t="s">
        <v>62</v>
      </c>
      <c r="B1458" s="482" t="s">
        <v>4814</v>
      </c>
      <c r="C1458" s="831" t="s">
        <v>1844</v>
      </c>
      <c r="D1458" s="482" t="s">
        <v>1845</v>
      </c>
      <c r="E1458" s="484">
        <v>530000</v>
      </c>
      <c r="F1458" s="484">
        <v>530000</v>
      </c>
      <c r="G1458" s="484">
        <v>265826.76</v>
      </c>
      <c r="H1458" s="484">
        <v>258777.53</v>
      </c>
      <c r="I1458" s="480">
        <v>48.83</v>
      </c>
    </row>
    <row r="1459" spans="1:9" ht="38.25" hidden="1" outlineLevel="1">
      <c r="A1459" s="851" t="s">
        <v>4815</v>
      </c>
      <c r="B1459" s="467" t="s">
        <v>4816</v>
      </c>
      <c r="C1459" s="468"/>
      <c r="D1459" s="467"/>
      <c r="E1459" s="469">
        <v>208326375.84999999</v>
      </c>
      <c r="F1459" s="469">
        <v>202488486.46000001</v>
      </c>
      <c r="G1459" s="469">
        <v>79381925.530000001</v>
      </c>
      <c r="H1459" s="469">
        <v>79381925.530000001</v>
      </c>
      <c r="I1459" s="470">
        <v>38.1</v>
      </c>
    </row>
    <row r="1460" spans="1:9" ht="51" hidden="1" outlineLevel="2">
      <c r="A1460" s="850" t="s">
        <v>1836</v>
      </c>
      <c r="B1460" s="472" t="s">
        <v>4817</v>
      </c>
      <c r="C1460" s="473"/>
      <c r="D1460" s="472"/>
      <c r="E1460" s="474">
        <v>208326375.84999999</v>
      </c>
      <c r="F1460" s="474">
        <v>202488486.46000001</v>
      </c>
      <c r="G1460" s="474">
        <v>79381925.530000001</v>
      </c>
      <c r="H1460" s="474">
        <v>79381925.530000001</v>
      </c>
      <c r="I1460" s="475">
        <v>38.1</v>
      </c>
    </row>
    <row r="1461" spans="1:9" ht="25.5" hidden="1" outlineLevel="3">
      <c r="A1461" s="833" t="s">
        <v>1834</v>
      </c>
      <c r="B1461" s="477" t="s">
        <v>4818</v>
      </c>
      <c r="C1461" s="478"/>
      <c r="D1461" s="477"/>
      <c r="E1461" s="479">
        <v>208326375.84999999</v>
      </c>
      <c r="F1461" s="479">
        <v>202488486.46000001</v>
      </c>
      <c r="G1461" s="479">
        <v>79381925.530000001</v>
      </c>
      <c r="H1461" s="479">
        <v>79381925.530000001</v>
      </c>
      <c r="I1461" s="480">
        <v>38.1</v>
      </c>
    </row>
    <row r="1462" spans="1:9" ht="25.5" hidden="1" outlineLevel="4">
      <c r="A1462" s="832" t="s">
        <v>1834</v>
      </c>
      <c r="B1462" s="482" t="s">
        <v>4818</v>
      </c>
      <c r="C1462" s="831" t="s">
        <v>803</v>
      </c>
      <c r="D1462" s="482" t="s">
        <v>804</v>
      </c>
      <c r="E1462" s="484">
        <v>208326375.84999999</v>
      </c>
      <c r="F1462" s="484">
        <v>202488486.46000001</v>
      </c>
      <c r="G1462" s="484">
        <v>79381925.530000001</v>
      </c>
      <c r="H1462" s="484">
        <v>79381925.530000001</v>
      </c>
      <c r="I1462" s="480">
        <v>38.1</v>
      </c>
    </row>
    <row r="1463" spans="1:9" ht="30.75" collapsed="1" thickBot="1">
      <c r="A1463" s="854" t="s">
        <v>4819</v>
      </c>
      <c r="B1463" s="853" t="s">
        <v>4820</v>
      </c>
      <c r="C1463" s="463"/>
      <c r="D1463" s="853"/>
      <c r="E1463" s="852">
        <v>2402588649.9099998</v>
      </c>
      <c r="F1463" s="852">
        <v>656889112.01999998</v>
      </c>
      <c r="G1463" s="852">
        <v>508579389.35000002</v>
      </c>
      <c r="H1463" s="852">
        <v>480682720</v>
      </c>
      <c r="I1463" s="465">
        <v>20.010000000000002</v>
      </c>
    </row>
    <row r="1464" spans="1:9" ht="76.5" hidden="1" outlineLevel="1">
      <c r="A1464" s="851" t="s">
        <v>4821</v>
      </c>
      <c r="B1464" s="467" t="s">
        <v>4822</v>
      </c>
      <c r="C1464" s="468"/>
      <c r="D1464" s="467"/>
      <c r="E1464" s="469">
        <v>1837385860.47</v>
      </c>
      <c r="F1464" s="469">
        <v>122624360.47</v>
      </c>
      <c r="G1464" s="469">
        <v>119195195.87</v>
      </c>
      <c r="H1464" s="469">
        <v>119195195.87</v>
      </c>
      <c r="I1464" s="470">
        <v>6.49</v>
      </c>
    </row>
    <row r="1465" spans="1:9" ht="76.5" hidden="1" outlineLevel="2">
      <c r="A1465" s="850" t="s">
        <v>4823</v>
      </c>
      <c r="B1465" s="472" t="s">
        <v>4824</v>
      </c>
      <c r="C1465" s="473"/>
      <c r="D1465" s="472"/>
      <c r="E1465" s="474">
        <v>96059566.359999999</v>
      </c>
      <c r="F1465" s="474">
        <v>96059566.359999999</v>
      </c>
      <c r="G1465" s="474">
        <v>92676938.109999999</v>
      </c>
      <c r="H1465" s="474">
        <v>92676938.109999999</v>
      </c>
      <c r="I1465" s="475">
        <v>96.48</v>
      </c>
    </row>
    <row r="1466" spans="1:9" ht="25.5" hidden="1" outlineLevel="3">
      <c r="A1466" s="833" t="s">
        <v>713</v>
      </c>
      <c r="B1466" s="477" t="s">
        <v>4825</v>
      </c>
      <c r="C1466" s="478"/>
      <c r="D1466" s="477"/>
      <c r="E1466" s="479">
        <v>2100000</v>
      </c>
      <c r="F1466" s="479">
        <v>2100000</v>
      </c>
      <c r="G1466" s="479">
        <v>367578</v>
      </c>
      <c r="H1466" s="479">
        <v>367578</v>
      </c>
      <c r="I1466" s="480">
        <v>17.5</v>
      </c>
    </row>
    <row r="1467" spans="1:9" ht="25.5" hidden="1" outlineLevel="4">
      <c r="A1467" s="832" t="s">
        <v>713</v>
      </c>
      <c r="B1467" s="482" t="s">
        <v>4825</v>
      </c>
      <c r="C1467" s="831" t="s">
        <v>1989</v>
      </c>
      <c r="D1467" s="482" t="s">
        <v>1990</v>
      </c>
      <c r="E1467" s="484">
        <v>1815000</v>
      </c>
      <c r="F1467" s="484">
        <v>1815000</v>
      </c>
      <c r="G1467" s="484">
        <v>302668</v>
      </c>
      <c r="H1467" s="484">
        <v>302668</v>
      </c>
      <c r="I1467" s="480">
        <v>16.68</v>
      </c>
    </row>
    <row r="1468" spans="1:9" ht="25.5" hidden="1" outlineLevel="4">
      <c r="A1468" s="832" t="s">
        <v>713</v>
      </c>
      <c r="B1468" s="482" t="s">
        <v>4825</v>
      </c>
      <c r="C1468" s="831" t="s">
        <v>4826</v>
      </c>
      <c r="D1468" s="482" t="s">
        <v>2026</v>
      </c>
      <c r="E1468" s="484">
        <v>285000</v>
      </c>
      <c r="F1468" s="484">
        <v>285000</v>
      </c>
      <c r="G1468" s="484">
        <v>64910</v>
      </c>
      <c r="H1468" s="484">
        <v>64910</v>
      </c>
      <c r="I1468" s="480">
        <v>22.78</v>
      </c>
    </row>
    <row r="1469" spans="1:9" ht="102" hidden="1" outlineLevel="3">
      <c r="A1469" s="833" t="s">
        <v>4827</v>
      </c>
      <c r="B1469" s="477" t="s">
        <v>4828</v>
      </c>
      <c r="C1469" s="478"/>
      <c r="D1469" s="477"/>
      <c r="E1469" s="479">
        <v>93959566.359999999</v>
      </c>
      <c r="F1469" s="479">
        <v>93959566.359999999</v>
      </c>
      <c r="G1469" s="479">
        <v>92309360.109999999</v>
      </c>
      <c r="H1469" s="479">
        <v>92309360.109999999</v>
      </c>
      <c r="I1469" s="480">
        <v>98.24</v>
      </c>
    </row>
    <row r="1470" spans="1:9" ht="102" hidden="1" outlineLevel="4">
      <c r="A1470" s="832" t="s">
        <v>4827</v>
      </c>
      <c r="B1470" s="482" t="s">
        <v>4828</v>
      </c>
      <c r="C1470" s="831" t="s">
        <v>4826</v>
      </c>
      <c r="D1470" s="482" t="s">
        <v>2026</v>
      </c>
      <c r="E1470" s="484">
        <v>93959566.359999999</v>
      </c>
      <c r="F1470" s="484">
        <v>93959566.359999999</v>
      </c>
      <c r="G1470" s="484">
        <v>92309360.109999999</v>
      </c>
      <c r="H1470" s="484">
        <v>92309360.109999999</v>
      </c>
      <c r="I1470" s="480">
        <v>98.24</v>
      </c>
    </row>
    <row r="1471" spans="1:9" ht="102" hidden="1" outlineLevel="2">
      <c r="A1471" s="850" t="s">
        <v>4829</v>
      </c>
      <c r="B1471" s="472" t="s">
        <v>4830</v>
      </c>
      <c r="C1471" s="473"/>
      <c r="D1471" s="472"/>
      <c r="E1471" s="474">
        <v>13296463.41</v>
      </c>
      <c r="F1471" s="474">
        <v>13296463.41</v>
      </c>
      <c r="G1471" s="474">
        <v>13249927.060000001</v>
      </c>
      <c r="H1471" s="474">
        <v>13249927.060000001</v>
      </c>
      <c r="I1471" s="475">
        <v>99.65</v>
      </c>
    </row>
    <row r="1472" spans="1:9" ht="102" hidden="1" outlineLevel="3">
      <c r="A1472" s="833" t="s">
        <v>4831</v>
      </c>
      <c r="B1472" s="477" t="s">
        <v>4832</v>
      </c>
      <c r="C1472" s="478"/>
      <c r="D1472" s="477"/>
      <c r="E1472" s="479">
        <v>13296463.41</v>
      </c>
      <c r="F1472" s="479">
        <v>13296463.41</v>
      </c>
      <c r="G1472" s="479">
        <v>13249927.060000001</v>
      </c>
      <c r="H1472" s="479">
        <v>13249927.060000001</v>
      </c>
      <c r="I1472" s="480">
        <v>99.65</v>
      </c>
    </row>
    <row r="1473" spans="1:9" ht="102" hidden="1" outlineLevel="4">
      <c r="A1473" s="832" t="s">
        <v>4831</v>
      </c>
      <c r="B1473" s="482" t="s">
        <v>4832</v>
      </c>
      <c r="C1473" s="831" t="s">
        <v>4826</v>
      </c>
      <c r="D1473" s="482" t="s">
        <v>2026</v>
      </c>
      <c r="E1473" s="484">
        <v>13296463.41</v>
      </c>
      <c r="F1473" s="484">
        <v>13296463.41</v>
      </c>
      <c r="G1473" s="484">
        <v>13249927.060000001</v>
      </c>
      <c r="H1473" s="484">
        <v>13249927.060000001</v>
      </c>
      <c r="I1473" s="480">
        <v>99.65</v>
      </c>
    </row>
    <row r="1474" spans="1:9" ht="38.25" hidden="1" outlineLevel="2">
      <c r="A1474" s="850" t="s">
        <v>4833</v>
      </c>
      <c r="B1474" s="472" t="s">
        <v>4834</v>
      </c>
      <c r="C1474" s="473"/>
      <c r="D1474" s="472"/>
      <c r="E1474" s="474">
        <v>1714761500</v>
      </c>
      <c r="F1474" s="474">
        <v>0</v>
      </c>
      <c r="G1474" s="474">
        <v>0</v>
      </c>
      <c r="H1474" s="474">
        <v>0</v>
      </c>
      <c r="I1474" s="475">
        <v>0</v>
      </c>
    </row>
    <row r="1475" spans="1:9" ht="51" hidden="1" outlineLevel="3">
      <c r="A1475" s="833" t="s">
        <v>4835</v>
      </c>
      <c r="B1475" s="477" t="s">
        <v>4836</v>
      </c>
      <c r="C1475" s="478"/>
      <c r="D1475" s="477"/>
      <c r="E1475" s="479">
        <v>1497796000</v>
      </c>
      <c r="F1475" s="479">
        <v>0</v>
      </c>
      <c r="G1475" s="479">
        <v>0</v>
      </c>
      <c r="H1475" s="479">
        <v>0</v>
      </c>
      <c r="I1475" s="480">
        <v>0</v>
      </c>
    </row>
    <row r="1476" spans="1:9" ht="51" hidden="1" outlineLevel="4">
      <c r="A1476" s="832" t="s">
        <v>4835</v>
      </c>
      <c r="B1476" s="482" t="s">
        <v>4836</v>
      </c>
      <c r="C1476" s="831" t="s">
        <v>1568</v>
      </c>
      <c r="D1476" s="482" t="s">
        <v>1569</v>
      </c>
      <c r="E1476" s="484">
        <v>1497796000</v>
      </c>
      <c r="F1476" s="484">
        <v>0</v>
      </c>
      <c r="G1476" s="484">
        <v>0</v>
      </c>
      <c r="H1476" s="484">
        <v>0</v>
      </c>
      <c r="I1476" s="480">
        <v>0</v>
      </c>
    </row>
    <row r="1477" spans="1:9" ht="38.25" hidden="1" outlineLevel="3">
      <c r="A1477" s="833" t="s">
        <v>4837</v>
      </c>
      <c r="B1477" s="477" t="s">
        <v>4838</v>
      </c>
      <c r="C1477" s="478"/>
      <c r="D1477" s="477"/>
      <c r="E1477" s="479">
        <v>216965500</v>
      </c>
      <c r="F1477" s="479">
        <v>0</v>
      </c>
      <c r="G1477" s="479">
        <v>0</v>
      </c>
      <c r="H1477" s="479">
        <v>0</v>
      </c>
      <c r="I1477" s="480">
        <v>0</v>
      </c>
    </row>
    <row r="1478" spans="1:9" ht="38.25" hidden="1" outlineLevel="4">
      <c r="A1478" s="832" t="s">
        <v>4837</v>
      </c>
      <c r="B1478" s="482" t="s">
        <v>4838</v>
      </c>
      <c r="C1478" s="831" t="s">
        <v>1582</v>
      </c>
      <c r="D1478" s="482" t="s">
        <v>1583</v>
      </c>
      <c r="E1478" s="484">
        <v>216965500</v>
      </c>
      <c r="F1478" s="484">
        <v>0</v>
      </c>
      <c r="G1478" s="484">
        <v>0</v>
      </c>
      <c r="H1478" s="484">
        <v>0</v>
      </c>
      <c r="I1478" s="480">
        <v>0</v>
      </c>
    </row>
    <row r="1479" spans="1:9" ht="51" hidden="1" outlineLevel="2">
      <c r="A1479" s="850" t="s">
        <v>4839</v>
      </c>
      <c r="B1479" s="472" t="s">
        <v>4840</v>
      </c>
      <c r="C1479" s="473"/>
      <c r="D1479" s="472"/>
      <c r="E1479" s="474">
        <v>13268330.699999999</v>
      </c>
      <c r="F1479" s="474">
        <v>13268330.699999999</v>
      </c>
      <c r="G1479" s="474">
        <v>13268330.699999999</v>
      </c>
      <c r="H1479" s="474">
        <v>13268330.699999999</v>
      </c>
      <c r="I1479" s="475">
        <v>100</v>
      </c>
    </row>
    <row r="1480" spans="1:9" ht="63.75" hidden="1" outlineLevel="3">
      <c r="A1480" s="833" t="s">
        <v>4841</v>
      </c>
      <c r="B1480" s="477" t="s">
        <v>4842</v>
      </c>
      <c r="C1480" s="478"/>
      <c r="D1480" s="477"/>
      <c r="E1480" s="479">
        <v>13268330.699999999</v>
      </c>
      <c r="F1480" s="479">
        <v>13268330.699999999</v>
      </c>
      <c r="G1480" s="479">
        <v>13268330.699999999</v>
      </c>
      <c r="H1480" s="479">
        <v>13268330.699999999</v>
      </c>
      <c r="I1480" s="480">
        <v>100</v>
      </c>
    </row>
    <row r="1481" spans="1:9" ht="63.75" hidden="1" outlineLevel="4">
      <c r="A1481" s="832" t="s">
        <v>4841</v>
      </c>
      <c r="B1481" s="482" t="s">
        <v>4842</v>
      </c>
      <c r="C1481" s="831" t="s">
        <v>4826</v>
      </c>
      <c r="D1481" s="482" t="s">
        <v>2026</v>
      </c>
      <c r="E1481" s="484">
        <v>13268330.699999999</v>
      </c>
      <c r="F1481" s="484">
        <v>13268330.699999999</v>
      </c>
      <c r="G1481" s="484">
        <v>13268330.699999999</v>
      </c>
      <c r="H1481" s="484">
        <v>13268330.699999999</v>
      </c>
      <c r="I1481" s="480">
        <v>100</v>
      </c>
    </row>
    <row r="1482" spans="1:9" ht="25.5" hidden="1" outlineLevel="1">
      <c r="A1482" s="851" t="s">
        <v>1991</v>
      </c>
      <c r="B1482" s="467" t="s">
        <v>4843</v>
      </c>
      <c r="C1482" s="468"/>
      <c r="D1482" s="467"/>
      <c r="E1482" s="469">
        <v>196778072.19</v>
      </c>
      <c r="F1482" s="469">
        <v>193778072.19</v>
      </c>
      <c r="G1482" s="469">
        <v>136902828.06999999</v>
      </c>
      <c r="H1482" s="469">
        <v>129803754.06999999</v>
      </c>
      <c r="I1482" s="470">
        <v>65.959999999999994</v>
      </c>
    </row>
    <row r="1483" spans="1:9" ht="51" hidden="1" outlineLevel="2">
      <c r="A1483" s="850" t="s">
        <v>1993</v>
      </c>
      <c r="B1483" s="472" t="s">
        <v>4844</v>
      </c>
      <c r="C1483" s="473"/>
      <c r="D1483" s="472"/>
      <c r="E1483" s="474">
        <v>52600000</v>
      </c>
      <c r="F1483" s="474">
        <v>49600000</v>
      </c>
      <c r="G1483" s="474">
        <v>23600000</v>
      </c>
      <c r="H1483" s="474">
        <v>16500926</v>
      </c>
      <c r="I1483" s="475">
        <v>31.37</v>
      </c>
    </row>
    <row r="1484" spans="1:9" ht="51" hidden="1" outlineLevel="3">
      <c r="A1484" s="833" t="s">
        <v>4845</v>
      </c>
      <c r="B1484" s="477" t="s">
        <v>4846</v>
      </c>
      <c r="C1484" s="478"/>
      <c r="D1484" s="477"/>
      <c r="E1484" s="479">
        <v>6000000</v>
      </c>
      <c r="F1484" s="479">
        <v>6000000</v>
      </c>
      <c r="G1484" s="479">
        <v>0</v>
      </c>
      <c r="H1484" s="479">
        <v>0</v>
      </c>
      <c r="I1484" s="480">
        <v>0</v>
      </c>
    </row>
    <row r="1485" spans="1:9" ht="51" hidden="1" outlineLevel="4">
      <c r="A1485" s="832" t="s">
        <v>4845</v>
      </c>
      <c r="B1485" s="482" t="s">
        <v>4846</v>
      </c>
      <c r="C1485" s="831" t="s">
        <v>4826</v>
      </c>
      <c r="D1485" s="482" t="s">
        <v>2026</v>
      </c>
      <c r="E1485" s="484">
        <v>6000000</v>
      </c>
      <c r="F1485" s="484">
        <v>6000000</v>
      </c>
      <c r="G1485" s="484">
        <v>0</v>
      </c>
      <c r="H1485" s="484">
        <v>0</v>
      </c>
      <c r="I1485" s="480">
        <v>0</v>
      </c>
    </row>
    <row r="1486" spans="1:9" ht="38.25" hidden="1" outlineLevel="3">
      <c r="A1486" s="833" t="s">
        <v>4847</v>
      </c>
      <c r="B1486" s="477" t="s">
        <v>4848</v>
      </c>
      <c r="C1486" s="478"/>
      <c r="D1486" s="477"/>
      <c r="E1486" s="479">
        <v>3600000</v>
      </c>
      <c r="F1486" s="479">
        <v>3600000</v>
      </c>
      <c r="G1486" s="479">
        <v>3600000</v>
      </c>
      <c r="H1486" s="479">
        <v>3595926</v>
      </c>
      <c r="I1486" s="480">
        <v>99.89</v>
      </c>
    </row>
    <row r="1487" spans="1:9" ht="38.25" hidden="1" outlineLevel="4">
      <c r="A1487" s="832" t="s">
        <v>4847</v>
      </c>
      <c r="B1487" s="482" t="s">
        <v>4848</v>
      </c>
      <c r="C1487" s="831" t="s">
        <v>4826</v>
      </c>
      <c r="D1487" s="482" t="s">
        <v>2026</v>
      </c>
      <c r="E1487" s="484">
        <v>3600000</v>
      </c>
      <c r="F1487" s="484">
        <v>3600000</v>
      </c>
      <c r="G1487" s="484">
        <v>3600000</v>
      </c>
      <c r="H1487" s="484">
        <v>3595926</v>
      </c>
      <c r="I1487" s="480">
        <v>99.89</v>
      </c>
    </row>
    <row r="1488" spans="1:9" ht="38.25" hidden="1" outlineLevel="3">
      <c r="A1488" s="833" t="s">
        <v>4849</v>
      </c>
      <c r="B1488" s="477" t="s">
        <v>4850</v>
      </c>
      <c r="C1488" s="478"/>
      <c r="D1488" s="477"/>
      <c r="E1488" s="479">
        <v>40000000</v>
      </c>
      <c r="F1488" s="479">
        <v>40000000</v>
      </c>
      <c r="G1488" s="479">
        <v>20000000</v>
      </c>
      <c r="H1488" s="479">
        <v>12905000</v>
      </c>
      <c r="I1488" s="480">
        <v>32.26</v>
      </c>
    </row>
    <row r="1489" spans="1:9" ht="38.25" hidden="1" outlineLevel="4">
      <c r="A1489" s="832" t="s">
        <v>4849</v>
      </c>
      <c r="B1489" s="482" t="s">
        <v>4850</v>
      </c>
      <c r="C1489" s="831" t="s">
        <v>4826</v>
      </c>
      <c r="D1489" s="482" t="s">
        <v>2026</v>
      </c>
      <c r="E1489" s="484">
        <v>40000000</v>
      </c>
      <c r="F1489" s="484">
        <v>40000000</v>
      </c>
      <c r="G1489" s="484">
        <v>20000000</v>
      </c>
      <c r="H1489" s="484">
        <v>12905000</v>
      </c>
      <c r="I1489" s="480">
        <v>32.26</v>
      </c>
    </row>
    <row r="1490" spans="1:9" ht="38.25" hidden="1" outlineLevel="3">
      <c r="A1490" s="833" t="s">
        <v>4851</v>
      </c>
      <c r="B1490" s="477" t="s">
        <v>4852</v>
      </c>
      <c r="C1490" s="478"/>
      <c r="D1490" s="477"/>
      <c r="E1490" s="479">
        <v>3000000</v>
      </c>
      <c r="F1490" s="479">
        <v>0</v>
      </c>
      <c r="G1490" s="479">
        <v>0</v>
      </c>
      <c r="H1490" s="479">
        <v>0</v>
      </c>
      <c r="I1490" s="480">
        <v>0</v>
      </c>
    </row>
    <row r="1491" spans="1:9" ht="38.25" hidden="1" outlineLevel="4">
      <c r="A1491" s="832" t="s">
        <v>4851</v>
      </c>
      <c r="B1491" s="482" t="s">
        <v>4852</v>
      </c>
      <c r="C1491" s="831" t="s">
        <v>4826</v>
      </c>
      <c r="D1491" s="482" t="s">
        <v>2026</v>
      </c>
      <c r="E1491" s="484">
        <v>3000000</v>
      </c>
      <c r="F1491" s="484">
        <v>0</v>
      </c>
      <c r="G1491" s="484">
        <v>0</v>
      </c>
      <c r="H1491" s="484">
        <v>0</v>
      </c>
      <c r="I1491" s="480">
        <v>0</v>
      </c>
    </row>
    <row r="1492" spans="1:9" ht="51" hidden="1" outlineLevel="2">
      <c r="A1492" s="850" t="s">
        <v>1999</v>
      </c>
      <c r="B1492" s="472" t="s">
        <v>4853</v>
      </c>
      <c r="C1492" s="473"/>
      <c r="D1492" s="472"/>
      <c r="E1492" s="474">
        <v>20950000</v>
      </c>
      <c r="F1492" s="474">
        <v>20950000</v>
      </c>
      <c r="G1492" s="474">
        <v>12604522.689999999</v>
      </c>
      <c r="H1492" s="474">
        <v>12604522.689999999</v>
      </c>
      <c r="I1492" s="475">
        <v>60.16</v>
      </c>
    </row>
    <row r="1493" spans="1:9" ht="114.75" hidden="1" outlineLevel="3">
      <c r="A1493" s="833" t="s">
        <v>4854</v>
      </c>
      <c r="B1493" s="477" t="s">
        <v>4855</v>
      </c>
      <c r="C1493" s="478"/>
      <c r="D1493" s="477"/>
      <c r="E1493" s="479">
        <v>8000000</v>
      </c>
      <c r="F1493" s="479">
        <v>8000000</v>
      </c>
      <c r="G1493" s="479">
        <v>0</v>
      </c>
      <c r="H1493" s="479">
        <v>0</v>
      </c>
      <c r="I1493" s="480">
        <v>0</v>
      </c>
    </row>
    <row r="1494" spans="1:9" ht="114.75" hidden="1" outlineLevel="4">
      <c r="A1494" s="832" t="s">
        <v>4854</v>
      </c>
      <c r="B1494" s="482" t="s">
        <v>4855</v>
      </c>
      <c r="C1494" s="831" t="s">
        <v>4826</v>
      </c>
      <c r="D1494" s="482" t="s">
        <v>2026</v>
      </c>
      <c r="E1494" s="484">
        <v>8000000</v>
      </c>
      <c r="F1494" s="484">
        <v>8000000</v>
      </c>
      <c r="G1494" s="484">
        <v>0</v>
      </c>
      <c r="H1494" s="484">
        <v>0</v>
      </c>
      <c r="I1494" s="480">
        <v>0</v>
      </c>
    </row>
    <row r="1495" spans="1:9" ht="114.75" hidden="1" outlineLevel="3">
      <c r="A1495" s="833" t="s">
        <v>4856</v>
      </c>
      <c r="B1495" s="477" t="s">
        <v>4857</v>
      </c>
      <c r="C1495" s="478"/>
      <c r="D1495" s="477"/>
      <c r="E1495" s="479">
        <v>12950000</v>
      </c>
      <c r="F1495" s="479">
        <v>12950000</v>
      </c>
      <c r="G1495" s="479">
        <v>12604522.689999999</v>
      </c>
      <c r="H1495" s="479">
        <v>12604522.689999999</v>
      </c>
      <c r="I1495" s="480">
        <v>97.33</v>
      </c>
    </row>
    <row r="1496" spans="1:9" ht="114.75" hidden="1" outlineLevel="4">
      <c r="A1496" s="832" t="s">
        <v>4856</v>
      </c>
      <c r="B1496" s="482" t="s">
        <v>4857</v>
      </c>
      <c r="C1496" s="831" t="s">
        <v>4826</v>
      </c>
      <c r="D1496" s="482" t="s">
        <v>2026</v>
      </c>
      <c r="E1496" s="484">
        <v>12950000</v>
      </c>
      <c r="F1496" s="484">
        <v>12950000</v>
      </c>
      <c r="G1496" s="484">
        <v>12604522.689999999</v>
      </c>
      <c r="H1496" s="484">
        <v>12604522.689999999</v>
      </c>
      <c r="I1496" s="480">
        <v>97.33</v>
      </c>
    </row>
    <row r="1497" spans="1:9" ht="114.75" hidden="1" outlineLevel="2">
      <c r="A1497" s="850" t="s">
        <v>2004</v>
      </c>
      <c r="B1497" s="472" t="s">
        <v>4858</v>
      </c>
      <c r="C1497" s="473"/>
      <c r="D1497" s="472"/>
      <c r="E1497" s="474">
        <v>2827449.91</v>
      </c>
      <c r="F1497" s="474">
        <v>2827449.91</v>
      </c>
      <c r="G1497" s="474">
        <v>2566000</v>
      </c>
      <c r="H1497" s="474">
        <v>2566000</v>
      </c>
      <c r="I1497" s="475">
        <v>90.75</v>
      </c>
    </row>
    <row r="1498" spans="1:9" ht="38.25" hidden="1" outlineLevel="3">
      <c r="A1498" s="833" t="s">
        <v>1997</v>
      </c>
      <c r="B1498" s="477" t="s">
        <v>4859</v>
      </c>
      <c r="C1498" s="478"/>
      <c r="D1498" s="477"/>
      <c r="E1498" s="479">
        <v>69621.34</v>
      </c>
      <c r="F1498" s="479">
        <v>69621.34</v>
      </c>
      <c r="G1498" s="479">
        <v>66000</v>
      </c>
      <c r="H1498" s="479">
        <v>66000</v>
      </c>
      <c r="I1498" s="480">
        <v>94.8</v>
      </c>
    </row>
    <row r="1499" spans="1:9" ht="38.25" hidden="1" outlineLevel="4">
      <c r="A1499" s="832" t="s">
        <v>1997</v>
      </c>
      <c r="B1499" s="482" t="s">
        <v>4859</v>
      </c>
      <c r="C1499" s="831" t="s">
        <v>2008</v>
      </c>
      <c r="D1499" s="482" t="s">
        <v>2009</v>
      </c>
      <c r="E1499" s="484">
        <v>69621.34</v>
      </c>
      <c r="F1499" s="484">
        <v>69621.34</v>
      </c>
      <c r="G1499" s="484">
        <v>66000</v>
      </c>
      <c r="H1499" s="484">
        <v>66000</v>
      </c>
      <c r="I1499" s="480">
        <v>94.8</v>
      </c>
    </row>
    <row r="1500" spans="1:9" ht="89.25" hidden="1" outlineLevel="3">
      <c r="A1500" s="833" t="s">
        <v>4860</v>
      </c>
      <c r="B1500" s="477" t="s">
        <v>4861</v>
      </c>
      <c r="C1500" s="478"/>
      <c r="D1500" s="477"/>
      <c r="E1500" s="479">
        <v>2000000</v>
      </c>
      <c r="F1500" s="479">
        <v>2000000</v>
      </c>
      <c r="G1500" s="479">
        <v>2000000</v>
      </c>
      <c r="H1500" s="479">
        <v>2000000</v>
      </c>
      <c r="I1500" s="480">
        <v>100</v>
      </c>
    </row>
    <row r="1501" spans="1:9" ht="89.25" hidden="1" outlineLevel="4">
      <c r="A1501" s="832" t="s">
        <v>4860</v>
      </c>
      <c r="B1501" s="482" t="s">
        <v>4861</v>
      </c>
      <c r="C1501" s="831" t="s">
        <v>4826</v>
      </c>
      <c r="D1501" s="482" t="s">
        <v>2026</v>
      </c>
      <c r="E1501" s="484">
        <v>2000000</v>
      </c>
      <c r="F1501" s="484">
        <v>2000000</v>
      </c>
      <c r="G1501" s="484">
        <v>2000000</v>
      </c>
      <c r="H1501" s="484">
        <v>2000000</v>
      </c>
      <c r="I1501" s="480">
        <v>100</v>
      </c>
    </row>
    <row r="1502" spans="1:9" ht="89.25" hidden="1" outlineLevel="3">
      <c r="A1502" s="833" t="s">
        <v>4862</v>
      </c>
      <c r="B1502" s="477" t="s">
        <v>4863</v>
      </c>
      <c r="C1502" s="478"/>
      <c r="D1502" s="477"/>
      <c r="E1502" s="479">
        <v>500000</v>
      </c>
      <c r="F1502" s="479">
        <v>500000</v>
      </c>
      <c r="G1502" s="479">
        <v>500000</v>
      </c>
      <c r="H1502" s="479">
        <v>500000</v>
      </c>
      <c r="I1502" s="480">
        <v>100</v>
      </c>
    </row>
    <row r="1503" spans="1:9" ht="89.25" hidden="1" outlineLevel="4">
      <c r="A1503" s="832" t="s">
        <v>4862</v>
      </c>
      <c r="B1503" s="482" t="s">
        <v>4863</v>
      </c>
      <c r="C1503" s="831" t="s">
        <v>4826</v>
      </c>
      <c r="D1503" s="482" t="s">
        <v>2026</v>
      </c>
      <c r="E1503" s="484">
        <v>500000</v>
      </c>
      <c r="F1503" s="484">
        <v>500000</v>
      </c>
      <c r="G1503" s="484">
        <v>500000</v>
      </c>
      <c r="H1503" s="484">
        <v>500000</v>
      </c>
      <c r="I1503" s="480">
        <v>100</v>
      </c>
    </row>
    <row r="1504" spans="1:9" ht="38.25" hidden="1" outlineLevel="3">
      <c r="A1504" s="833" t="s">
        <v>2010</v>
      </c>
      <c r="B1504" s="477" t="s">
        <v>4864</v>
      </c>
      <c r="C1504" s="478"/>
      <c r="D1504" s="477"/>
      <c r="E1504" s="479">
        <v>257828.57</v>
      </c>
      <c r="F1504" s="479">
        <v>257828.57</v>
      </c>
      <c r="G1504" s="479">
        <v>0</v>
      </c>
      <c r="H1504" s="479">
        <v>0</v>
      </c>
      <c r="I1504" s="480">
        <v>0</v>
      </c>
    </row>
    <row r="1505" spans="1:9" ht="38.25" hidden="1" outlineLevel="4">
      <c r="A1505" s="832" t="s">
        <v>2010</v>
      </c>
      <c r="B1505" s="482" t="s">
        <v>4864</v>
      </c>
      <c r="C1505" s="831" t="s">
        <v>4826</v>
      </c>
      <c r="D1505" s="482" t="s">
        <v>2026</v>
      </c>
      <c r="E1505" s="484">
        <v>257828.57</v>
      </c>
      <c r="F1505" s="484">
        <v>257828.57</v>
      </c>
      <c r="G1505" s="484">
        <v>0</v>
      </c>
      <c r="H1505" s="484">
        <v>0</v>
      </c>
      <c r="I1505" s="480">
        <v>0</v>
      </c>
    </row>
    <row r="1506" spans="1:9" ht="63.75" hidden="1" outlineLevel="2">
      <c r="A1506" s="850" t="s">
        <v>2012</v>
      </c>
      <c r="B1506" s="472" t="s">
        <v>4865</v>
      </c>
      <c r="C1506" s="473"/>
      <c r="D1506" s="472"/>
      <c r="E1506" s="474">
        <v>16324167.960000001</v>
      </c>
      <c r="F1506" s="474">
        <v>16324167.960000001</v>
      </c>
      <c r="G1506" s="474">
        <v>12150000</v>
      </c>
      <c r="H1506" s="474">
        <v>12150000</v>
      </c>
      <c r="I1506" s="475">
        <v>74.430000000000007</v>
      </c>
    </row>
    <row r="1507" spans="1:9" ht="76.5" hidden="1" outlineLevel="3">
      <c r="A1507" s="833" t="s">
        <v>702</v>
      </c>
      <c r="B1507" s="477" t="s">
        <v>4866</v>
      </c>
      <c r="C1507" s="478"/>
      <c r="D1507" s="477"/>
      <c r="E1507" s="479">
        <v>16174167.960000001</v>
      </c>
      <c r="F1507" s="479">
        <v>16174167.960000001</v>
      </c>
      <c r="G1507" s="479">
        <v>12000000</v>
      </c>
      <c r="H1507" s="479">
        <v>12000000</v>
      </c>
      <c r="I1507" s="480">
        <v>74.19</v>
      </c>
    </row>
    <row r="1508" spans="1:9" ht="76.5" hidden="1" outlineLevel="4">
      <c r="A1508" s="832" t="s">
        <v>702</v>
      </c>
      <c r="B1508" s="482" t="s">
        <v>4866</v>
      </c>
      <c r="C1508" s="831" t="s">
        <v>4826</v>
      </c>
      <c r="D1508" s="482" t="s">
        <v>2026</v>
      </c>
      <c r="E1508" s="484">
        <v>16174167.960000001</v>
      </c>
      <c r="F1508" s="484">
        <v>16174167.960000001</v>
      </c>
      <c r="G1508" s="484">
        <v>12000000</v>
      </c>
      <c r="H1508" s="484">
        <v>12000000</v>
      </c>
      <c r="I1508" s="480">
        <v>74.19</v>
      </c>
    </row>
    <row r="1509" spans="1:9" ht="63.75" hidden="1" outlineLevel="3">
      <c r="A1509" s="833" t="s">
        <v>62</v>
      </c>
      <c r="B1509" s="477" t="s">
        <v>4867</v>
      </c>
      <c r="C1509" s="478"/>
      <c r="D1509" s="477"/>
      <c r="E1509" s="479">
        <v>150000</v>
      </c>
      <c r="F1509" s="479">
        <v>150000</v>
      </c>
      <c r="G1509" s="479">
        <v>150000</v>
      </c>
      <c r="H1509" s="479">
        <v>150000</v>
      </c>
      <c r="I1509" s="480">
        <v>100</v>
      </c>
    </row>
    <row r="1510" spans="1:9" ht="63.75" hidden="1" outlineLevel="4">
      <c r="A1510" s="832" t="s">
        <v>62</v>
      </c>
      <c r="B1510" s="482" t="s">
        <v>4867</v>
      </c>
      <c r="C1510" s="831" t="s">
        <v>4826</v>
      </c>
      <c r="D1510" s="482" t="s">
        <v>2026</v>
      </c>
      <c r="E1510" s="484">
        <v>150000</v>
      </c>
      <c r="F1510" s="484">
        <v>150000</v>
      </c>
      <c r="G1510" s="484">
        <v>150000</v>
      </c>
      <c r="H1510" s="484">
        <v>150000</v>
      </c>
      <c r="I1510" s="480">
        <v>100</v>
      </c>
    </row>
    <row r="1511" spans="1:9" ht="51" hidden="1" outlineLevel="2">
      <c r="A1511" s="850" t="s">
        <v>4868</v>
      </c>
      <c r="B1511" s="472" t="s">
        <v>4869</v>
      </c>
      <c r="C1511" s="473"/>
      <c r="D1511" s="472"/>
      <c r="E1511" s="474">
        <v>5642978.7300000004</v>
      </c>
      <c r="F1511" s="474">
        <v>5642978.7300000004</v>
      </c>
      <c r="G1511" s="474">
        <v>5642978.7300000004</v>
      </c>
      <c r="H1511" s="474">
        <v>5642978.7300000004</v>
      </c>
      <c r="I1511" s="475">
        <v>100</v>
      </c>
    </row>
    <row r="1512" spans="1:9" ht="165.75" hidden="1" outlineLevel="3">
      <c r="A1512" s="833" t="s">
        <v>4870</v>
      </c>
      <c r="B1512" s="477" t="s">
        <v>4871</v>
      </c>
      <c r="C1512" s="478"/>
      <c r="D1512" s="477"/>
      <c r="E1512" s="479">
        <v>5642978.7300000004</v>
      </c>
      <c r="F1512" s="479">
        <v>5642978.7300000004</v>
      </c>
      <c r="G1512" s="479">
        <v>5642978.7300000004</v>
      </c>
      <c r="H1512" s="479">
        <v>5642978.7300000004</v>
      </c>
      <c r="I1512" s="480">
        <v>100</v>
      </c>
    </row>
    <row r="1513" spans="1:9" ht="165.75" hidden="1" outlineLevel="4">
      <c r="A1513" s="832" t="s">
        <v>4870</v>
      </c>
      <c r="B1513" s="482" t="s">
        <v>4871</v>
      </c>
      <c r="C1513" s="831" t="s">
        <v>4826</v>
      </c>
      <c r="D1513" s="482" t="s">
        <v>2026</v>
      </c>
      <c r="E1513" s="484">
        <v>5642978.7300000004</v>
      </c>
      <c r="F1513" s="484">
        <v>5642978.7300000004</v>
      </c>
      <c r="G1513" s="484">
        <v>5642978.7300000004</v>
      </c>
      <c r="H1513" s="484">
        <v>5642978.7300000004</v>
      </c>
      <c r="I1513" s="480">
        <v>100</v>
      </c>
    </row>
    <row r="1514" spans="1:9" ht="38.25" hidden="1" outlineLevel="2">
      <c r="A1514" s="850" t="s">
        <v>4872</v>
      </c>
      <c r="B1514" s="472" t="s">
        <v>4873</v>
      </c>
      <c r="C1514" s="473"/>
      <c r="D1514" s="472"/>
      <c r="E1514" s="474">
        <v>29305425.539999999</v>
      </c>
      <c r="F1514" s="474">
        <v>29305425.539999999</v>
      </c>
      <c r="G1514" s="474">
        <v>11211276.6</v>
      </c>
      <c r="H1514" s="474">
        <v>11211276.6</v>
      </c>
      <c r="I1514" s="475">
        <v>38.26</v>
      </c>
    </row>
    <row r="1515" spans="1:9" ht="165.75" hidden="1" outlineLevel="3">
      <c r="A1515" s="833" t="s">
        <v>4870</v>
      </c>
      <c r="B1515" s="477" t="s">
        <v>4874</v>
      </c>
      <c r="C1515" s="478"/>
      <c r="D1515" s="477"/>
      <c r="E1515" s="479">
        <v>11211276.6</v>
      </c>
      <c r="F1515" s="479">
        <v>11211276.6</v>
      </c>
      <c r="G1515" s="479">
        <v>11211276.6</v>
      </c>
      <c r="H1515" s="479">
        <v>11211276.6</v>
      </c>
      <c r="I1515" s="480">
        <v>100</v>
      </c>
    </row>
    <row r="1516" spans="1:9" ht="165.75" hidden="1" outlineLevel="4">
      <c r="A1516" s="832" t="s">
        <v>4870</v>
      </c>
      <c r="B1516" s="482" t="s">
        <v>4874</v>
      </c>
      <c r="C1516" s="831" t="s">
        <v>4826</v>
      </c>
      <c r="D1516" s="482" t="s">
        <v>2026</v>
      </c>
      <c r="E1516" s="484">
        <v>11211276.6</v>
      </c>
      <c r="F1516" s="484">
        <v>11211276.6</v>
      </c>
      <c r="G1516" s="484">
        <v>11211276.6</v>
      </c>
      <c r="H1516" s="484">
        <v>11211276.6</v>
      </c>
      <c r="I1516" s="480">
        <v>100</v>
      </c>
    </row>
    <row r="1517" spans="1:9" ht="127.5" hidden="1" outlineLevel="3">
      <c r="A1517" s="833" t="s">
        <v>4875</v>
      </c>
      <c r="B1517" s="477" t="s">
        <v>4876</v>
      </c>
      <c r="C1517" s="478"/>
      <c r="D1517" s="477"/>
      <c r="E1517" s="479">
        <v>18094148.940000001</v>
      </c>
      <c r="F1517" s="479">
        <v>18094148.940000001</v>
      </c>
      <c r="G1517" s="479">
        <v>0</v>
      </c>
      <c r="H1517" s="479">
        <v>0</v>
      </c>
      <c r="I1517" s="480">
        <v>0</v>
      </c>
    </row>
    <row r="1518" spans="1:9" ht="127.5" hidden="1" outlineLevel="4">
      <c r="A1518" s="832" t="s">
        <v>4875</v>
      </c>
      <c r="B1518" s="482" t="s">
        <v>4876</v>
      </c>
      <c r="C1518" s="831" t="s">
        <v>4826</v>
      </c>
      <c r="D1518" s="482" t="s">
        <v>2026</v>
      </c>
      <c r="E1518" s="484">
        <v>18094148.940000001</v>
      </c>
      <c r="F1518" s="484">
        <v>18094148.940000001</v>
      </c>
      <c r="G1518" s="484">
        <v>0</v>
      </c>
      <c r="H1518" s="484">
        <v>0</v>
      </c>
      <c r="I1518" s="480">
        <v>0</v>
      </c>
    </row>
    <row r="1519" spans="1:9" ht="38.25" hidden="1" outlineLevel="2">
      <c r="A1519" s="850" t="s">
        <v>2022</v>
      </c>
      <c r="B1519" s="472" t="s">
        <v>4877</v>
      </c>
      <c r="C1519" s="473"/>
      <c r="D1519" s="472"/>
      <c r="E1519" s="474">
        <v>69128050.049999997</v>
      </c>
      <c r="F1519" s="474">
        <v>69128050.049999997</v>
      </c>
      <c r="G1519" s="474">
        <v>69128050.049999997</v>
      </c>
      <c r="H1519" s="474">
        <v>69128050.049999997</v>
      </c>
      <c r="I1519" s="475">
        <v>100</v>
      </c>
    </row>
    <row r="1520" spans="1:9" ht="178.5" hidden="1" outlineLevel="3">
      <c r="A1520" s="833" t="s">
        <v>4878</v>
      </c>
      <c r="B1520" s="477" t="s">
        <v>4879</v>
      </c>
      <c r="C1520" s="478"/>
      <c r="D1520" s="477"/>
      <c r="E1520" s="479">
        <v>28095932.25</v>
      </c>
      <c r="F1520" s="479">
        <v>28095932.25</v>
      </c>
      <c r="G1520" s="479">
        <v>28095932.25</v>
      </c>
      <c r="H1520" s="479">
        <v>28095932.25</v>
      </c>
      <c r="I1520" s="480">
        <v>100</v>
      </c>
    </row>
    <row r="1521" spans="1:9" ht="178.5" hidden="1" outlineLevel="4">
      <c r="A1521" s="832" t="s">
        <v>4878</v>
      </c>
      <c r="B1521" s="482" t="s">
        <v>4879</v>
      </c>
      <c r="C1521" s="831" t="s">
        <v>4826</v>
      </c>
      <c r="D1521" s="482" t="s">
        <v>2026</v>
      </c>
      <c r="E1521" s="484">
        <v>28095932.25</v>
      </c>
      <c r="F1521" s="484">
        <v>28095932.25</v>
      </c>
      <c r="G1521" s="484">
        <v>28095932.25</v>
      </c>
      <c r="H1521" s="484">
        <v>28095932.25</v>
      </c>
      <c r="I1521" s="480">
        <v>100</v>
      </c>
    </row>
    <row r="1522" spans="1:9" ht="165.75" hidden="1" outlineLevel="3">
      <c r="A1522" s="833" t="s">
        <v>4870</v>
      </c>
      <c r="B1522" s="477" t="s">
        <v>4880</v>
      </c>
      <c r="C1522" s="478"/>
      <c r="D1522" s="477"/>
      <c r="E1522" s="479">
        <v>41032117.799999997</v>
      </c>
      <c r="F1522" s="479">
        <v>41032117.799999997</v>
      </c>
      <c r="G1522" s="479">
        <v>41032117.799999997</v>
      </c>
      <c r="H1522" s="479">
        <v>41032117.799999997</v>
      </c>
      <c r="I1522" s="480">
        <v>100</v>
      </c>
    </row>
    <row r="1523" spans="1:9" ht="165.75" hidden="1" outlineLevel="4">
      <c r="A1523" s="832" t="s">
        <v>4870</v>
      </c>
      <c r="B1523" s="482" t="s">
        <v>4880</v>
      </c>
      <c r="C1523" s="831" t="s">
        <v>4826</v>
      </c>
      <c r="D1523" s="482" t="s">
        <v>2026</v>
      </c>
      <c r="E1523" s="484">
        <v>41032117.799999997</v>
      </c>
      <c r="F1523" s="484">
        <v>41032117.799999997</v>
      </c>
      <c r="G1523" s="484">
        <v>41032117.799999997</v>
      </c>
      <c r="H1523" s="484">
        <v>41032117.799999997</v>
      </c>
      <c r="I1523" s="480">
        <v>100</v>
      </c>
    </row>
    <row r="1524" spans="1:9" hidden="1" outlineLevel="1">
      <c r="A1524" s="851" t="s">
        <v>4881</v>
      </c>
      <c r="B1524" s="467" t="s">
        <v>4882</v>
      </c>
      <c r="C1524" s="468"/>
      <c r="D1524" s="467"/>
      <c r="E1524" s="469">
        <v>60569216.170000002</v>
      </c>
      <c r="F1524" s="469">
        <v>60569216.170000002</v>
      </c>
      <c r="G1524" s="469">
        <v>35474780</v>
      </c>
      <c r="H1524" s="469">
        <v>35474780</v>
      </c>
      <c r="I1524" s="470">
        <v>58.57</v>
      </c>
    </row>
    <row r="1525" spans="1:9" ht="38.25" hidden="1" outlineLevel="2">
      <c r="A1525" s="850" t="s">
        <v>4883</v>
      </c>
      <c r="B1525" s="472" t="s">
        <v>4884</v>
      </c>
      <c r="C1525" s="473"/>
      <c r="D1525" s="472"/>
      <c r="E1525" s="474">
        <v>31474780</v>
      </c>
      <c r="F1525" s="474">
        <v>31474780</v>
      </c>
      <c r="G1525" s="474">
        <v>31474780</v>
      </c>
      <c r="H1525" s="474">
        <v>31474780</v>
      </c>
      <c r="I1525" s="475">
        <v>100</v>
      </c>
    </row>
    <row r="1526" spans="1:9" ht="76.5" hidden="1" outlineLevel="3">
      <c r="A1526" s="833" t="s">
        <v>4885</v>
      </c>
      <c r="B1526" s="477" t="s">
        <v>4886</v>
      </c>
      <c r="C1526" s="478"/>
      <c r="D1526" s="477"/>
      <c r="E1526" s="479">
        <v>4959920</v>
      </c>
      <c r="F1526" s="479">
        <v>4959920</v>
      </c>
      <c r="G1526" s="479">
        <v>4959920</v>
      </c>
      <c r="H1526" s="479">
        <v>4959920</v>
      </c>
      <c r="I1526" s="480">
        <v>100</v>
      </c>
    </row>
    <row r="1527" spans="1:9" ht="76.5" hidden="1" outlineLevel="4">
      <c r="A1527" s="832" t="s">
        <v>4885</v>
      </c>
      <c r="B1527" s="482" t="s">
        <v>4886</v>
      </c>
      <c r="C1527" s="831" t="s">
        <v>2049</v>
      </c>
      <c r="D1527" s="482" t="s">
        <v>2050</v>
      </c>
      <c r="E1527" s="484">
        <v>4959920</v>
      </c>
      <c r="F1527" s="484">
        <v>4959920</v>
      </c>
      <c r="G1527" s="484">
        <v>4959920</v>
      </c>
      <c r="H1527" s="484">
        <v>4959920</v>
      </c>
      <c r="I1527" s="480">
        <v>100</v>
      </c>
    </row>
    <row r="1528" spans="1:9" ht="51" hidden="1" outlineLevel="3">
      <c r="A1528" s="833" t="s">
        <v>4887</v>
      </c>
      <c r="B1528" s="477" t="s">
        <v>4888</v>
      </c>
      <c r="C1528" s="478"/>
      <c r="D1528" s="477"/>
      <c r="E1528" s="479">
        <v>16274780</v>
      </c>
      <c r="F1528" s="479">
        <v>16274780</v>
      </c>
      <c r="G1528" s="479">
        <v>16274780</v>
      </c>
      <c r="H1528" s="479">
        <v>16274780</v>
      </c>
      <c r="I1528" s="480">
        <v>100</v>
      </c>
    </row>
    <row r="1529" spans="1:9" ht="51" hidden="1" outlineLevel="4">
      <c r="A1529" s="832" t="s">
        <v>4887</v>
      </c>
      <c r="B1529" s="482" t="s">
        <v>4888</v>
      </c>
      <c r="C1529" s="831" t="s">
        <v>2049</v>
      </c>
      <c r="D1529" s="482" t="s">
        <v>2050</v>
      </c>
      <c r="E1529" s="484">
        <v>16274780</v>
      </c>
      <c r="F1529" s="484">
        <v>16274780</v>
      </c>
      <c r="G1529" s="484">
        <v>16274780</v>
      </c>
      <c r="H1529" s="484">
        <v>16274780</v>
      </c>
      <c r="I1529" s="480">
        <v>100</v>
      </c>
    </row>
    <row r="1530" spans="1:9" ht="102" hidden="1" outlineLevel="3">
      <c r="A1530" s="833" t="s">
        <v>4889</v>
      </c>
      <c r="B1530" s="477" t="s">
        <v>4890</v>
      </c>
      <c r="C1530" s="478"/>
      <c r="D1530" s="477"/>
      <c r="E1530" s="479">
        <v>10240080</v>
      </c>
      <c r="F1530" s="479">
        <v>10240080</v>
      </c>
      <c r="G1530" s="479">
        <v>10240080</v>
      </c>
      <c r="H1530" s="479">
        <v>10240080</v>
      </c>
      <c r="I1530" s="480">
        <v>100</v>
      </c>
    </row>
    <row r="1531" spans="1:9" ht="102" hidden="1" outlineLevel="4">
      <c r="A1531" s="832" t="s">
        <v>4889</v>
      </c>
      <c r="B1531" s="482" t="s">
        <v>4890</v>
      </c>
      <c r="C1531" s="831" t="s">
        <v>2049</v>
      </c>
      <c r="D1531" s="482" t="s">
        <v>2050</v>
      </c>
      <c r="E1531" s="484">
        <v>10240080</v>
      </c>
      <c r="F1531" s="484">
        <v>10240080</v>
      </c>
      <c r="G1531" s="484">
        <v>10240080</v>
      </c>
      <c r="H1531" s="484">
        <v>10240080</v>
      </c>
      <c r="I1531" s="480">
        <v>100</v>
      </c>
    </row>
    <row r="1532" spans="1:9" ht="38.25" hidden="1" outlineLevel="2">
      <c r="A1532" s="850" t="s">
        <v>4891</v>
      </c>
      <c r="B1532" s="472" t="s">
        <v>4892</v>
      </c>
      <c r="C1532" s="473"/>
      <c r="D1532" s="472"/>
      <c r="E1532" s="474">
        <v>5120500</v>
      </c>
      <c r="F1532" s="474">
        <v>5120500</v>
      </c>
      <c r="G1532" s="474">
        <v>4000000</v>
      </c>
      <c r="H1532" s="474">
        <v>4000000</v>
      </c>
      <c r="I1532" s="475">
        <v>78.12</v>
      </c>
    </row>
    <row r="1533" spans="1:9" ht="25.5" hidden="1" outlineLevel="3">
      <c r="A1533" s="833" t="s">
        <v>713</v>
      </c>
      <c r="B1533" s="477" t="s">
        <v>4893</v>
      </c>
      <c r="C1533" s="478"/>
      <c r="D1533" s="477"/>
      <c r="E1533" s="479">
        <v>1120500</v>
      </c>
      <c r="F1533" s="479">
        <v>1120500</v>
      </c>
      <c r="G1533" s="479">
        <v>0</v>
      </c>
      <c r="H1533" s="479">
        <v>0</v>
      </c>
      <c r="I1533" s="480">
        <v>0</v>
      </c>
    </row>
    <row r="1534" spans="1:9" ht="25.5" hidden="1" outlineLevel="4">
      <c r="A1534" s="832" t="s">
        <v>713</v>
      </c>
      <c r="B1534" s="482" t="s">
        <v>4893</v>
      </c>
      <c r="C1534" s="831" t="s">
        <v>2049</v>
      </c>
      <c r="D1534" s="482" t="s">
        <v>2050</v>
      </c>
      <c r="E1534" s="484">
        <v>1120500</v>
      </c>
      <c r="F1534" s="484">
        <v>1120500</v>
      </c>
      <c r="G1534" s="484">
        <v>0</v>
      </c>
      <c r="H1534" s="484">
        <v>0</v>
      </c>
      <c r="I1534" s="480">
        <v>0</v>
      </c>
    </row>
    <row r="1535" spans="1:9" ht="51" hidden="1" outlineLevel="3">
      <c r="A1535" s="833" t="s">
        <v>4894</v>
      </c>
      <c r="B1535" s="477" t="s">
        <v>4895</v>
      </c>
      <c r="C1535" s="478"/>
      <c r="D1535" s="477"/>
      <c r="E1535" s="479">
        <v>4000000</v>
      </c>
      <c r="F1535" s="479">
        <v>4000000</v>
      </c>
      <c r="G1535" s="479">
        <v>4000000</v>
      </c>
      <c r="H1535" s="479">
        <v>4000000</v>
      </c>
      <c r="I1535" s="480">
        <v>100</v>
      </c>
    </row>
    <row r="1536" spans="1:9" ht="51" hidden="1" outlineLevel="4">
      <c r="A1536" s="832" t="s">
        <v>4894</v>
      </c>
      <c r="B1536" s="482" t="s">
        <v>4895</v>
      </c>
      <c r="C1536" s="831" t="s">
        <v>2049</v>
      </c>
      <c r="D1536" s="482" t="s">
        <v>2050</v>
      </c>
      <c r="E1536" s="484">
        <v>4000000</v>
      </c>
      <c r="F1536" s="484">
        <v>4000000</v>
      </c>
      <c r="G1536" s="484">
        <v>4000000</v>
      </c>
      <c r="H1536" s="484">
        <v>4000000</v>
      </c>
      <c r="I1536" s="480">
        <v>100</v>
      </c>
    </row>
    <row r="1537" spans="1:9" ht="25.5" hidden="1" outlineLevel="2">
      <c r="A1537" s="850" t="s">
        <v>4896</v>
      </c>
      <c r="B1537" s="472" t="s">
        <v>4897</v>
      </c>
      <c r="C1537" s="473"/>
      <c r="D1537" s="472"/>
      <c r="E1537" s="474">
        <v>23973936.170000002</v>
      </c>
      <c r="F1537" s="474">
        <v>23973936.170000002</v>
      </c>
      <c r="G1537" s="474">
        <v>0</v>
      </c>
      <c r="H1537" s="474">
        <v>0</v>
      </c>
      <c r="I1537" s="475">
        <v>0</v>
      </c>
    </row>
    <row r="1538" spans="1:9" ht="38.25" hidden="1" outlineLevel="3">
      <c r="A1538" s="833" t="s">
        <v>4898</v>
      </c>
      <c r="B1538" s="477" t="s">
        <v>4899</v>
      </c>
      <c r="C1538" s="478"/>
      <c r="D1538" s="477"/>
      <c r="E1538" s="479">
        <v>23973936.170000002</v>
      </c>
      <c r="F1538" s="479">
        <v>23973936.170000002</v>
      </c>
      <c r="G1538" s="479">
        <v>0</v>
      </c>
      <c r="H1538" s="479">
        <v>0</v>
      </c>
      <c r="I1538" s="480">
        <v>0</v>
      </c>
    </row>
    <row r="1539" spans="1:9" ht="38.25" hidden="1" outlineLevel="4">
      <c r="A1539" s="832" t="s">
        <v>4898</v>
      </c>
      <c r="B1539" s="482" t="s">
        <v>4899</v>
      </c>
      <c r="C1539" s="831" t="s">
        <v>2049</v>
      </c>
      <c r="D1539" s="482" t="s">
        <v>2050</v>
      </c>
      <c r="E1539" s="484">
        <v>23973936.170000002</v>
      </c>
      <c r="F1539" s="484">
        <v>23973936.170000002</v>
      </c>
      <c r="G1539" s="484">
        <v>0</v>
      </c>
      <c r="H1539" s="484">
        <v>0</v>
      </c>
      <c r="I1539" s="480">
        <v>0</v>
      </c>
    </row>
    <row r="1540" spans="1:9" ht="63.75" hidden="1" outlineLevel="1">
      <c r="A1540" s="851" t="s">
        <v>4900</v>
      </c>
      <c r="B1540" s="467" t="s">
        <v>4901</v>
      </c>
      <c r="C1540" s="468"/>
      <c r="D1540" s="467"/>
      <c r="E1540" s="469">
        <v>15472002.119999999</v>
      </c>
      <c r="F1540" s="469">
        <v>4601302.12</v>
      </c>
      <c r="G1540" s="469">
        <v>69900</v>
      </c>
      <c r="H1540" s="469">
        <v>59900</v>
      </c>
      <c r="I1540" s="470">
        <v>0.39</v>
      </c>
    </row>
    <row r="1541" spans="1:9" ht="102" hidden="1" outlineLevel="2">
      <c r="A1541" s="850" t="s">
        <v>4902</v>
      </c>
      <c r="B1541" s="472" t="s">
        <v>4903</v>
      </c>
      <c r="C1541" s="473"/>
      <c r="D1541" s="472"/>
      <c r="E1541" s="474">
        <v>12572002.119999999</v>
      </c>
      <c r="F1541" s="474">
        <v>3257802.12</v>
      </c>
      <c r="G1541" s="474">
        <v>69900</v>
      </c>
      <c r="H1541" s="474">
        <v>59900</v>
      </c>
      <c r="I1541" s="475">
        <v>0.48</v>
      </c>
    </row>
    <row r="1542" spans="1:9" ht="25.5" hidden="1" outlineLevel="3">
      <c r="A1542" s="833" t="s">
        <v>713</v>
      </c>
      <c r="B1542" s="477" t="s">
        <v>4904</v>
      </c>
      <c r="C1542" s="478"/>
      <c r="D1542" s="477"/>
      <c r="E1542" s="479">
        <v>2572002.12</v>
      </c>
      <c r="F1542" s="479">
        <v>2257802.12</v>
      </c>
      <c r="G1542" s="479">
        <v>69900</v>
      </c>
      <c r="H1542" s="479">
        <v>59900</v>
      </c>
      <c r="I1542" s="480">
        <v>2.33</v>
      </c>
    </row>
    <row r="1543" spans="1:9" ht="25.5" hidden="1" outlineLevel="4">
      <c r="A1543" s="832" t="s">
        <v>713</v>
      </c>
      <c r="B1543" s="482" t="s">
        <v>4904</v>
      </c>
      <c r="C1543" s="831" t="s">
        <v>4826</v>
      </c>
      <c r="D1543" s="482" t="s">
        <v>2026</v>
      </c>
      <c r="E1543" s="484">
        <v>2572002.12</v>
      </c>
      <c r="F1543" s="484">
        <v>2257802.12</v>
      </c>
      <c r="G1543" s="484">
        <v>69900</v>
      </c>
      <c r="H1543" s="484">
        <v>59900</v>
      </c>
      <c r="I1543" s="480">
        <v>2.33</v>
      </c>
    </row>
    <row r="1544" spans="1:9" ht="140.25" hidden="1" outlineLevel="3">
      <c r="A1544" s="833" t="s">
        <v>4905</v>
      </c>
      <c r="B1544" s="477" t="s">
        <v>4906</v>
      </c>
      <c r="C1544" s="478"/>
      <c r="D1544" s="477"/>
      <c r="E1544" s="479">
        <v>10000000</v>
      </c>
      <c r="F1544" s="479">
        <v>1000000</v>
      </c>
      <c r="G1544" s="479">
        <v>0</v>
      </c>
      <c r="H1544" s="479">
        <v>0</v>
      </c>
      <c r="I1544" s="480">
        <v>0</v>
      </c>
    </row>
    <row r="1545" spans="1:9" ht="140.25" hidden="1" outlineLevel="4">
      <c r="A1545" s="832" t="s">
        <v>4905</v>
      </c>
      <c r="B1545" s="482" t="s">
        <v>4906</v>
      </c>
      <c r="C1545" s="831" t="s">
        <v>4826</v>
      </c>
      <c r="D1545" s="482" t="s">
        <v>2026</v>
      </c>
      <c r="E1545" s="484">
        <v>10000000</v>
      </c>
      <c r="F1545" s="484">
        <v>1000000</v>
      </c>
      <c r="G1545" s="484">
        <v>0</v>
      </c>
      <c r="H1545" s="484">
        <v>0</v>
      </c>
      <c r="I1545" s="480">
        <v>0</v>
      </c>
    </row>
    <row r="1546" spans="1:9" ht="38.25" hidden="1" outlineLevel="2">
      <c r="A1546" s="850" t="s">
        <v>4907</v>
      </c>
      <c r="B1546" s="472" t="s">
        <v>4908</v>
      </c>
      <c r="C1546" s="473"/>
      <c r="D1546" s="472"/>
      <c r="E1546" s="474">
        <v>2900000</v>
      </c>
      <c r="F1546" s="474">
        <v>1343500</v>
      </c>
      <c r="G1546" s="474">
        <v>0</v>
      </c>
      <c r="H1546" s="474">
        <v>0</v>
      </c>
      <c r="I1546" s="475">
        <v>0</v>
      </c>
    </row>
    <row r="1547" spans="1:9" ht="25.5" hidden="1" outlineLevel="3">
      <c r="A1547" s="833" t="s">
        <v>713</v>
      </c>
      <c r="B1547" s="477" t="s">
        <v>4909</v>
      </c>
      <c r="C1547" s="478"/>
      <c r="D1547" s="477"/>
      <c r="E1547" s="479">
        <v>2900000</v>
      </c>
      <c r="F1547" s="479">
        <v>1343500</v>
      </c>
      <c r="G1547" s="479">
        <v>0</v>
      </c>
      <c r="H1547" s="479">
        <v>0</v>
      </c>
      <c r="I1547" s="480">
        <v>0</v>
      </c>
    </row>
    <row r="1548" spans="1:9" ht="25.5" hidden="1" outlineLevel="4">
      <c r="A1548" s="832" t="s">
        <v>713</v>
      </c>
      <c r="B1548" s="482" t="s">
        <v>4909</v>
      </c>
      <c r="C1548" s="831" t="s">
        <v>4826</v>
      </c>
      <c r="D1548" s="482" t="s">
        <v>2026</v>
      </c>
      <c r="E1548" s="484">
        <v>2900000</v>
      </c>
      <c r="F1548" s="484">
        <v>1343500</v>
      </c>
      <c r="G1548" s="484">
        <v>0</v>
      </c>
      <c r="H1548" s="484">
        <v>0</v>
      </c>
      <c r="I1548" s="480">
        <v>0</v>
      </c>
    </row>
    <row r="1549" spans="1:9" ht="38.25" hidden="1" outlineLevel="1">
      <c r="A1549" s="851" t="s">
        <v>1273</v>
      </c>
      <c r="B1549" s="467" t="s">
        <v>4910</v>
      </c>
      <c r="C1549" s="468"/>
      <c r="D1549" s="467"/>
      <c r="E1549" s="469">
        <v>292383498.95999998</v>
      </c>
      <c r="F1549" s="469">
        <v>275316161.06999999</v>
      </c>
      <c r="G1549" s="469">
        <v>216936685.41</v>
      </c>
      <c r="H1549" s="469">
        <v>196149090.06</v>
      </c>
      <c r="I1549" s="470">
        <v>67.09</v>
      </c>
    </row>
    <row r="1550" spans="1:9" ht="229.5" hidden="1" outlineLevel="2">
      <c r="A1550" s="850" t="s">
        <v>4911</v>
      </c>
      <c r="B1550" s="472" t="s">
        <v>4912</v>
      </c>
      <c r="C1550" s="473"/>
      <c r="D1550" s="472"/>
      <c r="E1550" s="474">
        <v>192580446.96000001</v>
      </c>
      <c r="F1550" s="474">
        <v>176061255.13</v>
      </c>
      <c r="G1550" s="474">
        <v>142149016.99000001</v>
      </c>
      <c r="H1550" s="474">
        <v>128194566.09</v>
      </c>
      <c r="I1550" s="475">
        <v>66.569999999999993</v>
      </c>
    </row>
    <row r="1551" spans="1:9" ht="25.5" hidden="1" outlineLevel="3">
      <c r="A1551" s="833" t="s">
        <v>873</v>
      </c>
      <c r="B1551" s="477" t="s">
        <v>4913</v>
      </c>
      <c r="C1551" s="478"/>
      <c r="D1551" s="477"/>
      <c r="E1551" s="479">
        <v>145657070.5</v>
      </c>
      <c r="F1551" s="479">
        <v>144408012.25</v>
      </c>
      <c r="G1551" s="479">
        <v>112203000</v>
      </c>
      <c r="H1551" s="479">
        <v>98739871.670000002</v>
      </c>
      <c r="I1551" s="480">
        <v>67.790000000000006</v>
      </c>
    </row>
    <row r="1552" spans="1:9" ht="25.5" hidden="1" outlineLevel="4">
      <c r="A1552" s="832" t="s">
        <v>873</v>
      </c>
      <c r="B1552" s="482" t="s">
        <v>4913</v>
      </c>
      <c r="C1552" s="831" t="s">
        <v>4826</v>
      </c>
      <c r="D1552" s="482" t="s">
        <v>2026</v>
      </c>
      <c r="E1552" s="484">
        <v>145657070.5</v>
      </c>
      <c r="F1552" s="484">
        <v>144408012.25</v>
      </c>
      <c r="G1552" s="484">
        <v>112203000</v>
      </c>
      <c r="H1552" s="484">
        <v>98739871.670000002</v>
      </c>
      <c r="I1552" s="480">
        <v>67.790000000000006</v>
      </c>
    </row>
    <row r="1553" spans="1:9" ht="38.25" hidden="1" outlineLevel="3">
      <c r="A1553" s="833" t="s">
        <v>854</v>
      </c>
      <c r="B1553" s="477" t="s">
        <v>4914</v>
      </c>
      <c r="C1553" s="478"/>
      <c r="D1553" s="477"/>
      <c r="E1553" s="479">
        <v>3434450.7</v>
      </c>
      <c r="F1553" s="479">
        <v>3434450.7</v>
      </c>
      <c r="G1553" s="479">
        <v>1954340.81</v>
      </c>
      <c r="H1553" s="479">
        <v>1886513.43</v>
      </c>
      <c r="I1553" s="480">
        <v>54.93</v>
      </c>
    </row>
    <row r="1554" spans="1:9" ht="38.25" hidden="1" outlineLevel="4">
      <c r="A1554" s="832" t="s">
        <v>854</v>
      </c>
      <c r="B1554" s="482" t="s">
        <v>4914</v>
      </c>
      <c r="C1554" s="831" t="s">
        <v>4826</v>
      </c>
      <c r="D1554" s="482" t="s">
        <v>2026</v>
      </c>
      <c r="E1554" s="484">
        <v>3434450.7</v>
      </c>
      <c r="F1554" s="484">
        <v>3434450.7</v>
      </c>
      <c r="G1554" s="484">
        <v>1954340.81</v>
      </c>
      <c r="H1554" s="484">
        <v>1886513.43</v>
      </c>
      <c r="I1554" s="480">
        <v>54.93</v>
      </c>
    </row>
    <row r="1555" spans="1:9" ht="63.75" hidden="1" outlineLevel="3">
      <c r="A1555" s="833" t="s">
        <v>62</v>
      </c>
      <c r="B1555" s="477" t="s">
        <v>4915</v>
      </c>
      <c r="C1555" s="478"/>
      <c r="D1555" s="477"/>
      <c r="E1555" s="479">
        <v>1890947.18</v>
      </c>
      <c r="F1555" s="479">
        <v>1890947.18</v>
      </c>
      <c r="G1555" s="479">
        <v>1890947.18</v>
      </c>
      <c r="H1555" s="479">
        <v>1791055.65</v>
      </c>
      <c r="I1555" s="480">
        <v>94.72</v>
      </c>
    </row>
    <row r="1556" spans="1:9" ht="63.75" hidden="1" outlineLevel="4">
      <c r="A1556" s="832" t="s">
        <v>62</v>
      </c>
      <c r="B1556" s="482" t="s">
        <v>4915</v>
      </c>
      <c r="C1556" s="831" t="s">
        <v>4826</v>
      </c>
      <c r="D1556" s="482" t="s">
        <v>2026</v>
      </c>
      <c r="E1556" s="484">
        <v>1890947.18</v>
      </c>
      <c r="F1556" s="484">
        <v>1890947.18</v>
      </c>
      <c r="G1556" s="484">
        <v>1890947.18</v>
      </c>
      <c r="H1556" s="484">
        <v>1791055.65</v>
      </c>
      <c r="I1556" s="480">
        <v>94.72</v>
      </c>
    </row>
    <row r="1557" spans="1:9" ht="76.5" hidden="1" outlineLevel="3">
      <c r="A1557" s="833" t="s">
        <v>1027</v>
      </c>
      <c r="B1557" s="477" t="s">
        <v>4916</v>
      </c>
      <c r="C1557" s="478"/>
      <c r="D1557" s="477"/>
      <c r="E1557" s="479">
        <v>70506</v>
      </c>
      <c r="F1557" s="479">
        <v>70506</v>
      </c>
      <c r="G1557" s="479">
        <v>70506</v>
      </c>
      <c r="H1557" s="479">
        <v>70506</v>
      </c>
      <c r="I1557" s="480">
        <v>100</v>
      </c>
    </row>
    <row r="1558" spans="1:9" ht="76.5" hidden="1" outlineLevel="4">
      <c r="A1558" s="832" t="s">
        <v>1027</v>
      </c>
      <c r="B1558" s="482" t="s">
        <v>4916</v>
      </c>
      <c r="C1558" s="831" t="s">
        <v>4826</v>
      </c>
      <c r="D1558" s="482" t="s">
        <v>2026</v>
      </c>
      <c r="E1558" s="484">
        <v>70506</v>
      </c>
      <c r="F1558" s="484">
        <v>70506</v>
      </c>
      <c r="G1558" s="484">
        <v>70506</v>
      </c>
      <c r="H1558" s="484">
        <v>70506</v>
      </c>
      <c r="I1558" s="480">
        <v>100</v>
      </c>
    </row>
    <row r="1559" spans="1:9" ht="51" hidden="1" outlineLevel="3">
      <c r="A1559" s="833" t="s">
        <v>861</v>
      </c>
      <c r="B1559" s="477" t="s">
        <v>4917</v>
      </c>
      <c r="C1559" s="478"/>
      <c r="D1559" s="477"/>
      <c r="E1559" s="479">
        <v>1170315.58</v>
      </c>
      <c r="F1559" s="479">
        <v>900182</v>
      </c>
      <c r="G1559" s="479">
        <v>673066</v>
      </c>
      <c r="H1559" s="479">
        <v>622280</v>
      </c>
      <c r="I1559" s="480">
        <v>53.17</v>
      </c>
    </row>
    <row r="1560" spans="1:9" ht="51" hidden="1" outlineLevel="4">
      <c r="A1560" s="832" t="s">
        <v>861</v>
      </c>
      <c r="B1560" s="482" t="s">
        <v>4917</v>
      </c>
      <c r="C1560" s="831" t="s">
        <v>4826</v>
      </c>
      <c r="D1560" s="482" t="s">
        <v>2026</v>
      </c>
      <c r="E1560" s="484">
        <v>1170315.58</v>
      </c>
      <c r="F1560" s="484">
        <v>900182</v>
      </c>
      <c r="G1560" s="484">
        <v>673066</v>
      </c>
      <c r="H1560" s="484">
        <v>622280</v>
      </c>
      <c r="I1560" s="480">
        <v>53.17</v>
      </c>
    </row>
    <row r="1561" spans="1:9" ht="38.25" hidden="1" outlineLevel="3">
      <c r="A1561" s="833" t="s">
        <v>4918</v>
      </c>
      <c r="B1561" s="477" t="s">
        <v>4919</v>
      </c>
      <c r="C1561" s="478"/>
      <c r="D1561" s="477"/>
      <c r="E1561" s="479">
        <v>22819598</v>
      </c>
      <c r="F1561" s="479">
        <v>22819598</v>
      </c>
      <c r="G1561" s="479">
        <v>22819598</v>
      </c>
      <c r="H1561" s="479">
        <v>22819598</v>
      </c>
      <c r="I1561" s="480">
        <v>100</v>
      </c>
    </row>
    <row r="1562" spans="1:9" ht="38.25" hidden="1" outlineLevel="4">
      <c r="A1562" s="832" t="s">
        <v>4918</v>
      </c>
      <c r="B1562" s="482" t="s">
        <v>4919</v>
      </c>
      <c r="C1562" s="831" t="s">
        <v>4826</v>
      </c>
      <c r="D1562" s="482" t="s">
        <v>2026</v>
      </c>
      <c r="E1562" s="484">
        <v>22819598</v>
      </c>
      <c r="F1562" s="484">
        <v>22819598</v>
      </c>
      <c r="G1562" s="484">
        <v>22819598</v>
      </c>
      <c r="H1562" s="484">
        <v>22819598</v>
      </c>
      <c r="I1562" s="480">
        <v>100</v>
      </c>
    </row>
    <row r="1563" spans="1:9" ht="51" hidden="1" outlineLevel="3">
      <c r="A1563" s="833" t="s">
        <v>4920</v>
      </c>
      <c r="B1563" s="477" t="s">
        <v>4921</v>
      </c>
      <c r="C1563" s="478"/>
      <c r="D1563" s="477"/>
      <c r="E1563" s="479">
        <v>1900000</v>
      </c>
      <c r="F1563" s="479">
        <v>1900000</v>
      </c>
      <c r="G1563" s="479">
        <v>1900000</v>
      </c>
      <c r="H1563" s="479">
        <v>1900000</v>
      </c>
      <c r="I1563" s="480">
        <v>100</v>
      </c>
    </row>
    <row r="1564" spans="1:9" ht="51" hidden="1" outlineLevel="4">
      <c r="A1564" s="832" t="s">
        <v>4920</v>
      </c>
      <c r="B1564" s="482" t="s">
        <v>4921</v>
      </c>
      <c r="C1564" s="831" t="s">
        <v>4826</v>
      </c>
      <c r="D1564" s="482" t="s">
        <v>2026</v>
      </c>
      <c r="E1564" s="484">
        <v>1900000</v>
      </c>
      <c r="F1564" s="484">
        <v>1900000</v>
      </c>
      <c r="G1564" s="484">
        <v>1900000</v>
      </c>
      <c r="H1564" s="484">
        <v>1900000</v>
      </c>
      <c r="I1564" s="480">
        <v>100</v>
      </c>
    </row>
    <row r="1565" spans="1:9" ht="102" hidden="1" outlineLevel="3">
      <c r="A1565" s="833" t="s">
        <v>4922</v>
      </c>
      <c r="B1565" s="477" t="s">
        <v>4923</v>
      </c>
      <c r="C1565" s="478"/>
      <c r="D1565" s="477"/>
      <c r="E1565" s="479">
        <v>637559</v>
      </c>
      <c r="F1565" s="479">
        <v>637559</v>
      </c>
      <c r="G1565" s="479">
        <v>637559</v>
      </c>
      <c r="H1565" s="479">
        <v>364741.34</v>
      </c>
      <c r="I1565" s="480">
        <v>57.21</v>
      </c>
    </row>
    <row r="1566" spans="1:9" ht="102" hidden="1" outlineLevel="4">
      <c r="A1566" s="832" t="s">
        <v>4922</v>
      </c>
      <c r="B1566" s="482" t="s">
        <v>4923</v>
      </c>
      <c r="C1566" s="831" t="s">
        <v>4826</v>
      </c>
      <c r="D1566" s="482" t="s">
        <v>2026</v>
      </c>
      <c r="E1566" s="484">
        <v>637559</v>
      </c>
      <c r="F1566" s="484">
        <v>637559</v>
      </c>
      <c r="G1566" s="484">
        <v>637559</v>
      </c>
      <c r="H1566" s="484">
        <v>364741.34</v>
      </c>
      <c r="I1566" s="480">
        <v>57.21</v>
      </c>
    </row>
    <row r="1567" spans="1:9" ht="114.75" hidden="1" outlineLevel="3">
      <c r="A1567" s="833" t="s">
        <v>4924</v>
      </c>
      <c r="B1567" s="477" t="s">
        <v>4925</v>
      </c>
      <c r="C1567" s="478"/>
      <c r="D1567" s="477"/>
      <c r="E1567" s="479">
        <v>15000000</v>
      </c>
      <c r="F1567" s="479">
        <v>0</v>
      </c>
      <c r="G1567" s="479">
        <v>0</v>
      </c>
      <c r="H1567" s="479">
        <v>0</v>
      </c>
      <c r="I1567" s="480">
        <v>0</v>
      </c>
    </row>
    <row r="1568" spans="1:9" ht="114.75" hidden="1" outlineLevel="4">
      <c r="A1568" s="832" t="s">
        <v>4924</v>
      </c>
      <c r="B1568" s="482" t="s">
        <v>4925</v>
      </c>
      <c r="C1568" s="831" t="s">
        <v>4826</v>
      </c>
      <c r="D1568" s="482" t="s">
        <v>2026</v>
      </c>
      <c r="E1568" s="484">
        <v>15000000</v>
      </c>
      <c r="F1568" s="484">
        <v>0</v>
      </c>
      <c r="G1568" s="484">
        <v>0</v>
      </c>
      <c r="H1568" s="484">
        <v>0</v>
      </c>
      <c r="I1568" s="480">
        <v>0</v>
      </c>
    </row>
    <row r="1569" spans="1:9" ht="51" hidden="1" outlineLevel="2">
      <c r="A1569" s="850" t="s">
        <v>2083</v>
      </c>
      <c r="B1569" s="472" t="s">
        <v>4926</v>
      </c>
      <c r="C1569" s="473"/>
      <c r="D1569" s="472"/>
      <c r="E1569" s="474">
        <v>64182168.590000004</v>
      </c>
      <c r="F1569" s="474">
        <v>63634022.530000001</v>
      </c>
      <c r="G1569" s="474">
        <v>47000635.909999996</v>
      </c>
      <c r="H1569" s="474">
        <v>42773487.399999999</v>
      </c>
      <c r="I1569" s="475">
        <v>66.64</v>
      </c>
    </row>
    <row r="1570" spans="1:9" ht="25.5" hidden="1" outlineLevel="3">
      <c r="A1570" s="833" t="s">
        <v>873</v>
      </c>
      <c r="B1570" s="477" t="s">
        <v>4927</v>
      </c>
      <c r="C1570" s="478"/>
      <c r="D1570" s="477"/>
      <c r="E1570" s="479">
        <v>61183109.479999997</v>
      </c>
      <c r="F1570" s="479">
        <v>60748872.420000002</v>
      </c>
      <c r="G1570" s="479">
        <v>44656600</v>
      </c>
      <c r="H1570" s="479">
        <v>40762840.399999999</v>
      </c>
      <c r="I1570" s="480">
        <v>66.62</v>
      </c>
    </row>
    <row r="1571" spans="1:9" ht="25.5" hidden="1" outlineLevel="4">
      <c r="A1571" s="832" t="s">
        <v>873</v>
      </c>
      <c r="B1571" s="482" t="s">
        <v>4927</v>
      </c>
      <c r="C1571" s="831" t="s">
        <v>2086</v>
      </c>
      <c r="D1571" s="482" t="s">
        <v>2087</v>
      </c>
      <c r="E1571" s="484">
        <v>61183109.479999997</v>
      </c>
      <c r="F1571" s="484">
        <v>60748872.420000002</v>
      </c>
      <c r="G1571" s="484">
        <v>44656600</v>
      </c>
      <c r="H1571" s="484">
        <v>40762840.399999999</v>
      </c>
      <c r="I1571" s="480">
        <v>66.62</v>
      </c>
    </row>
    <row r="1572" spans="1:9" ht="38.25" hidden="1" outlineLevel="3">
      <c r="A1572" s="833" t="s">
        <v>854</v>
      </c>
      <c r="B1572" s="477" t="s">
        <v>4928</v>
      </c>
      <c r="C1572" s="478"/>
      <c r="D1572" s="477"/>
      <c r="E1572" s="479">
        <v>1812001.11</v>
      </c>
      <c r="F1572" s="479">
        <v>1791960.21</v>
      </c>
      <c r="G1572" s="479">
        <v>1277846.01</v>
      </c>
      <c r="H1572" s="479">
        <v>1090416.6100000001</v>
      </c>
      <c r="I1572" s="480">
        <v>60.18</v>
      </c>
    </row>
    <row r="1573" spans="1:9" ht="38.25" hidden="1" outlineLevel="4">
      <c r="A1573" s="832" t="s">
        <v>854</v>
      </c>
      <c r="B1573" s="482" t="s">
        <v>4928</v>
      </c>
      <c r="C1573" s="831" t="s">
        <v>2086</v>
      </c>
      <c r="D1573" s="482" t="s">
        <v>2087</v>
      </c>
      <c r="E1573" s="484">
        <v>1812001.11</v>
      </c>
      <c r="F1573" s="484">
        <v>1791960.21</v>
      </c>
      <c r="G1573" s="484">
        <v>1277846.01</v>
      </c>
      <c r="H1573" s="484">
        <v>1090416.6100000001</v>
      </c>
      <c r="I1573" s="480">
        <v>60.18</v>
      </c>
    </row>
    <row r="1574" spans="1:9" ht="63.75" hidden="1" outlineLevel="3">
      <c r="A1574" s="833" t="s">
        <v>62</v>
      </c>
      <c r="B1574" s="477" t="s">
        <v>4929</v>
      </c>
      <c r="C1574" s="478"/>
      <c r="D1574" s="477"/>
      <c r="E1574" s="479">
        <v>544000</v>
      </c>
      <c r="F1574" s="479">
        <v>544000</v>
      </c>
      <c r="G1574" s="479">
        <v>544000</v>
      </c>
      <c r="H1574" s="479">
        <v>398040.49</v>
      </c>
      <c r="I1574" s="480">
        <v>73.17</v>
      </c>
    </row>
    <row r="1575" spans="1:9" ht="63.75" hidden="1" outlineLevel="4">
      <c r="A1575" s="832" t="s">
        <v>62</v>
      </c>
      <c r="B1575" s="482" t="s">
        <v>4929</v>
      </c>
      <c r="C1575" s="831" t="s">
        <v>2086</v>
      </c>
      <c r="D1575" s="482" t="s">
        <v>2087</v>
      </c>
      <c r="E1575" s="484">
        <v>544000</v>
      </c>
      <c r="F1575" s="484">
        <v>544000</v>
      </c>
      <c r="G1575" s="484">
        <v>544000</v>
      </c>
      <c r="H1575" s="484">
        <v>398040.49</v>
      </c>
      <c r="I1575" s="480">
        <v>73.17</v>
      </c>
    </row>
    <row r="1576" spans="1:9" hidden="1" outlineLevel="3">
      <c r="A1576" s="833" t="s">
        <v>2474</v>
      </c>
      <c r="B1576" s="477" t="s">
        <v>4930</v>
      </c>
      <c r="C1576" s="478"/>
      <c r="D1576" s="477"/>
      <c r="E1576" s="479">
        <v>367458</v>
      </c>
      <c r="F1576" s="479">
        <v>367458</v>
      </c>
      <c r="G1576" s="479">
        <v>367458</v>
      </c>
      <c r="H1576" s="479">
        <v>367458</v>
      </c>
      <c r="I1576" s="480">
        <v>100</v>
      </c>
    </row>
    <row r="1577" spans="1:9" ht="25.5" hidden="1" outlineLevel="4">
      <c r="A1577" s="832" t="s">
        <v>2474</v>
      </c>
      <c r="B1577" s="482" t="s">
        <v>4930</v>
      </c>
      <c r="C1577" s="831" t="s">
        <v>2086</v>
      </c>
      <c r="D1577" s="482" t="s">
        <v>2087</v>
      </c>
      <c r="E1577" s="484">
        <v>367458</v>
      </c>
      <c r="F1577" s="484">
        <v>367458</v>
      </c>
      <c r="G1577" s="484">
        <v>367458</v>
      </c>
      <c r="H1577" s="484">
        <v>367458</v>
      </c>
      <c r="I1577" s="480">
        <v>100</v>
      </c>
    </row>
    <row r="1578" spans="1:9" ht="76.5" hidden="1" outlineLevel="3">
      <c r="A1578" s="833" t="s">
        <v>1027</v>
      </c>
      <c r="B1578" s="477" t="s">
        <v>4931</v>
      </c>
      <c r="C1578" s="478"/>
      <c r="D1578" s="477"/>
      <c r="E1578" s="479">
        <v>275600</v>
      </c>
      <c r="F1578" s="479">
        <v>181731.9</v>
      </c>
      <c r="G1578" s="479">
        <v>154731.9</v>
      </c>
      <c r="H1578" s="479">
        <v>154731.9</v>
      </c>
      <c r="I1578" s="480">
        <v>56.14</v>
      </c>
    </row>
    <row r="1579" spans="1:9" ht="76.5" hidden="1" outlineLevel="4">
      <c r="A1579" s="832" t="s">
        <v>1027</v>
      </c>
      <c r="B1579" s="482" t="s">
        <v>4931</v>
      </c>
      <c r="C1579" s="831" t="s">
        <v>2086</v>
      </c>
      <c r="D1579" s="482" t="s">
        <v>2087</v>
      </c>
      <c r="E1579" s="484">
        <v>275600</v>
      </c>
      <c r="F1579" s="484">
        <v>181731.9</v>
      </c>
      <c r="G1579" s="484">
        <v>154731.9</v>
      </c>
      <c r="H1579" s="484">
        <v>154731.9</v>
      </c>
      <c r="I1579" s="480">
        <v>56.14</v>
      </c>
    </row>
    <row r="1580" spans="1:9" ht="38.25" hidden="1" outlineLevel="2">
      <c r="A1580" s="850" t="s">
        <v>4932</v>
      </c>
      <c r="B1580" s="472" t="s">
        <v>4933</v>
      </c>
      <c r="C1580" s="473"/>
      <c r="D1580" s="472"/>
      <c r="E1580" s="474">
        <v>35620883.409999996</v>
      </c>
      <c r="F1580" s="474">
        <v>35620883.409999996</v>
      </c>
      <c r="G1580" s="474">
        <v>27787032.510000002</v>
      </c>
      <c r="H1580" s="474">
        <v>25181036.57</v>
      </c>
      <c r="I1580" s="475">
        <v>70.69</v>
      </c>
    </row>
    <row r="1581" spans="1:9" ht="25.5" hidden="1" outlineLevel="3">
      <c r="A1581" s="833" t="s">
        <v>873</v>
      </c>
      <c r="B1581" s="477" t="s">
        <v>4934</v>
      </c>
      <c r="C1581" s="478"/>
      <c r="D1581" s="477"/>
      <c r="E1581" s="479">
        <v>33741485.32</v>
      </c>
      <c r="F1581" s="479">
        <v>33741485.32</v>
      </c>
      <c r="G1581" s="479">
        <v>26000000</v>
      </c>
      <c r="H1581" s="479">
        <v>23482039.120000001</v>
      </c>
      <c r="I1581" s="480">
        <v>69.59</v>
      </c>
    </row>
    <row r="1582" spans="1:9" ht="25.5" hidden="1" outlineLevel="4">
      <c r="A1582" s="832" t="s">
        <v>873</v>
      </c>
      <c r="B1582" s="482" t="s">
        <v>4934</v>
      </c>
      <c r="C1582" s="831" t="s">
        <v>2049</v>
      </c>
      <c r="D1582" s="482" t="s">
        <v>2050</v>
      </c>
      <c r="E1582" s="484">
        <v>33741485.32</v>
      </c>
      <c r="F1582" s="484">
        <v>33741485.32</v>
      </c>
      <c r="G1582" s="484">
        <v>26000000</v>
      </c>
      <c r="H1582" s="484">
        <v>23482039.120000001</v>
      </c>
      <c r="I1582" s="480">
        <v>69.59</v>
      </c>
    </row>
    <row r="1583" spans="1:9" ht="38.25" hidden="1" outlineLevel="3">
      <c r="A1583" s="833" t="s">
        <v>854</v>
      </c>
      <c r="B1583" s="477" t="s">
        <v>4935</v>
      </c>
      <c r="C1583" s="478"/>
      <c r="D1583" s="477"/>
      <c r="E1583" s="479">
        <v>1361314.78</v>
      </c>
      <c r="F1583" s="479">
        <v>1361314.78</v>
      </c>
      <c r="G1583" s="479">
        <v>1268949.2</v>
      </c>
      <c r="H1583" s="479">
        <v>1204470.2</v>
      </c>
      <c r="I1583" s="480">
        <v>88.48</v>
      </c>
    </row>
    <row r="1584" spans="1:9" ht="38.25" hidden="1" outlineLevel="4">
      <c r="A1584" s="832" t="s">
        <v>854</v>
      </c>
      <c r="B1584" s="482" t="s">
        <v>4935</v>
      </c>
      <c r="C1584" s="831" t="s">
        <v>2049</v>
      </c>
      <c r="D1584" s="482" t="s">
        <v>2050</v>
      </c>
      <c r="E1584" s="484">
        <v>1361314.78</v>
      </c>
      <c r="F1584" s="484">
        <v>1361314.78</v>
      </c>
      <c r="G1584" s="484">
        <v>1268949.2</v>
      </c>
      <c r="H1584" s="484">
        <v>1204470.2</v>
      </c>
      <c r="I1584" s="480">
        <v>88.48</v>
      </c>
    </row>
    <row r="1585" spans="1:9" ht="63.75" hidden="1" outlineLevel="3">
      <c r="A1585" s="833" t="s">
        <v>62</v>
      </c>
      <c r="B1585" s="477" t="s">
        <v>4936</v>
      </c>
      <c r="C1585" s="478"/>
      <c r="D1585" s="477"/>
      <c r="E1585" s="479">
        <v>518083.31</v>
      </c>
      <c r="F1585" s="479">
        <v>518083.31</v>
      </c>
      <c r="G1585" s="479">
        <v>518083.31</v>
      </c>
      <c r="H1585" s="479">
        <v>494527.25</v>
      </c>
      <c r="I1585" s="480">
        <v>95.45</v>
      </c>
    </row>
    <row r="1586" spans="1:9" ht="63.75" hidden="1" outlineLevel="4">
      <c r="A1586" s="832" t="s">
        <v>62</v>
      </c>
      <c r="B1586" s="482" t="s">
        <v>4936</v>
      </c>
      <c r="C1586" s="831" t="s">
        <v>2049</v>
      </c>
      <c r="D1586" s="482" t="s">
        <v>2050</v>
      </c>
      <c r="E1586" s="484">
        <v>518083.31</v>
      </c>
      <c r="F1586" s="484">
        <v>518083.31</v>
      </c>
      <c r="G1586" s="484">
        <v>518083.31</v>
      </c>
      <c r="H1586" s="484">
        <v>494527.25</v>
      </c>
      <c r="I1586" s="480">
        <v>95.45</v>
      </c>
    </row>
    <row r="1587" spans="1:9" ht="30.75" collapsed="1" thickBot="1">
      <c r="A1587" s="854" t="s">
        <v>2109</v>
      </c>
      <c r="B1587" s="853" t="s">
        <v>4937</v>
      </c>
      <c r="C1587" s="463"/>
      <c r="D1587" s="853"/>
      <c r="E1587" s="852">
        <v>1902790400.02</v>
      </c>
      <c r="F1587" s="852">
        <v>1862062380.03</v>
      </c>
      <c r="G1587" s="852">
        <v>1207517856.0799999</v>
      </c>
      <c r="H1587" s="852">
        <v>1197467729.3900001</v>
      </c>
      <c r="I1587" s="465">
        <v>62.93</v>
      </c>
    </row>
    <row r="1588" spans="1:9" ht="38.25" hidden="1" outlineLevel="1">
      <c r="A1588" s="851" t="s">
        <v>4938</v>
      </c>
      <c r="B1588" s="467" t="s">
        <v>4939</v>
      </c>
      <c r="C1588" s="468"/>
      <c r="D1588" s="467"/>
      <c r="E1588" s="469">
        <v>1170887573.1900001</v>
      </c>
      <c r="F1588" s="469">
        <v>1130159553.2</v>
      </c>
      <c r="G1588" s="469">
        <v>799907102.09000003</v>
      </c>
      <c r="H1588" s="469">
        <v>789956875.39999998</v>
      </c>
      <c r="I1588" s="470">
        <v>67.47</v>
      </c>
    </row>
    <row r="1589" spans="1:9" ht="76.5" hidden="1" outlineLevel="2">
      <c r="A1589" s="850" t="s">
        <v>4940</v>
      </c>
      <c r="B1589" s="472" t="s">
        <v>4941</v>
      </c>
      <c r="C1589" s="473"/>
      <c r="D1589" s="472"/>
      <c r="E1589" s="474">
        <v>394104821.19999999</v>
      </c>
      <c r="F1589" s="474">
        <v>358104401.04000002</v>
      </c>
      <c r="G1589" s="474">
        <v>272682226.82999998</v>
      </c>
      <c r="H1589" s="474">
        <v>272682226.82999998</v>
      </c>
      <c r="I1589" s="475">
        <v>69.19</v>
      </c>
    </row>
    <row r="1590" spans="1:9" ht="76.5" hidden="1" outlineLevel="3">
      <c r="A1590" s="833" t="s">
        <v>702</v>
      </c>
      <c r="B1590" s="477" t="s">
        <v>4942</v>
      </c>
      <c r="C1590" s="478"/>
      <c r="D1590" s="477"/>
      <c r="E1590" s="479">
        <v>336644821.19999999</v>
      </c>
      <c r="F1590" s="479">
        <v>330644401.04000002</v>
      </c>
      <c r="G1590" s="479">
        <v>245732226.83000001</v>
      </c>
      <c r="H1590" s="479">
        <v>245732226.83000001</v>
      </c>
      <c r="I1590" s="480">
        <v>72.989999999999995</v>
      </c>
    </row>
    <row r="1591" spans="1:9" ht="76.5" hidden="1" outlineLevel="4">
      <c r="A1591" s="832" t="s">
        <v>702</v>
      </c>
      <c r="B1591" s="482" t="s">
        <v>4942</v>
      </c>
      <c r="C1591" s="831" t="s">
        <v>2008</v>
      </c>
      <c r="D1591" s="482" t="s">
        <v>2009</v>
      </c>
      <c r="E1591" s="484">
        <v>336644821.19999999</v>
      </c>
      <c r="F1591" s="484">
        <v>330644401.04000002</v>
      </c>
      <c r="G1591" s="484">
        <v>245732226.83000001</v>
      </c>
      <c r="H1591" s="484">
        <v>245732226.83000001</v>
      </c>
      <c r="I1591" s="480">
        <v>72.989999999999995</v>
      </c>
    </row>
    <row r="1592" spans="1:9" ht="63.75" hidden="1" outlineLevel="3">
      <c r="A1592" s="833" t="s">
        <v>62</v>
      </c>
      <c r="B1592" s="477" t="s">
        <v>4943</v>
      </c>
      <c r="C1592" s="478"/>
      <c r="D1592" s="477"/>
      <c r="E1592" s="479">
        <v>2160000</v>
      </c>
      <c r="F1592" s="479">
        <v>2160000</v>
      </c>
      <c r="G1592" s="479">
        <v>1950000</v>
      </c>
      <c r="H1592" s="479">
        <v>1950000</v>
      </c>
      <c r="I1592" s="480">
        <v>90.28</v>
      </c>
    </row>
    <row r="1593" spans="1:9" ht="63.75" hidden="1" outlineLevel="4">
      <c r="A1593" s="832" t="s">
        <v>62</v>
      </c>
      <c r="B1593" s="482" t="s">
        <v>4943</v>
      </c>
      <c r="C1593" s="831" t="s">
        <v>2008</v>
      </c>
      <c r="D1593" s="482" t="s">
        <v>2009</v>
      </c>
      <c r="E1593" s="484">
        <v>2160000</v>
      </c>
      <c r="F1593" s="484">
        <v>2160000</v>
      </c>
      <c r="G1593" s="484">
        <v>1950000</v>
      </c>
      <c r="H1593" s="484">
        <v>1950000</v>
      </c>
      <c r="I1593" s="480">
        <v>90.28</v>
      </c>
    </row>
    <row r="1594" spans="1:9" ht="51" hidden="1" outlineLevel="3">
      <c r="A1594" s="833" t="s">
        <v>861</v>
      </c>
      <c r="B1594" s="477" t="s">
        <v>4944</v>
      </c>
      <c r="C1594" s="478"/>
      <c r="D1594" s="477"/>
      <c r="E1594" s="479">
        <v>25300000</v>
      </c>
      <c r="F1594" s="479">
        <v>25300000</v>
      </c>
      <c r="G1594" s="479">
        <v>25000000</v>
      </c>
      <c r="H1594" s="479">
        <v>25000000</v>
      </c>
      <c r="I1594" s="480">
        <v>98.81</v>
      </c>
    </row>
    <row r="1595" spans="1:9" ht="51" hidden="1" outlineLevel="4">
      <c r="A1595" s="832" t="s">
        <v>861</v>
      </c>
      <c r="B1595" s="482" t="s">
        <v>4944</v>
      </c>
      <c r="C1595" s="831" t="s">
        <v>1043</v>
      </c>
      <c r="D1595" s="482" t="s">
        <v>1044</v>
      </c>
      <c r="E1595" s="484">
        <v>300000</v>
      </c>
      <c r="F1595" s="484">
        <v>300000</v>
      </c>
      <c r="G1595" s="484">
        <v>0</v>
      </c>
      <c r="H1595" s="484">
        <v>0</v>
      </c>
      <c r="I1595" s="480">
        <v>0</v>
      </c>
    </row>
    <row r="1596" spans="1:9" ht="51" hidden="1" outlineLevel="4">
      <c r="A1596" s="832" t="s">
        <v>861</v>
      </c>
      <c r="B1596" s="482" t="s">
        <v>4944</v>
      </c>
      <c r="C1596" s="831" t="s">
        <v>2008</v>
      </c>
      <c r="D1596" s="482" t="s">
        <v>2009</v>
      </c>
      <c r="E1596" s="484">
        <v>25000000</v>
      </c>
      <c r="F1596" s="484">
        <v>25000000</v>
      </c>
      <c r="G1596" s="484">
        <v>25000000</v>
      </c>
      <c r="H1596" s="484">
        <v>25000000</v>
      </c>
      <c r="I1596" s="480">
        <v>100</v>
      </c>
    </row>
    <row r="1597" spans="1:9" ht="25.5" hidden="1" outlineLevel="3">
      <c r="A1597" s="833" t="s">
        <v>4945</v>
      </c>
      <c r="B1597" s="477" t="s">
        <v>4946</v>
      </c>
      <c r="C1597" s="478"/>
      <c r="D1597" s="477"/>
      <c r="E1597" s="479">
        <v>30000000</v>
      </c>
      <c r="F1597" s="479">
        <v>0</v>
      </c>
      <c r="G1597" s="479">
        <v>0</v>
      </c>
      <c r="H1597" s="479">
        <v>0</v>
      </c>
      <c r="I1597" s="480">
        <v>0</v>
      </c>
    </row>
    <row r="1598" spans="1:9" ht="25.5" hidden="1" outlineLevel="4">
      <c r="A1598" s="832" t="s">
        <v>4945</v>
      </c>
      <c r="B1598" s="482" t="s">
        <v>4946</v>
      </c>
      <c r="C1598" s="831" t="s">
        <v>2008</v>
      </c>
      <c r="D1598" s="482" t="s">
        <v>2009</v>
      </c>
      <c r="E1598" s="484">
        <v>30000000</v>
      </c>
      <c r="F1598" s="484">
        <v>0</v>
      </c>
      <c r="G1598" s="484">
        <v>0</v>
      </c>
      <c r="H1598" s="484">
        <v>0</v>
      </c>
      <c r="I1598" s="480">
        <v>0</v>
      </c>
    </row>
    <row r="1599" spans="1:9" ht="63.75" hidden="1" outlineLevel="2">
      <c r="A1599" s="850" t="s">
        <v>4947</v>
      </c>
      <c r="B1599" s="472" t="s">
        <v>4948</v>
      </c>
      <c r="C1599" s="473"/>
      <c r="D1599" s="472"/>
      <c r="E1599" s="474">
        <v>87225094.230000004</v>
      </c>
      <c r="F1599" s="474">
        <v>87225094.230000004</v>
      </c>
      <c r="G1599" s="474">
        <v>37338057.960000001</v>
      </c>
      <c r="H1599" s="474">
        <v>36294700.630000003</v>
      </c>
      <c r="I1599" s="475">
        <v>41.61</v>
      </c>
    </row>
    <row r="1600" spans="1:9" ht="51" hidden="1" outlineLevel="3">
      <c r="A1600" s="833" t="s">
        <v>861</v>
      </c>
      <c r="B1600" s="477" t="s">
        <v>4949</v>
      </c>
      <c r="C1600" s="478"/>
      <c r="D1600" s="477"/>
      <c r="E1600" s="479">
        <v>26490000</v>
      </c>
      <c r="F1600" s="479">
        <v>26490000</v>
      </c>
      <c r="G1600" s="479">
        <v>9186500</v>
      </c>
      <c r="H1600" s="479">
        <v>9186500</v>
      </c>
      <c r="I1600" s="480">
        <v>34.68</v>
      </c>
    </row>
    <row r="1601" spans="1:9" ht="51" hidden="1" outlineLevel="4">
      <c r="A1601" s="832" t="s">
        <v>861</v>
      </c>
      <c r="B1601" s="482" t="s">
        <v>4949</v>
      </c>
      <c r="C1601" s="831" t="s">
        <v>711</v>
      </c>
      <c r="D1601" s="482" t="s">
        <v>712</v>
      </c>
      <c r="E1601" s="484">
        <v>20760000</v>
      </c>
      <c r="F1601" s="484">
        <v>20760000</v>
      </c>
      <c r="G1601" s="484">
        <v>9186500</v>
      </c>
      <c r="H1601" s="484">
        <v>9186500</v>
      </c>
      <c r="I1601" s="480">
        <v>44.25</v>
      </c>
    </row>
    <row r="1602" spans="1:9" ht="51" hidden="1" outlineLevel="4">
      <c r="A1602" s="832" t="s">
        <v>861</v>
      </c>
      <c r="B1602" s="482" t="s">
        <v>4949</v>
      </c>
      <c r="C1602" s="831" t="s">
        <v>1043</v>
      </c>
      <c r="D1602" s="482" t="s">
        <v>1044</v>
      </c>
      <c r="E1602" s="484">
        <v>5730000</v>
      </c>
      <c r="F1602" s="484">
        <v>5730000</v>
      </c>
      <c r="G1602" s="484">
        <v>0</v>
      </c>
      <c r="H1602" s="484">
        <v>0</v>
      </c>
      <c r="I1602" s="480">
        <v>0</v>
      </c>
    </row>
    <row r="1603" spans="1:9" ht="63.75" hidden="1" outlineLevel="3">
      <c r="A1603" s="833" t="s">
        <v>4950</v>
      </c>
      <c r="B1603" s="477" t="s">
        <v>4951</v>
      </c>
      <c r="C1603" s="478"/>
      <c r="D1603" s="477"/>
      <c r="E1603" s="479">
        <v>2150050</v>
      </c>
      <c r="F1603" s="479">
        <v>2150050</v>
      </c>
      <c r="G1603" s="479">
        <v>0</v>
      </c>
      <c r="H1603" s="479">
        <v>0</v>
      </c>
      <c r="I1603" s="480">
        <v>0</v>
      </c>
    </row>
    <row r="1604" spans="1:9" ht="63.75" hidden="1" outlineLevel="4">
      <c r="A1604" s="832" t="s">
        <v>4950</v>
      </c>
      <c r="B1604" s="482" t="s">
        <v>4951</v>
      </c>
      <c r="C1604" s="831" t="s">
        <v>711</v>
      </c>
      <c r="D1604" s="482" t="s">
        <v>712</v>
      </c>
      <c r="E1604" s="484">
        <v>2150050</v>
      </c>
      <c r="F1604" s="484">
        <v>2150050</v>
      </c>
      <c r="G1604" s="484">
        <v>0</v>
      </c>
      <c r="H1604" s="484">
        <v>0</v>
      </c>
      <c r="I1604" s="480">
        <v>0</v>
      </c>
    </row>
    <row r="1605" spans="1:9" ht="51" hidden="1" outlineLevel="3">
      <c r="A1605" s="833" t="s">
        <v>4952</v>
      </c>
      <c r="B1605" s="477" t="s">
        <v>4953</v>
      </c>
      <c r="C1605" s="478"/>
      <c r="D1605" s="477"/>
      <c r="E1605" s="479">
        <v>1600000</v>
      </c>
      <c r="F1605" s="479">
        <v>1600000</v>
      </c>
      <c r="G1605" s="479">
        <v>929500</v>
      </c>
      <c r="H1605" s="479">
        <v>929500</v>
      </c>
      <c r="I1605" s="480">
        <v>58.09</v>
      </c>
    </row>
    <row r="1606" spans="1:9" ht="51" hidden="1" outlineLevel="4">
      <c r="A1606" s="832" t="s">
        <v>4952</v>
      </c>
      <c r="B1606" s="482" t="s">
        <v>4953</v>
      </c>
      <c r="C1606" s="831" t="s">
        <v>2008</v>
      </c>
      <c r="D1606" s="482" t="s">
        <v>2009</v>
      </c>
      <c r="E1606" s="484">
        <v>1600000</v>
      </c>
      <c r="F1606" s="484">
        <v>1600000</v>
      </c>
      <c r="G1606" s="484">
        <v>929500</v>
      </c>
      <c r="H1606" s="484">
        <v>929500</v>
      </c>
      <c r="I1606" s="480">
        <v>58.09</v>
      </c>
    </row>
    <row r="1607" spans="1:9" ht="76.5" hidden="1" outlineLevel="3">
      <c r="A1607" s="833" t="s">
        <v>2171</v>
      </c>
      <c r="B1607" s="477" t="s">
        <v>4954</v>
      </c>
      <c r="C1607" s="478"/>
      <c r="D1607" s="477"/>
      <c r="E1607" s="479">
        <v>25000000</v>
      </c>
      <c r="F1607" s="479">
        <v>25000000</v>
      </c>
      <c r="G1607" s="479">
        <v>14639987.5</v>
      </c>
      <c r="H1607" s="479">
        <v>14639987.5</v>
      </c>
      <c r="I1607" s="480">
        <v>58.56</v>
      </c>
    </row>
    <row r="1608" spans="1:9" ht="76.5" hidden="1" outlineLevel="4">
      <c r="A1608" s="832" t="s">
        <v>2171</v>
      </c>
      <c r="B1608" s="482" t="s">
        <v>4954</v>
      </c>
      <c r="C1608" s="831" t="s">
        <v>2008</v>
      </c>
      <c r="D1608" s="482" t="s">
        <v>2009</v>
      </c>
      <c r="E1608" s="484">
        <v>25000000</v>
      </c>
      <c r="F1608" s="484">
        <v>25000000</v>
      </c>
      <c r="G1608" s="484">
        <v>14639987.5</v>
      </c>
      <c r="H1608" s="484">
        <v>14639987.5</v>
      </c>
      <c r="I1608" s="480">
        <v>58.56</v>
      </c>
    </row>
    <row r="1609" spans="1:9" ht="102" hidden="1" outlineLevel="3">
      <c r="A1609" s="833" t="s">
        <v>2173</v>
      </c>
      <c r="B1609" s="477" t="s">
        <v>4955</v>
      </c>
      <c r="C1609" s="478"/>
      <c r="D1609" s="477"/>
      <c r="E1609" s="479">
        <v>1100000</v>
      </c>
      <c r="F1609" s="479">
        <v>1100000</v>
      </c>
      <c r="G1609" s="479">
        <v>933525</v>
      </c>
      <c r="H1609" s="479">
        <v>783550</v>
      </c>
      <c r="I1609" s="480">
        <v>71.23</v>
      </c>
    </row>
    <row r="1610" spans="1:9" ht="102" hidden="1" outlineLevel="4">
      <c r="A1610" s="832" t="s">
        <v>2173</v>
      </c>
      <c r="B1610" s="482" t="s">
        <v>4955</v>
      </c>
      <c r="C1610" s="831" t="s">
        <v>2008</v>
      </c>
      <c r="D1610" s="482" t="s">
        <v>2009</v>
      </c>
      <c r="E1610" s="484">
        <v>1100000</v>
      </c>
      <c r="F1610" s="484">
        <v>1100000</v>
      </c>
      <c r="G1610" s="484">
        <v>933525</v>
      </c>
      <c r="H1610" s="484">
        <v>783550</v>
      </c>
      <c r="I1610" s="480">
        <v>71.23</v>
      </c>
    </row>
    <row r="1611" spans="1:9" ht="51" hidden="1" outlineLevel="3">
      <c r="A1611" s="833" t="s">
        <v>4956</v>
      </c>
      <c r="B1611" s="477" t="s">
        <v>4957</v>
      </c>
      <c r="C1611" s="478"/>
      <c r="D1611" s="477"/>
      <c r="E1611" s="479">
        <v>25472900</v>
      </c>
      <c r="F1611" s="479">
        <v>25472900</v>
      </c>
      <c r="G1611" s="479">
        <v>10594570.25</v>
      </c>
      <c r="H1611" s="479">
        <v>10594570.25</v>
      </c>
      <c r="I1611" s="480">
        <v>41.59</v>
      </c>
    </row>
    <row r="1612" spans="1:9" ht="51" hidden="1" outlineLevel="4">
      <c r="A1612" s="832" t="s">
        <v>4956</v>
      </c>
      <c r="B1612" s="482" t="s">
        <v>4957</v>
      </c>
      <c r="C1612" s="831" t="s">
        <v>2008</v>
      </c>
      <c r="D1612" s="482" t="s">
        <v>2009</v>
      </c>
      <c r="E1612" s="484">
        <v>25472900</v>
      </c>
      <c r="F1612" s="484">
        <v>25472900</v>
      </c>
      <c r="G1612" s="484">
        <v>10594570.25</v>
      </c>
      <c r="H1612" s="484">
        <v>10594570.25</v>
      </c>
      <c r="I1612" s="480">
        <v>41.59</v>
      </c>
    </row>
    <row r="1613" spans="1:9" ht="51" hidden="1" outlineLevel="3">
      <c r="A1613" s="833" t="s">
        <v>2126</v>
      </c>
      <c r="B1613" s="477" t="s">
        <v>4958</v>
      </c>
      <c r="C1613" s="478"/>
      <c r="D1613" s="477"/>
      <c r="E1613" s="479">
        <v>1053975.21</v>
      </c>
      <c r="F1613" s="479">
        <v>1053975.21</v>
      </c>
      <c r="G1613" s="479">
        <v>1053975.21</v>
      </c>
      <c r="H1613" s="479">
        <v>160592.88</v>
      </c>
      <c r="I1613" s="480">
        <v>15.24</v>
      </c>
    </row>
    <row r="1614" spans="1:9" ht="51" hidden="1" outlineLevel="4">
      <c r="A1614" s="832" t="s">
        <v>2126</v>
      </c>
      <c r="B1614" s="482" t="s">
        <v>4958</v>
      </c>
      <c r="C1614" s="831" t="s">
        <v>2124</v>
      </c>
      <c r="D1614" s="482" t="s">
        <v>2125</v>
      </c>
      <c r="E1614" s="484">
        <v>1053975.21</v>
      </c>
      <c r="F1614" s="484">
        <v>1053975.21</v>
      </c>
      <c r="G1614" s="484">
        <v>1053975.21</v>
      </c>
      <c r="H1614" s="484">
        <v>160592.88</v>
      </c>
      <c r="I1614" s="480">
        <v>15.24</v>
      </c>
    </row>
    <row r="1615" spans="1:9" ht="25.5" hidden="1" outlineLevel="3">
      <c r="A1615" s="833" t="s">
        <v>2128</v>
      </c>
      <c r="B1615" s="477" t="s">
        <v>4959</v>
      </c>
      <c r="C1615" s="478"/>
      <c r="D1615" s="477"/>
      <c r="E1615" s="479">
        <v>4358169.0199999996</v>
      </c>
      <c r="F1615" s="479">
        <v>4358169.0199999996</v>
      </c>
      <c r="G1615" s="479">
        <v>0</v>
      </c>
      <c r="H1615" s="479">
        <v>0</v>
      </c>
      <c r="I1615" s="480">
        <v>0</v>
      </c>
    </row>
    <row r="1616" spans="1:9" ht="25.5" hidden="1" outlineLevel="4">
      <c r="A1616" s="832" t="s">
        <v>2128</v>
      </c>
      <c r="B1616" s="482" t="s">
        <v>4959</v>
      </c>
      <c r="C1616" s="831" t="s">
        <v>711</v>
      </c>
      <c r="D1616" s="482" t="s">
        <v>712</v>
      </c>
      <c r="E1616" s="484">
        <v>4358169.0199999996</v>
      </c>
      <c r="F1616" s="484">
        <v>4358169.0199999996</v>
      </c>
      <c r="G1616" s="484">
        <v>0</v>
      </c>
      <c r="H1616" s="484">
        <v>0</v>
      </c>
      <c r="I1616" s="480">
        <v>0</v>
      </c>
    </row>
    <row r="1617" spans="1:9" ht="63.75" hidden="1" outlineLevel="2">
      <c r="A1617" s="850" t="s">
        <v>4960</v>
      </c>
      <c r="B1617" s="472" t="s">
        <v>4961</v>
      </c>
      <c r="C1617" s="473"/>
      <c r="D1617" s="472"/>
      <c r="E1617" s="474">
        <v>599349822.41999996</v>
      </c>
      <c r="F1617" s="474">
        <v>599349821.13</v>
      </c>
      <c r="G1617" s="474">
        <v>423045620.04000002</v>
      </c>
      <c r="H1617" s="474">
        <v>423045620.04000002</v>
      </c>
      <c r="I1617" s="475">
        <v>70.58</v>
      </c>
    </row>
    <row r="1618" spans="1:9" ht="76.5" hidden="1" outlineLevel="3">
      <c r="A1618" s="833" t="s">
        <v>702</v>
      </c>
      <c r="B1618" s="477" t="s">
        <v>4962</v>
      </c>
      <c r="C1618" s="478"/>
      <c r="D1618" s="477"/>
      <c r="E1618" s="479">
        <v>552145372.41999996</v>
      </c>
      <c r="F1618" s="479">
        <v>552145371.13</v>
      </c>
      <c r="G1618" s="479">
        <v>391696616.75</v>
      </c>
      <c r="H1618" s="479">
        <v>391696616.75</v>
      </c>
      <c r="I1618" s="480">
        <v>70.94</v>
      </c>
    </row>
    <row r="1619" spans="1:9" ht="76.5" hidden="1" outlineLevel="4">
      <c r="A1619" s="832" t="s">
        <v>702</v>
      </c>
      <c r="B1619" s="482" t="s">
        <v>4962</v>
      </c>
      <c r="C1619" s="831" t="s">
        <v>2008</v>
      </c>
      <c r="D1619" s="482" t="s">
        <v>2009</v>
      </c>
      <c r="E1619" s="484">
        <v>552145372.41999996</v>
      </c>
      <c r="F1619" s="484">
        <v>552145371.13</v>
      </c>
      <c r="G1619" s="484">
        <v>391696616.75</v>
      </c>
      <c r="H1619" s="484">
        <v>391696616.75</v>
      </c>
      <c r="I1619" s="480">
        <v>70.94</v>
      </c>
    </row>
    <row r="1620" spans="1:9" ht="89.25" hidden="1" outlineLevel="3">
      <c r="A1620" s="833" t="s">
        <v>3964</v>
      </c>
      <c r="B1620" s="477" t="s">
        <v>4963</v>
      </c>
      <c r="C1620" s="478"/>
      <c r="D1620" s="477"/>
      <c r="E1620" s="479">
        <v>35198790</v>
      </c>
      <c r="F1620" s="479">
        <v>35198790</v>
      </c>
      <c r="G1620" s="479">
        <v>25423000</v>
      </c>
      <c r="H1620" s="479">
        <v>25423000</v>
      </c>
      <c r="I1620" s="480">
        <v>72.23</v>
      </c>
    </row>
    <row r="1621" spans="1:9" ht="89.25" hidden="1" outlineLevel="4">
      <c r="A1621" s="832" t="s">
        <v>3964</v>
      </c>
      <c r="B1621" s="482" t="s">
        <v>4963</v>
      </c>
      <c r="C1621" s="831" t="s">
        <v>2008</v>
      </c>
      <c r="D1621" s="482" t="s">
        <v>2009</v>
      </c>
      <c r="E1621" s="484">
        <v>35198790</v>
      </c>
      <c r="F1621" s="484">
        <v>35198790</v>
      </c>
      <c r="G1621" s="484">
        <v>25423000</v>
      </c>
      <c r="H1621" s="484">
        <v>25423000</v>
      </c>
      <c r="I1621" s="480">
        <v>72.23</v>
      </c>
    </row>
    <row r="1622" spans="1:9" ht="63.75" hidden="1" outlineLevel="3">
      <c r="A1622" s="833" t="s">
        <v>62</v>
      </c>
      <c r="B1622" s="477" t="s">
        <v>4964</v>
      </c>
      <c r="C1622" s="478"/>
      <c r="D1622" s="477"/>
      <c r="E1622" s="479">
        <v>12005660</v>
      </c>
      <c r="F1622" s="479">
        <v>12005660</v>
      </c>
      <c r="G1622" s="479">
        <v>5926003.29</v>
      </c>
      <c r="H1622" s="479">
        <v>5926003.29</v>
      </c>
      <c r="I1622" s="480">
        <v>49.36</v>
      </c>
    </row>
    <row r="1623" spans="1:9" ht="63.75" hidden="1" outlineLevel="4">
      <c r="A1623" s="832" t="s">
        <v>62</v>
      </c>
      <c r="B1623" s="482" t="s">
        <v>4964</v>
      </c>
      <c r="C1623" s="831" t="s">
        <v>2008</v>
      </c>
      <c r="D1623" s="482" t="s">
        <v>2009</v>
      </c>
      <c r="E1623" s="484">
        <v>12005660</v>
      </c>
      <c r="F1623" s="484">
        <v>12005660</v>
      </c>
      <c r="G1623" s="484">
        <v>5926003.29</v>
      </c>
      <c r="H1623" s="484">
        <v>5926003.29</v>
      </c>
      <c r="I1623" s="480">
        <v>49.36</v>
      </c>
    </row>
    <row r="1624" spans="1:9" ht="63.75" hidden="1" outlineLevel="2">
      <c r="A1624" s="850" t="s">
        <v>4965</v>
      </c>
      <c r="B1624" s="472" t="s">
        <v>4966</v>
      </c>
      <c r="C1624" s="473"/>
      <c r="D1624" s="472"/>
      <c r="E1624" s="474">
        <v>71394441.340000004</v>
      </c>
      <c r="F1624" s="474">
        <v>66666842.799999997</v>
      </c>
      <c r="G1624" s="474">
        <v>51672662.259999998</v>
      </c>
      <c r="H1624" s="474">
        <v>42794874.899999999</v>
      </c>
      <c r="I1624" s="475">
        <v>59.94</v>
      </c>
    </row>
    <row r="1625" spans="1:9" ht="25.5" hidden="1" outlineLevel="3">
      <c r="A1625" s="833" t="s">
        <v>873</v>
      </c>
      <c r="B1625" s="477" t="s">
        <v>4967</v>
      </c>
      <c r="C1625" s="478"/>
      <c r="D1625" s="477"/>
      <c r="E1625" s="479">
        <v>65208982.149999999</v>
      </c>
      <c r="F1625" s="479">
        <v>60481383.609999999</v>
      </c>
      <c r="G1625" s="479">
        <v>49174680</v>
      </c>
      <c r="H1625" s="479">
        <v>40603760.259999998</v>
      </c>
      <c r="I1625" s="480">
        <v>62.27</v>
      </c>
    </row>
    <row r="1626" spans="1:9" ht="25.5" hidden="1" outlineLevel="4">
      <c r="A1626" s="832" t="s">
        <v>873</v>
      </c>
      <c r="B1626" s="482" t="s">
        <v>4967</v>
      </c>
      <c r="C1626" s="831" t="s">
        <v>2008</v>
      </c>
      <c r="D1626" s="482" t="s">
        <v>2009</v>
      </c>
      <c r="E1626" s="484">
        <v>65208982.149999999</v>
      </c>
      <c r="F1626" s="484">
        <v>60481383.609999999</v>
      </c>
      <c r="G1626" s="484">
        <v>49174680</v>
      </c>
      <c r="H1626" s="484">
        <v>40603760.259999998</v>
      </c>
      <c r="I1626" s="480">
        <v>62.27</v>
      </c>
    </row>
    <row r="1627" spans="1:9" ht="38.25" hidden="1" outlineLevel="3">
      <c r="A1627" s="833" t="s">
        <v>854</v>
      </c>
      <c r="B1627" s="477" t="s">
        <v>4968</v>
      </c>
      <c r="C1627" s="478"/>
      <c r="D1627" s="477"/>
      <c r="E1627" s="479">
        <v>2690000</v>
      </c>
      <c r="F1627" s="479">
        <v>2690000</v>
      </c>
      <c r="G1627" s="479">
        <v>1598523.07</v>
      </c>
      <c r="H1627" s="479">
        <v>1387171.45</v>
      </c>
      <c r="I1627" s="480">
        <v>51.57</v>
      </c>
    </row>
    <row r="1628" spans="1:9" ht="38.25" hidden="1" outlineLevel="4">
      <c r="A1628" s="832" t="s">
        <v>854</v>
      </c>
      <c r="B1628" s="482" t="s">
        <v>4968</v>
      </c>
      <c r="C1628" s="831" t="s">
        <v>2008</v>
      </c>
      <c r="D1628" s="482" t="s">
        <v>2009</v>
      </c>
      <c r="E1628" s="484">
        <v>2690000</v>
      </c>
      <c r="F1628" s="484">
        <v>2690000</v>
      </c>
      <c r="G1628" s="484">
        <v>1598523.07</v>
      </c>
      <c r="H1628" s="484">
        <v>1387171.45</v>
      </c>
      <c r="I1628" s="480">
        <v>51.57</v>
      </c>
    </row>
    <row r="1629" spans="1:9" ht="63.75" hidden="1" outlineLevel="3">
      <c r="A1629" s="833" t="s">
        <v>62</v>
      </c>
      <c r="B1629" s="477" t="s">
        <v>4969</v>
      </c>
      <c r="C1629" s="478"/>
      <c r="D1629" s="477"/>
      <c r="E1629" s="479">
        <v>845459.19</v>
      </c>
      <c r="F1629" s="479">
        <v>845459.19</v>
      </c>
      <c r="G1629" s="479">
        <v>845459.19</v>
      </c>
      <c r="H1629" s="479">
        <v>749943.19</v>
      </c>
      <c r="I1629" s="480">
        <v>88.7</v>
      </c>
    </row>
    <row r="1630" spans="1:9" ht="63.75" hidden="1" outlineLevel="4">
      <c r="A1630" s="832" t="s">
        <v>62</v>
      </c>
      <c r="B1630" s="482" t="s">
        <v>4969</v>
      </c>
      <c r="C1630" s="831" t="s">
        <v>2008</v>
      </c>
      <c r="D1630" s="482" t="s">
        <v>2009</v>
      </c>
      <c r="E1630" s="484">
        <v>845459.19</v>
      </c>
      <c r="F1630" s="484">
        <v>845459.19</v>
      </c>
      <c r="G1630" s="484">
        <v>845459.19</v>
      </c>
      <c r="H1630" s="484">
        <v>749943.19</v>
      </c>
      <c r="I1630" s="480">
        <v>88.7</v>
      </c>
    </row>
    <row r="1631" spans="1:9" ht="25.5" hidden="1" outlineLevel="3">
      <c r="A1631" s="833" t="s">
        <v>713</v>
      </c>
      <c r="B1631" s="477" t="s">
        <v>4970</v>
      </c>
      <c r="C1631" s="478"/>
      <c r="D1631" s="477"/>
      <c r="E1631" s="479">
        <v>2650000</v>
      </c>
      <c r="F1631" s="479">
        <v>2650000</v>
      </c>
      <c r="G1631" s="479">
        <v>54000</v>
      </c>
      <c r="H1631" s="479">
        <v>54000</v>
      </c>
      <c r="I1631" s="480">
        <v>2.04</v>
      </c>
    </row>
    <row r="1632" spans="1:9" ht="25.5" hidden="1" outlineLevel="4">
      <c r="A1632" s="832" t="s">
        <v>713</v>
      </c>
      <c r="B1632" s="482" t="s">
        <v>4970</v>
      </c>
      <c r="C1632" s="831" t="s">
        <v>2008</v>
      </c>
      <c r="D1632" s="482" t="s">
        <v>2009</v>
      </c>
      <c r="E1632" s="484">
        <v>2650000</v>
      </c>
      <c r="F1632" s="484">
        <v>2650000</v>
      </c>
      <c r="G1632" s="484">
        <v>54000</v>
      </c>
      <c r="H1632" s="484">
        <v>54000</v>
      </c>
      <c r="I1632" s="480">
        <v>2.04</v>
      </c>
    </row>
    <row r="1633" spans="1:9" ht="51" hidden="1" outlineLevel="2">
      <c r="A1633" s="850" t="s">
        <v>4971</v>
      </c>
      <c r="B1633" s="472" t="s">
        <v>4972</v>
      </c>
      <c r="C1633" s="473"/>
      <c r="D1633" s="472"/>
      <c r="E1633" s="474">
        <v>135000</v>
      </c>
      <c r="F1633" s="474">
        <v>135000</v>
      </c>
      <c r="G1633" s="474">
        <v>0</v>
      </c>
      <c r="H1633" s="474">
        <v>0</v>
      </c>
      <c r="I1633" s="475">
        <v>0</v>
      </c>
    </row>
    <row r="1634" spans="1:9" ht="76.5" hidden="1" outlineLevel="3">
      <c r="A1634" s="833" t="s">
        <v>702</v>
      </c>
      <c r="B1634" s="477" t="s">
        <v>4973</v>
      </c>
      <c r="C1634" s="478"/>
      <c r="D1634" s="477"/>
      <c r="E1634" s="479">
        <v>135000</v>
      </c>
      <c r="F1634" s="479">
        <v>135000</v>
      </c>
      <c r="G1634" s="479">
        <v>0</v>
      </c>
      <c r="H1634" s="479">
        <v>0</v>
      </c>
      <c r="I1634" s="480">
        <v>0</v>
      </c>
    </row>
    <row r="1635" spans="1:9" ht="76.5" hidden="1" outlineLevel="4">
      <c r="A1635" s="832" t="s">
        <v>702</v>
      </c>
      <c r="B1635" s="482" t="s">
        <v>4973</v>
      </c>
      <c r="C1635" s="831" t="s">
        <v>2008</v>
      </c>
      <c r="D1635" s="482" t="s">
        <v>2009</v>
      </c>
      <c r="E1635" s="484">
        <v>135000</v>
      </c>
      <c r="F1635" s="484">
        <v>135000</v>
      </c>
      <c r="G1635" s="484">
        <v>0</v>
      </c>
      <c r="H1635" s="484">
        <v>0</v>
      </c>
      <c r="I1635" s="480">
        <v>0</v>
      </c>
    </row>
    <row r="1636" spans="1:9" ht="25.5" hidden="1" outlineLevel="2">
      <c r="A1636" s="850" t="s">
        <v>2159</v>
      </c>
      <c r="B1636" s="472" t="s">
        <v>4974</v>
      </c>
      <c r="C1636" s="473"/>
      <c r="D1636" s="472"/>
      <c r="E1636" s="474">
        <v>14155764</v>
      </c>
      <c r="F1636" s="474">
        <v>14155764</v>
      </c>
      <c r="G1636" s="474">
        <v>10645905</v>
      </c>
      <c r="H1636" s="474">
        <v>10616823</v>
      </c>
      <c r="I1636" s="475">
        <v>75</v>
      </c>
    </row>
    <row r="1637" spans="1:9" ht="63.75" hidden="1" outlineLevel="3">
      <c r="A1637" s="833" t="s">
        <v>2161</v>
      </c>
      <c r="B1637" s="477" t="s">
        <v>4975</v>
      </c>
      <c r="C1637" s="478"/>
      <c r="D1637" s="477"/>
      <c r="E1637" s="479">
        <v>14155764</v>
      </c>
      <c r="F1637" s="479">
        <v>14155764</v>
      </c>
      <c r="G1637" s="479">
        <v>10645905</v>
      </c>
      <c r="H1637" s="479">
        <v>10616823</v>
      </c>
      <c r="I1637" s="480">
        <v>75</v>
      </c>
    </row>
    <row r="1638" spans="1:9" ht="63.75" hidden="1" outlineLevel="4">
      <c r="A1638" s="832" t="s">
        <v>2161</v>
      </c>
      <c r="B1638" s="482" t="s">
        <v>4975</v>
      </c>
      <c r="C1638" s="831" t="s">
        <v>2008</v>
      </c>
      <c r="D1638" s="482" t="s">
        <v>2009</v>
      </c>
      <c r="E1638" s="484">
        <v>14155764</v>
      </c>
      <c r="F1638" s="484">
        <v>14155764</v>
      </c>
      <c r="G1638" s="484">
        <v>10645905</v>
      </c>
      <c r="H1638" s="484">
        <v>10616823</v>
      </c>
      <c r="I1638" s="480">
        <v>75</v>
      </c>
    </row>
    <row r="1639" spans="1:9" ht="25.5" hidden="1" outlineLevel="2">
      <c r="A1639" s="850" t="s">
        <v>2163</v>
      </c>
      <c r="B1639" s="472" t="s">
        <v>4976</v>
      </c>
      <c r="C1639" s="473"/>
      <c r="D1639" s="472"/>
      <c r="E1639" s="474">
        <v>4522630</v>
      </c>
      <c r="F1639" s="474">
        <v>4522630</v>
      </c>
      <c r="G1639" s="474">
        <v>4522630</v>
      </c>
      <c r="H1639" s="474">
        <v>4522630</v>
      </c>
      <c r="I1639" s="475">
        <v>100</v>
      </c>
    </row>
    <row r="1640" spans="1:9" ht="63.75" hidden="1" outlineLevel="3">
      <c r="A1640" s="833" t="s">
        <v>2165</v>
      </c>
      <c r="B1640" s="477" t="s">
        <v>4977</v>
      </c>
      <c r="C1640" s="478"/>
      <c r="D1640" s="477"/>
      <c r="E1640" s="479">
        <v>4522630</v>
      </c>
      <c r="F1640" s="479">
        <v>4522630</v>
      </c>
      <c r="G1640" s="479">
        <v>4522630</v>
      </c>
      <c r="H1640" s="479">
        <v>4522630</v>
      </c>
      <c r="I1640" s="480">
        <v>100</v>
      </c>
    </row>
    <row r="1641" spans="1:9" ht="63.75" hidden="1" outlineLevel="4">
      <c r="A1641" s="832" t="s">
        <v>2165</v>
      </c>
      <c r="B1641" s="482" t="s">
        <v>4977</v>
      </c>
      <c r="C1641" s="831" t="s">
        <v>2008</v>
      </c>
      <c r="D1641" s="482" t="s">
        <v>2009</v>
      </c>
      <c r="E1641" s="484">
        <v>4522630</v>
      </c>
      <c r="F1641" s="484">
        <v>4522630</v>
      </c>
      <c r="G1641" s="484">
        <v>4522630</v>
      </c>
      <c r="H1641" s="484">
        <v>4522630</v>
      </c>
      <c r="I1641" s="480">
        <v>100</v>
      </c>
    </row>
    <row r="1642" spans="1:9" ht="76.5" hidden="1" outlineLevel="1">
      <c r="A1642" s="851" t="s">
        <v>4978</v>
      </c>
      <c r="B1642" s="467" t="s">
        <v>4979</v>
      </c>
      <c r="C1642" s="468"/>
      <c r="D1642" s="467"/>
      <c r="E1642" s="469">
        <v>731902826.83000004</v>
      </c>
      <c r="F1642" s="469">
        <v>731902826.83000004</v>
      </c>
      <c r="G1642" s="469">
        <v>407610753.99000001</v>
      </c>
      <c r="H1642" s="469">
        <v>407510853.99000001</v>
      </c>
      <c r="I1642" s="470">
        <v>55.68</v>
      </c>
    </row>
    <row r="1643" spans="1:9" ht="25.5" hidden="1" outlineLevel="2">
      <c r="A1643" s="850" t="s">
        <v>4980</v>
      </c>
      <c r="B1643" s="472" t="s">
        <v>4981</v>
      </c>
      <c r="C1643" s="473"/>
      <c r="D1643" s="472"/>
      <c r="E1643" s="474">
        <v>731902826.83000004</v>
      </c>
      <c r="F1643" s="474">
        <v>731902826.83000004</v>
      </c>
      <c r="G1643" s="474">
        <v>407610753.99000001</v>
      </c>
      <c r="H1643" s="474">
        <v>407510853.99000001</v>
      </c>
      <c r="I1643" s="475">
        <v>55.68</v>
      </c>
    </row>
    <row r="1644" spans="1:9" ht="51" hidden="1" outlineLevel="3">
      <c r="A1644" s="833" t="s">
        <v>861</v>
      </c>
      <c r="B1644" s="477" t="s">
        <v>4982</v>
      </c>
      <c r="C1644" s="478"/>
      <c r="D1644" s="477"/>
      <c r="E1644" s="479">
        <v>731902826.83000004</v>
      </c>
      <c r="F1644" s="479">
        <v>731902826.83000004</v>
      </c>
      <c r="G1644" s="479">
        <v>407610753.99000001</v>
      </c>
      <c r="H1644" s="479">
        <v>407510853.99000001</v>
      </c>
      <c r="I1644" s="480">
        <v>55.68</v>
      </c>
    </row>
    <row r="1645" spans="1:9" ht="51" hidden="1" outlineLevel="4">
      <c r="A1645" s="832" t="s">
        <v>861</v>
      </c>
      <c r="B1645" s="482" t="s">
        <v>4982</v>
      </c>
      <c r="C1645" s="831" t="s">
        <v>2008</v>
      </c>
      <c r="D1645" s="482" t="s">
        <v>2009</v>
      </c>
      <c r="E1645" s="484">
        <v>731902826.83000004</v>
      </c>
      <c r="F1645" s="484">
        <v>731902826.83000004</v>
      </c>
      <c r="G1645" s="484">
        <v>407610753.99000001</v>
      </c>
      <c r="H1645" s="484">
        <v>407510853.99000001</v>
      </c>
      <c r="I1645" s="480">
        <v>55.68</v>
      </c>
    </row>
    <row r="1646" spans="1:9" ht="30.75" collapsed="1" thickBot="1">
      <c r="A1646" s="854" t="s">
        <v>4983</v>
      </c>
      <c r="B1646" s="853" t="s">
        <v>4984</v>
      </c>
      <c r="C1646" s="463"/>
      <c r="D1646" s="853"/>
      <c r="E1646" s="852">
        <v>9386642186.1200008</v>
      </c>
      <c r="F1646" s="852">
        <v>9289144930.4699993</v>
      </c>
      <c r="G1646" s="852">
        <v>6607808237.6099997</v>
      </c>
      <c r="H1646" s="852">
        <v>6579067568.8400002</v>
      </c>
      <c r="I1646" s="465">
        <v>70.09</v>
      </c>
    </row>
    <row r="1647" spans="1:9" ht="25.5" hidden="1" outlineLevel="1">
      <c r="A1647" s="851" t="s">
        <v>2186</v>
      </c>
      <c r="B1647" s="467" t="s">
        <v>4985</v>
      </c>
      <c r="C1647" s="468"/>
      <c r="D1647" s="467"/>
      <c r="E1647" s="469">
        <v>542996061.71000004</v>
      </c>
      <c r="F1647" s="469">
        <v>539754656.17999995</v>
      </c>
      <c r="G1647" s="469">
        <v>219538545.06</v>
      </c>
      <c r="H1647" s="469">
        <v>209640955.75</v>
      </c>
      <c r="I1647" s="470">
        <v>38.61</v>
      </c>
    </row>
    <row r="1648" spans="1:9" ht="38.25" hidden="1" outlineLevel="2">
      <c r="A1648" s="850" t="s">
        <v>4986</v>
      </c>
      <c r="B1648" s="472" t="s">
        <v>4987</v>
      </c>
      <c r="C1648" s="473"/>
      <c r="D1648" s="472"/>
      <c r="E1648" s="474">
        <v>174026518</v>
      </c>
      <c r="F1648" s="474">
        <v>170785112.47</v>
      </c>
      <c r="G1648" s="474">
        <v>123807019.98999999</v>
      </c>
      <c r="H1648" s="474">
        <v>113909430.68000001</v>
      </c>
      <c r="I1648" s="475">
        <v>65.459999999999994</v>
      </c>
    </row>
    <row r="1649" spans="1:9" ht="25.5" hidden="1" outlineLevel="3">
      <c r="A1649" s="833" t="s">
        <v>873</v>
      </c>
      <c r="B1649" s="477" t="s">
        <v>4988</v>
      </c>
      <c r="C1649" s="478"/>
      <c r="D1649" s="477"/>
      <c r="E1649" s="479">
        <v>155634388</v>
      </c>
      <c r="F1649" s="479">
        <v>152831182.43000001</v>
      </c>
      <c r="G1649" s="479">
        <v>114500000</v>
      </c>
      <c r="H1649" s="479">
        <v>105369540.3</v>
      </c>
      <c r="I1649" s="480">
        <v>67.7</v>
      </c>
    </row>
    <row r="1650" spans="1:9" ht="25.5" hidden="1" outlineLevel="4">
      <c r="A1650" s="832" t="s">
        <v>873</v>
      </c>
      <c r="B1650" s="482" t="s">
        <v>4988</v>
      </c>
      <c r="C1650" s="831" t="s">
        <v>2191</v>
      </c>
      <c r="D1650" s="482" t="s">
        <v>2192</v>
      </c>
      <c r="E1650" s="484">
        <v>155634388</v>
      </c>
      <c r="F1650" s="484">
        <v>152831182.43000001</v>
      </c>
      <c r="G1650" s="484">
        <v>114500000</v>
      </c>
      <c r="H1650" s="484">
        <v>105369540.3</v>
      </c>
      <c r="I1650" s="480">
        <v>67.7</v>
      </c>
    </row>
    <row r="1651" spans="1:9" ht="38.25" hidden="1" outlineLevel="3">
      <c r="A1651" s="833" t="s">
        <v>854</v>
      </c>
      <c r="B1651" s="477" t="s">
        <v>4989</v>
      </c>
      <c r="C1651" s="478"/>
      <c r="D1651" s="477"/>
      <c r="E1651" s="479">
        <v>3863930</v>
      </c>
      <c r="F1651" s="479">
        <v>3425730.04</v>
      </c>
      <c r="G1651" s="479">
        <v>1769254.88</v>
      </c>
      <c r="H1651" s="479">
        <v>1479638.21</v>
      </c>
      <c r="I1651" s="480">
        <v>38.29</v>
      </c>
    </row>
    <row r="1652" spans="1:9" ht="38.25" hidden="1" outlineLevel="4">
      <c r="A1652" s="832" t="s">
        <v>854</v>
      </c>
      <c r="B1652" s="482" t="s">
        <v>4989</v>
      </c>
      <c r="C1652" s="831" t="s">
        <v>2191</v>
      </c>
      <c r="D1652" s="482" t="s">
        <v>2192</v>
      </c>
      <c r="E1652" s="484">
        <v>3863930</v>
      </c>
      <c r="F1652" s="484">
        <v>3425730.04</v>
      </c>
      <c r="G1652" s="484">
        <v>1769254.88</v>
      </c>
      <c r="H1652" s="484">
        <v>1479638.21</v>
      </c>
      <c r="I1652" s="480">
        <v>38.29</v>
      </c>
    </row>
    <row r="1653" spans="1:9" ht="63.75" hidden="1" outlineLevel="3">
      <c r="A1653" s="833" t="s">
        <v>62</v>
      </c>
      <c r="B1653" s="477" t="s">
        <v>4990</v>
      </c>
      <c r="C1653" s="478"/>
      <c r="D1653" s="477"/>
      <c r="E1653" s="479">
        <v>3550000</v>
      </c>
      <c r="F1653" s="479">
        <v>3550000</v>
      </c>
      <c r="G1653" s="479">
        <v>2360265.11</v>
      </c>
      <c r="H1653" s="479">
        <v>1882752.17</v>
      </c>
      <c r="I1653" s="480">
        <v>53.04</v>
      </c>
    </row>
    <row r="1654" spans="1:9" ht="63.75" hidden="1" outlineLevel="4">
      <c r="A1654" s="832" t="s">
        <v>62</v>
      </c>
      <c r="B1654" s="482" t="s">
        <v>4990</v>
      </c>
      <c r="C1654" s="831" t="s">
        <v>2191</v>
      </c>
      <c r="D1654" s="482" t="s">
        <v>2192</v>
      </c>
      <c r="E1654" s="484">
        <v>3550000</v>
      </c>
      <c r="F1654" s="484">
        <v>3550000</v>
      </c>
      <c r="G1654" s="484">
        <v>2360265.11</v>
      </c>
      <c r="H1654" s="484">
        <v>1882752.17</v>
      </c>
      <c r="I1654" s="480">
        <v>53.04</v>
      </c>
    </row>
    <row r="1655" spans="1:9" ht="76.5" hidden="1" outlineLevel="3">
      <c r="A1655" s="833" t="s">
        <v>156</v>
      </c>
      <c r="B1655" s="477" t="s">
        <v>4991</v>
      </c>
      <c r="C1655" s="478"/>
      <c r="D1655" s="477"/>
      <c r="E1655" s="479">
        <v>100000</v>
      </c>
      <c r="F1655" s="479">
        <v>100000</v>
      </c>
      <c r="G1655" s="479">
        <v>0</v>
      </c>
      <c r="H1655" s="479">
        <v>0</v>
      </c>
      <c r="I1655" s="480">
        <v>0</v>
      </c>
    </row>
    <row r="1656" spans="1:9" ht="76.5" hidden="1" outlineLevel="4">
      <c r="A1656" s="832" t="s">
        <v>156</v>
      </c>
      <c r="B1656" s="482" t="s">
        <v>4991</v>
      </c>
      <c r="C1656" s="831" t="s">
        <v>2191</v>
      </c>
      <c r="D1656" s="482" t="s">
        <v>2192</v>
      </c>
      <c r="E1656" s="484">
        <v>100000</v>
      </c>
      <c r="F1656" s="484">
        <v>100000</v>
      </c>
      <c r="G1656" s="484">
        <v>0</v>
      </c>
      <c r="H1656" s="484">
        <v>0</v>
      </c>
      <c r="I1656" s="480">
        <v>0</v>
      </c>
    </row>
    <row r="1657" spans="1:9" ht="76.5" hidden="1" outlineLevel="3">
      <c r="A1657" s="833" t="s">
        <v>1027</v>
      </c>
      <c r="B1657" s="477" t="s">
        <v>4992</v>
      </c>
      <c r="C1657" s="478"/>
      <c r="D1657" s="477"/>
      <c r="E1657" s="479">
        <v>813200</v>
      </c>
      <c r="F1657" s="479">
        <v>813200</v>
      </c>
      <c r="G1657" s="479">
        <v>112500</v>
      </c>
      <c r="H1657" s="479">
        <v>112500</v>
      </c>
      <c r="I1657" s="480">
        <v>13.83</v>
      </c>
    </row>
    <row r="1658" spans="1:9" ht="76.5" hidden="1" outlineLevel="4">
      <c r="A1658" s="832" t="s">
        <v>1027</v>
      </c>
      <c r="B1658" s="482" t="s">
        <v>4992</v>
      </c>
      <c r="C1658" s="831" t="s">
        <v>2191</v>
      </c>
      <c r="D1658" s="482" t="s">
        <v>2192</v>
      </c>
      <c r="E1658" s="484">
        <v>813200</v>
      </c>
      <c r="F1658" s="484">
        <v>813200</v>
      </c>
      <c r="G1658" s="484">
        <v>112500</v>
      </c>
      <c r="H1658" s="484">
        <v>112500</v>
      </c>
      <c r="I1658" s="480">
        <v>13.83</v>
      </c>
    </row>
    <row r="1659" spans="1:9" ht="25.5" hidden="1" outlineLevel="3">
      <c r="A1659" s="833" t="s">
        <v>713</v>
      </c>
      <c r="B1659" s="477" t="s">
        <v>4993</v>
      </c>
      <c r="C1659" s="478"/>
      <c r="D1659" s="477"/>
      <c r="E1659" s="479">
        <v>65000</v>
      </c>
      <c r="F1659" s="479">
        <v>65000</v>
      </c>
      <c r="G1659" s="479">
        <v>65000</v>
      </c>
      <c r="H1659" s="479">
        <v>65000</v>
      </c>
      <c r="I1659" s="480">
        <v>100</v>
      </c>
    </row>
    <row r="1660" spans="1:9" ht="25.5" hidden="1" outlineLevel="4">
      <c r="A1660" s="832" t="s">
        <v>713</v>
      </c>
      <c r="B1660" s="482" t="s">
        <v>4993</v>
      </c>
      <c r="C1660" s="831" t="s">
        <v>2191</v>
      </c>
      <c r="D1660" s="482" t="s">
        <v>2192</v>
      </c>
      <c r="E1660" s="484">
        <v>65000</v>
      </c>
      <c r="F1660" s="484">
        <v>65000</v>
      </c>
      <c r="G1660" s="484">
        <v>65000</v>
      </c>
      <c r="H1660" s="484">
        <v>65000</v>
      </c>
      <c r="I1660" s="480">
        <v>100</v>
      </c>
    </row>
    <row r="1661" spans="1:9" ht="114.75" hidden="1" outlineLevel="3">
      <c r="A1661" s="833" t="s">
        <v>4994</v>
      </c>
      <c r="B1661" s="477" t="s">
        <v>4995</v>
      </c>
      <c r="C1661" s="478"/>
      <c r="D1661" s="477"/>
      <c r="E1661" s="479">
        <v>10000000</v>
      </c>
      <c r="F1661" s="479">
        <v>10000000</v>
      </c>
      <c r="G1661" s="479">
        <v>5000000</v>
      </c>
      <c r="H1661" s="479">
        <v>5000000</v>
      </c>
      <c r="I1661" s="480">
        <v>50</v>
      </c>
    </row>
    <row r="1662" spans="1:9" ht="114.75" hidden="1" outlineLevel="4">
      <c r="A1662" s="832" t="s">
        <v>4994</v>
      </c>
      <c r="B1662" s="482" t="s">
        <v>4995</v>
      </c>
      <c r="C1662" s="831" t="s">
        <v>2191</v>
      </c>
      <c r="D1662" s="482" t="s">
        <v>2192</v>
      </c>
      <c r="E1662" s="484">
        <v>10000000</v>
      </c>
      <c r="F1662" s="484">
        <v>10000000</v>
      </c>
      <c r="G1662" s="484">
        <v>5000000</v>
      </c>
      <c r="H1662" s="484">
        <v>5000000</v>
      </c>
      <c r="I1662" s="480">
        <v>50</v>
      </c>
    </row>
    <row r="1663" spans="1:9" ht="63.75" hidden="1" outlineLevel="2">
      <c r="A1663" s="850" t="s">
        <v>4996</v>
      </c>
      <c r="B1663" s="472" t="s">
        <v>4997</v>
      </c>
      <c r="C1663" s="473"/>
      <c r="D1663" s="472"/>
      <c r="E1663" s="474">
        <v>35000</v>
      </c>
      <c r="F1663" s="474">
        <v>35000</v>
      </c>
      <c r="G1663" s="474">
        <v>0</v>
      </c>
      <c r="H1663" s="474">
        <v>0</v>
      </c>
      <c r="I1663" s="475">
        <v>0</v>
      </c>
    </row>
    <row r="1664" spans="1:9" ht="25.5" hidden="1" outlineLevel="3">
      <c r="A1664" s="833" t="s">
        <v>713</v>
      </c>
      <c r="B1664" s="477" t="s">
        <v>4998</v>
      </c>
      <c r="C1664" s="478"/>
      <c r="D1664" s="477"/>
      <c r="E1664" s="479">
        <v>35000</v>
      </c>
      <c r="F1664" s="479">
        <v>35000</v>
      </c>
      <c r="G1664" s="479">
        <v>0</v>
      </c>
      <c r="H1664" s="479">
        <v>0</v>
      </c>
      <c r="I1664" s="480">
        <v>0</v>
      </c>
    </row>
    <row r="1665" spans="1:9" ht="25.5" hidden="1" outlineLevel="4">
      <c r="A1665" s="832" t="s">
        <v>713</v>
      </c>
      <c r="B1665" s="482" t="s">
        <v>4998</v>
      </c>
      <c r="C1665" s="831" t="s">
        <v>2191</v>
      </c>
      <c r="D1665" s="482" t="s">
        <v>2192</v>
      </c>
      <c r="E1665" s="484">
        <v>35000</v>
      </c>
      <c r="F1665" s="484">
        <v>35000</v>
      </c>
      <c r="G1665" s="484">
        <v>0</v>
      </c>
      <c r="H1665" s="484">
        <v>0</v>
      </c>
      <c r="I1665" s="480">
        <v>0</v>
      </c>
    </row>
    <row r="1666" spans="1:9" ht="63.75" hidden="1" outlineLevel="2">
      <c r="A1666" s="850" t="s">
        <v>4999</v>
      </c>
      <c r="B1666" s="472" t="s">
        <v>5000</v>
      </c>
      <c r="C1666" s="473"/>
      <c r="D1666" s="472"/>
      <c r="E1666" s="474">
        <v>354116720</v>
      </c>
      <c r="F1666" s="474">
        <v>354116720</v>
      </c>
      <c r="G1666" s="474">
        <v>95731525.069999993</v>
      </c>
      <c r="H1666" s="474">
        <v>95731525.069999993</v>
      </c>
      <c r="I1666" s="475">
        <v>27.03</v>
      </c>
    </row>
    <row r="1667" spans="1:9" ht="25.5" hidden="1" outlineLevel="3">
      <c r="A1667" s="833" t="s">
        <v>2203</v>
      </c>
      <c r="B1667" s="477" t="s">
        <v>5001</v>
      </c>
      <c r="C1667" s="478"/>
      <c r="D1667" s="477"/>
      <c r="E1667" s="479">
        <v>353551070</v>
      </c>
      <c r="F1667" s="479">
        <v>353551070</v>
      </c>
      <c r="G1667" s="479">
        <v>95682337.569999993</v>
      </c>
      <c r="H1667" s="479">
        <v>95682337.569999993</v>
      </c>
      <c r="I1667" s="480">
        <v>27.06</v>
      </c>
    </row>
    <row r="1668" spans="1:9" ht="25.5" hidden="1" outlineLevel="4">
      <c r="A1668" s="832" t="s">
        <v>2203</v>
      </c>
      <c r="B1668" s="482" t="s">
        <v>5001</v>
      </c>
      <c r="C1668" s="831" t="s">
        <v>2191</v>
      </c>
      <c r="D1668" s="482" t="s">
        <v>2192</v>
      </c>
      <c r="E1668" s="484">
        <v>353551070</v>
      </c>
      <c r="F1668" s="484">
        <v>353551070</v>
      </c>
      <c r="G1668" s="484">
        <v>95682337.569999993</v>
      </c>
      <c r="H1668" s="484">
        <v>95682337.569999993</v>
      </c>
      <c r="I1668" s="480">
        <v>27.06</v>
      </c>
    </row>
    <row r="1669" spans="1:9" ht="25.5" hidden="1" outlineLevel="3">
      <c r="A1669" s="833" t="s">
        <v>713</v>
      </c>
      <c r="B1669" s="477" t="s">
        <v>5002</v>
      </c>
      <c r="C1669" s="478"/>
      <c r="D1669" s="477"/>
      <c r="E1669" s="479">
        <v>565650</v>
      </c>
      <c r="F1669" s="479">
        <v>565650</v>
      </c>
      <c r="G1669" s="479">
        <v>49187.5</v>
      </c>
      <c r="H1669" s="479">
        <v>49187.5</v>
      </c>
      <c r="I1669" s="480">
        <v>8.6999999999999993</v>
      </c>
    </row>
    <row r="1670" spans="1:9" ht="25.5" hidden="1" outlineLevel="4">
      <c r="A1670" s="832" t="s">
        <v>713</v>
      </c>
      <c r="B1670" s="482" t="s">
        <v>5002</v>
      </c>
      <c r="C1670" s="831" t="s">
        <v>2191</v>
      </c>
      <c r="D1670" s="482" t="s">
        <v>2192</v>
      </c>
      <c r="E1670" s="484">
        <v>565650</v>
      </c>
      <c r="F1670" s="484">
        <v>565650</v>
      </c>
      <c r="G1670" s="484">
        <v>49187.5</v>
      </c>
      <c r="H1670" s="484">
        <v>49187.5</v>
      </c>
      <c r="I1670" s="480">
        <v>8.6999999999999993</v>
      </c>
    </row>
    <row r="1671" spans="1:9" ht="38.25" hidden="1" outlineLevel="2">
      <c r="A1671" s="850" t="s">
        <v>5003</v>
      </c>
      <c r="B1671" s="472" t="s">
        <v>5004</v>
      </c>
      <c r="C1671" s="473"/>
      <c r="D1671" s="472"/>
      <c r="E1671" s="474">
        <v>14817823.710000001</v>
      </c>
      <c r="F1671" s="474">
        <v>14817823.710000001</v>
      </c>
      <c r="G1671" s="474">
        <v>0</v>
      </c>
      <c r="H1671" s="474">
        <v>0</v>
      </c>
      <c r="I1671" s="475">
        <v>0</v>
      </c>
    </row>
    <row r="1672" spans="1:9" ht="76.5" hidden="1" outlineLevel="3">
      <c r="A1672" s="833" t="s">
        <v>702</v>
      </c>
      <c r="B1672" s="477" t="s">
        <v>5005</v>
      </c>
      <c r="C1672" s="478"/>
      <c r="D1672" s="477"/>
      <c r="E1672" s="479">
        <v>14478823.710000001</v>
      </c>
      <c r="F1672" s="479">
        <v>14478823.710000001</v>
      </c>
      <c r="G1672" s="479">
        <v>0</v>
      </c>
      <c r="H1672" s="479">
        <v>0</v>
      </c>
      <c r="I1672" s="480">
        <v>0</v>
      </c>
    </row>
    <row r="1673" spans="1:9" ht="76.5" hidden="1" outlineLevel="4">
      <c r="A1673" s="832" t="s">
        <v>702</v>
      </c>
      <c r="B1673" s="482" t="s">
        <v>5005</v>
      </c>
      <c r="C1673" s="831" t="s">
        <v>2191</v>
      </c>
      <c r="D1673" s="482" t="s">
        <v>2192</v>
      </c>
      <c r="E1673" s="484">
        <v>14478823.710000001</v>
      </c>
      <c r="F1673" s="484">
        <v>14478823.710000001</v>
      </c>
      <c r="G1673" s="484">
        <v>0</v>
      </c>
      <c r="H1673" s="484">
        <v>0</v>
      </c>
      <c r="I1673" s="480">
        <v>0</v>
      </c>
    </row>
    <row r="1674" spans="1:9" ht="63.75" hidden="1" outlineLevel="3">
      <c r="A1674" s="833" t="s">
        <v>62</v>
      </c>
      <c r="B1674" s="477" t="s">
        <v>5006</v>
      </c>
      <c r="C1674" s="478"/>
      <c r="D1674" s="477"/>
      <c r="E1674" s="479">
        <v>189000</v>
      </c>
      <c r="F1674" s="479">
        <v>189000</v>
      </c>
      <c r="G1674" s="479">
        <v>0</v>
      </c>
      <c r="H1674" s="479">
        <v>0</v>
      </c>
      <c r="I1674" s="480">
        <v>0</v>
      </c>
    </row>
    <row r="1675" spans="1:9" ht="63.75" hidden="1" outlineLevel="4">
      <c r="A1675" s="832" t="s">
        <v>62</v>
      </c>
      <c r="B1675" s="482" t="s">
        <v>5006</v>
      </c>
      <c r="C1675" s="831" t="s">
        <v>2191</v>
      </c>
      <c r="D1675" s="482" t="s">
        <v>2192</v>
      </c>
      <c r="E1675" s="484">
        <v>189000</v>
      </c>
      <c r="F1675" s="484">
        <v>189000</v>
      </c>
      <c r="G1675" s="484">
        <v>0</v>
      </c>
      <c r="H1675" s="484">
        <v>0</v>
      </c>
      <c r="I1675" s="480">
        <v>0</v>
      </c>
    </row>
    <row r="1676" spans="1:9" ht="76.5" hidden="1" outlineLevel="3">
      <c r="A1676" s="833" t="s">
        <v>1027</v>
      </c>
      <c r="B1676" s="477" t="s">
        <v>5007</v>
      </c>
      <c r="C1676" s="478"/>
      <c r="D1676" s="477"/>
      <c r="E1676" s="479">
        <v>150000</v>
      </c>
      <c r="F1676" s="479">
        <v>150000</v>
      </c>
      <c r="G1676" s="479">
        <v>0</v>
      </c>
      <c r="H1676" s="479">
        <v>0</v>
      </c>
      <c r="I1676" s="480">
        <v>0</v>
      </c>
    </row>
    <row r="1677" spans="1:9" ht="76.5" hidden="1" outlineLevel="4">
      <c r="A1677" s="832" t="s">
        <v>1027</v>
      </c>
      <c r="B1677" s="482" t="s">
        <v>5007</v>
      </c>
      <c r="C1677" s="831" t="s">
        <v>2191</v>
      </c>
      <c r="D1677" s="482" t="s">
        <v>2192</v>
      </c>
      <c r="E1677" s="484">
        <v>150000</v>
      </c>
      <c r="F1677" s="484">
        <v>150000</v>
      </c>
      <c r="G1677" s="484">
        <v>0</v>
      </c>
      <c r="H1677" s="484">
        <v>0</v>
      </c>
      <c r="I1677" s="480">
        <v>0</v>
      </c>
    </row>
    <row r="1678" spans="1:9" ht="76.5" hidden="1" outlineLevel="1">
      <c r="A1678" s="851" t="s">
        <v>2209</v>
      </c>
      <c r="B1678" s="467" t="s">
        <v>5008</v>
      </c>
      <c r="C1678" s="468"/>
      <c r="D1678" s="467"/>
      <c r="E1678" s="469">
        <v>8686801149</v>
      </c>
      <c r="F1678" s="469">
        <v>8593691407</v>
      </c>
      <c r="G1678" s="469">
        <v>6270970628.5200005</v>
      </c>
      <c r="H1678" s="469">
        <v>6260290796.46</v>
      </c>
      <c r="I1678" s="470">
        <v>72.069999999999993</v>
      </c>
    </row>
    <row r="1679" spans="1:9" ht="51" hidden="1" outlineLevel="2">
      <c r="A1679" s="850" t="s">
        <v>5009</v>
      </c>
      <c r="B1679" s="472" t="s">
        <v>5010</v>
      </c>
      <c r="C1679" s="473"/>
      <c r="D1679" s="472"/>
      <c r="E1679" s="474">
        <v>4652030290</v>
      </c>
      <c r="F1679" s="474">
        <v>4652030290</v>
      </c>
      <c r="G1679" s="474">
        <v>3452009309.6500001</v>
      </c>
      <c r="H1679" s="474">
        <v>3452009309.6500001</v>
      </c>
      <c r="I1679" s="475">
        <v>74.2</v>
      </c>
    </row>
    <row r="1680" spans="1:9" ht="51" hidden="1" outlineLevel="3">
      <c r="A1680" s="833" t="s">
        <v>2213</v>
      </c>
      <c r="B1680" s="477" t="s">
        <v>5011</v>
      </c>
      <c r="C1680" s="478"/>
      <c r="D1680" s="477"/>
      <c r="E1680" s="479">
        <v>1590044000</v>
      </c>
      <c r="F1680" s="479">
        <v>1590044000</v>
      </c>
      <c r="G1680" s="479">
        <v>1228670000</v>
      </c>
      <c r="H1680" s="479">
        <v>1228670000</v>
      </c>
      <c r="I1680" s="480">
        <v>77.27</v>
      </c>
    </row>
    <row r="1681" spans="1:9" ht="51" hidden="1" outlineLevel="4">
      <c r="A1681" s="832" t="s">
        <v>2213</v>
      </c>
      <c r="B1681" s="482" t="s">
        <v>5011</v>
      </c>
      <c r="C1681" s="831" t="s">
        <v>2191</v>
      </c>
      <c r="D1681" s="482" t="s">
        <v>2192</v>
      </c>
      <c r="E1681" s="484">
        <v>1590044000</v>
      </c>
      <c r="F1681" s="484">
        <v>1590044000</v>
      </c>
      <c r="G1681" s="484">
        <v>1228670000</v>
      </c>
      <c r="H1681" s="484">
        <v>1228670000</v>
      </c>
      <c r="I1681" s="480">
        <v>77.27</v>
      </c>
    </row>
    <row r="1682" spans="1:9" ht="51" hidden="1" outlineLevel="3">
      <c r="A1682" s="833" t="s">
        <v>5012</v>
      </c>
      <c r="B1682" s="477" t="s">
        <v>5013</v>
      </c>
      <c r="C1682" s="478"/>
      <c r="D1682" s="477"/>
      <c r="E1682" s="479">
        <v>2772586113</v>
      </c>
      <c r="F1682" s="479">
        <v>2772586113</v>
      </c>
      <c r="G1682" s="479">
        <v>2002628006.95</v>
      </c>
      <c r="H1682" s="479">
        <v>2002628006.95</v>
      </c>
      <c r="I1682" s="480">
        <v>72.23</v>
      </c>
    </row>
    <row r="1683" spans="1:9" ht="51" hidden="1" outlineLevel="4">
      <c r="A1683" s="832" t="s">
        <v>5012</v>
      </c>
      <c r="B1683" s="482" t="s">
        <v>5013</v>
      </c>
      <c r="C1683" s="831" t="s">
        <v>2191</v>
      </c>
      <c r="D1683" s="482" t="s">
        <v>2192</v>
      </c>
      <c r="E1683" s="484">
        <v>2772586113</v>
      </c>
      <c r="F1683" s="484">
        <v>2772586113</v>
      </c>
      <c r="G1683" s="484">
        <v>2002628006.95</v>
      </c>
      <c r="H1683" s="484">
        <v>2002628006.95</v>
      </c>
      <c r="I1683" s="480">
        <v>72.23</v>
      </c>
    </row>
    <row r="1684" spans="1:9" ht="76.5" hidden="1" outlineLevel="3">
      <c r="A1684" s="833" t="s">
        <v>2217</v>
      </c>
      <c r="B1684" s="477" t="s">
        <v>5014</v>
      </c>
      <c r="C1684" s="478"/>
      <c r="D1684" s="477"/>
      <c r="E1684" s="479">
        <v>187294765</v>
      </c>
      <c r="F1684" s="479">
        <v>187294765</v>
      </c>
      <c r="G1684" s="479">
        <v>147193283.40000001</v>
      </c>
      <c r="H1684" s="479">
        <v>147193283.40000001</v>
      </c>
      <c r="I1684" s="480">
        <v>78.59</v>
      </c>
    </row>
    <row r="1685" spans="1:9" ht="76.5" hidden="1" outlineLevel="4">
      <c r="A1685" s="832" t="s">
        <v>2217</v>
      </c>
      <c r="B1685" s="482" t="s">
        <v>5014</v>
      </c>
      <c r="C1685" s="831" t="s">
        <v>2191</v>
      </c>
      <c r="D1685" s="482" t="s">
        <v>2192</v>
      </c>
      <c r="E1685" s="484">
        <v>187294765</v>
      </c>
      <c r="F1685" s="484">
        <v>187294765</v>
      </c>
      <c r="G1685" s="484">
        <v>147193283.40000001</v>
      </c>
      <c r="H1685" s="484">
        <v>147193283.40000001</v>
      </c>
      <c r="I1685" s="480">
        <v>78.59</v>
      </c>
    </row>
    <row r="1686" spans="1:9" ht="89.25" hidden="1" outlineLevel="3">
      <c r="A1686" s="833" t="s">
        <v>5015</v>
      </c>
      <c r="B1686" s="477" t="s">
        <v>5016</v>
      </c>
      <c r="C1686" s="478"/>
      <c r="D1686" s="477"/>
      <c r="E1686" s="479">
        <v>102105412</v>
      </c>
      <c r="F1686" s="479">
        <v>102105412</v>
      </c>
      <c r="G1686" s="479">
        <v>73518019.299999997</v>
      </c>
      <c r="H1686" s="479">
        <v>73518019.299999997</v>
      </c>
      <c r="I1686" s="480">
        <v>72</v>
      </c>
    </row>
    <row r="1687" spans="1:9" ht="89.25" hidden="1" outlineLevel="4">
      <c r="A1687" s="832" t="s">
        <v>5015</v>
      </c>
      <c r="B1687" s="482" t="s">
        <v>5016</v>
      </c>
      <c r="C1687" s="831" t="s">
        <v>2191</v>
      </c>
      <c r="D1687" s="482" t="s">
        <v>2192</v>
      </c>
      <c r="E1687" s="484">
        <v>102105412</v>
      </c>
      <c r="F1687" s="484">
        <v>102105412</v>
      </c>
      <c r="G1687" s="484">
        <v>73518019.299999997</v>
      </c>
      <c r="H1687" s="484">
        <v>73518019.299999997</v>
      </c>
      <c r="I1687" s="480">
        <v>72</v>
      </c>
    </row>
    <row r="1688" spans="1:9" ht="51" hidden="1" outlineLevel="2">
      <c r="A1688" s="850" t="s">
        <v>5017</v>
      </c>
      <c r="B1688" s="472" t="s">
        <v>5018</v>
      </c>
      <c r="C1688" s="473"/>
      <c r="D1688" s="472"/>
      <c r="E1688" s="474">
        <v>4034770859</v>
      </c>
      <c r="F1688" s="474">
        <v>3941661117</v>
      </c>
      <c r="G1688" s="474">
        <v>2818961318.8699999</v>
      </c>
      <c r="H1688" s="474">
        <v>2808281486.8099999</v>
      </c>
      <c r="I1688" s="475">
        <v>69.599999999999994</v>
      </c>
    </row>
    <row r="1689" spans="1:9" ht="25.5" hidden="1" outlineLevel="3">
      <c r="A1689" s="833" t="s">
        <v>2223</v>
      </c>
      <c r="B1689" s="477" t="s">
        <v>5019</v>
      </c>
      <c r="C1689" s="478"/>
      <c r="D1689" s="477"/>
      <c r="E1689" s="479">
        <v>1508999437</v>
      </c>
      <c r="F1689" s="479">
        <v>1425889695</v>
      </c>
      <c r="G1689" s="479">
        <v>868918675.5</v>
      </c>
      <c r="H1689" s="479">
        <v>868918675.5</v>
      </c>
      <c r="I1689" s="480">
        <v>57.58</v>
      </c>
    </row>
    <row r="1690" spans="1:9" ht="25.5" hidden="1" outlineLevel="4">
      <c r="A1690" s="832" t="s">
        <v>2223</v>
      </c>
      <c r="B1690" s="482" t="s">
        <v>5019</v>
      </c>
      <c r="C1690" s="831" t="s">
        <v>2191</v>
      </c>
      <c r="D1690" s="482" t="s">
        <v>2192</v>
      </c>
      <c r="E1690" s="484">
        <v>1508999437</v>
      </c>
      <c r="F1690" s="484">
        <v>1425889695</v>
      </c>
      <c r="G1690" s="484">
        <v>868918675.5</v>
      </c>
      <c r="H1690" s="484">
        <v>868918675.5</v>
      </c>
      <c r="I1690" s="480">
        <v>57.58</v>
      </c>
    </row>
    <row r="1691" spans="1:9" ht="63.75" hidden="1" outlineLevel="3">
      <c r="A1691" s="833" t="s">
        <v>2225</v>
      </c>
      <c r="B1691" s="477" t="s">
        <v>5020</v>
      </c>
      <c r="C1691" s="478"/>
      <c r="D1691" s="477"/>
      <c r="E1691" s="479">
        <v>2487921822</v>
      </c>
      <c r="F1691" s="479">
        <v>2487921822</v>
      </c>
      <c r="G1691" s="479">
        <v>1930602143.3699999</v>
      </c>
      <c r="H1691" s="479">
        <v>1919922311.3099999</v>
      </c>
      <c r="I1691" s="480">
        <v>77.17</v>
      </c>
    </row>
    <row r="1692" spans="1:9" ht="63.75" hidden="1" outlineLevel="4">
      <c r="A1692" s="832" t="s">
        <v>2225</v>
      </c>
      <c r="B1692" s="482" t="s">
        <v>5020</v>
      </c>
      <c r="C1692" s="831" t="s">
        <v>2191</v>
      </c>
      <c r="D1692" s="482" t="s">
        <v>2192</v>
      </c>
      <c r="E1692" s="484">
        <v>2487921822</v>
      </c>
      <c r="F1692" s="484">
        <v>2487921822</v>
      </c>
      <c r="G1692" s="484">
        <v>1930602143.3699999</v>
      </c>
      <c r="H1692" s="484">
        <v>1919922311.3099999</v>
      </c>
      <c r="I1692" s="480">
        <v>77.17</v>
      </c>
    </row>
    <row r="1693" spans="1:9" ht="76.5" hidden="1" outlineLevel="3">
      <c r="A1693" s="833" t="s">
        <v>5021</v>
      </c>
      <c r="B1693" s="477" t="s">
        <v>5022</v>
      </c>
      <c r="C1693" s="478"/>
      <c r="D1693" s="477"/>
      <c r="E1693" s="479">
        <v>10000000</v>
      </c>
      <c r="F1693" s="479">
        <v>0</v>
      </c>
      <c r="G1693" s="479">
        <v>0</v>
      </c>
      <c r="H1693" s="479">
        <v>0</v>
      </c>
      <c r="I1693" s="480">
        <v>0</v>
      </c>
    </row>
    <row r="1694" spans="1:9" ht="76.5" hidden="1" outlineLevel="4">
      <c r="A1694" s="832" t="s">
        <v>5021</v>
      </c>
      <c r="B1694" s="482" t="s">
        <v>5022</v>
      </c>
      <c r="C1694" s="831" t="s">
        <v>2191</v>
      </c>
      <c r="D1694" s="482" t="s">
        <v>2192</v>
      </c>
      <c r="E1694" s="484">
        <v>10000000</v>
      </c>
      <c r="F1694" s="484">
        <v>0</v>
      </c>
      <c r="G1694" s="484">
        <v>0</v>
      </c>
      <c r="H1694" s="484">
        <v>0</v>
      </c>
      <c r="I1694" s="480">
        <v>0</v>
      </c>
    </row>
    <row r="1695" spans="1:9" ht="63.75" hidden="1" outlineLevel="3">
      <c r="A1695" s="833" t="s">
        <v>5023</v>
      </c>
      <c r="B1695" s="477" t="s">
        <v>5024</v>
      </c>
      <c r="C1695" s="478"/>
      <c r="D1695" s="477"/>
      <c r="E1695" s="479">
        <v>27849600</v>
      </c>
      <c r="F1695" s="479">
        <v>27849600</v>
      </c>
      <c r="G1695" s="479">
        <v>19440500</v>
      </c>
      <c r="H1695" s="479">
        <v>19440500</v>
      </c>
      <c r="I1695" s="480">
        <v>69.81</v>
      </c>
    </row>
    <row r="1696" spans="1:9" ht="63.75" hidden="1" outlineLevel="4">
      <c r="A1696" s="832" t="s">
        <v>5023</v>
      </c>
      <c r="B1696" s="482" t="s">
        <v>5024</v>
      </c>
      <c r="C1696" s="831" t="s">
        <v>2191</v>
      </c>
      <c r="D1696" s="482" t="s">
        <v>2192</v>
      </c>
      <c r="E1696" s="484">
        <v>27849600</v>
      </c>
      <c r="F1696" s="484">
        <v>27849600</v>
      </c>
      <c r="G1696" s="484">
        <v>19440500</v>
      </c>
      <c r="H1696" s="484">
        <v>19440500</v>
      </c>
      <c r="I1696" s="480">
        <v>69.81</v>
      </c>
    </row>
    <row r="1697" spans="1:9" ht="76.5" hidden="1" outlineLevel="1">
      <c r="A1697" s="851" t="s">
        <v>5025</v>
      </c>
      <c r="B1697" s="467" t="s">
        <v>5026</v>
      </c>
      <c r="C1697" s="468"/>
      <c r="D1697" s="467"/>
      <c r="E1697" s="469">
        <v>38058478.130000003</v>
      </c>
      <c r="F1697" s="469">
        <v>38052478.130000003</v>
      </c>
      <c r="G1697" s="469">
        <v>28995445.07</v>
      </c>
      <c r="H1697" s="469">
        <v>27404103.16</v>
      </c>
      <c r="I1697" s="470">
        <v>72.010000000000005</v>
      </c>
    </row>
    <row r="1698" spans="1:9" ht="114.75" hidden="1" outlineLevel="2">
      <c r="A1698" s="850" t="s">
        <v>5027</v>
      </c>
      <c r="B1698" s="472" t="s">
        <v>5028</v>
      </c>
      <c r="C1698" s="473"/>
      <c r="D1698" s="472"/>
      <c r="E1698" s="474">
        <v>38058478.130000003</v>
      </c>
      <c r="F1698" s="474">
        <v>38052478.130000003</v>
      </c>
      <c r="G1698" s="474">
        <v>28995445.07</v>
      </c>
      <c r="H1698" s="474">
        <v>27404103.16</v>
      </c>
      <c r="I1698" s="475">
        <v>72.010000000000005</v>
      </c>
    </row>
    <row r="1699" spans="1:9" ht="25.5" hidden="1" outlineLevel="3">
      <c r="A1699" s="833" t="s">
        <v>873</v>
      </c>
      <c r="B1699" s="477" t="s">
        <v>5029</v>
      </c>
      <c r="C1699" s="478"/>
      <c r="D1699" s="477"/>
      <c r="E1699" s="479">
        <v>36291812.420000002</v>
      </c>
      <c r="F1699" s="479">
        <v>36291812.420000002</v>
      </c>
      <c r="G1699" s="479">
        <v>27787000</v>
      </c>
      <c r="H1699" s="479">
        <v>26296138.969999999</v>
      </c>
      <c r="I1699" s="480">
        <v>72.459999999999994</v>
      </c>
    </row>
    <row r="1700" spans="1:9" ht="25.5" hidden="1" outlineLevel="4">
      <c r="A1700" s="832" t="s">
        <v>873</v>
      </c>
      <c r="B1700" s="482" t="s">
        <v>5029</v>
      </c>
      <c r="C1700" s="831" t="s">
        <v>2234</v>
      </c>
      <c r="D1700" s="482" t="s">
        <v>2235</v>
      </c>
      <c r="E1700" s="484">
        <v>36291812.420000002</v>
      </c>
      <c r="F1700" s="484">
        <v>36291812.420000002</v>
      </c>
      <c r="G1700" s="484">
        <v>27787000</v>
      </c>
      <c r="H1700" s="484">
        <v>26296138.969999999</v>
      </c>
      <c r="I1700" s="480">
        <v>72.459999999999994</v>
      </c>
    </row>
    <row r="1701" spans="1:9" ht="38.25" hidden="1" outlineLevel="3">
      <c r="A1701" s="833" t="s">
        <v>854</v>
      </c>
      <c r="B1701" s="477" t="s">
        <v>5030</v>
      </c>
      <c r="C1701" s="478"/>
      <c r="D1701" s="477"/>
      <c r="E1701" s="479">
        <v>1112625.76</v>
      </c>
      <c r="F1701" s="479">
        <v>1106625.76</v>
      </c>
      <c r="G1701" s="479">
        <v>601468.42000000004</v>
      </c>
      <c r="H1701" s="479">
        <v>510195.54</v>
      </c>
      <c r="I1701" s="480">
        <v>45.86</v>
      </c>
    </row>
    <row r="1702" spans="1:9" ht="38.25" hidden="1" outlineLevel="4">
      <c r="A1702" s="832" t="s">
        <v>854</v>
      </c>
      <c r="B1702" s="482" t="s">
        <v>5030</v>
      </c>
      <c r="C1702" s="831" t="s">
        <v>2234</v>
      </c>
      <c r="D1702" s="482" t="s">
        <v>2235</v>
      </c>
      <c r="E1702" s="484">
        <v>1112625.76</v>
      </c>
      <c r="F1702" s="484">
        <v>1106625.76</v>
      </c>
      <c r="G1702" s="484">
        <v>601468.42000000004</v>
      </c>
      <c r="H1702" s="484">
        <v>510195.54</v>
      </c>
      <c r="I1702" s="480">
        <v>45.86</v>
      </c>
    </row>
    <row r="1703" spans="1:9" ht="63.75" hidden="1" outlineLevel="3">
      <c r="A1703" s="833" t="s">
        <v>62</v>
      </c>
      <c r="B1703" s="477" t="s">
        <v>5031</v>
      </c>
      <c r="C1703" s="478"/>
      <c r="D1703" s="477"/>
      <c r="E1703" s="479">
        <v>500000</v>
      </c>
      <c r="F1703" s="479">
        <v>500000</v>
      </c>
      <c r="G1703" s="479">
        <v>452936.7</v>
      </c>
      <c r="H1703" s="479">
        <v>443728.7</v>
      </c>
      <c r="I1703" s="480">
        <v>88.75</v>
      </c>
    </row>
    <row r="1704" spans="1:9" ht="63.75" hidden="1" outlineLevel="4">
      <c r="A1704" s="832" t="s">
        <v>62</v>
      </c>
      <c r="B1704" s="482" t="s">
        <v>5031</v>
      </c>
      <c r="C1704" s="831" t="s">
        <v>2234</v>
      </c>
      <c r="D1704" s="482" t="s">
        <v>2235</v>
      </c>
      <c r="E1704" s="484">
        <v>500000</v>
      </c>
      <c r="F1704" s="484">
        <v>500000</v>
      </c>
      <c r="G1704" s="484">
        <v>452936.7</v>
      </c>
      <c r="H1704" s="484">
        <v>443728.7</v>
      </c>
      <c r="I1704" s="480">
        <v>88.75</v>
      </c>
    </row>
    <row r="1705" spans="1:9" ht="76.5" hidden="1" outlineLevel="3">
      <c r="A1705" s="833" t="s">
        <v>156</v>
      </c>
      <c r="B1705" s="477" t="s">
        <v>5032</v>
      </c>
      <c r="C1705" s="478"/>
      <c r="D1705" s="477"/>
      <c r="E1705" s="479">
        <v>59639.95</v>
      </c>
      <c r="F1705" s="479">
        <v>59639.95</v>
      </c>
      <c r="G1705" s="479">
        <v>59639.95</v>
      </c>
      <c r="H1705" s="479">
        <v>59639.95</v>
      </c>
      <c r="I1705" s="480">
        <v>100</v>
      </c>
    </row>
    <row r="1706" spans="1:9" ht="76.5" hidden="1" outlineLevel="4">
      <c r="A1706" s="832" t="s">
        <v>156</v>
      </c>
      <c r="B1706" s="482" t="s">
        <v>5032</v>
      </c>
      <c r="C1706" s="831" t="s">
        <v>2234</v>
      </c>
      <c r="D1706" s="482" t="s">
        <v>2235</v>
      </c>
      <c r="E1706" s="484">
        <v>59639.95</v>
      </c>
      <c r="F1706" s="484">
        <v>59639.95</v>
      </c>
      <c r="G1706" s="484">
        <v>59639.95</v>
      </c>
      <c r="H1706" s="484">
        <v>59639.95</v>
      </c>
      <c r="I1706" s="480">
        <v>100</v>
      </c>
    </row>
    <row r="1707" spans="1:9" ht="76.5" hidden="1" outlineLevel="3">
      <c r="A1707" s="833" t="s">
        <v>1027</v>
      </c>
      <c r="B1707" s="477" t="s">
        <v>5033</v>
      </c>
      <c r="C1707" s="478"/>
      <c r="D1707" s="477"/>
      <c r="E1707" s="479">
        <v>94400</v>
      </c>
      <c r="F1707" s="479">
        <v>94400</v>
      </c>
      <c r="G1707" s="479">
        <v>94400</v>
      </c>
      <c r="H1707" s="479">
        <v>94400</v>
      </c>
      <c r="I1707" s="480">
        <v>100</v>
      </c>
    </row>
    <row r="1708" spans="1:9" ht="76.5" hidden="1" outlineLevel="4">
      <c r="A1708" s="832" t="s">
        <v>1027</v>
      </c>
      <c r="B1708" s="482" t="s">
        <v>5033</v>
      </c>
      <c r="C1708" s="831" t="s">
        <v>2234</v>
      </c>
      <c r="D1708" s="482" t="s">
        <v>2235</v>
      </c>
      <c r="E1708" s="484">
        <v>94400</v>
      </c>
      <c r="F1708" s="484">
        <v>94400</v>
      </c>
      <c r="G1708" s="484">
        <v>94400</v>
      </c>
      <c r="H1708" s="484">
        <v>94400</v>
      </c>
      <c r="I1708" s="480">
        <v>100</v>
      </c>
    </row>
    <row r="1709" spans="1:9" ht="63.75" hidden="1" outlineLevel="1">
      <c r="A1709" s="851" t="s">
        <v>5034</v>
      </c>
      <c r="B1709" s="467" t="s">
        <v>5035</v>
      </c>
      <c r="C1709" s="468"/>
      <c r="D1709" s="467"/>
      <c r="E1709" s="469">
        <v>118786497.28</v>
      </c>
      <c r="F1709" s="469">
        <v>117646389.16</v>
      </c>
      <c r="G1709" s="469">
        <v>88303618.959999993</v>
      </c>
      <c r="H1709" s="469">
        <v>81731713.469999999</v>
      </c>
      <c r="I1709" s="470">
        <v>68.81</v>
      </c>
    </row>
    <row r="1710" spans="1:9" ht="63.75" hidden="1" outlineLevel="2">
      <c r="A1710" s="850" t="s">
        <v>2241</v>
      </c>
      <c r="B1710" s="472" t="s">
        <v>5036</v>
      </c>
      <c r="C1710" s="473"/>
      <c r="D1710" s="472"/>
      <c r="E1710" s="474">
        <v>93394089.609999999</v>
      </c>
      <c r="F1710" s="474">
        <v>92253981.489999995</v>
      </c>
      <c r="G1710" s="474">
        <v>69090834.459999993</v>
      </c>
      <c r="H1710" s="474">
        <v>62518928.969999999</v>
      </c>
      <c r="I1710" s="475">
        <v>66.94</v>
      </c>
    </row>
    <row r="1711" spans="1:9" ht="25.5" hidden="1" outlineLevel="3">
      <c r="A1711" s="833" t="s">
        <v>873</v>
      </c>
      <c r="B1711" s="477" t="s">
        <v>5037</v>
      </c>
      <c r="C1711" s="478"/>
      <c r="D1711" s="477"/>
      <c r="E1711" s="479">
        <v>76959824.180000007</v>
      </c>
      <c r="F1711" s="479">
        <v>75819716.060000002</v>
      </c>
      <c r="G1711" s="479">
        <v>56050000</v>
      </c>
      <c r="H1711" s="479">
        <v>50784982.390000001</v>
      </c>
      <c r="I1711" s="480">
        <v>65.989999999999995</v>
      </c>
    </row>
    <row r="1712" spans="1:9" ht="25.5" hidden="1" outlineLevel="4">
      <c r="A1712" s="832" t="s">
        <v>873</v>
      </c>
      <c r="B1712" s="482" t="s">
        <v>5037</v>
      </c>
      <c r="C1712" s="831" t="s">
        <v>1989</v>
      </c>
      <c r="D1712" s="482" t="s">
        <v>1990</v>
      </c>
      <c r="E1712" s="484">
        <v>76959824.180000007</v>
      </c>
      <c r="F1712" s="484">
        <v>75819716.060000002</v>
      </c>
      <c r="G1712" s="484">
        <v>56050000</v>
      </c>
      <c r="H1712" s="484">
        <v>50784982.390000001</v>
      </c>
      <c r="I1712" s="480">
        <v>65.989999999999995</v>
      </c>
    </row>
    <row r="1713" spans="1:9" ht="38.25" hidden="1" outlineLevel="3">
      <c r="A1713" s="833" t="s">
        <v>854</v>
      </c>
      <c r="B1713" s="477" t="s">
        <v>5038</v>
      </c>
      <c r="C1713" s="478"/>
      <c r="D1713" s="477"/>
      <c r="E1713" s="479">
        <v>1055000</v>
      </c>
      <c r="F1713" s="479">
        <v>1055000</v>
      </c>
      <c r="G1713" s="479">
        <v>905809.56</v>
      </c>
      <c r="H1713" s="479">
        <v>885303.56</v>
      </c>
      <c r="I1713" s="480">
        <v>83.92</v>
      </c>
    </row>
    <row r="1714" spans="1:9" ht="38.25" hidden="1" outlineLevel="4">
      <c r="A1714" s="832" t="s">
        <v>854</v>
      </c>
      <c r="B1714" s="482" t="s">
        <v>5038</v>
      </c>
      <c r="C1714" s="831" t="s">
        <v>1989</v>
      </c>
      <c r="D1714" s="482" t="s">
        <v>1990</v>
      </c>
      <c r="E1714" s="484">
        <v>1055000</v>
      </c>
      <c r="F1714" s="484">
        <v>1055000</v>
      </c>
      <c r="G1714" s="484">
        <v>905809.56</v>
      </c>
      <c r="H1714" s="484">
        <v>885303.56</v>
      </c>
      <c r="I1714" s="480">
        <v>83.92</v>
      </c>
    </row>
    <row r="1715" spans="1:9" ht="76.5" hidden="1" outlineLevel="3">
      <c r="A1715" s="833" t="s">
        <v>702</v>
      </c>
      <c r="B1715" s="477" t="s">
        <v>5039</v>
      </c>
      <c r="C1715" s="478"/>
      <c r="D1715" s="477"/>
      <c r="E1715" s="479">
        <v>13315375.93</v>
      </c>
      <c r="F1715" s="479">
        <v>13315375.93</v>
      </c>
      <c r="G1715" s="479">
        <v>10392830</v>
      </c>
      <c r="H1715" s="479">
        <v>9227459.0899999999</v>
      </c>
      <c r="I1715" s="480">
        <v>69.3</v>
      </c>
    </row>
    <row r="1716" spans="1:9" ht="76.5" hidden="1" outlineLevel="4">
      <c r="A1716" s="832" t="s">
        <v>702</v>
      </c>
      <c r="B1716" s="482" t="s">
        <v>5039</v>
      </c>
      <c r="C1716" s="831" t="s">
        <v>1989</v>
      </c>
      <c r="D1716" s="482" t="s">
        <v>1990</v>
      </c>
      <c r="E1716" s="484">
        <v>13315375.93</v>
      </c>
      <c r="F1716" s="484">
        <v>13315375.93</v>
      </c>
      <c r="G1716" s="484">
        <v>10392830</v>
      </c>
      <c r="H1716" s="484">
        <v>9227459.0899999999</v>
      </c>
      <c r="I1716" s="480">
        <v>69.3</v>
      </c>
    </row>
    <row r="1717" spans="1:9" ht="63.75" hidden="1" outlineLevel="3">
      <c r="A1717" s="833" t="s">
        <v>62</v>
      </c>
      <c r="B1717" s="477" t="s">
        <v>5040</v>
      </c>
      <c r="C1717" s="478"/>
      <c r="D1717" s="477"/>
      <c r="E1717" s="479">
        <v>2063889.5</v>
      </c>
      <c r="F1717" s="479">
        <v>2063889.5</v>
      </c>
      <c r="G1717" s="479">
        <v>1742194.9</v>
      </c>
      <c r="H1717" s="479">
        <v>1621183.93</v>
      </c>
      <c r="I1717" s="480">
        <v>78.55</v>
      </c>
    </row>
    <row r="1718" spans="1:9" ht="63.75" hidden="1" outlineLevel="4">
      <c r="A1718" s="832" t="s">
        <v>62</v>
      </c>
      <c r="B1718" s="482" t="s">
        <v>5040</v>
      </c>
      <c r="C1718" s="831" t="s">
        <v>1989</v>
      </c>
      <c r="D1718" s="482" t="s">
        <v>1990</v>
      </c>
      <c r="E1718" s="484">
        <v>2063889.5</v>
      </c>
      <c r="F1718" s="484">
        <v>2063889.5</v>
      </c>
      <c r="G1718" s="484">
        <v>1742194.9</v>
      </c>
      <c r="H1718" s="484">
        <v>1621183.93</v>
      </c>
      <c r="I1718" s="480">
        <v>78.55</v>
      </c>
    </row>
    <row r="1719" spans="1:9" ht="51" hidden="1" outlineLevel="2">
      <c r="A1719" s="850" t="s">
        <v>2246</v>
      </c>
      <c r="B1719" s="472" t="s">
        <v>5041</v>
      </c>
      <c r="C1719" s="473"/>
      <c r="D1719" s="472"/>
      <c r="E1719" s="474">
        <v>11504020</v>
      </c>
      <c r="F1719" s="474">
        <v>11504020</v>
      </c>
      <c r="G1719" s="474">
        <v>8852814</v>
      </c>
      <c r="H1719" s="474">
        <v>8852814</v>
      </c>
      <c r="I1719" s="475">
        <v>76.95</v>
      </c>
    </row>
    <row r="1720" spans="1:9" ht="51" hidden="1" outlineLevel="3">
      <c r="A1720" s="833" t="s">
        <v>861</v>
      </c>
      <c r="B1720" s="477" t="s">
        <v>5042</v>
      </c>
      <c r="C1720" s="478"/>
      <c r="D1720" s="477"/>
      <c r="E1720" s="479">
        <v>11504020</v>
      </c>
      <c r="F1720" s="479">
        <v>11504020</v>
      </c>
      <c r="G1720" s="479">
        <v>8852814</v>
      </c>
      <c r="H1720" s="479">
        <v>8852814</v>
      </c>
      <c r="I1720" s="480">
        <v>76.95</v>
      </c>
    </row>
    <row r="1721" spans="1:9" ht="51" hidden="1" outlineLevel="4">
      <c r="A1721" s="832" t="s">
        <v>861</v>
      </c>
      <c r="B1721" s="482" t="s">
        <v>5042</v>
      </c>
      <c r="C1721" s="831" t="s">
        <v>1989</v>
      </c>
      <c r="D1721" s="482" t="s">
        <v>1990</v>
      </c>
      <c r="E1721" s="484">
        <v>11504020</v>
      </c>
      <c r="F1721" s="484">
        <v>11504020</v>
      </c>
      <c r="G1721" s="484">
        <v>8852814</v>
      </c>
      <c r="H1721" s="484">
        <v>8852814</v>
      </c>
      <c r="I1721" s="480">
        <v>76.95</v>
      </c>
    </row>
    <row r="1722" spans="1:9" ht="63.75" hidden="1" outlineLevel="2">
      <c r="A1722" s="850" t="s">
        <v>2249</v>
      </c>
      <c r="B1722" s="472" t="s">
        <v>5043</v>
      </c>
      <c r="C1722" s="473"/>
      <c r="D1722" s="472"/>
      <c r="E1722" s="474">
        <v>13888387.67</v>
      </c>
      <c r="F1722" s="474">
        <v>13888387.67</v>
      </c>
      <c r="G1722" s="474">
        <v>10359970.5</v>
      </c>
      <c r="H1722" s="474">
        <v>10359970.5</v>
      </c>
      <c r="I1722" s="475">
        <v>74.59</v>
      </c>
    </row>
    <row r="1723" spans="1:9" ht="76.5" hidden="1" outlineLevel="3">
      <c r="A1723" s="833" t="s">
        <v>702</v>
      </c>
      <c r="B1723" s="477" t="s">
        <v>5044</v>
      </c>
      <c r="C1723" s="478"/>
      <c r="D1723" s="477"/>
      <c r="E1723" s="479">
        <v>13607277.17</v>
      </c>
      <c r="F1723" s="479">
        <v>13607277.17</v>
      </c>
      <c r="G1723" s="479">
        <v>10078860</v>
      </c>
      <c r="H1723" s="479">
        <v>10078860</v>
      </c>
      <c r="I1723" s="480">
        <v>74.069999999999993</v>
      </c>
    </row>
    <row r="1724" spans="1:9" ht="76.5" hidden="1" outlineLevel="4">
      <c r="A1724" s="832" t="s">
        <v>702</v>
      </c>
      <c r="B1724" s="482" t="s">
        <v>5044</v>
      </c>
      <c r="C1724" s="831" t="s">
        <v>1989</v>
      </c>
      <c r="D1724" s="482" t="s">
        <v>1990</v>
      </c>
      <c r="E1724" s="484">
        <v>13607277.17</v>
      </c>
      <c r="F1724" s="484">
        <v>13607277.17</v>
      </c>
      <c r="G1724" s="484">
        <v>10078860</v>
      </c>
      <c r="H1724" s="484">
        <v>10078860</v>
      </c>
      <c r="I1724" s="480">
        <v>74.069999999999993</v>
      </c>
    </row>
    <row r="1725" spans="1:9" ht="63.75" hidden="1" outlineLevel="3">
      <c r="A1725" s="833" t="s">
        <v>62</v>
      </c>
      <c r="B1725" s="477" t="s">
        <v>5045</v>
      </c>
      <c r="C1725" s="478"/>
      <c r="D1725" s="477"/>
      <c r="E1725" s="479">
        <v>281110.5</v>
      </c>
      <c r="F1725" s="479">
        <v>281110.5</v>
      </c>
      <c r="G1725" s="479">
        <v>281110.5</v>
      </c>
      <c r="H1725" s="479">
        <v>281110.5</v>
      </c>
      <c r="I1725" s="480">
        <v>100</v>
      </c>
    </row>
    <row r="1726" spans="1:9" ht="63.75" hidden="1" outlineLevel="4">
      <c r="A1726" s="832" t="s">
        <v>62</v>
      </c>
      <c r="B1726" s="482" t="s">
        <v>5045</v>
      </c>
      <c r="C1726" s="831" t="s">
        <v>1989</v>
      </c>
      <c r="D1726" s="482" t="s">
        <v>1990</v>
      </c>
      <c r="E1726" s="484">
        <v>281110.5</v>
      </c>
      <c r="F1726" s="484">
        <v>281110.5</v>
      </c>
      <c r="G1726" s="484">
        <v>281110.5</v>
      </c>
      <c r="H1726" s="484">
        <v>281110.5</v>
      </c>
      <c r="I1726" s="480">
        <v>100</v>
      </c>
    </row>
    <row r="1727" spans="1:9" ht="45.75" collapsed="1" thickBot="1">
      <c r="A1727" s="854" t="s">
        <v>2253</v>
      </c>
      <c r="B1727" s="853" t="s">
        <v>5046</v>
      </c>
      <c r="C1727" s="463"/>
      <c r="D1727" s="853"/>
      <c r="E1727" s="852">
        <v>2947391347.23</v>
      </c>
      <c r="F1727" s="852">
        <v>2882840641.73</v>
      </c>
      <c r="G1727" s="852">
        <v>2089311219.6099999</v>
      </c>
      <c r="H1727" s="852">
        <v>1974579159.4300001</v>
      </c>
      <c r="I1727" s="465">
        <v>66.989999999999995</v>
      </c>
    </row>
    <row r="1728" spans="1:9" ht="38.25" hidden="1" outlineLevel="1">
      <c r="A1728" s="851" t="s">
        <v>2255</v>
      </c>
      <c r="B1728" s="467" t="s">
        <v>5047</v>
      </c>
      <c r="C1728" s="468"/>
      <c r="D1728" s="467"/>
      <c r="E1728" s="469">
        <v>1406498818.6099999</v>
      </c>
      <c r="F1728" s="469">
        <v>1377114148.0599999</v>
      </c>
      <c r="G1728" s="469">
        <v>985833358.07000005</v>
      </c>
      <c r="H1728" s="469">
        <v>934280374.30999994</v>
      </c>
      <c r="I1728" s="470">
        <v>66.430000000000007</v>
      </c>
    </row>
    <row r="1729" spans="1:9" ht="38.25" hidden="1" outlineLevel="2">
      <c r="A1729" s="850" t="s">
        <v>2257</v>
      </c>
      <c r="B1729" s="472" t="s">
        <v>5048</v>
      </c>
      <c r="C1729" s="473"/>
      <c r="D1729" s="472"/>
      <c r="E1729" s="474">
        <v>355504.53</v>
      </c>
      <c r="F1729" s="474">
        <v>280156.79999999999</v>
      </c>
      <c r="G1729" s="474">
        <v>0</v>
      </c>
      <c r="H1729" s="474">
        <v>0</v>
      </c>
      <c r="I1729" s="475">
        <v>0</v>
      </c>
    </row>
    <row r="1730" spans="1:9" ht="76.5" hidden="1" outlineLevel="3">
      <c r="A1730" s="833" t="s">
        <v>1027</v>
      </c>
      <c r="B1730" s="477" t="s">
        <v>5049</v>
      </c>
      <c r="C1730" s="478"/>
      <c r="D1730" s="477"/>
      <c r="E1730" s="479">
        <v>355504.53</v>
      </c>
      <c r="F1730" s="479">
        <v>280156.79999999999</v>
      </c>
      <c r="G1730" s="479">
        <v>0</v>
      </c>
      <c r="H1730" s="479">
        <v>0</v>
      </c>
      <c r="I1730" s="480">
        <v>0</v>
      </c>
    </row>
    <row r="1731" spans="1:9" ht="76.5" hidden="1" outlineLevel="4">
      <c r="A1731" s="832" t="s">
        <v>1027</v>
      </c>
      <c r="B1731" s="482" t="s">
        <v>5049</v>
      </c>
      <c r="C1731" s="831" t="s">
        <v>2260</v>
      </c>
      <c r="D1731" s="482" t="s">
        <v>2261</v>
      </c>
      <c r="E1731" s="484">
        <v>355504.53</v>
      </c>
      <c r="F1731" s="484">
        <v>280156.79999999999</v>
      </c>
      <c r="G1731" s="484">
        <v>0</v>
      </c>
      <c r="H1731" s="484">
        <v>0</v>
      </c>
      <c r="I1731" s="480">
        <v>0</v>
      </c>
    </row>
    <row r="1732" spans="1:9" ht="51" hidden="1" outlineLevel="2">
      <c r="A1732" s="850" t="s">
        <v>5050</v>
      </c>
      <c r="B1732" s="472" t="s">
        <v>5051</v>
      </c>
      <c r="C1732" s="473"/>
      <c r="D1732" s="472"/>
      <c r="E1732" s="474">
        <v>30000000</v>
      </c>
      <c r="F1732" s="474">
        <v>30000000</v>
      </c>
      <c r="G1732" s="474">
        <v>30000000</v>
      </c>
      <c r="H1732" s="474">
        <v>30000000</v>
      </c>
      <c r="I1732" s="475">
        <v>100</v>
      </c>
    </row>
    <row r="1733" spans="1:9" ht="127.5" hidden="1" outlineLevel="3">
      <c r="A1733" s="833" t="s">
        <v>5052</v>
      </c>
      <c r="B1733" s="477" t="s">
        <v>5053</v>
      </c>
      <c r="C1733" s="478"/>
      <c r="D1733" s="477"/>
      <c r="E1733" s="479">
        <v>30000000</v>
      </c>
      <c r="F1733" s="479">
        <v>30000000</v>
      </c>
      <c r="G1733" s="479">
        <v>30000000</v>
      </c>
      <c r="H1733" s="479">
        <v>30000000</v>
      </c>
      <c r="I1733" s="480">
        <v>100</v>
      </c>
    </row>
    <row r="1734" spans="1:9" ht="127.5" hidden="1" outlineLevel="4">
      <c r="A1734" s="832" t="s">
        <v>5052</v>
      </c>
      <c r="B1734" s="482" t="s">
        <v>5053</v>
      </c>
      <c r="C1734" s="831" t="s">
        <v>2324</v>
      </c>
      <c r="D1734" s="482" t="s">
        <v>2325</v>
      </c>
      <c r="E1734" s="484">
        <v>30000000</v>
      </c>
      <c r="F1734" s="484">
        <v>30000000</v>
      </c>
      <c r="G1734" s="484">
        <v>30000000</v>
      </c>
      <c r="H1734" s="484">
        <v>30000000</v>
      </c>
      <c r="I1734" s="480">
        <v>100</v>
      </c>
    </row>
    <row r="1735" spans="1:9" ht="140.25" hidden="1" outlineLevel="2">
      <c r="A1735" s="850" t="s">
        <v>5054</v>
      </c>
      <c r="B1735" s="472" t="s">
        <v>5055</v>
      </c>
      <c r="C1735" s="473"/>
      <c r="D1735" s="472"/>
      <c r="E1735" s="474">
        <v>152166796.21000001</v>
      </c>
      <c r="F1735" s="474">
        <v>152166796.21000001</v>
      </c>
      <c r="G1735" s="474">
        <v>109800330.68000001</v>
      </c>
      <c r="H1735" s="474">
        <v>99323408.769999996</v>
      </c>
      <c r="I1735" s="475">
        <v>65.27</v>
      </c>
    </row>
    <row r="1736" spans="1:9" ht="25.5" hidden="1" outlineLevel="3">
      <c r="A1736" s="833" t="s">
        <v>873</v>
      </c>
      <c r="B1736" s="477" t="s">
        <v>5056</v>
      </c>
      <c r="C1736" s="478"/>
      <c r="D1736" s="477"/>
      <c r="E1736" s="479">
        <v>79508962.209999993</v>
      </c>
      <c r="F1736" s="479">
        <v>79508962.209999993</v>
      </c>
      <c r="G1736" s="479">
        <v>58299000</v>
      </c>
      <c r="H1736" s="479">
        <v>53430359.450000003</v>
      </c>
      <c r="I1736" s="480">
        <v>67.2</v>
      </c>
    </row>
    <row r="1737" spans="1:9" ht="25.5" hidden="1" outlineLevel="4">
      <c r="A1737" s="832" t="s">
        <v>873</v>
      </c>
      <c r="B1737" s="482" t="s">
        <v>5056</v>
      </c>
      <c r="C1737" s="831" t="s">
        <v>2124</v>
      </c>
      <c r="D1737" s="482" t="s">
        <v>2125</v>
      </c>
      <c r="E1737" s="484">
        <v>79508962.209999993</v>
      </c>
      <c r="F1737" s="484">
        <v>79508962.209999993</v>
      </c>
      <c r="G1737" s="484">
        <v>58299000</v>
      </c>
      <c r="H1737" s="484">
        <v>53430359.450000003</v>
      </c>
      <c r="I1737" s="480">
        <v>67.2</v>
      </c>
    </row>
    <row r="1738" spans="1:9" ht="38.25" hidden="1" outlineLevel="3">
      <c r="A1738" s="833" t="s">
        <v>854</v>
      </c>
      <c r="B1738" s="477" t="s">
        <v>5057</v>
      </c>
      <c r="C1738" s="478"/>
      <c r="D1738" s="477"/>
      <c r="E1738" s="479">
        <v>967934</v>
      </c>
      <c r="F1738" s="479">
        <v>967934</v>
      </c>
      <c r="G1738" s="479">
        <v>556038.42000000004</v>
      </c>
      <c r="H1738" s="479">
        <v>537690.42000000004</v>
      </c>
      <c r="I1738" s="480">
        <v>55.55</v>
      </c>
    </row>
    <row r="1739" spans="1:9" ht="38.25" hidden="1" outlineLevel="4">
      <c r="A1739" s="832" t="s">
        <v>854</v>
      </c>
      <c r="B1739" s="482" t="s">
        <v>5057</v>
      </c>
      <c r="C1739" s="831" t="s">
        <v>2124</v>
      </c>
      <c r="D1739" s="482" t="s">
        <v>2125</v>
      </c>
      <c r="E1739" s="484">
        <v>967934</v>
      </c>
      <c r="F1739" s="484">
        <v>967934</v>
      </c>
      <c r="G1739" s="484">
        <v>556038.42000000004</v>
      </c>
      <c r="H1739" s="484">
        <v>537690.42000000004</v>
      </c>
      <c r="I1739" s="480">
        <v>55.55</v>
      </c>
    </row>
    <row r="1740" spans="1:9" ht="63.75" hidden="1" outlineLevel="3">
      <c r="A1740" s="833" t="s">
        <v>62</v>
      </c>
      <c r="B1740" s="477" t="s">
        <v>5058</v>
      </c>
      <c r="C1740" s="478"/>
      <c r="D1740" s="477"/>
      <c r="E1740" s="479">
        <v>1125000</v>
      </c>
      <c r="F1740" s="479">
        <v>1125000</v>
      </c>
      <c r="G1740" s="479">
        <v>1125000</v>
      </c>
      <c r="H1740" s="479">
        <v>771247.63</v>
      </c>
      <c r="I1740" s="480">
        <v>68.56</v>
      </c>
    </row>
    <row r="1741" spans="1:9" ht="63.75" hidden="1" outlineLevel="4">
      <c r="A1741" s="832" t="s">
        <v>62</v>
      </c>
      <c r="B1741" s="482" t="s">
        <v>5058</v>
      </c>
      <c r="C1741" s="831" t="s">
        <v>2124</v>
      </c>
      <c r="D1741" s="482" t="s">
        <v>2125</v>
      </c>
      <c r="E1741" s="484">
        <v>1125000</v>
      </c>
      <c r="F1741" s="484">
        <v>1125000</v>
      </c>
      <c r="G1741" s="484">
        <v>1125000</v>
      </c>
      <c r="H1741" s="484">
        <v>771247.63</v>
      </c>
      <c r="I1741" s="480">
        <v>68.56</v>
      </c>
    </row>
    <row r="1742" spans="1:9" ht="76.5" hidden="1" outlineLevel="3">
      <c r="A1742" s="833" t="s">
        <v>1027</v>
      </c>
      <c r="B1742" s="477" t="s">
        <v>5059</v>
      </c>
      <c r="C1742" s="478"/>
      <c r="D1742" s="477"/>
      <c r="E1742" s="479">
        <v>41000</v>
      </c>
      <c r="F1742" s="479">
        <v>41000</v>
      </c>
      <c r="G1742" s="479">
        <v>22000</v>
      </c>
      <c r="H1742" s="479">
        <v>22000</v>
      </c>
      <c r="I1742" s="480">
        <v>53.66</v>
      </c>
    </row>
    <row r="1743" spans="1:9" ht="76.5" hidden="1" outlineLevel="4">
      <c r="A1743" s="832" t="s">
        <v>1027</v>
      </c>
      <c r="B1743" s="482" t="s">
        <v>5059</v>
      </c>
      <c r="C1743" s="831" t="s">
        <v>2124</v>
      </c>
      <c r="D1743" s="482" t="s">
        <v>2125</v>
      </c>
      <c r="E1743" s="484">
        <v>41000</v>
      </c>
      <c r="F1743" s="484">
        <v>41000</v>
      </c>
      <c r="G1743" s="484">
        <v>22000</v>
      </c>
      <c r="H1743" s="484">
        <v>22000</v>
      </c>
      <c r="I1743" s="480">
        <v>53.66</v>
      </c>
    </row>
    <row r="1744" spans="1:9" ht="38.25" hidden="1" outlineLevel="3">
      <c r="A1744" s="833" t="s">
        <v>5060</v>
      </c>
      <c r="B1744" s="477" t="s">
        <v>5061</v>
      </c>
      <c r="C1744" s="478"/>
      <c r="D1744" s="477"/>
      <c r="E1744" s="479">
        <v>70523900</v>
      </c>
      <c r="F1744" s="479">
        <v>70523900</v>
      </c>
      <c r="G1744" s="479">
        <v>49798292.259999998</v>
      </c>
      <c r="H1744" s="479">
        <v>44562111.270000003</v>
      </c>
      <c r="I1744" s="480">
        <v>63.19</v>
      </c>
    </row>
    <row r="1745" spans="1:9" ht="38.25" hidden="1" outlineLevel="4">
      <c r="A1745" s="832" t="s">
        <v>5060</v>
      </c>
      <c r="B1745" s="482" t="s">
        <v>5061</v>
      </c>
      <c r="C1745" s="831" t="s">
        <v>2124</v>
      </c>
      <c r="D1745" s="482" t="s">
        <v>2125</v>
      </c>
      <c r="E1745" s="484">
        <v>70523900</v>
      </c>
      <c r="F1745" s="484">
        <v>70523900</v>
      </c>
      <c r="G1745" s="484">
        <v>49798292.259999998</v>
      </c>
      <c r="H1745" s="484">
        <v>44562111.270000003</v>
      </c>
      <c r="I1745" s="480">
        <v>63.19</v>
      </c>
    </row>
    <row r="1746" spans="1:9" ht="38.25" hidden="1" outlineLevel="2">
      <c r="A1746" s="850" t="s">
        <v>5062</v>
      </c>
      <c r="B1746" s="472" t="s">
        <v>5063</v>
      </c>
      <c r="C1746" s="473"/>
      <c r="D1746" s="472"/>
      <c r="E1746" s="474">
        <v>44045256.5</v>
      </c>
      <c r="F1746" s="474">
        <v>44045256.5</v>
      </c>
      <c r="G1746" s="474">
        <v>30982113.960000001</v>
      </c>
      <c r="H1746" s="474">
        <v>27245935.969999999</v>
      </c>
      <c r="I1746" s="475">
        <v>61.86</v>
      </c>
    </row>
    <row r="1747" spans="1:9" ht="63.75" hidden="1" outlineLevel="3">
      <c r="A1747" s="833" t="s">
        <v>2319</v>
      </c>
      <c r="B1747" s="477" t="s">
        <v>5064</v>
      </c>
      <c r="C1747" s="478"/>
      <c r="D1747" s="477"/>
      <c r="E1747" s="479">
        <v>43400</v>
      </c>
      <c r="F1747" s="479">
        <v>43400</v>
      </c>
      <c r="G1747" s="479">
        <v>43400</v>
      </c>
      <c r="H1747" s="479">
        <v>8536.82</v>
      </c>
      <c r="I1747" s="480">
        <v>19.670000000000002</v>
      </c>
    </row>
    <row r="1748" spans="1:9" ht="63.75" hidden="1" outlineLevel="4">
      <c r="A1748" s="832" t="s">
        <v>2319</v>
      </c>
      <c r="B1748" s="482" t="s">
        <v>5064</v>
      </c>
      <c r="C1748" s="831" t="s">
        <v>2124</v>
      </c>
      <c r="D1748" s="482" t="s">
        <v>2125</v>
      </c>
      <c r="E1748" s="484">
        <v>43400</v>
      </c>
      <c r="F1748" s="484">
        <v>43400</v>
      </c>
      <c r="G1748" s="484">
        <v>43400</v>
      </c>
      <c r="H1748" s="484">
        <v>8536.82</v>
      </c>
      <c r="I1748" s="480">
        <v>19.670000000000002</v>
      </c>
    </row>
    <row r="1749" spans="1:9" ht="76.5" hidden="1" outlineLevel="3">
      <c r="A1749" s="833" t="s">
        <v>5065</v>
      </c>
      <c r="B1749" s="477" t="s">
        <v>5066</v>
      </c>
      <c r="C1749" s="478"/>
      <c r="D1749" s="477"/>
      <c r="E1749" s="479">
        <v>9574500</v>
      </c>
      <c r="F1749" s="479">
        <v>9574500</v>
      </c>
      <c r="G1749" s="479">
        <v>9574500</v>
      </c>
      <c r="H1749" s="479">
        <v>9574500</v>
      </c>
      <c r="I1749" s="480">
        <v>100</v>
      </c>
    </row>
    <row r="1750" spans="1:9" ht="76.5" hidden="1" outlineLevel="4">
      <c r="A1750" s="832" t="s">
        <v>5065</v>
      </c>
      <c r="B1750" s="482" t="s">
        <v>5066</v>
      </c>
      <c r="C1750" s="831" t="s">
        <v>2124</v>
      </c>
      <c r="D1750" s="482" t="s">
        <v>2125</v>
      </c>
      <c r="E1750" s="484">
        <v>9574500</v>
      </c>
      <c r="F1750" s="484">
        <v>9574500</v>
      </c>
      <c r="G1750" s="484">
        <v>9574500</v>
      </c>
      <c r="H1750" s="484">
        <v>9574500</v>
      </c>
      <c r="I1750" s="480">
        <v>100</v>
      </c>
    </row>
    <row r="1751" spans="1:9" ht="38.25" hidden="1" outlineLevel="3">
      <c r="A1751" s="833" t="s">
        <v>2315</v>
      </c>
      <c r="B1751" s="477" t="s">
        <v>5067</v>
      </c>
      <c r="C1751" s="478"/>
      <c r="D1751" s="477"/>
      <c r="E1751" s="479">
        <v>4635484</v>
      </c>
      <c r="F1751" s="479">
        <v>4635484</v>
      </c>
      <c r="G1751" s="479">
        <v>2380000</v>
      </c>
      <c r="H1751" s="479">
        <v>1987322</v>
      </c>
      <c r="I1751" s="480">
        <v>42.87</v>
      </c>
    </row>
    <row r="1752" spans="1:9" ht="38.25" hidden="1" outlineLevel="4">
      <c r="A1752" s="832" t="s">
        <v>2315</v>
      </c>
      <c r="B1752" s="482" t="s">
        <v>5067</v>
      </c>
      <c r="C1752" s="831" t="s">
        <v>2124</v>
      </c>
      <c r="D1752" s="482" t="s">
        <v>2125</v>
      </c>
      <c r="E1752" s="484">
        <v>4635484</v>
      </c>
      <c r="F1752" s="484">
        <v>4635484</v>
      </c>
      <c r="G1752" s="484">
        <v>2380000</v>
      </c>
      <c r="H1752" s="484">
        <v>1987322</v>
      </c>
      <c r="I1752" s="480">
        <v>42.87</v>
      </c>
    </row>
    <row r="1753" spans="1:9" ht="114.75" hidden="1" outlineLevel="3">
      <c r="A1753" s="833" t="s">
        <v>2309</v>
      </c>
      <c r="B1753" s="477" t="s">
        <v>5068</v>
      </c>
      <c r="C1753" s="478"/>
      <c r="D1753" s="477"/>
      <c r="E1753" s="479">
        <v>178000</v>
      </c>
      <c r="F1753" s="479">
        <v>178000</v>
      </c>
      <c r="G1753" s="479">
        <v>178000</v>
      </c>
      <c r="H1753" s="479">
        <v>53549.14</v>
      </c>
      <c r="I1753" s="480">
        <v>30.08</v>
      </c>
    </row>
    <row r="1754" spans="1:9" ht="114.75" hidden="1" outlineLevel="4">
      <c r="A1754" s="832" t="s">
        <v>2309</v>
      </c>
      <c r="B1754" s="482" t="s">
        <v>5068</v>
      </c>
      <c r="C1754" s="831" t="s">
        <v>2124</v>
      </c>
      <c r="D1754" s="482" t="s">
        <v>2125</v>
      </c>
      <c r="E1754" s="484">
        <v>178000</v>
      </c>
      <c r="F1754" s="484">
        <v>178000</v>
      </c>
      <c r="G1754" s="484">
        <v>178000</v>
      </c>
      <c r="H1754" s="484">
        <v>53549.14</v>
      </c>
      <c r="I1754" s="480">
        <v>30.08</v>
      </c>
    </row>
    <row r="1755" spans="1:9" ht="38.25" hidden="1" outlineLevel="3">
      <c r="A1755" s="833" t="s">
        <v>2311</v>
      </c>
      <c r="B1755" s="477" t="s">
        <v>5069</v>
      </c>
      <c r="C1755" s="478"/>
      <c r="D1755" s="477"/>
      <c r="E1755" s="479">
        <v>29613872.5</v>
      </c>
      <c r="F1755" s="479">
        <v>29613872.5</v>
      </c>
      <c r="G1755" s="479">
        <v>18806213.960000001</v>
      </c>
      <c r="H1755" s="479">
        <v>15622028.01</v>
      </c>
      <c r="I1755" s="480">
        <v>52.75</v>
      </c>
    </row>
    <row r="1756" spans="1:9" ht="38.25" hidden="1" outlineLevel="4">
      <c r="A1756" s="832" t="s">
        <v>2311</v>
      </c>
      <c r="B1756" s="482" t="s">
        <v>5069</v>
      </c>
      <c r="C1756" s="831" t="s">
        <v>2124</v>
      </c>
      <c r="D1756" s="482" t="s">
        <v>2125</v>
      </c>
      <c r="E1756" s="484">
        <v>29613872.5</v>
      </c>
      <c r="F1756" s="484">
        <v>29613872.5</v>
      </c>
      <c r="G1756" s="484">
        <v>18806213.960000001</v>
      </c>
      <c r="H1756" s="484">
        <v>15622028.01</v>
      </c>
      <c r="I1756" s="480">
        <v>52.75</v>
      </c>
    </row>
    <row r="1757" spans="1:9" ht="102" hidden="1" outlineLevel="2">
      <c r="A1757" s="850" t="s">
        <v>5070</v>
      </c>
      <c r="B1757" s="472" t="s">
        <v>5071</v>
      </c>
      <c r="C1757" s="473"/>
      <c r="D1757" s="472"/>
      <c r="E1757" s="474">
        <v>25708634.350000001</v>
      </c>
      <c r="F1757" s="474">
        <v>25708634.350000001</v>
      </c>
      <c r="G1757" s="474">
        <v>20044575.399999999</v>
      </c>
      <c r="H1757" s="474">
        <v>15836958.119999999</v>
      </c>
      <c r="I1757" s="475">
        <v>61.6</v>
      </c>
    </row>
    <row r="1758" spans="1:9" ht="25.5" hidden="1" outlineLevel="3">
      <c r="A1758" s="833" t="s">
        <v>873</v>
      </c>
      <c r="B1758" s="477" t="s">
        <v>5072</v>
      </c>
      <c r="C1758" s="478"/>
      <c r="D1758" s="477"/>
      <c r="E1758" s="479">
        <v>21242134.350000001</v>
      </c>
      <c r="F1758" s="479">
        <v>21242134.350000001</v>
      </c>
      <c r="G1758" s="479">
        <v>18700000</v>
      </c>
      <c r="H1758" s="479">
        <v>14495108.42</v>
      </c>
      <c r="I1758" s="480">
        <v>68.239999999999995</v>
      </c>
    </row>
    <row r="1759" spans="1:9" ht="38.25" hidden="1" outlineLevel="4">
      <c r="A1759" s="832" t="s">
        <v>873</v>
      </c>
      <c r="B1759" s="482" t="s">
        <v>5072</v>
      </c>
      <c r="C1759" s="831" t="s">
        <v>2265</v>
      </c>
      <c r="D1759" s="482" t="s">
        <v>2266</v>
      </c>
      <c r="E1759" s="484">
        <v>21242134.350000001</v>
      </c>
      <c r="F1759" s="484">
        <v>21242134.350000001</v>
      </c>
      <c r="G1759" s="484">
        <v>18700000</v>
      </c>
      <c r="H1759" s="484">
        <v>14495108.42</v>
      </c>
      <c r="I1759" s="480">
        <v>68.239999999999995</v>
      </c>
    </row>
    <row r="1760" spans="1:9" ht="38.25" hidden="1" outlineLevel="3">
      <c r="A1760" s="833" t="s">
        <v>854</v>
      </c>
      <c r="B1760" s="477" t="s">
        <v>5073</v>
      </c>
      <c r="C1760" s="478"/>
      <c r="D1760" s="477"/>
      <c r="E1760" s="479">
        <v>1606500</v>
      </c>
      <c r="F1760" s="479">
        <v>1606500</v>
      </c>
      <c r="G1760" s="479">
        <v>761442.4</v>
      </c>
      <c r="H1760" s="479">
        <v>758716.7</v>
      </c>
      <c r="I1760" s="480">
        <v>47.23</v>
      </c>
    </row>
    <row r="1761" spans="1:9" ht="38.25" hidden="1" outlineLevel="4">
      <c r="A1761" s="832" t="s">
        <v>854</v>
      </c>
      <c r="B1761" s="482" t="s">
        <v>5073</v>
      </c>
      <c r="C1761" s="831" t="s">
        <v>2265</v>
      </c>
      <c r="D1761" s="482" t="s">
        <v>2266</v>
      </c>
      <c r="E1761" s="484">
        <v>1606500</v>
      </c>
      <c r="F1761" s="484">
        <v>1606500</v>
      </c>
      <c r="G1761" s="484">
        <v>761442.4</v>
      </c>
      <c r="H1761" s="484">
        <v>758716.7</v>
      </c>
      <c r="I1761" s="480">
        <v>47.23</v>
      </c>
    </row>
    <row r="1762" spans="1:9" ht="63.75" hidden="1" outlineLevel="3">
      <c r="A1762" s="833" t="s">
        <v>62</v>
      </c>
      <c r="B1762" s="477" t="s">
        <v>5074</v>
      </c>
      <c r="C1762" s="478"/>
      <c r="D1762" s="477"/>
      <c r="E1762" s="479">
        <v>510000</v>
      </c>
      <c r="F1762" s="479">
        <v>510000</v>
      </c>
      <c r="G1762" s="479">
        <v>103133</v>
      </c>
      <c r="H1762" s="479">
        <v>103133</v>
      </c>
      <c r="I1762" s="480">
        <v>20.22</v>
      </c>
    </row>
    <row r="1763" spans="1:9" ht="63.75" hidden="1" outlineLevel="4">
      <c r="A1763" s="832" t="s">
        <v>62</v>
      </c>
      <c r="B1763" s="482" t="s">
        <v>5074</v>
      </c>
      <c r="C1763" s="831" t="s">
        <v>2265</v>
      </c>
      <c r="D1763" s="482" t="s">
        <v>2266</v>
      </c>
      <c r="E1763" s="484">
        <v>510000</v>
      </c>
      <c r="F1763" s="484">
        <v>510000</v>
      </c>
      <c r="G1763" s="484">
        <v>103133</v>
      </c>
      <c r="H1763" s="484">
        <v>103133</v>
      </c>
      <c r="I1763" s="480">
        <v>20.22</v>
      </c>
    </row>
    <row r="1764" spans="1:9" ht="25.5" hidden="1" outlineLevel="3">
      <c r="A1764" s="833" t="s">
        <v>713</v>
      </c>
      <c r="B1764" s="477" t="s">
        <v>5075</v>
      </c>
      <c r="C1764" s="478"/>
      <c r="D1764" s="477"/>
      <c r="E1764" s="479">
        <v>2350000</v>
      </c>
      <c r="F1764" s="479">
        <v>2350000</v>
      </c>
      <c r="G1764" s="479">
        <v>480000</v>
      </c>
      <c r="H1764" s="479">
        <v>480000</v>
      </c>
      <c r="I1764" s="480">
        <v>20.43</v>
      </c>
    </row>
    <row r="1765" spans="1:9" ht="38.25" hidden="1" outlineLevel="4">
      <c r="A1765" s="832" t="s">
        <v>713</v>
      </c>
      <c r="B1765" s="482" t="s">
        <v>5075</v>
      </c>
      <c r="C1765" s="831" t="s">
        <v>2265</v>
      </c>
      <c r="D1765" s="482" t="s">
        <v>2266</v>
      </c>
      <c r="E1765" s="484">
        <v>2350000</v>
      </c>
      <c r="F1765" s="484">
        <v>2350000</v>
      </c>
      <c r="G1765" s="484">
        <v>480000</v>
      </c>
      <c r="H1765" s="484">
        <v>480000</v>
      </c>
      <c r="I1765" s="480">
        <v>20.43</v>
      </c>
    </row>
    <row r="1766" spans="1:9" ht="102" hidden="1" outlineLevel="2">
      <c r="A1766" s="850" t="s">
        <v>5076</v>
      </c>
      <c r="B1766" s="472" t="s">
        <v>5077</v>
      </c>
      <c r="C1766" s="473"/>
      <c r="D1766" s="472"/>
      <c r="E1766" s="474">
        <v>1034222627.02</v>
      </c>
      <c r="F1766" s="474">
        <v>1017624616.84</v>
      </c>
      <c r="G1766" s="474">
        <v>710096998.65999997</v>
      </c>
      <c r="H1766" s="474">
        <v>688536415.75</v>
      </c>
      <c r="I1766" s="475">
        <v>66.58</v>
      </c>
    </row>
    <row r="1767" spans="1:9" ht="25.5" hidden="1" outlineLevel="3">
      <c r="A1767" s="833" t="s">
        <v>873</v>
      </c>
      <c r="B1767" s="477" t="s">
        <v>5078</v>
      </c>
      <c r="C1767" s="478"/>
      <c r="D1767" s="477"/>
      <c r="E1767" s="479">
        <v>227962348.44999999</v>
      </c>
      <c r="F1767" s="479">
        <v>216525902.13999999</v>
      </c>
      <c r="G1767" s="479">
        <v>164280000</v>
      </c>
      <c r="H1767" s="479">
        <v>152191962.38999999</v>
      </c>
      <c r="I1767" s="480">
        <v>66.760000000000005</v>
      </c>
    </row>
    <row r="1768" spans="1:9" ht="25.5" hidden="1" outlineLevel="4">
      <c r="A1768" s="832" t="s">
        <v>873</v>
      </c>
      <c r="B1768" s="482" t="s">
        <v>5078</v>
      </c>
      <c r="C1768" s="831" t="s">
        <v>2260</v>
      </c>
      <c r="D1768" s="482" t="s">
        <v>2261</v>
      </c>
      <c r="E1768" s="484">
        <v>227962348.44999999</v>
      </c>
      <c r="F1768" s="484">
        <v>216525902.13999999</v>
      </c>
      <c r="G1768" s="484">
        <v>164280000</v>
      </c>
      <c r="H1768" s="484">
        <v>152191962.38999999</v>
      </c>
      <c r="I1768" s="480">
        <v>66.760000000000005</v>
      </c>
    </row>
    <row r="1769" spans="1:9" ht="38.25" hidden="1" outlineLevel="3">
      <c r="A1769" s="833" t="s">
        <v>854</v>
      </c>
      <c r="B1769" s="477" t="s">
        <v>5079</v>
      </c>
      <c r="C1769" s="478"/>
      <c r="D1769" s="477"/>
      <c r="E1769" s="479">
        <v>4858059.03</v>
      </c>
      <c r="F1769" s="479">
        <v>4858059.03</v>
      </c>
      <c r="G1769" s="479">
        <v>3969859.23</v>
      </c>
      <c r="H1769" s="479">
        <v>3770698.96</v>
      </c>
      <c r="I1769" s="480">
        <v>77.62</v>
      </c>
    </row>
    <row r="1770" spans="1:9" ht="38.25" hidden="1" outlineLevel="4">
      <c r="A1770" s="832" t="s">
        <v>854</v>
      </c>
      <c r="B1770" s="482" t="s">
        <v>5079</v>
      </c>
      <c r="C1770" s="831" t="s">
        <v>2260</v>
      </c>
      <c r="D1770" s="482" t="s">
        <v>2261</v>
      </c>
      <c r="E1770" s="484">
        <v>4858059.03</v>
      </c>
      <c r="F1770" s="484">
        <v>4858059.03</v>
      </c>
      <c r="G1770" s="484">
        <v>3969859.23</v>
      </c>
      <c r="H1770" s="484">
        <v>3770698.96</v>
      </c>
      <c r="I1770" s="480">
        <v>77.62</v>
      </c>
    </row>
    <row r="1771" spans="1:9" ht="76.5" hidden="1" outlineLevel="3">
      <c r="A1771" s="833" t="s">
        <v>702</v>
      </c>
      <c r="B1771" s="477" t="s">
        <v>5080</v>
      </c>
      <c r="C1771" s="478"/>
      <c r="D1771" s="477"/>
      <c r="E1771" s="479">
        <v>636661971.39999998</v>
      </c>
      <c r="F1771" s="479">
        <v>636661971.39999998</v>
      </c>
      <c r="G1771" s="479">
        <v>455077904.27999997</v>
      </c>
      <c r="H1771" s="479">
        <v>448630021.54000002</v>
      </c>
      <c r="I1771" s="480">
        <v>70.47</v>
      </c>
    </row>
    <row r="1772" spans="1:9" ht="76.5" hidden="1" outlineLevel="4">
      <c r="A1772" s="832" t="s">
        <v>702</v>
      </c>
      <c r="B1772" s="482" t="s">
        <v>5080</v>
      </c>
      <c r="C1772" s="831" t="s">
        <v>2260</v>
      </c>
      <c r="D1772" s="482" t="s">
        <v>2261</v>
      </c>
      <c r="E1772" s="484">
        <v>636661971.39999998</v>
      </c>
      <c r="F1772" s="484">
        <v>636661971.39999998</v>
      </c>
      <c r="G1772" s="484">
        <v>455077904.27999997</v>
      </c>
      <c r="H1772" s="484">
        <v>448630021.54000002</v>
      </c>
      <c r="I1772" s="480">
        <v>70.47</v>
      </c>
    </row>
    <row r="1773" spans="1:9" ht="51" hidden="1" outlineLevel="3">
      <c r="A1773" s="833" t="s">
        <v>2285</v>
      </c>
      <c r="B1773" s="477" t="s">
        <v>5081</v>
      </c>
      <c r="C1773" s="478"/>
      <c r="D1773" s="477"/>
      <c r="E1773" s="479">
        <v>1100000</v>
      </c>
      <c r="F1773" s="479">
        <v>1100000</v>
      </c>
      <c r="G1773" s="479">
        <v>505000</v>
      </c>
      <c r="H1773" s="479">
        <v>415000</v>
      </c>
      <c r="I1773" s="480">
        <v>37.729999999999997</v>
      </c>
    </row>
    <row r="1774" spans="1:9" ht="51" hidden="1" outlineLevel="4">
      <c r="A1774" s="832" t="s">
        <v>2285</v>
      </c>
      <c r="B1774" s="482" t="s">
        <v>5081</v>
      </c>
      <c r="C1774" s="831" t="s">
        <v>2260</v>
      </c>
      <c r="D1774" s="482" t="s">
        <v>2261</v>
      </c>
      <c r="E1774" s="484">
        <v>1100000</v>
      </c>
      <c r="F1774" s="484">
        <v>1100000</v>
      </c>
      <c r="G1774" s="484">
        <v>505000</v>
      </c>
      <c r="H1774" s="484">
        <v>415000</v>
      </c>
      <c r="I1774" s="480">
        <v>37.729999999999997</v>
      </c>
    </row>
    <row r="1775" spans="1:9" ht="51" hidden="1" outlineLevel="3">
      <c r="A1775" s="833" t="s">
        <v>2287</v>
      </c>
      <c r="B1775" s="477" t="s">
        <v>5082</v>
      </c>
      <c r="C1775" s="478"/>
      <c r="D1775" s="477"/>
      <c r="E1775" s="479">
        <v>1060000</v>
      </c>
      <c r="F1775" s="479">
        <v>1060000</v>
      </c>
      <c r="G1775" s="479">
        <v>1020000</v>
      </c>
      <c r="H1775" s="479">
        <v>1000000</v>
      </c>
      <c r="I1775" s="480">
        <v>94.34</v>
      </c>
    </row>
    <row r="1776" spans="1:9" ht="51" hidden="1" outlineLevel="4">
      <c r="A1776" s="832" t="s">
        <v>2287</v>
      </c>
      <c r="B1776" s="482" t="s">
        <v>5082</v>
      </c>
      <c r="C1776" s="831" t="s">
        <v>2260</v>
      </c>
      <c r="D1776" s="482" t="s">
        <v>2261</v>
      </c>
      <c r="E1776" s="484">
        <v>1060000</v>
      </c>
      <c r="F1776" s="484">
        <v>1060000</v>
      </c>
      <c r="G1776" s="484">
        <v>1020000</v>
      </c>
      <c r="H1776" s="484">
        <v>1000000</v>
      </c>
      <c r="I1776" s="480">
        <v>94.34</v>
      </c>
    </row>
    <row r="1777" spans="1:9" ht="38.25" hidden="1" outlineLevel="3">
      <c r="A1777" s="833" t="s">
        <v>2289</v>
      </c>
      <c r="B1777" s="477" t="s">
        <v>5083</v>
      </c>
      <c r="C1777" s="478"/>
      <c r="D1777" s="477"/>
      <c r="E1777" s="479">
        <v>150000</v>
      </c>
      <c r="F1777" s="479">
        <v>150000</v>
      </c>
      <c r="G1777" s="479">
        <v>60000</v>
      </c>
      <c r="H1777" s="479">
        <v>45000</v>
      </c>
      <c r="I1777" s="480">
        <v>30</v>
      </c>
    </row>
    <row r="1778" spans="1:9" ht="38.25" hidden="1" outlineLevel="4">
      <c r="A1778" s="832" t="s">
        <v>2289</v>
      </c>
      <c r="B1778" s="482" t="s">
        <v>5083</v>
      </c>
      <c r="C1778" s="831" t="s">
        <v>2260</v>
      </c>
      <c r="D1778" s="482" t="s">
        <v>2261</v>
      </c>
      <c r="E1778" s="484">
        <v>150000</v>
      </c>
      <c r="F1778" s="484">
        <v>150000</v>
      </c>
      <c r="G1778" s="484">
        <v>60000</v>
      </c>
      <c r="H1778" s="484">
        <v>45000</v>
      </c>
      <c r="I1778" s="480">
        <v>30</v>
      </c>
    </row>
    <row r="1779" spans="1:9" ht="63.75" hidden="1" outlineLevel="3">
      <c r="A1779" s="833" t="s">
        <v>2276</v>
      </c>
      <c r="B1779" s="477" t="s">
        <v>5084</v>
      </c>
      <c r="C1779" s="478"/>
      <c r="D1779" s="477"/>
      <c r="E1779" s="479">
        <v>13117964.4</v>
      </c>
      <c r="F1779" s="479">
        <v>13117964.4</v>
      </c>
      <c r="G1779" s="479">
        <v>12537236.699999999</v>
      </c>
      <c r="H1779" s="479">
        <v>10407901.800000001</v>
      </c>
      <c r="I1779" s="480">
        <v>79.34</v>
      </c>
    </row>
    <row r="1780" spans="1:9" ht="63.75" hidden="1" outlineLevel="4">
      <c r="A1780" s="832" t="s">
        <v>2276</v>
      </c>
      <c r="B1780" s="482" t="s">
        <v>5084</v>
      </c>
      <c r="C1780" s="831" t="s">
        <v>2260</v>
      </c>
      <c r="D1780" s="482" t="s">
        <v>2261</v>
      </c>
      <c r="E1780" s="484">
        <v>13117964.4</v>
      </c>
      <c r="F1780" s="484">
        <v>13117964.4</v>
      </c>
      <c r="G1780" s="484">
        <v>12537236.699999999</v>
      </c>
      <c r="H1780" s="484">
        <v>10407901.800000001</v>
      </c>
      <c r="I1780" s="480">
        <v>79.34</v>
      </c>
    </row>
    <row r="1781" spans="1:9" ht="63.75" hidden="1" outlineLevel="3">
      <c r="A1781" s="833" t="s">
        <v>62</v>
      </c>
      <c r="B1781" s="477" t="s">
        <v>5085</v>
      </c>
      <c r="C1781" s="478"/>
      <c r="D1781" s="477"/>
      <c r="E1781" s="479">
        <v>8057142.2000000002</v>
      </c>
      <c r="F1781" s="479">
        <v>8057142.2000000002</v>
      </c>
      <c r="G1781" s="479">
        <v>8057142.2000000002</v>
      </c>
      <c r="H1781" s="479">
        <v>7498660.8099999996</v>
      </c>
      <c r="I1781" s="480">
        <v>93.07</v>
      </c>
    </row>
    <row r="1782" spans="1:9" ht="63.75" hidden="1" outlineLevel="4">
      <c r="A1782" s="832" t="s">
        <v>62</v>
      </c>
      <c r="B1782" s="482" t="s">
        <v>5085</v>
      </c>
      <c r="C1782" s="831" t="s">
        <v>2260</v>
      </c>
      <c r="D1782" s="482" t="s">
        <v>2261</v>
      </c>
      <c r="E1782" s="484">
        <v>8057142.2000000002</v>
      </c>
      <c r="F1782" s="484">
        <v>8057142.2000000002</v>
      </c>
      <c r="G1782" s="484">
        <v>8057142.2000000002</v>
      </c>
      <c r="H1782" s="484">
        <v>7498660.8099999996</v>
      </c>
      <c r="I1782" s="480">
        <v>93.07</v>
      </c>
    </row>
    <row r="1783" spans="1:9" ht="76.5" hidden="1" outlineLevel="3">
      <c r="A1783" s="833" t="s">
        <v>156</v>
      </c>
      <c r="B1783" s="477" t="s">
        <v>5086</v>
      </c>
      <c r="C1783" s="478"/>
      <c r="D1783" s="477"/>
      <c r="E1783" s="479">
        <v>42857.8</v>
      </c>
      <c r="F1783" s="479">
        <v>42857.8</v>
      </c>
      <c r="G1783" s="479">
        <v>42857.8</v>
      </c>
      <c r="H1783" s="479">
        <v>42857.8</v>
      </c>
      <c r="I1783" s="480">
        <v>100</v>
      </c>
    </row>
    <row r="1784" spans="1:9" ht="76.5" hidden="1" outlineLevel="4">
      <c r="A1784" s="832" t="s">
        <v>156</v>
      </c>
      <c r="B1784" s="482" t="s">
        <v>5086</v>
      </c>
      <c r="C1784" s="831" t="s">
        <v>2260</v>
      </c>
      <c r="D1784" s="482" t="s">
        <v>2261</v>
      </c>
      <c r="E1784" s="484">
        <v>42857.8</v>
      </c>
      <c r="F1784" s="484">
        <v>42857.8</v>
      </c>
      <c r="G1784" s="484">
        <v>42857.8</v>
      </c>
      <c r="H1784" s="484">
        <v>42857.8</v>
      </c>
      <c r="I1784" s="480">
        <v>100</v>
      </c>
    </row>
    <row r="1785" spans="1:9" ht="76.5" hidden="1" outlineLevel="3">
      <c r="A1785" s="833" t="s">
        <v>1027</v>
      </c>
      <c r="B1785" s="477" t="s">
        <v>5087</v>
      </c>
      <c r="C1785" s="478"/>
      <c r="D1785" s="477"/>
      <c r="E1785" s="479">
        <v>440000</v>
      </c>
      <c r="F1785" s="479">
        <v>440000</v>
      </c>
      <c r="G1785" s="479">
        <v>97772</v>
      </c>
      <c r="H1785" s="479">
        <v>85086</v>
      </c>
      <c r="I1785" s="480">
        <v>19.34</v>
      </c>
    </row>
    <row r="1786" spans="1:9" ht="76.5" hidden="1" outlineLevel="4">
      <c r="A1786" s="832" t="s">
        <v>1027</v>
      </c>
      <c r="B1786" s="482" t="s">
        <v>5087</v>
      </c>
      <c r="C1786" s="831" t="s">
        <v>2260</v>
      </c>
      <c r="D1786" s="482" t="s">
        <v>2261</v>
      </c>
      <c r="E1786" s="484">
        <v>440000</v>
      </c>
      <c r="F1786" s="484">
        <v>440000</v>
      </c>
      <c r="G1786" s="484">
        <v>97772</v>
      </c>
      <c r="H1786" s="484">
        <v>85086</v>
      </c>
      <c r="I1786" s="480">
        <v>19.34</v>
      </c>
    </row>
    <row r="1787" spans="1:9" ht="51" hidden="1" outlineLevel="3">
      <c r="A1787" s="833" t="s">
        <v>861</v>
      </c>
      <c r="B1787" s="477" t="s">
        <v>5088</v>
      </c>
      <c r="C1787" s="478"/>
      <c r="D1787" s="477"/>
      <c r="E1787" s="479">
        <v>1150000</v>
      </c>
      <c r="F1787" s="479">
        <v>1111419.33</v>
      </c>
      <c r="G1787" s="479">
        <v>649420</v>
      </c>
      <c r="H1787" s="479">
        <v>649420</v>
      </c>
      <c r="I1787" s="480">
        <v>56.47</v>
      </c>
    </row>
    <row r="1788" spans="1:9" ht="51" hidden="1" outlineLevel="4">
      <c r="A1788" s="832" t="s">
        <v>861</v>
      </c>
      <c r="B1788" s="482" t="s">
        <v>5088</v>
      </c>
      <c r="C1788" s="831" t="s">
        <v>2260</v>
      </c>
      <c r="D1788" s="482" t="s">
        <v>2261</v>
      </c>
      <c r="E1788" s="484">
        <v>1150000</v>
      </c>
      <c r="F1788" s="484">
        <v>1111419.33</v>
      </c>
      <c r="G1788" s="484">
        <v>649420</v>
      </c>
      <c r="H1788" s="484">
        <v>649420</v>
      </c>
      <c r="I1788" s="480">
        <v>56.47</v>
      </c>
    </row>
    <row r="1789" spans="1:9" ht="25.5" hidden="1" outlineLevel="3">
      <c r="A1789" s="833" t="s">
        <v>713</v>
      </c>
      <c r="B1789" s="477" t="s">
        <v>5089</v>
      </c>
      <c r="C1789" s="478"/>
      <c r="D1789" s="477"/>
      <c r="E1789" s="479">
        <v>139622283.74000001</v>
      </c>
      <c r="F1789" s="479">
        <v>134499300.53999999</v>
      </c>
      <c r="G1789" s="479">
        <v>63799806.450000003</v>
      </c>
      <c r="H1789" s="479">
        <v>63799806.450000003</v>
      </c>
      <c r="I1789" s="480">
        <v>45.69</v>
      </c>
    </row>
    <row r="1790" spans="1:9" ht="25.5" hidden="1" outlineLevel="4">
      <c r="A1790" s="832" t="s">
        <v>713</v>
      </c>
      <c r="B1790" s="482" t="s">
        <v>5089</v>
      </c>
      <c r="C1790" s="831" t="s">
        <v>803</v>
      </c>
      <c r="D1790" s="482" t="s">
        <v>804</v>
      </c>
      <c r="E1790" s="484">
        <v>139622283.74000001</v>
      </c>
      <c r="F1790" s="484">
        <v>134499300.53999999</v>
      </c>
      <c r="G1790" s="484">
        <v>63799806.450000003</v>
      </c>
      <c r="H1790" s="484">
        <v>63799806.450000003</v>
      </c>
      <c r="I1790" s="480">
        <v>45.69</v>
      </c>
    </row>
    <row r="1791" spans="1:9" ht="63.75" hidden="1" outlineLevel="2">
      <c r="A1791" s="850" t="s">
        <v>5090</v>
      </c>
      <c r="B1791" s="472" t="s">
        <v>5091</v>
      </c>
      <c r="C1791" s="473"/>
      <c r="D1791" s="472"/>
      <c r="E1791" s="474">
        <v>5000000</v>
      </c>
      <c r="F1791" s="474">
        <v>5000000</v>
      </c>
      <c r="G1791" s="474">
        <v>5000000</v>
      </c>
      <c r="H1791" s="474">
        <v>5000000</v>
      </c>
      <c r="I1791" s="475">
        <v>100</v>
      </c>
    </row>
    <row r="1792" spans="1:9" ht="63.75" hidden="1" outlineLevel="3">
      <c r="A1792" s="833" t="s">
        <v>5092</v>
      </c>
      <c r="B1792" s="477" t="s">
        <v>5093</v>
      </c>
      <c r="C1792" s="478"/>
      <c r="D1792" s="477"/>
      <c r="E1792" s="479">
        <v>5000000</v>
      </c>
      <c r="F1792" s="479">
        <v>5000000</v>
      </c>
      <c r="G1792" s="479">
        <v>5000000</v>
      </c>
      <c r="H1792" s="479">
        <v>5000000</v>
      </c>
      <c r="I1792" s="480">
        <v>100</v>
      </c>
    </row>
    <row r="1793" spans="1:9" ht="63.75" hidden="1" outlineLevel="4">
      <c r="A1793" s="832" t="s">
        <v>5092</v>
      </c>
      <c r="B1793" s="482" t="s">
        <v>5093</v>
      </c>
      <c r="C1793" s="831" t="s">
        <v>2260</v>
      </c>
      <c r="D1793" s="482" t="s">
        <v>2261</v>
      </c>
      <c r="E1793" s="484">
        <v>5000000</v>
      </c>
      <c r="F1793" s="484">
        <v>5000000</v>
      </c>
      <c r="G1793" s="484">
        <v>5000000</v>
      </c>
      <c r="H1793" s="484">
        <v>5000000</v>
      </c>
      <c r="I1793" s="480">
        <v>100</v>
      </c>
    </row>
    <row r="1794" spans="1:9" ht="51" hidden="1" outlineLevel="2">
      <c r="A1794" s="850" t="s">
        <v>5094</v>
      </c>
      <c r="B1794" s="472" t="s">
        <v>5095</v>
      </c>
      <c r="C1794" s="473"/>
      <c r="D1794" s="472"/>
      <c r="E1794" s="474">
        <v>100000000</v>
      </c>
      <c r="F1794" s="474">
        <v>87288687.359999999</v>
      </c>
      <c r="G1794" s="474">
        <v>71457046.870000005</v>
      </c>
      <c r="H1794" s="474">
        <v>59885363.200000003</v>
      </c>
      <c r="I1794" s="475">
        <v>59.89</v>
      </c>
    </row>
    <row r="1795" spans="1:9" ht="38.25" hidden="1" outlineLevel="3">
      <c r="A1795" s="833" t="s">
        <v>5096</v>
      </c>
      <c r="B1795" s="477" t="s">
        <v>5097</v>
      </c>
      <c r="C1795" s="478"/>
      <c r="D1795" s="477"/>
      <c r="E1795" s="479">
        <v>100000000</v>
      </c>
      <c r="F1795" s="479">
        <v>87288687.359999999</v>
      </c>
      <c r="G1795" s="479">
        <v>71457046.870000005</v>
      </c>
      <c r="H1795" s="479">
        <v>59885363.200000003</v>
      </c>
      <c r="I1795" s="480">
        <v>59.89</v>
      </c>
    </row>
    <row r="1796" spans="1:9" ht="38.25" hidden="1" outlineLevel="4">
      <c r="A1796" s="832" t="s">
        <v>5096</v>
      </c>
      <c r="B1796" s="482" t="s">
        <v>5097</v>
      </c>
      <c r="C1796" s="831" t="s">
        <v>2324</v>
      </c>
      <c r="D1796" s="482" t="s">
        <v>2325</v>
      </c>
      <c r="E1796" s="484">
        <v>100000000</v>
      </c>
      <c r="F1796" s="484">
        <v>87288687.359999999</v>
      </c>
      <c r="G1796" s="484">
        <v>71457046.870000005</v>
      </c>
      <c r="H1796" s="484">
        <v>59885363.200000003</v>
      </c>
      <c r="I1796" s="480">
        <v>59.89</v>
      </c>
    </row>
    <row r="1797" spans="1:9" ht="140.25" hidden="1" outlineLevel="2">
      <c r="A1797" s="850" t="s">
        <v>5098</v>
      </c>
      <c r="B1797" s="472" t="s">
        <v>5099</v>
      </c>
      <c r="C1797" s="473"/>
      <c r="D1797" s="472"/>
      <c r="E1797" s="474">
        <v>15000000</v>
      </c>
      <c r="F1797" s="474">
        <v>15000000</v>
      </c>
      <c r="G1797" s="474">
        <v>8452292.5</v>
      </c>
      <c r="H1797" s="474">
        <v>8452292.5</v>
      </c>
      <c r="I1797" s="475">
        <v>56.35</v>
      </c>
    </row>
    <row r="1798" spans="1:9" ht="76.5" hidden="1" outlineLevel="3">
      <c r="A1798" s="833" t="s">
        <v>702</v>
      </c>
      <c r="B1798" s="477" t="s">
        <v>5100</v>
      </c>
      <c r="C1798" s="478"/>
      <c r="D1798" s="477"/>
      <c r="E1798" s="479">
        <v>15000000</v>
      </c>
      <c r="F1798" s="479">
        <v>15000000</v>
      </c>
      <c r="G1798" s="479">
        <v>8452292.5</v>
      </c>
      <c r="H1798" s="479">
        <v>8452292.5</v>
      </c>
      <c r="I1798" s="480">
        <v>56.35</v>
      </c>
    </row>
    <row r="1799" spans="1:9" ht="76.5" hidden="1" outlineLevel="4">
      <c r="A1799" s="832" t="s">
        <v>702</v>
      </c>
      <c r="B1799" s="482" t="s">
        <v>5100</v>
      </c>
      <c r="C1799" s="831" t="s">
        <v>2260</v>
      </c>
      <c r="D1799" s="482" t="s">
        <v>2261</v>
      </c>
      <c r="E1799" s="484">
        <v>15000000</v>
      </c>
      <c r="F1799" s="484">
        <v>15000000</v>
      </c>
      <c r="G1799" s="484">
        <v>8452292.5</v>
      </c>
      <c r="H1799" s="484">
        <v>8452292.5</v>
      </c>
      <c r="I1799" s="480">
        <v>56.35</v>
      </c>
    </row>
    <row r="1800" spans="1:9" ht="38.25" hidden="1" outlineLevel="1">
      <c r="A1800" s="851" t="s">
        <v>2326</v>
      </c>
      <c r="B1800" s="467" t="s">
        <v>5101</v>
      </c>
      <c r="C1800" s="468"/>
      <c r="D1800" s="467"/>
      <c r="E1800" s="469">
        <v>349347941.39999998</v>
      </c>
      <c r="F1800" s="469">
        <v>344520653.86000001</v>
      </c>
      <c r="G1800" s="469">
        <v>233670632.11000001</v>
      </c>
      <c r="H1800" s="469">
        <v>223569724.18000001</v>
      </c>
      <c r="I1800" s="470">
        <v>64</v>
      </c>
    </row>
    <row r="1801" spans="1:9" ht="63.75" hidden="1" outlineLevel="2">
      <c r="A1801" s="850" t="s">
        <v>5102</v>
      </c>
      <c r="B1801" s="472" t="s">
        <v>5103</v>
      </c>
      <c r="C1801" s="473"/>
      <c r="D1801" s="472"/>
      <c r="E1801" s="474">
        <v>2420000</v>
      </c>
      <c r="F1801" s="474">
        <v>2413333.2000000002</v>
      </c>
      <c r="G1801" s="474">
        <v>1608888.8</v>
      </c>
      <c r="H1801" s="474">
        <v>1608888.8</v>
      </c>
      <c r="I1801" s="475">
        <v>66.48</v>
      </c>
    </row>
    <row r="1802" spans="1:9" ht="51" hidden="1" outlineLevel="3">
      <c r="A1802" s="833" t="s">
        <v>861</v>
      </c>
      <c r="B1802" s="477" t="s">
        <v>5104</v>
      </c>
      <c r="C1802" s="478"/>
      <c r="D1802" s="477"/>
      <c r="E1802" s="479">
        <v>2420000</v>
      </c>
      <c r="F1802" s="479">
        <v>2413333.2000000002</v>
      </c>
      <c r="G1802" s="479">
        <v>1608888.8</v>
      </c>
      <c r="H1802" s="479">
        <v>1608888.8</v>
      </c>
      <c r="I1802" s="480">
        <v>66.48</v>
      </c>
    </row>
    <row r="1803" spans="1:9" ht="51" hidden="1" outlineLevel="4">
      <c r="A1803" s="832" t="s">
        <v>861</v>
      </c>
      <c r="B1803" s="482" t="s">
        <v>5104</v>
      </c>
      <c r="C1803" s="831" t="s">
        <v>1984</v>
      </c>
      <c r="D1803" s="482" t="s">
        <v>1985</v>
      </c>
      <c r="E1803" s="484">
        <v>2420000</v>
      </c>
      <c r="F1803" s="484">
        <v>2413333.2000000002</v>
      </c>
      <c r="G1803" s="484">
        <v>1608888.8</v>
      </c>
      <c r="H1803" s="484">
        <v>1608888.8</v>
      </c>
      <c r="I1803" s="480">
        <v>66.48</v>
      </c>
    </row>
    <row r="1804" spans="1:9" ht="38.25" hidden="1" outlineLevel="2">
      <c r="A1804" s="850" t="s">
        <v>5105</v>
      </c>
      <c r="B1804" s="472" t="s">
        <v>5106</v>
      </c>
      <c r="C1804" s="473"/>
      <c r="D1804" s="472"/>
      <c r="E1804" s="474">
        <v>8250007.8799999999</v>
      </c>
      <c r="F1804" s="474">
        <v>5131451.43</v>
      </c>
      <c r="G1804" s="474">
        <v>1161195.52</v>
      </c>
      <c r="H1804" s="474">
        <v>1161195.52</v>
      </c>
      <c r="I1804" s="475">
        <v>14.08</v>
      </c>
    </row>
    <row r="1805" spans="1:9" ht="76.5" hidden="1" outlineLevel="3">
      <c r="A1805" s="833" t="s">
        <v>702</v>
      </c>
      <c r="B1805" s="477" t="s">
        <v>5107</v>
      </c>
      <c r="C1805" s="478"/>
      <c r="D1805" s="477"/>
      <c r="E1805" s="479">
        <v>2000000</v>
      </c>
      <c r="F1805" s="479">
        <v>2000000</v>
      </c>
      <c r="G1805" s="479">
        <v>0</v>
      </c>
      <c r="H1805" s="479">
        <v>0</v>
      </c>
      <c r="I1805" s="480">
        <v>0</v>
      </c>
    </row>
    <row r="1806" spans="1:9" ht="76.5" hidden="1" outlineLevel="4">
      <c r="A1806" s="832" t="s">
        <v>702</v>
      </c>
      <c r="B1806" s="482" t="s">
        <v>5107</v>
      </c>
      <c r="C1806" s="831" t="s">
        <v>1984</v>
      </c>
      <c r="D1806" s="482" t="s">
        <v>1985</v>
      </c>
      <c r="E1806" s="484">
        <v>2000000</v>
      </c>
      <c r="F1806" s="484">
        <v>2000000</v>
      </c>
      <c r="G1806" s="484">
        <v>0</v>
      </c>
      <c r="H1806" s="484">
        <v>0</v>
      </c>
      <c r="I1806" s="480">
        <v>0</v>
      </c>
    </row>
    <row r="1807" spans="1:9" ht="51" hidden="1" outlineLevel="3">
      <c r="A1807" s="833" t="s">
        <v>861</v>
      </c>
      <c r="B1807" s="477" t="s">
        <v>5108</v>
      </c>
      <c r="C1807" s="478"/>
      <c r="D1807" s="477"/>
      <c r="E1807" s="479">
        <v>1620000</v>
      </c>
      <c r="F1807" s="479">
        <v>1620000</v>
      </c>
      <c r="G1807" s="479">
        <v>1080000</v>
      </c>
      <c r="H1807" s="479">
        <v>1080000</v>
      </c>
      <c r="I1807" s="480">
        <v>66.67</v>
      </c>
    </row>
    <row r="1808" spans="1:9" ht="51" hidden="1" outlineLevel="4">
      <c r="A1808" s="832" t="s">
        <v>861</v>
      </c>
      <c r="B1808" s="482" t="s">
        <v>5108</v>
      </c>
      <c r="C1808" s="831" t="s">
        <v>1984</v>
      </c>
      <c r="D1808" s="482" t="s">
        <v>1985</v>
      </c>
      <c r="E1808" s="484">
        <v>1620000</v>
      </c>
      <c r="F1808" s="484">
        <v>1620000</v>
      </c>
      <c r="G1808" s="484">
        <v>1080000</v>
      </c>
      <c r="H1808" s="484">
        <v>1080000</v>
      </c>
      <c r="I1808" s="480">
        <v>66.67</v>
      </c>
    </row>
    <row r="1809" spans="1:9" ht="25.5" hidden="1" outlineLevel="3">
      <c r="A1809" s="833" t="s">
        <v>713</v>
      </c>
      <c r="B1809" s="477" t="s">
        <v>5109</v>
      </c>
      <c r="C1809" s="478"/>
      <c r="D1809" s="477"/>
      <c r="E1809" s="479">
        <v>157000</v>
      </c>
      <c r="F1809" s="479">
        <v>157000</v>
      </c>
      <c r="G1809" s="479">
        <v>81195.520000000004</v>
      </c>
      <c r="H1809" s="479">
        <v>81195.520000000004</v>
      </c>
      <c r="I1809" s="480">
        <v>51.72</v>
      </c>
    </row>
    <row r="1810" spans="1:9" ht="25.5" hidden="1" outlineLevel="4">
      <c r="A1810" s="832" t="s">
        <v>713</v>
      </c>
      <c r="B1810" s="482" t="s">
        <v>5109</v>
      </c>
      <c r="C1810" s="831" t="s">
        <v>1984</v>
      </c>
      <c r="D1810" s="482" t="s">
        <v>1985</v>
      </c>
      <c r="E1810" s="484">
        <v>157000</v>
      </c>
      <c r="F1810" s="484">
        <v>157000</v>
      </c>
      <c r="G1810" s="484">
        <v>81195.520000000004</v>
      </c>
      <c r="H1810" s="484">
        <v>81195.520000000004</v>
      </c>
      <c r="I1810" s="480">
        <v>51.72</v>
      </c>
    </row>
    <row r="1811" spans="1:9" ht="51" hidden="1" outlineLevel="3">
      <c r="A1811" s="833" t="s">
        <v>5110</v>
      </c>
      <c r="B1811" s="477" t="s">
        <v>5111</v>
      </c>
      <c r="C1811" s="478"/>
      <c r="D1811" s="477"/>
      <c r="E1811" s="479">
        <v>4473007.88</v>
      </c>
      <c r="F1811" s="479">
        <v>1354451.43</v>
      </c>
      <c r="G1811" s="479">
        <v>0</v>
      </c>
      <c r="H1811" s="479">
        <v>0</v>
      </c>
      <c r="I1811" s="480">
        <v>0</v>
      </c>
    </row>
    <row r="1812" spans="1:9" ht="51" hidden="1" outlineLevel="4">
      <c r="A1812" s="832" t="s">
        <v>5110</v>
      </c>
      <c r="B1812" s="482" t="s">
        <v>5111</v>
      </c>
      <c r="C1812" s="831" t="s">
        <v>1984</v>
      </c>
      <c r="D1812" s="482" t="s">
        <v>1985</v>
      </c>
      <c r="E1812" s="484">
        <v>4473007.88</v>
      </c>
      <c r="F1812" s="484">
        <v>1354451.43</v>
      </c>
      <c r="G1812" s="484">
        <v>0</v>
      </c>
      <c r="H1812" s="484">
        <v>0</v>
      </c>
      <c r="I1812" s="480">
        <v>0</v>
      </c>
    </row>
    <row r="1813" spans="1:9" ht="89.25" hidden="1" outlineLevel="2">
      <c r="A1813" s="850" t="s">
        <v>5112</v>
      </c>
      <c r="B1813" s="472" t="s">
        <v>5113</v>
      </c>
      <c r="C1813" s="473"/>
      <c r="D1813" s="472"/>
      <c r="E1813" s="474">
        <v>338677933.51999998</v>
      </c>
      <c r="F1813" s="474">
        <v>336975869.23000002</v>
      </c>
      <c r="G1813" s="474">
        <v>230900547.78999999</v>
      </c>
      <c r="H1813" s="474">
        <v>220799639.86000001</v>
      </c>
      <c r="I1813" s="475">
        <v>65.19</v>
      </c>
    </row>
    <row r="1814" spans="1:9" ht="25.5" hidden="1" outlineLevel="3">
      <c r="A1814" s="833" t="s">
        <v>873</v>
      </c>
      <c r="B1814" s="477" t="s">
        <v>5114</v>
      </c>
      <c r="C1814" s="478"/>
      <c r="D1814" s="477"/>
      <c r="E1814" s="479">
        <v>56619484.530000001</v>
      </c>
      <c r="F1814" s="479">
        <v>56095711.579999998</v>
      </c>
      <c r="G1814" s="479">
        <v>43730000</v>
      </c>
      <c r="H1814" s="479">
        <v>39530823.939999998</v>
      </c>
      <c r="I1814" s="480">
        <v>69.819999999999993</v>
      </c>
    </row>
    <row r="1815" spans="1:9" ht="25.5" hidden="1" outlineLevel="4">
      <c r="A1815" s="832" t="s">
        <v>873</v>
      </c>
      <c r="B1815" s="482" t="s">
        <v>5114</v>
      </c>
      <c r="C1815" s="831" t="s">
        <v>1984</v>
      </c>
      <c r="D1815" s="482" t="s">
        <v>1985</v>
      </c>
      <c r="E1815" s="484">
        <v>56619484.530000001</v>
      </c>
      <c r="F1815" s="484">
        <v>56095711.579999998</v>
      </c>
      <c r="G1815" s="484">
        <v>43730000</v>
      </c>
      <c r="H1815" s="484">
        <v>39530823.939999998</v>
      </c>
      <c r="I1815" s="480">
        <v>69.819999999999993</v>
      </c>
    </row>
    <row r="1816" spans="1:9" ht="38.25" hidden="1" outlineLevel="3">
      <c r="A1816" s="833" t="s">
        <v>854</v>
      </c>
      <c r="B1816" s="477" t="s">
        <v>5115</v>
      </c>
      <c r="C1816" s="478"/>
      <c r="D1816" s="477"/>
      <c r="E1816" s="479">
        <v>2269715</v>
      </c>
      <c r="F1816" s="479">
        <v>2246276</v>
      </c>
      <c r="G1816" s="479">
        <v>1579479.49</v>
      </c>
      <c r="H1816" s="479">
        <v>1396891.49</v>
      </c>
      <c r="I1816" s="480">
        <v>61.54</v>
      </c>
    </row>
    <row r="1817" spans="1:9" ht="38.25" hidden="1" outlineLevel="4">
      <c r="A1817" s="832" t="s">
        <v>854</v>
      </c>
      <c r="B1817" s="482" t="s">
        <v>5115</v>
      </c>
      <c r="C1817" s="831" t="s">
        <v>1984</v>
      </c>
      <c r="D1817" s="482" t="s">
        <v>1985</v>
      </c>
      <c r="E1817" s="484">
        <v>2269715</v>
      </c>
      <c r="F1817" s="484">
        <v>2246276</v>
      </c>
      <c r="G1817" s="484">
        <v>1579479.49</v>
      </c>
      <c r="H1817" s="484">
        <v>1396891.49</v>
      </c>
      <c r="I1817" s="480">
        <v>61.54</v>
      </c>
    </row>
    <row r="1818" spans="1:9" ht="76.5" hidden="1" outlineLevel="3">
      <c r="A1818" s="833" t="s">
        <v>702</v>
      </c>
      <c r="B1818" s="477" t="s">
        <v>5116</v>
      </c>
      <c r="C1818" s="478"/>
      <c r="D1818" s="477"/>
      <c r="E1818" s="479">
        <v>256684204.83000001</v>
      </c>
      <c r="F1818" s="479">
        <v>255529352.49000001</v>
      </c>
      <c r="G1818" s="479">
        <v>181733395.19</v>
      </c>
      <c r="H1818" s="479">
        <v>176209716.93000001</v>
      </c>
      <c r="I1818" s="480">
        <v>68.650000000000006</v>
      </c>
    </row>
    <row r="1819" spans="1:9" ht="76.5" hidden="1" outlineLevel="4">
      <c r="A1819" s="832" t="s">
        <v>702</v>
      </c>
      <c r="B1819" s="482" t="s">
        <v>5116</v>
      </c>
      <c r="C1819" s="831" t="s">
        <v>1984</v>
      </c>
      <c r="D1819" s="482" t="s">
        <v>1985</v>
      </c>
      <c r="E1819" s="484">
        <v>256684204.83000001</v>
      </c>
      <c r="F1819" s="484">
        <v>255529352.49000001</v>
      </c>
      <c r="G1819" s="484">
        <v>181733395.19</v>
      </c>
      <c r="H1819" s="484">
        <v>176209716.93000001</v>
      </c>
      <c r="I1819" s="480">
        <v>68.650000000000006</v>
      </c>
    </row>
    <row r="1820" spans="1:9" ht="63.75" hidden="1" outlineLevel="3">
      <c r="A1820" s="833" t="s">
        <v>62</v>
      </c>
      <c r="B1820" s="477" t="s">
        <v>5117</v>
      </c>
      <c r="C1820" s="478"/>
      <c r="D1820" s="477"/>
      <c r="E1820" s="479">
        <v>5864220.1600000001</v>
      </c>
      <c r="F1820" s="479">
        <v>5864220.1600000001</v>
      </c>
      <c r="G1820" s="479">
        <v>3617747.61</v>
      </c>
      <c r="H1820" s="479">
        <v>3422282</v>
      </c>
      <c r="I1820" s="480">
        <v>58.36</v>
      </c>
    </row>
    <row r="1821" spans="1:9" ht="63.75" hidden="1" outlineLevel="4">
      <c r="A1821" s="832" t="s">
        <v>62</v>
      </c>
      <c r="B1821" s="482" t="s">
        <v>5117</v>
      </c>
      <c r="C1821" s="831" t="s">
        <v>1984</v>
      </c>
      <c r="D1821" s="482" t="s">
        <v>1985</v>
      </c>
      <c r="E1821" s="484">
        <v>5864220.1600000001</v>
      </c>
      <c r="F1821" s="484">
        <v>5864220.1600000001</v>
      </c>
      <c r="G1821" s="484">
        <v>3617747.61</v>
      </c>
      <c r="H1821" s="484">
        <v>3422282</v>
      </c>
      <c r="I1821" s="480">
        <v>58.36</v>
      </c>
    </row>
    <row r="1822" spans="1:9" ht="76.5" hidden="1" outlineLevel="3">
      <c r="A1822" s="833" t="s">
        <v>1027</v>
      </c>
      <c r="B1822" s="477" t="s">
        <v>5118</v>
      </c>
      <c r="C1822" s="478"/>
      <c r="D1822" s="477"/>
      <c r="E1822" s="479">
        <v>50000</v>
      </c>
      <c r="F1822" s="479">
        <v>50000</v>
      </c>
      <c r="G1822" s="479">
        <v>50000</v>
      </c>
      <c r="H1822" s="479">
        <v>50000</v>
      </c>
      <c r="I1822" s="480">
        <v>100</v>
      </c>
    </row>
    <row r="1823" spans="1:9" ht="76.5" hidden="1" outlineLevel="4">
      <c r="A1823" s="832" t="s">
        <v>1027</v>
      </c>
      <c r="B1823" s="482" t="s">
        <v>5118</v>
      </c>
      <c r="C1823" s="831" t="s">
        <v>1984</v>
      </c>
      <c r="D1823" s="482" t="s">
        <v>1985</v>
      </c>
      <c r="E1823" s="484">
        <v>50000</v>
      </c>
      <c r="F1823" s="484">
        <v>50000</v>
      </c>
      <c r="G1823" s="484">
        <v>50000</v>
      </c>
      <c r="H1823" s="484">
        <v>50000</v>
      </c>
      <c r="I1823" s="480">
        <v>100</v>
      </c>
    </row>
    <row r="1824" spans="1:9" ht="25.5" hidden="1" outlineLevel="3">
      <c r="A1824" s="833" t="s">
        <v>713</v>
      </c>
      <c r="B1824" s="477" t="s">
        <v>5119</v>
      </c>
      <c r="C1824" s="478"/>
      <c r="D1824" s="477"/>
      <c r="E1824" s="479">
        <v>17190309</v>
      </c>
      <c r="F1824" s="479">
        <v>17190309</v>
      </c>
      <c r="G1824" s="479">
        <v>189925.5</v>
      </c>
      <c r="H1824" s="479">
        <v>189925.5</v>
      </c>
      <c r="I1824" s="480">
        <v>1.1000000000000001</v>
      </c>
    </row>
    <row r="1825" spans="1:9" ht="25.5" hidden="1" outlineLevel="4">
      <c r="A1825" s="832" t="s">
        <v>713</v>
      </c>
      <c r="B1825" s="482" t="s">
        <v>5119</v>
      </c>
      <c r="C1825" s="831" t="s">
        <v>1984</v>
      </c>
      <c r="D1825" s="482" t="s">
        <v>1985</v>
      </c>
      <c r="E1825" s="484">
        <v>17190309</v>
      </c>
      <c r="F1825" s="484">
        <v>17190309</v>
      </c>
      <c r="G1825" s="484">
        <v>189925.5</v>
      </c>
      <c r="H1825" s="484">
        <v>189925.5</v>
      </c>
      <c r="I1825" s="480">
        <v>1.1000000000000001</v>
      </c>
    </row>
    <row r="1826" spans="1:9" ht="63.75" hidden="1" outlineLevel="1">
      <c r="A1826" s="851" t="s">
        <v>5120</v>
      </c>
      <c r="B1826" s="467" t="s">
        <v>5121</v>
      </c>
      <c r="C1826" s="468"/>
      <c r="D1826" s="467"/>
      <c r="E1826" s="469">
        <v>399678046.55000001</v>
      </c>
      <c r="F1826" s="469">
        <v>374854697.72000003</v>
      </c>
      <c r="G1826" s="469">
        <v>290456180.69999999</v>
      </c>
      <c r="H1826" s="469">
        <v>268561339.87</v>
      </c>
      <c r="I1826" s="470">
        <v>67.19</v>
      </c>
    </row>
    <row r="1827" spans="1:9" ht="51" hidden="1" outlineLevel="2">
      <c r="A1827" s="850" t="s">
        <v>2343</v>
      </c>
      <c r="B1827" s="472" t="s">
        <v>5122</v>
      </c>
      <c r="C1827" s="473"/>
      <c r="D1827" s="472"/>
      <c r="E1827" s="474">
        <v>17162604.640000001</v>
      </c>
      <c r="F1827" s="474">
        <v>17162604.559999999</v>
      </c>
      <c r="G1827" s="474">
        <v>14116239.92</v>
      </c>
      <c r="H1827" s="474">
        <v>14116239.92</v>
      </c>
      <c r="I1827" s="475">
        <v>82.25</v>
      </c>
    </row>
    <row r="1828" spans="1:9" ht="76.5" hidden="1" outlineLevel="3">
      <c r="A1828" s="833" t="s">
        <v>702</v>
      </c>
      <c r="B1828" s="477" t="s">
        <v>5123</v>
      </c>
      <c r="C1828" s="478"/>
      <c r="D1828" s="477"/>
      <c r="E1828" s="479">
        <v>10631079.289999999</v>
      </c>
      <c r="F1828" s="479">
        <v>10631079.289999999</v>
      </c>
      <c r="G1828" s="479">
        <v>7584714.6500000004</v>
      </c>
      <c r="H1828" s="479">
        <v>7584714.6500000004</v>
      </c>
      <c r="I1828" s="480">
        <v>71.34</v>
      </c>
    </row>
    <row r="1829" spans="1:9" ht="76.5" hidden="1" outlineLevel="4">
      <c r="A1829" s="832" t="s">
        <v>702</v>
      </c>
      <c r="B1829" s="482" t="s">
        <v>5123</v>
      </c>
      <c r="C1829" s="831" t="s">
        <v>2324</v>
      </c>
      <c r="D1829" s="482" t="s">
        <v>2325</v>
      </c>
      <c r="E1829" s="484">
        <v>10631079.289999999</v>
      </c>
      <c r="F1829" s="484">
        <v>10631079.289999999</v>
      </c>
      <c r="G1829" s="484">
        <v>7584714.6500000004</v>
      </c>
      <c r="H1829" s="484">
        <v>7584714.6500000004</v>
      </c>
      <c r="I1829" s="480">
        <v>71.34</v>
      </c>
    </row>
    <row r="1830" spans="1:9" ht="63.75" hidden="1" outlineLevel="3">
      <c r="A1830" s="833" t="s">
        <v>62</v>
      </c>
      <c r="B1830" s="477" t="s">
        <v>5124</v>
      </c>
      <c r="C1830" s="478"/>
      <c r="D1830" s="477"/>
      <c r="E1830" s="479">
        <v>126000</v>
      </c>
      <c r="F1830" s="479">
        <v>126000</v>
      </c>
      <c r="G1830" s="479">
        <v>126000</v>
      </c>
      <c r="H1830" s="479">
        <v>126000</v>
      </c>
      <c r="I1830" s="480">
        <v>100</v>
      </c>
    </row>
    <row r="1831" spans="1:9" ht="63.75" hidden="1" outlineLevel="4">
      <c r="A1831" s="832" t="s">
        <v>62</v>
      </c>
      <c r="B1831" s="482" t="s">
        <v>5124</v>
      </c>
      <c r="C1831" s="831" t="s">
        <v>2324</v>
      </c>
      <c r="D1831" s="482" t="s">
        <v>2325</v>
      </c>
      <c r="E1831" s="484">
        <v>126000</v>
      </c>
      <c r="F1831" s="484">
        <v>126000</v>
      </c>
      <c r="G1831" s="484">
        <v>126000</v>
      </c>
      <c r="H1831" s="484">
        <v>126000</v>
      </c>
      <c r="I1831" s="480">
        <v>100</v>
      </c>
    </row>
    <row r="1832" spans="1:9" ht="38.25" hidden="1" outlineLevel="3">
      <c r="A1832" s="833" t="s">
        <v>5125</v>
      </c>
      <c r="B1832" s="477" t="s">
        <v>5126</v>
      </c>
      <c r="C1832" s="478"/>
      <c r="D1832" s="477"/>
      <c r="E1832" s="479">
        <v>3742426.77</v>
      </c>
      <c r="F1832" s="479">
        <v>3742426.69</v>
      </c>
      <c r="G1832" s="479">
        <v>3742426.69</v>
      </c>
      <c r="H1832" s="479">
        <v>3742426.69</v>
      </c>
      <c r="I1832" s="480">
        <v>100</v>
      </c>
    </row>
    <row r="1833" spans="1:9" ht="38.25" hidden="1" outlineLevel="4">
      <c r="A1833" s="832" t="s">
        <v>5125</v>
      </c>
      <c r="B1833" s="482" t="s">
        <v>5126</v>
      </c>
      <c r="C1833" s="831" t="s">
        <v>2324</v>
      </c>
      <c r="D1833" s="482" t="s">
        <v>2325</v>
      </c>
      <c r="E1833" s="484">
        <v>3742426.77</v>
      </c>
      <c r="F1833" s="484">
        <v>3742426.69</v>
      </c>
      <c r="G1833" s="484">
        <v>3742426.69</v>
      </c>
      <c r="H1833" s="484">
        <v>3742426.69</v>
      </c>
      <c r="I1833" s="480">
        <v>100</v>
      </c>
    </row>
    <row r="1834" spans="1:9" ht="63.75" hidden="1" outlineLevel="3">
      <c r="A1834" s="833" t="s">
        <v>5127</v>
      </c>
      <c r="B1834" s="477" t="s">
        <v>5128</v>
      </c>
      <c r="C1834" s="478"/>
      <c r="D1834" s="477"/>
      <c r="E1834" s="479">
        <v>600000</v>
      </c>
      <c r="F1834" s="479">
        <v>600000</v>
      </c>
      <c r="G1834" s="479">
        <v>600000</v>
      </c>
      <c r="H1834" s="479">
        <v>600000</v>
      </c>
      <c r="I1834" s="480">
        <v>100</v>
      </c>
    </row>
    <row r="1835" spans="1:9" ht="63.75" hidden="1" outlineLevel="4">
      <c r="A1835" s="832" t="s">
        <v>5127</v>
      </c>
      <c r="B1835" s="482" t="s">
        <v>5128</v>
      </c>
      <c r="C1835" s="831" t="s">
        <v>2324</v>
      </c>
      <c r="D1835" s="482" t="s">
        <v>2325</v>
      </c>
      <c r="E1835" s="484">
        <v>600000</v>
      </c>
      <c r="F1835" s="484">
        <v>600000</v>
      </c>
      <c r="G1835" s="484">
        <v>600000</v>
      </c>
      <c r="H1835" s="484">
        <v>600000</v>
      </c>
      <c r="I1835" s="480">
        <v>100</v>
      </c>
    </row>
    <row r="1836" spans="1:9" ht="51" hidden="1" outlineLevel="3">
      <c r="A1836" s="833" t="s">
        <v>5129</v>
      </c>
      <c r="B1836" s="477" t="s">
        <v>5130</v>
      </c>
      <c r="C1836" s="478"/>
      <c r="D1836" s="477"/>
      <c r="E1836" s="479">
        <v>2063098.58</v>
      </c>
      <c r="F1836" s="479">
        <v>2063098.58</v>
      </c>
      <c r="G1836" s="479">
        <v>2063098.58</v>
      </c>
      <c r="H1836" s="479">
        <v>2063098.58</v>
      </c>
      <c r="I1836" s="480">
        <v>100</v>
      </c>
    </row>
    <row r="1837" spans="1:9" ht="51" hidden="1" outlineLevel="4">
      <c r="A1837" s="832" t="s">
        <v>5129</v>
      </c>
      <c r="B1837" s="482" t="s">
        <v>5130</v>
      </c>
      <c r="C1837" s="831" t="s">
        <v>2324</v>
      </c>
      <c r="D1837" s="482" t="s">
        <v>2325</v>
      </c>
      <c r="E1837" s="484">
        <v>2063098.58</v>
      </c>
      <c r="F1837" s="484">
        <v>2063098.58</v>
      </c>
      <c r="G1837" s="484">
        <v>2063098.58</v>
      </c>
      <c r="H1837" s="484">
        <v>2063098.58</v>
      </c>
      <c r="I1837" s="480">
        <v>100</v>
      </c>
    </row>
    <row r="1838" spans="1:9" ht="89.25" hidden="1" outlineLevel="2">
      <c r="A1838" s="850" t="s">
        <v>5131</v>
      </c>
      <c r="B1838" s="472" t="s">
        <v>5132</v>
      </c>
      <c r="C1838" s="473"/>
      <c r="D1838" s="472"/>
      <c r="E1838" s="474">
        <v>63983490.829999998</v>
      </c>
      <c r="F1838" s="474">
        <v>59822869.740000002</v>
      </c>
      <c r="G1838" s="474">
        <v>40846241.630000003</v>
      </c>
      <c r="H1838" s="474">
        <v>36272417.5</v>
      </c>
      <c r="I1838" s="475">
        <v>56.69</v>
      </c>
    </row>
    <row r="1839" spans="1:9" ht="76.5" hidden="1" outlineLevel="3">
      <c r="A1839" s="833" t="s">
        <v>702</v>
      </c>
      <c r="B1839" s="477" t="s">
        <v>5133</v>
      </c>
      <c r="C1839" s="478"/>
      <c r="D1839" s="477"/>
      <c r="E1839" s="479">
        <v>18442039.719999999</v>
      </c>
      <c r="F1839" s="479">
        <v>18442039.719999999</v>
      </c>
      <c r="G1839" s="479">
        <v>10653650</v>
      </c>
      <c r="H1839" s="479">
        <v>10653650</v>
      </c>
      <c r="I1839" s="480">
        <v>57.77</v>
      </c>
    </row>
    <row r="1840" spans="1:9" ht="76.5" hidden="1" outlineLevel="4">
      <c r="A1840" s="832" t="s">
        <v>702</v>
      </c>
      <c r="B1840" s="482" t="s">
        <v>5133</v>
      </c>
      <c r="C1840" s="831" t="s">
        <v>2260</v>
      </c>
      <c r="D1840" s="482" t="s">
        <v>2261</v>
      </c>
      <c r="E1840" s="484">
        <v>414000</v>
      </c>
      <c r="F1840" s="484">
        <v>414000</v>
      </c>
      <c r="G1840" s="484">
        <v>414000</v>
      </c>
      <c r="H1840" s="484">
        <v>414000</v>
      </c>
      <c r="I1840" s="480">
        <v>100</v>
      </c>
    </row>
    <row r="1841" spans="1:9" ht="76.5" hidden="1" outlineLevel="4">
      <c r="A1841" s="832" t="s">
        <v>702</v>
      </c>
      <c r="B1841" s="482" t="s">
        <v>5133</v>
      </c>
      <c r="C1841" s="831" t="s">
        <v>3657</v>
      </c>
      <c r="D1841" s="482" t="s">
        <v>3658</v>
      </c>
      <c r="E1841" s="484">
        <v>16028039.720000001</v>
      </c>
      <c r="F1841" s="484">
        <v>16028039.720000001</v>
      </c>
      <c r="G1841" s="484">
        <v>9100000</v>
      </c>
      <c r="H1841" s="484">
        <v>9100000</v>
      </c>
      <c r="I1841" s="480">
        <v>56.78</v>
      </c>
    </row>
    <row r="1842" spans="1:9" ht="76.5" hidden="1" outlineLevel="4">
      <c r="A1842" s="832" t="s">
        <v>702</v>
      </c>
      <c r="B1842" s="482" t="s">
        <v>5133</v>
      </c>
      <c r="C1842" s="831" t="s">
        <v>2324</v>
      </c>
      <c r="D1842" s="482" t="s">
        <v>2325</v>
      </c>
      <c r="E1842" s="484">
        <v>2000000</v>
      </c>
      <c r="F1842" s="484">
        <v>2000000</v>
      </c>
      <c r="G1842" s="484">
        <v>1139650</v>
      </c>
      <c r="H1842" s="484">
        <v>1139650</v>
      </c>
      <c r="I1842" s="480">
        <v>56.98</v>
      </c>
    </row>
    <row r="1843" spans="1:9" ht="63.75" hidden="1" outlineLevel="3">
      <c r="A1843" s="833" t="s">
        <v>62</v>
      </c>
      <c r="B1843" s="477" t="s">
        <v>5134</v>
      </c>
      <c r="C1843" s="478"/>
      <c r="D1843" s="477"/>
      <c r="E1843" s="479">
        <v>255750.31</v>
      </c>
      <c r="F1843" s="479">
        <v>255750.31</v>
      </c>
      <c r="G1843" s="479">
        <v>200000</v>
      </c>
      <c r="H1843" s="479">
        <v>200000</v>
      </c>
      <c r="I1843" s="480">
        <v>78.2</v>
      </c>
    </row>
    <row r="1844" spans="1:9" ht="63.75" hidden="1" outlineLevel="4">
      <c r="A1844" s="832" t="s">
        <v>62</v>
      </c>
      <c r="B1844" s="482" t="s">
        <v>5134</v>
      </c>
      <c r="C1844" s="831" t="s">
        <v>3657</v>
      </c>
      <c r="D1844" s="482" t="s">
        <v>3658</v>
      </c>
      <c r="E1844" s="484">
        <v>255750.31</v>
      </c>
      <c r="F1844" s="484">
        <v>255750.31</v>
      </c>
      <c r="G1844" s="484">
        <v>200000</v>
      </c>
      <c r="H1844" s="484">
        <v>200000</v>
      </c>
      <c r="I1844" s="480">
        <v>78.2</v>
      </c>
    </row>
    <row r="1845" spans="1:9" ht="25.5" hidden="1" outlineLevel="3">
      <c r="A1845" s="833" t="s">
        <v>5135</v>
      </c>
      <c r="B1845" s="477" t="s">
        <v>5136</v>
      </c>
      <c r="C1845" s="478"/>
      <c r="D1845" s="477"/>
      <c r="E1845" s="479">
        <v>2926567</v>
      </c>
      <c r="F1845" s="479">
        <v>2926567</v>
      </c>
      <c r="G1845" s="479">
        <v>0</v>
      </c>
      <c r="H1845" s="479">
        <v>0</v>
      </c>
      <c r="I1845" s="480">
        <v>0</v>
      </c>
    </row>
    <row r="1846" spans="1:9" ht="25.5" hidden="1" outlineLevel="4">
      <c r="A1846" s="832" t="s">
        <v>5135</v>
      </c>
      <c r="B1846" s="482" t="s">
        <v>5136</v>
      </c>
      <c r="C1846" s="831" t="s">
        <v>3657</v>
      </c>
      <c r="D1846" s="482" t="s">
        <v>3658</v>
      </c>
      <c r="E1846" s="484">
        <v>2926567</v>
      </c>
      <c r="F1846" s="484">
        <v>2926567</v>
      </c>
      <c r="G1846" s="484">
        <v>0</v>
      </c>
      <c r="H1846" s="484">
        <v>0</v>
      </c>
      <c r="I1846" s="480">
        <v>0</v>
      </c>
    </row>
    <row r="1847" spans="1:9" ht="25.5" hidden="1" outlineLevel="3">
      <c r="A1847" s="833" t="s">
        <v>713</v>
      </c>
      <c r="B1847" s="477" t="s">
        <v>5137</v>
      </c>
      <c r="C1847" s="478"/>
      <c r="D1847" s="477"/>
      <c r="E1847" s="479">
        <v>567500</v>
      </c>
      <c r="F1847" s="479">
        <v>556384</v>
      </c>
      <c r="G1847" s="479">
        <v>397311.9</v>
      </c>
      <c r="H1847" s="479">
        <v>392311.9</v>
      </c>
      <c r="I1847" s="480">
        <v>69.13</v>
      </c>
    </row>
    <row r="1848" spans="1:9" ht="25.5" hidden="1" outlineLevel="4">
      <c r="A1848" s="832" t="s">
        <v>713</v>
      </c>
      <c r="B1848" s="482" t="s">
        <v>5137</v>
      </c>
      <c r="C1848" s="831" t="s">
        <v>2324</v>
      </c>
      <c r="D1848" s="482" t="s">
        <v>2325</v>
      </c>
      <c r="E1848" s="484">
        <v>567500</v>
      </c>
      <c r="F1848" s="484">
        <v>556384</v>
      </c>
      <c r="G1848" s="484">
        <v>397311.9</v>
      </c>
      <c r="H1848" s="484">
        <v>392311.9</v>
      </c>
      <c r="I1848" s="480">
        <v>69.13</v>
      </c>
    </row>
    <row r="1849" spans="1:9" ht="51" hidden="1" outlineLevel="3">
      <c r="A1849" s="833" t="s">
        <v>5138</v>
      </c>
      <c r="B1849" s="477" t="s">
        <v>5139</v>
      </c>
      <c r="C1849" s="478"/>
      <c r="D1849" s="477"/>
      <c r="E1849" s="479">
        <v>5000000</v>
      </c>
      <c r="F1849" s="479">
        <v>2507347.85</v>
      </c>
      <c r="G1849" s="479">
        <v>2507347.85</v>
      </c>
      <c r="H1849" s="479">
        <v>2507347.85</v>
      </c>
      <c r="I1849" s="480">
        <v>50.15</v>
      </c>
    </row>
    <row r="1850" spans="1:9" ht="51" hidden="1" outlineLevel="4">
      <c r="A1850" s="832" t="s">
        <v>5138</v>
      </c>
      <c r="B1850" s="482" t="s">
        <v>5139</v>
      </c>
      <c r="C1850" s="831" t="s">
        <v>3657</v>
      </c>
      <c r="D1850" s="482" t="s">
        <v>3658</v>
      </c>
      <c r="E1850" s="484">
        <v>5000000</v>
      </c>
      <c r="F1850" s="484">
        <v>2507347.85</v>
      </c>
      <c r="G1850" s="484">
        <v>2507347.85</v>
      </c>
      <c r="H1850" s="484">
        <v>2507347.85</v>
      </c>
      <c r="I1850" s="480">
        <v>50.15</v>
      </c>
    </row>
    <row r="1851" spans="1:9" ht="89.25" hidden="1" outlineLevel="3">
      <c r="A1851" s="833" t="s">
        <v>5140</v>
      </c>
      <c r="B1851" s="477" t="s">
        <v>5141</v>
      </c>
      <c r="C1851" s="478"/>
      <c r="D1851" s="477"/>
      <c r="E1851" s="479">
        <v>4186000</v>
      </c>
      <c r="F1851" s="479">
        <v>4186000</v>
      </c>
      <c r="G1851" s="479">
        <v>4186000</v>
      </c>
      <c r="H1851" s="479">
        <v>4186000</v>
      </c>
      <c r="I1851" s="480">
        <v>100</v>
      </c>
    </row>
    <row r="1852" spans="1:9" ht="89.25" hidden="1" outlineLevel="4">
      <c r="A1852" s="832" t="s">
        <v>5140</v>
      </c>
      <c r="B1852" s="482" t="s">
        <v>5141</v>
      </c>
      <c r="C1852" s="831" t="s">
        <v>2324</v>
      </c>
      <c r="D1852" s="482" t="s">
        <v>2325</v>
      </c>
      <c r="E1852" s="484">
        <v>4186000</v>
      </c>
      <c r="F1852" s="484">
        <v>4186000</v>
      </c>
      <c r="G1852" s="484">
        <v>4186000</v>
      </c>
      <c r="H1852" s="484">
        <v>4186000</v>
      </c>
      <c r="I1852" s="480">
        <v>100</v>
      </c>
    </row>
    <row r="1853" spans="1:9" ht="51" hidden="1" outlineLevel="3">
      <c r="A1853" s="833" t="s">
        <v>5142</v>
      </c>
      <c r="B1853" s="477" t="s">
        <v>5143</v>
      </c>
      <c r="C1853" s="478"/>
      <c r="D1853" s="477"/>
      <c r="E1853" s="479">
        <v>4000000</v>
      </c>
      <c r="F1853" s="479">
        <v>4000000</v>
      </c>
      <c r="G1853" s="479">
        <v>4000000</v>
      </c>
      <c r="H1853" s="479">
        <v>4000000</v>
      </c>
      <c r="I1853" s="480">
        <v>100</v>
      </c>
    </row>
    <row r="1854" spans="1:9" ht="51" hidden="1" outlineLevel="4">
      <c r="A1854" s="832" t="s">
        <v>5142</v>
      </c>
      <c r="B1854" s="482" t="s">
        <v>5143</v>
      </c>
      <c r="C1854" s="831" t="s">
        <v>2324</v>
      </c>
      <c r="D1854" s="482" t="s">
        <v>2325</v>
      </c>
      <c r="E1854" s="484">
        <v>4000000</v>
      </c>
      <c r="F1854" s="484">
        <v>4000000</v>
      </c>
      <c r="G1854" s="484">
        <v>4000000</v>
      </c>
      <c r="H1854" s="484">
        <v>4000000</v>
      </c>
      <c r="I1854" s="480">
        <v>100</v>
      </c>
    </row>
    <row r="1855" spans="1:9" ht="76.5" hidden="1" outlineLevel="3">
      <c r="A1855" s="833" t="s">
        <v>5144</v>
      </c>
      <c r="B1855" s="477" t="s">
        <v>5145</v>
      </c>
      <c r="C1855" s="478"/>
      <c r="D1855" s="477"/>
      <c r="E1855" s="479">
        <v>5100000</v>
      </c>
      <c r="F1855" s="479">
        <v>3443147.06</v>
      </c>
      <c r="G1855" s="479">
        <v>2677172.06</v>
      </c>
      <c r="H1855" s="479">
        <v>2677172.06</v>
      </c>
      <c r="I1855" s="480">
        <v>52.49</v>
      </c>
    </row>
    <row r="1856" spans="1:9" ht="76.5" hidden="1" outlineLevel="4">
      <c r="A1856" s="832" t="s">
        <v>5144</v>
      </c>
      <c r="B1856" s="482" t="s">
        <v>5145</v>
      </c>
      <c r="C1856" s="831" t="s">
        <v>2324</v>
      </c>
      <c r="D1856" s="482" t="s">
        <v>2325</v>
      </c>
      <c r="E1856" s="484">
        <v>5100000</v>
      </c>
      <c r="F1856" s="484">
        <v>3443147.06</v>
      </c>
      <c r="G1856" s="484">
        <v>2677172.06</v>
      </c>
      <c r="H1856" s="484">
        <v>2677172.06</v>
      </c>
      <c r="I1856" s="480">
        <v>52.49</v>
      </c>
    </row>
    <row r="1857" spans="1:9" ht="38.25" hidden="1" outlineLevel="3">
      <c r="A1857" s="833" t="s">
        <v>5146</v>
      </c>
      <c r="B1857" s="477" t="s">
        <v>5147</v>
      </c>
      <c r="C1857" s="478"/>
      <c r="D1857" s="477"/>
      <c r="E1857" s="479">
        <v>14738309.859999999</v>
      </c>
      <c r="F1857" s="479">
        <v>14738309.859999999</v>
      </c>
      <c r="G1857" s="479">
        <v>9454759.8200000003</v>
      </c>
      <c r="H1857" s="479">
        <v>4885935.6900000004</v>
      </c>
      <c r="I1857" s="480">
        <v>33.15</v>
      </c>
    </row>
    <row r="1858" spans="1:9" ht="38.25" hidden="1" outlineLevel="4">
      <c r="A1858" s="832" t="s">
        <v>5146</v>
      </c>
      <c r="B1858" s="482" t="s">
        <v>5147</v>
      </c>
      <c r="C1858" s="831" t="s">
        <v>3657</v>
      </c>
      <c r="D1858" s="482" t="s">
        <v>3658</v>
      </c>
      <c r="E1858" s="484">
        <v>14738309.859999999</v>
      </c>
      <c r="F1858" s="484">
        <v>14738309.859999999</v>
      </c>
      <c r="G1858" s="484">
        <v>9454759.8200000003</v>
      </c>
      <c r="H1858" s="484">
        <v>4885935.6900000004</v>
      </c>
      <c r="I1858" s="480">
        <v>33.15</v>
      </c>
    </row>
    <row r="1859" spans="1:9" ht="51" hidden="1" outlineLevel="3">
      <c r="A1859" s="833" t="s">
        <v>5129</v>
      </c>
      <c r="B1859" s="477" t="s">
        <v>5148</v>
      </c>
      <c r="C1859" s="478"/>
      <c r="D1859" s="477"/>
      <c r="E1859" s="479">
        <v>8767323.9399999995</v>
      </c>
      <c r="F1859" s="479">
        <v>8767323.9399999995</v>
      </c>
      <c r="G1859" s="479">
        <v>6770000</v>
      </c>
      <c r="H1859" s="479">
        <v>6770000</v>
      </c>
      <c r="I1859" s="480">
        <v>77.22</v>
      </c>
    </row>
    <row r="1860" spans="1:9" ht="51" hidden="1" outlineLevel="4">
      <c r="A1860" s="832" t="s">
        <v>5129</v>
      </c>
      <c r="B1860" s="482" t="s">
        <v>5148</v>
      </c>
      <c r="C1860" s="831" t="s">
        <v>2324</v>
      </c>
      <c r="D1860" s="482" t="s">
        <v>2325</v>
      </c>
      <c r="E1860" s="484">
        <v>8767323.9399999995</v>
      </c>
      <c r="F1860" s="484">
        <v>8767323.9399999995</v>
      </c>
      <c r="G1860" s="484">
        <v>6770000</v>
      </c>
      <c r="H1860" s="484">
        <v>6770000</v>
      </c>
      <c r="I1860" s="480">
        <v>77.22</v>
      </c>
    </row>
    <row r="1861" spans="1:9" ht="51" hidden="1" outlineLevel="2">
      <c r="A1861" s="850" t="s">
        <v>5149</v>
      </c>
      <c r="B1861" s="472" t="s">
        <v>5150</v>
      </c>
      <c r="C1861" s="473"/>
      <c r="D1861" s="472"/>
      <c r="E1861" s="474">
        <v>158303561.53999999</v>
      </c>
      <c r="F1861" s="474">
        <v>152952559.34</v>
      </c>
      <c r="G1861" s="474">
        <v>121586108.51000001</v>
      </c>
      <c r="H1861" s="474">
        <v>114724359.17</v>
      </c>
      <c r="I1861" s="475">
        <v>72.47</v>
      </c>
    </row>
    <row r="1862" spans="1:9" ht="76.5" hidden="1" outlineLevel="3">
      <c r="A1862" s="833" t="s">
        <v>702</v>
      </c>
      <c r="B1862" s="477" t="s">
        <v>5151</v>
      </c>
      <c r="C1862" s="478"/>
      <c r="D1862" s="477"/>
      <c r="E1862" s="479">
        <v>33378484.82</v>
      </c>
      <c r="F1862" s="479">
        <v>33378484.82</v>
      </c>
      <c r="G1862" s="479">
        <v>25290822.690000001</v>
      </c>
      <c r="H1862" s="479">
        <v>25290822.690000001</v>
      </c>
      <c r="I1862" s="480">
        <v>75.77</v>
      </c>
    </row>
    <row r="1863" spans="1:9" ht="76.5" hidden="1" outlineLevel="4">
      <c r="A1863" s="832" t="s">
        <v>702</v>
      </c>
      <c r="B1863" s="482" t="s">
        <v>5151</v>
      </c>
      <c r="C1863" s="831" t="s">
        <v>3657</v>
      </c>
      <c r="D1863" s="482" t="s">
        <v>3658</v>
      </c>
      <c r="E1863" s="484">
        <v>33378484.82</v>
      </c>
      <c r="F1863" s="484">
        <v>33378484.82</v>
      </c>
      <c r="G1863" s="484">
        <v>25290822.690000001</v>
      </c>
      <c r="H1863" s="484">
        <v>25290822.690000001</v>
      </c>
      <c r="I1863" s="480">
        <v>75.77</v>
      </c>
    </row>
    <row r="1864" spans="1:9" ht="38.25" hidden="1" outlineLevel="3">
      <c r="A1864" s="833" t="s">
        <v>2367</v>
      </c>
      <c r="B1864" s="477" t="s">
        <v>5152</v>
      </c>
      <c r="C1864" s="478"/>
      <c r="D1864" s="477"/>
      <c r="E1864" s="479">
        <v>5225000</v>
      </c>
      <c r="F1864" s="479">
        <v>5225000</v>
      </c>
      <c r="G1864" s="479">
        <v>0</v>
      </c>
      <c r="H1864" s="479">
        <v>0</v>
      </c>
      <c r="I1864" s="480">
        <v>0</v>
      </c>
    </row>
    <row r="1865" spans="1:9" ht="38.25" hidden="1" outlineLevel="4">
      <c r="A1865" s="832" t="s">
        <v>2367</v>
      </c>
      <c r="B1865" s="482" t="s">
        <v>5152</v>
      </c>
      <c r="C1865" s="831" t="s">
        <v>3657</v>
      </c>
      <c r="D1865" s="482" t="s">
        <v>3658</v>
      </c>
      <c r="E1865" s="484">
        <v>5225000</v>
      </c>
      <c r="F1865" s="484">
        <v>5225000</v>
      </c>
      <c r="G1865" s="484">
        <v>0</v>
      </c>
      <c r="H1865" s="484">
        <v>0</v>
      </c>
      <c r="I1865" s="480">
        <v>0</v>
      </c>
    </row>
    <row r="1866" spans="1:9" ht="25.5" hidden="1" outlineLevel="3">
      <c r="A1866" s="833" t="s">
        <v>5153</v>
      </c>
      <c r="B1866" s="477" t="s">
        <v>5154</v>
      </c>
      <c r="C1866" s="478"/>
      <c r="D1866" s="477"/>
      <c r="E1866" s="479">
        <v>20015586.199999999</v>
      </c>
      <c r="F1866" s="479">
        <v>18000000</v>
      </c>
      <c r="G1866" s="479">
        <v>13500000</v>
      </c>
      <c r="H1866" s="479">
        <v>13500000</v>
      </c>
      <c r="I1866" s="480">
        <v>67.45</v>
      </c>
    </row>
    <row r="1867" spans="1:9" ht="25.5" hidden="1" outlineLevel="4">
      <c r="A1867" s="832" t="s">
        <v>5153</v>
      </c>
      <c r="B1867" s="482" t="s">
        <v>5154</v>
      </c>
      <c r="C1867" s="831" t="s">
        <v>3657</v>
      </c>
      <c r="D1867" s="482" t="s">
        <v>3658</v>
      </c>
      <c r="E1867" s="484">
        <v>20015586.199999999</v>
      </c>
      <c r="F1867" s="484">
        <v>18000000</v>
      </c>
      <c r="G1867" s="484">
        <v>13500000</v>
      </c>
      <c r="H1867" s="484">
        <v>13500000</v>
      </c>
      <c r="I1867" s="480">
        <v>67.45</v>
      </c>
    </row>
    <row r="1868" spans="1:9" ht="63.75" hidden="1" outlineLevel="3">
      <c r="A1868" s="833" t="s">
        <v>62</v>
      </c>
      <c r="B1868" s="477" t="s">
        <v>5155</v>
      </c>
      <c r="C1868" s="478"/>
      <c r="D1868" s="477"/>
      <c r="E1868" s="479">
        <v>520464</v>
      </c>
      <c r="F1868" s="479">
        <v>520464</v>
      </c>
      <c r="G1868" s="479">
        <v>520464</v>
      </c>
      <c r="H1868" s="479">
        <v>480464</v>
      </c>
      <c r="I1868" s="480">
        <v>92.31</v>
      </c>
    </row>
    <row r="1869" spans="1:9" ht="63.75" hidden="1" outlineLevel="4">
      <c r="A1869" s="832" t="s">
        <v>62</v>
      </c>
      <c r="B1869" s="482" t="s">
        <v>5155</v>
      </c>
      <c r="C1869" s="831" t="s">
        <v>3657</v>
      </c>
      <c r="D1869" s="482" t="s">
        <v>3658</v>
      </c>
      <c r="E1869" s="484">
        <v>520464</v>
      </c>
      <c r="F1869" s="484">
        <v>520464</v>
      </c>
      <c r="G1869" s="484">
        <v>520464</v>
      </c>
      <c r="H1869" s="484">
        <v>480464</v>
      </c>
      <c r="I1869" s="480">
        <v>92.31</v>
      </c>
    </row>
    <row r="1870" spans="1:9" ht="25.5" hidden="1" outlineLevel="3">
      <c r="A1870" s="833" t="s">
        <v>713</v>
      </c>
      <c r="B1870" s="477" t="s">
        <v>5156</v>
      </c>
      <c r="C1870" s="478"/>
      <c r="D1870" s="477"/>
      <c r="E1870" s="479">
        <v>37558068.719999999</v>
      </c>
      <c r="F1870" s="479">
        <v>37558068.719999999</v>
      </c>
      <c r="G1870" s="479">
        <v>28616575.510000002</v>
      </c>
      <c r="H1870" s="479">
        <v>26912491.710000001</v>
      </c>
      <c r="I1870" s="480">
        <v>71.66</v>
      </c>
    </row>
    <row r="1871" spans="1:9" ht="25.5" hidden="1" outlineLevel="4">
      <c r="A1871" s="832" t="s">
        <v>713</v>
      </c>
      <c r="B1871" s="482" t="s">
        <v>5156</v>
      </c>
      <c r="C1871" s="831" t="s">
        <v>3657</v>
      </c>
      <c r="D1871" s="482" t="s">
        <v>3658</v>
      </c>
      <c r="E1871" s="484">
        <v>37558068.719999999</v>
      </c>
      <c r="F1871" s="484">
        <v>37558068.719999999</v>
      </c>
      <c r="G1871" s="484">
        <v>28616575.510000002</v>
      </c>
      <c r="H1871" s="484">
        <v>26912491.710000001</v>
      </c>
      <c r="I1871" s="480">
        <v>71.66</v>
      </c>
    </row>
    <row r="1872" spans="1:9" ht="89.25" hidden="1" outlineLevel="3">
      <c r="A1872" s="833" t="s">
        <v>5157</v>
      </c>
      <c r="B1872" s="477" t="s">
        <v>5158</v>
      </c>
      <c r="C1872" s="478"/>
      <c r="D1872" s="477"/>
      <c r="E1872" s="479">
        <v>8684413.8000000007</v>
      </c>
      <c r="F1872" s="479">
        <v>8684413.8000000007</v>
      </c>
      <c r="G1872" s="479">
        <v>8684413.8000000007</v>
      </c>
      <c r="H1872" s="479">
        <v>8684413.8000000007</v>
      </c>
      <c r="I1872" s="480">
        <v>100</v>
      </c>
    </row>
    <row r="1873" spans="1:9" ht="89.25" hidden="1" outlineLevel="4">
      <c r="A1873" s="832" t="s">
        <v>5157</v>
      </c>
      <c r="B1873" s="482" t="s">
        <v>5158</v>
      </c>
      <c r="C1873" s="831" t="s">
        <v>3657</v>
      </c>
      <c r="D1873" s="482" t="s">
        <v>3658</v>
      </c>
      <c r="E1873" s="484">
        <v>8684413.8000000007</v>
      </c>
      <c r="F1873" s="484">
        <v>8684413.8000000007</v>
      </c>
      <c r="G1873" s="484">
        <v>8684413.8000000007</v>
      </c>
      <c r="H1873" s="484">
        <v>8684413.8000000007</v>
      </c>
      <c r="I1873" s="480">
        <v>100</v>
      </c>
    </row>
    <row r="1874" spans="1:9" ht="25.5" hidden="1" outlineLevel="3">
      <c r="A1874" s="833" t="s">
        <v>5159</v>
      </c>
      <c r="B1874" s="477" t="s">
        <v>5160</v>
      </c>
      <c r="C1874" s="478"/>
      <c r="D1874" s="477"/>
      <c r="E1874" s="479">
        <v>6421544</v>
      </c>
      <c r="F1874" s="479">
        <v>6421544</v>
      </c>
      <c r="G1874" s="479">
        <v>6421544</v>
      </c>
      <c r="H1874" s="479">
        <v>6421544</v>
      </c>
      <c r="I1874" s="480">
        <v>100</v>
      </c>
    </row>
    <row r="1875" spans="1:9" ht="25.5" hidden="1" outlineLevel="4">
      <c r="A1875" s="832" t="s">
        <v>5159</v>
      </c>
      <c r="B1875" s="482" t="s">
        <v>5160</v>
      </c>
      <c r="C1875" s="831" t="s">
        <v>3657</v>
      </c>
      <c r="D1875" s="482" t="s">
        <v>3658</v>
      </c>
      <c r="E1875" s="484">
        <v>6421544</v>
      </c>
      <c r="F1875" s="484">
        <v>6421544</v>
      </c>
      <c r="G1875" s="484">
        <v>6421544</v>
      </c>
      <c r="H1875" s="484">
        <v>6421544</v>
      </c>
      <c r="I1875" s="480">
        <v>100</v>
      </c>
    </row>
    <row r="1876" spans="1:9" ht="38.25" hidden="1" outlineLevel="3">
      <c r="A1876" s="833" t="s">
        <v>5161</v>
      </c>
      <c r="B1876" s="477" t="s">
        <v>5162</v>
      </c>
      <c r="C1876" s="478"/>
      <c r="D1876" s="477"/>
      <c r="E1876" s="479">
        <v>31500000</v>
      </c>
      <c r="F1876" s="479">
        <v>30000000</v>
      </c>
      <c r="G1876" s="479">
        <v>25445875.43</v>
      </c>
      <c r="H1876" s="479">
        <v>23492794.239999998</v>
      </c>
      <c r="I1876" s="480">
        <v>74.58</v>
      </c>
    </row>
    <row r="1877" spans="1:9" ht="38.25" hidden="1" outlineLevel="4">
      <c r="A1877" s="832" t="s">
        <v>5161</v>
      </c>
      <c r="B1877" s="482" t="s">
        <v>5162</v>
      </c>
      <c r="C1877" s="831" t="s">
        <v>3657</v>
      </c>
      <c r="D1877" s="482" t="s">
        <v>3658</v>
      </c>
      <c r="E1877" s="484">
        <v>31500000</v>
      </c>
      <c r="F1877" s="484">
        <v>30000000</v>
      </c>
      <c r="G1877" s="484">
        <v>25445875.43</v>
      </c>
      <c r="H1877" s="484">
        <v>23492794.239999998</v>
      </c>
      <c r="I1877" s="480">
        <v>74.58</v>
      </c>
    </row>
    <row r="1878" spans="1:9" ht="76.5" hidden="1" outlineLevel="3">
      <c r="A1878" s="833" t="s">
        <v>5163</v>
      </c>
      <c r="B1878" s="477" t="s">
        <v>5164</v>
      </c>
      <c r="C1878" s="478"/>
      <c r="D1878" s="477"/>
      <c r="E1878" s="479">
        <v>10000000</v>
      </c>
      <c r="F1878" s="479">
        <v>10000000</v>
      </c>
      <c r="G1878" s="479">
        <v>9941829.0800000001</v>
      </c>
      <c r="H1878" s="479">
        <v>9941828.7300000004</v>
      </c>
      <c r="I1878" s="480">
        <v>99.42</v>
      </c>
    </row>
    <row r="1879" spans="1:9" ht="76.5" hidden="1" outlineLevel="4">
      <c r="A1879" s="832" t="s">
        <v>5163</v>
      </c>
      <c r="B1879" s="482" t="s">
        <v>5164</v>
      </c>
      <c r="C1879" s="831" t="s">
        <v>3657</v>
      </c>
      <c r="D1879" s="482" t="s">
        <v>3658</v>
      </c>
      <c r="E1879" s="484">
        <v>10000000</v>
      </c>
      <c r="F1879" s="484">
        <v>10000000</v>
      </c>
      <c r="G1879" s="484">
        <v>9941829.0800000001</v>
      </c>
      <c r="H1879" s="484">
        <v>9941828.7300000004</v>
      </c>
      <c r="I1879" s="480">
        <v>99.42</v>
      </c>
    </row>
    <row r="1880" spans="1:9" ht="76.5" hidden="1" outlineLevel="3">
      <c r="A1880" s="833" t="s">
        <v>5165</v>
      </c>
      <c r="B1880" s="477" t="s">
        <v>5166</v>
      </c>
      <c r="C1880" s="478"/>
      <c r="D1880" s="477"/>
      <c r="E1880" s="479">
        <v>5000000</v>
      </c>
      <c r="F1880" s="479">
        <v>3164584</v>
      </c>
      <c r="G1880" s="479">
        <v>3164584</v>
      </c>
      <c r="H1880" s="479">
        <v>0</v>
      </c>
      <c r="I1880" s="480">
        <v>0</v>
      </c>
    </row>
    <row r="1881" spans="1:9" ht="76.5" hidden="1" outlineLevel="4">
      <c r="A1881" s="832" t="s">
        <v>5165</v>
      </c>
      <c r="B1881" s="482" t="s">
        <v>5166</v>
      </c>
      <c r="C1881" s="831" t="s">
        <v>3657</v>
      </c>
      <c r="D1881" s="482" t="s">
        <v>3658</v>
      </c>
      <c r="E1881" s="484">
        <v>5000000</v>
      </c>
      <c r="F1881" s="484">
        <v>3164584</v>
      </c>
      <c r="G1881" s="484">
        <v>3164584</v>
      </c>
      <c r="H1881" s="484">
        <v>0</v>
      </c>
      <c r="I1881" s="480">
        <v>0</v>
      </c>
    </row>
    <row r="1882" spans="1:9" ht="165.75" hidden="1" outlineLevel="2">
      <c r="A1882" s="850" t="s">
        <v>2351</v>
      </c>
      <c r="B1882" s="472" t="s">
        <v>5167</v>
      </c>
      <c r="C1882" s="473"/>
      <c r="D1882" s="472"/>
      <c r="E1882" s="474">
        <v>92070339.819999993</v>
      </c>
      <c r="F1882" s="474">
        <v>77669007.359999999</v>
      </c>
      <c r="G1882" s="474">
        <v>59988548.57</v>
      </c>
      <c r="H1882" s="474">
        <v>52074920.259999998</v>
      </c>
      <c r="I1882" s="475">
        <v>56.56</v>
      </c>
    </row>
    <row r="1883" spans="1:9" ht="25.5" hidden="1" outlineLevel="3">
      <c r="A1883" s="833" t="s">
        <v>873</v>
      </c>
      <c r="B1883" s="477" t="s">
        <v>5168</v>
      </c>
      <c r="C1883" s="478"/>
      <c r="D1883" s="477"/>
      <c r="E1883" s="479">
        <v>88356844.569999993</v>
      </c>
      <c r="F1883" s="479">
        <v>73955512.109999999</v>
      </c>
      <c r="G1883" s="479">
        <v>58454552.810000002</v>
      </c>
      <c r="H1883" s="479">
        <v>50773919.799999997</v>
      </c>
      <c r="I1883" s="480">
        <v>57.46</v>
      </c>
    </row>
    <row r="1884" spans="1:9" ht="25.5" hidden="1" outlineLevel="4">
      <c r="A1884" s="832" t="s">
        <v>873</v>
      </c>
      <c r="B1884" s="482" t="s">
        <v>5168</v>
      </c>
      <c r="C1884" s="831" t="s">
        <v>2324</v>
      </c>
      <c r="D1884" s="482" t="s">
        <v>2325</v>
      </c>
      <c r="E1884" s="484">
        <v>88356844.569999993</v>
      </c>
      <c r="F1884" s="484">
        <v>73955512.109999999</v>
      </c>
      <c r="G1884" s="484">
        <v>58454552.810000002</v>
      </c>
      <c r="H1884" s="484">
        <v>50773919.799999997</v>
      </c>
      <c r="I1884" s="480">
        <v>57.46</v>
      </c>
    </row>
    <row r="1885" spans="1:9" ht="38.25" hidden="1" outlineLevel="3">
      <c r="A1885" s="833" t="s">
        <v>854</v>
      </c>
      <c r="B1885" s="477" t="s">
        <v>5169</v>
      </c>
      <c r="C1885" s="478"/>
      <c r="D1885" s="477"/>
      <c r="E1885" s="479">
        <v>2728495.25</v>
      </c>
      <c r="F1885" s="479">
        <v>2728495.25</v>
      </c>
      <c r="G1885" s="479">
        <v>1163995.76</v>
      </c>
      <c r="H1885" s="479">
        <v>999343.96</v>
      </c>
      <c r="I1885" s="480">
        <v>36.630000000000003</v>
      </c>
    </row>
    <row r="1886" spans="1:9" ht="38.25" hidden="1" outlineLevel="4">
      <c r="A1886" s="832" t="s">
        <v>854</v>
      </c>
      <c r="B1886" s="482" t="s">
        <v>5169</v>
      </c>
      <c r="C1886" s="831" t="s">
        <v>2324</v>
      </c>
      <c r="D1886" s="482" t="s">
        <v>2325</v>
      </c>
      <c r="E1886" s="484">
        <v>2728495.25</v>
      </c>
      <c r="F1886" s="484">
        <v>2728495.25</v>
      </c>
      <c r="G1886" s="484">
        <v>1163995.76</v>
      </c>
      <c r="H1886" s="484">
        <v>999343.96</v>
      </c>
      <c r="I1886" s="480">
        <v>36.630000000000003</v>
      </c>
    </row>
    <row r="1887" spans="1:9" ht="63.75" hidden="1" outlineLevel="3">
      <c r="A1887" s="833" t="s">
        <v>62</v>
      </c>
      <c r="B1887" s="477" t="s">
        <v>5170</v>
      </c>
      <c r="C1887" s="478"/>
      <c r="D1887" s="477"/>
      <c r="E1887" s="479">
        <v>905000</v>
      </c>
      <c r="F1887" s="479">
        <v>905000</v>
      </c>
      <c r="G1887" s="479">
        <v>320000</v>
      </c>
      <c r="H1887" s="479">
        <v>301656.5</v>
      </c>
      <c r="I1887" s="480">
        <v>33.33</v>
      </c>
    </row>
    <row r="1888" spans="1:9" ht="63.75" hidden="1" outlineLevel="4">
      <c r="A1888" s="832" t="s">
        <v>62</v>
      </c>
      <c r="B1888" s="482" t="s">
        <v>5170</v>
      </c>
      <c r="C1888" s="831" t="s">
        <v>2324</v>
      </c>
      <c r="D1888" s="482" t="s">
        <v>2325</v>
      </c>
      <c r="E1888" s="484">
        <v>905000</v>
      </c>
      <c r="F1888" s="484">
        <v>905000</v>
      </c>
      <c r="G1888" s="484">
        <v>320000</v>
      </c>
      <c r="H1888" s="484">
        <v>301656.5</v>
      </c>
      <c r="I1888" s="480">
        <v>33.33</v>
      </c>
    </row>
    <row r="1889" spans="1:9" ht="76.5" hidden="1" outlineLevel="3">
      <c r="A1889" s="833" t="s">
        <v>1027</v>
      </c>
      <c r="B1889" s="477" t="s">
        <v>5171</v>
      </c>
      <c r="C1889" s="478"/>
      <c r="D1889" s="477"/>
      <c r="E1889" s="479">
        <v>80000</v>
      </c>
      <c r="F1889" s="479">
        <v>80000</v>
      </c>
      <c r="G1889" s="479">
        <v>50000</v>
      </c>
      <c r="H1889" s="479">
        <v>0</v>
      </c>
      <c r="I1889" s="480">
        <v>0</v>
      </c>
    </row>
    <row r="1890" spans="1:9" ht="76.5" hidden="1" outlineLevel="4">
      <c r="A1890" s="832" t="s">
        <v>1027</v>
      </c>
      <c r="B1890" s="482" t="s">
        <v>5171</v>
      </c>
      <c r="C1890" s="831" t="s">
        <v>2324</v>
      </c>
      <c r="D1890" s="482" t="s">
        <v>2325</v>
      </c>
      <c r="E1890" s="484">
        <v>80000</v>
      </c>
      <c r="F1890" s="484">
        <v>80000</v>
      </c>
      <c r="G1890" s="484">
        <v>50000</v>
      </c>
      <c r="H1890" s="484">
        <v>0</v>
      </c>
      <c r="I1890" s="480">
        <v>0</v>
      </c>
    </row>
    <row r="1891" spans="1:9" ht="51" hidden="1" outlineLevel="2">
      <c r="A1891" s="850" t="s">
        <v>5172</v>
      </c>
      <c r="B1891" s="472" t="s">
        <v>5173</v>
      </c>
      <c r="C1891" s="473"/>
      <c r="D1891" s="472"/>
      <c r="E1891" s="474">
        <v>35327461.32</v>
      </c>
      <c r="F1891" s="474">
        <v>35327461.32</v>
      </c>
      <c r="G1891" s="474">
        <v>26267281.559999999</v>
      </c>
      <c r="H1891" s="474">
        <v>24718264.530000001</v>
      </c>
      <c r="I1891" s="475">
        <v>69.97</v>
      </c>
    </row>
    <row r="1892" spans="1:9" ht="25.5" hidden="1" outlineLevel="3">
      <c r="A1892" s="833" t="s">
        <v>873</v>
      </c>
      <c r="B1892" s="477" t="s">
        <v>5174</v>
      </c>
      <c r="C1892" s="478"/>
      <c r="D1892" s="477"/>
      <c r="E1892" s="479">
        <v>33741485.32</v>
      </c>
      <c r="F1892" s="479">
        <v>33741485.32</v>
      </c>
      <c r="G1892" s="479">
        <v>24967000</v>
      </c>
      <c r="H1892" s="479">
        <v>23475130.579999998</v>
      </c>
      <c r="I1892" s="480">
        <v>69.569999999999993</v>
      </c>
    </row>
    <row r="1893" spans="1:9" ht="25.5" hidden="1" outlineLevel="4">
      <c r="A1893" s="832" t="s">
        <v>873</v>
      </c>
      <c r="B1893" s="482" t="s">
        <v>5174</v>
      </c>
      <c r="C1893" s="831" t="s">
        <v>3657</v>
      </c>
      <c r="D1893" s="482" t="s">
        <v>3658</v>
      </c>
      <c r="E1893" s="484">
        <v>33741485.32</v>
      </c>
      <c r="F1893" s="484">
        <v>33741485.32</v>
      </c>
      <c r="G1893" s="484">
        <v>24967000</v>
      </c>
      <c r="H1893" s="484">
        <v>23475130.579999998</v>
      </c>
      <c r="I1893" s="480">
        <v>69.569999999999993</v>
      </c>
    </row>
    <row r="1894" spans="1:9" ht="38.25" hidden="1" outlineLevel="3">
      <c r="A1894" s="833" t="s">
        <v>854</v>
      </c>
      <c r="B1894" s="477" t="s">
        <v>5175</v>
      </c>
      <c r="C1894" s="478"/>
      <c r="D1894" s="477"/>
      <c r="E1894" s="479">
        <v>1195976</v>
      </c>
      <c r="F1894" s="479">
        <v>1195976</v>
      </c>
      <c r="G1894" s="479">
        <v>1106965.1000000001</v>
      </c>
      <c r="H1894" s="479">
        <v>1061435.58</v>
      </c>
      <c r="I1894" s="480">
        <v>88.75</v>
      </c>
    </row>
    <row r="1895" spans="1:9" ht="38.25" hidden="1" outlineLevel="4">
      <c r="A1895" s="832" t="s">
        <v>854</v>
      </c>
      <c r="B1895" s="482" t="s">
        <v>5175</v>
      </c>
      <c r="C1895" s="831" t="s">
        <v>3657</v>
      </c>
      <c r="D1895" s="482" t="s">
        <v>3658</v>
      </c>
      <c r="E1895" s="484">
        <v>1195976</v>
      </c>
      <c r="F1895" s="484">
        <v>1195976</v>
      </c>
      <c r="G1895" s="484">
        <v>1106965.1000000001</v>
      </c>
      <c r="H1895" s="484">
        <v>1061435.58</v>
      </c>
      <c r="I1895" s="480">
        <v>88.75</v>
      </c>
    </row>
    <row r="1896" spans="1:9" ht="63.75" hidden="1" outlineLevel="3">
      <c r="A1896" s="833" t="s">
        <v>62</v>
      </c>
      <c r="B1896" s="477" t="s">
        <v>5176</v>
      </c>
      <c r="C1896" s="478"/>
      <c r="D1896" s="477"/>
      <c r="E1896" s="479">
        <v>390000</v>
      </c>
      <c r="F1896" s="479">
        <v>390000</v>
      </c>
      <c r="G1896" s="479">
        <v>193316.46</v>
      </c>
      <c r="H1896" s="479">
        <v>181698.37</v>
      </c>
      <c r="I1896" s="480">
        <v>46.59</v>
      </c>
    </row>
    <row r="1897" spans="1:9" ht="63.75" hidden="1" outlineLevel="4">
      <c r="A1897" s="832" t="s">
        <v>62</v>
      </c>
      <c r="B1897" s="482" t="s">
        <v>5176</v>
      </c>
      <c r="C1897" s="831" t="s">
        <v>3657</v>
      </c>
      <c r="D1897" s="482" t="s">
        <v>3658</v>
      </c>
      <c r="E1897" s="484">
        <v>390000</v>
      </c>
      <c r="F1897" s="484">
        <v>390000</v>
      </c>
      <c r="G1897" s="484">
        <v>193316.46</v>
      </c>
      <c r="H1897" s="484">
        <v>181698.37</v>
      </c>
      <c r="I1897" s="480">
        <v>46.59</v>
      </c>
    </row>
    <row r="1898" spans="1:9" ht="76.5" hidden="1" outlineLevel="2">
      <c r="A1898" s="850" t="s">
        <v>5177</v>
      </c>
      <c r="B1898" s="472" t="s">
        <v>5178</v>
      </c>
      <c r="C1898" s="473"/>
      <c r="D1898" s="472"/>
      <c r="E1898" s="474">
        <v>2600000</v>
      </c>
      <c r="F1898" s="474">
        <v>1700000</v>
      </c>
      <c r="G1898" s="474">
        <v>1700000</v>
      </c>
      <c r="H1898" s="474">
        <v>1700000</v>
      </c>
      <c r="I1898" s="475">
        <v>65.38</v>
      </c>
    </row>
    <row r="1899" spans="1:9" ht="102" hidden="1" outlineLevel="3">
      <c r="A1899" s="833" t="s">
        <v>5179</v>
      </c>
      <c r="B1899" s="477" t="s">
        <v>5180</v>
      </c>
      <c r="C1899" s="478"/>
      <c r="D1899" s="477"/>
      <c r="E1899" s="479">
        <v>600000</v>
      </c>
      <c r="F1899" s="479">
        <v>200000</v>
      </c>
      <c r="G1899" s="479">
        <v>200000</v>
      </c>
      <c r="H1899" s="479">
        <v>200000</v>
      </c>
      <c r="I1899" s="480">
        <v>33.33</v>
      </c>
    </row>
    <row r="1900" spans="1:9" ht="102" hidden="1" outlineLevel="4">
      <c r="A1900" s="832" t="s">
        <v>5179</v>
      </c>
      <c r="B1900" s="482" t="s">
        <v>5180</v>
      </c>
      <c r="C1900" s="831" t="s">
        <v>2324</v>
      </c>
      <c r="D1900" s="482" t="s">
        <v>2325</v>
      </c>
      <c r="E1900" s="484">
        <v>600000</v>
      </c>
      <c r="F1900" s="484">
        <v>200000</v>
      </c>
      <c r="G1900" s="484">
        <v>200000</v>
      </c>
      <c r="H1900" s="484">
        <v>200000</v>
      </c>
      <c r="I1900" s="480">
        <v>33.33</v>
      </c>
    </row>
    <row r="1901" spans="1:9" ht="63.75" hidden="1" outlineLevel="3">
      <c r="A1901" s="833" t="s">
        <v>5181</v>
      </c>
      <c r="B1901" s="477" t="s">
        <v>5182</v>
      </c>
      <c r="C1901" s="478"/>
      <c r="D1901" s="477"/>
      <c r="E1901" s="479">
        <v>2000000</v>
      </c>
      <c r="F1901" s="479">
        <v>1500000</v>
      </c>
      <c r="G1901" s="479">
        <v>1500000</v>
      </c>
      <c r="H1901" s="479">
        <v>1500000</v>
      </c>
      <c r="I1901" s="480">
        <v>75</v>
      </c>
    </row>
    <row r="1902" spans="1:9" ht="63.75" hidden="1" outlineLevel="4">
      <c r="A1902" s="832" t="s">
        <v>5181</v>
      </c>
      <c r="B1902" s="482" t="s">
        <v>5182</v>
      </c>
      <c r="C1902" s="831" t="s">
        <v>2324</v>
      </c>
      <c r="D1902" s="482" t="s">
        <v>2325</v>
      </c>
      <c r="E1902" s="484">
        <v>2000000</v>
      </c>
      <c r="F1902" s="484">
        <v>1500000</v>
      </c>
      <c r="G1902" s="484">
        <v>1500000</v>
      </c>
      <c r="H1902" s="484">
        <v>1500000</v>
      </c>
      <c r="I1902" s="480">
        <v>75</v>
      </c>
    </row>
    <row r="1903" spans="1:9" ht="25.5" hidden="1" outlineLevel="2">
      <c r="A1903" s="850" t="s">
        <v>2371</v>
      </c>
      <c r="B1903" s="472" t="s">
        <v>5183</v>
      </c>
      <c r="C1903" s="473"/>
      <c r="D1903" s="472"/>
      <c r="E1903" s="474">
        <v>1094000</v>
      </c>
      <c r="F1903" s="474">
        <v>1083607</v>
      </c>
      <c r="G1903" s="474">
        <v>1083607</v>
      </c>
      <c r="H1903" s="474">
        <v>341054.5</v>
      </c>
      <c r="I1903" s="475">
        <v>31.18</v>
      </c>
    </row>
    <row r="1904" spans="1:9" ht="25.5" hidden="1" outlineLevel="3">
      <c r="A1904" s="833" t="s">
        <v>713</v>
      </c>
      <c r="B1904" s="477" t="s">
        <v>5184</v>
      </c>
      <c r="C1904" s="478"/>
      <c r="D1904" s="477"/>
      <c r="E1904" s="479">
        <v>1094000</v>
      </c>
      <c r="F1904" s="479">
        <v>1083607</v>
      </c>
      <c r="G1904" s="479">
        <v>1083607</v>
      </c>
      <c r="H1904" s="479">
        <v>341054.5</v>
      </c>
      <c r="I1904" s="480">
        <v>31.18</v>
      </c>
    </row>
    <row r="1905" spans="1:9" ht="25.5" hidden="1" outlineLevel="4">
      <c r="A1905" s="832" t="s">
        <v>713</v>
      </c>
      <c r="B1905" s="482" t="s">
        <v>5184</v>
      </c>
      <c r="C1905" s="831" t="s">
        <v>3657</v>
      </c>
      <c r="D1905" s="482" t="s">
        <v>3658</v>
      </c>
      <c r="E1905" s="484">
        <v>1094000</v>
      </c>
      <c r="F1905" s="484">
        <v>1083607</v>
      </c>
      <c r="G1905" s="484">
        <v>1083607</v>
      </c>
      <c r="H1905" s="484">
        <v>341054.5</v>
      </c>
      <c r="I1905" s="480">
        <v>31.18</v>
      </c>
    </row>
    <row r="1906" spans="1:9" ht="38.25" hidden="1" outlineLevel="2">
      <c r="A1906" s="850" t="s">
        <v>5185</v>
      </c>
      <c r="B1906" s="472" t="s">
        <v>5186</v>
      </c>
      <c r="C1906" s="473"/>
      <c r="D1906" s="472"/>
      <c r="E1906" s="474">
        <v>29136588.399999999</v>
      </c>
      <c r="F1906" s="474">
        <v>29136588.399999999</v>
      </c>
      <c r="G1906" s="474">
        <v>24868153.510000002</v>
      </c>
      <c r="H1906" s="474">
        <v>24614083.989999998</v>
      </c>
      <c r="I1906" s="475">
        <v>84.48</v>
      </c>
    </row>
    <row r="1907" spans="1:9" ht="25.5" hidden="1" outlineLevel="3">
      <c r="A1907" s="833" t="s">
        <v>713</v>
      </c>
      <c r="B1907" s="477" t="s">
        <v>5187</v>
      </c>
      <c r="C1907" s="478"/>
      <c r="D1907" s="477"/>
      <c r="E1907" s="479">
        <v>306000</v>
      </c>
      <c r="F1907" s="479">
        <v>306000</v>
      </c>
      <c r="G1907" s="479">
        <v>306000</v>
      </c>
      <c r="H1907" s="479">
        <v>51930.48</v>
      </c>
      <c r="I1907" s="480">
        <v>16.97</v>
      </c>
    </row>
    <row r="1908" spans="1:9" ht="25.5" hidden="1" outlineLevel="4">
      <c r="A1908" s="832" t="s">
        <v>713</v>
      </c>
      <c r="B1908" s="482" t="s">
        <v>5187</v>
      </c>
      <c r="C1908" s="831" t="s">
        <v>3657</v>
      </c>
      <c r="D1908" s="482" t="s">
        <v>3658</v>
      </c>
      <c r="E1908" s="484">
        <v>306000</v>
      </c>
      <c r="F1908" s="484">
        <v>306000</v>
      </c>
      <c r="G1908" s="484">
        <v>306000</v>
      </c>
      <c r="H1908" s="484">
        <v>51930.48</v>
      </c>
      <c r="I1908" s="480">
        <v>16.97</v>
      </c>
    </row>
    <row r="1909" spans="1:9" ht="51" hidden="1" outlineLevel="3">
      <c r="A1909" s="833" t="s">
        <v>5188</v>
      </c>
      <c r="B1909" s="477" t="s">
        <v>5189</v>
      </c>
      <c r="C1909" s="478"/>
      <c r="D1909" s="477"/>
      <c r="E1909" s="479">
        <v>28830588.399999999</v>
      </c>
      <c r="F1909" s="479">
        <v>28830588.399999999</v>
      </c>
      <c r="G1909" s="479">
        <v>24562153.510000002</v>
      </c>
      <c r="H1909" s="479">
        <v>24562153.510000002</v>
      </c>
      <c r="I1909" s="480">
        <v>85.19</v>
      </c>
    </row>
    <row r="1910" spans="1:9" ht="51" hidden="1" outlineLevel="4">
      <c r="A1910" s="832" t="s">
        <v>5188</v>
      </c>
      <c r="B1910" s="482" t="s">
        <v>5189</v>
      </c>
      <c r="C1910" s="831" t="s">
        <v>3657</v>
      </c>
      <c r="D1910" s="482" t="s">
        <v>3658</v>
      </c>
      <c r="E1910" s="484">
        <v>28830588.399999999</v>
      </c>
      <c r="F1910" s="484">
        <v>28830588.399999999</v>
      </c>
      <c r="G1910" s="484">
        <v>24562153.510000002</v>
      </c>
      <c r="H1910" s="484">
        <v>24562153.510000002</v>
      </c>
      <c r="I1910" s="480">
        <v>85.19</v>
      </c>
    </row>
    <row r="1911" spans="1:9" ht="38.25" hidden="1" outlineLevel="1">
      <c r="A1911" s="851" t="s">
        <v>5190</v>
      </c>
      <c r="B1911" s="467" t="s">
        <v>5191</v>
      </c>
      <c r="C1911" s="468"/>
      <c r="D1911" s="467"/>
      <c r="E1911" s="469">
        <v>479090074.31</v>
      </c>
      <c r="F1911" s="469">
        <v>479090074.31</v>
      </c>
      <c r="G1911" s="469">
        <v>340878549.08999997</v>
      </c>
      <c r="H1911" s="469">
        <v>324503037.72000003</v>
      </c>
      <c r="I1911" s="470">
        <v>67.73</v>
      </c>
    </row>
    <row r="1912" spans="1:9" ht="51" hidden="1" outlineLevel="2">
      <c r="A1912" s="850" t="s">
        <v>2378</v>
      </c>
      <c r="B1912" s="472" t="s">
        <v>5192</v>
      </c>
      <c r="C1912" s="473"/>
      <c r="D1912" s="472"/>
      <c r="E1912" s="474">
        <v>3196840</v>
      </c>
      <c r="F1912" s="474">
        <v>3196840</v>
      </c>
      <c r="G1912" s="474">
        <v>849048</v>
      </c>
      <c r="H1912" s="474">
        <v>806482.1</v>
      </c>
      <c r="I1912" s="475">
        <v>25.23</v>
      </c>
    </row>
    <row r="1913" spans="1:9" ht="76.5" hidden="1" outlineLevel="3">
      <c r="A1913" s="833" t="s">
        <v>1027</v>
      </c>
      <c r="B1913" s="477" t="s">
        <v>5193</v>
      </c>
      <c r="C1913" s="478"/>
      <c r="D1913" s="477"/>
      <c r="E1913" s="479">
        <v>3196840</v>
      </c>
      <c r="F1913" s="479">
        <v>3196840</v>
      </c>
      <c r="G1913" s="479">
        <v>849048</v>
      </c>
      <c r="H1913" s="479">
        <v>806482.1</v>
      </c>
      <c r="I1913" s="480">
        <v>25.23</v>
      </c>
    </row>
    <row r="1914" spans="1:9" ht="76.5" hidden="1" outlineLevel="4">
      <c r="A1914" s="832" t="s">
        <v>1027</v>
      </c>
      <c r="B1914" s="482" t="s">
        <v>5193</v>
      </c>
      <c r="C1914" s="831" t="s">
        <v>2124</v>
      </c>
      <c r="D1914" s="482" t="s">
        <v>2125</v>
      </c>
      <c r="E1914" s="484">
        <v>3196840</v>
      </c>
      <c r="F1914" s="484">
        <v>3196840</v>
      </c>
      <c r="G1914" s="484">
        <v>849048</v>
      </c>
      <c r="H1914" s="484">
        <v>806482.1</v>
      </c>
      <c r="I1914" s="480">
        <v>25.23</v>
      </c>
    </row>
    <row r="1915" spans="1:9" ht="63.75" hidden="1" outlineLevel="2">
      <c r="A1915" s="850" t="s">
        <v>2381</v>
      </c>
      <c r="B1915" s="472" t="s">
        <v>5194</v>
      </c>
      <c r="C1915" s="473"/>
      <c r="D1915" s="472"/>
      <c r="E1915" s="474">
        <v>475893234.31</v>
      </c>
      <c r="F1915" s="474">
        <v>475893234.31</v>
      </c>
      <c r="G1915" s="474">
        <v>340029501.08999997</v>
      </c>
      <c r="H1915" s="474">
        <v>323696555.62</v>
      </c>
      <c r="I1915" s="475">
        <v>68.02</v>
      </c>
    </row>
    <row r="1916" spans="1:9" ht="25.5" hidden="1" outlineLevel="3">
      <c r="A1916" s="833" t="s">
        <v>873</v>
      </c>
      <c r="B1916" s="477" t="s">
        <v>5195</v>
      </c>
      <c r="C1916" s="478"/>
      <c r="D1916" s="477"/>
      <c r="E1916" s="479">
        <v>228950324.22</v>
      </c>
      <c r="F1916" s="479">
        <v>228950324.22</v>
      </c>
      <c r="G1916" s="479">
        <v>161827000</v>
      </c>
      <c r="H1916" s="479">
        <v>153858391.44999999</v>
      </c>
      <c r="I1916" s="480">
        <v>67.2</v>
      </c>
    </row>
    <row r="1917" spans="1:9" ht="25.5" hidden="1" outlineLevel="4">
      <c r="A1917" s="832" t="s">
        <v>873</v>
      </c>
      <c r="B1917" s="482" t="s">
        <v>5195</v>
      </c>
      <c r="C1917" s="831" t="s">
        <v>2124</v>
      </c>
      <c r="D1917" s="482" t="s">
        <v>2125</v>
      </c>
      <c r="E1917" s="484">
        <v>228950324.22</v>
      </c>
      <c r="F1917" s="484">
        <v>228950324.22</v>
      </c>
      <c r="G1917" s="484">
        <v>161827000</v>
      </c>
      <c r="H1917" s="484">
        <v>153858391.44999999</v>
      </c>
      <c r="I1917" s="480">
        <v>67.2</v>
      </c>
    </row>
    <row r="1918" spans="1:9" ht="76.5" hidden="1" outlineLevel="3">
      <c r="A1918" s="833" t="s">
        <v>702</v>
      </c>
      <c r="B1918" s="477" t="s">
        <v>5196</v>
      </c>
      <c r="C1918" s="478"/>
      <c r="D1918" s="477"/>
      <c r="E1918" s="479">
        <v>242108910.09</v>
      </c>
      <c r="F1918" s="479">
        <v>242108910.09</v>
      </c>
      <c r="G1918" s="479">
        <v>174156766.22</v>
      </c>
      <c r="H1918" s="479">
        <v>165876574.69999999</v>
      </c>
      <c r="I1918" s="480">
        <v>68.510000000000005</v>
      </c>
    </row>
    <row r="1919" spans="1:9" ht="76.5" hidden="1" outlineLevel="4">
      <c r="A1919" s="832" t="s">
        <v>702</v>
      </c>
      <c r="B1919" s="482" t="s">
        <v>5196</v>
      </c>
      <c r="C1919" s="831" t="s">
        <v>2124</v>
      </c>
      <c r="D1919" s="482" t="s">
        <v>2125</v>
      </c>
      <c r="E1919" s="484">
        <v>242108910.09</v>
      </c>
      <c r="F1919" s="484">
        <v>242108910.09</v>
      </c>
      <c r="G1919" s="484">
        <v>174156766.22</v>
      </c>
      <c r="H1919" s="484">
        <v>165876574.69999999</v>
      </c>
      <c r="I1919" s="480">
        <v>68.510000000000005</v>
      </c>
    </row>
    <row r="1920" spans="1:9" ht="63.75" hidden="1" outlineLevel="3">
      <c r="A1920" s="833" t="s">
        <v>62</v>
      </c>
      <c r="B1920" s="477" t="s">
        <v>5197</v>
      </c>
      <c r="C1920" s="478"/>
      <c r="D1920" s="477"/>
      <c r="E1920" s="479">
        <v>4594142.13</v>
      </c>
      <c r="F1920" s="479">
        <v>4594142.13</v>
      </c>
      <c r="G1920" s="479">
        <v>3979877</v>
      </c>
      <c r="H1920" s="479">
        <v>3895731.6</v>
      </c>
      <c r="I1920" s="480">
        <v>84.8</v>
      </c>
    </row>
    <row r="1921" spans="1:9" ht="63.75" hidden="1" outlineLevel="4">
      <c r="A1921" s="832" t="s">
        <v>62</v>
      </c>
      <c r="B1921" s="482" t="s">
        <v>5197</v>
      </c>
      <c r="C1921" s="831" t="s">
        <v>2124</v>
      </c>
      <c r="D1921" s="482" t="s">
        <v>2125</v>
      </c>
      <c r="E1921" s="484">
        <v>4594142.13</v>
      </c>
      <c r="F1921" s="484">
        <v>4594142.13</v>
      </c>
      <c r="G1921" s="484">
        <v>3979877</v>
      </c>
      <c r="H1921" s="484">
        <v>3895731.6</v>
      </c>
      <c r="I1921" s="480">
        <v>84.8</v>
      </c>
    </row>
    <row r="1922" spans="1:9" ht="76.5" hidden="1" outlineLevel="3">
      <c r="A1922" s="833" t="s">
        <v>156</v>
      </c>
      <c r="B1922" s="477" t="s">
        <v>5198</v>
      </c>
      <c r="C1922" s="478"/>
      <c r="D1922" s="477"/>
      <c r="E1922" s="479">
        <v>65857.87</v>
      </c>
      <c r="F1922" s="479">
        <v>65857.87</v>
      </c>
      <c r="G1922" s="479">
        <v>65857.87</v>
      </c>
      <c r="H1922" s="479">
        <v>65857.87</v>
      </c>
      <c r="I1922" s="480">
        <v>100</v>
      </c>
    </row>
    <row r="1923" spans="1:9" ht="76.5" hidden="1" outlineLevel="4">
      <c r="A1923" s="832" t="s">
        <v>156</v>
      </c>
      <c r="B1923" s="482" t="s">
        <v>5198</v>
      </c>
      <c r="C1923" s="831" t="s">
        <v>2124</v>
      </c>
      <c r="D1923" s="482" t="s">
        <v>2125</v>
      </c>
      <c r="E1923" s="484">
        <v>65857.87</v>
      </c>
      <c r="F1923" s="484">
        <v>65857.87</v>
      </c>
      <c r="G1923" s="484">
        <v>65857.87</v>
      </c>
      <c r="H1923" s="484">
        <v>65857.87</v>
      </c>
      <c r="I1923" s="480">
        <v>100</v>
      </c>
    </row>
    <row r="1924" spans="1:9" ht="25.5" hidden="1" outlineLevel="3">
      <c r="A1924" s="833" t="s">
        <v>713</v>
      </c>
      <c r="B1924" s="477" t="s">
        <v>5199</v>
      </c>
      <c r="C1924" s="478"/>
      <c r="D1924" s="477"/>
      <c r="E1924" s="479">
        <v>174000</v>
      </c>
      <c r="F1924" s="479">
        <v>174000</v>
      </c>
      <c r="G1924" s="479">
        <v>0</v>
      </c>
      <c r="H1924" s="479">
        <v>0</v>
      </c>
      <c r="I1924" s="480">
        <v>0</v>
      </c>
    </row>
    <row r="1925" spans="1:9" ht="25.5" hidden="1" outlineLevel="4">
      <c r="A1925" s="832" t="s">
        <v>713</v>
      </c>
      <c r="B1925" s="482" t="s">
        <v>5199</v>
      </c>
      <c r="C1925" s="831" t="s">
        <v>2124</v>
      </c>
      <c r="D1925" s="482" t="s">
        <v>2125</v>
      </c>
      <c r="E1925" s="484">
        <v>174000</v>
      </c>
      <c r="F1925" s="484">
        <v>174000</v>
      </c>
      <c r="G1925" s="484">
        <v>0</v>
      </c>
      <c r="H1925" s="484">
        <v>0</v>
      </c>
      <c r="I1925" s="480">
        <v>0</v>
      </c>
    </row>
    <row r="1926" spans="1:9" ht="102" hidden="1" outlineLevel="1">
      <c r="A1926" s="851" t="s">
        <v>5200</v>
      </c>
      <c r="B1926" s="467" t="s">
        <v>5201</v>
      </c>
      <c r="C1926" s="468"/>
      <c r="D1926" s="467"/>
      <c r="E1926" s="469">
        <v>312776466.36000001</v>
      </c>
      <c r="F1926" s="469">
        <v>307261067.77999997</v>
      </c>
      <c r="G1926" s="469">
        <v>238472499.63999999</v>
      </c>
      <c r="H1926" s="469">
        <v>223664683.34999999</v>
      </c>
      <c r="I1926" s="470">
        <v>71.510000000000005</v>
      </c>
    </row>
    <row r="1927" spans="1:9" ht="102" hidden="1" outlineLevel="2">
      <c r="A1927" s="850" t="s">
        <v>5202</v>
      </c>
      <c r="B1927" s="472" t="s">
        <v>5203</v>
      </c>
      <c r="C1927" s="473"/>
      <c r="D1927" s="472"/>
      <c r="E1927" s="474">
        <v>101591075.78</v>
      </c>
      <c r="F1927" s="474">
        <v>101591075.78</v>
      </c>
      <c r="G1927" s="474">
        <v>84211088.879999995</v>
      </c>
      <c r="H1927" s="474">
        <v>81723796.049999997</v>
      </c>
      <c r="I1927" s="475">
        <v>80.44</v>
      </c>
    </row>
    <row r="1928" spans="1:9" ht="76.5" hidden="1" outlineLevel="3">
      <c r="A1928" s="833" t="s">
        <v>5204</v>
      </c>
      <c r="B1928" s="477" t="s">
        <v>5205</v>
      </c>
      <c r="C1928" s="478"/>
      <c r="D1928" s="477"/>
      <c r="E1928" s="479">
        <v>52203992.619999997</v>
      </c>
      <c r="F1928" s="479">
        <v>52203992.619999997</v>
      </c>
      <c r="G1928" s="479">
        <v>42199292.829999998</v>
      </c>
      <c r="H1928" s="479">
        <v>39712000</v>
      </c>
      <c r="I1928" s="480">
        <v>76.069999999999993</v>
      </c>
    </row>
    <row r="1929" spans="1:9" ht="76.5" hidden="1" outlineLevel="4">
      <c r="A1929" s="832" t="s">
        <v>5204</v>
      </c>
      <c r="B1929" s="482" t="s">
        <v>5205</v>
      </c>
      <c r="C1929" s="831" t="s">
        <v>1641</v>
      </c>
      <c r="D1929" s="482" t="s">
        <v>1642</v>
      </c>
      <c r="E1929" s="484">
        <v>52203992.619999997</v>
      </c>
      <c r="F1929" s="484">
        <v>52203992.619999997</v>
      </c>
      <c r="G1929" s="484">
        <v>42199292.829999998</v>
      </c>
      <c r="H1929" s="484">
        <v>39712000</v>
      </c>
      <c r="I1929" s="480">
        <v>76.069999999999993</v>
      </c>
    </row>
    <row r="1930" spans="1:9" ht="140.25" hidden="1" outlineLevel="3">
      <c r="A1930" s="833" t="s">
        <v>5206</v>
      </c>
      <c r="B1930" s="477" t="s">
        <v>5207</v>
      </c>
      <c r="C1930" s="478"/>
      <c r="D1930" s="477"/>
      <c r="E1930" s="479">
        <v>49387083.159999996</v>
      </c>
      <c r="F1930" s="479">
        <v>49387083.159999996</v>
      </c>
      <c r="G1930" s="479">
        <v>42011796.049999997</v>
      </c>
      <c r="H1930" s="479">
        <v>42011796.049999997</v>
      </c>
      <c r="I1930" s="480">
        <v>85.07</v>
      </c>
    </row>
    <row r="1931" spans="1:9" ht="140.25" hidden="1" outlineLevel="4">
      <c r="A1931" s="832" t="s">
        <v>5206</v>
      </c>
      <c r="B1931" s="482" t="s">
        <v>5207</v>
      </c>
      <c r="C1931" s="831" t="s">
        <v>1641</v>
      </c>
      <c r="D1931" s="482" t="s">
        <v>1642</v>
      </c>
      <c r="E1931" s="484">
        <v>49387083.159999996</v>
      </c>
      <c r="F1931" s="484">
        <v>49387083.159999996</v>
      </c>
      <c r="G1931" s="484">
        <v>42011796.049999997</v>
      </c>
      <c r="H1931" s="484">
        <v>42011796.049999997</v>
      </c>
      <c r="I1931" s="480">
        <v>85.07</v>
      </c>
    </row>
    <row r="1932" spans="1:9" ht="63.75" hidden="1" outlineLevel="2">
      <c r="A1932" s="850" t="s">
        <v>5208</v>
      </c>
      <c r="B1932" s="472" t="s">
        <v>5209</v>
      </c>
      <c r="C1932" s="473"/>
      <c r="D1932" s="472"/>
      <c r="E1932" s="474">
        <v>145024584.47</v>
      </c>
      <c r="F1932" s="474">
        <v>144964276.15000001</v>
      </c>
      <c r="G1932" s="474">
        <v>107164685.73</v>
      </c>
      <c r="H1932" s="474">
        <v>100623505.8</v>
      </c>
      <c r="I1932" s="475">
        <v>69.38</v>
      </c>
    </row>
    <row r="1933" spans="1:9" ht="76.5" hidden="1" outlineLevel="3">
      <c r="A1933" s="833" t="s">
        <v>702</v>
      </c>
      <c r="B1933" s="477" t="s">
        <v>5210</v>
      </c>
      <c r="C1933" s="478"/>
      <c r="D1933" s="477"/>
      <c r="E1933" s="479">
        <v>533389.79</v>
      </c>
      <c r="F1933" s="479">
        <v>533389.79</v>
      </c>
      <c r="G1933" s="479">
        <v>0</v>
      </c>
      <c r="H1933" s="479">
        <v>0</v>
      </c>
      <c r="I1933" s="480">
        <v>0</v>
      </c>
    </row>
    <row r="1934" spans="1:9" ht="76.5" hidden="1" outlineLevel="4">
      <c r="A1934" s="832" t="s">
        <v>702</v>
      </c>
      <c r="B1934" s="482" t="s">
        <v>5210</v>
      </c>
      <c r="C1934" s="831" t="s">
        <v>1641</v>
      </c>
      <c r="D1934" s="482" t="s">
        <v>1642</v>
      </c>
      <c r="E1934" s="484">
        <v>533389.79</v>
      </c>
      <c r="F1934" s="484">
        <v>533389.79</v>
      </c>
      <c r="G1934" s="484">
        <v>0</v>
      </c>
      <c r="H1934" s="484">
        <v>0</v>
      </c>
      <c r="I1934" s="480">
        <v>0</v>
      </c>
    </row>
    <row r="1935" spans="1:9" ht="25.5" hidden="1" outlineLevel="3">
      <c r="A1935" s="833" t="s">
        <v>713</v>
      </c>
      <c r="B1935" s="477" t="s">
        <v>5211</v>
      </c>
      <c r="C1935" s="478"/>
      <c r="D1935" s="477"/>
      <c r="E1935" s="479">
        <v>5000000</v>
      </c>
      <c r="F1935" s="479">
        <v>5000000</v>
      </c>
      <c r="G1935" s="479">
        <v>0</v>
      </c>
      <c r="H1935" s="479">
        <v>0</v>
      </c>
      <c r="I1935" s="480">
        <v>0</v>
      </c>
    </row>
    <row r="1936" spans="1:9" ht="25.5" hidden="1" outlineLevel="4">
      <c r="A1936" s="832" t="s">
        <v>713</v>
      </c>
      <c r="B1936" s="482" t="s">
        <v>5211</v>
      </c>
      <c r="C1936" s="831" t="s">
        <v>1641</v>
      </c>
      <c r="D1936" s="482" t="s">
        <v>1642</v>
      </c>
      <c r="E1936" s="484">
        <v>5000000</v>
      </c>
      <c r="F1936" s="484">
        <v>5000000</v>
      </c>
      <c r="G1936" s="484">
        <v>0</v>
      </c>
      <c r="H1936" s="484">
        <v>0</v>
      </c>
      <c r="I1936" s="480">
        <v>0</v>
      </c>
    </row>
    <row r="1937" spans="1:9" ht="51" hidden="1" outlineLevel="3">
      <c r="A1937" s="833" t="s">
        <v>5212</v>
      </c>
      <c r="B1937" s="477" t="s">
        <v>5213</v>
      </c>
      <c r="C1937" s="478"/>
      <c r="D1937" s="477"/>
      <c r="E1937" s="479">
        <v>32900000</v>
      </c>
      <c r="F1937" s="479">
        <v>32839691.68</v>
      </c>
      <c r="G1937" s="479">
        <v>32839691.68</v>
      </c>
      <c r="H1937" s="479">
        <v>32839691.68</v>
      </c>
      <c r="I1937" s="480">
        <v>99.82</v>
      </c>
    </row>
    <row r="1938" spans="1:9" ht="51" hidden="1" outlineLevel="4">
      <c r="A1938" s="832" t="s">
        <v>5212</v>
      </c>
      <c r="B1938" s="482" t="s">
        <v>5213</v>
      </c>
      <c r="C1938" s="831" t="s">
        <v>1641</v>
      </c>
      <c r="D1938" s="482" t="s">
        <v>1642</v>
      </c>
      <c r="E1938" s="484">
        <v>32900000</v>
      </c>
      <c r="F1938" s="484">
        <v>32839691.68</v>
      </c>
      <c r="G1938" s="484">
        <v>32839691.68</v>
      </c>
      <c r="H1938" s="484">
        <v>32839691.68</v>
      </c>
      <c r="I1938" s="480">
        <v>99.82</v>
      </c>
    </row>
    <row r="1939" spans="1:9" ht="63.75" hidden="1" outlineLevel="3">
      <c r="A1939" s="833" t="s">
        <v>5214</v>
      </c>
      <c r="B1939" s="477" t="s">
        <v>5215</v>
      </c>
      <c r="C1939" s="478"/>
      <c r="D1939" s="477"/>
      <c r="E1939" s="479">
        <v>59878163.25</v>
      </c>
      <c r="F1939" s="479">
        <v>59878163.25</v>
      </c>
      <c r="G1939" s="479">
        <v>39801418.810000002</v>
      </c>
      <c r="H1939" s="479">
        <v>33260238.879999999</v>
      </c>
      <c r="I1939" s="480">
        <v>55.55</v>
      </c>
    </row>
    <row r="1940" spans="1:9" ht="63.75" hidden="1" outlineLevel="4">
      <c r="A1940" s="832" t="s">
        <v>5214</v>
      </c>
      <c r="B1940" s="482" t="s">
        <v>5215</v>
      </c>
      <c r="C1940" s="831" t="s">
        <v>1641</v>
      </c>
      <c r="D1940" s="482" t="s">
        <v>1642</v>
      </c>
      <c r="E1940" s="484">
        <v>59878163.25</v>
      </c>
      <c r="F1940" s="484">
        <v>59878163.25</v>
      </c>
      <c r="G1940" s="484">
        <v>39801418.810000002</v>
      </c>
      <c r="H1940" s="484">
        <v>33260238.879999999</v>
      </c>
      <c r="I1940" s="480">
        <v>55.55</v>
      </c>
    </row>
    <row r="1941" spans="1:9" ht="38.25" hidden="1" outlineLevel="3">
      <c r="A1941" s="833" t="s">
        <v>2153</v>
      </c>
      <c r="B1941" s="477" t="s">
        <v>5216</v>
      </c>
      <c r="C1941" s="478"/>
      <c r="D1941" s="477"/>
      <c r="E1941" s="479">
        <v>46146031.43</v>
      </c>
      <c r="F1941" s="479">
        <v>46146031.43</v>
      </c>
      <c r="G1941" s="479">
        <v>33976575.240000002</v>
      </c>
      <c r="H1941" s="479">
        <v>33976575.240000002</v>
      </c>
      <c r="I1941" s="480">
        <v>73.63</v>
      </c>
    </row>
    <row r="1942" spans="1:9" ht="38.25" hidden="1" outlineLevel="4">
      <c r="A1942" s="832" t="s">
        <v>2153</v>
      </c>
      <c r="B1942" s="482" t="s">
        <v>5216</v>
      </c>
      <c r="C1942" s="831" t="s">
        <v>1641</v>
      </c>
      <c r="D1942" s="482" t="s">
        <v>1642</v>
      </c>
      <c r="E1942" s="484">
        <v>46146031.43</v>
      </c>
      <c r="F1942" s="484">
        <v>46146031.43</v>
      </c>
      <c r="G1942" s="484">
        <v>33976575.240000002</v>
      </c>
      <c r="H1942" s="484">
        <v>33976575.240000002</v>
      </c>
      <c r="I1942" s="480">
        <v>73.63</v>
      </c>
    </row>
    <row r="1943" spans="1:9" ht="63.75" hidden="1" outlineLevel="3">
      <c r="A1943" s="833" t="s">
        <v>62</v>
      </c>
      <c r="B1943" s="477" t="s">
        <v>5217</v>
      </c>
      <c r="C1943" s="478"/>
      <c r="D1943" s="477"/>
      <c r="E1943" s="479">
        <v>567000</v>
      </c>
      <c r="F1943" s="479">
        <v>567000</v>
      </c>
      <c r="G1943" s="479">
        <v>547000</v>
      </c>
      <c r="H1943" s="479">
        <v>547000</v>
      </c>
      <c r="I1943" s="480">
        <v>96.47</v>
      </c>
    </row>
    <row r="1944" spans="1:9" ht="63.75" hidden="1" outlineLevel="4">
      <c r="A1944" s="832" t="s">
        <v>62</v>
      </c>
      <c r="B1944" s="482" t="s">
        <v>5217</v>
      </c>
      <c r="C1944" s="831" t="s">
        <v>1641</v>
      </c>
      <c r="D1944" s="482" t="s">
        <v>1642</v>
      </c>
      <c r="E1944" s="484">
        <v>567000</v>
      </c>
      <c r="F1944" s="484">
        <v>567000</v>
      </c>
      <c r="G1944" s="484">
        <v>547000</v>
      </c>
      <c r="H1944" s="484">
        <v>547000</v>
      </c>
      <c r="I1944" s="480">
        <v>96.47</v>
      </c>
    </row>
    <row r="1945" spans="1:9" ht="165.75" hidden="1" outlineLevel="2">
      <c r="A1945" s="850" t="s">
        <v>5218</v>
      </c>
      <c r="B1945" s="472" t="s">
        <v>5219</v>
      </c>
      <c r="C1945" s="473"/>
      <c r="D1945" s="472"/>
      <c r="E1945" s="474">
        <v>66160806.109999999</v>
      </c>
      <c r="F1945" s="474">
        <v>60705715.850000001</v>
      </c>
      <c r="G1945" s="474">
        <v>47096725.030000001</v>
      </c>
      <c r="H1945" s="474">
        <v>41317381.5</v>
      </c>
      <c r="I1945" s="475">
        <v>62.45</v>
      </c>
    </row>
    <row r="1946" spans="1:9" ht="25.5" hidden="1" outlineLevel="3">
      <c r="A1946" s="833" t="s">
        <v>873</v>
      </c>
      <c r="B1946" s="477" t="s">
        <v>5220</v>
      </c>
      <c r="C1946" s="478"/>
      <c r="D1946" s="477"/>
      <c r="E1946" s="479">
        <v>64025168.109999999</v>
      </c>
      <c r="F1946" s="479">
        <v>58579177.840000004</v>
      </c>
      <c r="G1946" s="479">
        <v>45960000</v>
      </c>
      <c r="H1946" s="479">
        <v>40349189.009999998</v>
      </c>
      <c r="I1946" s="480">
        <v>63.02</v>
      </c>
    </row>
    <row r="1947" spans="1:9" ht="25.5" hidden="1" outlineLevel="4">
      <c r="A1947" s="832" t="s">
        <v>873</v>
      </c>
      <c r="B1947" s="482" t="s">
        <v>5220</v>
      </c>
      <c r="C1947" s="831" t="s">
        <v>1641</v>
      </c>
      <c r="D1947" s="482" t="s">
        <v>1642</v>
      </c>
      <c r="E1947" s="484">
        <v>64025168.109999999</v>
      </c>
      <c r="F1947" s="484">
        <v>58579177.840000004</v>
      </c>
      <c r="G1947" s="484">
        <v>45960000</v>
      </c>
      <c r="H1947" s="484">
        <v>40349189.009999998</v>
      </c>
      <c r="I1947" s="480">
        <v>63.02</v>
      </c>
    </row>
    <row r="1948" spans="1:9" ht="38.25" hidden="1" outlineLevel="3">
      <c r="A1948" s="833" t="s">
        <v>854</v>
      </c>
      <c r="B1948" s="477" t="s">
        <v>5221</v>
      </c>
      <c r="C1948" s="478"/>
      <c r="D1948" s="477"/>
      <c r="E1948" s="479">
        <v>1475638</v>
      </c>
      <c r="F1948" s="479">
        <v>1466538.01</v>
      </c>
      <c r="G1948" s="479">
        <v>482701.43</v>
      </c>
      <c r="H1948" s="479">
        <v>322326.43</v>
      </c>
      <c r="I1948" s="480">
        <v>21.84</v>
      </c>
    </row>
    <row r="1949" spans="1:9" ht="38.25" hidden="1" outlineLevel="4">
      <c r="A1949" s="832" t="s">
        <v>854</v>
      </c>
      <c r="B1949" s="482" t="s">
        <v>5221</v>
      </c>
      <c r="C1949" s="831" t="s">
        <v>1641</v>
      </c>
      <c r="D1949" s="482" t="s">
        <v>1642</v>
      </c>
      <c r="E1949" s="484">
        <v>1475638</v>
      </c>
      <c r="F1949" s="484">
        <v>1466538.01</v>
      </c>
      <c r="G1949" s="484">
        <v>482701.43</v>
      </c>
      <c r="H1949" s="484">
        <v>322326.43</v>
      </c>
      <c r="I1949" s="480">
        <v>21.84</v>
      </c>
    </row>
    <row r="1950" spans="1:9" ht="63.75" hidden="1" outlineLevel="3">
      <c r="A1950" s="833" t="s">
        <v>62</v>
      </c>
      <c r="B1950" s="477" t="s">
        <v>5222</v>
      </c>
      <c r="C1950" s="478"/>
      <c r="D1950" s="477"/>
      <c r="E1950" s="479">
        <v>660000</v>
      </c>
      <c r="F1950" s="479">
        <v>660000</v>
      </c>
      <c r="G1950" s="479">
        <v>654023.6</v>
      </c>
      <c r="H1950" s="479">
        <v>645866.06000000006</v>
      </c>
      <c r="I1950" s="480">
        <v>97.86</v>
      </c>
    </row>
    <row r="1951" spans="1:9" ht="63.75" hidden="1" outlineLevel="4">
      <c r="A1951" s="832" t="s">
        <v>62</v>
      </c>
      <c r="B1951" s="482" t="s">
        <v>5222</v>
      </c>
      <c r="C1951" s="831" t="s">
        <v>1641</v>
      </c>
      <c r="D1951" s="482" t="s">
        <v>1642</v>
      </c>
      <c r="E1951" s="484">
        <v>660000</v>
      </c>
      <c r="F1951" s="484">
        <v>660000</v>
      </c>
      <c r="G1951" s="484">
        <v>654023.6</v>
      </c>
      <c r="H1951" s="484">
        <v>645866.06000000006</v>
      </c>
      <c r="I1951" s="480">
        <v>97.86</v>
      </c>
    </row>
    <row r="1952" spans="1:9" ht="30.75" collapsed="1" thickBot="1">
      <c r="A1952" s="854" t="s">
        <v>5223</v>
      </c>
      <c r="B1952" s="853" t="s">
        <v>5224</v>
      </c>
      <c r="C1952" s="463"/>
      <c r="D1952" s="853"/>
      <c r="E1952" s="852">
        <v>12230885600.33</v>
      </c>
      <c r="F1952" s="852">
        <v>11972577172.35</v>
      </c>
      <c r="G1952" s="852">
        <v>8276843331.9200001</v>
      </c>
      <c r="H1952" s="852">
        <v>8246452449.46</v>
      </c>
      <c r="I1952" s="465">
        <v>67.42</v>
      </c>
    </row>
    <row r="1953" spans="1:9" ht="25.5" hidden="1" outlineLevel="1">
      <c r="A1953" s="851" t="s">
        <v>1879</v>
      </c>
      <c r="B1953" s="467" t="s">
        <v>5225</v>
      </c>
      <c r="C1953" s="468"/>
      <c r="D1953" s="467"/>
      <c r="E1953" s="469">
        <v>8695243451.1900005</v>
      </c>
      <c r="F1953" s="469">
        <v>8499312327.1099997</v>
      </c>
      <c r="G1953" s="469">
        <v>5658491577.46</v>
      </c>
      <c r="H1953" s="469">
        <v>5640792041.3900003</v>
      </c>
      <c r="I1953" s="470">
        <v>64.87</v>
      </c>
    </row>
    <row r="1954" spans="1:9" ht="63.75" hidden="1" outlineLevel="2">
      <c r="A1954" s="850" t="s">
        <v>1881</v>
      </c>
      <c r="B1954" s="472" t="s">
        <v>5226</v>
      </c>
      <c r="C1954" s="473"/>
      <c r="D1954" s="472"/>
      <c r="E1954" s="474">
        <v>1631164604.21</v>
      </c>
      <c r="F1954" s="474">
        <v>1631164604.21</v>
      </c>
      <c r="G1954" s="474">
        <v>1517537988.1800001</v>
      </c>
      <c r="H1954" s="474">
        <v>1517537988.1800001</v>
      </c>
      <c r="I1954" s="475">
        <v>93.03</v>
      </c>
    </row>
    <row r="1955" spans="1:9" ht="25.5" hidden="1" outlineLevel="3">
      <c r="A1955" s="833" t="s">
        <v>1883</v>
      </c>
      <c r="B1955" s="477" t="s">
        <v>5227</v>
      </c>
      <c r="C1955" s="478"/>
      <c r="D1955" s="477"/>
      <c r="E1955" s="479">
        <v>131164604.20999999</v>
      </c>
      <c r="F1955" s="479">
        <v>131164604.20999999</v>
      </c>
      <c r="G1955" s="479">
        <v>38145965.18</v>
      </c>
      <c r="H1955" s="479">
        <v>38145965.18</v>
      </c>
      <c r="I1955" s="480">
        <v>29.08</v>
      </c>
    </row>
    <row r="1956" spans="1:9" ht="25.5" hidden="1" outlineLevel="4">
      <c r="A1956" s="832" t="s">
        <v>1883</v>
      </c>
      <c r="B1956" s="482" t="s">
        <v>5227</v>
      </c>
      <c r="C1956" s="831" t="s">
        <v>1568</v>
      </c>
      <c r="D1956" s="482" t="s">
        <v>1569</v>
      </c>
      <c r="E1956" s="484">
        <v>131164604.20999999</v>
      </c>
      <c r="F1956" s="484">
        <v>131164604.20999999</v>
      </c>
      <c r="G1956" s="484">
        <v>38145965.18</v>
      </c>
      <c r="H1956" s="484">
        <v>38145965.18</v>
      </c>
      <c r="I1956" s="480">
        <v>29.08</v>
      </c>
    </row>
    <row r="1957" spans="1:9" ht="63.75" hidden="1" outlineLevel="3">
      <c r="A1957" s="833" t="s">
        <v>5228</v>
      </c>
      <c r="B1957" s="477" t="s">
        <v>5229</v>
      </c>
      <c r="C1957" s="478"/>
      <c r="D1957" s="477"/>
      <c r="E1957" s="479">
        <v>1500000000</v>
      </c>
      <c r="F1957" s="479">
        <v>1500000000</v>
      </c>
      <c r="G1957" s="479">
        <v>1479392023</v>
      </c>
      <c r="H1957" s="479">
        <v>1479392023</v>
      </c>
      <c r="I1957" s="480">
        <v>98.63</v>
      </c>
    </row>
    <row r="1958" spans="1:9" ht="63.75" hidden="1" outlineLevel="4">
      <c r="A1958" s="832" t="s">
        <v>5228</v>
      </c>
      <c r="B1958" s="482" t="s">
        <v>5229</v>
      </c>
      <c r="C1958" s="831" t="s">
        <v>1568</v>
      </c>
      <c r="D1958" s="482" t="s">
        <v>1569</v>
      </c>
      <c r="E1958" s="484">
        <v>1500000000</v>
      </c>
      <c r="F1958" s="484">
        <v>1500000000</v>
      </c>
      <c r="G1958" s="484">
        <v>1479392023</v>
      </c>
      <c r="H1958" s="484">
        <v>1479392023</v>
      </c>
      <c r="I1958" s="480">
        <v>98.63</v>
      </c>
    </row>
    <row r="1959" spans="1:9" ht="63.75" hidden="1" outlineLevel="2">
      <c r="A1959" s="850" t="s">
        <v>1887</v>
      </c>
      <c r="B1959" s="472" t="s">
        <v>5230</v>
      </c>
      <c r="C1959" s="473"/>
      <c r="D1959" s="472"/>
      <c r="E1959" s="474">
        <v>2095135856.6199999</v>
      </c>
      <c r="F1959" s="474">
        <v>2095135856.6199999</v>
      </c>
      <c r="G1959" s="474">
        <v>1374697059.9000001</v>
      </c>
      <c r="H1959" s="474">
        <v>1373054848.0699999</v>
      </c>
      <c r="I1959" s="475">
        <v>65.540000000000006</v>
      </c>
    </row>
    <row r="1960" spans="1:9" ht="25.5" hidden="1" outlineLevel="3">
      <c r="A1960" s="833" t="s">
        <v>1883</v>
      </c>
      <c r="B1960" s="477" t="s">
        <v>5231</v>
      </c>
      <c r="C1960" s="478"/>
      <c r="D1960" s="477"/>
      <c r="E1960" s="479">
        <v>1933609656.6199999</v>
      </c>
      <c r="F1960" s="479">
        <v>1933609656.6199999</v>
      </c>
      <c r="G1960" s="479">
        <v>1213170859.9000001</v>
      </c>
      <c r="H1960" s="479">
        <v>1211528648.0699999</v>
      </c>
      <c r="I1960" s="480">
        <v>62.66</v>
      </c>
    </row>
    <row r="1961" spans="1:9" ht="25.5" hidden="1" outlineLevel="4">
      <c r="A1961" s="832" t="s">
        <v>1883</v>
      </c>
      <c r="B1961" s="482" t="s">
        <v>5231</v>
      </c>
      <c r="C1961" s="831" t="s">
        <v>1568</v>
      </c>
      <c r="D1961" s="482" t="s">
        <v>1569</v>
      </c>
      <c r="E1961" s="484">
        <v>1933609656.6199999</v>
      </c>
      <c r="F1961" s="484">
        <v>1933609656.6199999</v>
      </c>
      <c r="G1961" s="484">
        <v>1213170859.9000001</v>
      </c>
      <c r="H1961" s="484">
        <v>1211528648.0699999</v>
      </c>
      <c r="I1961" s="480">
        <v>62.66</v>
      </c>
    </row>
    <row r="1962" spans="1:9" ht="51" hidden="1" outlineLevel="3">
      <c r="A1962" s="833" t="s">
        <v>5232</v>
      </c>
      <c r="B1962" s="477" t="s">
        <v>5233</v>
      </c>
      <c r="C1962" s="478"/>
      <c r="D1962" s="477"/>
      <c r="E1962" s="479">
        <v>161526200</v>
      </c>
      <c r="F1962" s="479">
        <v>161526200</v>
      </c>
      <c r="G1962" s="479">
        <v>161526200</v>
      </c>
      <c r="H1962" s="479">
        <v>161526200</v>
      </c>
      <c r="I1962" s="480">
        <v>100</v>
      </c>
    </row>
    <row r="1963" spans="1:9" ht="51" hidden="1" outlineLevel="4">
      <c r="A1963" s="832" t="s">
        <v>5232</v>
      </c>
      <c r="B1963" s="482" t="s">
        <v>5233</v>
      </c>
      <c r="C1963" s="831" t="s">
        <v>1568</v>
      </c>
      <c r="D1963" s="482" t="s">
        <v>1569</v>
      </c>
      <c r="E1963" s="484">
        <v>161526200</v>
      </c>
      <c r="F1963" s="484">
        <v>161526200</v>
      </c>
      <c r="G1963" s="484">
        <v>161526200</v>
      </c>
      <c r="H1963" s="484">
        <v>161526200</v>
      </c>
      <c r="I1963" s="480">
        <v>100</v>
      </c>
    </row>
    <row r="1964" spans="1:9" ht="38.25" hidden="1" outlineLevel="2">
      <c r="A1964" s="850" t="s">
        <v>1890</v>
      </c>
      <c r="B1964" s="472" t="s">
        <v>5234</v>
      </c>
      <c r="C1964" s="473"/>
      <c r="D1964" s="472"/>
      <c r="E1964" s="474">
        <v>8627328.5</v>
      </c>
      <c r="F1964" s="474">
        <v>8627328.5</v>
      </c>
      <c r="G1964" s="474">
        <v>6168744.1900000004</v>
      </c>
      <c r="H1964" s="474">
        <v>6145793.7400000002</v>
      </c>
      <c r="I1964" s="475">
        <v>71.239999999999995</v>
      </c>
    </row>
    <row r="1965" spans="1:9" ht="25.5" hidden="1" outlineLevel="3">
      <c r="A1965" s="833" t="s">
        <v>1883</v>
      </c>
      <c r="B1965" s="477" t="s">
        <v>5235</v>
      </c>
      <c r="C1965" s="478"/>
      <c r="D1965" s="477"/>
      <c r="E1965" s="479">
        <v>8627328.5</v>
      </c>
      <c r="F1965" s="479">
        <v>8627328.5</v>
      </c>
      <c r="G1965" s="479">
        <v>6168744.1900000004</v>
      </c>
      <c r="H1965" s="479">
        <v>6145793.7400000002</v>
      </c>
      <c r="I1965" s="480">
        <v>71.239999999999995</v>
      </c>
    </row>
    <row r="1966" spans="1:9" ht="25.5" hidden="1" outlineLevel="4">
      <c r="A1966" s="832" t="s">
        <v>1883</v>
      </c>
      <c r="B1966" s="482" t="s">
        <v>5235</v>
      </c>
      <c r="C1966" s="831" t="s">
        <v>1568</v>
      </c>
      <c r="D1966" s="482" t="s">
        <v>1569</v>
      </c>
      <c r="E1966" s="484">
        <v>8627328.5</v>
      </c>
      <c r="F1966" s="484">
        <v>8627328.5</v>
      </c>
      <c r="G1966" s="484">
        <v>6168744.1900000004</v>
      </c>
      <c r="H1966" s="484">
        <v>6145793.7400000002</v>
      </c>
      <c r="I1966" s="480">
        <v>71.239999999999995</v>
      </c>
    </row>
    <row r="1967" spans="1:9" ht="38.25" hidden="1" outlineLevel="2">
      <c r="A1967" s="850" t="s">
        <v>1893</v>
      </c>
      <c r="B1967" s="472" t="s">
        <v>5236</v>
      </c>
      <c r="C1967" s="473"/>
      <c r="D1967" s="472"/>
      <c r="E1967" s="474">
        <v>1595107590.3399999</v>
      </c>
      <c r="F1967" s="474">
        <v>1399176466.26</v>
      </c>
      <c r="G1967" s="474">
        <v>597711375.39999998</v>
      </c>
      <c r="H1967" s="474">
        <v>597711375.39999998</v>
      </c>
      <c r="I1967" s="475">
        <v>37.47</v>
      </c>
    </row>
    <row r="1968" spans="1:9" ht="63.75" hidden="1" outlineLevel="3">
      <c r="A1968" s="833" t="s">
        <v>5237</v>
      </c>
      <c r="B1968" s="477" t="s">
        <v>5238</v>
      </c>
      <c r="C1968" s="478"/>
      <c r="D1968" s="477"/>
      <c r="E1968" s="479">
        <v>600000000</v>
      </c>
      <c r="F1968" s="479">
        <v>600000000</v>
      </c>
      <c r="G1968" s="479">
        <v>276073541.32999998</v>
      </c>
      <c r="H1968" s="479">
        <v>276073541.32999998</v>
      </c>
      <c r="I1968" s="480">
        <v>46.01</v>
      </c>
    </row>
    <row r="1969" spans="1:9" ht="63.75" hidden="1" outlineLevel="4">
      <c r="A1969" s="832" t="s">
        <v>5237</v>
      </c>
      <c r="B1969" s="482" t="s">
        <v>5238</v>
      </c>
      <c r="C1969" s="831" t="s">
        <v>1568</v>
      </c>
      <c r="D1969" s="482" t="s">
        <v>1569</v>
      </c>
      <c r="E1969" s="484">
        <v>600000000</v>
      </c>
      <c r="F1969" s="484">
        <v>600000000</v>
      </c>
      <c r="G1969" s="484">
        <v>276073541.32999998</v>
      </c>
      <c r="H1969" s="484">
        <v>276073541.32999998</v>
      </c>
      <c r="I1969" s="480">
        <v>46.01</v>
      </c>
    </row>
    <row r="1970" spans="1:9" ht="63.75" hidden="1" outlineLevel="3">
      <c r="A1970" s="833" t="s">
        <v>5239</v>
      </c>
      <c r="B1970" s="477" t="s">
        <v>5240</v>
      </c>
      <c r="C1970" s="478"/>
      <c r="D1970" s="477"/>
      <c r="E1970" s="479">
        <v>219984278.22</v>
      </c>
      <c r="F1970" s="479">
        <v>219781091.49000001</v>
      </c>
      <c r="G1970" s="479">
        <v>97981424.609999999</v>
      </c>
      <c r="H1970" s="479">
        <v>97981424.609999999</v>
      </c>
      <c r="I1970" s="480">
        <v>44.54</v>
      </c>
    </row>
    <row r="1971" spans="1:9" ht="63.75" hidden="1" outlineLevel="4">
      <c r="A1971" s="832" t="s">
        <v>5239</v>
      </c>
      <c r="B1971" s="482" t="s">
        <v>5240</v>
      </c>
      <c r="C1971" s="831" t="s">
        <v>1568</v>
      </c>
      <c r="D1971" s="482" t="s">
        <v>1569</v>
      </c>
      <c r="E1971" s="484">
        <v>219984278.22</v>
      </c>
      <c r="F1971" s="484">
        <v>219781091.49000001</v>
      </c>
      <c r="G1971" s="484">
        <v>97981424.609999999</v>
      </c>
      <c r="H1971" s="484">
        <v>97981424.609999999</v>
      </c>
      <c r="I1971" s="480">
        <v>44.54</v>
      </c>
    </row>
    <row r="1972" spans="1:9" ht="102" hidden="1" outlineLevel="3">
      <c r="A1972" s="833" t="s">
        <v>5241</v>
      </c>
      <c r="B1972" s="477" t="s">
        <v>5242</v>
      </c>
      <c r="C1972" s="478"/>
      <c r="D1972" s="477"/>
      <c r="E1972" s="479">
        <v>59513482.119999997</v>
      </c>
      <c r="F1972" s="479">
        <v>59513482.119999997</v>
      </c>
      <c r="G1972" s="479">
        <v>0</v>
      </c>
      <c r="H1972" s="479">
        <v>0</v>
      </c>
      <c r="I1972" s="480">
        <v>0</v>
      </c>
    </row>
    <row r="1973" spans="1:9" ht="102" hidden="1" outlineLevel="4">
      <c r="A1973" s="832" t="s">
        <v>5241</v>
      </c>
      <c r="B1973" s="482" t="s">
        <v>5242</v>
      </c>
      <c r="C1973" s="831" t="s">
        <v>1568</v>
      </c>
      <c r="D1973" s="482" t="s">
        <v>1569</v>
      </c>
      <c r="E1973" s="484">
        <v>59513482.119999997</v>
      </c>
      <c r="F1973" s="484">
        <v>59513482.119999997</v>
      </c>
      <c r="G1973" s="484">
        <v>0</v>
      </c>
      <c r="H1973" s="484">
        <v>0</v>
      </c>
      <c r="I1973" s="480">
        <v>0</v>
      </c>
    </row>
    <row r="1974" spans="1:9" ht="102" hidden="1" outlineLevel="3">
      <c r="A1974" s="833" t="s">
        <v>5243</v>
      </c>
      <c r="B1974" s="477" t="s">
        <v>5244</v>
      </c>
      <c r="C1974" s="478"/>
      <c r="D1974" s="477"/>
      <c r="E1974" s="479">
        <v>200000000</v>
      </c>
      <c r="F1974" s="479">
        <v>10573886.890000001</v>
      </c>
      <c r="G1974" s="479">
        <v>0</v>
      </c>
      <c r="H1974" s="479">
        <v>0</v>
      </c>
      <c r="I1974" s="480">
        <v>0</v>
      </c>
    </row>
    <row r="1975" spans="1:9" ht="102" hidden="1" outlineLevel="4">
      <c r="A1975" s="832" t="s">
        <v>5243</v>
      </c>
      <c r="B1975" s="482" t="s">
        <v>5244</v>
      </c>
      <c r="C1975" s="831" t="s">
        <v>1568</v>
      </c>
      <c r="D1975" s="482" t="s">
        <v>1569</v>
      </c>
      <c r="E1975" s="484">
        <v>200000000</v>
      </c>
      <c r="F1975" s="484">
        <v>10573886.890000001</v>
      </c>
      <c r="G1975" s="484">
        <v>0</v>
      </c>
      <c r="H1975" s="484">
        <v>0</v>
      </c>
      <c r="I1975" s="480">
        <v>0</v>
      </c>
    </row>
    <row r="1976" spans="1:9" ht="76.5" hidden="1" outlineLevel="3">
      <c r="A1976" s="833" t="s">
        <v>5245</v>
      </c>
      <c r="B1976" s="477" t="s">
        <v>5246</v>
      </c>
      <c r="C1976" s="478"/>
      <c r="D1976" s="477"/>
      <c r="E1976" s="479">
        <v>515609830</v>
      </c>
      <c r="F1976" s="479">
        <v>509308005.75999999</v>
      </c>
      <c r="G1976" s="479">
        <v>223656409.46000001</v>
      </c>
      <c r="H1976" s="479">
        <v>223656409.46000001</v>
      </c>
      <c r="I1976" s="480">
        <v>43.38</v>
      </c>
    </row>
    <row r="1977" spans="1:9" ht="76.5" hidden="1" outlineLevel="4">
      <c r="A1977" s="832" t="s">
        <v>5245</v>
      </c>
      <c r="B1977" s="482" t="s">
        <v>5246</v>
      </c>
      <c r="C1977" s="831" t="s">
        <v>1568</v>
      </c>
      <c r="D1977" s="482" t="s">
        <v>1569</v>
      </c>
      <c r="E1977" s="484">
        <v>515609830</v>
      </c>
      <c r="F1977" s="484">
        <v>509308005.75999999</v>
      </c>
      <c r="G1977" s="484">
        <v>223656409.46000001</v>
      </c>
      <c r="H1977" s="484">
        <v>223656409.46000001</v>
      </c>
      <c r="I1977" s="480">
        <v>43.38</v>
      </c>
    </row>
    <row r="1978" spans="1:9" ht="25.5" hidden="1" outlineLevel="2">
      <c r="A1978" s="850" t="s">
        <v>5247</v>
      </c>
      <c r="B1978" s="472" t="s">
        <v>5248</v>
      </c>
      <c r="C1978" s="473"/>
      <c r="D1978" s="472"/>
      <c r="E1978" s="474">
        <v>141023749.00999999</v>
      </c>
      <c r="F1978" s="474">
        <v>141023749.00999999</v>
      </c>
      <c r="G1978" s="474">
        <v>20628377.84</v>
      </c>
      <c r="H1978" s="474">
        <v>18111045.050000001</v>
      </c>
      <c r="I1978" s="475">
        <v>12.84</v>
      </c>
    </row>
    <row r="1979" spans="1:9" ht="25.5" hidden="1" outlineLevel="3">
      <c r="A1979" s="833" t="s">
        <v>1883</v>
      </c>
      <c r="B1979" s="477" t="s">
        <v>5249</v>
      </c>
      <c r="C1979" s="478"/>
      <c r="D1979" s="477"/>
      <c r="E1979" s="479">
        <v>141023749.00999999</v>
      </c>
      <c r="F1979" s="479">
        <v>141023749.00999999</v>
      </c>
      <c r="G1979" s="479">
        <v>20628377.84</v>
      </c>
      <c r="H1979" s="479">
        <v>18111045.050000001</v>
      </c>
      <c r="I1979" s="480">
        <v>12.84</v>
      </c>
    </row>
    <row r="1980" spans="1:9" ht="25.5" hidden="1" outlineLevel="4">
      <c r="A1980" s="832" t="s">
        <v>1883</v>
      </c>
      <c r="B1980" s="482" t="s">
        <v>5249</v>
      </c>
      <c r="C1980" s="831" t="s">
        <v>1568</v>
      </c>
      <c r="D1980" s="482" t="s">
        <v>1569</v>
      </c>
      <c r="E1980" s="484">
        <v>141023749.00999999</v>
      </c>
      <c r="F1980" s="484">
        <v>141023749.00999999</v>
      </c>
      <c r="G1980" s="484">
        <v>20628377.84</v>
      </c>
      <c r="H1980" s="484">
        <v>18111045.050000001</v>
      </c>
      <c r="I1980" s="480">
        <v>12.84</v>
      </c>
    </row>
    <row r="1981" spans="1:9" ht="25.5" hidden="1" outlineLevel="2">
      <c r="A1981" s="850" t="s">
        <v>5250</v>
      </c>
      <c r="B1981" s="472" t="s">
        <v>5251</v>
      </c>
      <c r="C1981" s="473"/>
      <c r="D1981" s="472"/>
      <c r="E1981" s="474">
        <v>10874617</v>
      </c>
      <c r="F1981" s="474">
        <v>10874617</v>
      </c>
      <c r="G1981" s="474">
        <v>0</v>
      </c>
      <c r="H1981" s="474">
        <v>0</v>
      </c>
      <c r="I1981" s="475">
        <v>0</v>
      </c>
    </row>
    <row r="1982" spans="1:9" ht="25.5" hidden="1" outlineLevel="3">
      <c r="A1982" s="833" t="s">
        <v>1883</v>
      </c>
      <c r="B1982" s="477" t="s">
        <v>5252</v>
      </c>
      <c r="C1982" s="478"/>
      <c r="D1982" s="477"/>
      <c r="E1982" s="479">
        <v>10874617</v>
      </c>
      <c r="F1982" s="479">
        <v>10874617</v>
      </c>
      <c r="G1982" s="479">
        <v>0</v>
      </c>
      <c r="H1982" s="479">
        <v>0</v>
      </c>
      <c r="I1982" s="480">
        <v>0</v>
      </c>
    </row>
    <row r="1983" spans="1:9" ht="25.5" hidden="1" outlineLevel="4">
      <c r="A1983" s="832" t="s">
        <v>1883</v>
      </c>
      <c r="B1983" s="482" t="s">
        <v>5252</v>
      </c>
      <c r="C1983" s="831" t="s">
        <v>1568</v>
      </c>
      <c r="D1983" s="482" t="s">
        <v>1569</v>
      </c>
      <c r="E1983" s="484">
        <v>10874617</v>
      </c>
      <c r="F1983" s="484">
        <v>10874617</v>
      </c>
      <c r="G1983" s="484">
        <v>0</v>
      </c>
      <c r="H1983" s="484">
        <v>0</v>
      </c>
      <c r="I1983" s="480">
        <v>0</v>
      </c>
    </row>
    <row r="1984" spans="1:9" hidden="1" outlineLevel="2">
      <c r="A1984" s="850" t="s">
        <v>1901</v>
      </c>
      <c r="B1984" s="472" t="s">
        <v>5253</v>
      </c>
      <c r="C1984" s="473"/>
      <c r="D1984" s="472"/>
      <c r="E1984" s="474">
        <v>3135384851.6100001</v>
      </c>
      <c r="F1984" s="474">
        <v>3135384851.6100001</v>
      </c>
      <c r="G1984" s="474">
        <v>2071656406.6800001</v>
      </c>
      <c r="H1984" s="474">
        <v>2060786271.03</v>
      </c>
      <c r="I1984" s="475">
        <v>65.73</v>
      </c>
    </row>
    <row r="1985" spans="1:9" ht="76.5" hidden="1" outlineLevel="3">
      <c r="A1985" s="833" t="s">
        <v>5254</v>
      </c>
      <c r="B1985" s="477" t="s">
        <v>5255</v>
      </c>
      <c r="C1985" s="478"/>
      <c r="D1985" s="477"/>
      <c r="E1985" s="479">
        <v>540000000</v>
      </c>
      <c r="F1985" s="479">
        <v>540000000</v>
      </c>
      <c r="G1985" s="479">
        <v>488729158.27999997</v>
      </c>
      <c r="H1985" s="479">
        <v>488729158.27999997</v>
      </c>
      <c r="I1985" s="480">
        <v>90.51</v>
      </c>
    </row>
    <row r="1986" spans="1:9" ht="76.5" hidden="1" outlineLevel="4">
      <c r="A1986" s="832" t="s">
        <v>5254</v>
      </c>
      <c r="B1986" s="482" t="s">
        <v>5255</v>
      </c>
      <c r="C1986" s="831" t="s">
        <v>1568</v>
      </c>
      <c r="D1986" s="482" t="s">
        <v>1569</v>
      </c>
      <c r="E1986" s="484">
        <v>540000000</v>
      </c>
      <c r="F1986" s="484">
        <v>540000000</v>
      </c>
      <c r="G1986" s="484">
        <v>488729158.27999997</v>
      </c>
      <c r="H1986" s="484">
        <v>488729158.27999997</v>
      </c>
      <c r="I1986" s="480">
        <v>90.51</v>
      </c>
    </row>
    <row r="1987" spans="1:9" ht="38.25" hidden="1" outlineLevel="3">
      <c r="A1987" s="833" t="s">
        <v>5256</v>
      </c>
      <c r="B1987" s="477" t="s">
        <v>5257</v>
      </c>
      <c r="C1987" s="478"/>
      <c r="D1987" s="477"/>
      <c r="E1987" s="479">
        <v>2145384851.6099999</v>
      </c>
      <c r="F1987" s="479">
        <v>2145384851.6099999</v>
      </c>
      <c r="G1987" s="479">
        <v>1384927248.4000001</v>
      </c>
      <c r="H1987" s="479">
        <v>1374057112.75</v>
      </c>
      <c r="I1987" s="480">
        <v>64.05</v>
      </c>
    </row>
    <row r="1988" spans="1:9" ht="38.25" hidden="1" outlineLevel="4">
      <c r="A1988" s="832" t="s">
        <v>5256</v>
      </c>
      <c r="B1988" s="482" t="s">
        <v>5257</v>
      </c>
      <c r="C1988" s="831" t="s">
        <v>1568</v>
      </c>
      <c r="D1988" s="482" t="s">
        <v>1569</v>
      </c>
      <c r="E1988" s="484">
        <v>2145384851.6099999</v>
      </c>
      <c r="F1988" s="484">
        <v>2145384851.6099999</v>
      </c>
      <c r="G1988" s="484">
        <v>1384927248.4000001</v>
      </c>
      <c r="H1988" s="484">
        <v>1374057112.75</v>
      </c>
      <c r="I1988" s="480">
        <v>64.05</v>
      </c>
    </row>
    <row r="1989" spans="1:9" ht="38.25" hidden="1" outlineLevel="3">
      <c r="A1989" s="833" t="s">
        <v>5256</v>
      </c>
      <c r="B1989" s="477" t="s">
        <v>5258</v>
      </c>
      <c r="C1989" s="478"/>
      <c r="D1989" s="477"/>
      <c r="E1989" s="479">
        <v>450000000</v>
      </c>
      <c r="F1989" s="479">
        <v>450000000</v>
      </c>
      <c r="G1989" s="479">
        <v>198000000</v>
      </c>
      <c r="H1989" s="479">
        <v>198000000</v>
      </c>
      <c r="I1989" s="480">
        <v>44</v>
      </c>
    </row>
    <row r="1990" spans="1:9" ht="38.25" hidden="1" outlineLevel="4">
      <c r="A1990" s="832" t="s">
        <v>5256</v>
      </c>
      <c r="B1990" s="482" t="s">
        <v>5258</v>
      </c>
      <c r="C1990" s="831" t="s">
        <v>1568</v>
      </c>
      <c r="D1990" s="482" t="s">
        <v>1569</v>
      </c>
      <c r="E1990" s="484">
        <v>450000000</v>
      </c>
      <c r="F1990" s="484">
        <v>450000000</v>
      </c>
      <c r="G1990" s="484">
        <v>198000000</v>
      </c>
      <c r="H1990" s="484">
        <v>198000000</v>
      </c>
      <c r="I1990" s="480">
        <v>44</v>
      </c>
    </row>
    <row r="1991" spans="1:9" ht="25.5" hidden="1" outlineLevel="2">
      <c r="A1991" s="850" t="s">
        <v>1905</v>
      </c>
      <c r="B1991" s="472" t="s">
        <v>5259</v>
      </c>
      <c r="C1991" s="473"/>
      <c r="D1991" s="472"/>
      <c r="E1991" s="474">
        <v>77924853.900000006</v>
      </c>
      <c r="F1991" s="474">
        <v>77924853.900000006</v>
      </c>
      <c r="G1991" s="474">
        <v>70091625.269999996</v>
      </c>
      <c r="H1991" s="474">
        <v>67444719.920000002</v>
      </c>
      <c r="I1991" s="475">
        <v>86.55</v>
      </c>
    </row>
    <row r="1992" spans="1:9" ht="76.5" hidden="1" outlineLevel="3">
      <c r="A1992" s="833" t="s">
        <v>5260</v>
      </c>
      <c r="B1992" s="477" t="s">
        <v>5261</v>
      </c>
      <c r="C1992" s="478"/>
      <c r="D1992" s="477"/>
      <c r="E1992" s="479">
        <v>60927166.530000001</v>
      </c>
      <c r="F1992" s="479">
        <v>60927166.530000001</v>
      </c>
      <c r="G1992" s="479">
        <v>60927166.530000001</v>
      </c>
      <c r="H1992" s="479">
        <v>60927166.530000001</v>
      </c>
      <c r="I1992" s="480">
        <v>100</v>
      </c>
    </row>
    <row r="1993" spans="1:9" ht="76.5" hidden="1" outlineLevel="4">
      <c r="A1993" s="832" t="s">
        <v>5260</v>
      </c>
      <c r="B1993" s="482" t="s">
        <v>5261</v>
      </c>
      <c r="C1993" s="831" t="s">
        <v>1568</v>
      </c>
      <c r="D1993" s="482" t="s">
        <v>1569</v>
      </c>
      <c r="E1993" s="484">
        <v>60927166.530000001</v>
      </c>
      <c r="F1993" s="484">
        <v>60927166.530000001</v>
      </c>
      <c r="G1993" s="484">
        <v>60927166.530000001</v>
      </c>
      <c r="H1993" s="484">
        <v>60927166.530000001</v>
      </c>
      <c r="I1993" s="480">
        <v>100</v>
      </c>
    </row>
    <row r="1994" spans="1:9" ht="25.5" hidden="1" outlineLevel="3">
      <c r="A1994" s="833" t="s">
        <v>5262</v>
      </c>
      <c r="B1994" s="477" t="s">
        <v>5263</v>
      </c>
      <c r="C1994" s="478"/>
      <c r="D1994" s="477"/>
      <c r="E1994" s="479">
        <v>16997687.370000001</v>
      </c>
      <c r="F1994" s="479">
        <v>16997687.370000001</v>
      </c>
      <c r="G1994" s="479">
        <v>9164458.7400000002</v>
      </c>
      <c r="H1994" s="479">
        <v>6517553.3899999997</v>
      </c>
      <c r="I1994" s="480">
        <v>38.340000000000003</v>
      </c>
    </row>
    <row r="1995" spans="1:9" ht="25.5" hidden="1" outlineLevel="4">
      <c r="A1995" s="832" t="s">
        <v>5262</v>
      </c>
      <c r="B1995" s="482" t="s">
        <v>5263</v>
      </c>
      <c r="C1995" s="831" t="s">
        <v>1568</v>
      </c>
      <c r="D1995" s="482" t="s">
        <v>1569</v>
      </c>
      <c r="E1995" s="484">
        <v>16997687.370000001</v>
      </c>
      <c r="F1995" s="484">
        <v>16997687.370000001</v>
      </c>
      <c r="G1995" s="484">
        <v>9164458.7400000002</v>
      </c>
      <c r="H1995" s="484">
        <v>6517553.3899999997</v>
      </c>
      <c r="I1995" s="480">
        <v>38.340000000000003</v>
      </c>
    </row>
    <row r="1996" spans="1:9" ht="51" hidden="1" outlineLevel="1">
      <c r="A1996" s="851" t="s">
        <v>1911</v>
      </c>
      <c r="B1996" s="467" t="s">
        <v>5264</v>
      </c>
      <c r="C1996" s="468"/>
      <c r="D1996" s="467"/>
      <c r="E1996" s="469">
        <v>2930657787.1500001</v>
      </c>
      <c r="F1996" s="469">
        <v>2927744724.3099999</v>
      </c>
      <c r="G1996" s="469">
        <v>2228787390.52</v>
      </c>
      <c r="H1996" s="469">
        <v>2228787390.52</v>
      </c>
      <c r="I1996" s="470">
        <v>76.05</v>
      </c>
    </row>
    <row r="1997" spans="1:9" ht="51" hidden="1" outlineLevel="2">
      <c r="A1997" s="850" t="s">
        <v>1913</v>
      </c>
      <c r="B1997" s="472" t="s">
        <v>5265</v>
      </c>
      <c r="C1997" s="473"/>
      <c r="D1997" s="472"/>
      <c r="E1997" s="474">
        <v>34570477.689999998</v>
      </c>
      <c r="F1997" s="474">
        <v>34570477.689999998</v>
      </c>
      <c r="G1997" s="474">
        <v>27099397.559999999</v>
      </c>
      <c r="H1997" s="474">
        <v>27099397.559999999</v>
      </c>
      <c r="I1997" s="475">
        <v>78.39</v>
      </c>
    </row>
    <row r="1998" spans="1:9" ht="102" hidden="1" outlineLevel="3">
      <c r="A1998" s="833" t="s">
        <v>5266</v>
      </c>
      <c r="B1998" s="477" t="s">
        <v>5267</v>
      </c>
      <c r="C1998" s="478"/>
      <c r="D1998" s="477"/>
      <c r="E1998" s="479">
        <v>31314964.690000001</v>
      </c>
      <c r="F1998" s="479">
        <v>31314964.690000001</v>
      </c>
      <c r="G1998" s="479">
        <v>24008599.559999999</v>
      </c>
      <c r="H1998" s="479">
        <v>24008599.559999999</v>
      </c>
      <c r="I1998" s="480">
        <v>76.67</v>
      </c>
    </row>
    <row r="1999" spans="1:9" ht="102" hidden="1" outlineLevel="4">
      <c r="A1999" s="832" t="s">
        <v>5266</v>
      </c>
      <c r="B1999" s="482" t="s">
        <v>5267</v>
      </c>
      <c r="C1999" s="831" t="s">
        <v>1568</v>
      </c>
      <c r="D1999" s="482" t="s">
        <v>1569</v>
      </c>
      <c r="E1999" s="484">
        <v>31314964.690000001</v>
      </c>
      <c r="F1999" s="484">
        <v>31314964.690000001</v>
      </c>
      <c r="G1999" s="484">
        <v>24008599.559999999</v>
      </c>
      <c r="H1999" s="484">
        <v>24008599.559999999</v>
      </c>
      <c r="I1999" s="480">
        <v>76.67</v>
      </c>
    </row>
    <row r="2000" spans="1:9" ht="114.75" hidden="1" outlineLevel="3">
      <c r="A2000" s="833" t="s">
        <v>5268</v>
      </c>
      <c r="B2000" s="477" t="s">
        <v>5269</v>
      </c>
      <c r="C2000" s="478"/>
      <c r="D2000" s="477"/>
      <c r="E2000" s="479">
        <v>931262</v>
      </c>
      <c r="F2000" s="479">
        <v>931262</v>
      </c>
      <c r="G2000" s="479">
        <v>766547</v>
      </c>
      <c r="H2000" s="479">
        <v>766547</v>
      </c>
      <c r="I2000" s="480">
        <v>82.31</v>
      </c>
    </row>
    <row r="2001" spans="1:9" ht="114.75" hidden="1" outlineLevel="4">
      <c r="A2001" s="832" t="s">
        <v>5268</v>
      </c>
      <c r="B2001" s="482" t="s">
        <v>5269</v>
      </c>
      <c r="C2001" s="831" t="s">
        <v>1568</v>
      </c>
      <c r="D2001" s="482" t="s">
        <v>1569</v>
      </c>
      <c r="E2001" s="484">
        <v>931262</v>
      </c>
      <c r="F2001" s="484">
        <v>931262</v>
      </c>
      <c r="G2001" s="484">
        <v>766547</v>
      </c>
      <c r="H2001" s="484">
        <v>766547</v>
      </c>
      <c r="I2001" s="480">
        <v>82.31</v>
      </c>
    </row>
    <row r="2002" spans="1:9" ht="153" hidden="1" outlineLevel="3">
      <c r="A2002" s="833" t="s">
        <v>5270</v>
      </c>
      <c r="B2002" s="477" t="s">
        <v>5271</v>
      </c>
      <c r="C2002" s="478"/>
      <c r="D2002" s="477"/>
      <c r="E2002" s="479">
        <v>2324251</v>
      </c>
      <c r="F2002" s="479">
        <v>2324251</v>
      </c>
      <c r="G2002" s="479">
        <v>2324251</v>
      </c>
      <c r="H2002" s="479">
        <v>2324251</v>
      </c>
      <c r="I2002" s="480">
        <v>100</v>
      </c>
    </row>
    <row r="2003" spans="1:9" ht="153" hidden="1" outlineLevel="4">
      <c r="A2003" s="832" t="s">
        <v>5270</v>
      </c>
      <c r="B2003" s="482" t="s">
        <v>5271</v>
      </c>
      <c r="C2003" s="831" t="s">
        <v>1568</v>
      </c>
      <c r="D2003" s="482" t="s">
        <v>1569</v>
      </c>
      <c r="E2003" s="484">
        <v>2324251</v>
      </c>
      <c r="F2003" s="484">
        <v>2324251</v>
      </c>
      <c r="G2003" s="484">
        <v>2324251</v>
      </c>
      <c r="H2003" s="484">
        <v>2324251</v>
      </c>
      <c r="I2003" s="480">
        <v>100</v>
      </c>
    </row>
    <row r="2004" spans="1:9" ht="51" hidden="1" outlineLevel="2">
      <c r="A2004" s="850" t="s">
        <v>1921</v>
      </c>
      <c r="B2004" s="472" t="s">
        <v>5272</v>
      </c>
      <c r="C2004" s="473"/>
      <c r="D2004" s="472"/>
      <c r="E2004" s="474">
        <v>2390627858.4400001</v>
      </c>
      <c r="F2004" s="474">
        <v>2387714795.5999999</v>
      </c>
      <c r="G2004" s="474">
        <v>1819357993.95</v>
      </c>
      <c r="H2004" s="474">
        <v>1819357993.95</v>
      </c>
      <c r="I2004" s="475">
        <v>76.099999999999994</v>
      </c>
    </row>
    <row r="2005" spans="1:9" ht="25.5" hidden="1" outlineLevel="3">
      <c r="A2005" s="833" t="s">
        <v>713</v>
      </c>
      <c r="B2005" s="477" t="s">
        <v>5273</v>
      </c>
      <c r="C2005" s="478"/>
      <c r="D2005" s="477"/>
      <c r="E2005" s="479">
        <v>1693816333.3</v>
      </c>
      <c r="F2005" s="479">
        <v>1690903270.46</v>
      </c>
      <c r="G2005" s="479">
        <v>1251509669.2</v>
      </c>
      <c r="H2005" s="479">
        <v>1251509669.2</v>
      </c>
      <c r="I2005" s="480">
        <v>73.89</v>
      </c>
    </row>
    <row r="2006" spans="1:9" ht="25.5" hidden="1" outlineLevel="4">
      <c r="A2006" s="832" t="s">
        <v>713</v>
      </c>
      <c r="B2006" s="482" t="s">
        <v>5273</v>
      </c>
      <c r="C2006" s="831" t="s">
        <v>1568</v>
      </c>
      <c r="D2006" s="482" t="s">
        <v>1569</v>
      </c>
      <c r="E2006" s="484">
        <v>1693816333.3</v>
      </c>
      <c r="F2006" s="484">
        <v>1690903270.46</v>
      </c>
      <c r="G2006" s="484">
        <v>1251509669.2</v>
      </c>
      <c r="H2006" s="484">
        <v>1251509669.2</v>
      </c>
      <c r="I2006" s="480">
        <v>73.89</v>
      </c>
    </row>
    <row r="2007" spans="1:9" ht="51" hidden="1" outlineLevel="3">
      <c r="A2007" s="833" t="s">
        <v>4624</v>
      </c>
      <c r="B2007" s="477" t="s">
        <v>5274</v>
      </c>
      <c r="C2007" s="478"/>
      <c r="D2007" s="477"/>
      <c r="E2007" s="479">
        <v>2931858.17</v>
      </c>
      <c r="F2007" s="479">
        <v>2931858.17</v>
      </c>
      <c r="G2007" s="479">
        <v>2122910.88</v>
      </c>
      <c r="H2007" s="479">
        <v>2122910.88</v>
      </c>
      <c r="I2007" s="480">
        <v>72.41</v>
      </c>
    </row>
    <row r="2008" spans="1:9" ht="51" hidden="1" outlineLevel="4">
      <c r="A2008" s="832" t="s">
        <v>4624</v>
      </c>
      <c r="B2008" s="482" t="s">
        <v>5274</v>
      </c>
      <c r="C2008" s="831" t="s">
        <v>1568</v>
      </c>
      <c r="D2008" s="482" t="s">
        <v>1569</v>
      </c>
      <c r="E2008" s="484">
        <v>2931858.17</v>
      </c>
      <c r="F2008" s="484">
        <v>2931858.17</v>
      </c>
      <c r="G2008" s="484">
        <v>2122910.88</v>
      </c>
      <c r="H2008" s="484">
        <v>2122910.88</v>
      </c>
      <c r="I2008" s="480">
        <v>72.41</v>
      </c>
    </row>
    <row r="2009" spans="1:9" ht="114.75" hidden="1" outlineLevel="3">
      <c r="A2009" s="833" t="s">
        <v>5275</v>
      </c>
      <c r="B2009" s="477" t="s">
        <v>5276</v>
      </c>
      <c r="C2009" s="478"/>
      <c r="D2009" s="477"/>
      <c r="E2009" s="479">
        <v>300000000</v>
      </c>
      <c r="F2009" s="479">
        <v>300000000</v>
      </c>
      <c r="G2009" s="479">
        <v>300000000</v>
      </c>
      <c r="H2009" s="479">
        <v>300000000</v>
      </c>
      <c r="I2009" s="480">
        <v>100</v>
      </c>
    </row>
    <row r="2010" spans="1:9" ht="114.75" hidden="1" outlineLevel="4">
      <c r="A2010" s="832" t="s">
        <v>5275</v>
      </c>
      <c r="B2010" s="482" t="s">
        <v>5276</v>
      </c>
      <c r="C2010" s="831" t="s">
        <v>1568</v>
      </c>
      <c r="D2010" s="482" t="s">
        <v>1569</v>
      </c>
      <c r="E2010" s="484">
        <v>300000000</v>
      </c>
      <c r="F2010" s="484">
        <v>300000000</v>
      </c>
      <c r="G2010" s="484">
        <v>300000000</v>
      </c>
      <c r="H2010" s="484">
        <v>300000000</v>
      </c>
      <c r="I2010" s="480">
        <v>100</v>
      </c>
    </row>
    <row r="2011" spans="1:9" ht="140.25" hidden="1" outlineLevel="3">
      <c r="A2011" s="833" t="s">
        <v>5277</v>
      </c>
      <c r="B2011" s="477" t="s">
        <v>5278</v>
      </c>
      <c r="C2011" s="478"/>
      <c r="D2011" s="477"/>
      <c r="E2011" s="479">
        <v>104647708.97</v>
      </c>
      <c r="F2011" s="479">
        <v>104647708.97</v>
      </c>
      <c r="G2011" s="479">
        <v>64060126.030000001</v>
      </c>
      <c r="H2011" s="479">
        <v>64060126.030000001</v>
      </c>
      <c r="I2011" s="480">
        <v>61.22</v>
      </c>
    </row>
    <row r="2012" spans="1:9" ht="140.25" hidden="1" outlineLevel="4">
      <c r="A2012" s="832" t="s">
        <v>5277</v>
      </c>
      <c r="B2012" s="482" t="s">
        <v>5278</v>
      </c>
      <c r="C2012" s="831" t="s">
        <v>1568</v>
      </c>
      <c r="D2012" s="482" t="s">
        <v>1569</v>
      </c>
      <c r="E2012" s="484">
        <v>104647708.97</v>
      </c>
      <c r="F2012" s="484">
        <v>104647708.97</v>
      </c>
      <c r="G2012" s="484">
        <v>64060126.030000001</v>
      </c>
      <c r="H2012" s="484">
        <v>64060126.030000001</v>
      </c>
      <c r="I2012" s="480">
        <v>61.22</v>
      </c>
    </row>
    <row r="2013" spans="1:9" ht="114.75" hidden="1" outlineLevel="3">
      <c r="A2013" s="833" t="s">
        <v>5279</v>
      </c>
      <c r="B2013" s="477" t="s">
        <v>5280</v>
      </c>
      <c r="C2013" s="478"/>
      <c r="D2013" s="477"/>
      <c r="E2013" s="479">
        <v>289231958</v>
      </c>
      <c r="F2013" s="479">
        <v>289231958</v>
      </c>
      <c r="G2013" s="479">
        <v>201665287.84</v>
      </c>
      <c r="H2013" s="479">
        <v>201665287.84</v>
      </c>
      <c r="I2013" s="480">
        <v>69.72</v>
      </c>
    </row>
    <row r="2014" spans="1:9" ht="114.75" hidden="1" outlineLevel="4">
      <c r="A2014" s="832" t="s">
        <v>5279</v>
      </c>
      <c r="B2014" s="482" t="s">
        <v>5280</v>
      </c>
      <c r="C2014" s="831" t="s">
        <v>1568</v>
      </c>
      <c r="D2014" s="482" t="s">
        <v>1569</v>
      </c>
      <c r="E2014" s="484">
        <v>289231958</v>
      </c>
      <c r="F2014" s="484">
        <v>289231958</v>
      </c>
      <c r="G2014" s="484">
        <v>201665287.84</v>
      </c>
      <c r="H2014" s="484">
        <v>201665287.84</v>
      </c>
      <c r="I2014" s="480">
        <v>69.72</v>
      </c>
    </row>
    <row r="2015" spans="1:9" ht="51" hidden="1" outlineLevel="2">
      <c r="A2015" s="850" t="s">
        <v>5281</v>
      </c>
      <c r="B2015" s="472" t="s">
        <v>5282</v>
      </c>
      <c r="C2015" s="473"/>
      <c r="D2015" s="472"/>
      <c r="E2015" s="474">
        <v>384356613.24000001</v>
      </c>
      <c r="F2015" s="474">
        <v>384356613.24000001</v>
      </c>
      <c r="G2015" s="474">
        <v>287530377.44</v>
      </c>
      <c r="H2015" s="474">
        <v>287530377.44</v>
      </c>
      <c r="I2015" s="475">
        <v>74.81</v>
      </c>
    </row>
    <row r="2016" spans="1:9" ht="63.75" hidden="1" outlineLevel="3">
      <c r="A2016" s="833" t="s">
        <v>5283</v>
      </c>
      <c r="B2016" s="477" t="s">
        <v>5284</v>
      </c>
      <c r="C2016" s="478"/>
      <c r="D2016" s="477"/>
      <c r="E2016" s="479">
        <v>288289476.25</v>
      </c>
      <c r="F2016" s="479">
        <v>288289476.25</v>
      </c>
      <c r="G2016" s="479">
        <v>209938100</v>
      </c>
      <c r="H2016" s="479">
        <v>209938100</v>
      </c>
      <c r="I2016" s="480">
        <v>72.819999999999993</v>
      </c>
    </row>
    <row r="2017" spans="1:9" ht="63.75" hidden="1" outlineLevel="4">
      <c r="A2017" s="832" t="s">
        <v>5283</v>
      </c>
      <c r="B2017" s="482" t="s">
        <v>5284</v>
      </c>
      <c r="C2017" s="831" t="s">
        <v>1568</v>
      </c>
      <c r="D2017" s="482" t="s">
        <v>1569</v>
      </c>
      <c r="E2017" s="484">
        <v>288289476.25</v>
      </c>
      <c r="F2017" s="484">
        <v>288289476.25</v>
      </c>
      <c r="G2017" s="484">
        <v>209938100</v>
      </c>
      <c r="H2017" s="484">
        <v>209938100</v>
      </c>
      <c r="I2017" s="480">
        <v>72.819999999999993</v>
      </c>
    </row>
    <row r="2018" spans="1:9" ht="63.75" hidden="1" outlineLevel="3">
      <c r="A2018" s="833" t="s">
        <v>5285</v>
      </c>
      <c r="B2018" s="477" t="s">
        <v>5286</v>
      </c>
      <c r="C2018" s="478"/>
      <c r="D2018" s="477"/>
      <c r="E2018" s="479">
        <v>18687473.75</v>
      </c>
      <c r="F2018" s="479">
        <v>18687473.75</v>
      </c>
      <c r="G2018" s="479">
        <v>14468522.24</v>
      </c>
      <c r="H2018" s="479">
        <v>14468522.24</v>
      </c>
      <c r="I2018" s="480">
        <v>77.42</v>
      </c>
    </row>
    <row r="2019" spans="1:9" ht="63.75" hidden="1" outlineLevel="4">
      <c r="A2019" s="832" t="s">
        <v>5285</v>
      </c>
      <c r="B2019" s="482" t="s">
        <v>5286</v>
      </c>
      <c r="C2019" s="831" t="s">
        <v>1568</v>
      </c>
      <c r="D2019" s="482" t="s">
        <v>1569</v>
      </c>
      <c r="E2019" s="484">
        <v>18687473.75</v>
      </c>
      <c r="F2019" s="484">
        <v>18687473.75</v>
      </c>
      <c r="G2019" s="484">
        <v>14468522.24</v>
      </c>
      <c r="H2019" s="484">
        <v>14468522.24</v>
      </c>
      <c r="I2019" s="480">
        <v>77.42</v>
      </c>
    </row>
    <row r="2020" spans="1:9" ht="38.25" hidden="1" outlineLevel="3">
      <c r="A2020" s="833" t="s">
        <v>1938</v>
      </c>
      <c r="B2020" s="477" t="s">
        <v>5287</v>
      </c>
      <c r="C2020" s="478"/>
      <c r="D2020" s="477"/>
      <c r="E2020" s="479">
        <v>77379663.239999995</v>
      </c>
      <c r="F2020" s="479">
        <v>77379663.239999995</v>
      </c>
      <c r="G2020" s="479">
        <v>63123755.200000003</v>
      </c>
      <c r="H2020" s="479">
        <v>63123755.200000003</v>
      </c>
      <c r="I2020" s="480">
        <v>81.58</v>
      </c>
    </row>
    <row r="2021" spans="1:9" ht="38.25" hidden="1" outlineLevel="4">
      <c r="A2021" s="832" t="s">
        <v>1938</v>
      </c>
      <c r="B2021" s="482" t="s">
        <v>5287</v>
      </c>
      <c r="C2021" s="831" t="s">
        <v>1568</v>
      </c>
      <c r="D2021" s="482" t="s">
        <v>1569</v>
      </c>
      <c r="E2021" s="484">
        <v>77379663.239999995</v>
      </c>
      <c r="F2021" s="484">
        <v>77379663.239999995</v>
      </c>
      <c r="G2021" s="484">
        <v>63123755.200000003</v>
      </c>
      <c r="H2021" s="484">
        <v>63123755.200000003</v>
      </c>
      <c r="I2021" s="480">
        <v>81.58</v>
      </c>
    </row>
    <row r="2022" spans="1:9" ht="25.5" hidden="1" outlineLevel="2">
      <c r="A2022" s="850" t="s">
        <v>1940</v>
      </c>
      <c r="B2022" s="472" t="s">
        <v>5288</v>
      </c>
      <c r="C2022" s="473"/>
      <c r="D2022" s="472"/>
      <c r="E2022" s="474">
        <v>121102837.78</v>
      </c>
      <c r="F2022" s="474">
        <v>121102837.78</v>
      </c>
      <c r="G2022" s="474">
        <v>94799621.569999993</v>
      </c>
      <c r="H2022" s="474">
        <v>94799621.569999993</v>
      </c>
      <c r="I2022" s="475">
        <v>78.28</v>
      </c>
    </row>
    <row r="2023" spans="1:9" ht="38.25" hidden="1" outlineLevel="3">
      <c r="A2023" s="833" t="s">
        <v>5289</v>
      </c>
      <c r="B2023" s="477" t="s">
        <v>5290</v>
      </c>
      <c r="C2023" s="478"/>
      <c r="D2023" s="477"/>
      <c r="E2023" s="479">
        <v>39210464.700000003</v>
      </c>
      <c r="F2023" s="479">
        <v>39210464.700000003</v>
      </c>
      <c r="G2023" s="479">
        <v>37801336.640000001</v>
      </c>
      <c r="H2023" s="479">
        <v>37801336.640000001</v>
      </c>
      <c r="I2023" s="480">
        <v>96.41</v>
      </c>
    </row>
    <row r="2024" spans="1:9" ht="38.25" hidden="1" outlineLevel="4">
      <c r="A2024" s="832" t="s">
        <v>5289</v>
      </c>
      <c r="B2024" s="482" t="s">
        <v>5290</v>
      </c>
      <c r="C2024" s="831" t="s">
        <v>1568</v>
      </c>
      <c r="D2024" s="482" t="s">
        <v>1569</v>
      </c>
      <c r="E2024" s="484">
        <v>39210464.700000003</v>
      </c>
      <c r="F2024" s="484">
        <v>39210464.700000003</v>
      </c>
      <c r="G2024" s="484">
        <v>37801336.640000001</v>
      </c>
      <c r="H2024" s="484">
        <v>37801336.640000001</v>
      </c>
      <c r="I2024" s="480">
        <v>96.41</v>
      </c>
    </row>
    <row r="2025" spans="1:9" ht="63.75" hidden="1" outlineLevel="3">
      <c r="A2025" s="833" t="s">
        <v>5291</v>
      </c>
      <c r="B2025" s="477" t="s">
        <v>5292</v>
      </c>
      <c r="C2025" s="478"/>
      <c r="D2025" s="477"/>
      <c r="E2025" s="479">
        <v>81892373.079999998</v>
      </c>
      <c r="F2025" s="479">
        <v>81892373.079999998</v>
      </c>
      <c r="G2025" s="479">
        <v>56998284.93</v>
      </c>
      <c r="H2025" s="479">
        <v>56998284.93</v>
      </c>
      <c r="I2025" s="480">
        <v>69.599999999999994</v>
      </c>
    </row>
    <row r="2026" spans="1:9" ht="63.75" hidden="1" outlineLevel="4">
      <c r="A2026" s="832" t="s">
        <v>5291</v>
      </c>
      <c r="B2026" s="482" t="s">
        <v>5292</v>
      </c>
      <c r="C2026" s="831" t="s">
        <v>1568</v>
      </c>
      <c r="D2026" s="482" t="s">
        <v>1569</v>
      </c>
      <c r="E2026" s="484">
        <v>81892373.079999998</v>
      </c>
      <c r="F2026" s="484">
        <v>81892373.079999998</v>
      </c>
      <c r="G2026" s="484">
        <v>56998284.93</v>
      </c>
      <c r="H2026" s="484">
        <v>56998284.93</v>
      </c>
      <c r="I2026" s="480">
        <v>69.599999999999994</v>
      </c>
    </row>
    <row r="2027" spans="1:9" ht="51" hidden="1" outlineLevel="1">
      <c r="A2027" s="851" t="s">
        <v>1943</v>
      </c>
      <c r="B2027" s="467" t="s">
        <v>5293</v>
      </c>
      <c r="C2027" s="468"/>
      <c r="D2027" s="467"/>
      <c r="E2027" s="469">
        <v>119612915.84</v>
      </c>
      <c r="F2027" s="469">
        <v>119612915.84</v>
      </c>
      <c r="G2027" s="469">
        <v>52712728.5</v>
      </c>
      <c r="H2027" s="469">
        <v>52624292.210000001</v>
      </c>
      <c r="I2027" s="470">
        <v>44</v>
      </c>
    </row>
    <row r="2028" spans="1:9" ht="51" hidden="1" outlineLevel="2">
      <c r="A2028" s="850" t="s">
        <v>5294</v>
      </c>
      <c r="B2028" s="472" t="s">
        <v>5295</v>
      </c>
      <c r="C2028" s="473"/>
      <c r="D2028" s="472"/>
      <c r="E2028" s="474">
        <v>115368455.84</v>
      </c>
      <c r="F2028" s="474">
        <v>115368455.84</v>
      </c>
      <c r="G2028" s="474">
        <v>52278268.5</v>
      </c>
      <c r="H2028" s="474">
        <v>52189832.210000001</v>
      </c>
      <c r="I2028" s="475">
        <v>45.24</v>
      </c>
    </row>
    <row r="2029" spans="1:9" ht="25.5" hidden="1" outlineLevel="3">
      <c r="A2029" s="833" t="s">
        <v>1883</v>
      </c>
      <c r="B2029" s="477" t="s">
        <v>5296</v>
      </c>
      <c r="C2029" s="478"/>
      <c r="D2029" s="477"/>
      <c r="E2029" s="479">
        <v>112833955.84</v>
      </c>
      <c r="F2029" s="479">
        <v>112833955.84</v>
      </c>
      <c r="G2029" s="479">
        <v>51971768.5</v>
      </c>
      <c r="H2029" s="479">
        <v>51883332.210000001</v>
      </c>
      <c r="I2029" s="480">
        <v>45.98</v>
      </c>
    </row>
    <row r="2030" spans="1:9" ht="25.5" hidden="1" outlineLevel="4">
      <c r="A2030" s="832" t="s">
        <v>1883</v>
      </c>
      <c r="B2030" s="482" t="s">
        <v>5296</v>
      </c>
      <c r="C2030" s="831" t="s">
        <v>1568</v>
      </c>
      <c r="D2030" s="482" t="s">
        <v>1569</v>
      </c>
      <c r="E2030" s="484">
        <v>112833955.84</v>
      </c>
      <c r="F2030" s="484">
        <v>112833955.84</v>
      </c>
      <c r="G2030" s="484">
        <v>51971768.5</v>
      </c>
      <c r="H2030" s="484">
        <v>51883332.210000001</v>
      </c>
      <c r="I2030" s="480">
        <v>45.98</v>
      </c>
    </row>
    <row r="2031" spans="1:9" ht="102" hidden="1" outlineLevel="3">
      <c r="A2031" s="833" t="s">
        <v>1950</v>
      </c>
      <c r="B2031" s="477" t="s">
        <v>5297</v>
      </c>
      <c r="C2031" s="478"/>
      <c r="D2031" s="477"/>
      <c r="E2031" s="479">
        <v>2534500</v>
      </c>
      <c r="F2031" s="479">
        <v>2534500</v>
      </c>
      <c r="G2031" s="479">
        <v>306500</v>
      </c>
      <c r="H2031" s="479">
        <v>306500</v>
      </c>
      <c r="I2031" s="480">
        <v>12.09</v>
      </c>
    </row>
    <row r="2032" spans="1:9" ht="102" hidden="1" outlineLevel="4">
      <c r="A2032" s="832" t="s">
        <v>1950</v>
      </c>
      <c r="B2032" s="482" t="s">
        <v>5297</v>
      </c>
      <c r="C2032" s="831" t="s">
        <v>1568</v>
      </c>
      <c r="D2032" s="482" t="s">
        <v>1569</v>
      </c>
      <c r="E2032" s="484">
        <v>2534500</v>
      </c>
      <c r="F2032" s="484">
        <v>2534500</v>
      </c>
      <c r="G2032" s="484">
        <v>306500</v>
      </c>
      <c r="H2032" s="484">
        <v>306500</v>
      </c>
      <c r="I2032" s="480">
        <v>12.09</v>
      </c>
    </row>
    <row r="2033" spans="1:9" ht="51" hidden="1" outlineLevel="2">
      <c r="A2033" s="850" t="s">
        <v>5298</v>
      </c>
      <c r="B2033" s="472" t="s">
        <v>5299</v>
      </c>
      <c r="C2033" s="473"/>
      <c r="D2033" s="472"/>
      <c r="E2033" s="474">
        <v>3750000</v>
      </c>
      <c r="F2033" s="474">
        <v>3750000</v>
      </c>
      <c r="G2033" s="474">
        <v>0</v>
      </c>
      <c r="H2033" s="474">
        <v>0</v>
      </c>
      <c r="I2033" s="475">
        <v>0</v>
      </c>
    </row>
    <row r="2034" spans="1:9" ht="76.5" hidden="1" outlineLevel="3">
      <c r="A2034" s="833" t="s">
        <v>702</v>
      </c>
      <c r="B2034" s="477" t="s">
        <v>5300</v>
      </c>
      <c r="C2034" s="478"/>
      <c r="D2034" s="477"/>
      <c r="E2034" s="479">
        <v>3750000</v>
      </c>
      <c r="F2034" s="479">
        <v>3750000</v>
      </c>
      <c r="G2034" s="479">
        <v>0</v>
      </c>
      <c r="H2034" s="479">
        <v>0</v>
      </c>
      <c r="I2034" s="480">
        <v>0</v>
      </c>
    </row>
    <row r="2035" spans="1:9" ht="76.5" hidden="1" outlineLevel="4">
      <c r="A2035" s="832" t="s">
        <v>702</v>
      </c>
      <c r="B2035" s="482" t="s">
        <v>5300</v>
      </c>
      <c r="C2035" s="831" t="s">
        <v>3659</v>
      </c>
      <c r="D2035" s="482" t="s">
        <v>716</v>
      </c>
      <c r="E2035" s="484">
        <v>3750000</v>
      </c>
      <c r="F2035" s="484">
        <v>3750000</v>
      </c>
      <c r="G2035" s="484">
        <v>0</v>
      </c>
      <c r="H2035" s="484">
        <v>0</v>
      </c>
      <c r="I2035" s="480">
        <v>0</v>
      </c>
    </row>
    <row r="2036" spans="1:9" ht="38.25" hidden="1" outlineLevel="2">
      <c r="A2036" s="850" t="s">
        <v>1955</v>
      </c>
      <c r="B2036" s="472" t="s">
        <v>5301</v>
      </c>
      <c r="C2036" s="473"/>
      <c r="D2036" s="472"/>
      <c r="E2036" s="474">
        <v>494460</v>
      </c>
      <c r="F2036" s="474">
        <v>494460</v>
      </c>
      <c r="G2036" s="474">
        <v>434460</v>
      </c>
      <c r="H2036" s="474">
        <v>434460</v>
      </c>
      <c r="I2036" s="475">
        <v>87.87</v>
      </c>
    </row>
    <row r="2037" spans="1:9" ht="51" hidden="1" outlineLevel="3">
      <c r="A2037" s="833" t="s">
        <v>1957</v>
      </c>
      <c r="B2037" s="477" t="s">
        <v>5302</v>
      </c>
      <c r="C2037" s="478"/>
      <c r="D2037" s="477"/>
      <c r="E2037" s="479">
        <v>494460</v>
      </c>
      <c r="F2037" s="479">
        <v>494460</v>
      </c>
      <c r="G2037" s="479">
        <v>434460</v>
      </c>
      <c r="H2037" s="479">
        <v>434460</v>
      </c>
      <c r="I2037" s="480">
        <v>87.87</v>
      </c>
    </row>
    <row r="2038" spans="1:9" ht="51" hidden="1" outlineLevel="4">
      <c r="A2038" s="832" t="s">
        <v>1957</v>
      </c>
      <c r="B2038" s="482" t="s">
        <v>5302</v>
      </c>
      <c r="C2038" s="831" t="s">
        <v>711</v>
      </c>
      <c r="D2038" s="482" t="s">
        <v>712</v>
      </c>
      <c r="E2038" s="484">
        <v>494460</v>
      </c>
      <c r="F2038" s="484">
        <v>494460</v>
      </c>
      <c r="G2038" s="484">
        <v>434460</v>
      </c>
      <c r="H2038" s="484">
        <v>434460</v>
      </c>
      <c r="I2038" s="480">
        <v>87.87</v>
      </c>
    </row>
    <row r="2039" spans="1:9" ht="38.25" hidden="1" outlineLevel="1">
      <c r="A2039" s="851" t="s">
        <v>1019</v>
      </c>
      <c r="B2039" s="467" t="s">
        <v>5303</v>
      </c>
      <c r="C2039" s="468"/>
      <c r="D2039" s="467"/>
      <c r="E2039" s="469">
        <v>485371446.14999998</v>
      </c>
      <c r="F2039" s="469">
        <v>425907205.08999997</v>
      </c>
      <c r="G2039" s="469">
        <v>336851635.44</v>
      </c>
      <c r="H2039" s="469">
        <v>324248725.33999997</v>
      </c>
      <c r="I2039" s="470">
        <v>66.8</v>
      </c>
    </row>
    <row r="2040" spans="1:9" ht="38.25" hidden="1" outlineLevel="2">
      <c r="A2040" s="850" t="s">
        <v>1960</v>
      </c>
      <c r="B2040" s="472" t="s">
        <v>5304</v>
      </c>
      <c r="C2040" s="473"/>
      <c r="D2040" s="472"/>
      <c r="E2040" s="474">
        <v>98141069.400000006</v>
      </c>
      <c r="F2040" s="474">
        <v>97437584.810000002</v>
      </c>
      <c r="G2040" s="474">
        <v>72971030.359999999</v>
      </c>
      <c r="H2040" s="474">
        <v>65982077.920000002</v>
      </c>
      <c r="I2040" s="475">
        <v>67.23</v>
      </c>
    </row>
    <row r="2041" spans="1:9" ht="25.5" hidden="1" outlineLevel="3">
      <c r="A2041" s="833" t="s">
        <v>873</v>
      </c>
      <c r="B2041" s="477" t="s">
        <v>5305</v>
      </c>
      <c r="C2041" s="478"/>
      <c r="D2041" s="477"/>
      <c r="E2041" s="479">
        <v>81453302.579999998</v>
      </c>
      <c r="F2041" s="479">
        <v>80749817.989999995</v>
      </c>
      <c r="G2041" s="479">
        <v>63129996.630000003</v>
      </c>
      <c r="H2041" s="479">
        <v>56166074.189999998</v>
      </c>
      <c r="I2041" s="480">
        <v>68.95</v>
      </c>
    </row>
    <row r="2042" spans="1:9" ht="25.5" hidden="1" outlineLevel="4">
      <c r="A2042" s="832" t="s">
        <v>873</v>
      </c>
      <c r="B2042" s="482" t="s">
        <v>5305</v>
      </c>
      <c r="C2042" s="831" t="s">
        <v>1568</v>
      </c>
      <c r="D2042" s="482" t="s">
        <v>1569</v>
      </c>
      <c r="E2042" s="484">
        <v>81453302.579999998</v>
      </c>
      <c r="F2042" s="484">
        <v>80749817.989999995</v>
      </c>
      <c r="G2042" s="484">
        <v>63129996.630000003</v>
      </c>
      <c r="H2042" s="484">
        <v>56166074.189999998</v>
      </c>
      <c r="I2042" s="480">
        <v>68.95</v>
      </c>
    </row>
    <row r="2043" spans="1:9" ht="38.25" hidden="1" outlineLevel="3">
      <c r="A2043" s="833" t="s">
        <v>854</v>
      </c>
      <c r="B2043" s="477" t="s">
        <v>5306</v>
      </c>
      <c r="C2043" s="478"/>
      <c r="D2043" s="477"/>
      <c r="E2043" s="479">
        <v>2173219</v>
      </c>
      <c r="F2043" s="479">
        <v>2173219</v>
      </c>
      <c r="G2043" s="479">
        <v>1018319.07</v>
      </c>
      <c r="H2043" s="479">
        <v>1018319.07</v>
      </c>
      <c r="I2043" s="480">
        <v>46.86</v>
      </c>
    </row>
    <row r="2044" spans="1:9" ht="38.25" hidden="1" outlineLevel="4">
      <c r="A2044" s="832" t="s">
        <v>854</v>
      </c>
      <c r="B2044" s="482" t="s">
        <v>5306</v>
      </c>
      <c r="C2044" s="831" t="s">
        <v>1568</v>
      </c>
      <c r="D2044" s="482" t="s">
        <v>1569</v>
      </c>
      <c r="E2044" s="484">
        <v>2173219</v>
      </c>
      <c r="F2044" s="484">
        <v>2173219</v>
      </c>
      <c r="G2044" s="484">
        <v>1018319.07</v>
      </c>
      <c r="H2044" s="484">
        <v>1018319.07</v>
      </c>
      <c r="I2044" s="480">
        <v>46.86</v>
      </c>
    </row>
    <row r="2045" spans="1:9" ht="63.75" hidden="1" outlineLevel="3">
      <c r="A2045" s="833" t="s">
        <v>62</v>
      </c>
      <c r="B2045" s="477" t="s">
        <v>5307</v>
      </c>
      <c r="C2045" s="478"/>
      <c r="D2045" s="477"/>
      <c r="E2045" s="479">
        <v>1007820.58</v>
      </c>
      <c r="F2045" s="479">
        <v>1007820.58</v>
      </c>
      <c r="G2045" s="479">
        <v>884865.63</v>
      </c>
      <c r="H2045" s="479">
        <v>884865.63</v>
      </c>
      <c r="I2045" s="480">
        <v>87.8</v>
      </c>
    </row>
    <row r="2046" spans="1:9" ht="63.75" hidden="1" outlineLevel="4">
      <c r="A2046" s="832" t="s">
        <v>62</v>
      </c>
      <c r="B2046" s="482" t="s">
        <v>5307</v>
      </c>
      <c r="C2046" s="831" t="s">
        <v>1568</v>
      </c>
      <c r="D2046" s="482" t="s">
        <v>1569</v>
      </c>
      <c r="E2046" s="484">
        <v>1007820.58</v>
      </c>
      <c r="F2046" s="484">
        <v>1007820.58</v>
      </c>
      <c r="G2046" s="484">
        <v>884865.63</v>
      </c>
      <c r="H2046" s="484">
        <v>884865.63</v>
      </c>
      <c r="I2046" s="480">
        <v>87.8</v>
      </c>
    </row>
    <row r="2047" spans="1:9" ht="76.5" hidden="1" outlineLevel="3">
      <c r="A2047" s="833" t="s">
        <v>1027</v>
      </c>
      <c r="B2047" s="477" t="s">
        <v>5308</v>
      </c>
      <c r="C2047" s="478"/>
      <c r="D2047" s="477"/>
      <c r="E2047" s="479">
        <v>799700</v>
      </c>
      <c r="F2047" s="479">
        <v>799700</v>
      </c>
      <c r="G2047" s="479">
        <v>118536.2</v>
      </c>
      <c r="H2047" s="479">
        <v>93536.2</v>
      </c>
      <c r="I2047" s="480">
        <v>11.7</v>
      </c>
    </row>
    <row r="2048" spans="1:9" ht="76.5" hidden="1" outlineLevel="4">
      <c r="A2048" s="832" t="s">
        <v>1027</v>
      </c>
      <c r="B2048" s="482" t="s">
        <v>5308</v>
      </c>
      <c r="C2048" s="831" t="s">
        <v>1568</v>
      </c>
      <c r="D2048" s="482" t="s">
        <v>1569</v>
      </c>
      <c r="E2048" s="484">
        <v>799700</v>
      </c>
      <c r="F2048" s="484">
        <v>799700</v>
      </c>
      <c r="G2048" s="484">
        <v>118536.2</v>
      </c>
      <c r="H2048" s="484">
        <v>93536.2</v>
      </c>
      <c r="I2048" s="480">
        <v>11.7</v>
      </c>
    </row>
    <row r="2049" spans="1:9" ht="51" hidden="1" outlineLevel="3">
      <c r="A2049" s="833" t="s">
        <v>861</v>
      </c>
      <c r="B2049" s="477" t="s">
        <v>5309</v>
      </c>
      <c r="C2049" s="478"/>
      <c r="D2049" s="477"/>
      <c r="E2049" s="479">
        <v>350203</v>
      </c>
      <c r="F2049" s="479">
        <v>350203</v>
      </c>
      <c r="G2049" s="479">
        <v>262652.25</v>
      </c>
      <c r="H2049" s="479">
        <v>262652.25</v>
      </c>
      <c r="I2049" s="480">
        <v>75</v>
      </c>
    </row>
    <row r="2050" spans="1:9" ht="51" hidden="1" outlineLevel="4">
      <c r="A2050" s="832" t="s">
        <v>861</v>
      </c>
      <c r="B2050" s="482" t="s">
        <v>5309</v>
      </c>
      <c r="C2050" s="831" t="s">
        <v>1568</v>
      </c>
      <c r="D2050" s="482" t="s">
        <v>1569</v>
      </c>
      <c r="E2050" s="484">
        <v>350203</v>
      </c>
      <c r="F2050" s="484">
        <v>350203</v>
      </c>
      <c r="G2050" s="484">
        <v>262652.25</v>
      </c>
      <c r="H2050" s="484">
        <v>262652.25</v>
      </c>
      <c r="I2050" s="480">
        <v>75</v>
      </c>
    </row>
    <row r="2051" spans="1:9" ht="25.5" hidden="1" outlineLevel="3">
      <c r="A2051" s="833" t="s">
        <v>713</v>
      </c>
      <c r="B2051" s="477" t="s">
        <v>5310</v>
      </c>
      <c r="C2051" s="478"/>
      <c r="D2051" s="477"/>
      <c r="E2051" s="479">
        <v>4364738</v>
      </c>
      <c r="F2051" s="479">
        <v>4364738</v>
      </c>
      <c r="G2051" s="479">
        <v>3627838.27</v>
      </c>
      <c r="H2051" s="479">
        <v>3627808.27</v>
      </c>
      <c r="I2051" s="480">
        <v>83.12</v>
      </c>
    </row>
    <row r="2052" spans="1:9" ht="25.5" hidden="1" outlineLevel="4">
      <c r="A2052" s="832" t="s">
        <v>713</v>
      </c>
      <c r="B2052" s="482" t="s">
        <v>5310</v>
      </c>
      <c r="C2052" s="831" t="s">
        <v>1568</v>
      </c>
      <c r="D2052" s="482" t="s">
        <v>1569</v>
      </c>
      <c r="E2052" s="484">
        <v>4364738</v>
      </c>
      <c r="F2052" s="484">
        <v>4364738</v>
      </c>
      <c r="G2052" s="484">
        <v>3627838.27</v>
      </c>
      <c r="H2052" s="484">
        <v>3627808.27</v>
      </c>
      <c r="I2052" s="480">
        <v>83.12</v>
      </c>
    </row>
    <row r="2053" spans="1:9" ht="51" hidden="1" outlineLevel="3">
      <c r="A2053" s="833" t="s">
        <v>4624</v>
      </c>
      <c r="B2053" s="477" t="s">
        <v>5311</v>
      </c>
      <c r="C2053" s="478"/>
      <c r="D2053" s="477"/>
      <c r="E2053" s="479">
        <v>7992086.2400000002</v>
      </c>
      <c r="F2053" s="479">
        <v>7992086.2400000002</v>
      </c>
      <c r="G2053" s="479">
        <v>3928822.31</v>
      </c>
      <c r="H2053" s="479">
        <v>3928822.31</v>
      </c>
      <c r="I2053" s="480">
        <v>49.16</v>
      </c>
    </row>
    <row r="2054" spans="1:9" ht="51" hidden="1" outlineLevel="4">
      <c r="A2054" s="832" t="s">
        <v>4624</v>
      </c>
      <c r="B2054" s="482" t="s">
        <v>5311</v>
      </c>
      <c r="C2054" s="831" t="s">
        <v>1568</v>
      </c>
      <c r="D2054" s="482" t="s">
        <v>1569</v>
      </c>
      <c r="E2054" s="484">
        <v>7992086.2400000002</v>
      </c>
      <c r="F2054" s="484">
        <v>7992086.2400000002</v>
      </c>
      <c r="G2054" s="484">
        <v>3928822.31</v>
      </c>
      <c r="H2054" s="484">
        <v>3928822.31</v>
      </c>
      <c r="I2054" s="480">
        <v>49.16</v>
      </c>
    </row>
    <row r="2055" spans="1:9" ht="38.25" hidden="1" outlineLevel="2">
      <c r="A2055" s="850" t="s">
        <v>1966</v>
      </c>
      <c r="B2055" s="472" t="s">
        <v>5312</v>
      </c>
      <c r="C2055" s="473"/>
      <c r="D2055" s="472"/>
      <c r="E2055" s="474">
        <v>387230376.75</v>
      </c>
      <c r="F2055" s="474">
        <v>328469620.27999997</v>
      </c>
      <c r="G2055" s="474">
        <v>263880605.08000001</v>
      </c>
      <c r="H2055" s="474">
        <v>258266647.41999999</v>
      </c>
      <c r="I2055" s="475">
        <v>66.7</v>
      </c>
    </row>
    <row r="2056" spans="1:9" ht="76.5" hidden="1" outlineLevel="3">
      <c r="A2056" s="833" t="s">
        <v>702</v>
      </c>
      <c r="B2056" s="477" t="s">
        <v>5313</v>
      </c>
      <c r="C2056" s="478"/>
      <c r="D2056" s="477"/>
      <c r="E2056" s="479">
        <v>1202701</v>
      </c>
      <c r="F2056" s="479">
        <v>1202701</v>
      </c>
      <c r="G2056" s="479">
        <v>886343</v>
      </c>
      <c r="H2056" s="479">
        <v>886343</v>
      </c>
      <c r="I2056" s="480">
        <v>73.7</v>
      </c>
    </row>
    <row r="2057" spans="1:9" ht="76.5" hidden="1" outlineLevel="4">
      <c r="A2057" s="832" t="s">
        <v>702</v>
      </c>
      <c r="B2057" s="482" t="s">
        <v>5313</v>
      </c>
      <c r="C2057" s="831" t="s">
        <v>1568</v>
      </c>
      <c r="D2057" s="482" t="s">
        <v>1569</v>
      </c>
      <c r="E2057" s="484">
        <v>1202701</v>
      </c>
      <c r="F2057" s="484">
        <v>1202701</v>
      </c>
      <c r="G2057" s="484">
        <v>886343</v>
      </c>
      <c r="H2057" s="484">
        <v>886343</v>
      </c>
      <c r="I2057" s="480">
        <v>73.7</v>
      </c>
    </row>
    <row r="2058" spans="1:9" ht="38.25" hidden="1" outlineLevel="3">
      <c r="A2058" s="833" t="s">
        <v>1969</v>
      </c>
      <c r="B2058" s="477" t="s">
        <v>5314</v>
      </c>
      <c r="C2058" s="478"/>
      <c r="D2058" s="477"/>
      <c r="E2058" s="479">
        <v>384026675.43000001</v>
      </c>
      <c r="F2058" s="479">
        <v>325265918.95999998</v>
      </c>
      <c r="G2058" s="479">
        <v>261874752.56999999</v>
      </c>
      <c r="H2058" s="479">
        <v>256321620.25999999</v>
      </c>
      <c r="I2058" s="480">
        <v>66.75</v>
      </c>
    </row>
    <row r="2059" spans="1:9" ht="38.25" hidden="1" outlineLevel="4">
      <c r="A2059" s="832" t="s">
        <v>1969</v>
      </c>
      <c r="B2059" s="482" t="s">
        <v>5314</v>
      </c>
      <c r="C2059" s="831" t="s">
        <v>1568</v>
      </c>
      <c r="D2059" s="482" t="s">
        <v>1569</v>
      </c>
      <c r="E2059" s="484">
        <v>384026675.43000001</v>
      </c>
      <c r="F2059" s="484">
        <v>325265918.95999998</v>
      </c>
      <c r="G2059" s="484">
        <v>261874752.56999999</v>
      </c>
      <c r="H2059" s="484">
        <v>256321620.25999999</v>
      </c>
      <c r="I2059" s="480">
        <v>66.75</v>
      </c>
    </row>
    <row r="2060" spans="1:9" ht="76.5" hidden="1" outlineLevel="3">
      <c r="A2060" s="833" t="s">
        <v>1971</v>
      </c>
      <c r="B2060" s="477" t="s">
        <v>5315</v>
      </c>
      <c r="C2060" s="478"/>
      <c r="D2060" s="477"/>
      <c r="E2060" s="479">
        <v>2001000.32</v>
      </c>
      <c r="F2060" s="479">
        <v>2001000.32</v>
      </c>
      <c r="G2060" s="479">
        <v>1119509.51</v>
      </c>
      <c r="H2060" s="479">
        <v>1058684.1599999999</v>
      </c>
      <c r="I2060" s="480">
        <v>52.91</v>
      </c>
    </row>
    <row r="2061" spans="1:9" ht="76.5" hidden="1" outlineLevel="4">
      <c r="A2061" s="832" t="s">
        <v>1971</v>
      </c>
      <c r="B2061" s="482" t="s">
        <v>5315</v>
      </c>
      <c r="C2061" s="831" t="s">
        <v>1568</v>
      </c>
      <c r="D2061" s="482" t="s">
        <v>1569</v>
      </c>
      <c r="E2061" s="484">
        <v>2001000.32</v>
      </c>
      <c r="F2061" s="484">
        <v>2001000.32</v>
      </c>
      <c r="G2061" s="484">
        <v>1119509.51</v>
      </c>
      <c r="H2061" s="484">
        <v>1058684.1599999999</v>
      </c>
      <c r="I2061" s="480">
        <v>52.91</v>
      </c>
    </row>
    <row r="2062" spans="1:9" ht="15.75" collapsed="1" thickBot="1">
      <c r="A2062" s="486"/>
      <c r="B2062" s="487"/>
      <c r="C2062" s="487"/>
      <c r="D2062" s="487"/>
      <c r="E2062" s="487"/>
      <c r="F2062" s="487"/>
      <c r="G2062" s="487"/>
      <c r="H2062" s="487"/>
      <c r="I2062" s="488"/>
    </row>
    <row r="2063" spans="1:9" ht="15.75" thickBot="1">
      <c r="A2063" s="489" t="s">
        <v>2525</v>
      </c>
      <c r="B2063" s="490"/>
      <c r="C2063" s="490"/>
      <c r="D2063" s="490"/>
      <c r="E2063" s="491">
        <f>E1952+E1727+E1646+E1587+E1463+E1375+E1260+E1184+E978+E940+E806+E722+E427+E210+E6</f>
        <v>123870556268.87</v>
      </c>
      <c r="F2063" s="491">
        <f t="shared" ref="F2063:H2063" si="0">F1952+F1727+F1646+F1587+F1463+F1375+F1260+F1184+F978+F940+F806+F722+F427+F210+F6</f>
        <v>120417253943.31</v>
      </c>
      <c r="G2063" s="491">
        <f t="shared" si="0"/>
        <v>84210163322.940002</v>
      </c>
      <c r="H2063" s="491">
        <f t="shared" si="0"/>
        <v>81729993595.179993</v>
      </c>
      <c r="I2063" s="1556">
        <f>H2063/E2063*100</f>
        <v>65.980161918203663</v>
      </c>
    </row>
    <row r="2064" spans="1:9">
      <c r="A2064" s="493"/>
      <c r="B2064" s="493"/>
      <c r="C2064" s="493"/>
      <c r="D2064" s="493"/>
      <c r="E2064" s="493"/>
      <c r="F2064" s="493"/>
      <c r="G2064" s="493"/>
      <c r="H2064" s="493"/>
      <c r="I2064" s="493"/>
    </row>
    <row r="2065" spans="1:9">
      <c r="A2065" s="2594"/>
      <c r="B2065" s="2595"/>
      <c r="C2065" s="2595"/>
      <c r="D2065" s="2595"/>
      <c r="E2065" s="2595"/>
      <c r="F2065" s="2595"/>
      <c r="G2065" s="2595"/>
      <c r="H2065" s="2595"/>
      <c r="I2065" s="2595"/>
    </row>
  </sheetData>
  <autoFilter ref="A5:I2061"/>
  <mergeCells count="4">
    <mergeCell ref="A1:I1"/>
    <mergeCell ref="A2:I2"/>
    <mergeCell ref="A3:I3"/>
    <mergeCell ref="A2065:I2065"/>
  </mergeCells>
  <pageMargins left="0" right="0" top="0" bottom="0" header="0" footer="0"/>
  <pageSetup paperSize="9" scale="52"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52"/>
  <sheetViews>
    <sheetView view="pageBreakPreview" topLeftCell="A35" zoomScaleNormal="120" zoomScaleSheetLayoutView="100" workbookViewId="0">
      <selection activeCell="E219" sqref="E219"/>
    </sheetView>
  </sheetViews>
  <sheetFormatPr defaultColWidth="8.85546875" defaultRowHeight="15"/>
  <cols>
    <col min="1" max="1" width="5.85546875" style="319" customWidth="1"/>
    <col min="2" max="2" width="34.42578125" style="124" customWidth="1"/>
    <col min="3" max="3" width="9.140625" style="2" customWidth="1"/>
    <col min="4" max="4" width="8.85546875" style="125" customWidth="1"/>
    <col min="5" max="5" width="9.140625" style="4" bestFit="1" customWidth="1"/>
    <col min="6" max="6" width="9.140625" style="3" bestFit="1" customWidth="1"/>
    <col min="7" max="9" width="7.85546875" style="4" bestFit="1" customWidth="1"/>
    <col min="10" max="10" width="28.42578125" style="126" customWidth="1"/>
    <col min="11" max="11" width="17" style="127" customWidth="1"/>
    <col min="257" max="257" width="5.85546875" customWidth="1"/>
    <col min="258" max="258" width="34.42578125" customWidth="1"/>
    <col min="259" max="259" width="9.140625" customWidth="1"/>
    <col min="260" max="260" width="8.85546875" customWidth="1"/>
    <col min="261" max="262" width="9.140625" bestFit="1" customWidth="1"/>
    <col min="263" max="265" width="7.85546875" bestFit="1" customWidth="1"/>
    <col min="266" max="266" width="28.42578125" customWidth="1"/>
    <col min="267" max="267" width="17" customWidth="1"/>
    <col min="513" max="513" width="5.85546875" customWidth="1"/>
    <col min="514" max="514" width="34.42578125" customWidth="1"/>
    <col min="515" max="515" width="9.140625" customWidth="1"/>
    <col min="516" max="516" width="8.85546875" customWidth="1"/>
    <col min="517" max="518" width="9.140625" bestFit="1" customWidth="1"/>
    <col min="519" max="521" width="7.85546875" bestFit="1" customWidth="1"/>
    <col min="522" max="522" width="28.42578125" customWidth="1"/>
    <col min="523" max="523" width="17" customWidth="1"/>
    <col min="769" max="769" width="5.85546875" customWidth="1"/>
    <col min="770" max="770" width="34.42578125" customWidth="1"/>
    <col min="771" max="771" width="9.140625" customWidth="1"/>
    <col min="772" max="772" width="8.85546875" customWidth="1"/>
    <col min="773" max="774" width="9.140625" bestFit="1" customWidth="1"/>
    <col min="775" max="777" width="7.85546875" bestFit="1" customWidth="1"/>
    <col min="778" max="778" width="28.42578125" customWidth="1"/>
    <col min="779" max="779" width="17" customWidth="1"/>
    <col min="1025" max="1025" width="5.85546875" customWidth="1"/>
    <col min="1026" max="1026" width="34.42578125" customWidth="1"/>
    <col min="1027" max="1027" width="9.140625" customWidth="1"/>
    <col min="1028" max="1028" width="8.85546875" customWidth="1"/>
    <col min="1029" max="1030" width="9.140625" bestFit="1" customWidth="1"/>
    <col min="1031" max="1033" width="7.85546875" bestFit="1" customWidth="1"/>
    <col min="1034" max="1034" width="28.42578125" customWidth="1"/>
    <col min="1035" max="1035" width="17" customWidth="1"/>
    <col min="1281" max="1281" width="5.85546875" customWidth="1"/>
    <col min="1282" max="1282" width="34.42578125" customWidth="1"/>
    <col min="1283" max="1283" width="9.140625" customWidth="1"/>
    <col min="1284" max="1284" width="8.85546875" customWidth="1"/>
    <col min="1285" max="1286" width="9.140625" bestFit="1" customWidth="1"/>
    <col min="1287" max="1289" width="7.85546875" bestFit="1" customWidth="1"/>
    <col min="1290" max="1290" width="28.42578125" customWidth="1"/>
    <col min="1291" max="1291" width="17" customWidth="1"/>
    <col min="1537" max="1537" width="5.85546875" customWidth="1"/>
    <col min="1538" max="1538" width="34.42578125" customWidth="1"/>
    <col min="1539" max="1539" width="9.140625" customWidth="1"/>
    <col min="1540" max="1540" width="8.85546875" customWidth="1"/>
    <col min="1541" max="1542" width="9.140625" bestFit="1" customWidth="1"/>
    <col min="1543" max="1545" width="7.85546875" bestFit="1" customWidth="1"/>
    <col min="1546" max="1546" width="28.42578125" customWidth="1"/>
    <col min="1547" max="1547" width="17" customWidth="1"/>
    <col min="1793" max="1793" width="5.85546875" customWidth="1"/>
    <col min="1794" max="1794" width="34.42578125" customWidth="1"/>
    <col min="1795" max="1795" width="9.140625" customWidth="1"/>
    <col min="1796" max="1796" width="8.85546875" customWidth="1"/>
    <col min="1797" max="1798" width="9.140625" bestFit="1" customWidth="1"/>
    <col min="1799" max="1801" width="7.85546875" bestFit="1" customWidth="1"/>
    <col min="1802" max="1802" width="28.42578125" customWidth="1"/>
    <col min="1803" max="1803" width="17" customWidth="1"/>
    <col min="2049" max="2049" width="5.85546875" customWidth="1"/>
    <col min="2050" max="2050" width="34.42578125" customWidth="1"/>
    <col min="2051" max="2051" width="9.140625" customWidth="1"/>
    <col min="2052" max="2052" width="8.85546875" customWidth="1"/>
    <col min="2053" max="2054" width="9.140625" bestFit="1" customWidth="1"/>
    <col min="2055" max="2057" width="7.85546875" bestFit="1" customWidth="1"/>
    <col min="2058" max="2058" width="28.42578125" customWidth="1"/>
    <col min="2059" max="2059" width="17" customWidth="1"/>
    <col min="2305" max="2305" width="5.85546875" customWidth="1"/>
    <col min="2306" max="2306" width="34.42578125" customWidth="1"/>
    <col min="2307" max="2307" width="9.140625" customWidth="1"/>
    <col min="2308" max="2308" width="8.85546875" customWidth="1"/>
    <col min="2309" max="2310" width="9.140625" bestFit="1" customWidth="1"/>
    <col min="2311" max="2313" width="7.85546875" bestFit="1" customWidth="1"/>
    <col min="2314" max="2314" width="28.42578125" customWidth="1"/>
    <col min="2315" max="2315" width="17" customWidth="1"/>
    <col min="2561" max="2561" width="5.85546875" customWidth="1"/>
    <col min="2562" max="2562" width="34.42578125" customWidth="1"/>
    <col min="2563" max="2563" width="9.140625" customWidth="1"/>
    <col min="2564" max="2564" width="8.85546875" customWidth="1"/>
    <col min="2565" max="2566" width="9.140625" bestFit="1" customWidth="1"/>
    <col min="2567" max="2569" width="7.85546875" bestFit="1" customWidth="1"/>
    <col min="2570" max="2570" width="28.42578125" customWidth="1"/>
    <col min="2571" max="2571" width="17" customWidth="1"/>
    <col min="2817" max="2817" width="5.85546875" customWidth="1"/>
    <col min="2818" max="2818" width="34.42578125" customWidth="1"/>
    <col min="2819" max="2819" width="9.140625" customWidth="1"/>
    <col min="2820" max="2820" width="8.85546875" customWidth="1"/>
    <col min="2821" max="2822" width="9.140625" bestFit="1" customWidth="1"/>
    <col min="2823" max="2825" width="7.85546875" bestFit="1" customWidth="1"/>
    <col min="2826" max="2826" width="28.42578125" customWidth="1"/>
    <col min="2827" max="2827" width="17" customWidth="1"/>
    <col min="3073" max="3073" width="5.85546875" customWidth="1"/>
    <col min="3074" max="3074" width="34.42578125" customWidth="1"/>
    <col min="3075" max="3075" width="9.140625" customWidth="1"/>
    <col min="3076" max="3076" width="8.85546875" customWidth="1"/>
    <col min="3077" max="3078" width="9.140625" bestFit="1" customWidth="1"/>
    <col min="3079" max="3081" width="7.85546875" bestFit="1" customWidth="1"/>
    <col min="3082" max="3082" width="28.42578125" customWidth="1"/>
    <col min="3083" max="3083" width="17" customWidth="1"/>
    <col min="3329" max="3329" width="5.85546875" customWidth="1"/>
    <col min="3330" max="3330" width="34.42578125" customWidth="1"/>
    <col min="3331" max="3331" width="9.140625" customWidth="1"/>
    <col min="3332" max="3332" width="8.85546875" customWidth="1"/>
    <col min="3333" max="3334" width="9.140625" bestFit="1" customWidth="1"/>
    <col min="3335" max="3337" width="7.85546875" bestFit="1" customWidth="1"/>
    <col min="3338" max="3338" width="28.42578125" customWidth="1"/>
    <col min="3339" max="3339" width="17" customWidth="1"/>
    <col min="3585" max="3585" width="5.85546875" customWidth="1"/>
    <col min="3586" max="3586" width="34.42578125" customWidth="1"/>
    <col min="3587" max="3587" width="9.140625" customWidth="1"/>
    <col min="3588" max="3588" width="8.85546875" customWidth="1"/>
    <col min="3589" max="3590" width="9.140625" bestFit="1" customWidth="1"/>
    <col min="3591" max="3593" width="7.85546875" bestFit="1" customWidth="1"/>
    <col min="3594" max="3594" width="28.42578125" customWidth="1"/>
    <col min="3595" max="3595" width="17" customWidth="1"/>
    <col min="3841" max="3841" width="5.85546875" customWidth="1"/>
    <col min="3842" max="3842" width="34.42578125" customWidth="1"/>
    <col min="3843" max="3843" width="9.140625" customWidth="1"/>
    <col min="3844" max="3844" width="8.85546875" customWidth="1"/>
    <col min="3845" max="3846" width="9.140625" bestFit="1" customWidth="1"/>
    <col min="3847" max="3849" width="7.85546875" bestFit="1" customWidth="1"/>
    <col min="3850" max="3850" width="28.42578125" customWidth="1"/>
    <col min="3851" max="3851" width="17" customWidth="1"/>
    <col min="4097" max="4097" width="5.85546875" customWidth="1"/>
    <col min="4098" max="4098" width="34.42578125" customWidth="1"/>
    <col min="4099" max="4099" width="9.140625" customWidth="1"/>
    <col min="4100" max="4100" width="8.85546875" customWidth="1"/>
    <col min="4101" max="4102" width="9.140625" bestFit="1" customWidth="1"/>
    <col min="4103" max="4105" width="7.85546875" bestFit="1" customWidth="1"/>
    <col min="4106" max="4106" width="28.42578125" customWidth="1"/>
    <col min="4107" max="4107" width="17" customWidth="1"/>
    <col min="4353" max="4353" width="5.85546875" customWidth="1"/>
    <col min="4354" max="4354" width="34.42578125" customWidth="1"/>
    <col min="4355" max="4355" width="9.140625" customWidth="1"/>
    <col min="4356" max="4356" width="8.85546875" customWidth="1"/>
    <col min="4357" max="4358" width="9.140625" bestFit="1" customWidth="1"/>
    <col min="4359" max="4361" width="7.85546875" bestFit="1" customWidth="1"/>
    <col min="4362" max="4362" width="28.42578125" customWidth="1"/>
    <col min="4363" max="4363" width="17" customWidth="1"/>
    <col min="4609" max="4609" width="5.85546875" customWidth="1"/>
    <col min="4610" max="4610" width="34.42578125" customWidth="1"/>
    <col min="4611" max="4611" width="9.140625" customWidth="1"/>
    <col min="4612" max="4612" width="8.85546875" customWidth="1"/>
    <col min="4613" max="4614" width="9.140625" bestFit="1" customWidth="1"/>
    <col min="4615" max="4617" width="7.85546875" bestFit="1" customWidth="1"/>
    <col min="4618" max="4618" width="28.42578125" customWidth="1"/>
    <col min="4619" max="4619" width="17" customWidth="1"/>
    <col min="4865" max="4865" width="5.85546875" customWidth="1"/>
    <col min="4866" max="4866" width="34.42578125" customWidth="1"/>
    <col min="4867" max="4867" width="9.140625" customWidth="1"/>
    <col min="4868" max="4868" width="8.85546875" customWidth="1"/>
    <col min="4869" max="4870" width="9.140625" bestFit="1" customWidth="1"/>
    <col min="4871" max="4873" width="7.85546875" bestFit="1" customWidth="1"/>
    <col min="4874" max="4874" width="28.42578125" customWidth="1"/>
    <col min="4875" max="4875" width="17" customWidth="1"/>
    <col min="5121" max="5121" width="5.85546875" customWidth="1"/>
    <col min="5122" max="5122" width="34.42578125" customWidth="1"/>
    <col min="5123" max="5123" width="9.140625" customWidth="1"/>
    <col min="5124" max="5124" width="8.85546875" customWidth="1"/>
    <col min="5125" max="5126" width="9.140625" bestFit="1" customWidth="1"/>
    <col min="5127" max="5129" width="7.85546875" bestFit="1" customWidth="1"/>
    <col min="5130" max="5130" width="28.42578125" customWidth="1"/>
    <col min="5131" max="5131" width="17" customWidth="1"/>
    <col min="5377" max="5377" width="5.85546875" customWidth="1"/>
    <col min="5378" max="5378" width="34.42578125" customWidth="1"/>
    <col min="5379" max="5379" width="9.140625" customWidth="1"/>
    <col min="5380" max="5380" width="8.85546875" customWidth="1"/>
    <col min="5381" max="5382" width="9.140625" bestFit="1" customWidth="1"/>
    <col min="5383" max="5385" width="7.85546875" bestFit="1" customWidth="1"/>
    <col min="5386" max="5386" width="28.42578125" customWidth="1"/>
    <col min="5387" max="5387" width="17" customWidth="1"/>
    <col min="5633" max="5633" width="5.85546875" customWidth="1"/>
    <col min="5634" max="5634" width="34.42578125" customWidth="1"/>
    <col min="5635" max="5635" width="9.140625" customWidth="1"/>
    <col min="5636" max="5636" width="8.85546875" customWidth="1"/>
    <col min="5637" max="5638" width="9.140625" bestFit="1" customWidth="1"/>
    <col min="5639" max="5641" width="7.85546875" bestFit="1" customWidth="1"/>
    <col min="5642" max="5642" width="28.42578125" customWidth="1"/>
    <col min="5643" max="5643" width="17" customWidth="1"/>
    <col min="5889" max="5889" width="5.85546875" customWidth="1"/>
    <col min="5890" max="5890" width="34.42578125" customWidth="1"/>
    <col min="5891" max="5891" width="9.140625" customWidth="1"/>
    <col min="5892" max="5892" width="8.85546875" customWidth="1"/>
    <col min="5893" max="5894" width="9.140625" bestFit="1" customWidth="1"/>
    <col min="5895" max="5897" width="7.85546875" bestFit="1" customWidth="1"/>
    <col min="5898" max="5898" width="28.42578125" customWidth="1"/>
    <col min="5899" max="5899" width="17" customWidth="1"/>
    <col min="6145" max="6145" width="5.85546875" customWidth="1"/>
    <col min="6146" max="6146" width="34.42578125" customWidth="1"/>
    <col min="6147" max="6147" width="9.140625" customWidth="1"/>
    <col min="6148" max="6148" width="8.85546875" customWidth="1"/>
    <col min="6149" max="6150" width="9.140625" bestFit="1" customWidth="1"/>
    <col min="6151" max="6153" width="7.85546875" bestFit="1" customWidth="1"/>
    <col min="6154" max="6154" width="28.42578125" customWidth="1"/>
    <col min="6155" max="6155" width="17" customWidth="1"/>
    <col min="6401" max="6401" width="5.85546875" customWidth="1"/>
    <col min="6402" max="6402" width="34.42578125" customWidth="1"/>
    <col min="6403" max="6403" width="9.140625" customWidth="1"/>
    <col min="6404" max="6404" width="8.85546875" customWidth="1"/>
    <col min="6405" max="6406" width="9.140625" bestFit="1" customWidth="1"/>
    <col min="6407" max="6409" width="7.85546875" bestFit="1" customWidth="1"/>
    <col min="6410" max="6410" width="28.42578125" customWidth="1"/>
    <col min="6411" max="6411" width="17" customWidth="1"/>
    <col min="6657" max="6657" width="5.85546875" customWidth="1"/>
    <col min="6658" max="6658" width="34.42578125" customWidth="1"/>
    <col min="6659" max="6659" width="9.140625" customWidth="1"/>
    <col min="6660" max="6660" width="8.85546875" customWidth="1"/>
    <col min="6661" max="6662" width="9.140625" bestFit="1" customWidth="1"/>
    <col min="6663" max="6665" width="7.85546875" bestFit="1" customWidth="1"/>
    <col min="6666" max="6666" width="28.42578125" customWidth="1"/>
    <col min="6667" max="6667" width="17" customWidth="1"/>
    <col min="6913" max="6913" width="5.85546875" customWidth="1"/>
    <col min="6914" max="6914" width="34.42578125" customWidth="1"/>
    <col min="6915" max="6915" width="9.140625" customWidth="1"/>
    <col min="6916" max="6916" width="8.85546875" customWidth="1"/>
    <col min="6917" max="6918" width="9.140625" bestFit="1" customWidth="1"/>
    <col min="6919" max="6921" width="7.85546875" bestFit="1" customWidth="1"/>
    <col min="6922" max="6922" width="28.42578125" customWidth="1"/>
    <col min="6923" max="6923" width="17" customWidth="1"/>
    <col min="7169" max="7169" width="5.85546875" customWidth="1"/>
    <col min="7170" max="7170" width="34.42578125" customWidth="1"/>
    <col min="7171" max="7171" width="9.140625" customWidth="1"/>
    <col min="7172" max="7172" width="8.85546875" customWidth="1"/>
    <col min="7173" max="7174" width="9.140625" bestFit="1" customWidth="1"/>
    <col min="7175" max="7177" width="7.85546875" bestFit="1" customWidth="1"/>
    <col min="7178" max="7178" width="28.42578125" customWidth="1"/>
    <col min="7179" max="7179" width="17" customWidth="1"/>
    <col min="7425" max="7425" width="5.85546875" customWidth="1"/>
    <col min="7426" max="7426" width="34.42578125" customWidth="1"/>
    <col min="7427" max="7427" width="9.140625" customWidth="1"/>
    <col min="7428" max="7428" width="8.85546875" customWidth="1"/>
    <col min="7429" max="7430" width="9.140625" bestFit="1" customWidth="1"/>
    <col min="7431" max="7433" width="7.85546875" bestFit="1" customWidth="1"/>
    <col min="7434" max="7434" width="28.42578125" customWidth="1"/>
    <col min="7435" max="7435" width="17" customWidth="1"/>
    <col min="7681" max="7681" width="5.85546875" customWidth="1"/>
    <col min="7682" max="7682" width="34.42578125" customWidth="1"/>
    <col min="7683" max="7683" width="9.140625" customWidth="1"/>
    <col min="7684" max="7684" width="8.85546875" customWidth="1"/>
    <col min="7685" max="7686" width="9.140625" bestFit="1" customWidth="1"/>
    <col min="7687" max="7689" width="7.85546875" bestFit="1" customWidth="1"/>
    <col min="7690" max="7690" width="28.42578125" customWidth="1"/>
    <col min="7691" max="7691" width="17" customWidth="1"/>
    <col min="7937" max="7937" width="5.85546875" customWidth="1"/>
    <col min="7938" max="7938" width="34.42578125" customWidth="1"/>
    <col min="7939" max="7939" width="9.140625" customWidth="1"/>
    <col min="7940" max="7940" width="8.85546875" customWidth="1"/>
    <col min="7941" max="7942" width="9.140625" bestFit="1" customWidth="1"/>
    <col min="7943" max="7945" width="7.85546875" bestFit="1" customWidth="1"/>
    <col min="7946" max="7946" width="28.42578125" customWidth="1"/>
    <col min="7947" max="7947" width="17" customWidth="1"/>
    <col min="8193" max="8193" width="5.85546875" customWidth="1"/>
    <col min="8194" max="8194" width="34.42578125" customWidth="1"/>
    <col min="8195" max="8195" width="9.140625" customWidth="1"/>
    <col min="8196" max="8196" width="8.85546875" customWidth="1"/>
    <col min="8197" max="8198" width="9.140625" bestFit="1" customWidth="1"/>
    <col min="8199" max="8201" width="7.85546875" bestFit="1" customWidth="1"/>
    <col min="8202" max="8202" width="28.42578125" customWidth="1"/>
    <col min="8203" max="8203" width="17" customWidth="1"/>
    <col min="8449" max="8449" width="5.85546875" customWidth="1"/>
    <col min="8450" max="8450" width="34.42578125" customWidth="1"/>
    <col min="8451" max="8451" width="9.140625" customWidth="1"/>
    <col min="8452" max="8452" width="8.85546875" customWidth="1"/>
    <col min="8453" max="8454" width="9.140625" bestFit="1" customWidth="1"/>
    <col min="8455" max="8457" width="7.85546875" bestFit="1" customWidth="1"/>
    <col min="8458" max="8458" width="28.42578125" customWidth="1"/>
    <col min="8459" max="8459" width="17" customWidth="1"/>
    <col min="8705" max="8705" width="5.85546875" customWidth="1"/>
    <col min="8706" max="8706" width="34.42578125" customWidth="1"/>
    <col min="8707" max="8707" width="9.140625" customWidth="1"/>
    <col min="8708" max="8708" width="8.85546875" customWidth="1"/>
    <col min="8709" max="8710" width="9.140625" bestFit="1" customWidth="1"/>
    <col min="8711" max="8713" width="7.85546875" bestFit="1" customWidth="1"/>
    <col min="8714" max="8714" width="28.42578125" customWidth="1"/>
    <col min="8715" max="8715" width="17" customWidth="1"/>
    <col min="8961" max="8961" width="5.85546875" customWidth="1"/>
    <col min="8962" max="8962" width="34.42578125" customWidth="1"/>
    <col min="8963" max="8963" width="9.140625" customWidth="1"/>
    <col min="8964" max="8964" width="8.85546875" customWidth="1"/>
    <col min="8965" max="8966" width="9.140625" bestFit="1" customWidth="1"/>
    <col min="8967" max="8969" width="7.85546875" bestFit="1" customWidth="1"/>
    <col min="8970" max="8970" width="28.42578125" customWidth="1"/>
    <col min="8971" max="8971" width="17" customWidth="1"/>
    <col min="9217" max="9217" width="5.85546875" customWidth="1"/>
    <col min="9218" max="9218" width="34.42578125" customWidth="1"/>
    <col min="9219" max="9219" width="9.140625" customWidth="1"/>
    <col min="9220" max="9220" width="8.85546875" customWidth="1"/>
    <col min="9221" max="9222" width="9.140625" bestFit="1" customWidth="1"/>
    <col min="9223" max="9225" width="7.85546875" bestFit="1" customWidth="1"/>
    <col min="9226" max="9226" width="28.42578125" customWidth="1"/>
    <col min="9227" max="9227" width="17" customWidth="1"/>
    <col min="9473" max="9473" width="5.85546875" customWidth="1"/>
    <col min="9474" max="9474" width="34.42578125" customWidth="1"/>
    <col min="9475" max="9475" width="9.140625" customWidth="1"/>
    <col min="9476" max="9476" width="8.85546875" customWidth="1"/>
    <col min="9477" max="9478" width="9.140625" bestFit="1" customWidth="1"/>
    <col min="9479" max="9481" width="7.85546875" bestFit="1" customWidth="1"/>
    <col min="9482" max="9482" width="28.42578125" customWidth="1"/>
    <col min="9483" max="9483" width="17" customWidth="1"/>
    <col min="9729" max="9729" width="5.85546875" customWidth="1"/>
    <col min="9730" max="9730" width="34.42578125" customWidth="1"/>
    <col min="9731" max="9731" width="9.140625" customWidth="1"/>
    <col min="9732" max="9732" width="8.85546875" customWidth="1"/>
    <col min="9733" max="9734" width="9.140625" bestFit="1" customWidth="1"/>
    <col min="9735" max="9737" width="7.85546875" bestFit="1" customWidth="1"/>
    <col min="9738" max="9738" width="28.42578125" customWidth="1"/>
    <col min="9739" max="9739" width="17" customWidth="1"/>
    <col min="9985" max="9985" width="5.85546875" customWidth="1"/>
    <col min="9986" max="9986" width="34.42578125" customWidth="1"/>
    <col min="9987" max="9987" width="9.140625" customWidth="1"/>
    <col min="9988" max="9988" width="8.85546875" customWidth="1"/>
    <col min="9989" max="9990" width="9.140625" bestFit="1" customWidth="1"/>
    <col min="9991" max="9993" width="7.85546875" bestFit="1" customWidth="1"/>
    <col min="9994" max="9994" width="28.42578125" customWidth="1"/>
    <col min="9995" max="9995" width="17" customWidth="1"/>
    <col min="10241" max="10241" width="5.85546875" customWidth="1"/>
    <col min="10242" max="10242" width="34.42578125" customWidth="1"/>
    <col min="10243" max="10243" width="9.140625" customWidth="1"/>
    <col min="10244" max="10244" width="8.85546875" customWidth="1"/>
    <col min="10245" max="10246" width="9.140625" bestFit="1" customWidth="1"/>
    <col min="10247" max="10249" width="7.85546875" bestFit="1" customWidth="1"/>
    <col min="10250" max="10250" width="28.42578125" customWidth="1"/>
    <col min="10251" max="10251" width="17" customWidth="1"/>
    <col min="10497" max="10497" width="5.85546875" customWidth="1"/>
    <col min="10498" max="10498" width="34.42578125" customWidth="1"/>
    <col min="10499" max="10499" width="9.140625" customWidth="1"/>
    <col min="10500" max="10500" width="8.85546875" customWidth="1"/>
    <col min="10501" max="10502" width="9.140625" bestFit="1" customWidth="1"/>
    <col min="10503" max="10505" width="7.85546875" bestFit="1" customWidth="1"/>
    <col min="10506" max="10506" width="28.42578125" customWidth="1"/>
    <col min="10507" max="10507" width="17" customWidth="1"/>
    <col min="10753" max="10753" width="5.85546875" customWidth="1"/>
    <col min="10754" max="10754" width="34.42578125" customWidth="1"/>
    <col min="10755" max="10755" width="9.140625" customWidth="1"/>
    <col min="10756" max="10756" width="8.85546875" customWidth="1"/>
    <col min="10757" max="10758" width="9.140625" bestFit="1" customWidth="1"/>
    <col min="10759" max="10761" width="7.85546875" bestFit="1" customWidth="1"/>
    <col min="10762" max="10762" width="28.42578125" customWidth="1"/>
    <col min="10763" max="10763" width="17" customWidth="1"/>
    <col min="11009" max="11009" width="5.85546875" customWidth="1"/>
    <col min="11010" max="11010" width="34.42578125" customWidth="1"/>
    <col min="11011" max="11011" width="9.140625" customWidth="1"/>
    <col min="11012" max="11012" width="8.85546875" customWidth="1"/>
    <col min="11013" max="11014" width="9.140625" bestFit="1" customWidth="1"/>
    <col min="11015" max="11017" width="7.85546875" bestFit="1" customWidth="1"/>
    <col min="11018" max="11018" width="28.42578125" customWidth="1"/>
    <col min="11019" max="11019" width="17" customWidth="1"/>
    <col min="11265" max="11265" width="5.85546875" customWidth="1"/>
    <col min="11266" max="11266" width="34.42578125" customWidth="1"/>
    <col min="11267" max="11267" width="9.140625" customWidth="1"/>
    <col min="11268" max="11268" width="8.85546875" customWidth="1"/>
    <col min="11269" max="11270" width="9.140625" bestFit="1" customWidth="1"/>
    <col min="11271" max="11273" width="7.85546875" bestFit="1" customWidth="1"/>
    <col min="11274" max="11274" width="28.42578125" customWidth="1"/>
    <col min="11275" max="11275" width="17" customWidth="1"/>
    <col min="11521" max="11521" width="5.85546875" customWidth="1"/>
    <col min="11522" max="11522" width="34.42578125" customWidth="1"/>
    <col min="11523" max="11523" width="9.140625" customWidth="1"/>
    <col min="11524" max="11524" width="8.85546875" customWidth="1"/>
    <col min="11525" max="11526" width="9.140625" bestFit="1" customWidth="1"/>
    <col min="11527" max="11529" width="7.85546875" bestFit="1" customWidth="1"/>
    <col min="11530" max="11530" width="28.42578125" customWidth="1"/>
    <col min="11531" max="11531" width="17" customWidth="1"/>
    <col min="11777" max="11777" width="5.85546875" customWidth="1"/>
    <col min="11778" max="11778" width="34.42578125" customWidth="1"/>
    <col min="11779" max="11779" width="9.140625" customWidth="1"/>
    <col min="11780" max="11780" width="8.85546875" customWidth="1"/>
    <col min="11781" max="11782" width="9.140625" bestFit="1" customWidth="1"/>
    <col min="11783" max="11785" width="7.85546875" bestFit="1" customWidth="1"/>
    <col min="11786" max="11786" width="28.42578125" customWidth="1"/>
    <col min="11787" max="11787" width="17" customWidth="1"/>
    <col min="12033" max="12033" width="5.85546875" customWidth="1"/>
    <col min="12034" max="12034" width="34.42578125" customWidth="1"/>
    <col min="12035" max="12035" width="9.140625" customWidth="1"/>
    <col min="12036" max="12036" width="8.85546875" customWidth="1"/>
    <col min="12037" max="12038" width="9.140625" bestFit="1" customWidth="1"/>
    <col min="12039" max="12041" width="7.85546875" bestFit="1" customWidth="1"/>
    <col min="12042" max="12042" width="28.42578125" customWidth="1"/>
    <col min="12043" max="12043" width="17" customWidth="1"/>
    <col min="12289" max="12289" width="5.85546875" customWidth="1"/>
    <col min="12290" max="12290" width="34.42578125" customWidth="1"/>
    <col min="12291" max="12291" width="9.140625" customWidth="1"/>
    <col min="12292" max="12292" width="8.85546875" customWidth="1"/>
    <col min="12293" max="12294" width="9.140625" bestFit="1" customWidth="1"/>
    <col min="12295" max="12297" width="7.85546875" bestFit="1" customWidth="1"/>
    <col min="12298" max="12298" width="28.42578125" customWidth="1"/>
    <col min="12299" max="12299" width="17" customWidth="1"/>
    <col min="12545" max="12545" width="5.85546875" customWidth="1"/>
    <col min="12546" max="12546" width="34.42578125" customWidth="1"/>
    <col min="12547" max="12547" width="9.140625" customWidth="1"/>
    <col min="12548" max="12548" width="8.85546875" customWidth="1"/>
    <col min="12549" max="12550" width="9.140625" bestFit="1" customWidth="1"/>
    <col min="12551" max="12553" width="7.85546875" bestFit="1" customWidth="1"/>
    <col min="12554" max="12554" width="28.42578125" customWidth="1"/>
    <col min="12555" max="12555" width="17" customWidth="1"/>
    <col min="12801" max="12801" width="5.85546875" customWidth="1"/>
    <col min="12802" max="12802" width="34.42578125" customWidth="1"/>
    <col min="12803" max="12803" width="9.140625" customWidth="1"/>
    <col min="12804" max="12804" width="8.85546875" customWidth="1"/>
    <col min="12805" max="12806" width="9.140625" bestFit="1" customWidth="1"/>
    <col min="12807" max="12809" width="7.85546875" bestFit="1" customWidth="1"/>
    <col min="12810" max="12810" width="28.42578125" customWidth="1"/>
    <col min="12811" max="12811" width="17" customWidth="1"/>
    <col min="13057" max="13057" width="5.85546875" customWidth="1"/>
    <col min="13058" max="13058" width="34.42578125" customWidth="1"/>
    <col min="13059" max="13059" width="9.140625" customWidth="1"/>
    <col min="13060" max="13060" width="8.85546875" customWidth="1"/>
    <col min="13061" max="13062" width="9.140625" bestFit="1" customWidth="1"/>
    <col min="13063" max="13065" width="7.85546875" bestFit="1" customWidth="1"/>
    <col min="13066" max="13066" width="28.42578125" customWidth="1"/>
    <col min="13067" max="13067" width="17" customWidth="1"/>
    <col min="13313" max="13313" width="5.85546875" customWidth="1"/>
    <col min="13314" max="13314" width="34.42578125" customWidth="1"/>
    <col min="13315" max="13315" width="9.140625" customWidth="1"/>
    <col min="13316" max="13316" width="8.85546875" customWidth="1"/>
    <col min="13317" max="13318" width="9.140625" bestFit="1" customWidth="1"/>
    <col min="13319" max="13321" width="7.85546875" bestFit="1" customWidth="1"/>
    <col min="13322" max="13322" width="28.42578125" customWidth="1"/>
    <col min="13323" max="13323" width="17" customWidth="1"/>
    <col min="13569" max="13569" width="5.85546875" customWidth="1"/>
    <col min="13570" max="13570" width="34.42578125" customWidth="1"/>
    <col min="13571" max="13571" width="9.140625" customWidth="1"/>
    <col min="13572" max="13572" width="8.85546875" customWidth="1"/>
    <col min="13573" max="13574" width="9.140625" bestFit="1" customWidth="1"/>
    <col min="13575" max="13577" width="7.85546875" bestFit="1" customWidth="1"/>
    <col min="13578" max="13578" width="28.42578125" customWidth="1"/>
    <col min="13579" max="13579" width="17" customWidth="1"/>
    <col min="13825" max="13825" width="5.85546875" customWidth="1"/>
    <col min="13826" max="13826" width="34.42578125" customWidth="1"/>
    <col min="13827" max="13827" width="9.140625" customWidth="1"/>
    <col min="13828" max="13828" width="8.85546875" customWidth="1"/>
    <col min="13829" max="13830" width="9.140625" bestFit="1" customWidth="1"/>
    <col min="13831" max="13833" width="7.85546875" bestFit="1" customWidth="1"/>
    <col min="13834" max="13834" width="28.42578125" customWidth="1"/>
    <col min="13835" max="13835" width="17" customWidth="1"/>
    <col min="14081" max="14081" width="5.85546875" customWidth="1"/>
    <col min="14082" max="14082" width="34.42578125" customWidth="1"/>
    <col min="14083" max="14083" width="9.140625" customWidth="1"/>
    <col min="14084" max="14084" width="8.85546875" customWidth="1"/>
    <col min="14085" max="14086" width="9.140625" bestFit="1" customWidth="1"/>
    <col min="14087" max="14089" width="7.85546875" bestFit="1" customWidth="1"/>
    <col min="14090" max="14090" width="28.42578125" customWidth="1"/>
    <col min="14091" max="14091" width="17" customWidth="1"/>
    <col min="14337" max="14337" width="5.85546875" customWidth="1"/>
    <col min="14338" max="14338" width="34.42578125" customWidth="1"/>
    <col min="14339" max="14339" width="9.140625" customWidth="1"/>
    <col min="14340" max="14340" width="8.85546875" customWidth="1"/>
    <col min="14341" max="14342" width="9.140625" bestFit="1" customWidth="1"/>
    <col min="14343" max="14345" width="7.85546875" bestFit="1" customWidth="1"/>
    <col min="14346" max="14346" width="28.42578125" customWidth="1"/>
    <col min="14347" max="14347" width="17" customWidth="1"/>
    <col min="14593" max="14593" width="5.85546875" customWidth="1"/>
    <col min="14594" max="14594" width="34.42578125" customWidth="1"/>
    <col min="14595" max="14595" width="9.140625" customWidth="1"/>
    <col min="14596" max="14596" width="8.85546875" customWidth="1"/>
    <col min="14597" max="14598" width="9.140625" bestFit="1" customWidth="1"/>
    <col min="14599" max="14601" width="7.85546875" bestFit="1" customWidth="1"/>
    <col min="14602" max="14602" width="28.42578125" customWidth="1"/>
    <col min="14603" max="14603" width="17" customWidth="1"/>
    <col min="14849" max="14849" width="5.85546875" customWidth="1"/>
    <col min="14850" max="14850" width="34.42578125" customWidth="1"/>
    <col min="14851" max="14851" width="9.140625" customWidth="1"/>
    <col min="14852" max="14852" width="8.85546875" customWidth="1"/>
    <col min="14853" max="14854" width="9.140625" bestFit="1" customWidth="1"/>
    <col min="14855" max="14857" width="7.85546875" bestFit="1" customWidth="1"/>
    <col min="14858" max="14858" width="28.42578125" customWidth="1"/>
    <col min="14859" max="14859" width="17" customWidth="1"/>
    <col min="15105" max="15105" width="5.85546875" customWidth="1"/>
    <col min="15106" max="15106" width="34.42578125" customWidth="1"/>
    <col min="15107" max="15107" width="9.140625" customWidth="1"/>
    <col min="15108" max="15108" width="8.85546875" customWidth="1"/>
    <col min="15109" max="15110" width="9.140625" bestFit="1" customWidth="1"/>
    <col min="15111" max="15113" width="7.85546875" bestFit="1" customWidth="1"/>
    <col min="15114" max="15114" width="28.42578125" customWidth="1"/>
    <col min="15115" max="15115" width="17" customWidth="1"/>
    <col min="15361" max="15361" width="5.85546875" customWidth="1"/>
    <col min="15362" max="15362" width="34.42578125" customWidth="1"/>
    <col min="15363" max="15363" width="9.140625" customWidth="1"/>
    <col min="15364" max="15364" width="8.85546875" customWidth="1"/>
    <col min="15365" max="15366" width="9.140625" bestFit="1" customWidth="1"/>
    <col min="15367" max="15369" width="7.85546875" bestFit="1" customWidth="1"/>
    <col min="15370" max="15370" width="28.42578125" customWidth="1"/>
    <col min="15371" max="15371" width="17" customWidth="1"/>
    <col min="15617" max="15617" width="5.85546875" customWidth="1"/>
    <col min="15618" max="15618" width="34.42578125" customWidth="1"/>
    <col min="15619" max="15619" width="9.140625" customWidth="1"/>
    <col min="15620" max="15620" width="8.85546875" customWidth="1"/>
    <col min="15621" max="15622" width="9.140625" bestFit="1" customWidth="1"/>
    <col min="15623" max="15625" width="7.85546875" bestFit="1" customWidth="1"/>
    <col min="15626" max="15626" width="28.42578125" customWidth="1"/>
    <col min="15627" max="15627" width="17" customWidth="1"/>
    <col min="15873" max="15873" width="5.85546875" customWidth="1"/>
    <col min="15874" max="15874" width="34.42578125" customWidth="1"/>
    <col min="15875" max="15875" width="9.140625" customWidth="1"/>
    <col min="15876" max="15876" width="8.85546875" customWidth="1"/>
    <col min="15877" max="15878" width="9.140625" bestFit="1" customWidth="1"/>
    <col min="15879" max="15881" width="7.85546875" bestFit="1" customWidth="1"/>
    <col min="15882" max="15882" width="28.42578125" customWidth="1"/>
    <col min="15883" max="15883" width="17" customWidth="1"/>
    <col min="16129" max="16129" width="5.85546875" customWidth="1"/>
    <col min="16130" max="16130" width="34.42578125" customWidth="1"/>
    <col min="16131" max="16131" width="9.140625" customWidth="1"/>
    <col min="16132" max="16132" width="8.85546875" customWidth="1"/>
    <col min="16133" max="16134" width="9.140625" bestFit="1" customWidth="1"/>
    <col min="16135" max="16137" width="7.85546875" bestFit="1" customWidth="1"/>
    <col min="16138" max="16138" width="28.42578125" customWidth="1"/>
    <col min="16139" max="16139" width="17" customWidth="1"/>
  </cols>
  <sheetData>
    <row r="1" spans="1:11" ht="15.75" customHeight="1">
      <c r="A1" s="2002" t="s">
        <v>0</v>
      </c>
      <c r="B1" s="2003"/>
      <c r="C1" s="2003"/>
      <c r="D1" s="2003"/>
      <c r="E1" s="2003"/>
      <c r="F1" s="2003"/>
      <c r="G1" s="2003"/>
      <c r="H1" s="2003"/>
      <c r="I1" s="2003"/>
      <c r="J1" s="2003"/>
      <c r="K1" s="2004"/>
    </row>
    <row r="2" spans="1:11">
      <c r="A2" s="2005"/>
      <c r="B2" s="2006"/>
      <c r="C2" s="2006"/>
      <c r="D2" s="2006"/>
      <c r="E2" s="2006"/>
      <c r="F2" s="2006"/>
      <c r="G2" s="2006"/>
      <c r="H2" s="2006"/>
      <c r="I2" s="2006"/>
      <c r="J2" s="2006"/>
      <c r="K2" s="2007"/>
    </row>
    <row r="3" spans="1:11" ht="15" customHeight="1">
      <c r="A3" s="2008" t="s">
        <v>1</v>
      </c>
      <c r="B3" s="2009" t="s">
        <v>2</v>
      </c>
      <c r="C3" s="2009" t="s">
        <v>3</v>
      </c>
      <c r="D3" s="2009" t="s">
        <v>4</v>
      </c>
      <c r="E3" s="2009"/>
      <c r="F3" s="2009"/>
      <c r="G3" s="2009"/>
      <c r="H3" s="2009"/>
      <c r="I3" s="2009"/>
      <c r="J3" s="2010" t="s">
        <v>5</v>
      </c>
      <c r="K3" s="2009" t="s">
        <v>6</v>
      </c>
    </row>
    <row r="4" spans="1:11" ht="36.75" customHeight="1">
      <c r="A4" s="1989"/>
      <c r="B4" s="1991"/>
      <c r="C4" s="1991"/>
      <c r="D4" s="320" t="s">
        <v>7</v>
      </c>
      <c r="E4" s="7" t="s">
        <v>8</v>
      </c>
      <c r="F4" s="323" t="s">
        <v>9</v>
      </c>
      <c r="G4" s="7" t="s">
        <v>10</v>
      </c>
      <c r="H4" s="7" t="s">
        <v>11</v>
      </c>
      <c r="I4" s="7" t="s">
        <v>12</v>
      </c>
      <c r="J4" s="1990"/>
      <c r="K4" s="1991"/>
    </row>
    <row r="5" spans="1:11" ht="15" customHeight="1">
      <c r="A5" s="1945"/>
      <c r="B5" s="1991" t="s">
        <v>13</v>
      </c>
      <c r="C5" s="1947" t="s">
        <v>14</v>
      </c>
      <c r="D5" s="322" t="s">
        <v>8</v>
      </c>
      <c r="E5" s="8">
        <f t="shared" ref="E5:E20" si="0">SUM(F5:I5)</f>
        <v>4622250.8000000007</v>
      </c>
      <c r="F5" s="8">
        <f>SUM(F6:F10)</f>
        <v>4100349.6</v>
      </c>
      <c r="G5" s="8">
        <f>SUM(G6:G10)</f>
        <v>186471.3</v>
      </c>
      <c r="H5" s="8">
        <f>SUM(H6:H10)</f>
        <v>271329.90000000002</v>
      </c>
      <c r="I5" s="8">
        <f>SUM(I6:I10)</f>
        <v>64100</v>
      </c>
      <c r="J5" s="1990"/>
      <c r="K5" s="1991" t="s">
        <v>15</v>
      </c>
    </row>
    <row r="6" spans="1:11">
      <c r="A6" s="1945"/>
      <c r="B6" s="1991"/>
      <c r="C6" s="1947"/>
      <c r="D6" s="322">
        <v>2016</v>
      </c>
      <c r="E6" s="8">
        <f t="shared" si="0"/>
        <v>596162.69999999995</v>
      </c>
      <c r="F6" s="8">
        <f t="shared" ref="F6:I10" si="1">SUM(F12,F84,F216,F432)</f>
        <v>528911.6</v>
      </c>
      <c r="G6" s="8">
        <f t="shared" si="1"/>
        <v>25501.9</v>
      </c>
      <c r="H6" s="8">
        <f t="shared" si="1"/>
        <v>20949.2</v>
      </c>
      <c r="I6" s="8">
        <f t="shared" si="1"/>
        <v>20800</v>
      </c>
      <c r="J6" s="1990"/>
      <c r="K6" s="1991"/>
    </row>
    <row r="7" spans="1:11">
      <c r="A7" s="1945"/>
      <c r="B7" s="1991"/>
      <c r="C7" s="1947"/>
      <c r="D7" s="322">
        <v>2017</v>
      </c>
      <c r="E7" s="8">
        <f t="shared" si="0"/>
        <v>724029.79999999993</v>
      </c>
      <c r="F7" s="8">
        <f t="shared" si="1"/>
        <v>622094.69999999995</v>
      </c>
      <c r="G7" s="8">
        <f t="shared" si="1"/>
        <v>37021</v>
      </c>
      <c r="H7" s="8">
        <f t="shared" si="1"/>
        <v>49914.100000000006</v>
      </c>
      <c r="I7" s="8">
        <f t="shared" si="1"/>
        <v>15000</v>
      </c>
      <c r="J7" s="1990"/>
      <c r="K7" s="1991"/>
    </row>
    <row r="8" spans="1:11">
      <c r="A8" s="1945"/>
      <c r="B8" s="1991"/>
      <c r="C8" s="1947"/>
      <c r="D8" s="322">
        <v>2018</v>
      </c>
      <c r="E8" s="8">
        <f>SUM(F8:I8)</f>
        <v>1141313.8999999999</v>
      </c>
      <c r="F8" s="8">
        <f t="shared" si="1"/>
        <v>1055108.7</v>
      </c>
      <c r="G8" s="8">
        <f t="shared" si="1"/>
        <v>32132.199999999997</v>
      </c>
      <c r="H8" s="8">
        <f t="shared" si="1"/>
        <v>54073</v>
      </c>
      <c r="I8" s="8">
        <f t="shared" si="1"/>
        <v>0</v>
      </c>
      <c r="J8" s="1990"/>
      <c r="K8" s="1991"/>
    </row>
    <row r="9" spans="1:11">
      <c r="A9" s="1945"/>
      <c r="B9" s="1991"/>
      <c r="C9" s="1947"/>
      <c r="D9" s="322">
        <v>2019</v>
      </c>
      <c r="E9" s="8">
        <f>SUM(F9:I9)</f>
        <v>1291680.3</v>
      </c>
      <c r="F9" s="8">
        <f t="shared" si="1"/>
        <v>1087520.5</v>
      </c>
      <c r="G9" s="8">
        <f t="shared" si="1"/>
        <v>91816.2</v>
      </c>
      <c r="H9" s="8">
        <f t="shared" si="1"/>
        <v>84043.6</v>
      </c>
      <c r="I9" s="8">
        <f t="shared" si="1"/>
        <v>28300</v>
      </c>
      <c r="J9" s="1990"/>
      <c r="K9" s="1991"/>
    </row>
    <row r="10" spans="1:11">
      <c r="A10" s="1945"/>
      <c r="B10" s="1991"/>
      <c r="C10" s="1947"/>
      <c r="D10" s="322">
        <v>2020</v>
      </c>
      <c r="E10" s="8">
        <f>SUM(F10:I10)</f>
        <v>869064.10000000009</v>
      </c>
      <c r="F10" s="8">
        <f t="shared" si="1"/>
        <v>806714.10000000009</v>
      </c>
      <c r="G10" s="8">
        <f t="shared" si="1"/>
        <v>0</v>
      </c>
      <c r="H10" s="8">
        <f t="shared" si="1"/>
        <v>62350</v>
      </c>
      <c r="I10" s="8">
        <f t="shared" si="1"/>
        <v>0</v>
      </c>
      <c r="J10" s="1990"/>
      <c r="K10" s="1991"/>
    </row>
    <row r="11" spans="1:11" ht="15" customHeight="1">
      <c r="A11" s="1945" t="s">
        <v>16</v>
      </c>
      <c r="B11" s="1991" t="s">
        <v>17</v>
      </c>
      <c r="C11" s="1947" t="s">
        <v>14</v>
      </c>
      <c r="D11" s="322" t="s">
        <v>8</v>
      </c>
      <c r="E11" s="8">
        <f t="shared" si="0"/>
        <v>232739.20000000001</v>
      </c>
      <c r="F11" s="8">
        <f>SUM(F12:F16)</f>
        <v>190283.4</v>
      </c>
      <c r="G11" s="8">
        <f>SUM(G12:G16)</f>
        <v>42455.8</v>
      </c>
      <c r="H11" s="8">
        <f>SUM(H12:H16)</f>
        <v>0</v>
      </c>
      <c r="I11" s="8">
        <f>SUM(I12:I16)</f>
        <v>0</v>
      </c>
      <c r="J11" s="1990"/>
      <c r="K11" s="1991" t="s">
        <v>18</v>
      </c>
    </row>
    <row r="12" spans="1:11">
      <c r="A12" s="1945"/>
      <c r="B12" s="1991"/>
      <c r="C12" s="1947"/>
      <c r="D12" s="322">
        <v>2016</v>
      </c>
      <c r="E12" s="8">
        <f t="shared" si="0"/>
        <v>20057.099999999999</v>
      </c>
      <c r="F12" s="8">
        <f t="shared" ref="F12:I16" si="2">F18+F60</f>
        <v>12120.599999999999</v>
      </c>
      <c r="G12" s="8">
        <f t="shared" si="2"/>
        <v>7936.5</v>
      </c>
      <c r="H12" s="8">
        <f t="shared" si="2"/>
        <v>0</v>
      </c>
      <c r="I12" s="8">
        <f t="shared" si="2"/>
        <v>0</v>
      </c>
      <c r="J12" s="1990"/>
      <c r="K12" s="1991"/>
    </row>
    <row r="13" spans="1:11">
      <c r="A13" s="1945"/>
      <c r="B13" s="1991"/>
      <c r="C13" s="1947"/>
      <c r="D13" s="322">
        <v>2017</v>
      </c>
      <c r="E13" s="8">
        <f>SUM(F13:I13)</f>
        <v>29900.6</v>
      </c>
      <c r="F13" s="8">
        <f t="shared" si="2"/>
        <v>12200.599999999999</v>
      </c>
      <c r="G13" s="8">
        <f t="shared" si="2"/>
        <v>17700</v>
      </c>
      <c r="H13" s="8">
        <f t="shared" si="2"/>
        <v>0</v>
      </c>
      <c r="I13" s="8">
        <f t="shared" si="2"/>
        <v>0</v>
      </c>
      <c r="J13" s="1990"/>
      <c r="K13" s="1991"/>
    </row>
    <row r="14" spans="1:11">
      <c r="A14" s="1945"/>
      <c r="B14" s="1991"/>
      <c r="C14" s="1947"/>
      <c r="D14" s="322">
        <v>2018</v>
      </c>
      <c r="E14" s="8">
        <f t="shared" si="0"/>
        <v>79841.8</v>
      </c>
      <c r="F14" s="8">
        <f t="shared" si="2"/>
        <v>63022.5</v>
      </c>
      <c r="G14" s="8">
        <f t="shared" si="2"/>
        <v>16819.3</v>
      </c>
      <c r="H14" s="8">
        <f t="shared" si="2"/>
        <v>0</v>
      </c>
      <c r="I14" s="8">
        <f t="shared" si="2"/>
        <v>0</v>
      </c>
      <c r="J14" s="1990"/>
      <c r="K14" s="1991"/>
    </row>
    <row r="15" spans="1:11">
      <c r="A15" s="1945"/>
      <c r="B15" s="1991"/>
      <c r="C15" s="1947"/>
      <c r="D15" s="322">
        <v>2019</v>
      </c>
      <c r="E15" s="8">
        <f>SUM(F15:I15)</f>
        <v>51190.8</v>
      </c>
      <c r="F15" s="8">
        <f t="shared" si="2"/>
        <v>51190.8</v>
      </c>
      <c r="G15" s="8">
        <f t="shared" si="2"/>
        <v>0</v>
      </c>
      <c r="H15" s="8">
        <f t="shared" si="2"/>
        <v>0</v>
      </c>
      <c r="I15" s="8">
        <f t="shared" si="2"/>
        <v>0</v>
      </c>
      <c r="J15" s="1990"/>
      <c r="K15" s="1991"/>
    </row>
    <row r="16" spans="1:11">
      <c r="A16" s="1945"/>
      <c r="B16" s="1991"/>
      <c r="C16" s="1947"/>
      <c r="D16" s="322">
        <v>2020</v>
      </c>
      <c r="E16" s="8">
        <f>SUM(F16:I16)</f>
        <v>51748.9</v>
      </c>
      <c r="F16" s="8">
        <f t="shared" si="2"/>
        <v>51748.9</v>
      </c>
      <c r="G16" s="8">
        <f t="shared" si="2"/>
        <v>0</v>
      </c>
      <c r="H16" s="8">
        <f t="shared" si="2"/>
        <v>0</v>
      </c>
      <c r="I16" s="8">
        <f t="shared" si="2"/>
        <v>0</v>
      </c>
      <c r="J16" s="1990"/>
      <c r="K16" s="1991"/>
    </row>
    <row r="17" spans="1:11" ht="15" customHeight="1">
      <c r="A17" s="1945" t="s">
        <v>172</v>
      </c>
      <c r="B17" s="1989" t="s">
        <v>20</v>
      </c>
      <c r="C17" s="1947" t="s">
        <v>14</v>
      </c>
      <c r="D17" s="322" t="s">
        <v>8</v>
      </c>
      <c r="E17" s="8">
        <f t="shared" si="0"/>
        <v>191438.59999999998</v>
      </c>
      <c r="F17" s="8">
        <f>SUM(F18:F22)</f>
        <v>149942.29999999999</v>
      </c>
      <c r="G17" s="8">
        <f>SUM(G18:G22)</f>
        <v>41496.300000000003</v>
      </c>
      <c r="H17" s="8">
        <f>SUM(H18:H22)</f>
        <v>0</v>
      </c>
      <c r="I17" s="8">
        <f>SUM(I18:I22)</f>
        <v>0</v>
      </c>
      <c r="J17" s="1990" t="s">
        <v>21</v>
      </c>
      <c r="K17" s="1991" t="s">
        <v>18</v>
      </c>
    </row>
    <row r="18" spans="1:11">
      <c r="A18" s="1945"/>
      <c r="B18" s="1989"/>
      <c r="C18" s="1947"/>
      <c r="D18" s="322">
        <v>2016</v>
      </c>
      <c r="E18" s="8">
        <f t="shared" si="0"/>
        <v>15841.4</v>
      </c>
      <c r="F18" s="8">
        <f t="shared" ref="F18:I22" si="3">SUM(F24,F30,F36,F42,F48,F54)</f>
        <v>8864.4</v>
      </c>
      <c r="G18" s="8">
        <f t="shared" si="3"/>
        <v>6977</v>
      </c>
      <c r="H18" s="8">
        <f t="shared" si="3"/>
        <v>0</v>
      </c>
      <c r="I18" s="8">
        <f t="shared" si="3"/>
        <v>0</v>
      </c>
      <c r="J18" s="1990"/>
      <c r="K18" s="1991"/>
    </row>
    <row r="19" spans="1:11">
      <c r="A19" s="1945"/>
      <c r="B19" s="1989"/>
      <c r="C19" s="1947"/>
      <c r="D19" s="322">
        <v>2017</v>
      </c>
      <c r="E19" s="8">
        <f>SUM(F19:I19)</f>
        <v>27734.400000000001</v>
      </c>
      <c r="F19" s="8">
        <f t="shared" si="3"/>
        <v>10034.4</v>
      </c>
      <c r="G19" s="8">
        <f t="shared" si="3"/>
        <v>17700</v>
      </c>
      <c r="H19" s="8">
        <f t="shared" si="3"/>
        <v>0</v>
      </c>
      <c r="I19" s="8">
        <f t="shared" si="3"/>
        <v>0</v>
      </c>
      <c r="J19" s="1990"/>
      <c r="K19" s="1991"/>
    </row>
    <row r="20" spans="1:11" ht="16.5" customHeight="1">
      <c r="A20" s="1945"/>
      <c r="B20" s="1989"/>
      <c r="C20" s="1947"/>
      <c r="D20" s="322">
        <v>2018</v>
      </c>
      <c r="E20" s="8">
        <f t="shared" si="0"/>
        <v>68523.399999999994</v>
      </c>
      <c r="F20" s="8">
        <f t="shared" si="3"/>
        <v>51704.1</v>
      </c>
      <c r="G20" s="8">
        <f t="shared" si="3"/>
        <v>16819.3</v>
      </c>
      <c r="H20" s="8">
        <f t="shared" si="3"/>
        <v>0</v>
      </c>
      <c r="I20" s="8">
        <f t="shared" si="3"/>
        <v>0</v>
      </c>
      <c r="J20" s="1990"/>
      <c r="K20" s="1991"/>
    </row>
    <row r="21" spans="1:11" ht="16.5" customHeight="1">
      <c r="A21" s="1945"/>
      <c r="B21" s="1989"/>
      <c r="C21" s="1947"/>
      <c r="D21" s="322">
        <v>2019</v>
      </c>
      <c r="E21" s="8">
        <f>SUM(F21:I21)</f>
        <v>39555.1</v>
      </c>
      <c r="F21" s="8">
        <f t="shared" si="3"/>
        <v>39555.1</v>
      </c>
      <c r="G21" s="8">
        <f t="shared" si="3"/>
        <v>0</v>
      </c>
      <c r="H21" s="8">
        <f t="shared" si="3"/>
        <v>0</v>
      </c>
      <c r="I21" s="8">
        <f t="shared" si="3"/>
        <v>0</v>
      </c>
      <c r="J21" s="1990"/>
      <c r="K21" s="1991"/>
    </row>
    <row r="22" spans="1:11" ht="16.5" customHeight="1">
      <c r="A22" s="1945"/>
      <c r="B22" s="1989"/>
      <c r="C22" s="1947"/>
      <c r="D22" s="322">
        <v>2020</v>
      </c>
      <c r="E22" s="8">
        <f>SUM(F22:I22)</f>
        <v>39784.300000000003</v>
      </c>
      <c r="F22" s="8">
        <f t="shared" si="3"/>
        <v>39784.300000000003</v>
      </c>
      <c r="G22" s="8">
        <f t="shared" si="3"/>
        <v>0</v>
      </c>
      <c r="H22" s="8">
        <f t="shared" si="3"/>
        <v>0</v>
      </c>
      <c r="I22" s="8">
        <f t="shared" si="3"/>
        <v>0</v>
      </c>
      <c r="J22" s="1990"/>
      <c r="K22" s="1991"/>
    </row>
    <row r="23" spans="1:11" s="2" customFormat="1" ht="16.5" customHeight="1">
      <c r="A23" s="1945" t="s">
        <v>19</v>
      </c>
      <c r="B23" s="1989" t="s">
        <v>22</v>
      </c>
      <c r="C23" s="1947" t="s">
        <v>14</v>
      </c>
      <c r="D23" s="322" t="s">
        <v>8</v>
      </c>
      <c r="E23" s="8">
        <f t="shared" ref="E23:E32" si="4">SUM(F23:I23)</f>
        <v>43124.3</v>
      </c>
      <c r="F23" s="8">
        <f>SUM(F24:F28)</f>
        <v>43124.3</v>
      </c>
      <c r="G23" s="8">
        <f>SUM(G24:G28)</f>
        <v>0</v>
      </c>
      <c r="H23" s="8">
        <f>SUM(H24:H28)</f>
        <v>0</v>
      </c>
      <c r="I23" s="8">
        <f>SUM(I24:I28)</f>
        <v>0</v>
      </c>
      <c r="J23" s="1990" t="s">
        <v>179</v>
      </c>
      <c r="K23" s="1991" t="s">
        <v>23</v>
      </c>
    </row>
    <row r="24" spans="1:11" s="2" customFormat="1">
      <c r="A24" s="1945"/>
      <c r="B24" s="1989"/>
      <c r="C24" s="1947"/>
      <c r="D24" s="322">
        <v>2016</v>
      </c>
      <c r="E24" s="8">
        <f t="shared" si="4"/>
        <v>4096.3999999999996</v>
      </c>
      <c r="F24" s="8">
        <v>4096.3999999999996</v>
      </c>
      <c r="G24" s="9">
        <v>0</v>
      </c>
      <c r="H24" s="9">
        <v>0</v>
      </c>
      <c r="I24" s="9">
        <v>0</v>
      </c>
      <c r="J24" s="1990"/>
      <c r="K24" s="1991"/>
    </row>
    <row r="25" spans="1:11" s="2" customFormat="1">
      <c r="A25" s="1945"/>
      <c r="B25" s="1989"/>
      <c r="C25" s="1947"/>
      <c r="D25" s="322">
        <v>2017</v>
      </c>
      <c r="E25" s="8">
        <f>SUM(F25:I25)</f>
        <v>5186.3999999999996</v>
      </c>
      <c r="F25" s="8">
        <v>5186.3999999999996</v>
      </c>
      <c r="G25" s="9">
        <v>0</v>
      </c>
      <c r="H25" s="9">
        <v>0</v>
      </c>
      <c r="I25" s="9">
        <v>0</v>
      </c>
      <c r="J25" s="1990"/>
      <c r="K25" s="1991"/>
    </row>
    <row r="26" spans="1:11" s="2" customFormat="1">
      <c r="A26" s="1945"/>
      <c r="B26" s="1989"/>
      <c r="C26" s="1947"/>
      <c r="D26" s="322">
        <v>2018</v>
      </c>
      <c r="E26" s="8">
        <f t="shared" si="4"/>
        <v>11216.3</v>
      </c>
      <c r="F26" s="8">
        <v>11216.3</v>
      </c>
      <c r="G26" s="9">
        <v>0</v>
      </c>
      <c r="H26" s="9">
        <v>0</v>
      </c>
      <c r="I26" s="9">
        <v>0</v>
      </c>
      <c r="J26" s="1990"/>
      <c r="K26" s="1991"/>
    </row>
    <row r="27" spans="1:11" s="2" customFormat="1">
      <c r="A27" s="1945"/>
      <c r="B27" s="1989"/>
      <c r="C27" s="1947"/>
      <c r="D27" s="322">
        <v>2019</v>
      </c>
      <c r="E27" s="8">
        <f>SUM(F27:I27)</f>
        <v>11198</v>
      </c>
      <c r="F27" s="8">
        <v>11198</v>
      </c>
      <c r="G27" s="9">
        <v>0</v>
      </c>
      <c r="H27" s="9">
        <v>0</v>
      </c>
      <c r="I27" s="9">
        <v>0</v>
      </c>
      <c r="J27" s="1990"/>
      <c r="K27" s="1991"/>
    </row>
    <row r="28" spans="1:11" s="2" customFormat="1">
      <c r="A28" s="1945"/>
      <c r="B28" s="1989"/>
      <c r="C28" s="1947"/>
      <c r="D28" s="322">
        <v>2020</v>
      </c>
      <c r="E28" s="8">
        <f>SUM(F28:I28)</f>
        <v>11427.2</v>
      </c>
      <c r="F28" s="8">
        <v>11427.2</v>
      </c>
      <c r="G28" s="9">
        <v>0</v>
      </c>
      <c r="H28" s="9">
        <v>0</v>
      </c>
      <c r="I28" s="9">
        <v>0</v>
      </c>
      <c r="J28" s="1990"/>
      <c r="K28" s="1991"/>
    </row>
    <row r="29" spans="1:11" s="2" customFormat="1" ht="15" customHeight="1">
      <c r="A29" s="1945" t="s">
        <v>180</v>
      </c>
      <c r="B29" s="1989" t="s">
        <v>274</v>
      </c>
      <c r="C29" s="1947" t="s">
        <v>14</v>
      </c>
      <c r="D29" s="322" t="s">
        <v>8</v>
      </c>
      <c r="E29" s="8">
        <f t="shared" si="4"/>
        <v>9090</v>
      </c>
      <c r="F29" s="8">
        <f>SUM(F30:F34)</f>
        <v>9090</v>
      </c>
      <c r="G29" s="8">
        <f>SUM(G30:G34)</f>
        <v>0</v>
      </c>
      <c r="H29" s="8">
        <f>SUM(H30:H34)</f>
        <v>0</v>
      </c>
      <c r="I29" s="8">
        <f>SUM(I30:I34)</f>
        <v>0</v>
      </c>
      <c r="J29" s="1990" t="s">
        <v>25</v>
      </c>
      <c r="K29" s="1991" t="s">
        <v>26</v>
      </c>
    </row>
    <row r="30" spans="1:11" s="2" customFormat="1">
      <c r="A30" s="1945"/>
      <c r="B30" s="1989"/>
      <c r="C30" s="1947"/>
      <c r="D30" s="322">
        <v>2016</v>
      </c>
      <c r="E30" s="8">
        <f t="shared" si="4"/>
        <v>1818</v>
      </c>
      <c r="F30" s="8">
        <v>1818</v>
      </c>
      <c r="G30" s="9">
        <v>0</v>
      </c>
      <c r="H30" s="9">
        <v>0</v>
      </c>
      <c r="I30" s="9">
        <v>0</v>
      </c>
      <c r="J30" s="1990"/>
      <c r="K30" s="1991"/>
    </row>
    <row r="31" spans="1:11" s="2" customFormat="1">
      <c r="A31" s="1945"/>
      <c r="B31" s="1989"/>
      <c r="C31" s="1947"/>
      <c r="D31" s="322">
        <v>2017</v>
      </c>
      <c r="E31" s="8">
        <f>SUM(F31:I31)</f>
        <v>1818</v>
      </c>
      <c r="F31" s="8">
        <v>1818</v>
      </c>
      <c r="G31" s="9">
        <v>0</v>
      </c>
      <c r="H31" s="9">
        <v>0</v>
      </c>
      <c r="I31" s="9">
        <v>0</v>
      </c>
      <c r="J31" s="1990"/>
      <c r="K31" s="1991"/>
    </row>
    <row r="32" spans="1:11" s="2" customFormat="1">
      <c r="A32" s="1945"/>
      <c r="B32" s="1989"/>
      <c r="C32" s="1947"/>
      <c r="D32" s="322">
        <v>2018</v>
      </c>
      <c r="E32" s="8">
        <f t="shared" si="4"/>
        <v>1818</v>
      </c>
      <c r="F32" s="8">
        <v>1818</v>
      </c>
      <c r="G32" s="9">
        <v>0</v>
      </c>
      <c r="H32" s="9">
        <v>0</v>
      </c>
      <c r="I32" s="9">
        <v>0</v>
      </c>
      <c r="J32" s="1990"/>
      <c r="K32" s="1991"/>
    </row>
    <row r="33" spans="1:11" s="2" customFormat="1">
      <c r="A33" s="1945"/>
      <c r="B33" s="1989"/>
      <c r="C33" s="1947"/>
      <c r="D33" s="322">
        <v>2019</v>
      </c>
      <c r="E33" s="8">
        <f t="shared" ref="E33:E68" si="5">SUM(F33:I33)</f>
        <v>1818</v>
      </c>
      <c r="F33" s="8">
        <v>1818</v>
      </c>
      <c r="G33" s="9">
        <v>0</v>
      </c>
      <c r="H33" s="9">
        <v>0</v>
      </c>
      <c r="I33" s="9">
        <v>0</v>
      </c>
      <c r="J33" s="1990"/>
      <c r="K33" s="1991"/>
    </row>
    <row r="34" spans="1:11" s="2" customFormat="1">
      <c r="A34" s="1945"/>
      <c r="B34" s="1989"/>
      <c r="C34" s="1947"/>
      <c r="D34" s="322">
        <v>2020</v>
      </c>
      <c r="E34" s="8">
        <f t="shared" si="5"/>
        <v>1818</v>
      </c>
      <c r="F34" s="8">
        <v>1818</v>
      </c>
      <c r="G34" s="9">
        <v>0</v>
      </c>
      <c r="H34" s="9">
        <v>0</v>
      </c>
      <c r="I34" s="9">
        <v>0</v>
      </c>
      <c r="J34" s="1990"/>
      <c r="K34" s="1991"/>
    </row>
    <row r="35" spans="1:11" s="2" customFormat="1" ht="13.5" customHeight="1">
      <c r="A35" s="1945" t="s">
        <v>182</v>
      </c>
      <c r="B35" s="1989" t="s">
        <v>27</v>
      </c>
      <c r="C35" s="1947" t="s">
        <v>151</v>
      </c>
      <c r="D35" s="322" t="s">
        <v>8</v>
      </c>
      <c r="E35" s="8">
        <f t="shared" ref="E35:E40" si="6">SUM(F35:I35)</f>
        <v>14250</v>
      </c>
      <c r="F35" s="8">
        <f>SUM(F36:F40)</f>
        <v>14250</v>
      </c>
      <c r="G35" s="8">
        <f>SUM(G36:G40)</f>
        <v>0</v>
      </c>
      <c r="H35" s="8">
        <f>SUM(H36:H40)</f>
        <v>0</v>
      </c>
      <c r="I35" s="8">
        <f>SUM(I36:I40)</f>
        <v>0</v>
      </c>
      <c r="J35" s="1990" t="s">
        <v>275</v>
      </c>
      <c r="K35" s="1991" t="s">
        <v>23</v>
      </c>
    </row>
    <row r="36" spans="1:11" s="2" customFormat="1" ht="13.5" customHeight="1">
      <c r="A36" s="1945"/>
      <c r="B36" s="1989"/>
      <c r="C36" s="1947"/>
      <c r="D36" s="322">
        <v>2016</v>
      </c>
      <c r="E36" s="8">
        <f t="shared" si="6"/>
        <v>2850</v>
      </c>
      <c r="F36" s="8">
        <v>2850</v>
      </c>
      <c r="G36" s="9">
        <v>0</v>
      </c>
      <c r="H36" s="9">
        <v>0</v>
      </c>
      <c r="I36" s="9">
        <v>0</v>
      </c>
      <c r="J36" s="1990"/>
      <c r="K36" s="1991"/>
    </row>
    <row r="37" spans="1:11" s="2" customFormat="1" ht="13.5" customHeight="1">
      <c r="A37" s="1945"/>
      <c r="B37" s="1989"/>
      <c r="C37" s="1947"/>
      <c r="D37" s="322">
        <v>2017</v>
      </c>
      <c r="E37" s="8">
        <f t="shared" si="6"/>
        <v>2850</v>
      </c>
      <c r="F37" s="8">
        <v>2850</v>
      </c>
      <c r="G37" s="9">
        <v>0</v>
      </c>
      <c r="H37" s="9">
        <v>0</v>
      </c>
      <c r="I37" s="9">
        <v>0</v>
      </c>
      <c r="J37" s="1990"/>
      <c r="K37" s="1991"/>
    </row>
    <row r="38" spans="1:11" s="2" customFormat="1" ht="13.5" customHeight="1">
      <c r="A38" s="1945"/>
      <c r="B38" s="1989"/>
      <c r="C38" s="1947"/>
      <c r="D38" s="322">
        <v>2018</v>
      </c>
      <c r="E38" s="8">
        <f t="shared" si="6"/>
        <v>2850</v>
      </c>
      <c r="F38" s="8">
        <v>2850</v>
      </c>
      <c r="G38" s="9">
        <v>0</v>
      </c>
      <c r="H38" s="9">
        <v>0</v>
      </c>
      <c r="I38" s="9">
        <v>0</v>
      </c>
      <c r="J38" s="1990"/>
      <c r="K38" s="1991"/>
    </row>
    <row r="39" spans="1:11" s="2" customFormat="1" ht="13.5" customHeight="1">
      <c r="A39" s="1945"/>
      <c r="B39" s="1989"/>
      <c r="C39" s="1947"/>
      <c r="D39" s="322">
        <v>2019</v>
      </c>
      <c r="E39" s="8">
        <f t="shared" si="6"/>
        <v>2850</v>
      </c>
      <c r="F39" s="8">
        <v>2850</v>
      </c>
      <c r="G39" s="9">
        <v>0</v>
      </c>
      <c r="H39" s="9">
        <v>0</v>
      </c>
      <c r="I39" s="9">
        <v>0</v>
      </c>
      <c r="J39" s="1990"/>
      <c r="K39" s="1991"/>
    </row>
    <row r="40" spans="1:11" s="2" customFormat="1" ht="13.5" customHeight="1">
      <c r="A40" s="1945"/>
      <c r="B40" s="1989"/>
      <c r="C40" s="1947"/>
      <c r="D40" s="322">
        <v>2020</v>
      </c>
      <c r="E40" s="8">
        <f t="shared" si="6"/>
        <v>2850</v>
      </c>
      <c r="F40" s="8">
        <v>2850</v>
      </c>
      <c r="G40" s="9">
        <v>0</v>
      </c>
      <c r="H40" s="9">
        <v>0</v>
      </c>
      <c r="I40" s="9">
        <v>0</v>
      </c>
      <c r="J40" s="1990"/>
      <c r="K40" s="1991"/>
    </row>
    <row r="41" spans="1:11" s="2" customFormat="1" ht="15.75" customHeight="1">
      <c r="A41" s="1945" t="s">
        <v>183</v>
      </c>
      <c r="B41" s="1989" t="s">
        <v>29</v>
      </c>
      <c r="C41" s="1947" t="s">
        <v>151</v>
      </c>
      <c r="D41" s="322" t="s">
        <v>8</v>
      </c>
      <c r="E41" s="8">
        <f t="shared" si="5"/>
        <v>63591.899999999994</v>
      </c>
      <c r="F41" s="8">
        <f>SUM(F42:F46)</f>
        <v>29771.3</v>
      </c>
      <c r="G41" s="8">
        <f>SUM(G42:G46)</f>
        <v>33820.6</v>
      </c>
      <c r="H41" s="8">
        <f>SUM(H42:H46)</f>
        <v>0</v>
      </c>
      <c r="I41" s="8">
        <f>SUM(I42:I46)</f>
        <v>0</v>
      </c>
      <c r="J41" s="1990" t="s">
        <v>31</v>
      </c>
      <c r="K41" s="1990" t="s">
        <v>276</v>
      </c>
    </row>
    <row r="42" spans="1:11" s="2" customFormat="1">
      <c r="A42" s="1945"/>
      <c r="B42" s="1989"/>
      <c r="C42" s="1947"/>
      <c r="D42" s="322">
        <v>2016</v>
      </c>
      <c r="E42" s="8">
        <f t="shared" si="5"/>
        <v>7077</v>
      </c>
      <c r="F42" s="9">
        <v>100</v>
      </c>
      <c r="G42" s="9">
        <v>6977</v>
      </c>
      <c r="H42" s="9">
        <v>0</v>
      </c>
      <c r="I42" s="9">
        <v>0</v>
      </c>
      <c r="J42" s="1990"/>
      <c r="K42" s="1990"/>
    </row>
    <row r="43" spans="1:11" s="2" customFormat="1">
      <c r="A43" s="1945"/>
      <c r="B43" s="1989"/>
      <c r="C43" s="1947"/>
      <c r="D43" s="322">
        <v>2017</v>
      </c>
      <c r="E43" s="8">
        <f t="shared" si="5"/>
        <v>17880</v>
      </c>
      <c r="F43" s="9">
        <v>180</v>
      </c>
      <c r="G43" s="9">
        <v>17700</v>
      </c>
      <c r="H43" s="9">
        <v>0</v>
      </c>
      <c r="I43" s="9">
        <v>0</v>
      </c>
      <c r="J43" s="1990"/>
      <c r="K43" s="1990"/>
    </row>
    <row r="44" spans="1:11" s="2" customFormat="1">
      <c r="A44" s="1945"/>
      <c r="B44" s="1989"/>
      <c r="C44" s="1947"/>
      <c r="D44" s="322">
        <v>2018</v>
      </c>
      <c r="E44" s="8">
        <f t="shared" si="5"/>
        <v>12878.3</v>
      </c>
      <c r="F44" s="9">
        <v>3734.7</v>
      </c>
      <c r="G44" s="9">
        <v>9143.6</v>
      </c>
      <c r="H44" s="9">
        <v>0</v>
      </c>
      <c r="I44" s="9">
        <v>0</v>
      </c>
      <c r="J44" s="1990"/>
      <c r="K44" s="1990"/>
    </row>
    <row r="45" spans="1:11" s="2" customFormat="1">
      <c r="A45" s="1945"/>
      <c r="B45" s="1989"/>
      <c r="C45" s="1947"/>
      <c r="D45" s="322">
        <v>2019</v>
      </c>
      <c r="E45" s="8">
        <f t="shared" si="5"/>
        <v>12878.3</v>
      </c>
      <c r="F45" s="9">
        <v>12878.3</v>
      </c>
      <c r="G45" s="9">
        <v>0</v>
      </c>
      <c r="H45" s="9">
        <v>0</v>
      </c>
      <c r="I45" s="9">
        <v>0</v>
      </c>
      <c r="J45" s="1990"/>
      <c r="K45" s="1990"/>
    </row>
    <row r="46" spans="1:11" s="2" customFormat="1">
      <c r="A46" s="1945"/>
      <c r="B46" s="1989"/>
      <c r="C46" s="1947"/>
      <c r="D46" s="322">
        <v>2020</v>
      </c>
      <c r="E46" s="8">
        <f t="shared" si="5"/>
        <v>12878.3</v>
      </c>
      <c r="F46" s="9">
        <v>12878.3</v>
      </c>
      <c r="G46" s="9">
        <v>0</v>
      </c>
      <c r="H46" s="9">
        <v>0</v>
      </c>
      <c r="I46" s="9">
        <v>0</v>
      </c>
      <c r="J46" s="1990"/>
      <c r="K46" s="1990"/>
    </row>
    <row r="47" spans="1:11" s="2" customFormat="1" ht="15" customHeight="1">
      <c r="A47" s="1950" t="s">
        <v>184</v>
      </c>
      <c r="B47" s="1994" t="s">
        <v>185</v>
      </c>
      <c r="C47" s="1951" t="s">
        <v>186</v>
      </c>
      <c r="D47" s="51" t="s">
        <v>8</v>
      </c>
      <c r="E47" s="8">
        <f t="shared" si="5"/>
        <v>32432.399999999998</v>
      </c>
      <c r="F47" s="8">
        <f>SUM(F48:F52)</f>
        <v>24756.699999999997</v>
      </c>
      <c r="G47" s="8">
        <f>SUM(G48:G52)</f>
        <v>7675.7</v>
      </c>
      <c r="H47" s="8">
        <f>SUM(H48:H52)</f>
        <v>0</v>
      </c>
      <c r="I47" s="8">
        <f>SUM(I48:I52)</f>
        <v>0</v>
      </c>
      <c r="J47" s="1990" t="s">
        <v>187</v>
      </c>
      <c r="K47" s="1991" t="s">
        <v>26</v>
      </c>
    </row>
    <row r="48" spans="1:11" s="2" customFormat="1">
      <c r="A48" s="1951"/>
      <c r="B48" s="1994"/>
      <c r="C48" s="1951"/>
      <c r="D48" s="51">
        <v>2016</v>
      </c>
      <c r="E48" s="8">
        <f t="shared" si="5"/>
        <v>0</v>
      </c>
      <c r="F48" s="9">
        <v>0</v>
      </c>
      <c r="G48" s="9">
        <v>0</v>
      </c>
      <c r="H48" s="9">
        <v>0</v>
      </c>
      <c r="I48" s="9">
        <v>0</v>
      </c>
      <c r="J48" s="1990"/>
      <c r="K48" s="1991"/>
    </row>
    <row r="49" spans="1:11" s="2" customFormat="1">
      <c r="A49" s="1951"/>
      <c r="B49" s="1994"/>
      <c r="C49" s="1951"/>
      <c r="D49" s="51">
        <v>2017</v>
      </c>
      <c r="E49" s="8">
        <f t="shared" si="5"/>
        <v>0</v>
      </c>
      <c r="F49" s="9">
        <v>0</v>
      </c>
      <c r="G49" s="9">
        <v>0</v>
      </c>
      <c r="H49" s="9">
        <v>0</v>
      </c>
      <c r="I49" s="9">
        <v>0</v>
      </c>
      <c r="J49" s="1990"/>
      <c r="K49" s="1991"/>
    </row>
    <row r="50" spans="1:11" s="2" customFormat="1">
      <c r="A50" s="1951"/>
      <c r="B50" s="1994"/>
      <c r="C50" s="1951"/>
      <c r="D50" s="322">
        <v>2018</v>
      </c>
      <c r="E50" s="8">
        <f t="shared" si="5"/>
        <v>10810.8</v>
      </c>
      <c r="F50" s="9">
        <v>3135.1</v>
      </c>
      <c r="G50" s="9">
        <v>7675.7</v>
      </c>
      <c r="H50" s="9">
        <v>0</v>
      </c>
      <c r="I50" s="9">
        <v>0</v>
      </c>
      <c r="J50" s="1990"/>
      <c r="K50" s="1991"/>
    </row>
    <row r="51" spans="1:11" s="2" customFormat="1">
      <c r="A51" s="1951"/>
      <c r="B51" s="1994"/>
      <c r="C51" s="1951"/>
      <c r="D51" s="322">
        <v>2019</v>
      </c>
      <c r="E51" s="8">
        <f t="shared" si="5"/>
        <v>10810.8</v>
      </c>
      <c r="F51" s="9">
        <v>10810.8</v>
      </c>
      <c r="G51" s="9">
        <v>0</v>
      </c>
      <c r="H51" s="9">
        <v>0</v>
      </c>
      <c r="I51" s="9">
        <v>0</v>
      </c>
      <c r="J51" s="1990"/>
      <c r="K51" s="1991"/>
    </row>
    <row r="52" spans="1:11" s="2" customFormat="1">
      <c r="A52" s="1951"/>
      <c r="B52" s="1994"/>
      <c r="C52" s="1951"/>
      <c r="D52" s="322">
        <v>2020</v>
      </c>
      <c r="E52" s="8">
        <f t="shared" si="5"/>
        <v>10810.8</v>
      </c>
      <c r="F52" s="9">
        <v>10810.8</v>
      </c>
      <c r="G52" s="9">
        <v>0</v>
      </c>
      <c r="H52" s="9">
        <v>0</v>
      </c>
      <c r="I52" s="9">
        <v>0</v>
      </c>
      <c r="J52" s="1990"/>
      <c r="K52" s="1991"/>
    </row>
    <row r="53" spans="1:11" s="2" customFormat="1" ht="15" customHeight="1">
      <c r="A53" s="1950" t="s">
        <v>188</v>
      </c>
      <c r="B53" s="1994" t="s">
        <v>189</v>
      </c>
      <c r="C53" s="1951">
        <v>2018</v>
      </c>
      <c r="D53" s="51" t="s">
        <v>8</v>
      </c>
      <c r="E53" s="8">
        <f t="shared" si="5"/>
        <v>28950</v>
      </c>
      <c r="F53" s="8">
        <f>SUM(F54:F58)</f>
        <v>28950</v>
      </c>
      <c r="G53" s="8">
        <f>SUM(G54:G58)</f>
        <v>0</v>
      </c>
      <c r="H53" s="8">
        <f>SUM(H54:H58)</f>
        <v>0</v>
      </c>
      <c r="I53" s="8">
        <f>SUM(I54:I58)</f>
        <v>0</v>
      </c>
      <c r="J53" s="1990" t="s">
        <v>190</v>
      </c>
      <c r="K53" s="1991" t="s">
        <v>26</v>
      </c>
    </row>
    <row r="54" spans="1:11" s="2" customFormat="1">
      <c r="A54" s="1951"/>
      <c r="B54" s="1994"/>
      <c r="C54" s="1951"/>
      <c r="D54" s="51">
        <v>2016</v>
      </c>
      <c r="E54" s="8">
        <f t="shared" si="5"/>
        <v>0</v>
      </c>
      <c r="F54" s="9">
        <v>0</v>
      </c>
      <c r="G54" s="9">
        <v>0</v>
      </c>
      <c r="H54" s="9">
        <v>0</v>
      </c>
      <c r="I54" s="9">
        <v>0</v>
      </c>
      <c r="J54" s="1990"/>
      <c r="K54" s="1991"/>
    </row>
    <row r="55" spans="1:11" s="2" customFormat="1">
      <c r="A55" s="1951"/>
      <c r="B55" s="1994"/>
      <c r="C55" s="1951"/>
      <c r="D55" s="51">
        <v>2017</v>
      </c>
      <c r="E55" s="8">
        <f t="shared" si="5"/>
        <v>0</v>
      </c>
      <c r="F55" s="9">
        <v>0</v>
      </c>
      <c r="G55" s="9">
        <v>0</v>
      </c>
      <c r="H55" s="9">
        <v>0</v>
      </c>
      <c r="I55" s="9">
        <v>0</v>
      </c>
      <c r="J55" s="1990"/>
      <c r="K55" s="1991"/>
    </row>
    <row r="56" spans="1:11" s="2" customFormat="1">
      <c r="A56" s="1951"/>
      <c r="B56" s="1994"/>
      <c r="C56" s="1951"/>
      <c r="D56" s="322">
        <v>2018</v>
      </c>
      <c r="E56" s="8">
        <f t="shared" si="5"/>
        <v>28950</v>
      </c>
      <c r="F56" s="9">
        <v>28950</v>
      </c>
      <c r="G56" s="9">
        <v>0</v>
      </c>
      <c r="H56" s="9">
        <v>0</v>
      </c>
      <c r="I56" s="9">
        <v>0</v>
      </c>
      <c r="J56" s="1990"/>
      <c r="K56" s="1991"/>
    </row>
    <row r="57" spans="1:11" s="2" customFormat="1">
      <c r="A57" s="1951"/>
      <c r="B57" s="1994"/>
      <c r="C57" s="1951"/>
      <c r="D57" s="322">
        <v>2019</v>
      </c>
      <c r="E57" s="8">
        <f t="shared" si="5"/>
        <v>0</v>
      </c>
      <c r="F57" s="9">
        <v>0</v>
      </c>
      <c r="G57" s="9">
        <v>0</v>
      </c>
      <c r="H57" s="9">
        <v>0</v>
      </c>
      <c r="I57" s="9">
        <v>0</v>
      </c>
      <c r="J57" s="1990"/>
      <c r="K57" s="1991"/>
    </row>
    <row r="58" spans="1:11" s="2" customFormat="1">
      <c r="A58" s="1951"/>
      <c r="B58" s="1994"/>
      <c r="C58" s="1951"/>
      <c r="D58" s="322">
        <v>2020</v>
      </c>
      <c r="E58" s="8">
        <f t="shared" si="5"/>
        <v>0</v>
      </c>
      <c r="F58" s="9">
        <v>0</v>
      </c>
      <c r="G58" s="9">
        <v>0</v>
      </c>
      <c r="H58" s="9">
        <v>0</v>
      </c>
      <c r="I58" s="9">
        <v>0</v>
      </c>
      <c r="J58" s="1990"/>
      <c r="K58" s="1991"/>
    </row>
    <row r="59" spans="1:11" ht="20.100000000000001" customHeight="1">
      <c r="A59" s="1945" t="s">
        <v>173</v>
      </c>
      <c r="B59" s="1989" t="s">
        <v>34</v>
      </c>
      <c r="C59" s="1947" t="s">
        <v>14</v>
      </c>
      <c r="D59" s="322" t="s">
        <v>8</v>
      </c>
      <c r="E59" s="8">
        <f t="shared" si="5"/>
        <v>41300.6</v>
      </c>
      <c r="F59" s="8">
        <f>SUM(F60:F64)</f>
        <v>40341.1</v>
      </c>
      <c r="G59" s="8">
        <f>SUM(G60:G63)</f>
        <v>959.5</v>
      </c>
      <c r="H59" s="8">
        <f>SUM(H60:H63)</f>
        <v>0</v>
      </c>
      <c r="I59" s="8">
        <f>SUM(I60:I63)</f>
        <v>0</v>
      </c>
      <c r="J59" s="1990" t="s">
        <v>35</v>
      </c>
      <c r="K59" s="1991" t="s">
        <v>26</v>
      </c>
    </row>
    <row r="60" spans="1:11" ht="20.100000000000001" customHeight="1">
      <c r="A60" s="1945"/>
      <c r="B60" s="1989"/>
      <c r="C60" s="1947"/>
      <c r="D60" s="322">
        <v>2016</v>
      </c>
      <c r="E60" s="8">
        <f t="shared" si="5"/>
        <v>4215.7</v>
      </c>
      <c r="F60" s="8">
        <f t="shared" ref="F60:I64" si="7">F66+F72+F78</f>
        <v>3256.2</v>
      </c>
      <c r="G60" s="8">
        <f t="shared" si="7"/>
        <v>959.5</v>
      </c>
      <c r="H60" s="8">
        <f t="shared" si="7"/>
        <v>0</v>
      </c>
      <c r="I60" s="8">
        <f t="shared" si="7"/>
        <v>0</v>
      </c>
      <c r="J60" s="1990"/>
      <c r="K60" s="1991"/>
    </row>
    <row r="61" spans="1:11" ht="20.100000000000001" customHeight="1">
      <c r="A61" s="1945"/>
      <c r="B61" s="1989"/>
      <c r="C61" s="1947"/>
      <c r="D61" s="322">
        <v>2017</v>
      </c>
      <c r="E61" s="8">
        <f>SUM(F61:I61)</f>
        <v>2166.1999999999998</v>
      </c>
      <c r="F61" s="8">
        <f t="shared" si="7"/>
        <v>2166.1999999999998</v>
      </c>
      <c r="G61" s="8">
        <f t="shared" si="7"/>
        <v>0</v>
      </c>
      <c r="H61" s="8">
        <f t="shared" si="7"/>
        <v>0</v>
      </c>
      <c r="I61" s="8">
        <f t="shared" si="7"/>
        <v>0</v>
      </c>
      <c r="J61" s="1990"/>
      <c r="K61" s="1991"/>
    </row>
    <row r="62" spans="1:11" ht="20.100000000000001" customHeight="1">
      <c r="A62" s="1945"/>
      <c r="B62" s="1989"/>
      <c r="C62" s="1947"/>
      <c r="D62" s="322">
        <v>2018</v>
      </c>
      <c r="E62" s="8">
        <f t="shared" si="5"/>
        <v>11318.4</v>
      </c>
      <c r="F62" s="8">
        <f t="shared" si="7"/>
        <v>11318.4</v>
      </c>
      <c r="G62" s="8">
        <f t="shared" si="7"/>
        <v>0</v>
      </c>
      <c r="H62" s="8">
        <f t="shared" si="7"/>
        <v>0</v>
      </c>
      <c r="I62" s="8">
        <f t="shared" si="7"/>
        <v>0</v>
      </c>
      <c r="J62" s="1990"/>
      <c r="K62" s="1991"/>
    </row>
    <row r="63" spans="1:11" ht="20.100000000000001" customHeight="1">
      <c r="A63" s="1945"/>
      <c r="B63" s="1989"/>
      <c r="C63" s="1947"/>
      <c r="D63" s="322">
        <v>2019</v>
      </c>
      <c r="E63" s="8">
        <f>SUM(F63:I63)</f>
        <v>11635.7</v>
      </c>
      <c r="F63" s="8">
        <f t="shared" si="7"/>
        <v>11635.7</v>
      </c>
      <c r="G63" s="8">
        <f t="shared" si="7"/>
        <v>0</v>
      </c>
      <c r="H63" s="8">
        <f t="shared" si="7"/>
        <v>0</v>
      </c>
      <c r="I63" s="8">
        <f t="shared" si="7"/>
        <v>0</v>
      </c>
      <c r="J63" s="1990"/>
      <c r="K63" s="1991"/>
    </row>
    <row r="64" spans="1:11" ht="20.100000000000001" customHeight="1">
      <c r="A64" s="1945"/>
      <c r="B64" s="1989"/>
      <c r="C64" s="1947"/>
      <c r="D64" s="322">
        <v>2020</v>
      </c>
      <c r="E64" s="8">
        <f>SUM(F64:I64)</f>
        <v>11964.6</v>
      </c>
      <c r="F64" s="8">
        <f t="shared" si="7"/>
        <v>11964.6</v>
      </c>
      <c r="G64" s="8">
        <f t="shared" si="7"/>
        <v>0</v>
      </c>
      <c r="H64" s="8">
        <f t="shared" si="7"/>
        <v>0</v>
      </c>
      <c r="I64" s="8">
        <f t="shared" si="7"/>
        <v>0</v>
      </c>
      <c r="J64" s="1990"/>
      <c r="K64" s="1991"/>
    </row>
    <row r="65" spans="1:11" s="2" customFormat="1" ht="18.75" customHeight="1">
      <c r="A65" s="1945" t="s">
        <v>33</v>
      </c>
      <c r="B65" s="1989" t="s">
        <v>36</v>
      </c>
      <c r="C65" s="1947" t="s">
        <v>159</v>
      </c>
      <c r="D65" s="322" t="s">
        <v>8</v>
      </c>
      <c r="E65" s="8">
        <f t="shared" si="5"/>
        <v>950</v>
      </c>
      <c r="F65" s="8">
        <f>SUM(F66:F70)</f>
        <v>950</v>
      </c>
      <c r="G65" s="8">
        <f>SUM(G66:G70)</f>
        <v>0</v>
      </c>
      <c r="H65" s="8">
        <f>SUM(H66:H70)</f>
        <v>0</v>
      </c>
      <c r="I65" s="8">
        <f>SUM(I66:I70)</f>
        <v>0</v>
      </c>
      <c r="J65" s="1990" t="s">
        <v>37</v>
      </c>
      <c r="K65" s="1990" t="s">
        <v>23</v>
      </c>
    </row>
    <row r="66" spans="1:11" s="2" customFormat="1" ht="18.75" customHeight="1">
      <c r="A66" s="1945"/>
      <c r="B66" s="1989"/>
      <c r="C66" s="1947"/>
      <c r="D66" s="322">
        <v>2016</v>
      </c>
      <c r="E66" s="8">
        <f t="shared" si="5"/>
        <v>475</v>
      </c>
      <c r="F66" s="8">
        <v>475</v>
      </c>
      <c r="G66" s="9">
        <v>0</v>
      </c>
      <c r="H66" s="9">
        <v>0</v>
      </c>
      <c r="I66" s="9">
        <v>0</v>
      </c>
      <c r="J66" s="1990"/>
      <c r="K66" s="1990"/>
    </row>
    <row r="67" spans="1:11" s="2" customFormat="1" ht="18.75" customHeight="1">
      <c r="A67" s="1945"/>
      <c r="B67" s="1989"/>
      <c r="C67" s="1947"/>
      <c r="D67" s="322">
        <v>2017</v>
      </c>
      <c r="E67" s="8">
        <f>SUM(F67:I67)</f>
        <v>475</v>
      </c>
      <c r="F67" s="8">
        <v>475</v>
      </c>
      <c r="G67" s="9">
        <v>0</v>
      </c>
      <c r="H67" s="9">
        <v>0</v>
      </c>
      <c r="I67" s="9">
        <v>0</v>
      </c>
      <c r="J67" s="1990"/>
      <c r="K67" s="1990"/>
    </row>
    <row r="68" spans="1:11" s="2" customFormat="1" ht="18.75" customHeight="1">
      <c r="A68" s="1945"/>
      <c r="B68" s="1989"/>
      <c r="C68" s="1947"/>
      <c r="D68" s="322">
        <v>2018</v>
      </c>
      <c r="E68" s="8">
        <f t="shared" si="5"/>
        <v>0</v>
      </c>
      <c r="F68" s="8">
        <v>0</v>
      </c>
      <c r="G68" s="9">
        <v>0</v>
      </c>
      <c r="H68" s="9">
        <v>0</v>
      </c>
      <c r="I68" s="9">
        <v>0</v>
      </c>
      <c r="J68" s="1990"/>
      <c r="K68" s="1990"/>
    </row>
    <row r="69" spans="1:11" s="2" customFormat="1" ht="18.75" customHeight="1">
      <c r="A69" s="1945"/>
      <c r="B69" s="1989"/>
      <c r="C69" s="1947"/>
      <c r="D69" s="322">
        <v>2019</v>
      </c>
      <c r="E69" s="8">
        <f t="shared" ref="E69:E87" si="8">SUM(F69:I69)</f>
        <v>0</v>
      </c>
      <c r="F69" s="8">
        <v>0</v>
      </c>
      <c r="G69" s="9">
        <v>0</v>
      </c>
      <c r="H69" s="9">
        <v>0</v>
      </c>
      <c r="I69" s="9">
        <v>0</v>
      </c>
      <c r="J69" s="1990"/>
      <c r="K69" s="1990"/>
    </row>
    <row r="70" spans="1:11" s="2" customFormat="1" ht="18.75" customHeight="1">
      <c r="A70" s="1945"/>
      <c r="B70" s="1989"/>
      <c r="C70" s="1947"/>
      <c r="D70" s="322">
        <v>2020</v>
      </c>
      <c r="E70" s="8">
        <f>SUM(F70:I70)</f>
        <v>0</v>
      </c>
      <c r="F70" s="8">
        <v>0</v>
      </c>
      <c r="G70" s="9">
        <v>0</v>
      </c>
      <c r="H70" s="9">
        <v>0</v>
      </c>
      <c r="I70" s="9">
        <v>0</v>
      </c>
      <c r="J70" s="1990"/>
      <c r="K70" s="1990"/>
    </row>
    <row r="71" spans="1:11" s="2" customFormat="1" ht="15" customHeight="1">
      <c r="A71" s="1945" t="s">
        <v>191</v>
      </c>
      <c r="B71" s="1989" t="s">
        <v>38</v>
      </c>
      <c r="C71" s="1947">
        <v>2016</v>
      </c>
      <c r="D71" s="322" t="s">
        <v>8</v>
      </c>
      <c r="E71" s="8">
        <f t="shared" si="8"/>
        <v>3740.7</v>
      </c>
      <c r="F71" s="8">
        <f>SUM(F72:F76)</f>
        <v>2781.2</v>
      </c>
      <c r="G71" s="8">
        <f>SUM(G72:G76)</f>
        <v>959.5</v>
      </c>
      <c r="H71" s="8">
        <f>SUM(H72:H76)</f>
        <v>0</v>
      </c>
      <c r="I71" s="8">
        <f>SUM(I72:I76)</f>
        <v>0</v>
      </c>
      <c r="J71" s="1990" t="s">
        <v>192</v>
      </c>
      <c r="K71" s="1991" t="s">
        <v>39</v>
      </c>
    </row>
    <row r="72" spans="1:11" s="2" customFormat="1" ht="15" customHeight="1">
      <c r="A72" s="1945"/>
      <c r="B72" s="1989"/>
      <c r="C72" s="1947"/>
      <c r="D72" s="322">
        <v>2016</v>
      </c>
      <c r="E72" s="8">
        <f t="shared" si="8"/>
        <v>3740.7</v>
      </c>
      <c r="F72" s="8">
        <v>2781.2</v>
      </c>
      <c r="G72" s="9">
        <v>959.5</v>
      </c>
      <c r="H72" s="9">
        <v>0</v>
      </c>
      <c r="I72" s="9">
        <v>0</v>
      </c>
      <c r="J72" s="1990"/>
      <c r="K72" s="1991"/>
    </row>
    <row r="73" spans="1:11" s="2" customFormat="1" ht="15" customHeight="1">
      <c r="A73" s="1945"/>
      <c r="B73" s="1989"/>
      <c r="C73" s="1947"/>
      <c r="D73" s="322">
        <v>2017</v>
      </c>
      <c r="E73" s="8">
        <f t="shared" si="8"/>
        <v>0</v>
      </c>
      <c r="F73" s="8">
        <v>0</v>
      </c>
      <c r="G73" s="9">
        <v>0</v>
      </c>
      <c r="H73" s="9">
        <v>0</v>
      </c>
      <c r="I73" s="9">
        <v>0</v>
      </c>
      <c r="J73" s="1990"/>
      <c r="K73" s="1991"/>
    </row>
    <row r="74" spans="1:11" s="2" customFormat="1" ht="15" customHeight="1">
      <c r="A74" s="1945"/>
      <c r="B74" s="1989"/>
      <c r="C74" s="1947"/>
      <c r="D74" s="322">
        <v>2018</v>
      </c>
      <c r="E74" s="8">
        <f t="shared" si="8"/>
        <v>0</v>
      </c>
      <c r="F74" s="8">
        <v>0</v>
      </c>
      <c r="G74" s="9">
        <v>0</v>
      </c>
      <c r="H74" s="9">
        <v>0</v>
      </c>
      <c r="I74" s="9">
        <v>0</v>
      </c>
      <c r="J74" s="1990"/>
      <c r="K74" s="1991"/>
    </row>
    <row r="75" spans="1:11" s="2" customFormat="1" ht="15" customHeight="1">
      <c r="A75" s="1945"/>
      <c r="B75" s="1989"/>
      <c r="C75" s="1947"/>
      <c r="D75" s="322">
        <v>2019</v>
      </c>
      <c r="E75" s="8">
        <f t="shared" si="8"/>
        <v>0</v>
      </c>
      <c r="F75" s="8">
        <v>0</v>
      </c>
      <c r="G75" s="9">
        <v>0</v>
      </c>
      <c r="H75" s="9">
        <v>0</v>
      </c>
      <c r="I75" s="9">
        <v>0</v>
      </c>
      <c r="J75" s="1990"/>
      <c r="K75" s="1991"/>
    </row>
    <row r="76" spans="1:11" s="2" customFormat="1" ht="15" customHeight="1">
      <c r="A76" s="1945"/>
      <c r="B76" s="1989"/>
      <c r="C76" s="1947"/>
      <c r="D76" s="322">
        <v>2020</v>
      </c>
      <c r="E76" s="8">
        <f t="shared" si="8"/>
        <v>0</v>
      </c>
      <c r="F76" s="8">
        <v>0</v>
      </c>
      <c r="G76" s="9">
        <v>0</v>
      </c>
      <c r="H76" s="9">
        <v>0</v>
      </c>
      <c r="I76" s="9">
        <v>0</v>
      </c>
      <c r="J76" s="1990"/>
      <c r="K76" s="1991"/>
    </row>
    <row r="77" spans="1:11" s="2" customFormat="1" ht="18.75" customHeight="1">
      <c r="A77" s="1945" t="s">
        <v>193</v>
      </c>
      <c r="B77" s="1989" t="s">
        <v>22</v>
      </c>
      <c r="C77" s="1947" t="s">
        <v>194</v>
      </c>
      <c r="D77" s="322" t="s">
        <v>8</v>
      </c>
      <c r="E77" s="8">
        <f t="shared" si="8"/>
        <v>36609.9</v>
      </c>
      <c r="F77" s="8">
        <f>SUM(F78:F82)</f>
        <v>36609.9</v>
      </c>
      <c r="G77" s="8">
        <f>SUM(G78:G82)</f>
        <v>0</v>
      </c>
      <c r="H77" s="8">
        <f>SUM(H78:H82)</f>
        <v>0</v>
      </c>
      <c r="I77" s="8">
        <f>SUM(I78:I82)</f>
        <v>0</v>
      </c>
      <c r="J77" s="1990" t="s">
        <v>277</v>
      </c>
      <c r="K77" s="1991" t="s">
        <v>23</v>
      </c>
    </row>
    <row r="78" spans="1:11" s="2" customFormat="1" ht="18.75" customHeight="1">
      <c r="A78" s="1945"/>
      <c r="B78" s="1989"/>
      <c r="C78" s="1947"/>
      <c r="D78" s="322">
        <v>2016</v>
      </c>
      <c r="E78" s="8">
        <f t="shared" si="8"/>
        <v>0</v>
      </c>
      <c r="F78" s="8">
        <v>0</v>
      </c>
      <c r="G78" s="9">
        <v>0</v>
      </c>
      <c r="H78" s="9">
        <v>0</v>
      </c>
      <c r="I78" s="9">
        <v>0</v>
      </c>
      <c r="J78" s="1990"/>
      <c r="K78" s="1991"/>
    </row>
    <row r="79" spans="1:11" s="2" customFormat="1" ht="18.75" customHeight="1">
      <c r="A79" s="1945"/>
      <c r="B79" s="1989"/>
      <c r="C79" s="1947"/>
      <c r="D79" s="322">
        <v>2017</v>
      </c>
      <c r="E79" s="8">
        <f t="shared" si="8"/>
        <v>1691.2</v>
      </c>
      <c r="F79" s="8">
        <v>1691.2</v>
      </c>
      <c r="G79" s="9">
        <v>0</v>
      </c>
      <c r="H79" s="9">
        <v>0</v>
      </c>
      <c r="I79" s="9">
        <v>0</v>
      </c>
      <c r="J79" s="1990"/>
      <c r="K79" s="1991"/>
    </row>
    <row r="80" spans="1:11" s="2" customFormat="1" ht="18.75" customHeight="1">
      <c r="A80" s="1945"/>
      <c r="B80" s="1989"/>
      <c r="C80" s="1947"/>
      <c r="D80" s="322">
        <v>2018</v>
      </c>
      <c r="E80" s="8">
        <f t="shared" si="8"/>
        <v>11318.4</v>
      </c>
      <c r="F80" s="8">
        <v>11318.4</v>
      </c>
      <c r="G80" s="9">
        <v>0</v>
      </c>
      <c r="H80" s="9">
        <v>0</v>
      </c>
      <c r="I80" s="9">
        <v>0</v>
      </c>
      <c r="J80" s="1990"/>
      <c r="K80" s="1991"/>
    </row>
    <row r="81" spans="1:11" s="2" customFormat="1" ht="18.75" customHeight="1">
      <c r="A81" s="1945"/>
      <c r="B81" s="1989"/>
      <c r="C81" s="1947"/>
      <c r="D81" s="322">
        <v>2019</v>
      </c>
      <c r="E81" s="8">
        <f t="shared" si="8"/>
        <v>11635.7</v>
      </c>
      <c r="F81" s="8">
        <v>11635.7</v>
      </c>
      <c r="G81" s="9">
        <v>0</v>
      </c>
      <c r="H81" s="9">
        <v>0</v>
      </c>
      <c r="I81" s="9">
        <v>0</v>
      </c>
      <c r="J81" s="1990"/>
      <c r="K81" s="1991"/>
    </row>
    <row r="82" spans="1:11" s="2" customFormat="1" ht="18.75" customHeight="1">
      <c r="A82" s="1945"/>
      <c r="B82" s="1989"/>
      <c r="C82" s="1947"/>
      <c r="D82" s="322">
        <v>2020</v>
      </c>
      <c r="E82" s="8">
        <f t="shared" si="8"/>
        <v>11964.6</v>
      </c>
      <c r="F82" s="8">
        <v>11964.6</v>
      </c>
      <c r="G82" s="9">
        <v>0</v>
      </c>
      <c r="H82" s="9">
        <v>0</v>
      </c>
      <c r="I82" s="9">
        <v>0</v>
      </c>
      <c r="J82" s="1990"/>
      <c r="K82" s="1991"/>
    </row>
    <row r="83" spans="1:11" s="2" customFormat="1" ht="15" customHeight="1">
      <c r="A83" s="1945" t="s">
        <v>40</v>
      </c>
      <c r="B83" s="1990" t="s">
        <v>41</v>
      </c>
      <c r="C83" s="1947" t="s">
        <v>14</v>
      </c>
      <c r="D83" s="322" t="s">
        <v>8</v>
      </c>
      <c r="E83" s="8">
        <f t="shared" si="8"/>
        <v>2477119.9</v>
      </c>
      <c r="F83" s="8">
        <f>SUM(F84:F88)</f>
        <v>2447543.6</v>
      </c>
      <c r="G83" s="8">
        <f>SUM(G84:G88)</f>
        <v>29576.3</v>
      </c>
      <c r="H83" s="8">
        <f>SUM(H84:H88)</f>
        <v>0</v>
      </c>
      <c r="I83" s="8">
        <f>SUM(I84:I88)</f>
        <v>0</v>
      </c>
      <c r="J83" s="1990"/>
      <c r="K83" s="1991" t="s">
        <v>42</v>
      </c>
    </row>
    <row r="84" spans="1:11" s="2" customFormat="1">
      <c r="A84" s="1945"/>
      <c r="B84" s="1990"/>
      <c r="C84" s="1947"/>
      <c r="D84" s="322">
        <v>2016</v>
      </c>
      <c r="E84" s="8">
        <f t="shared" si="8"/>
        <v>385423.4</v>
      </c>
      <c r="F84" s="8">
        <f t="shared" ref="F84:I88" si="9">F90+F156+F186</f>
        <v>379215.5</v>
      </c>
      <c r="G84" s="8">
        <f t="shared" si="9"/>
        <v>6207.9</v>
      </c>
      <c r="H84" s="8">
        <f t="shared" si="9"/>
        <v>0</v>
      </c>
      <c r="I84" s="8">
        <f t="shared" si="9"/>
        <v>0</v>
      </c>
      <c r="J84" s="1990"/>
      <c r="K84" s="1991"/>
    </row>
    <row r="85" spans="1:11">
      <c r="A85" s="1945"/>
      <c r="B85" s="1990"/>
      <c r="C85" s="1947"/>
      <c r="D85" s="322">
        <v>2017</v>
      </c>
      <c r="E85" s="8">
        <f t="shared" si="8"/>
        <v>456261.4</v>
      </c>
      <c r="F85" s="8">
        <f t="shared" si="9"/>
        <v>448205.9</v>
      </c>
      <c r="G85" s="8">
        <f t="shared" si="9"/>
        <v>8055.5</v>
      </c>
      <c r="H85" s="8">
        <f t="shared" si="9"/>
        <v>0</v>
      </c>
      <c r="I85" s="8">
        <f t="shared" si="9"/>
        <v>0</v>
      </c>
      <c r="J85" s="1990"/>
      <c r="K85" s="1991"/>
    </row>
    <row r="86" spans="1:11">
      <c r="A86" s="1945"/>
      <c r="B86" s="1990"/>
      <c r="C86" s="1947"/>
      <c r="D86" s="322">
        <v>2018</v>
      </c>
      <c r="E86" s="8">
        <f t="shared" si="8"/>
        <v>568818.10000000009</v>
      </c>
      <c r="F86" s="8">
        <f t="shared" si="9"/>
        <v>553505.20000000007</v>
      </c>
      <c r="G86" s="8">
        <f t="shared" si="9"/>
        <v>15312.9</v>
      </c>
      <c r="H86" s="8">
        <f t="shared" si="9"/>
        <v>0</v>
      </c>
      <c r="I86" s="8">
        <f t="shared" si="9"/>
        <v>0</v>
      </c>
      <c r="J86" s="1990"/>
      <c r="K86" s="1991"/>
    </row>
    <row r="87" spans="1:11">
      <c r="A87" s="1945"/>
      <c r="B87" s="1990"/>
      <c r="C87" s="1947"/>
      <c r="D87" s="322">
        <v>2019</v>
      </c>
      <c r="E87" s="8">
        <f t="shared" si="8"/>
        <v>527685.5</v>
      </c>
      <c r="F87" s="8">
        <f t="shared" si="9"/>
        <v>527685.5</v>
      </c>
      <c r="G87" s="8">
        <f t="shared" si="9"/>
        <v>0</v>
      </c>
      <c r="H87" s="8">
        <f t="shared" si="9"/>
        <v>0</v>
      </c>
      <c r="I87" s="8">
        <f t="shared" si="9"/>
        <v>0</v>
      </c>
      <c r="J87" s="1990"/>
      <c r="K87" s="1991"/>
    </row>
    <row r="88" spans="1:11">
      <c r="A88" s="1945"/>
      <c r="B88" s="1990"/>
      <c r="C88" s="1947"/>
      <c r="D88" s="322">
        <v>2020</v>
      </c>
      <c r="E88" s="8">
        <f>SUM(F88:I88)</f>
        <v>538931.5</v>
      </c>
      <c r="F88" s="8">
        <f t="shared" si="9"/>
        <v>538931.5</v>
      </c>
      <c r="G88" s="8">
        <f t="shared" si="9"/>
        <v>0</v>
      </c>
      <c r="H88" s="8">
        <f t="shared" si="9"/>
        <v>0</v>
      </c>
      <c r="I88" s="8">
        <f t="shared" si="9"/>
        <v>0</v>
      </c>
      <c r="J88" s="1990"/>
      <c r="K88" s="1991"/>
    </row>
    <row r="89" spans="1:11" ht="13.5" customHeight="1">
      <c r="A89" s="1945" t="s">
        <v>174</v>
      </c>
      <c r="B89" s="1989" t="s">
        <v>44</v>
      </c>
      <c r="C89" s="1947" t="s">
        <v>14</v>
      </c>
      <c r="D89" s="322" t="s">
        <v>8</v>
      </c>
      <c r="E89" s="8">
        <f t="shared" ref="E89:I94" si="10">SUM(E95+E101,E107,E113,E119,E125,E131,E137,E143,E149)</f>
        <v>521748.1</v>
      </c>
      <c r="F89" s="8">
        <f t="shared" si="10"/>
        <v>521748.1</v>
      </c>
      <c r="G89" s="8">
        <f t="shared" si="10"/>
        <v>0</v>
      </c>
      <c r="H89" s="8">
        <f t="shared" si="10"/>
        <v>0</v>
      </c>
      <c r="I89" s="8">
        <f t="shared" si="10"/>
        <v>0</v>
      </c>
      <c r="J89" s="1990" t="s">
        <v>45</v>
      </c>
      <c r="K89" s="1991" t="s">
        <v>18</v>
      </c>
    </row>
    <row r="90" spans="1:11" ht="13.5" customHeight="1">
      <c r="A90" s="1945"/>
      <c r="B90" s="1989"/>
      <c r="C90" s="1947"/>
      <c r="D90" s="322">
        <v>2016</v>
      </c>
      <c r="E90" s="8">
        <f t="shared" si="10"/>
        <v>86400.5</v>
      </c>
      <c r="F90" s="8">
        <f t="shared" si="10"/>
        <v>86400.5</v>
      </c>
      <c r="G90" s="8">
        <f t="shared" si="10"/>
        <v>0</v>
      </c>
      <c r="H90" s="8">
        <f t="shared" si="10"/>
        <v>0</v>
      </c>
      <c r="I90" s="8">
        <f t="shared" si="10"/>
        <v>0</v>
      </c>
      <c r="J90" s="1990"/>
      <c r="K90" s="1991"/>
    </row>
    <row r="91" spans="1:11" ht="13.5" customHeight="1">
      <c r="A91" s="1945"/>
      <c r="B91" s="1989"/>
      <c r="C91" s="1947"/>
      <c r="D91" s="322">
        <v>2017</v>
      </c>
      <c r="E91" s="8">
        <f t="shared" si="10"/>
        <v>84336.700000000012</v>
      </c>
      <c r="F91" s="8">
        <f t="shared" si="10"/>
        <v>84336.700000000012</v>
      </c>
      <c r="G91" s="8">
        <f t="shared" si="10"/>
        <v>0</v>
      </c>
      <c r="H91" s="8">
        <f t="shared" si="10"/>
        <v>0</v>
      </c>
      <c r="I91" s="8">
        <f t="shared" si="10"/>
        <v>0</v>
      </c>
      <c r="J91" s="1990"/>
      <c r="K91" s="1991"/>
    </row>
    <row r="92" spans="1:11" ht="13.5" customHeight="1">
      <c r="A92" s="1945"/>
      <c r="B92" s="1989"/>
      <c r="C92" s="1947"/>
      <c r="D92" s="322">
        <v>2018</v>
      </c>
      <c r="E92" s="8">
        <f t="shared" si="10"/>
        <v>116068.30000000002</v>
      </c>
      <c r="F92" s="8">
        <f t="shared" si="10"/>
        <v>116068.30000000002</v>
      </c>
      <c r="G92" s="8">
        <f t="shared" si="10"/>
        <v>0</v>
      </c>
      <c r="H92" s="8">
        <f t="shared" si="10"/>
        <v>0</v>
      </c>
      <c r="I92" s="8">
        <f t="shared" si="10"/>
        <v>0</v>
      </c>
      <c r="J92" s="1990"/>
      <c r="K92" s="1991"/>
    </row>
    <row r="93" spans="1:11" ht="13.5" customHeight="1">
      <c r="A93" s="1945"/>
      <c r="B93" s="1989"/>
      <c r="C93" s="1947"/>
      <c r="D93" s="322">
        <v>2019</v>
      </c>
      <c r="E93" s="8">
        <f t="shared" si="10"/>
        <v>116993.60000000002</v>
      </c>
      <c r="F93" s="8">
        <f t="shared" si="10"/>
        <v>116993.60000000002</v>
      </c>
      <c r="G93" s="8">
        <f t="shared" si="10"/>
        <v>0</v>
      </c>
      <c r="H93" s="8">
        <f t="shared" si="10"/>
        <v>0</v>
      </c>
      <c r="I93" s="8">
        <f t="shared" si="10"/>
        <v>0</v>
      </c>
      <c r="J93" s="1990"/>
      <c r="K93" s="1991"/>
    </row>
    <row r="94" spans="1:11" ht="13.5" customHeight="1">
      <c r="A94" s="1945"/>
      <c r="B94" s="1989"/>
      <c r="C94" s="1947"/>
      <c r="D94" s="322">
        <v>2020</v>
      </c>
      <c r="E94" s="8">
        <f t="shared" si="10"/>
        <v>117949.00000000001</v>
      </c>
      <c r="F94" s="8">
        <f t="shared" si="10"/>
        <v>117949.00000000001</v>
      </c>
      <c r="G94" s="8">
        <f t="shared" si="10"/>
        <v>0</v>
      </c>
      <c r="H94" s="8">
        <f t="shared" si="10"/>
        <v>0</v>
      </c>
      <c r="I94" s="8">
        <f>SUM(I100+I106,I112,I118,I124,I130,I136,I142,I148,I154)</f>
        <v>0</v>
      </c>
      <c r="J94" s="1990"/>
      <c r="K94" s="1991"/>
    </row>
    <row r="95" spans="1:11" s="2" customFormat="1" ht="24.95" customHeight="1">
      <c r="A95" s="1951" t="s">
        <v>43</v>
      </c>
      <c r="B95" s="1994" t="s">
        <v>22</v>
      </c>
      <c r="C95" s="1947" t="s">
        <v>14</v>
      </c>
      <c r="D95" s="322" t="s">
        <v>8</v>
      </c>
      <c r="E95" s="8">
        <f t="shared" ref="E95:E105" si="11">SUM(F95:I95)</f>
        <v>322767.3</v>
      </c>
      <c r="F95" s="8">
        <f>SUM(F96:F100)</f>
        <v>322767.3</v>
      </c>
      <c r="G95" s="8">
        <f>SUM(G96:G100)</f>
        <v>0</v>
      </c>
      <c r="H95" s="8">
        <f>SUM(H96:H100)</f>
        <v>0</v>
      </c>
      <c r="I95" s="8">
        <f>SUM(I96:I100)</f>
        <v>0</v>
      </c>
      <c r="J95" s="1990" t="s">
        <v>278</v>
      </c>
      <c r="K95" s="2001" t="s">
        <v>441</v>
      </c>
    </row>
    <row r="96" spans="1:11" s="2" customFormat="1" ht="24.95" customHeight="1">
      <c r="A96" s="1951"/>
      <c r="B96" s="1994"/>
      <c r="C96" s="1947"/>
      <c r="D96" s="322">
        <v>2016</v>
      </c>
      <c r="E96" s="8">
        <f t="shared" si="11"/>
        <v>50941.599999999999</v>
      </c>
      <c r="F96" s="9">
        <v>50941.599999999999</v>
      </c>
      <c r="G96" s="9">
        <f>[6]План!G128+[6]План!G136+[6]План!G176</f>
        <v>0</v>
      </c>
      <c r="H96" s="9">
        <f>[6]План!H128+[6]План!H136+[6]План!H176</f>
        <v>0</v>
      </c>
      <c r="I96" s="9">
        <f>[6]План!I128+[6]План!I136+[6]План!I176</f>
        <v>0</v>
      </c>
      <c r="J96" s="1990"/>
      <c r="K96" s="2001"/>
    </row>
    <row r="97" spans="1:11" s="2" customFormat="1" ht="24.95" customHeight="1">
      <c r="A97" s="1951"/>
      <c r="B97" s="1994"/>
      <c r="C97" s="1947"/>
      <c r="D97" s="322">
        <v>2017</v>
      </c>
      <c r="E97" s="8">
        <f t="shared" si="11"/>
        <v>48074.7</v>
      </c>
      <c r="F97" s="9">
        <v>48074.7</v>
      </c>
      <c r="G97" s="9">
        <f>[6]План!G129+[6]План!G137+[6]План!G177</f>
        <v>0</v>
      </c>
      <c r="H97" s="9">
        <f>[6]План!H129+[6]План!H137+[6]План!H177</f>
        <v>0</v>
      </c>
      <c r="I97" s="9">
        <f>[6]План!I129+[6]План!I137+[6]План!I177</f>
        <v>0</v>
      </c>
      <c r="J97" s="1990"/>
      <c r="K97" s="2001"/>
    </row>
    <row r="98" spans="1:11" s="2" customFormat="1" ht="24.95" customHeight="1">
      <c r="A98" s="1951"/>
      <c r="B98" s="1994"/>
      <c r="C98" s="1947"/>
      <c r="D98" s="322">
        <v>2018</v>
      </c>
      <c r="E98" s="8">
        <f t="shared" si="11"/>
        <v>73925</v>
      </c>
      <c r="F98" s="9">
        <v>73925</v>
      </c>
      <c r="G98" s="9">
        <f>[6]План!G130+[6]План!G138+[6]План!G178</f>
        <v>0</v>
      </c>
      <c r="H98" s="9">
        <f>[6]План!H130+[6]План!H138+[6]План!H178</f>
        <v>0</v>
      </c>
      <c r="I98" s="9">
        <f>[6]План!I130+[6]План!I138+[6]План!I178</f>
        <v>0</v>
      </c>
      <c r="J98" s="1990"/>
      <c r="K98" s="2001"/>
    </row>
    <row r="99" spans="1:11" s="2" customFormat="1" ht="24.95" customHeight="1">
      <c r="A99" s="1951"/>
      <c r="B99" s="1994"/>
      <c r="C99" s="1947"/>
      <c r="D99" s="322">
        <v>2019</v>
      </c>
      <c r="E99" s="8">
        <f t="shared" si="11"/>
        <v>74435.3</v>
      </c>
      <c r="F99" s="9">
        <v>74435.3</v>
      </c>
      <c r="G99" s="9">
        <f>[6]План!G131+[6]План!G139+[6]План!G179</f>
        <v>0</v>
      </c>
      <c r="H99" s="9">
        <f>[6]План!H131+[6]План!H139+[6]План!H179</f>
        <v>0</v>
      </c>
      <c r="I99" s="9">
        <f>[6]План!I131+[6]План!I139+[6]План!I179</f>
        <v>0</v>
      </c>
      <c r="J99" s="1990"/>
      <c r="K99" s="2001"/>
    </row>
    <row r="100" spans="1:11" s="2" customFormat="1" ht="24.95" customHeight="1">
      <c r="A100" s="1951"/>
      <c r="B100" s="1994"/>
      <c r="C100" s="1947"/>
      <c r="D100" s="322">
        <v>2020</v>
      </c>
      <c r="E100" s="8">
        <f>SUM(F100:I100)</f>
        <v>75390.7</v>
      </c>
      <c r="F100" s="9">
        <v>75390.7</v>
      </c>
      <c r="G100" s="9">
        <f>[6]План!G132+[6]План!G140+[6]План!G180</f>
        <v>0</v>
      </c>
      <c r="H100" s="9">
        <f>[6]План!H132+[6]План!H140+[6]План!H180</f>
        <v>0</v>
      </c>
      <c r="I100" s="9">
        <f>[6]План!I132+[6]План!I140+[6]План!I180</f>
        <v>0</v>
      </c>
      <c r="J100" s="1990"/>
      <c r="K100" s="2001"/>
    </row>
    <row r="101" spans="1:11" s="2" customFormat="1" ht="15" customHeight="1">
      <c r="A101" s="1945" t="s">
        <v>196</v>
      </c>
      <c r="B101" s="1989" t="s">
        <v>48</v>
      </c>
      <c r="C101" s="1947" t="s">
        <v>14</v>
      </c>
      <c r="D101" s="322" t="s">
        <v>8</v>
      </c>
      <c r="E101" s="8">
        <f t="shared" si="11"/>
        <v>67298.399999999994</v>
      </c>
      <c r="F101" s="8">
        <f>SUM(F102:F106)</f>
        <v>67298.399999999994</v>
      </c>
      <c r="G101" s="8">
        <f>SUM(G102:G106)</f>
        <v>0</v>
      </c>
      <c r="H101" s="8">
        <f>SUM(H102:H106)</f>
        <v>0</v>
      </c>
      <c r="I101" s="8">
        <f>SUM(I102:I106)</f>
        <v>0</v>
      </c>
      <c r="J101" s="1990" t="s">
        <v>49</v>
      </c>
      <c r="K101" s="1991" t="s">
        <v>279</v>
      </c>
    </row>
    <row r="102" spans="1:11" s="2" customFormat="1">
      <c r="A102" s="1945"/>
      <c r="B102" s="1989"/>
      <c r="C102" s="1947"/>
      <c r="D102" s="322">
        <v>2016</v>
      </c>
      <c r="E102" s="8">
        <f t="shared" si="11"/>
        <v>12699.3</v>
      </c>
      <c r="F102" s="8">
        <v>12699.3</v>
      </c>
      <c r="G102" s="9">
        <v>0</v>
      </c>
      <c r="H102" s="9">
        <v>0</v>
      </c>
      <c r="I102" s="9">
        <v>0</v>
      </c>
      <c r="J102" s="1990"/>
      <c r="K102" s="1991"/>
    </row>
    <row r="103" spans="1:11" s="2" customFormat="1">
      <c r="A103" s="1945"/>
      <c r="B103" s="1989"/>
      <c r="C103" s="1947"/>
      <c r="D103" s="322">
        <v>2017</v>
      </c>
      <c r="E103" s="8">
        <f t="shared" si="11"/>
        <v>12699.3</v>
      </c>
      <c r="F103" s="8">
        <v>12699.3</v>
      </c>
      <c r="G103" s="9">
        <v>0</v>
      </c>
      <c r="H103" s="9">
        <v>0</v>
      </c>
      <c r="I103" s="9">
        <v>0</v>
      </c>
      <c r="J103" s="1990"/>
      <c r="K103" s="1991"/>
    </row>
    <row r="104" spans="1:11" s="2" customFormat="1">
      <c r="A104" s="1945"/>
      <c r="B104" s="1989"/>
      <c r="C104" s="1947"/>
      <c r="D104" s="322">
        <v>2018</v>
      </c>
      <c r="E104" s="8">
        <f t="shared" si="11"/>
        <v>13966.6</v>
      </c>
      <c r="F104" s="8">
        <v>13966.6</v>
      </c>
      <c r="G104" s="9">
        <v>0</v>
      </c>
      <c r="H104" s="9">
        <v>0</v>
      </c>
      <c r="I104" s="9">
        <v>0</v>
      </c>
      <c r="J104" s="1990"/>
      <c r="K104" s="1991"/>
    </row>
    <row r="105" spans="1:11" s="2" customFormat="1">
      <c r="A105" s="1945"/>
      <c r="B105" s="1989"/>
      <c r="C105" s="1947"/>
      <c r="D105" s="322">
        <v>2019</v>
      </c>
      <c r="E105" s="8">
        <f t="shared" si="11"/>
        <v>13966.6</v>
      </c>
      <c r="F105" s="8">
        <v>13966.6</v>
      </c>
      <c r="G105" s="9">
        <v>0</v>
      </c>
      <c r="H105" s="9">
        <v>0</v>
      </c>
      <c r="I105" s="9">
        <v>0</v>
      </c>
      <c r="J105" s="1990"/>
      <c r="K105" s="1991"/>
    </row>
    <row r="106" spans="1:11" s="2" customFormat="1">
      <c r="A106" s="1945"/>
      <c r="B106" s="1989"/>
      <c r="C106" s="1947"/>
      <c r="D106" s="322">
        <v>2020</v>
      </c>
      <c r="E106" s="8">
        <f t="shared" ref="E106:E112" si="12">SUM(F106:I106)</f>
        <v>13966.6</v>
      </c>
      <c r="F106" s="8">
        <v>13966.6</v>
      </c>
      <c r="G106" s="9">
        <v>0</v>
      </c>
      <c r="H106" s="9">
        <v>0</v>
      </c>
      <c r="I106" s="9">
        <v>0</v>
      </c>
      <c r="J106" s="1990"/>
      <c r="K106" s="1991"/>
    </row>
    <row r="107" spans="1:11" s="2" customFormat="1" ht="13.5" customHeight="1">
      <c r="A107" s="1945" t="s">
        <v>197</v>
      </c>
      <c r="B107" s="1994" t="s">
        <v>50</v>
      </c>
      <c r="C107" s="1947" t="s">
        <v>14</v>
      </c>
      <c r="D107" s="322" t="s">
        <v>8</v>
      </c>
      <c r="E107" s="8">
        <f t="shared" si="12"/>
        <v>2665.5</v>
      </c>
      <c r="F107" s="8">
        <f>SUM(F108:F112)</f>
        <v>2665.5</v>
      </c>
      <c r="G107" s="8">
        <f>SUM(G108:G112)</f>
        <v>0</v>
      </c>
      <c r="H107" s="8">
        <f>SUM(H108:H112)</f>
        <v>0</v>
      </c>
      <c r="I107" s="8">
        <f>SUM(I108:I112)</f>
        <v>0</v>
      </c>
      <c r="J107" s="1990" t="s">
        <v>51</v>
      </c>
      <c r="K107" s="1991" t="s">
        <v>26</v>
      </c>
    </row>
    <row r="108" spans="1:11" s="2" customFormat="1" ht="13.5" customHeight="1">
      <c r="A108" s="1945"/>
      <c r="B108" s="1994"/>
      <c r="C108" s="1947"/>
      <c r="D108" s="322">
        <v>2016</v>
      </c>
      <c r="E108" s="8">
        <f t="shared" si="12"/>
        <v>533.1</v>
      </c>
      <c r="F108" s="9">
        <v>533.1</v>
      </c>
      <c r="G108" s="9">
        <v>0</v>
      </c>
      <c r="H108" s="9">
        <v>0</v>
      </c>
      <c r="I108" s="9">
        <v>0</v>
      </c>
      <c r="J108" s="1990"/>
      <c r="K108" s="1991"/>
    </row>
    <row r="109" spans="1:11" s="2" customFormat="1" ht="13.5" customHeight="1">
      <c r="A109" s="1945"/>
      <c r="B109" s="1994"/>
      <c r="C109" s="1947"/>
      <c r="D109" s="322">
        <v>2017</v>
      </c>
      <c r="E109" s="8">
        <f t="shared" si="12"/>
        <v>533.1</v>
      </c>
      <c r="F109" s="9">
        <v>533.1</v>
      </c>
      <c r="G109" s="9">
        <v>0</v>
      </c>
      <c r="H109" s="9">
        <v>0</v>
      </c>
      <c r="I109" s="9">
        <v>0</v>
      </c>
      <c r="J109" s="1990"/>
      <c r="K109" s="1991"/>
    </row>
    <row r="110" spans="1:11" s="2" customFormat="1" ht="13.5" customHeight="1">
      <c r="A110" s="1945"/>
      <c r="B110" s="1994"/>
      <c r="C110" s="1947"/>
      <c r="D110" s="322">
        <v>2018</v>
      </c>
      <c r="E110" s="8">
        <f t="shared" si="12"/>
        <v>533.1</v>
      </c>
      <c r="F110" s="9">
        <v>533.1</v>
      </c>
      <c r="G110" s="9">
        <v>0</v>
      </c>
      <c r="H110" s="9">
        <v>0</v>
      </c>
      <c r="I110" s="9">
        <v>0</v>
      </c>
      <c r="J110" s="1990"/>
      <c r="K110" s="1991"/>
    </row>
    <row r="111" spans="1:11" s="2" customFormat="1" ht="13.5" customHeight="1">
      <c r="A111" s="1945"/>
      <c r="B111" s="1994"/>
      <c r="C111" s="1947"/>
      <c r="D111" s="322">
        <v>2019</v>
      </c>
      <c r="E111" s="8">
        <f t="shared" si="12"/>
        <v>533.1</v>
      </c>
      <c r="F111" s="9">
        <v>533.1</v>
      </c>
      <c r="G111" s="9">
        <v>0</v>
      </c>
      <c r="H111" s="9">
        <v>0</v>
      </c>
      <c r="I111" s="9">
        <v>0</v>
      </c>
      <c r="J111" s="1990"/>
      <c r="K111" s="1991"/>
    </row>
    <row r="112" spans="1:11" s="2" customFormat="1" ht="13.5" customHeight="1">
      <c r="A112" s="1945"/>
      <c r="B112" s="1994"/>
      <c r="C112" s="1947"/>
      <c r="D112" s="322">
        <v>2020</v>
      </c>
      <c r="E112" s="8">
        <f t="shared" si="12"/>
        <v>533.1</v>
      </c>
      <c r="F112" s="9">
        <v>533.1</v>
      </c>
      <c r="G112" s="9">
        <v>0</v>
      </c>
      <c r="H112" s="9">
        <v>0</v>
      </c>
      <c r="I112" s="9">
        <v>0</v>
      </c>
      <c r="J112" s="1990"/>
      <c r="K112" s="1991"/>
    </row>
    <row r="113" spans="1:11" s="2" customFormat="1" ht="15" customHeight="1">
      <c r="A113" s="1945" t="s">
        <v>198</v>
      </c>
      <c r="B113" s="1994" t="s">
        <v>52</v>
      </c>
      <c r="C113" s="1947" t="s">
        <v>14</v>
      </c>
      <c r="D113" s="322" t="s">
        <v>198</v>
      </c>
      <c r="E113" s="8">
        <f t="shared" ref="E113:E118" si="13">SUM(F113:I113)</f>
        <v>150</v>
      </c>
      <c r="F113" s="8">
        <f>SUM(F114:F118)</f>
        <v>150</v>
      </c>
      <c r="G113" s="8">
        <f>SUM(G114:G118)</f>
        <v>0</v>
      </c>
      <c r="H113" s="8">
        <f>SUM(H114:H118)</f>
        <v>0</v>
      </c>
      <c r="I113" s="8">
        <f>SUM(I114:I118)</f>
        <v>0</v>
      </c>
      <c r="J113" s="1990" t="s">
        <v>53</v>
      </c>
      <c r="K113" s="1991" t="s">
        <v>26</v>
      </c>
    </row>
    <row r="114" spans="1:11" s="2" customFormat="1">
      <c r="A114" s="1945"/>
      <c r="B114" s="1994"/>
      <c r="C114" s="1947"/>
      <c r="D114" s="322">
        <v>2016</v>
      </c>
      <c r="E114" s="8">
        <f t="shared" si="13"/>
        <v>30</v>
      </c>
      <c r="F114" s="8">
        <v>30</v>
      </c>
      <c r="G114" s="9">
        <v>0</v>
      </c>
      <c r="H114" s="9">
        <v>0</v>
      </c>
      <c r="I114" s="9">
        <v>0</v>
      </c>
      <c r="J114" s="1990"/>
      <c r="K114" s="1991"/>
    </row>
    <row r="115" spans="1:11" s="2" customFormat="1">
      <c r="A115" s="1945"/>
      <c r="B115" s="1994"/>
      <c r="C115" s="1947"/>
      <c r="D115" s="322">
        <v>2017</v>
      </c>
      <c r="E115" s="8">
        <f t="shared" si="13"/>
        <v>30</v>
      </c>
      <c r="F115" s="8">
        <v>30</v>
      </c>
      <c r="G115" s="9">
        <v>0</v>
      </c>
      <c r="H115" s="9">
        <v>0</v>
      </c>
      <c r="I115" s="9">
        <v>0</v>
      </c>
      <c r="J115" s="1990"/>
      <c r="K115" s="1991"/>
    </row>
    <row r="116" spans="1:11" s="2" customFormat="1">
      <c r="A116" s="1945"/>
      <c r="B116" s="1994"/>
      <c r="C116" s="1947"/>
      <c r="D116" s="322">
        <v>2018</v>
      </c>
      <c r="E116" s="8">
        <f t="shared" si="13"/>
        <v>30</v>
      </c>
      <c r="F116" s="8">
        <v>30</v>
      </c>
      <c r="G116" s="9">
        <v>0</v>
      </c>
      <c r="H116" s="9">
        <v>0</v>
      </c>
      <c r="I116" s="9">
        <v>0</v>
      </c>
      <c r="J116" s="1990"/>
      <c r="K116" s="1991"/>
    </row>
    <row r="117" spans="1:11" s="2" customFormat="1">
      <c r="A117" s="1945"/>
      <c r="B117" s="1994"/>
      <c r="C117" s="1947"/>
      <c r="D117" s="322">
        <v>2019</v>
      </c>
      <c r="E117" s="8">
        <f t="shared" si="13"/>
        <v>30</v>
      </c>
      <c r="F117" s="8">
        <v>30</v>
      </c>
      <c r="G117" s="9">
        <v>0</v>
      </c>
      <c r="H117" s="9">
        <v>0</v>
      </c>
      <c r="I117" s="9">
        <v>0</v>
      </c>
      <c r="J117" s="1990"/>
      <c r="K117" s="1991"/>
    </row>
    <row r="118" spans="1:11" s="2" customFormat="1">
      <c r="A118" s="1945"/>
      <c r="B118" s="1994"/>
      <c r="C118" s="1947"/>
      <c r="D118" s="322">
        <v>2020</v>
      </c>
      <c r="E118" s="8">
        <f t="shared" si="13"/>
        <v>30</v>
      </c>
      <c r="F118" s="8">
        <v>30</v>
      </c>
      <c r="G118" s="9">
        <v>0</v>
      </c>
      <c r="H118" s="9">
        <v>0</v>
      </c>
      <c r="I118" s="9">
        <v>0</v>
      </c>
      <c r="J118" s="1990"/>
      <c r="K118" s="1991"/>
    </row>
    <row r="119" spans="1:11" s="2" customFormat="1" ht="15" customHeight="1">
      <c r="A119" s="1945" t="s">
        <v>199</v>
      </c>
      <c r="B119" s="1989" t="s">
        <v>54</v>
      </c>
      <c r="C119" s="1947">
        <v>2016</v>
      </c>
      <c r="D119" s="322" t="s">
        <v>8</v>
      </c>
      <c r="E119" s="8">
        <f t="shared" ref="E119:E132" si="14">SUM(F119:I119)</f>
        <v>200</v>
      </c>
      <c r="F119" s="8">
        <f>SUM(F120:F124)</f>
        <v>200</v>
      </c>
      <c r="G119" s="8">
        <f>SUM(G120:G124)</f>
        <v>0</v>
      </c>
      <c r="H119" s="8">
        <f>SUM(H120:H124)</f>
        <v>0</v>
      </c>
      <c r="I119" s="8">
        <f>SUM(I120:I124)</f>
        <v>0</v>
      </c>
      <c r="J119" s="1990" t="s">
        <v>200</v>
      </c>
      <c r="K119" s="1991" t="s">
        <v>26</v>
      </c>
    </row>
    <row r="120" spans="1:11" s="2" customFormat="1">
      <c r="A120" s="1945"/>
      <c r="B120" s="1989"/>
      <c r="C120" s="1947"/>
      <c r="D120" s="322">
        <v>2016</v>
      </c>
      <c r="E120" s="8">
        <f t="shared" si="14"/>
        <v>200</v>
      </c>
      <c r="F120" s="8">
        <v>200</v>
      </c>
      <c r="G120" s="9">
        <v>0</v>
      </c>
      <c r="H120" s="9">
        <v>0</v>
      </c>
      <c r="I120" s="9">
        <v>0</v>
      </c>
      <c r="J120" s="1990"/>
      <c r="K120" s="1991"/>
    </row>
    <row r="121" spans="1:11" s="2" customFormat="1">
      <c r="A121" s="1945"/>
      <c r="B121" s="1989"/>
      <c r="C121" s="1947"/>
      <c r="D121" s="322">
        <v>2017</v>
      </c>
      <c r="E121" s="8">
        <f t="shared" si="14"/>
        <v>0</v>
      </c>
      <c r="F121" s="8">
        <v>0</v>
      </c>
      <c r="G121" s="9">
        <v>0</v>
      </c>
      <c r="H121" s="9">
        <v>0</v>
      </c>
      <c r="I121" s="9">
        <v>0</v>
      </c>
      <c r="J121" s="1990"/>
      <c r="K121" s="1991"/>
    </row>
    <row r="122" spans="1:11" s="2" customFormat="1">
      <c r="A122" s="1945"/>
      <c r="B122" s="1989"/>
      <c r="C122" s="1947"/>
      <c r="D122" s="322">
        <v>2018</v>
      </c>
      <c r="E122" s="8">
        <f t="shared" si="14"/>
        <v>0</v>
      </c>
      <c r="F122" s="8">
        <v>0</v>
      </c>
      <c r="G122" s="9">
        <v>0</v>
      </c>
      <c r="H122" s="9">
        <v>0</v>
      </c>
      <c r="I122" s="9">
        <v>0</v>
      </c>
      <c r="J122" s="1990"/>
      <c r="K122" s="1991"/>
    </row>
    <row r="123" spans="1:11" s="2" customFormat="1">
      <c r="A123" s="1945"/>
      <c r="B123" s="1989"/>
      <c r="C123" s="1947"/>
      <c r="D123" s="322">
        <v>2019</v>
      </c>
      <c r="E123" s="8">
        <f t="shared" si="14"/>
        <v>0</v>
      </c>
      <c r="F123" s="8">
        <v>0</v>
      </c>
      <c r="G123" s="9">
        <v>0</v>
      </c>
      <c r="H123" s="9">
        <v>0</v>
      </c>
      <c r="I123" s="9">
        <v>0</v>
      </c>
      <c r="J123" s="1990"/>
      <c r="K123" s="1991"/>
    </row>
    <row r="124" spans="1:11" s="2" customFormat="1">
      <c r="A124" s="1945"/>
      <c r="B124" s="1989"/>
      <c r="C124" s="1947"/>
      <c r="D124" s="322">
        <v>2020</v>
      </c>
      <c r="E124" s="8">
        <f t="shared" si="14"/>
        <v>0</v>
      </c>
      <c r="F124" s="8">
        <v>0</v>
      </c>
      <c r="G124" s="9">
        <v>0</v>
      </c>
      <c r="H124" s="9">
        <v>0</v>
      </c>
      <c r="I124" s="9">
        <v>0</v>
      </c>
      <c r="J124" s="1990"/>
      <c r="K124" s="1991"/>
    </row>
    <row r="125" spans="1:11" s="2" customFormat="1" ht="13.5" customHeight="1">
      <c r="A125" s="1954" t="s">
        <v>201</v>
      </c>
      <c r="B125" s="1989" t="s">
        <v>55</v>
      </c>
      <c r="C125" s="1947" t="s">
        <v>14</v>
      </c>
      <c r="D125" s="322" t="s">
        <v>8</v>
      </c>
      <c r="E125" s="8">
        <f t="shared" si="14"/>
        <v>108562.5</v>
      </c>
      <c r="F125" s="8">
        <f>SUM(F126:F130)</f>
        <v>108562.5</v>
      </c>
      <c r="G125" s="8">
        <f>SUM(G126:G130)</f>
        <v>0</v>
      </c>
      <c r="H125" s="8">
        <f>SUM(H126:H130)</f>
        <v>0</v>
      </c>
      <c r="I125" s="8">
        <f>SUM(I126:I130)</f>
        <v>0</v>
      </c>
      <c r="J125" s="1990" t="s">
        <v>280</v>
      </c>
      <c r="K125" s="1991" t="s">
        <v>26</v>
      </c>
    </row>
    <row r="126" spans="1:11" s="2" customFormat="1" ht="13.5" customHeight="1">
      <c r="A126" s="1954"/>
      <c r="B126" s="1989"/>
      <c r="C126" s="1947"/>
      <c r="D126" s="322">
        <v>2016</v>
      </c>
      <c r="E126" s="8">
        <f t="shared" si="14"/>
        <v>20912.5</v>
      </c>
      <c r="F126" s="8">
        <v>20912.5</v>
      </c>
      <c r="G126" s="9">
        <v>0</v>
      </c>
      <c r="H126" s="9">
        <v>0</v>
      </c>
      <c r="I126" s="9">
        <v>0</v>
      </c>
      <c r="J126" s="1990"/>
      <c r="K126" s="1991"/>
    </row>
    <row r="127" spans="1:11" s="2" customFormat="1" ht="13.5" customHeight="1">
      <c r="A127" s="1954"/>
      <c r="B127" s="1989"/>
      <c r="C127" s="1947"/>
      <c r="D127" s="322">
        <v>2017</v>
      </c>
      <c r="E127" s="8">
        <f>SUM(F127:I127)</f>
        <v>21912.5</v>
      </c>
      <c r="F127" s="8">
        <v>21912.5</v>
      </c>
      <c r="G127" s="9">
        <v>0</v>
      </c>
      <c r="H127" s="9">
        <v>0</v>
      </c>
      <c r="I127" s="9">
        <v>0</v>
      </c>
      <c r="J127" s="1990"/>
      <c r="K127" s="1991"/>
    </row>
    <row r="128" spans="1:11" s="2" customFormat="1" ht="13.5" customHeight="1">
      <c r="A128" s="1954"/>
      <c r="B128" s="1989"/>
      <c r="C128" s="1947"/>
      <c r="D128" s="322">
        <v>2018</v>
      </c>
      <c r="E128" s="8">
        <f t="shared" si="14"/>
        <v>21912.5</v>
      </c>
      <c r="F128" s="8">
        <v>21912.5</v>
      </c>
      <c r="G128" s="9">
        <v>0</v>
      </c>
      <c r="H128" s="9">
        <v>0</v>
      </c>
      <c r="I128" s="9">
        <v>0</v>
      </c>
      <c r="J128" s="1990"/>
      <c r="K128" s="1991"/>
    </row>
    <row r="129" spans="1:11" s="2" customFormat="1" ht="13.5" customHeight="1">
      <c r="A129" s="1954"/>
      <c r="B129" s="1989"/>
      <c r="C129" s="1947"/>
      <c r="D129" s="322">
        <v>2019</v>
      </c>
      <c r="E129" s="8">
        <f>SUM(F129:I129)</f>
        <v>21912.5</v>
      </c>
      <c r="F129" s="8">
        <v>21912.5</v>
      </c>
      <c r="G129" s="9">
        <v>0</v>
      </c>
      <c r="H129" s="9">
        <v>0</v>
      </c>
      <c r="I129" s="9">
        <v>0</v>
      </c>
      <c r="J129" s="1990"/>
      <c r="K129" s="1991"/>
    </row>
    <row r="130" spans="1:11" s="2" customFormat="1" ht="13.5" customHeight="1">
      <c r="A130" s="1954"/>
      <c r="B130" s="1989"/>
      <c r="C130" s="1947"/>
      <c r="D130" s="322">
        <v>2020</v>
      </c>
      <c r="E130" s="8">
        <f>SUM(F130:I130)</f>
        <v>21912.5</v>
      </c>
      <c r="F130" s="8">
        <v>21912.5</v>
      </c>
      <c r="G130" s="9">
        <v>0</v>
      </c>
      <c r="H130" s="9">
        <v>0</v>
      </c>
      <c r="I130" s="9">
        <v>0</v>
      </c>
      <c r="J130" s="1990"/>
      <c r="K130" s="1991"/>
    </row>
    <row r="131" spans="1:11" s="2" customFormat="1" ht="15" customHeight="1">
      <c r="A131" s="1945" t="s">
        <v>203</v>
      </c>
      <c r="B131" s="1989" t="s">
        <v>56</v>
      </c>
      <c r="C131" s="1947" t="s">
        <v>14</v>
      </c>
      <c r="D131" s="322" t="s">
        <v>8</v>
      </c>
      <c r="E131" s="8">
        <f t="shared" si="14"/>
        <v>4976</v>
      </c>
      <c r="F131" s="8">
        <f>SUM(F132:F136)</f>
        <v>4976</v>
      </c>
      <c r="G131" s="8">
        <f>SUM(G132:G136)</f>
        <v>0</v>
      </c>
      <c r="H131" s="8">
        <f>SUM(H132:H136)</f>
        <v>0</v>
      </c>
      <c r="I131" s="8">
        <f>SUM(I132:I136)</f>
        <v>0</v>
      </c>
      <c r="J131" s="1990" t="s">
        <v>57</v>
      </c>
      <c r="K131" s="1991" t="s">
        <v>26</v>
      </c>
    </row>
    <row r="132" spans="1:11" s="2" customFormat="1">
      <c r="A132" s="1945"/>
      <c r="B132" s="1989"/>
      <c r="C132" s="1947"/>
      <c r="D132" s="322">
        <v>2016</v>
      </c>
      <c r="E132" s="8">
        <f t="shared" si="14"/>
        <v>1084</v>
      </c>
      <c r="F132" s="8">
        <v>1084</v>
      </c>
      <c r="G132" s="9">
        <v>0</v>
      </c>
      <c r="H132" s="9">
        <v>0</v>
      </c>
      <c r="I132" s="9">
        <v>0</v>
      </c>
      <c r="J132" s="1990"/>
      <c r="K132" s="1991"/>
    </row>
    <row r="133" spans="1:11" s="2" customFormat="1">
      <c r="A133" s="1945"/>
      <c r="B133" s="1989"/>
      <c r="C133" s="1947"/>
      <c r="D133" s="322">
        <v>2017</v>
      </c>
      <c r="E133" s="8">
        <f>SUM(F133:I133)</f>
        <v>1055</v>
      </c>
      <c r="F133" s="8">
        <v>1055</v>
      </c>
      <c r="G133" s="9">
        <v>0</v>
      </c>
      <c r="H133" s="9">
        <v>0</v>
      </c>
      <c r="I133" s="9">
        <v>0</v>
      </c>
      <c r="J133" s="1990"/>
      <c r="K133" s="1991"/>
    </row>
    <row r="134" spans="1:11" s="2" customFormat="1">
      <c r="A134" s="1945"/>
      <c r="B134" s="1989"/>
      <c r="C134" s="1947"/>
      <c r="D134" s="322">
        <v>2018</v>
      </c>
      <c r="E134" s="8">
        <f>SUM(F134:I134)</f>
        <v>669</v>
      </c>
      <c r="F134" s="8">
        <v>669</v>
      </c>
      <c r="G134" s="9">
        <v>0</v>
      </c>
      <c r="H134" s="9">
        <v>0</v>
      </c>
      <c r="I134" s="9">
        <v>0</v>
      </c>
      <c r="J134" s="1990"/>
      <c r="K134" s="1991"/>
    </row>
    <row r="135" spans="1:11" s="2" customFormat="1">
      <c r="A135" s="1945"/>
      <c r="B135" s="1989"/>
      <c r="C135" s="1947"/>
      <c r="D135" s="322">
        <v>2019</v>
      </c>
      <c r="E135" s="8">
        <f t="shared" ref="E135:E141" si="15">SUM(F135:I135)</f>
        <v>1084</v>
      </c>
      <c r="F135" s="8">
        <v>1084</v>
      </c>
      <c r="G135" s="9">
        <v>0</v>
      </c>
      <c r="H135" s="9">
        <v>0</v>
      </c>
      <c r="I135" s="9">
        <v>0</v>
      </c>
      <c r="J135" s="1990"/>
      <c r="K135" s="1991"/>
    </row>
    <row r="136" spans="1:11" s="2" customFormat="1">
      <c r="A136" s="1945"/>
      <c r="B136" s="1989"/>
      <c r="C136" s="1947"/>
      <c r="D136" s="322">
        <v>2020</v>
      </c>
      <c r="E136" s="8">
        <f>SUM(F136:I136)</f>
        <v>1084</v>
      </c>
      <c r="F136" s="8">
        <v>1084</v>
      </c>
      <c r="G136" s="9">
        <v>0</v>
      </c>
      <c r="H136" s="9">
        <v>0</v>
      </c>
      <c r="I136" s="9">
        <v>0</v>
      </c>
      <c r="J136" s="1990"/>
      <c r="K136" s="1991"/>
    </row>
    <row r="137" spans="1:11" s="2" customFormat="1" ht="15" customHeight="1">
      <c r="A137" s="1945" t="s">
        <v>204</v>
      </c>
      <c r="B137" s="1989" t="s">
        <v>152</v>
      </c>
      <c r="C137" s="1947" t="s">
        <v>194</v>
      </c>
      <c r="D137" s="322" t="s">
        <v>8</v>
      </c>
      <c r="E137" s="8">
        <f t="shared" si="15"/>
        <v>128.4</v>
      </c>
      <c r="F137" s="8">
        <f>SUM(F138:F142)</f>
        <v>128.4</v>
      </c>
      <c r="G137" s="8">
        <f>SUM(G138:G142)</f>
        <v>0</v>
      </c>
      <c r="H137" s="8">
        <f>SUM(H138:H142)</f>
        <v>0</v>
      </c>
      <c r="I137" s="8">
        <f>SUM(I138:I142)</f>
        <v>0</v>
      </c>
      <c r="J137" s="1990" t="s">
        <v>281</v>
      </c>
      <c r="K137" s="1991" t="s">
        <v>282</v>
      </c>
    </row>
    <row r="138" spans="1:11" s="2" customFormat="1">
      <c r="A138" s="1945"/>
      <c r="B138" s="1989"/>
      <c r="C138" s="1947"/>
      <c r="D138" s="322">
        <v>2016</v>
      </c>
      <c r="E138" s="8">
        <f t="shared" si="15"/>
        <v>0</v>
      </c>
      <c r="F138" s="8">
        <v>0</v>
      </c>
      <c r="G138" s="9">
        <v>0</v>
      </c>
      <c r="H138" s="9">
        <v>0</v>
      </c>
      <c r="I138" s="9">
        <v>0</v>
      </c>
      <c r="J138" s="1990"/>
      <c r="K138" s="1991"/>
    </row>
    <row r="139" spans="1:11" s="2" customFormat="1">
      <c r="A139" s="1945"/>
      <c r="B139" s="1989"/>
      <c r="C139" s="1947"/>
      <c r="D139" s="322">
        <v>2017</v>
      </c>
      <c r="E139" s="8">
        <f t="shared" si="15"/>
        <v>32.1</v>
      </c>
      <c r="F139" s="8">
        <v>32.1</v>
      </c>
      <c r="G139" s="9">
        <v>0</v>
      </c>
      <c r="H139" s="9">
        <v>0</v>
      </c>
      <c r="I139" s="9">
        <v>0</v>
      </c>
      <c r="J139" s="1990"/>
      <c r="K139" s="1991"/>
    </row>
    <row r="140" spans="1:11" s="2" customFormat="1">
      <c r="A140" s="1945"/>
      <c r="B140" s="1989"/>
      <c r="C140" s="1947"/>
      <c r="D140" s="322">
        <v>2018</v>
      </c>
      <c r="E140" s="8">
        <f t="shared" si="15"/>
        <v>32.1</v>
      </c>
      <c r="F140" s="8">
        <v>32.1</v>
      </c>
      <c r="G140" s="9">
        <v>0</v>
      </c>
      <c r="H140" s="9">
        <v>0</v>
      </c>
      <c r="I140" s="9">
        <v>0</v>
      </c>
      <c r="J140" s="1990"/>
      <c r="K140" s="1991"/>
    </row>
    <row r="141" spans="1:11" s="2" customFormat="1">
      <c r="A141" s="1945"/>
      <c r="B141" s="1989"/>
      <c r="C141" s="1947"/>
      <c r="D141" s="322">
        <v>2019</v>
      </c>
      <c r="E141" s="8">
        <f t="shared" si="15"/>
        <v>32.1</v>
      </c>
      <c r="F141" s="8">
        <v>32.1</v>
      </c>
      <c r="G141" s="9">
        <v>0</v>
      </c>
      <c r="H141" s="9">
        <v>0</v>
      </c>
      <c r="I141" s="9">
        <v>0</v>
      </c>
      <c r="J141" s="1990"/>
      <c r="K141" s="1991"/>
    </row>
    <row r="142" spans="1:11" s="2" customFormat="1">
      <c r="A142" s="1945"/>
      <c r="B142" s="1989"/>
      <c r="C142" s="1947"/>
      <c r="D142" s="322">
        <v>2020</v>
      </c>
      <c r="E142" s="8">
        <f>SUM(F142:I142)</f>
        <v>32.1</v>
      </c>
      <c r="F142" s="8">
        <v>32.1</v>
      </c>
      <c r="G142" s="9">
        <v>0</v>
      </c>
      <c r="H142" s="9">
        <v>0</v>
      </c>
      <c r="I142" s="9">
        <v>0</v>
      </c>
      <c r="J142" s="1990"/>
      <c r="K142" s="1991"/>
    </row>
    <row r="143" spans="1:11" s="2" customFormat="1" ht="15" hidden="1" customHeight="1">
      <c r="A143" s="1945" t="s">
        <v>205</v>
      </c>
      <c r="B143" s="1989" t="s">
        <v>206</v>
      </c>
      <c r="C143" s="1947">
        <v>2018</v>
      </c>
      <c r="D143" s="322" t="s">
        <v>8</v>
      </c>
      <c r="E143" s="8">
        <f>SUM(F143:I143)</f>
        <v>0</v>
      </c>
      <c r="F143" s="8">
        <f>SUM(F144:F148)</f>
        <v>0</v>
      </c>
      <c r="G143" s="8">
        <f>SUM(G144:G148)</f>
        <v>0</v>
      </c>
      <c r="H143" s="8">
        <f>SUM(H144:H148)</f>
        <v>0</v>
      </c>
      <c r="I143" s="8">
        <f>SUM(I144:I148)</f>
        <v>0</v>
      </c>
      <c r="J143" s="1990"/>
      <c r="K143" s="1991"/>
    </row>
    <row r="144" spans="1:11" s="2" customFormat="1" hidden="1">
      <c r="A144" s="1945"/>
      <c r="B144" s="1989"/>
      <c r="C144" s="1947"/>
      <c r="D144" s="322">
        <v>2016</v>
      </c>
      <c r="E144" s="8">
        <f>SUM(F144:I144)</f>
        <v>0</v>
      </c>
      <c r="F144" s="8">
        <v>0</v>
      </c>
      <c r="G144" s="9">
        <v>0</v>
      </c>
      <c r="H144" s="9">
        <v>0</v>
      </c>
      <c r="I144" s="9">
        <v>0</v>
      </c>
      <c r="J144" s="1990"/>
      <c r="K144" s="1991"/>
    </row>
    <row r="145" spans="1:11" s="2" customFormat="1" hidden="1">
      <c r="A145" s="1945"/>
      <c r="B145" s="1989"/>
      <c r="C145" s="1947"/>
      <c r="D145" s="322">
        <v>2017</v>
      </c>
      <c r="E145" s="8">
        <v>0</v>
      </c>
      <c r="F145" s="8">
        <v>0</v>
      </c>
      <c r="G145" s="9">
        <v>0</v>
      </c>
      <c r="H145" s="9">
        <v>0</v>
      </c>
      <c r="I145" s="9">
        <v>0</v>
      </c>
      <c r="J145" s="1990"/>
      <c r="K145" s="1991"/>
    </row>
    <row r="146" spans="1:11" s="2" customFormat="1" hidden="1">
      <c r="A146" s="1945"/>
      <c r="B146" s="1989"/>
      <c r="C146" s="1947"/>
      <c r="D146" s="322">
        <v>2018</v>
      </c>
      <c r="E146" s="8">
        <f>SUM(F146:I146)</f>
        <v>0</v>
      </c>
      <c r="F146" s="8">
        <v>0</v>
      </c>
      <c r="G146" s="9">
        <v>0</v>
      </c>
      <c r="H146" s="9">
        <v>0</v>
      </c>
      <c r="I146" s="9">
        <v>0</v>
      </c>
      <c r="J146" s="1990"/>
      <c r="K146" s="1991"/>
    </row>
    <row r="147" spans="1:11" s="2" customFormat="1" hidden="1">
      <c r="A147" s="1945"/>
      <c r="B147" s="1989"/>
      <c r="C147" s="1947"/>
      <c r="D147" s="322">
        <v>2019</v>
      </c>
      <c r="E147" s="8">
        <f>SUM(F147:I147)</f>
        <v>0</v>
      </c>
      <c r="F147" s="8">
        <v>0</v>
      </c>
      <c r="G147" s="9">
        <v>0</v>
      </c>
      <c r="H147" s="9">
        <v>0</v>
      </c>
      <c r="I147" s="9">
        <v>0</v>
      </c>
      <c r="J147" s="1990"/>
      <c r="K147" s="1991"/>
    </row>
    <row r="148" spans="1:11" s="2" customFormat="1" hidden="1">
      <c r="A148" s="1945"/>
      <c r="B148" s="1989"/>
      <c r="C148" s="1947"/>
      <c r="D148" s="322">
        <v>2020</v>
      </c>
      <c r="E148" s="8">
        <f>SUM(F148:I148)</f>
        <v>0</v>
      </c>
      <c r="F148" s="8">
        <v>0</v>
      </c>
      <c r="G148" s="9">
        <v>0</v>
      </c>
      <c r="H148" s="9">
        <v>0</v>
      </c>
      <c r="I148" s="9">
        <v>0</v>
      </c>
      <c r="J148" s="1990"/>
      <c r="K148" s="1991"/>
    </row>
    <row r="149" spans="1:11" s="2" customFormat="1" ht="15" customHeight="1">
      <c r="A149" s="1945" t="s">
        <v>273</v>
      </c>
      <c r="B149" s="1989" t="s">
        <v>283</v>
      </c>
      <c r="C149" s="1947" t="s">
        <v>186</v>
      </c>
      <c r="D149" s="322" t="s">
        <v>8</v>
      </c>
      <c r="E149" s="8">
        <f>SUM(F149:I149)</f>
        <v>15000</v>
      </c>
      <c r="F149" s="8">
        <f>SUM(F150:F154)</f>
        <v>15000</v>
      </c>
      <c r="G149" s="8">
        <f>SUM(G150:G154)</f>
        <v>0</v>
      </c>
      <c r="H149" s="8">
        <f>SUM(H150:H154)</f>
        <v>0</v>
      </c>
      <c r="I149" s="8">
        <f>SUM(I150:I154)</f>
        <v>0</v>
      </c>
      <c r="J149" s="1989" t="s">
        <v>284</v>
      </c>
      <c r="K149" s="1991" t="s">
        <v>66</v>
      </c>
    </row>
    <row r="150" spans="1:11" s="2" customFormat="1">
      <c r="A150" s="1945"/>
      <c r="B150" s="1989"/>
      <c r="C150" s="1947"/>
      <c r="D150" s="322">
        <v>2016</v>
      </c>
      <c r="E150" s="8">
        <f>SUM(F150:I150)</f>
        <v>0</v>
      </c>
      <c r="F150" s="8">
        <v>0</v>
      </c>
      <c r="G150" s="9">
        <v>0</v>
      </c>
      <c r="H150" s="9">
        <v>0</v>
      </c>
      <c r="I150" s="9">
        <v>0</v>
      </c>
      <c r="J150" s="1989"/>
      <c r="K150" s="1991"/>
    </row>
    <row r="151" spans="1:11" s="2" customFormat="1">
      <c r="A151" s="1945"/>
      <c r="B151" s="1989"/>
      <c r="C151" s="1947"/>
      <c r="D151" s="322">
        <v>2017</v>
      </c>
      <c r="E151" s="8">
        <v>0</v>
      </c>
      <c r="F151" s="8">
        <v>0</v>
      </c>
      <c r="G151" s="9">
        <v>0</v>
      </c>
      <c r="H151" s="9">
        <v>0</v>
      </c>
      <c r="I151" s="9">
        <v>0</v>
      </c>
      <c r="J151" s="1989"/>
      <c r="K151" s="1991"/>
    </row>
    <row r="152" spans="1:11" s="2" customFormat="1">
      <c r="A152" s="1945"/>
      <c r="B152" s="1989"/>
      <c r="C152" s="1947"/>
      <c r="D152" s="322">
        <v>2018</v>
      </c>
      <c r="E152" s="8">
        <f>SUM(F152:I152)</f>
        <v>5000</v>
      </c>
      <c r="F152" s="8">
        <v>5000</v>
      </c>
      <c r="G152" s="9">
        <v>0</v>
      </c>
      <c r="H152" s="9">
        <v>0</v>
      </c>
      <c r="I152" s="9">
        <v>0</v>
      </c>
      <c r="J152" s="1989"/>
      <c r="K152" s="1991"/>
    </row>
    <row r="153" spans="1:11" s="2" customFormat="1">
      <c r="A153" s="1945"/>
      <c r="B153" s="1989"/>
      <c r="C153" s="1947"/>
      <c r="D153" s="322">
        <v>2019</v>
      </c>
      <c r="E153" s="8">
        <f>SUM(F153:I153)</f>
        <v>5000</v>
      </c>
      <c r="F153" s="8">
        <v>5000</v>
      </c>
      <c r="G153" s="9">
        <v>0</v>
      </c>
      <c r="H153" s="9">
        <v>0</v>
      </c>
      <c r="I153" s="9">
        <v>0</v>
      </c>
      <c r="J153" s="1989"/>
      <c r="K153" s="1991"/>
    </row>
    <row r="154" spans="1:11" s="2" customFormat="1">
      <c r="A154" s="1945"/>
      <c r="B154" s="1989"/>
      <c r="C154" s="1947"/>
      <c r="D154" s="322">
        <v>2020</v>
      </c>
      <c r="E154" s="8">
        <f>SUM(F154:I154)</f>
        <v>5000</v>
      </c>
      <c r="F154" s="8">
        <v>5000</v>
      </c>
      <c r="G154" s="9">
        <v>0</v>
      </c>
      <c r="H154" s="9">
        <v>0</v>
      </c>
      <c r="I154" s="9">
        <v>0</v>
      </c>
      <c r="J154" s="1989"/>
      <c r="K154" s="1991"/>
    </row>
    <row r="155" spans="1:11" s="2" customFormat="1" ht="30" customHeight="1">
      <c r="A155" s="1945" t="s">
        <v>175</v>
      </c>
      <c r="B155" s="1989" t="s">
        <v>59</v>
      </c>
      <c r="C155" s="1947" t="s">
        <v>14</v>
      </c>
      <c r="D155" s="322" t="s">
        <v>8</v>
      </c>
      <c r="E155" s="8">
        <f>SUM(E156:E160)</f>
        <v>1924090.7000000002</v>
      </c>
      <c r="F155" s="8">
        <f>F156+F157+F158+F159+F160</f>
        <v>1894514.4</v>
      </c>
      <c r="G155" s="8">
        <f>G156+G157+G158+G159+G160</f>
        <v>29576.3</v>
      </c>
      <c r="H155" s="8">
        <f>H156+H157+H158+H159+H160</f>
        <v>0</v>
      </c>
      <c r="I155" s="8">
        <f>I156+I157+I158+I159+I160</f>
        <v>0</v>
      </c>
      <c r="J155" s="1990" t="s">
        <v>60</v>
      </c>
      <c r="K155" s="1991" t="s">
        <v>18</v>
      </c>
    </row>
    <row r="156" spans="1:11" s="2" customFormat="1" ht="30" customHeight="1">
      <c r="A156" s="1945"/>
      <c r="B156" s="1989"/>
      <c r="C156" s="1947"/>
      <c r="D156" s="322">
        <v>2016</v>
      </c>
      <c r="E156" s="8">
        <f>SUM(F156:I156)</f>
        <v>297039.60000000003</v>
      </c>
      <c r="F156" s="8">
        <f t="shared" ref="F156:I160" si="16">F162+F168+F174+F180</f>
        <v>290831.7</v>
      </c>
      <c r="G156" s="8">
        <f t="shared" si="16"/>
        <v>6207.9</v>
      </c>
      <c r="H156" s="8">
        <f t="shared" si="16"/>
        <v>0</v>
      </c>
      <c r="I156" s="8">
        <f t="shared" si="16"/>
        <v>0</v>
      </c>
      <c r="J156" s="1990"/>
      <c r="K156" s="1991"/>
    </row>
    <row r="157" spans="1:11" s="2" customFormat="1" ht="30" customHeight="1">
      <c r="A157" s="1945"/>
      <c r="B157" s="1989"/>
      <c r="C157" s="1947"/>
      <c r="D157" s="322">
        <v>2017</v>
      </c>
      <c r="E157" s="8">
        <f>SUM(F157:I157)</f>
        <v>344371.4</v>
      </c>
      <c r="F157" s="8">
        <f t="shared" si="16"/>
        <v>336315.9</v>
      </c>
      <c r="G157" s="8">
        <f t="shared" si="16"/>
        <v>8055.5</v>
      </c>
      <c r="H157" s="8">
        <f t="shared" si="16"/>
        <v>0</v>
      </c>
      <c r="I157" s="8">
        <f t="shared" si="16"/>
        <v>0</v>
      </c>
      <c r="J157" s="1990"/>
      <c r="K157" s="1991"/>
    </row>
    <row r="158" spans="1:11" s="2" customFormat="1" ht="30" customHeight="1">
      <c r="A158" s="1945"/>
      <c r="B158" s="1989"/>
      <c r="C158" s="1947"/>
      <c r="D158" s="322">
        <v>2018</v>
      </c>
      <c r="E158" s="8">
        <f>SUM(F158:I158)</f>
        <v>452168.30000000005</v>
      </c>
      <c r="F158" s="8">
        <f t="shared" si="16"/>
        <v>436855.4</v>
      </c>
      <c r="G158" s="8">
        <f t="shared" si="16"/>
        <v>15312.9</v>
      </c>
      <c r="H158" s="8">
        <f t="shared" si="16"/>
        <v>0</v>
      </c>
      <c r="I158" s="8">
        <f t="shared" si="16"/>
        <v>0</v>
      </c>
      <c r="J158" s="1990"/>
      <c r="K158" s="1991"/>
    </row>
    <row r="159" spans="1:11" s="2" customFormat="1" ht="30" customHeight="1">
      <c r="A159" s="1945"/>
      <c r="B159" s="1989"/>
      <c r="C159" s="1947"/>
      <c r="D159" s="322">
        <v>2019</v>
      </c>
      <c r="E159" s="8">
        <f>SUM(F159:I159)</f>
        <v>410110.4</v>
      </c>
      <c r="F159" s="8">
        <f t="shared" si="16"/>
        <v>410110.4</v>
      </c>
      <c r="G159" s="8">
        <f t="shared" si="16"/>
        <v>0</v>
      </c>
      <c r="H159" s="8">
        <f t="shared" si="16"/>
        <v>0</v>
      </c>
      <c r="I159" s="8">
        <f t="shared" si="16"/>
        <v>0</v>
      </c>
      <c r="J159" s="1990"/>
      <c r="K159" s="1991"/>
    </row>
    <row r="160" spans="1:11" s="2" customFormat="1" ht="30" customHeight="1">
      <c r="A160" s="1945"/>
      <c r="B160" s="1989"/>
      <c r="C160" s="1947"/>
      <c r="D160" s="322">
        <v>2020</v>
      </c>
      <c r="E160" s="8">
        <f>SUM(F160:I160)</f>
        <v>420401</v>
      </c>
      <c r="F160" s="8">
        <f t="shared" si="16"/>
        <v>420401</v>
      </c>
      <c r="G160" s="8">
        <f t="shared" si="16"/>
        <v>0</v>
      </c>
      <c r="H160" s="8">
        <f t="shared" si="16"/>
        <v>0</v>
      </c>
      <c r="I160" s="8">
        <f t="shared" si="16"/>
        <v>0</v>
      </c>
      <c r="J160" s="1990"/>
      <c r="K160" s="1991"/>
    </row>
    <row r="161" spans="1:11" s="2" customFormat="1" ht="17.100000000000001" customHeight="1">
      <c r="A161" s="1945" t="s">
        <v>58</v>
      </c>
      <c r="B161" s="1989" t="s">
        <v>22</v>
      </c>
      <c r="C161" s="1947" t="s">
        <v>14</v>
      </c>
      <c r="D161" s="322" t="s">
        <v>8</v>
      </c>
      <c r="E161" s="8">
        <f>SUM(E162:E166)</f>
        <v>1848920</v>
      </c>
      <c r="F161" s="8">
        <f>SUM(F162:F166)</f>
        <v>1848920</v>
      </c>
      <c r="G161" s="8">
        <f>SUM(G162:G165)</f>
        <v>0</v>
      </c>
      <c r="H161" s="8">
        <f>SUM(H162:H165)</f>
        <v>0</v>
      </c>
      <c r="I161" s="8">
        <f>SUM(I162:I165)</f>
        <v>0</v>
      </c>
      <c r="J161" s="1990" t="s">
        <v>155</v>
      </c>
      <c r="K161" s="1991" t="s">
        <v>61</v>
      </c>
    </row>
    <row r="162" spans="1:11" s="2" customFormat="1" ht="17.100000000000001" customHeight="1">
      <c r="A162" s="1945"/>
      <c r="B162" s="1989"/>
      <c r="C162" s="1947"/>
      <c r="D162" s="322">
        <v>2016</v>
      </c>
      <c r="E162" s="8">
        <f>SUM(F162:I162)</f>
        <v>288974</v>
      </c>
      <c r="F162" s="9">
        <v>288974</v>
      </c>
      <c r="G162" s="9">
        <f>[6]План!G232+[6]План!G240+[6]План!G248+[6]План!G256+[6]План!G264+[6]План!G272+[6]План!G280+[6]План!G288+[6]План!G296+[6]План!G304+[6]План!G312+[6]План!G320+[6]План!G328+[6]План!G336+[6]План!G344+[6]План!G352+[6]План!G360+[6]План!G368+[6]План!G376+[6]План!G384+[6]План!G392+[6]План!G400+[6]План!G408+[6]План!G416+[6]План!G424+[6]План!G432+[6]План!G440+[6]План!G448+[6]План!G456+[6]План!G464+[6]План!G472+[6]План!G480+[6]План!G488+[6]План!G496+[6]План!G504+[6]План!G512+[6]План!G520+[6]План!G528+[6]План!G536+[6]План!G544+[6]План!G552+[6]План!G560+[6]План!G568+[6]План!G584+[6]План!G592</f>
        <v>0</v>
      </c>
      <c r="H162" s="9">
        <f>[6]План!H232+[6]План!H240+[6]План!H248+[6]План!H256+[6]План!H264+[6]План!H272+[6]План!H280+[6]План!H288+[6]План!H296+[6]План!H304+[6]План!H312+[6]План!H320+[6]План!H328+[6]План!H336+[6]План!H344+[6]План!H352+[6]План!H360+[6]План!H368+[6]План!H376+[6]План!H384+[6]План!H392+[6]План!H400+[6]План!H408+[6]План!H416+[6]План!H424+[6]План!H432+[6]План!H440+[6]План!H448+[6]План!H456+[6]План!H464+[6]План!H472+[6]План!H480+[6]План!H488+[6]План!H496+[6]План!H504+[6]План!H512+[6]План!H520+[6]План!H528+[6]План!H536+[6]План!H544+[6]План!H552+[6]План!H560+[6]План!H568+[6]План!H584+[6]План!H592</f>
        <v>0</v>
      </c>
      <c r="I162" s="9">
        <f>[6]План!I232+[6]План!I240+[6]План!I248+[6]План!I256+[6]План!I264+[6]План!I272+[6]План!I280+[6]План!I288+[6]План!I296+[6]План!I304+[6]План!I312+[6]План!I320+[6]План!I328+[6]План!I336+[6]План!I344+[6]План!I352+[6]План!I360+[6]План!I368+[6]План!I376+[6]План!I384+[6]План!I392+[6]План!I400+[6]План!I408+[6]План!I416+[6]План!I424+[6]План!I432+[6]План!I440+[6]План!I448+[6]План!I456+[6]План!I464+[6]План!I472+[6]План!I480+[6]План!I488+[6]План!I496+[6]План!I504+[6]План!I512+[6]План!I520+[6]План!I528+[6]План!I536+[6]План!I544+[6]План!I552+[6]План!I560+[6]План!I568+[6]План!I584+[6]План!I592</f>
        <v>0</v>
      </c>
      <c r="J162" s="1990"/>
      <c r="K162" s="1991"/>
    </row>
    <row r="163" spans="1:11" s="2" customFormat="1" ht="17.100000000000001" customHeight="1">
      <c r="A163" s="1945"/>
      <c r="B163" s="1989"/>
      <c r="C163" s="1947"/>
      <c r="D163" s="322">
        <v>2017</v>
      </c>
      <c r="E163" s="8">
        <f>SUM(F163:I163)</f>
        <v>334047.40000000002</v>
      </c>
      <c r="F163" s="9">
        <v>334047.40000000002</v>
      </c>
      <c r="G163" s="9">
        <f>[6]План!G233+[6]План!G241+[6]План!G249+[6]План!G257+[6]План!G265+[6]План!G273+[6]План!G281+[6]План!G289+[6]План!G297+[6]План!G305+[6]План!G313+[6]План!G321+[6]План!G329+[6]План!G337+[6]План!G345+[6]План!G353+[6]План!G361+[6]План!G369+[6]План!G377+[6]План!G385+[6]План!G393+[6]План!G401+[6]План!G409+[6]План!G417+[6]План!G425+[6]План!G433+[6]План!G441+[6]План!G449+[6]План!G457+[6]План!G465+[6]План!G473+[6]План!G481+[6]План!G489+[6]План!G497+[6]План!G505+[6]План!G513+[6]План!G521+[6]План!G529+[6]План!G537+[6]План!G545+[6]План!G553+[6]План!G561+[6]План!G569+[6]План!G585+[6]План!G593</f>
        <v>0</v>
      </c>
      <c r="H163" s="9">
        <f>[6]План!H233+[6]План!H241+[6]План!H249+[6]План!H257+[6]План!H265+[6]План!H273+[6]План!H281+[6]План!H289+[6]План!H297+[6]План!H305+[6]План!H313+[6]План!H321+[6]План!H329+[6]План!H337+[6]План!H345+[6]План!H353+[6]План!H361+[6]План!H369+[6]План!H377+[6]План!H385+[6]План!H393+[6]План!H401+[6]План!H409+[6]План!H417+[6]План!H425+[6]План!H433+[6]План!H441+[6]План!H449+[6]План!H457+[6]План!H465+[6]План!H473+[6]План!H481+[6]План!H489+[6]План!H497+[6]План!H505+[6]План!H513+[6]План!H521+[6]План!H529+[6]План!H537+[6]План!H545+[6]План!H553+[6]План!H561+[6]План!H569+[6]План!H585+[6]План!H593</f>
        <v>0</v>
      </c>
      <c r="I163" s="9">
        <f>[6]План!I233+[6]План!I241+[6]План!I249+[6]План!I257+[6]План!I265+[6]План!I273+[6]План!I281+[6]План!I289+[6]План!I297+[6]План!I305+[6]План!I313+[6]План!I321+[6]План!I329+[6]План!I337+[6]План!I345+[6]План!I353+[6]План!I361+[6]План!I369+[6]План!I377+[6]План!I385+[6]План!I393+[6]План!I401+[6]План!I409+[6]План!I417+[6]План!I425+[6]План!I433+[6]План!I441+[6]План!I449+[6]План!I457+[6]План!I465+[6]План!I473+[6]План!I481+[6]План!I489+[6]План!I497+[6]План!I505+[6]План!I513+[6]План!I521+[6]План!I529+[6]План!I537+[6]План!I545+[6]План!I553+[6]План!I561+[6]План!I569+[6]План!I585+[6]План!I593</f>
        <v>0</v>
      </c>
      <c r="J163" s="1990"/>
      <c r="K163" s="1991"/>
    </row>
    <row r="164" spans="1:11" s="2" customFormat="1" ht="17.100000000000001" customHeight="1">
      <c r="A164" s="1945"/>
      <c r="B164" s="1989"/>
      <c r="C164" s="1947"/>
      <c r="D164" s="322">
        <v>2018</v>
      </c>
      <c r="E164" s="8">
        <f>SUM(F164:I164)</f>
        <v>427097.2</v>
      </c>
      <c r="F164" s="9">
        <v>427097.2</v>
      </c>
      <c r="G164" s="9">
        <f>[6]План!G234+[6]План!G242+[6]План!G250+[6]План!G258+[6]План!G266+[6]План!G274+[6]План!G282+[6]План!G290+[6]План!G298+[6]План!G306+[6]План!G314+[6]План!G322+[6]План!G330+[6]План!G338+[6]План!G346+[6]План!G354+[6]План!G362+[6]План!G370+[6]План!G378+[6]План!G386+[6]План!G394+[6]План!G402+[6]План!G410+[6]План!G418+[6]План!G426+[6]План!G434+[6]План!G442+[6]План!G450+[6]План!G458+[6]План!G466+[6]План!G474+[6]План!G482+[6]План!G490+[6]План!G498+[6]План!G506+[6]План!G514+[6]План!G522+[6]План!G530+[6]План!G538+[6]План!G546+[6]План!G554+[6]План!G562+[6]План!G570+[6]План!G586+[6]План!G594</f>
        <v>0</v>
      </c>
      <c r="H164" s="9">
        <f>[6]План!H234+[6]План!H242+[6]План!H250+[6]План!H258+[6]План!H266+[6]План!H274+[6]План!H282+[6]План!H290+[6]План!H298+[6]План!H306+[6]План!H314+[6]План!H322+[6]План!H330+[6]План!H338+[6]План!H346+[6]План!H354+[6]План!H362+[6]План!H370+[6]План!H378+[6]План!H386+[6]План!H394+[6]План!H402+[6]План!H410+[6]План!H418+[6]План!H426+[6]План!H434+[6]План!H442+[6]План!H450+[6]План!H458+[6]План!H466+[6]План!H474+[6]План!H482+[6]План!H490+[6]План!H498+[6]План!H506+[6]План!H514+[6]План!H522+[6]План!H530+[6]План!H538+[6]План!H546+[6]План!H554+[6]План!H562+[6]План!H570+[6]План!H586+[6]План!H594</f>
        <v>0</v>
      </c>
      <c r="I164" s="9">
        <f>[6]План!I234+[6]План!I242+[6]План!I250+[6]План!I258+[6]План!I266+[6]План!I274+[6]План!I282+[6]План!I290+[6]План!I298+[6]План!I306+[6]План!I314+[6]План!I322+[6]План!I330+[6]План!I338+[6]План!I346+[6]План!I354+[6]План!I362+[6]План!I370+[6]План!I378+[6]План!I386+[6]План!I394+[6]План!I402+[6]План!I410+[6]План!I418+[6]План!I426+[6]План!I434+[6]План!I442+[6]План!I450+[6]План!I458+[6]План!I466+[6]План!I474+[6]План!I482+[6]План!I490+[6]План!I498+[6]План!I506+[6]План!I514+[6]План!I522+[6]План!I530+[6]План!I538+[6]План!I546+[6]План!I554+[6]План!I562+[6]План!I570+[6]План!I586+[6]План!I594</f>
        <v>0</v>
      </c>
      <c r="J164" s="1990"/>
      <c r="K164" s="1991"/>
    </row>
    <row r="165" spans="1:11" s="2" customFormat="1" ht="17.100000000000001" customHeight="1">
      <c r="A165" s="1945"/>
      <c r="B165" s="1989"/>
      <c r="C165" s="1947"/>
      <c r="D165" s="322">
        <v>2019</v>
      </c>
      <c r="E165" s="8">
        <f>SUM(F165:I165)</f>
        <v>394255.4</v>
      </c>
      <c r="F165" s="9">
        <v>394255.4</v>
      </c>
      <c r="G165" s="9">
        <v>0</v>
      </c>
      <c r="H165" s="9">
        <v>0</v>
      </c>
      <c r="I165" s="9">
        <v>0</v>
      </c>
      <c r="J165" s="1990"/>
      <c r="K165" s="1991"/>
    </row>
    <row r="166" spans="1:11" s="2" customFormat="1" ht="17.100000000000001" customHeight="1">
      <c r="A166" s="1945"/>
      <c r="B166" s="1989"/>
      <c r="C166" s="1947"/>
      <c r="D166" s="322">
        <v>2020</v>
      </c>
      <c r="E166" s="8">
        <f>SUM(F166:I166)</f>
        <v>404546</v>
      </c>
      <c r="F166" s="9">
        <v>404546</v>
      </c>
      <c r="G166" s="9">
        <v>0</v>
      </c>
      <c r="H166" s="9">
        <v>0</v>
      </c>
      <c r="I166" s="9">
        <v>0</v>
      </c>
      <c r="J166" s="1990"/>
      <c r="K166" s="1991"/>
    </row>
    <row r="167" spans="1:11" s="2" customFormat="1" ht="13.5" customHeight="1">
      <c r="A167" s="1945" t="s">
        <v>67</v>
      </c>
      <c r="B167" s="1989" t="s">
        <v>62</v>
      </c>
      <c r="C167" s="1947" t="s">
        <v>14</v>
      </c>
      <c r="D167" s="322" t="s">
        <v>8</v>
      </c>
      <c r="E167" s="8">
        <f>SUM(E168:E172)</f>
        <v>10395.599999999999</v>
      </c>
      <c r="F167" s="8">
        <f>SUM(F168:F172)</f>
        <v>10395.599999999999</v>
      </c>
      <c r="G167" s="8">
        <f>SUM(G168:G172)</f>
        <v>0</v>
      </c>
      <c r="H167" s="8">
        <f>SUM(H168:H172)</f>
        <v>0</v>
      </c>
      <c r="I167" s="8">
        <f>SUM(I168:I172)</f>
        <v>0</v>
      </c>
      <c r="J167" s="1990" t="s">
        <v>63</v>
      </c>
      <c r="K167" s="1991" t="s">
        <v>61</v>
      </c>
    </row>
    <row r="168" spans="1:11" s="2" customFormat="1" ht="13.5" customHeight="1">
      <c r="A168" s="1945"/>
      <c r="B168" s="1989"/>
      <c r="C168" s="1947"/>
      <c r="D168" s="322">
        <v>2016</v>
      </c>
      <c r="E168" s="8">
        <f>SUM(F168:I168)</f>
        <v>1527.7</v>
      </c>
      <c r="F168" s="8">
        <v>1527.7</v>
      </c>
      <c r="G168" s="9">
        <v>0</v>
      </c>
      <c r="H168" s="9">
        <v>0</v>
      </c>
      <c r="I168" s="9">
        <v>0</v>
      </c>
      <c r="J168" s="1990"/>
      <c r="K168" s="1991"/>
    </row>
    <row r="169" spans="1:11" s="2" customFormat="1" ht="13.5" customHeight="1">
      <c r="A169" s="1945"/>
      <c r="B169" s="1989"/>
      <c r="C169" s="1947"/>
      <c r="D169" s="322">
        <v>2017</v>
      </c>
      <c r="E169" s="8">
        <f>SUM(F169:I169)</f>
        <v>1819.6</v>
      </c>
      <c r="F169" s="8">
        <v>1819.6</v>
      </c>
      <c r="G169" s="9">
        <v>0</v>
      </c>
      <c r="H169" s="9">
        <v>0</v>
      </c>
      <c r="I169" s="9">
        <v>0</v>
      </c>
      <c r="J169" s="1990"/>
      <c r="K169" s="1991"/>
    </row>
    <row r="170" spans="1:11" s="2" customFormat="1" ht="13.5" customHeight="1">
      <c r="A170" s="1945"/>
      <c r="B170" s="1989"/>
      <c r="C170" s="1947"/>
      <c r="D170" s="322">
        <v>2018</v>
      </c>
      <c r="E170" s="8">
        <f>SUM(F170:I170)</f>
        <v>3503.7</v>
      </c>
      <c r="F170" s="9">
        <v>3503.7</v>
      </c>
      <c r="G170" s="9">
        <v>0</v>
      </c>
      <c r="H170" s="9">
        <v>0</v>
      </c>
      <c r="I170" s="9">
        <v>0</v>
      </c>
      <c r="J170" s="1990"/>
      <c r="K170" s="1991"/>
    </row>
    <row r="171" spans="1:11" s="2" customFormat="1" ht="13.5" customHeight="1">
      <c r="A171" s="1945"/>
      <c r="B171" s="1989"/>
      <c r="C171" s="1947"/>
      <c r="D171" s="322">
        <v>2019</v>
      </c>
      <c r="E171" s="8">
        <f>SUM(F171:I171)</f>
        <v>1772.3</v>
      </c>
      <c r="F171" s="9">
        <v>1772.3</v>
      </c>
      <c r="G171" s="9">
        <v>0</v>
      </c>
      <c r="H171" s="9">
        <v>0</v>
      </c>
      <c r="I171" s="9">
        <v>0</v>
      </c>
      <c r="J171" s="1990"/>
      <c r="K171" s="1991"/>
    </row>
    <row r="172" spans="1:11" s="2" customFormat="1" ht="13.5" customHeight="1">
      <c r="A172" s="1945"/>
      <c r="B172" s="1989"/>
      <c r="C172" s="1947"/>
      <c r="D172" s="322">
        <v>2020</v>
      </c>
      <c r="E172" s="8">
        <f>SUM(F172:I172)</f>
        <v>1772.3</v>
      </c>
      <c r="F172" s="9">
        <v>1772.3</v>
      </c>
      <c r="G172" s="9">
        <v>0</v>
      </c>
      <c r="H172" s="9">
        <v>0</v>
      </c>
      <c r="I172" s="9">
        <v>0</v>
      </c>
      <c r="J172" s="1990"/>
      <c r="K172" s="1991"/>
    </row>
    <row r="173" spans="1:11" s="2" customFormat="1" ht="21.95" customHeight="1">
      <c r="A173" s="1945" t="s">
        <v>208</v>
      </c>
      <c r="B173" s="1995" t="s">
        <v>64</v>
      </c>
      <c r="C173" s="1947" t="s">
        <v>14</v>
      </c>
      <c r="D173" s="322" t="s">
        <v>8</v>
      </c>
      <c r="E173" s="8">
        <f>SUM(E174:E178)</f>
        <v>64756.2</v>
      </c>
      <c r="F173" s="8">
        <f>SUM(F174:F178)</f>
        <v>35179.9</v>
      </c>
      <c r="G173" s="8">
        <f>SUM(G174:G178)</f>
        <v>29576.3</v>
      </c>
      <c r="H173" s="8">
        <f>SUM(H174:H178)</f>
        <v>0</v>
      </c>
      <c r="I173" s="8">
        <f>SUM(I174:I178)</f>
        <v>0</v>
      </c>
      <c r="J173" s="1998" t="s">
        <v>442</v>
      </c>
      <c r="K173" s="1991" t="s">
        <v>443</v>
      </c>
    </row>
    <row r="174" spans="1:11" s="2" customFormat="1" ht="21.95" customHeight="1">
      <c r="A174" s="1945"/>
      <c r="B174" s="1996"/>
      <c r="C174" s="1947"/>
      <c r="D174" s="322">
        <v>2016</v>
      </c>
      <c r="E174" s="8">
        <f>SUM(F174:I174)</f>
        <v>6537.9</v>
      </c>
      <c r="F174" s="8">
        <v>330</v>
      </c>
      <c r="G174" s="9">
        <v>6207.9</v>
      </c>
      <c r="H174" s="9">
        <v>0</v>
      </c>
      <c r="I174" s="9">
        <v>0</v>
      </c>
      <c r="J174" s="1999"/>
      <c r="K174" s="1991"/>
    </row>
    <row r="175" spans="1:11" s="2" customFormat="1" ht="21.95" customHeight="1">
      <c r="A175" s="1945"/>
      <c r="B175" s="1996"/>
      <c r="C175" s="1947"/>
      <c r="D175" s="322">
        <v>2017</v>
      </c>
      <c r="E175" s="8">
        <f>SUM(F175:I175)</f>
        <v>8485.5</v>
      </c>
      <c r="F175" s="8">
        <v>430</v>
      </c>
      <c r="G175" s="9">
        <v>8055.5</v>
      </c>
      <c r="H175" s="9">
        <v>0</v>
      </c>
      <c r="I175" s="9">
        <v>0</v>
      </c>
      <c r="J175" s="1999"/>
      <c r="K175" s="1991"/>
    </row>
    <row r="176" spans="1:11" s="2" customFormat="1" ht="21.95" customHeight="1">
      <c r="A176" s="1945"/>
      <c r="B176" s="1996"/>
      <c r="C176" s="1947"/>
      <c r="D176" s="322">
        <v>2018</v>
      </c>
      <c r="E176" s="8">
        <f>SUM(F176:I176)</f>
        <v>21567.4</v>
      </c>
      <c r="F176" s="9">
        <v>6254.5</v>
      </c>
      <c r="G176" s="9">
        <v>15312.9</v>
      </c>
      <c r="H176" s="9">
        <v>0</v>
      </c>
      <c r="I176" s="9">
        <v>0</v>
      </c>
      <c r="J176" s="1999"/>
      <c r="K176" s="1991"/>
    </row>
    <row r="177" spans="1:11" s="2" customFormat="1" ht="21.95" customHeight="1">
      <c r="A177" s="1945"/>
      <c r="B177" s="1996"/>
      <c r="C177" s="1947"/>
      <c r="D177" s="322">
        <v>2019</v>
      </c>
      <c r="E177" s="8">
        <f>SUM(F177:I177)</f>
        <v>14082.7</v>
      </c>
      <c r="F177" s="9">
        <v>14082.7</v>
      </c>
      <c r="G177" s="9">
        <v>0</v>
      </c>
      <c r="H177" s="9">
        <v>0</v>
      </c>
      <c r="I177" s="9">
        <v>0</v>
      </c>
      <c r="J177" s="1999"/>
      <c r="K177" s="1991"/>
    </row>
    <row r="178" spans="1:11" s="2" customFormat="1" ht="157.5" customHeight="1">
      <c r="A178" s="1945"/>
      <c r="B178" s="1997"/>
      <c r="C178" s="1947"/>
      <c r="D178" s="322">
        <v>2020</v>
      </c>
      <c r="E178" s="8">
        <f>SUM(F178:I178)</f>
        <v>14082.7</v>
      </c>
      <c r="F178" s="9">
        <v>14082.7</v>
      </c>
      <c r="G178" s="9">
        <v>0</v>
      </c>
      <c r="H178" s="9">
        <v>0</v>
      </c>
      <c r="I178" s="9">
        <v>0</v>
      </c>
      <c r="J178" s="2000"/>
      <c r="K178" s="1991"/>
    </row>
    <row r="179" spans="1:11" s="2" customFormat="1" ht="17.100000000000001" hidden="1" customHeight="1">
      <c r="A179" s="1945" t="s">
        <v>209</v>
      </c>
      <c r="B179" s="1989" t="s">
        <v>156</v>
      </c>
      <c r="C179" s="1947">
        <v>2017</v>
      </c>
      <c r="D179" s="322" t="s">
        <v>8</v>
      </c>
      <c r="E179" s="8">
        <f>SUM(E180:E182)</f>
        <v>18.899999999999999</v>
      </c>
      <c r="F179" s="8">
        <f>SUM(F180:F184)</f>
        <v>18.899999999999999</v>
      </c>
      <c r="G179" s="8">
        <f>SUM(G180:G184)</f>
        <v>0</v>
      </c>
      <c r="H179" s="8">
        <f>SUM(H180:H184)</f>
        <v>0</v>
      </c>
      <c r="I179" s="8">
        <f>SUM(I180:I184)</f>
        <v>0</v>
      </c>
      <c r="J179" s="1990" t="s">
        <v>156</v>
      </c>
      <c r="K179" s="1991" t="s">
        <v>61</v>
      </c>
    </row>
    <row r="180" spans="1:11" s="2" customFormat="1" ht="17.100000000000001" hidden="1" customHeight="1">
      <c r="A180" s="1945"/>
      <c r="B180" s="1989"/>
      <c r="C180" s="1947"/>
      <c r="D180" s="322">
        <v>2016</v>
      </c>
      <c r="E180" s="8">
        <f>SUM(F180:I180)</f>
        <v>0</v>
      </c>
      <c r="F180" s="8">
        <v>0</v>
      </c>
      <c r="G180" s="9">
        <v>0</v>
      </c>
      <c r="H180" s="9">
        <v>0</v>
      </c>
      <c r="I180" s="9">
        <v>0</v>
      </c>
      <c r="J180" s="1990"/>
      <c r="K180" s="1991"/>
    </row>
    <row r="181" spans="1:11" s="2" customFormat="1" ht="17.100000000000001" hidden="1" customHeight="1">
      <c r="A181" s="1945"/>
      <c r="B181" s="1989"/>
      <c r="C181" s="1947"/>
      <c r="D181" s="322">
        <v>2017</v>
      </c>
      <c r="E181" s="8">
        <f>SUM(F181:I181)</f>
        <v>18.899999999999999</v>
      </c>
      <c r="F181" s="8">
        <v>18.899999999999999</v>
      </c>
      <c r="G181" s="9">
        <v>0</v>
      </c>
      <c r="H181" s="9">
        <v>0</v>
      </c>
      <c r="I181" s="9">
        <v>0</v>
      </c>
      <c r="J181" s="1990"/>
      <c r="K181" s="1991"/>
    </row>
    <row r="182" spans="1:11" s="2" customFormat="1" ht="17.100000000000001" hidden="1" customHeight="1">
      <c r="A182" s="1945"/>
      <c r="B182" s="1989"/>
      <c r="C182" s="1947"/>
      <c r="D182" s="322">
        <v>2018</v>
      </c>
      <c r="E182" s="8">
        <f>SUM(F182:I182)</f>
        <v>0</v>
      </c>
      <c r="F182" s="8">
        <v>0</v>
      </c>
      <c r="G182" s="9">
        <v>0</v>
      </c>
      <c r="H182" s="9">
        <v>0</v>
      </c>
      <c r="I182" s="9">
        <v>0</v>
      </c>
      <c r="J182" s="1990"/>
      <c r="K182" s="1991"/>
    </row>
    <row r="183" spans="1:11" s="2" customFormat="1" ht="17.100000000000001" hidden="1" customHeight="1">
      <c r="A183" s="1945"/>
      <c r="B183" s="1989"/>
      <c r="C183" s="1947"/>
      <c r="D183" s="322">
        <v>2019</v>
      </c>
      <c r="E183" s="8">
        <f>SUM(F183:I183)</f>
        <v>0</v>
      </c>
      <c r="F183" s="8">
        <v>0</v>
      </c>
      <c r="G183" s="9">
        <v>0</v>
      </c>
      <c r="H183" s="9">
        <v>0</v>
      </c>
      <c r="I183" s="9">
        <v>0</v>
      </c>
      <c r="J183" s="1990"/>
      <c r="K183" s="1991"/>
    </row>
    <row r="184" spans="1:11" s="2" customFormat="1" ht="17.100000000000001" hidden="1" customHeight="1">
      <c r="A184" s="1945"/>
      <c r="B184" s="1989"/>
      <c r="C184" s="1947"/>
      <c r="D184" s="322">
        <v>2020</v>
      </c>
      <c r="E184" s="8">
        <f>SUM(F184:I184)</f>
        <v>0</v>
      </c>
      <c r="F184" s="8">
        <v>0</v>
      </c>
      <c r="G184" s="9">
        <v>0</v>
      </c>
      <c r="H184" s="9">
        <v>0</v>
      </c>
      <c r="I184" s="9">
        <v>0</v>
      </c>
      <c r="J184" s="1990"/>
      <c r="K184" s="1991"/>
    </row>
    <row r="185" spans="1:11" s="2" customFormat="1" ht="24.95" customHeight="1">
      <c r="A185" s="1945" t="s">
        <v>176</v>
      </c>
      <c r="B185" s="1989" t="s">
        <v>68</v>
      </c>
      <c r="C185" s="1947" t="s">
        <v>14</v>
      </c>
      <c r="D185" s="322" t="s">
        <v>8</v>
      </c>
      <c r="E185" s="8">
        <f t="shared" ref="E185:E190" si="17">F185+G185+H185+I185</f>
        <v>31281.1</v>
      </c>
      <c r="F185" s="8">
        <f>SUM(F186:F190)</f>
        <v>31281.1</v>
      </c>
      <c r="G185" s="8">
        <f>SUM(G186:G190)</f>
        <v>0</v>
      </c>
      <c r="H185" s="8">
        <f>SUM(H186:H190)</f>
        <v>0</v>
      </c>
      <c r="I185" s="8">
        <f>SUM(I186:I190)</f>
        <v>0</v>
      </c>
      <c r="J185" s="1990" t="s">
        <v>69</v>
      </c>
      <c r="K185" s="1991" t="s">
        <v>42</v>
      </c>
    </row>
    <row r="186" spans="1:11" s="2" customFormat="1" ht="24.95" customHeight="1">
      <c r="A186" s="1945"/>
      <c r="B186" s="1989"/>
      <c r="C186" s="1947"/>
      <c r="D186" s="322">
        <v>2016</v>
      </c>
      <c r="E186" s="8">
        <f t="shared" si="17"/>
        <v>1983.3</v>
      </c>
      <c r="F186" s="8">
        <f t="shared" ref="F186:I190" si="18">F192+F198+F204+F210</f>
        <v>1983.3</v>
      </c>
      <c r="G186" s="8">
        <f t="shared" si="18"/>
        <v>0</v>
      </c>
      <c r="H186" s="8">
        <f t="shared" si="18"/>
        <v>0</v>
      </c>
      <c r="I186" s="8">
        <f t="shared" si="18"/>
        <v>0</v>
      </c>
      <c r="J186" s="1990"/>
      <c r="K186" s="1991"/>
    </row>
    <row r="187" spans="1:11" s="2" customFormat="1" ht="24.95" customHeight="1">
      <c r="A187" s="1945"/>
      <c r="B187" s="1989"/>
      <c r="C187" s="1947"/>
      <c r="D187" s="322">
        <v>2017</v>
      </c>
      <c r="E187" s="8">
        <f t="shared" si="17"/>
        <v>27553.3</v>
      </c>
      <c r="F187" s="8">
        <f t="shared" si="18"/>
        <v>27553.3</v>
      </c>
      <c r="G187" s="8">
        <f t="shared" si="18"/>
        <v>0</v>
      </c>
      <c r="H187" s="8">
        <f t="shared" si="18"/>
        <v>0</v>
      </c>
      <c r="I187" s="8">
        <f t="shared" si="18"/>
        <v>0</v>
      </c>
      <c r="J187" s="1990"/>
      <c r="K187" s="1991"/>
    </row>
    <row r="188" spans="1:11" s="2" customFormat="1" ht="24.95" customHeight="1">
      <c r="A188" s="1945"/>
      <c r="B188" s="1989"/>
      <c r="C188" s="1947"/>
      <c r="D188" s="322">
        <v>2018</v>
      </c>
      <c r="E188" s="8">
        <f t="shared" si="17"/>
        <v>581.5</v>
      </c>
      <c r="F188" s="8">
        <f t="shared" si="18"/>
        <v>581.5</v>
      </c>
      <c r="G188" s="8">
        <f t="shared" si="18"/>
        <v>0</v>
      </c>
      <c r="H188" s="8">
        <f t="shared" si="18"/>
        <v>0</v>
      </c>
      <c r="I188" s="8">
        <f t="shared" si="18"/>
        <v>0</v>
      </c>
      <c r="J188" s="1990"/>
      <c r="K188" s="1991"/>
    </row>
    <row r="189" spans="1:11" s="2" customFormat="1" ht="24.95" customHeight="1">
      <c r="A189" s="1945"/>
      <c r="B189" s="1989"/>
      <c r="C189" s="1947"/>
      <c r="D189" s="322">
        <v>2019</v>
      </c>
      <c r="E189" s="8">
        <f t="shared" si="17"/>
        <v>581.5</v>
      </c>
      <c r="F189" s="8">
        <f t="shared" si="18"/>
        <v>581.5</v>
      </c>
      <c r="G189" s="8">
        <f t="shared" si="18"/>
        <v>0</v>
      </c>
      <c r="H189" s="8">
        <f t="shared" si="18"/>
        <v>0</v>
      </c>
      <c r="I189" s="8">
        <f t="shared" si="18"/>
        <v>0</v>
      </c>
      <c r="J189" s="1990"/>
      <c r="K189" s="1991"/>
    </row>
    <row r="190" spans="1:11" s="2" customFormat="1" ht="24.95" customHeight="1">
      <c r="A190" s="1945"/>
      <c r="B190" s="1989"/>
      <c r="C190" s="1947"/>
      <c r="D190" s="322">
        <v>2020</v>
      </c>
      <c r="E190" s="8">
        <f t="shared" si="17"/>
        <v>581.5</v>
      </c>
      <c r="F190" s="8">
        <f t="shared" si="18"/>
        <v>581.5</v>
      </c>
      <c r="G190" s="8">
        <f t="shared" si="18"/>
        <v>0</v>
      </c>
      <c r="H190" s="8">
        <f t="shared" si="18"/>
        <v>0</v>
      </c>
      <c r="I190" s="8">
        <f t="shared" si="18"/>
        <v>0</v>
      </c>
      <c r="J190" s="1990"/>
      <c r="K190" s="1991"/>
    </row>
    <row r="191" spans="1:11" s="2" customFormat="1" ht="15.75" customHeight="1">
      <c r="A191" s="1945" t="s">
        <v>210</v>
      </c>
      <c r="B191" s="1989" t="s">
        <v>70</v>
      </c>
      <c r="C191" s="1947" t="s">
        <v>14</v>
      </c>
      <c r="D191" s="322" t="s">
        <v>8</v>
      </c>
      <c r="E191" s="8">
        <f t="shared" ref="E191:E215" si="19">SUM(F191:I191)</f>
        <v>3331.1</v>
      </c>
      <c r="F191" s="8">
        <f>SUM(F192:F196)</f>
        <v>3331.1</v>
      </c>
      <c r="G191" s="8">
        <f>SUM(G192:G196)</f>
        <v>0</v>
      </c>
      <c r="H191" s="8">
        <f>SUM(H192:H196)</f>
        <v>0</v>
      </c>
      <c r="I191" s="8">
        <f>SUM(I192:I196)</f>
        <v>0</v>
      </c>
      <c r="J191" s="1990" t="s">
        <v>71</v>
      </c>
      <c r="K191" s="1991" t="s">
        <v>61</v>
      </c>
    </row>
    <row r="192" spans="1:11" s="2" customFormat="1">
      <c r="A192" s="1945"/>
      <c r="B192" s="1989"/>
      <c r="C192" s="1947"/>
      <c r="D192" s="322">
        <v>2016</v>
      </c>
      <c r="E192" s="8">
        <f t="shared" si="19"/>
        <v>883.3</v>
      </c>
      <c r="F192" s="8">
        <v>883.3</v>
      </c>
      <c r="G192" s="9">
        <v>0</v>
      </c>
      <c r="H192" s="9">
        <v>0</v>
      </c>
      <c r="I192" s="9">
        <v>0</v>
      </c>
      <c r="J192" s="1990"/>
      <c r="K192" s="1991"/>
    </row>
    <row r="193" spans="1:11" s="2" customFormat="1">
      <c r="A193" s="1945"/>
      <c r="B193" s="1989"/>
      <c r="C193" s="1947"/>
      <c r="D193" s="322">
        <v>2017</v>
      </c>
      <c r="E193" s="8">
        <f t="shared" si="19"/>
        <v>703.3</v>
      </c>
      <c r="F193" s="8">
        <v>703.3</v>
      </c>
      <c r="G193" s="9">
        <v>0</v>
      </c>
      <c r="H193" s="9">
        <v>0</v>
      </c>
      <c r="I193" s="9">
        <v>0</v>
      </c>
      <c r="J193" s="1990"/>
      <c r="K193" s="1991"/>
    </row>
    <row r="194" spans="1:11" s="2" customFormat="1">
      <c r="A194" s="1945"/>
      <c r="B194" s="1989"/>
      <c r="C194" s="1947"/>
      <c r="D194" s="322">
        <v>2018</v>
      </c>
      <c r="E194" s="8">
        <f t="shared" si="19"/>
        <v>581.5</v>
      </c>
      <c r="F194" s="8">
        <v>581.5</v>
      </c>
      <c r="G194" s="9">
        <v>0</v>
      </c>
      <c r="H194" s="9">
        <v>0</v>
      </c>
      <c r="I194" s="9">
        <v>0</v>
      </c>
      <c r="J194" s="1990"/>
      <c r="K194" s="1991"/>
    </row>
    <row r="195" spans="1:11" s="2" customFormat="1">
      <c r="A195" s="1945"/>
      <c r="B195" s="1989"/>
      <c r="C195" s="1947"/>
      <c r="D195" s="322">
        <v>2019</v>
      </c>
      <c r="E195" s="8">
        <f>SUM(F195:I195)</f>
        <v>581.5</v>
      </c>
      <c r="F195" s="8">
        <v>581.5</v>
      </c>
      <c r="G195" s="9">
        <v>0</v>
      </c>
      <c r="H195" s="9">
        <v>0</v>
      </c>
      <c r="I195" s="9">
        <v>0</v>
      </c>
      <c r="J195" s="1990"/>
      <c r="K195" s="1991"/>
    </row>
    <row r="196" spans="1:11" s="2" customFormat="1">
      <c r="A196" s="1945"/>
      <c r="B196" s="1989"/>
      <c r="C196" s="1947"/>
      <c r="D196" s="322">
        <v>2020</v>
      </c>
      <c r="E196" s="8">
        <f>SUM(F196:I196)</f>
        <v>581.5</v>
      </c>
      <c r="F196" s="8">
        <v>581.5</v>
      </c>
      <c r="G196" s="9">
        <v>0</v>
      </c>
      <c r="H196" s="9">
        <v>0</v>
      </c>
      <c r="I196" s="9">
        <v>0</v>
      </c>
      <c r="J196" s="1990"/>
      <c r="K196" s="1991"/>
    </row>
    <row r="197" spans="1:11" s="2" customFormat="1" ht="15.75" hidden="1" customHeight="1">
      <c r="A197" s="1945" t="s">
        <v>211</v>
      </c>
      <c r="B197" s="1989" t="s">
        <v>72</v>
      </c>
      <c r="C197" s="1947">
        <v>2016</v>
      </c>
      <c r="D197" s="322" t="s">
        <v>8</v>
      </c>
      <c r="E197" s="8">
        <f t="shared" si="19"/>
        <v>1100</v>
      </c>
      <c r="F197" s="8">
        <f>SUM(F198:F202)</f>
        <v>1100</v>
      </c>
      <c r="G197" s="8">
        <f>SUM(G198:G202)</f>
        <v>0</v>
      </c>
      <c r="H197" s="8">
        <f>SUM(H198:H202)</f>
        <v>0</v>
      </c>
      <c r="I197" s="8">
        <f>SUM(I198:I202)</f>
        <v>0</v>
      </c>
      <c r="J197" s="1990" t="s">
        <v>73</v>
      </c>
      <c r="K197" s="1991" t="s">
        <v>66</v>
      </c>
    </row>
    <row r="198" spans="1:11" s="2" customFormat="1" hidden="1">
      <c r="A198" s="1945"/>
      <c r="B198" s="1989"/>
      <c r="C198" s="1947"/>
      <c r="D198" s="322">
        <v>2016</v>
      </c>
      <c r="E198" s="8">
        <f t="shared" si="19"/>
        <v>1100</v>
      </c>
      <c r="F198" s="8">
        <v>1100</v>
      </c>
      <c r="G198" s="9">
        <v>0</v>
      </c>
      <c r="H198" s="9">
        <v>0</v>
      </c>
      <c r="I198" s="9">
        <v>0</v>
      </c>
      <c r="J198" s="1990"/>
      <c r="K198" s="1991"/>
    </row>
    <row r="199" spans="1:11" s="2" customFormat="1" hidden="1">
      <c r="A199" s="1945"/>
      <c r="B199" s="1989"/>
      <c r="C199" s="1947"/>
      <c r="D199" s="322">
        <v>2017</v>
      </c>
      <c r="E199" s="8">
        <f t="shared" si="19"/>
        <v>0</v>
      </c>
      <c r="F199" s="9">
        <v>0</v>
      </c>
      <c r="G199" s="9">
        <v>0</v>
      </c>
      <c r="H199" s="9">
        <v>0</v>
      </c>
      <c r="I199" s="9">
        <v>0</v>
      </c>
      <c r="J199" s="1990"/>
      <c r="K199" s="1991"/>
    </row>
    <row r="200" spans="1:11" s="2" customFormat="1" hidden="1">
      <c r="A200" s="1945"/>
      <c r="B200" s="1989"/>
      <c r="C200" s="1947"/>
      <c r="D200" s="322">
        <v>2018</v>
      </c>
      <c r="E200" s="8">
        <f t="shared" si="19"/>
        <v>0</v>
      </c>
      <c r="F200" s="9">
        <v>0</v>
      </c>
      <c r="G200" s="9">
        <v>0</v>
      </c>
      <c r="H200" s="9">
        <v>0</v>
      </c>
      <c r="I200" s="9">
        <v>0</v>
      </c>
      <c r="J200" s="1990"/>
      <c r="K200" s="1991"/>
    </row>
    <row r="201" spans="1:11" s="2" customFormat="1" hidden="1">
      <c r="A201" s="1945"/>
      <c r="B201" s="1989"/>
      <c r="C201" s="1947"/>
      <c r="D201" s="322">
        <v>2019</v>
      </c>
      <c r="E201" s="8">
        <f>SUM(F201:I201)</f>
        <v>0</v>
      </c>
      <c r="F201" s="9">
        <v>0</v>
      </c>
      <c r="G201" s="9">
        <v>0</v>
      </c>
      <c r="H201" s="9">
        <v>0</v>
      </c>
      <c r="I201" s="9">
        <v>0</v>
      </c>
      <c r="J201" s="1990"/>
      <c r="K201" s="1991"/>
    </row>
    <row r="202" spans="1:11" s="2" customFormat="1" hidden="1">
      <c r="A202" s="1945"/>
      <c r="B202" s="1989"/>
      <c r="C202" s="1947"/>
      <c r="D202" s="322">
        <v>2020</v>
      </c>
      <c r="E202" s="8">
        <f>SUM(F202:I202)</f>
        <v>0</v>
      </c>
      <c r="F202" s="9">
        <v>0</v>
      </c>
      <c r="G202" s="9">
        <v>0</v>
      </c>
      <c r="H202" s="9">
        <v>0</v>
      </c>
      <c r="I202" s="9">
        <v>0</v>
      </c>
      <c r="J202" s="1990"/>
      <c r="K202" s="1991"/>
    </row>
    <row r="203" spans="1:11" s="2" customFormat="1" ht="15.75" hidden="1" customHeight="1">
      <c r="A203" s="1945" t="s">
        <v>212</v>
      </c>
      <c r="B203" s="1989" t="s">
        <v>74</v>
      </c>
      <c r="C203" s="1947">
        <v>2017</v>
      </c>
      <c r="D203" s="322" t="s">
        <v>8</v>
      </c>
      <c r="E203" s="8">
        <f t="shared" si="19"/>
        <v>1850</v>
      </c>
      <c r="F203" s="8">
        <f>SUM(F204:F208)</f>
        <v>1850</v>
      </c>
      <c r="G203" s="8">
        <f>SUM(G204:G208)</f>
        <v>0</v>
      </c>
      <c r="H203" s="8">
        <f>SUM(H204:H208)</f>
        <v>0</v>
      </c>
      <c r="I203" s="8">
        <f>SUM(I204:I208)</f>
        <v>0</v>
      </c>
      <c r="J203" s="1989" t="s">
        <v>75</v>
      </c>
      <c r="K203" s="1991" t="s">
        <v>66</v>
      </c>
    </row>
    <row r="204" spans="1:11" s="2" customFormat="1" hidden="1">
      <c r="A204" s="1945"/>
      <c r="B204" s="1989"/>
      <c r="C204" s="1947"/>
      <c r="D204" s="322">
        <v>2016</v>
      </c>
      <c r="E204" s="8">
        <f t="shared" si="19"/>
        <v>0</v>
      </c>
      <c r="F204" s="8">
        <v>0</v>
      </c>
      <c r="G204" s="9">
        <v>0</v>
      </c>
      <c r="H204" s="9">
        <v>0</v>
      </c>
      <c r="I204" s="9">
        <v>0</v>
      </c>
      <c r="J204" s="1989"/>
      <c r="K204" s="1991"/>
    </row>
    <row r="205" spans="1:11" s="2" customFormat="1" hidden="1">
      <c r="A205" s="1945"/>
      <c r="B205" s="1989"/>
      <c r="C205" s="1947"/>
      <c r="D205" s="322">
        <v>2017</v>
      </c>
      <c r="E205" s="8">
        <f t="shared" si="19"/>
        <v>1850</v>
      </c>
      <c r="F205" s="9">
        <v>1850</v>
      </c>
      <c r="G205" s="9">
        <v>0</v>
      </c>
      <c r="H205" s="9">
        <v>0</v>
      </c>
      <c r="I205" s="9">
        <v>0</v>
      </c>
      <c r="J205" s="1989"/>
      <c r="K205" s="1991"/>
    </row>
    <row r="206" spans="1:11" s="2" customFormat="1" hidden="1">
      <c r="A206" s="1945"/>
      <c r="B206" s="1989"/>
      <c r="C206" s="1947"/>
      <c r="D206" s="322">
        <v>2018</v>
      </c>
      <c r="E206" s="8">
        <f t="shared" si="19"/>
        <v>0</v>
      </c>
      <c r="F206" s="9">
        <v>0</v>
      </c>
      <c r="G206" s="9">
        <v>0</v>
      </c>
      <c r="H206" s="9">
        <v>0</v>
      </c>
      <c r="I206" s="9">
        <v>0</v>
      </c>
      <c r="J206" s="1989"/>
      <c r="K206" s="1991"/>
    </row>
    <row r="207" spans="1:11" s="2" customFormat="1" hidden="1">
      <c r="A207" s="1945"/>
      <c r="B207" s="1989"/>
      <c r="C207" s="1947"/>
      <c r="D207" s="322">
        <v>2019</v>
      </c>
      <c r="E207" s="8">
        <f t="shared" si="19"/>
        <v>0</v>
      </c>
      <c r="F207" s="9">
        <v>0</v>
      </c>
      <c r="G207" s="9">
        <v>0</v>
      </c>
      <c r="H207" s="9">
        <v>0</v>
      </c>
      <c r="I207" s="9">
        <v>0</v>
      </c>
      <c r="J207" s="1989"/>
      <c r="K207" s="1991"/>
    </row>
    <row r="208" spans="1:11" s="2" customFormat="1" hidden="1">
      <c r="A208" s="1945"/>
      <c r="B208" s="1989"/>
      <c r="C208" s="1947"/>
      <c r="D208" s="322">
        <v>2020</v>
      </c>
      <c r="E208" s="8">
        <f t="shared" ref="E208:E214" si="20">SUM(F208:I208)</f>
        <v>0</v>
      </c>
      <c r="F208" s="9">
        <v>0</v>
      </c>
      <c r="G208" s="9">
        <v>0</v>
      </c>
      <c r="H208" s="9">
        <v>0</v>
      </c>
      <c r="I208" s="9">
        <v>0</v>
      </c>
      <c r="J208" s="1989"/>
      <c r="K208" s="1991"/>
    </row>
    <row r="209" spans="1:11" s="2" customFormat="1" ht="15.75" hidden="1" customHeight="1">
      <c r="A209" s="1945" t="s">
        <v>213</v>
      </c>
      <c r="B209" s="1989" t="s">
        <v>157</v>
      </c>
      <c r="C209" s="1947">
        <v>2017</v>
      </c>
      <c r="D209" s="322" t="s">
        <v>8</v>
      </c>
      <c r="E209" s="8">
        <f t="shared" si="20"/>
        <v>25000</v>
      </c>
      <c r="F209" s="8">
        <f>SUM(F210:F214)</f>
        <v>25000</v>
      </c>
      <c r="G209" s="8">
        <f>SUM(G210:G214)</f>
        <v>0</v>
      </c>
      <c r="H209" s="8">
        <f>SUM(H210:H214)</f>
        <v>0</v>
      </c>
      <c r="I209" s="8">
        <f>SUM(I210:I214)</f>
        <v>0</v>
      </c>
      <c r="J209" s="1989" t="s">
        <v>158</v>
      </c>
      <c r="K209" s="1991" t="s">
        <v>66</v>
      </c>
    </row>
    <row r="210" spans="1:11" s="2" customFormat="1" hidden="1">
      <c r="A210" s="1945"/>
      <c r="B210" s="1989"/>
      <c r="C210" s="1947"/>
      <c r="D210" s="322">
        <v>2016</v>
      </c>
      <c r="E210" s="8">
        <f t="shared" si="20"/>
        <v>0</v>
      </c>
      <c r="F210" s="8">
        <v>0</v>
      </c>
      <c r="G210" s="9">
        <v>0</v>
      </c>
      <c r="H210" s="9">
        <v>0</v>
      </c>
      <c r="I210" s="9">
        <v>0</v>
      </c>
      <c r="J210" s="1989"/>
      <c r="K210" s="1991"/>
    </row>
    <row r="211" spans="1:11" s="2" customFormat="1" hidden="1">
      <c r="A211" s="1945"/>
      <c r="B211" s="1989"/>
      <c r="C211" s="1947"/>
      <c r="D211" s="322">
        <v>2017</v>
      </c>
      <c r="E211" s="8">
        <f t="shared" si="20"/>
        <v>25000</v>
      </c>
      <c r="F211" s="9">
        <v>25000</v>
      </c>
      <c r="G211" s="9">
        <v>0</v>
      </c>
      <c r="H211" s="9">
        <v>0</v>
      </c>
      <c r="I211" s="9">
        <v>0</v>
      </c>
      <c r="J211" s="1989"/>
      <c r="K211" s="1991"/>
    </row>
    <row r="212" spans="1:11" s="2" customFormat="1" hidden="1">
      <c r="A212" s="1945"/>
      <c r="B212" s="1989"/>
      <c r="C212" s="1947"/>
      <c r="D212" s="322">
        <v>2018</v>
      </c>
      <c r="E212" s="8">
        <f t="shared" si="20"/>
        <v>0</v>
      </c>
      <c r="F212" s="9">
        <v>0</v>
      </c>
      <c r="G212" s="9">
        <v>0</v>
      </c>
      <c r="H212" s="9">
        <v>0</v>
      </c>
      <c r="I212" s="9">
        <v>0</v>
      </c>
      <c r="J212" s="1989"/>
      <c r="K212" s="1991"/>
    </row>
    <row r="213" spans="1:11" s="2" customFormat="1" hidden="1">
      <c r="A213" s="1945"/>
      <c r="B213" s="1989"/>
      <c r="C213" s="1947"/>
      <c r="D213" s="322">
        <v>2019</v>
      </c>
      <c r="E213" s="8">
        <f t="shared" si="20"/>
        <v>0</v>
      </c>
      <c r="F213" s="9">
        <v>0</v>
      </c>
      <c r="G213" s="9">
        <v>0</v>
      </c>
      <c r="H213" s="9">
        <v>0</v>
      </c>
      <c r="I213" s="9">
        <v>0</v>
      </c>
      <c r="J213" s="1989"/>
      <c r="K213" s="1991"/>
    </row>
    <row r="214" spans="1:11" s="2" customFormat="1" hidden="1">
      <c r="A214" s="1945"/>
      <c r="B214" s="1989"/>
      <c r="C214" s="1947"/>
      <c r="D214" s="322">
        <v>2020</v>
      </c>
      <c r="E214" s="8">
        <f t="shared" si="20"/>
        <v>0</v>
      </c>
      <c r="F214" s="9">
        <v>0</v>
      </c>
      <c r="G214" s="9">
        <v>0</v>
      </c>
      <c r="H214" s="9">
        <v>0</v>
      </c>
      <c r="I214" s="9">
        <v>0</v>
      </c>
      <c r="J214" s="1989"/>
      <c r="K214" s="1991"/>
    </row>
    <row r="215" spans="1:11" s="2" customFormat="1" ht="15" customHeight="1">
      <c r="A215" s="1945" t="s">
        <v>76</v>
      </c>
      <c r="B215" s="1991" t="s">
        <v>77</v>
      </c>
      <c r="C215" s="1947" t="s">
        <v>14</v>
      </c>
      <c r="D215" s="322" t="s">
        <v>8</v>
      </c>
      <c r="E215" s="8">
        <f t="shared" si="19"/>
        <v>1776487.2999999998</v>
      </c>
      <c r="F215" s="8">
        <f>SUM(F216:F220)</f>
        <v>1326618.2</v>
      </c>
      <c r="G215" s="8">
        <f>SUM(G216:G220)</f>
        <v>114439.2</v>
      </c>
      <c r="H215" s="8">
        <f>SUM(H216:H220)</f>
        <v>271329.90000000002</v>
      </c>
      <c r="I215" s="8">
        <f>SUM(I216:I220)</f>
        <v>64100</v>
      </c>
      <c r="J215" s="1990"/>
      <c r="K215" s="1991" t="s">
        <v>78</v>
      </c>
    </row>
    <row r="216" spans="1:11" s="2" customFormat="1">
      <c r="A216" s="1945"/>
      <c r="B216" s="1991"/>
      <c r="C216" s="1947"/>
      <c r="D216" s="322">
        <v>2016</v>
      </c>
      <c r="E216" s="8">
        <f>F216+G216+H216+I216</f>
        <v>165142.70000000001</v>
      </c>
      <c r="F216" s="8">
        <f t="shared" ref="F216:I220" si="21">F222+F306+F420</f>
        <v>112036</v>
      </c>
      <c r="G216" s="8">
        <f t="shared" si="21"/>
        <v>11357.5</v>
      </c>
      <c r="H216" s="8">
        <f t="shared" si="21"/>
        <v>20949.2</v>
      </c>
      <c r="I216" s="8">
        <f t="shared" si="21"/>
        <v>20800</v>
      </c>
      <c r="J216" s="1990"/>
      <c r="K216" s="1991"/>
    </row>
    <row r="217" spans="1:11" s="2" customFormat="1">
      <c r="A217" s="1945"/>
      <c r="B217" s="1991"/>
      <c r="C217" s="1947"/>
      <c r="D217" s="322">
        <v>2017</v>
      </c>
      <c r="E217" s="8">
        <f>F217+G217+H217+I217</f>
        <v>212124.6</v>
      </c>
      <c r="F217" s="8">
        <f t="shared" si="21"/>
        <v>135945</v>
      </c>
      <c r="G217" s="8">
        <f t="shared" si="21"/>
        <v>11265.5</v>
      </c>
      <c r="H217" s="8">
        <f t="shared" si="21"/>
        <v>49914.100000000006</v>
      </c>
      <c r="I217" s="8">
        <f t="shared" si="21"/>
        <v>15000</v>
      </c>
      <c r="J217" s="1990"/>
      <c r="K217" s="1991"/>
    </row>
    <row r="218" spans="1:11" s="2" customFormat="1">
      <c r="A218" s="1945"/>
      <c r="B218" s="1991"/>
      <c r="C218" s="1947"/>
      <c r="D218" s="322">
        <v>2018</v>
      </c>
      <c r="E218" s="8">
        <f>F218+G218+H218+I218</f>
        <v>464527.8</v>
      </c>
      <c r="F218" s="8">
        <f t="shared" si="21"/>
        <v>410454.8</v>
      </c>
      <c r="G218" s="8">
        <f t="shared" si="21"/>
        <v>0</v>
      </c>
      <c r="H218" s="8">
        <f t="shared" si="21"/>
        <v>54073</v>
      </c>
      <c r="I218" s="8">
        <f t="shared" si="21"/>
        <v>0</v>
      </c>
      <c r="J218" s="1990"/>
      <c r="K218" s="1991"/>
    </row>
    <row r="219" spans="1:11" s="2" customFormat="1">
      <c r="A219" s="1945"/>
      <c r="B219" s="1991"/>
      <c r="C219" s="1947"/>
      <c r="D219" s="322">
        <v>2019</v>
      </c>
      <c r="E219" s="8">
        <f>F219+G219+H219+I219</f>
        <v>685078</v>
      </c>
      <c r="F219" s="8">
        <f t="shared" si="21"/>
        <v>480918.2</v>
      </c>
      <c r="G219" s="8">
        <f t="shared" si="21"/>
        <v>91816.2</v>
      </c>
      <c r="H219" s="8">
        <f t="shared" si="21"/>
        <v>84043.6</v>
      </c>
      <c r="I219" s="8">
        <f t="shared" si="21"/>
        <v>28300</v>
      </c>
      <c r="J219" s="1990"/>
      <c r="K219" s="1991"/>
    </row>
    <row r="220" spans="1:11" s="2" customFormat="1">
      <c r="A220" s="1945"/>
      <c r="B220" s="1991"/>
      <c r="C220" s="1947"/>
      <c r="D220" s="322">
        <v>2020</v>
      </c>
      <c r="E220" s="8">
        <f>F220+G220+H220+I220</f>
        <v>249614.2</v>
      </c>
      <c r="F220" s="8">
        <f t="shared" si="21"/>
        <v>187264.2</v>
      </c>
      <c r="G220" s="8">
        <f t="shared" si="21"/>
        <v>0</v>
      </c>
      <c r="H220" s="8">
        <f t="shared" si="21"/>
        <v>62350</v>
      </c>
      <c r="I220" s="8">
        <f t="shared" si="21"/>
        <v>0</v>
      </c>
      <c r="J220" s="1990"/>
      <c r="K220" s="1991"/>
    </row>
    <row r="221" spans="1:11" s="2" customFormat="1" ht="15.95" customHeight="1">
      <c r="A221" s="1945" t="s">
        <v>177</v>
      </c>
      <c r="B221" s="1989" t="s">
        <v>80</v>
      </c>
      <c r="C221" s="1947" t="s">
        <v>14</v>
      </c>
      <c r="D221" s="322" t="s">
        <v>8</v>
      </c>
      <c r="E221" s="8">
        <f>SUM(F221:I221)</f>
        <v>1216700.0999999999</v>
      </c>
      <c r="F221" s="8">
        <f>SUM(F222:F226)</f>
        <v>963547</v>
      </c>
      <c r="G221" s="8">
        <f>SUM(G222:G225)</f>
        <v>91816.2</v>
      </c>
      <c r="H221" s="8">
        <f>SUM(H222:H226)</f>
        <v>125536.9</v>
      </c>
      <c r="I221" s="8">
        <f>SUM(I222:I225)</f>
        <v>35800</v>
      </c>
      <c r="J221" s="1990" t="s">
        <v>81</v>
      </c>
      <c r="K221" s="1991" t="s">
        <v>82</v>
      </c>
    </row>
    <row r="222" spans="1:11" s="2" customFormat="1" ht="15.95" customHeight="1">
      <c r="A222" s="1945"/>
      <c r="B222" s="1989"/>
      <c r="C222" s="1947"/>
      <c r="D222" s="322">
        <v>2016</v>
      </c>
      <c r="E222" s="8">
        <f>F222+G222+H222+I222</f>
        <v>76401.7</v>
      </c>
      <c r="F222" s="8">
        <f t="shared" ref="F222:I226" si="22">SUM(F228,F234,F240,F246,F252,F258,F264,F270,F276,F282,F288,F294,F300)</f>
        <v>38301.699999999997</v>
      </c>
      <c r="G222" s="8">
        <f t="shared" si="22"/>
        <v>0</v>
      </c>
      <c r="H222" s="8">
        <f t="shared" si="22"/>
        <v>17300</v>
      </c>
      <c r="I222" s="8">
        <f t="shared" si="22"/>
        <v>20800</v>
      </c>
      <c r="J222" s="1990"/>
      <c r="K222" s="1991"/>
    </row>
    <row r="223" spans="1:11" s="2" customFormat="1" ht="15.95" customHeight="1">
      <c r="A223" s="1945"/>
      <c r="B223" s="1989"/>
      <c r="C223" s="1947"/>
      <c r="D223" s="322">
        <v>2017</v>
      </c>
      <c r="E223" s="8">
        <f>F223+G223+H223+I223</f>
        <v>147872.70000000001</v>
      </c>
      <c r="F223" s="8">
        <f t="shared" si="22"/>
        <v>85679.4</v>
      </c>
      <c r="G223" s="8">
        <f t="shared" si="22"/>
        <v>0</v>
      </c>
      <c r="H223" s="8">
        <f t="shared" si="22"/>
        <v>47193.3</v>
      </c>
      <c r="I223" s="8">
        <f t="shared" si="22"/>
        <v>15000</v>
      </c>
      <c r="J223" s="1990"/>
      <c r="K223" s="1991"/>
    </row>
    <row r="224" spans="1:11" s="2" customFormat="1" ht="15.95" customHeight="1">
      <c r="A224" s="1945"/>
      <c r="B224" s="1989"/>
      <c r="C224" s="1947"/>
      <c r="D224" s="322">
        <v>2018</v>
      </c>
      <c r="E224" s="8">
        <f>F224+G224+H224+I224</f>
        <v>406833.89999999997</v>
      </c>
      <c r="F224" s="8">
        <f t="shared" si="22"/>
        <v>365459.8</v>
      </c>
      <c r="G224" s="8">
        <f t="shared" si="22"/>
        <v>0</v>
      </c>
      <c r="H224" s="8">
        <f t="shared" si="22"/>
        <v>41374.1</v>
      </c>
      <c r="I224" s="8">
        <f t="shared" si="22"/>
        <v>0</v>
      </c>
      <c r="J224" s="1990"/>
      <c r="K224" s="1991"/>
    </row>
    <row r="225" spans="1:11" s="2" customFormat="1" ht="15.95" customHeight="1">
      <c r="A225" s="1945"/>
      <c r="B225" s="1989"/>
      <c r="C225" s="1947"/>
      <c r="D225" s="322">
        <v>2019</v>
      </c>
      <c r="E225" s="8">
        <f>F225+G225+H225+I225</f>
        <v>466677.60000000003</v>
      </c>
      <c r="F225" s="8">
        <f t="shared" si="22"/>
        <v>355191.9</v>
      </c>
      <c r="G225" s="8">
        <f t="shared" si="22"/>
        <v>91816.2</v>
      </c>
      <c r="H225" s="8">
        <f t="shared" si="22"/>
        <v>19669.5</v>
      </c>
      <c r="I225" s="8">
        <f t="shared" si="22"/>
        <v>0</v>
      </c>
      <c r="J225" s="1990"/>
      <c r="K225" s="1991"/>
    </row>
    <row r="226" spans="1:11" s="2" customFormat="1" ht="15.95" customHeight="1">
      <c r="A226" s="1945"/>
      <c r="B226" s="1989"/>
      <c r="C226" s="1947"/>
      <c r="D226" s="322">
        <v>2020</v>
      </c>
      <c r="E226" s="8">
        <f>F226+G226+H226+I226</f>
        <v>118914.2</v>
      </c>
      <c r="F226" s="8">
        <f t="shared" si="22"/>
        <v>118914.2</v>
      </c>
      <c r="G226" s="8">
        <f t="shared" si="22"/>
        <v>0</v>
      </c>
      <c r="H226" s="8">
        <f t="shared" si="22"/>
        <v>0</v>
      </c>
      <c r="I226" s="8">
        <f t="shared" si="22"/>
        <v>0</v>
      </c>
      <c r="J226" s="1990"/>
      <c r="K226" s="1991"/>
    </row>
    <row r="227" spans="1:11" s="2" customFormat="1" ht="15" hidden="1" customHeight="1">
      <c r="A227" s="1954" t="s">
        <v>79</v>
      </c>
      <c r="B227" s="1989" t="s">
        <v>83</v>
      </c>
      <c r="C227" s="1947" t="s">
        <v>159</v>
      </c>
      <c r="D227" s="322" t="s">
        <v>8</v>
      </c>
      <c r="E227" s="8">
        <f t="shared" ref="E227:E261" si="23">SUM(F227:I227)</f>
        <v>25587.5</v>
      </c>
      <c r="F227" s="8">
        <f>SUM(F228:F232)</f>
        <v>25587.5</v>
      </c>
      <c r="G227" s="8">
        <f>SUM(G228:G232)</f>
        <v>0</v>
      </c>
      <c r="H227" s="8">
        <f>SUM(H228:H232)</f>
        <v>0</v>
      </c>
      <c r="I227" s="8">
        <f>SUM(I228:I232)</f>
        <v>0</v>
      </c>
      <c r="J227" s="1990" t="s">
        <v>160</v>
      </c>
      <c r="K227" s="1991" t="s">
        <v>85</v>
      </c>
    </row>
    <row r="228" spans="1:11" s="2" customFormat="1" hidden="1">
      <c r="A228" s="1945"/>
      <c r="B228" s="1989"/>
      <c r="C228" s="1947"/>
      <c r="D228" s="322">
        <v>2016</v>
      </c>
      <c r="E228" s="8">
        <f t="shared" si="23"/>
        <v>25587.5</v>
      </c>
      <c r="F228" s="9">
        <v>25587.5</v>
      </c>
      <c r="G228" s="9">
        <v>0</v>
      </c>
      <c r="H228" s="9">
        <v>0</v>
      </c>
      <c r="I228" s="9">
        <v>0</v>
      </c>
      <c r="J228" s="1990"/>
      <c r="K228" s="1991"/>
    </row>
    <row r="229" spans="1:11" s="2" customFormat="1" hidden="1">
      <c r="A229" s="1945"/>
      <c r="B229" s="1989"/>
      <c r="C229" s="1947"/>
      <c r="D229" s="322">
        <v>2017</v>
      </c>
      <c r="E229" s="8">
        <f t="shared" si="23"/>
        <v>0</v>
      </c>
      <c r="F229" s="9">
        <v>0</v>
      </c>
      <c r="G229" s="9">
        <v>0</v>
      </c>
      <c r="H229" s="9">
        <v>0</v>
      </c>
      <c r="I229" s="9">
        <v>0</v>
      </c>
      <c r="J229" s="1990"/>
      <c r="K229" s="1991"/>
    </row>
    <row r="230" spans="1:11" s="2" customFormat="1" hidden="1">
      <c r="A230" s="1945"/>
      <c r="B230" s="1989"/>
      <c r="C230" s="1947"/>
      <c r="D230" s="322">
        <v>2018</v>
      </c>
      <c r="E230" s="8">
        <f t="shared" si="23"/>
        <v>0</v>
      </c>
      <c r="F230" s="9">
        <v>0</v>
      </c>
      <c r="G230" s="9">
        <v>0</v>
      </c>
      <c r="H230" s="9">
        <v>0</v>
      </c>
      <c r="I230" s="9">
        <v>0</v>
      </c>
      <c r="J230" s="1990"/>
      <c r="K230" s="1991"/>
    </row>
    <row r="231" spans="1:11" s="2" customFormat="1" hidden="1">
      <c r="A231" s="1945"/>
      <c r="B231" s="1989"/>
      <c r="C231" s="1947"/>
      <c r="D231" s="322">
        <v>2019</v>
      </c>
      <c r="E231" s="8">
        <f>SUM(F231:I231)</f>
        <v>0</v>
      </c>
      <c r="F231" s="9">
        <v>0</v>
      </c>
      <c r="G231" s="9">
        <v>0</v>
      </c>
      <c r="H231" s="9">
        <v>0</v>
      </c>
      <c r="I231" s="9">
        <v>0</v>
      </c>
      <c r="J231" s="1990"/>
      <c r="K231" s="1991"/>
    </row>
    <row r="232" spans="1:11" s="2" customFormat="1" hidden="1">
      <c r="A232" s="1945"/>
      <c r="B232" s="1989"/>
      <c r="C232" s="1947"/>
      <c r="D232" s="322">
        <v>2020</v>
      </c>
      <c r="E232" s="8">
        <f>SUM(F232:I232)</f>
        <v>0</v>
      </c>
      <c r="F232" s="9">
        <v>0</v>
      </c>
      <c r="G232" s="9">
        <v>0</v>
      </c>
      <c r="H232" s="9">
        <v>0</v>
      </c>
      <c r="I232" s="9">
        <v>0</v>
      </c>
      <c r="J232" s="1990"/>
      <c r="K232" s="1991"/>
    </row>
    <row r="233" spans="1:11" s="10" customFormat="1" ht="13.5" customHeight="1">
      <c r="A233" s="1954" t="s">
        <v>214</v>
      </c>
      <c r="B233" s="1989" t="s">
        <v>215</v>
      </c>
      <c r="C233" s="1947" t="s">
        <v>86</v>
      </c>
      <c r="D233" s="322" t="s">
        <v>8</v>
      </c>
      <c r="E233" s="8">
        <f t="shared" ref="E233:E238" si="24">SUM(F233:I233)</f>
        <v>20227.5</v>
      </c>
      <c r="F233" s="8">
        <f>SUM(F234:F238)</f>
        <v>20227.5</v>
      </c>
      <c r="G233" s="8">
        <f>SUM(G234:G238)</f>
        <v>0</v>
      </c>
      <c r="H233" s="8">
        <f>SUM(H234:H238)</f>
        <v>0</v>
      </c>
      <c r="I233" s="8">
        <f>SUM(I234:I238)</f>
        <v>0</v>
      </c>
      <c r="J233" s="1990" t="s">
        <v>87</v>
      </c>
      <c r="K233" s="1991" t="s">
        <v>26</v>
      </c>
    </row>
    <row r="234" spans="1:11" s="10" customFormat="1" ht="13.5" customHeight="1">
      <c r="A234" s="1945"/>
      <c r="B234" s="1989"/>
      <c r="C234" s="1947"/>
      <c r="D234" s="322">
        <v>2016</v>
      </c>
      <c r="E234" s="8">
        <f t="shared" si="24"/>
        <v>3750</v>
      </c>
      <c r="F234" s="11">
        <v>3750</v>
      </c>
      <c r="G234" s="9">
        <v>0</v>
      </c>
      <c r="H234" s="9">
        <v>0</v>
      </c>
      <c r="I234" s="9">
        <v>0</v>
      </c>
      <c r="J234" s="1990"/>
      <c r="K234" s="1991"/>
    </row>
    <row r="235" spans="1:11" s="10" customFormat="1" ht="13.5" customHeight="1">
      <c r="A235" s="1945"/>
      <c r="B235" s="1989"/>
      <c r="C235" s="1947"/>
      <c r="D235" s="322">
        <v>2017</v>
      </c>
      <c r="E235" s="8">
        <f t="shared" si="24"/>
        <v>4500</v>
      </c>
      <c r="F235" s="11">
        <v>4500</v>
      </c>
      <c r="G235" s="9">
        <v>0</v>
      </c>
      <c r="H235" s="9">
        <v>0</v>
      </c>
      <c r="I235" s="9">
        <v>0</v>
      </c>
      <c r="J235" s="1990"/>
      <c r="K235" s="1991"/>
    </row>
    <row r="236" spans="1:11" s="12" customFormat="1" ht="14.25" customHeight="1">
      <c r="A236" s="1945"/>
      <c r="B236" s="1989"/>
      <c r="C236" s="1947"/>
      <c r="D236" s="322">
        <v>2018</v>
      </c>
      <c r="E236" s="8">
        <f>SUM(F236:I236)</f>
        <v>2977.5</v>
      </c>
      <c r="F236" s="11">
        <v>2977.5</v>
      </c>
      <c r="G236" s="9">
        <v>0</v>
      </c>
      <c r="H236" s="9">
        <v>0</v>
      </c>
      <c r="I236" s="9">
        <v>0</v>
      </c>
      <c r="J236" s="1990"/>
      <c r="K236" s="1991"/>
    </row>
    <row r="237" spans="1:11" s="12" customFormat="1" ht="14.25" customHeight="1">
      <c r="A237" s="1945"/>
      <c r="B237" s="1989"/>
      <c r="C237" s="1947"/>
      <c r="D237" s="322">
        <v>2019</v>
      </c>
      <c r="E237" s="8">
        <f t="shared" si="24"/>
        <v>4500</v>
      </c>
      <c r="F237" s="11">
        <v>4500</v>
      </c>
      <c r="G237" s="9">
        <v>0</v>
      </c>
      <c r="H237" s="9">
        <v>0</v>
      </c>
      <c r="I237" s="9">
        <v>0</v>
      </c>
      <c r="J237" s="1990"/>
      <c r="K237" s="1991"/>
    </row>
    <row r="238" spans="1:11" s="12" customFormat="1" ht="14.25" customHeight="1">
      <c r="A238" s="1945"/>
      <c r="B238" s="1989"/>
      <c r="C238" s="1947"/>
      <c r="D238" s="322">
        <v>2020</v>
      </c>
      <c r="E238" s="8">
        <f t="shared" si="24"/>
        <v>4500</v>
      </c>
      <c r="F238" s="11">
        <v>4500</v>
      </c>
      <c r="G238" s="9">
        <v>0</v>
      </c>
      <c r="H238" s="9">
        <v>0</v>
      </c>
      <c r="I238" s="9">
        <v>0</v>
      </c>
      <c r="J238" s="1990"/>
      <c r="K238" s="1991"/>
    </row>
    <row r="239" spans="1:11" s="10" customFormat="1" ht="14.25" customHeight="1">
      <c r="A239" s="1945" t="s">
        <v>216</v>
      </c>
      <c r="B239" s="1989" t="s">
        <v>444</v>
      </c>
      <c r="C239" s="1947" t="s">
        <v>161</v>
      </c>
      <c r="D239" s="322" t="s">
        <v>8</v>
      </c>
      <c r="E239" s="8">
        <f t="shared" si="23"/>
        <v>37454.800000000003</v>
      </c>
      <c r="F239" s="8">
        <f>SUM(F240:F244)</f>
        <v>31774.799999999999</v>
      </c>
      <c r="G239" s="8">
        <f>SUM(G240:G244)</f>
        <v>5680</v>
      </c>
      <c r="H239" s="8">
        <f>SUM(H240:H244)</f>
        <v>0</v>
      </c>
      <c r="I239" s="8">
        <f>SUM(I240:I244)</f>
        <v>0</v>
      </c>
      <c r="J239" s="1990" t="s">
        <v>445</v>
      </c>
      <c r="K239" s="1991" t="s">
        <v>89</v>
      </c>
    </row>
    <row r="240" spans="1:11" s="10" customFormat="1" ht="13.5" customHeight="1">
      <c r="A240" s="1945"/>
      <c r="B240" s="1989"/>
      <c r="C240" s="1947"/>
      <c r="D240" s="322">
        <v>2016</v>
      </c>
      <c r="E240" s="8">
        <f t="shared" si="23"/>
        <v>1866</v>
      </c>
      <c r="F240" s="9">
        <v>1866</v>
      </c>
      <c r="G240" s="9">
        <v>0</v>
      </c>
      <c r="H240" s="9">
        <v>0</v>
      </c>
      <c r="I240" s="9">
        <v>0</v>
      </c>
      <c r="J240" s="1990"/>
      <c r="K240" s="1991"/>
    </row>
    <row r="241" spans="1:11" s="10" customFormat="1" ht="13.5" customHeight="1">
      <c r="A241" s="1945"/>
      <c r="B241" s="1989"/>
      <c r="C241" s="1947"/>
      <c r="D241" s="322">
        <v>2017</v>
      </c>
      <c r="E241" s="8">
        <f t="shared" si="23"/>
        <v>99</v>
      </c>
      <c r="F241" s="9">
        <v>99</v>
      </c>
      <c r="G241" s="9">
        <v>0</v>
      </c>
      <c r="H241" s="9">
        <v>0</v>
      </c>
      <c r="I241" s="9">
        <v>0</v>
      </c>
      <c r="J241" s="1990"/>
      <c r="K241" s="1991"/>
    </row>
    <row r="242" spans="1:11" s="12" customFormat="1" ht="14.25" customHeight="1">
      <c r="A242" s="1945"/>
      <c r="B242" s="1989"/>
      <c r="C242" s="1947"/>
      <c r="D242" s="322">
        <v>2018</v>
      </c>
      <c r="E242" s="8">
        <f t="shared" si="23"/>
        <v>27489.8</v>
      </c>
      <c r="F242" s="9">
        <v>27489.8</v>
      </c>
      <c r="G242" s="9">
        <v>0</v>
      </c>
      <c r="H242" s="9">
        <v>0</v>
      </c>
      <c r="I242" s="9">
        <v>0</v>
      </c>
      <c r="J242" s="1990"/>
      <c r="K242" s="1991"/>
    </row>
    <row r="243" spans="1:11" s="12" customFormat="1" ht="14.25" customHeight="1">
      <c r="A243" s="1945"/>
      <c r="B243" s="1989"/>
      <c r="C243" s="1947"/>
      <c r="D243" s="322">
        <v>2019</v>
      </c>
      <c r="E243" s="8">
        <f>SUM(F243:I243)</f>
        <v>8000</v>
      </c>
      <c r="F243" s="9">
        <v>2320</v>
      </c>
      <c r="G243" s="9">
        <v>5680</v>
      </c>
      <c r="H243" s="9">
        <v>0</v>
      </c>
      <c r="I243" s="9">
        <v>0</v>
      </c>
      <c r="J243" s="1990"/>
      <c r="K243" s="1991"/>
    </row>
    <row r="244" spans="1:11" s="12" customFormat="1" ht="14.25" customHeight="1">
      <c r="A244" s="1945"/>
      <c r="B244" s="1989"/>
      <c r="C244" s="1947"/>
      <c r="D244" s="322">
        <v>2020</v>
      </c>
      <c r="E244" s="8">
        <f>SUM(F244:I244)</f>
        <v>0</v>
      </c>
      <c r="F244" s="9">
        <v>0</v>
      </c>
      <c r="G244" s="9">
        <v>0</v>
      </c>
      <c r="H244" s="9">
        <v>0</v>
      </c>
      <c r="I244" s="9">
        <v>0</v>
      </c>
      <c r="J244" s="1990"/>
      <c r="K244" s="1991"/>
    </row>
    <row r="245" spans="1:11" s="10" customFormat="1" ht="13.5" customHeight="1">
      <c r="A245" s="1945" t="s">
        <v>217</v>
      </c>
      <c r="B245" s="1989" t="s">
        <v>286</v>
      </c>
      <c r="C245" s="1947" t="s">
        <v>161</v>
      </c>
      <c r="D245" s="322" t="s">
        <v>8</v>
      </c>
      <c r="E245" s="8">
        <f t="shared" si="23"/>
        <v>192414</v>
      </c>
      <c r="F245" s="8">
        <f>SUM(F246:F250)</f>
        <v>71625.2</v>
      </c>
      <c r="G245" s="8">
        <f>SUM(G246:G250)</f>
        <v>59557.9</v>
      </c>
      <c r="H245" s="8">
        <f>SUM(H246:H250)</f>
        <v>61230.9</v>
      </c>
      <c r="I245" s="8">
        <f>SUM(I246:I250)</f>
        <v>0</v>
      </c>
      <c r="J245" s="1990" t="s">
        <v>287</v>
      </c>
      <c r="K245" s="1991" t="s">
        <v>90</v>
      </c>
    </row>
    <row r="246" spans="1:11" s="10" customFormat="1" ht="13.5" customHeight="1">
      <c r="A246" s="1945"/>
      <c r="B246" s="1989"/>
      <c r="C246" s="1947"/>
      <c r="D246" s="322">
        <v>2016</v>
      </c>
      <c r="E246" s="8">
        <f t="shared" si="23"/>
        <v>4600</v>
      </c>
      <c r="F246" s="9">
        <v>2300</v>
      </c>
      <c r="G246" s="9">
        <v>0</v>
      </c>
      <c r="H246" s="9">
        <v>2300</v>
      </c>
      <c r="I246" s="9">
        <v>0</v>
      </c>
      <c r="J246" s="1990"/>
      <c r="K246" s="1991"/>
    </row>
    <row r="247" spans="1:11" s="10" customFormat="1" ht="13.5" customHeight="1">
      <c r="A247" s="1945"/>
      <c r="B247" s="1989"/>
      <c r="C247" s="1947"/>
      <c r="D247" s="322">
        <v>2017</v>
      </c>
      <c r="E247" s="8">
        <f t="shared" si="23"/>
        <v>22593.3</v>
      </c>
      <c r="F247" s="9">
        <v>20000</v>
      </c>
      <c r="G247" s="9">
        <v>0</v>
      </c>
      <c r="H247" s="9">
        <v>2593.3000000000002</v>
      </c>
      <c r="I247" s="9">
        <v>0</v>
      </c>
      <c r="J247" s="1990"/>
      <c r="K247" s="1991"/>
    </row>
    <row r="248" spans="1:11" s="12" customFormat="1" ht="14.25" customHeight="1">
      <c r="A248" s="1945"/>
      <c r="B248" s="1989"/>
      <c r="C248" s="1947"/>
      <c r="D248" s="322">
        <v>2018</v>
      </c>
      <c r="E248" s="8">
        <f t="shared" si="23"/>
        <v>64220.7</v>
      </c>
      <c r="F248" s="9">
        <v>24998.7</v>
      </c>
      <c r="G248" s="9">
        <v>0</v>
      </c>
      <c r="H248" s="9">
        <v>39222</v>
      </c>
      <c r="I248" s="9">
        <v>0</v>
      </c>
      <c r="J248" s="1990"/>
      <c r="K248" s="1991"/>
    </row>
    <row r="249" spans="1:11" s="12" customFormat="1" ht="14.25" customHeight="1">
      <c r="A249" s="1945"/>
      <c r="B249" s="1989"/>
      <c r="C249" s="1947"/>
      <c r="D249" s="322">
        <v>2019</v>
      </c>
      <c r="E249" s="8">
        <f t="shared" si="23"/>
        <v>101000</v>
      </c>
      <c r="F249" s="9">
        <v>24326.5</v>
      </c>
      <c r="G249" s="9">
        <v>59557.9</v>
      </c>
      <c r="H249" s="9">
        <v>17115.599999999999</v>
      </c>
      <c r="I249" s="9">
        <v>0</v>
      </c>
      <c r="J249" s="1990"/>
      <c r="K249" s="1991"/>
    </row>
    <row r="250" spans="1:11" s="12" customFormat="1" ht="14.25" customHeight="1">
      <c r="A250" s="1945"/>
      <c r="B250" s="1989"/>
      <c r="C250" s="1947"/>
      <c r="D250" s="322">
        <v>2020</v>
      </c>
      <c r="E250" s="8">
        <f t="shared" si="23"/>
        <v>0</v>
      </c>
      <c r="F250" s="9"/>
      <c r="G250" s="9">
        <v>0</v>
      </c>
      <c r="H250" s="9"/>
      <c r="I250" s="9">
        <v>0</v>
      </c>
      <c r="J250" s="1990"/>
      <c r="K250" s="1991"/>
    </row>
    <row r="251" spans="1:11" s="10" customFormat="1" ht="13.5" hidden="1" customHeight="1">
      <c r="A251" s="1945" t="s">
        <v>219</v>
      </c>
      <c r="B251" s="1989" t="s">
        <v>91</v>
      </c>
      <c r="C251" s="1947" t="s">
        <v>30</v>
      </c>
      <c r="D251" s="322" t="s">
        <v>8</v>
      </c>
      <c r="E251" s="8">
        <f t="shared" si="23"/>
        <v>47000</v>
      </c>
      <c r="F251" s="8">
        <f>SUM(F252:F256)</f>
        <v>0</v>
      </c>
      <c r="G251" s="8">
        <f>SUM(G252:G256)</f>
        <v>0</v>
      </c>
      <c r="H251" s="8">
        <f>SUM(H252:H256)</f>
        <v>22000</v>
      </c>
      <c r="I251" s="8">
        <f>SUM(I252:I256)</f>
        <v>25000</v>
      </c>
      <c r="J251" s="1990" t="s">
        <v>92</v>
      </c>
      <c r="K251" s="1991" t="s">
        <v>93</v>
      </c>
    </row>
    <row r="252" spans="1:11" s="10" customFormat="1" ht="13.5" hidden="1" customHeight="1">
      <c r="A252" s="1945"/>
      <c r="B252" s="1989"/>
      <c r="C252" s="1947"/>
      <c r="D252" s="322">
        <v>2016</v>
      </c>
      <c r="E252" s="8">
        <f t="shared" si="23"/>
        <v>25000</v>
      </c>
      <c r="F252" s="9">
        <v>0</v>
      </c>
      <c r="G252" s="9">
        <v>0</v>
      </c>
      <c r="H252" s="9">
        <v>15000</v>
      </c>
      <c r="I252" s="9">
        <v>10000</v>
      </c>
      <c r="J252" s="1990"/>
      <c r="K252" s="1991"/>
    </row>
    <row r="253" spans="1:11" s="10" customFormat="1" ht="13.5" hidden="1" customHeight="1">
      <c r="A253" s="1945"/>
      <c r="B253" s="1989"/>
      <c r="C253" s="1947"/>
      <c r="D253" s="322">
        <v>2017</v>
      </c>
      <c r="E253" s="8">
        <f t="shared" si="23"/>
        <v>22000</v>
      </c>
      <c r="F253" s="9">
        <v>0</v>
      </c>
      <c r="G253" s="9">
        <v>0</v>
      </c>
      <c r="H253" s="9">
        <v>7000</v>
      </c>
      <c r="I253" s="9">
        <v>15000</v>
      </c>
      <c r="J253" s="1990"/>
      <c r="K253" s="1991"/>
    </row>
    <row r="254" spans="1:11" s="12" customFormat="1" ht="14.25" hidden="1" customHeight="1">
      <c r="A254" s="1945"/>
      <c r="B254" s="1989"/>
      <c r="C254" s="1947"/>
      <c r="D254" s="322">
        <v>2018</v>
      </c>
      <c r="E254" s="8">
        <f t="shared" si="23"/>
        <v>0</v>
      </c>
      <c r="F254" s="9">
        <v>0</v>
      </c>
      <c r="G254" s="9">
        <v>0</v>
      </c>
      <c r="H254" s="9">
        <v>0</v>
      </c>
      <c r="I254" s="9">
        <v>0</v>
      </c>
      <c r="J254" s="1990"/>
      <c r="K254" s="1991"/>
    </row>
    <row r="255" spans="1:11" s="12" customFormat="1" ht="14.25" hidden="1" customHeight="1">
      <c r="A255" s="1945"/>
      <c r="B255" s="1989"/>
      <c r="C255" s="1947"/>
      <c r="D255" s="322">
        <v>2019</v>
      </c>
      <c r="E255" s="8">
        <f t="shared" si="23"/>
        <v>0</v>
      </c>
      <c r="F255" s="9">
        <v>0</v>
      </c>
      <c r="G255" s="9">
        <v>0</v>
      </c>
      <c r="H255" s="9">
        <v>0</v>
      </c>
      <c r="I255" s="9">
        <v>0</v>
      </c>
      <c r="J255" s="1990"/>
      <c r="K255" s="1991"/>
    </row>
    <row r="256" spans="1:11" s="12" customFormat="1" ht="14.25" hidden="1" customHeight="1">
      <c r="A256" s="1945"/>
      <c r="B256" s="1989"/>
      <c r="C256" s="1947"/>
      <c r="D256" s="322">
        <v>2020</v>
      </c>
      <c r="E256" s="8">
        <f>SUM(F256:I256)</f>
        <v>0</v>
      </c>
      <c r="F256" s="9">
        <v>0</v>
      </c>
      <c r="G256" s="9">
        <v>0</v>
      </c>
      <c r="H256" s="9">
        <v>0</v>
      </c>
      <c r="I256" s="9">
        <v>0</v>
      </c>
      <c r="J256" s="1990"/>
      <c r="K256" s="1991"/>
    </row>
    <row r="257" spans="1:11" s="10" customFormat="1" ht="13.5" hidden="1" customHeight="1">
      <c r="A257" s="1945" t="s">
        <v>220</v>
      </c>
      <c r="B257" s="1989" t="s">
        <v>288</v>
      </c>
      <c r="C257" s="1947" t="s">
        <v>95</v>
      </c>
      <c r="D257" s="322" t="s">
        <v>8</v>
      </c>
      <c r="E257" s="8">
        <f t="shared" si="23"/>
        <v>4798.2</v>
      </c>
      <c r="F257" s="8">
        <f>SUM(F258:F262)</f>
        <v>4798.2</v>
      </c>
      <c r="G257" s="8">
        <f>SUM(G258:G262)</f>
        <v>0</v>
      </c>
      <c r="H257" s="8">
        <f>SUM(H258:H262)</f>
        <v>0</v>
      </c>
      <c r="I257" s="8">
        <f>SUM(I258:I262)</f>
        <v>0</v>
      </c>
      <c r="J257" s="1990" t="s">
        <v>96</v>
      </c>
      <c r="K257" s="1991" t="s">
        <v>89</v>
      </c>
    </row>
    <row r="258" spans="1:11" s="10" customFormat="1" ht="13.5" hidden="1" customHeight="1">
      <c r="A258" s="1945"/>
      <c r="B258" s="1989"/>
      <c r="C258" s="1947"/>
      <c r="D258" s="322">
        <v>2016</v>
      </c>
      <c r="E258" s="8">
        <f t="shared" si="23"/>
        <v>4798.2</v>
      </c>
      <c r="F258" s="9">
        <v>4798.2</v>
      </c>
      <c r="G258" s="9">
        <v>0</v>
      </c>
      <c r="H258" s="9">
        <v>0</v>
      </c>
      <c r="I258" s="9">
        <v>0</v>
      </c>
      <c r="J258" s="1990"/>
      <c r="K258" s="1991"/>
    </row>
    <row r="259" spans="1:11" s="10" customFormat="1" ht="13.5" hidden="1" customHeight="1">
      <c r="A259" s="1945"/>
      <c r="B259" s="1989"/>
      <c r="C259" s="1947"/>
      <c r="D259" s="322">
        <v>2017</v>
      </c>
      <c r="E259" s="8">
        <f t="shared" si="23"/>
        <v>0</v>
      </c>
      <c r="F259" s="9">
        <v>0</v>
      </c>
      <c r="G259" s="9">
        <v>0</v>
      </c>
      <c r="H259" s="9">
        <v>0</v>
      </c>
      <c r="I259" s="9">
        <v>0</v>
      </c>
      <c r="J259" s="1990"/>
      <c r="K259" s="1991"/>
    </row>
    <row r="260" spans="1:11" s="12" customFormat="1" ht="14.25" hidden="1" customHeight="1">
      <c r="A260" s="1945"/>
      <c r="B260" s="1989"/>
      <c r="C260" s="1947"/>
      <c r="D260" s="322">
        <v>2018</v>
      </c>
      <c r="E260" s="8">
        <f t="shared" si="23"/>
        <v>0</v>
      </c>
      <c r="F260" s="9">
        <v>0</v>
      </c>
      <c r="G260" s="9">
        <v>0</v>
      </c>
      <c r="H260" s="9">
        <v>0</v>
      </c>
      <c r="I260" s="9">
        <v>0</v>
      </c>
      <c r="J260" s="1990"/>
      <c r="K260" s="1991"/>
    </row>
    <row r="261" spans="1:11" s="12" customFormat="1" ht="14.25" hidden="1" customHeight="1">
      <c r="A261" s="1945"/>
      <c r="B261" s="1989"/>
      <c r="C261" s="1947"/>
      <c r="D261" s="322">
        <v>2019</v>
      </c>
      <c r="E261" s="8">
        <f t="shared" si="23"/>
        <v>0</v>
      </c>
      <c r="F261" s="9">
        <v>0</v>
      </c>
      <c r="G261" s="9">
        <v>0</v>
      </c>
      <c r="H261" s="9">
        <v>0</v>
      </c>
      <c r="I261" s="9">
        <v>0</v>
      </c>
      <c r="J261" s="1990"/>
      <c r="K261" s="1991"/>
    </row>
    <row r="262" spans="1:11" s="12" customFormat="1" ht="14.25" hidden="1" customHeight="1">
      <c r="A262" s="1945"/>
      <c r="B262" s="1989"/>
      <c r="C262" s="1947"/>
      <c r="D262" s="322">
        <v>2020</v>
      </c>
      <c r="E262" s="8">
        <f>SUM(F262:I262)</f>
        <v>0</v>
      </c>
      <c r="F262" s="9">
        <v>0</v>
      </c>
      <c r="G262" s="9">
        <v>0</v>
      </c>
      <c r="H262" s="9">
        <v>0</v>
      </c>
      <c r="I262" s="9">
        <v>0</v>
      </c>
      <c r="J262" s="1990"/>
      <c r="K262" s="1991"/>
    </row>
    <row r="263" spans="1:11" s="10" customFormat="1" ht="15.6" customHeight="1">
      <c r="A263" s="1945" t="s">
        <v>221</v>
      </c>
      <c r="B263" s="1989" t="s">
        <v>145</v>
      </c>
      <c r="C263" s="1947" t="s">
        <v>446</v>
      </c>
      <c r="D263" s="322" t="s">
        <v>8</v>
      </c>
      <c r="E263" s="8">
        <f t="shared" ref="E263:E268" si="25">SUM(F263:I263)</f>
        <v>294328</v>
      </c>
      <c r="F263" s="8">
        <f>SUM(F264:F268)</f>
        <v>274328</v>
      </c>
      <c r="G263" s="8">
        <f>SUM(G264:G268)</f>
        <v>20000</v>
      </c>
      <c r="H263" s="8">
        <f>SUM(H264:H268)</f>
        <v>0</v>
      </c>
      <c r="I263" s="8">
        <f>SUM(I264:I268)</f>
        <v>0</v>
      </c>
      <c r="J263" s="1990" t="s">
        <v>447</v>
      </c>
      <c r="K263" s="1991" t="s">
        <v>89</v>
      </c>
    </row>
    <row r="264" spans="1:11" s="10" customFormat="1" ht="15.6" customHeight="1">
      <c r="A264" s="1945"/>
      <c r="B264" s="1989"/>
      <c r="C264" s="1947"/>
      <c r="D264" s="322">
        <v>2016</v>
      </c>
      <c r="E264" s="8">
        <f t="shared" si="25"/>
        <v>0</v>
      </c>
      <c r="F264" s="9">
        <v>0</v>
      </c>
      <c r="G264" s="9">
        <v>0</v>
      </c>
      <c r="H264" s="9">
        <v>0</v>
      </c>
      <c r="I264" s="9">
        <v>0</v>
      </c>
      <c r="J264" s="1990"/>
      <c r="K264" s="1991"/>
    </row>
    <row r="265" spans="1:11" s="10" customFormat="1" ht="15.6" customHeight="1">
      <c r="A265" s="1945"/>
      <c r="B265" s="1989"/>
      <c r="C265" s="1947"/>
      <c r="D265" s="322">
        <v>2017</v>
      </c>
      <c r="E265" s="8">
        <f t="shared" si="25"/>
        <v>0</v>
      </c>
      <c r="F265" s="9">
        <v>0</v>
      </c>
      <c r="G265" s="9">
        <v>0</v>
      </c>
      <c r="H265" s="9">
        <v>0</v>
      </c>
      <c r="I265" s="9">
        <v>0</v>
      </c>
      <c r="J265" s="1990"/>
      <c r="K265" s="1991"/>
    </row>
    <row r="266" spans="1:11" s="12" customFormat="1" ht="15.6" customHeight="1">
      <c r="A266" s="1945"/>
      <c r="B266" s="1989"/>
      <c r="C266" s="1947"/>
      <c r="D266" s="322">
        <v>2018</v>
      </c>
      <c r="E266" s="8">
        <f t="shared" si="25"/>
        <v>91385.2</v>
      </c>
      <c r="F266" s="9">
        <v>91385.2</v>
      </c>
      <c r="G266" s="9">
        <v>0</v>
      </c>
      <c r="H266" s="9">
        <v>0</v>
      </c>
      <c r="I266" s="9">
        <v>0</v>
      </c>
      <c r="J266" s="1990"/>
      <c r="K266" s="1991"/>
    </row>
    <row r="267" spans="1:11" s="12" customFormat="1" ht="15.6" customHeight="1">
      <c r="A267" s="1945"/>
      <c r="B267" s="1989"/>
      <c r="C267" s="1947"/>
      <c r="D267" s="322">
        <v>2019</v>
      </c>
      <c r="E267" s="8">
        <f t="shared" si="25"/>
        <v>88528.6</v>
      </c>
      <c r="F267" s="9">
        <f>'[6]ПЛ реализации спорт'!F267</f>
        <v>68528.600000000006</v>
      </c>
      <c r="G267" s="9">
        <f>'[6]ПЛ реализации спорт'!G267</f>
        <v>20000</v>
      </c>
      <c r="H267" s="9">
        <v>0</v>
      </c>
      <c r="I267" s="9">
        <v>0</v>
      </c>
      <c r="J267" s="1990"/>
      <c r="K267" s="1991"/>
    </row>
    <row r="268" spans="1:11" s="12" customFormat="1" ht="15.6" customHeight="1">
      <c r="A268" s="1945"/>
      <c r="B268" s="1989"/>
      <c r="C268" s="1947"/>
      <c r="D268" s="322">
        <v>2020</v>
      </c>
      <c r="E268" s="8">
        <f t="shared" si="25"/>
        <v>114414.2</v>
      </c>
      <c r="F268" s="9">
        <v>114414.2</v>
      </c>
      <c r="G268" s="9">
        <v>0</v>
      </c>
      <c r="H268" s="9">
        <v>0</v>
      </c>
      <c r="I268" s="9">
        <v>0</v>
      </c>
      <c r="J268" s="1990"/>
      <c r="K268" s="1991"/>
    </row>
    <row r="269" spans="1:11" s="10" customFormat="1" ht="13.5" customHeight="1">
      <c r="A269" s="1945" t="s">
        <v>226</v>
      </c>
      <c r="B269" s="1989" t="s">
        <v>97</v>
      </c>
      <c r="C269" s="1947" t="s">
        <v>161</v>
      </c>
      <c r="D269" s="322" t="s">
        <v>8</v>
      </c>
      <c r="E269" s="8">
        <f>SUM(F269:I269)</f>
        <v>556585.80000000005</v>
      </c>
      <c r="F269" s="8">
        <f>SUM(F270:F274)</f>
        <v>503479.8</v>
      </c>
      <c r="G269" s="8">
        <f>SUM(G270:G274)</f>
        <v>0</v>
      </c>
      <c r="H269" s="8">
        <f>SUM(H270:H274)</f>
        <v>42306</v>
      </c>
      <c r="I269" s="8">
        <f>SUM(I270:I274)</f>
        <v>10800</v>
      </c>
      <c r="J269" s="1990" t="s">
        <v>289</v>
      </c>
      <c r="K269" s="1991" t="s">
        <v>98</v>
      </c>
    </row>
    <row r="270" spans="1:11" s="10" customFormat="1" ht="13.5" customHeight="1">
      <c r="A270" s="1945"/>
      <c r="B270" s="1989"/>
      <c r="C270" s="1947"/>
      <c r="D270" s="322">
        <v>2016</v>
      </c>
      <c r="E270" s="8">
        <f>SUM(F270:I270)</f>
        <v>10800</v>
      </c>
      <c r="F270" s="9">
        <v>0</v>
      </c>
      <c r="G270" s="9">
        <v>0</v>
      </c>
      <c r="H270" s="9">
        <v>0</v>
      </c>
      <c r="I270" s="9">
        <v>10800</v>
      </c>
      <c r="J270" s="1990"/>
      <c r="K270" s="1991"/>
    </row>
    <row r="271" spans="1:11" s="10" customFormat="1" ht="13.5" customHeight="1">
      <c r="A271" s="1945"/>
      <c r="B271" s="1989"/>
      <c r="C271" s="1947"/>
      <c r="D271" s="322">
        <v>2017</v>
      </c>
      <c r="E271" s="8">
        <f>SUM(F271:I271)</f>
        <v>75200</v>
      </c>
      <c r="F271" s="9">
        <v>37600</v>
      </c>
      <c r="G271" s="9">
        <v>0</v>
      </c>
      <c r="H271" s="9">
        <v>37600</v>
      </c>
      <c r="I271" s="9">
        <v>0</v>
      </c>
      <c r="J271" s="1990"/>
      <c r="K271" s="1991"/>
    </row>
    <row r="272" spans="1:11" s="12" customFormat="1" ht="14.25" customHeight="1">
      <c r="A272" s="1945"/>
      <c r="B272" s="1989"/>
      <c r="C272" s="1947"/>
      <c r="D272" s="322">
        <v>2018</v>
      </c>
      <c r="E272" s="8">
        <f>SUM(F272:I272)</f>
        <v>215202.1</v>
      </c>
      <c r="F272" s="9">
        <v>213050</v>
      </c>
      <c r="G272" s="9">
        <v>0</v>
      </c>
      <c r="H272" s="9">
        <v>2152.1</v>
      </c>
      <c r="I272" s="9">
        <v>0</v>
      </c>
      <c r="J272" s="1990"/>
      <c r="K272" s="1991"/>
    </row>
    <row r="273" spans="1:11" s="12" customFormat="1" ht="14.25" customHeight="1">
      <c r="A273" s="1945"/>
      <c r="B273" s="1989"/>
      <c r="C273" s="1947"/>
      <c r="D273" s="322">
        <v>2019</v>
      </c>
      <c r="E273" s="8">
        <f>SUM(F273:I273)</f>
        <v>255383.69999999998</v>
      </c>
      <c r="F273" s="9">
        <v>252829.8</v>
      </c>
      <c r="G273" s="9">
        <v>0</v>
      </c>
      <c r="H273" s="9">
        <v>2553.9</v>
      </c>
      <c r="I273" s="9">
        <v>0</v>
      </c>
      <c r="J273" s="1990"/>
      <c r="K273" s="1991"/>
    </row>
    <row r="274" spans="1:11" s="12" customFormat="1" ht="14.25" customHeight="1">
      <c r="A274" s="1945"/>
      <c r="B274" s="1989"/>
      <c r="C274" s="1947"/>
      <c r="D274" s="322">
        <v>2020</v>
      </c>
      <c r="E274" s="8">
        <f t="shared" ref="E274:E305" si="26">SUM(F274:I274)</f>
        <v>0</v>
      </c>
      <c r="F274" s="9">
        <v>0</v>
      </c>
      <c r="G274" s="9">
        <v>0</v>
      </c>
      <c r="H274" s="9">
        <v>0</v>
      </c>
      <c r="I274" s="9">
        <v>0</v>
      </c>
      <c r="J274" s="1990"/>
      <c r="K274" s="1991"/>
    </row>
    <row r="275" spans="1:11" s="10" customFormat="1" ht="13.5" hidden="1" customHeight="1">
      <c r="A275" s="1945" t="s">
        <v>227</v>
      </c>
      <c r="B275" s="1989" t="s">
        <v>99</v>
      </c>
      <c r="C275" s="1947" t="s">
        <v>290</v>
      </c>
      <c r="D275" s="322" t="s">
        <v>8</v>
      </c>
      <c r="E275" s="8">
        <f t="shared" si="26"/>
        <v>23652.400000000001</v>
      </c>
      <c r="F275" s="8">
        <f>SUM(F276:F280)</f>
        <v>23652.400000000001</v>
      </c>
      <c r="G275" s="8">
        <f>SUM(G276:G280)</f>
        <v>0</v>
      </c>
      <c r="H275" s="8">
        <f>SUM(H276:H280)</f>
        <v>0</v>
      </c>
      <c r="I275" s="8">
        <f>SUM(I276:I280)</f>
        <v>0</v>
      </c>
      <c r="J275" s="1990" t="s">
        <v>291</v>
      </c>
      <c r="K275" s="1991" t="s">
        <v>100</v>
      </c>
    </row>
    <row r="276" spans="1:11" s="10" customFormat="1" ht="13.5" hidden="1" customHeight="1">
      <c r="A276" s="1945"/>
      <c r="B276" s="1989"/>
      <c r="C276" s="1947"/>
      <c r="D276" s="322">
        <v>2016</v>
      </c>
      <c r="E276" s="8">
        <f t="shared" si="26"/>
        <v>0</v>
      </c>
      <c r="F276" s="9">
        <v>0</v>
      </c>
      <c r="G276" s="9">
        <v>0</v>
      </c>
      <c r="H276" s="9">
        <v>0</v>
      </c>
      <c r="I276" s="9">
        <v>0</v>
      </c>
      <c r="J276" s="1990"/>
      <c r="K276" s="1991"/>
    </row>
    <row r="277" spans="1:11" s="10" customFormat="1" ht="13.5" hidden="1" customHeight="1">
      <c r="A277" s="1945"/>
      <c r="B277" s="1989"/>
      <c r="C277" s="1947"/>
      <c r="D277" s="322">
        <v>2017</v>
      </c>
      <c r="E277" s="8">
        <f t="shared" si="26"/>
        <v>18567.400000000001</v>
      </c>
      <c r="F277" s="9">
        <v>18567.400000000001</v>
      </c>
      <c r="G277" s="9">
        <v>0</v>
      </c>
      <c r="H277" s="9">
        <v>0</v>
      </c>
      <c r="I277" s="9">
        <v>0</v>
      </c>
      <c r="J277" s="1990"/>
      <c r="K277" s="1991"/>
    </row>
    <row r="278" spans="1:11" s="12" customFormat="1" ht="14.25" hidden="1" customHeight="1">
      <c r="A278" s="1945"/>
      <c r="B278" s="1989"/>
      <c r="C278" s="1947"/>
      <c r="D278" s="322">
        <v>2018</v>
      </c>
      <c r="E278" s="8">
        <f t="shared" si="26"/>
        <v>5085</v>
      </c>
      <c r="F278" s="9">
        <v>5085</v>
      </c>
      <c r="G278" s="9">
        <v>0</v>
      </c>
      <c r="H278" s="9">
        <v>0</v>
      </c>
      <c r="I278" s="9">
        <v>0</v>
      </c>
      <c r="J278" s="1990"/>
      <c r="K278" s="1991"/>
    </row>
    <row r="279" spans="1:11" s="12" customFormat="1" ht="14.25" hidden="1" customHeight="1">
      <c r="A279" s="1945"/>
      <c r="B279" s="1989"/>
      <c r="C279" s="1947"/>
      <c r="D279" s="322">
        <v>2019</v>
      </c>
      <c r="E279" s="8">
        <f t="shared" si="26"/>
        <v>0</v>
      </c>
      <c r="F279" s="9">
        <v>0</v>
      </c>
      <c r="G279" s="9">
        <v>0</v>
      </c>
      <c r="H279" s="9">
        <v>0</v>
      </c>
      <c r="I279" s="9">
        <v>0</v>
      </c>
      <c r="J279" s="1990"/>
      <c r="K279" s="1991"/>
    </row>
    <row r="280" spans="1:11" s="12" customFormat="1" ht="14.25" hidden="1" customHeight="1">
      <c r="A280" s="1945"/>
      <c r="B280" s="1989"/>
      <c r="C280" s="1947"/>
      <c r="D280" s="322">
        <v>2020</v>
      </c>
      <c r="E280" s="8">
        <f t="shared" si="26"/>
        <v>0</v>
      </c>
      <c r="F280" s="9">
        <v>0</v>
      </c>
      <c r="G280" s="9">
        <v>0</v>
      </c>
      <c r="H280" s="9">
        <v>0</v>
      </c>
      <c r="I280" s="9">
        <v>0</v>
      </c>
      <c r="J280" s="1990"/>
      <c r="K280" s="1991"/>
    </row>
    <row r="281" spans="1:11" s="10" customFormat="1" ht="13.5" hidden="1" customHeight="1">
      <c r="A281" s="1945" t="s">
        <v>228</v>
      </c>
      <c r="B281" s="1989" t="s">
        <v>101</v>
      </c>
      <c r="C281" s="1947">
        <v>2017</v>
      </c>
      <c r="D281" s="322" t="s">
        <v>8</v>
      </c>
      <c r="E281" s="8">
        <f t="shared" si="26"/>
        <v>4913</v>
      </c>
      <c r="F281" s="8">
        <f>SUM(F282:F286)</f>
        <v>4913</v>
      </c>
      <c r="G281" s="8">
        <f>SUM(G282:G286)</f>
        <v>0</v>
      </c>
      <c r="H281" s="8">
        <f>SUM(H282:H286)</f>
        <v>0</v>
      </c>
      <c r="I281" s="8">
        <f>SUM(I282:I286)</f>
        <v>0</v>
      </c>
      <c r="J281" s="1990" t="s">
        <v>162</v>
      </c>
      <c r="K281" s="1991" t="s">
        <v>89</v>
      </c>
    </row>
    <row r="282" spans="1:11" s="10" customFormat="1" ht="13.5" hidden="1" customHeight="1">
      <c r="A282" s="1945"/>
      <c r="B282" s="1989"/>
      <c r="C282" s="1947"/>
      <c r="D282" s="322">
        <v>2016</v>
      </c>
      <c r="E282" s="8">
        <f t="shared" si="26"/>
        <v>0</v>
      </c>
      <c r="F282" s="9">
        <v>0</v>
      </c>
      <c r="G282" s="9">
        <v>0</v>
      </c>
      <c r="H282" s="9">
        <v>0</v>
      </c>
      <c r="I282" s="9">
        <v>0</v>
      </c>
      <c r="J282" s="1990"/>
      <c r="K282" s="1991"/>
    </row>
    <row r="283" spans="1:11" s="10" customFormat="1" ht="13.5" hidden="1" customHeight="1">
      <c r="A283" s="1945"/>
      <c r="B283" s="1989"/>
      <c r="C283" s="1947"/>
      <c r="D283" s="322">
        <v>2017</v>
      </c>
      <c r="E283" s="8">
        <f t="shared" si="26"/>
        <v>4913</v>
      </c>
      <c r="F283" s="9">
        <v>4913</v>
      </c>
      <c r="G283" s="9">
        <v>0</v>
      </c>
      <c r="H283" s="9">
        <v>0</v>
      </c>
      <c r="I283" s="9">
        <v>0</v>
      </c>
      <c r="J283" s="1990"/>
      <c r="K283" s="1991"/>
    </row>
    <row r="284" spans="1:11" s="12" customFormat="1" ht="14.25" hidden="1" customHeight="1">
      <c r="A284" s="1945"/>
      <c r="B284" s="1989"/>
      <c r="C284" s="1947"/>
      <c r="D284" s="322">
        <v>2018</v>
      </c>
      <c r="E284" s="8">
        <f t="shared" si="26"/>
        <v>0</v>
      </c>
      <c r="F284" s="9">
        <v>0</v>
      </c>
      <c r="G284" s="9">
        <v>0</v>
      </c>
      <c r="H284" s="9">
        <v>0</v>
      </c>
      <c r="I284" s="9">
        <v>0</v>
      </c>
      <c r="J284" s="1990"/>
      <c r="K284" s="1991"/>
    </row>
    <row r="285" spans="1:11" s="12" customFormat="1" ht="14.25" hidden="1" customHeight="1">
      <c r="A285" s="1945"/>
      <c r="B285" s="1989"/>
      <c r="C285" s="1947"/>
      <c r="D285" s="322">
        <v>2019</v>
      </c>
      <c r="E285" s="8">
        <f t="shared" si="26"/>
        <v>0</v>
      </c>
      <c r="F285" s="9">
        <v>0</v>
      </c>
      <c r="G285" s="9">
        <v>0</v>
      </c>
      <c r="H285" s="9">
        <v>0</v>
      </c>
      <c r="I285" s="9">
        <v>0</v>
      </c>
      <c r="J285" s="1990"/>
      <c r="K285" s="1991"/>
    </row>
    <row r="286" spans="1:11" s="12" customFormat="1" ht="14.25" hidden="1" customHeight="1">
      <c r="A286" s="1945"/>
      <c r="B286" s="1989"/>
      <c r="C286" s="1947"/>
      <c r="D286" s="322">
        <v>2020</v>
      </c>
      <c r="E286" s="8">
        <f t="shared" si="26"/>
        <v>0</v>
      </c>
      <c r="F286" s="9">
        <v>0</v>
      </c>
      <c r="G286" s="9">
        <v>0</v>
      </c>
      <c r="H286" s="9">
        <v>0</v>
      </c>
      <c r="I286" s="9">
        <v>0</v>
      </c>
      <c r="J286" s="1990"/>
      <c r="K286" s="1991"/>
    </row>
    <row r="287" spans="1:11" s="10" customFormat="1" ht="1.5" customHeight="1">
      <c r="A287" s="1945" t="s">
        <v>229</v>
      </c>
      <c r="B287" s="1989" t="s">
        <v>230</v>
      </c>
      <c r="C287" s="1947">
        <v>2018</v>
      </c>
      <c r="D287" s="322" t="s">
        <v>8</v>
      </c>
      <c r="E287" s="8">
        <f t="shared" si="26"/>
        <v>473.6</v>
      </c>
      <c r="F287" s="8">
        <f>SUM(F288:F292)</f>
        <v>473.6</v>
      </c>
      <c r="G287" s="8">
        <f>SUM(G288:G292)</f>
        <v>0</v>
      </c>
      <c r="H287" s="8">
        <f>SUM(H288:H292)</f>
        <v>0</v>
      </c>
      <c r="I287" s="8">
        <f>SUM(I288:I292)</f>
        <v>0</v>
      </c>
      <c r="J287" s="1990" t="s">
        <v>448</v>
      </c>
      <c r="K287" s="1991" t="s">
        <v>292</v>
      </c>
    </row>
    <row r="288" spans="1:11" s="10" customFormat="1" ht="13.5" hidden="1" customHeight="1">
      <c r="A288" s="1945"/>
      <c r="B288" s="1989"/>
      <c r="C288" s="1947"/>
      <c r="D288" s="322">
        <v>2016</v>
      </c>
      <c r="E288" s="8">
        <f t="shared" si="26"/>
        <v>0</v>
      </c>
      <c r="F288" s="9">
        <v>0</v>
      </c>
      <c r="G288" s="9">
        <v>0</v>
      </c>
      <c r="H288" s="9">
        <v>0</v>
      </c>
      <c r="I288" s="9">
        <v>0</v>
      </c>
      <c r="J288" s="1990"/>
      <c r="K288" s="1991"/>
    </row>
    <row r="289" spans="1:11" s="10" customFormat="1" ht="13.5" hidden="1" customHeight="1">
      <c r="A289" s="1945"/>
      <c r="B289" s="1989"/>
      <c r="C289" s="1947"/>
      <c r="D289" s="322">
        <v>2017</v>
      </c>
      <c r="E289" s="8">
        <f t="shared" si="26"/>
        <v>0</v>
      </c>
      <c r="F289" s="9">
        <v>0</v>
      </c>
      <c r="G289" s="9">
        <v>0</v>
      </c>
      <c r="H289" s="9">
        <v>0</v>
      </c>
      <c r="I289" s="9">
        <v>0</v>
      </c>
      <c r="J289" s="1990"/>
      <c r="K289" s="1991"/>
    </row>
    <row r="290" spans="1:11" s="12" customFormat="1" ht="14.25" hidden="1" customHeight="1">
      <c r="A290" s="1945"/>
      <c r="B290" s="1989"/>
      <c r="C290" s="1947"/>
      <c r="D290" s="322">
        <v>2018</v>
      </c>
      <c r="E290" s="8">
        <f t="shared" si="26"/>
        <v>473.6</v>
      </c>
      <c r="F290" s="9">
        <v>473.6</v>
      </c>
      <c r="G290" s="9">
        <v>0</v>
      </c>
      <c r="H290" s="9">
        <v>0</v>
      </c>
      <c r="I290" s="9">
        <v>0</v>
      </c>
      <c r="J290" s="1990"/>
      <c r="K290" s="1991"/>
    </row>
    <row r="291" spans="1:11" s="12" customFormat="1" ht="14.25" hidden="1" customHeight="1">
      <c r="A291" s="1945"/>
      <c r="B291" s="1989"/>
      <c r="C291" s="1947"/>
      <c r="D291" s="322">
        <v>2019</v>
      </c>
      <c r="E291" s="8">
        <f t="shared" si="26"/>
        <v>0</v>
      </c>
      <c r="F291" s="9">
        <v>0</v>
      </c>
      <c r="G291" s="9">
        <v>0</v>
      </c>
      <c r="H291" s="9">
        <v>0</v>
      </c>
      <c r="I291" s="9">
        <v>0</v>
      </c>
      <c r="J291" s="1990"/>
      <c r="K291" s="1991"/>
    </row>
    <row r="292" spans="1:11" s="12" customFormat="1" ht="14.25" hidden="1" customHeight="1">
      <c r="A292" s="1945"/>
      <c r="B292" s="1989"/>
      <c r="C292" s="1947"/>
      <c r="D292" s="322">
        <v>2020</v>
      </c>
      <c r="E292" s="8">
        <f t="shared" si="26"/>
        <v>0</v>
      </c>
      <c r="F292" s="9">
        <v>0</v>
      </c>
      <c r="G292" s="9">
        <v>0</v>
      </c>
      <c r="H292" s="9">
        <v>0</v>
      </c>
      <c r="I292" s="9">
        <v>0</v>
      </c>
      <c r="J292" s="1990"/>
      <c r="K292" s="1991"/>
    </row>
    <row r="293" spans="1:11" s="10" customFormat="1" ht="13.5" hidden="1" customHeight="1">
      <c r="A293" s="1945" t="s">
        <v>233</v>
      </c>
      <c r="B293" s="1989" t="s">
        <v>234</v>
      </c>
      <c r="C293" s="1947">
        <v>2020</v>
      </c>
      <c r="D293" s="322" t="s">
        <v>8</v>
      </c>
      <c r="E293" s="8">
        <f t="shared" si="26"/>
        <v>0</v>
      </c>
      <c r="F293" s="8">
        <f>SUM(F294:F298)</f>
        <v>0</v>
      </c>
      <c r="G293" s="8">
        <f>SUM(G294:G298)</f>
        <v>0</v>
      </c>
      <c r="H293" s="8">
        <f>SUM(H294:H298)</f>
        <v>0</v>
      </c>
      <c r="I293" s="8">
        <f>SUM(I294:I298)</f>
        <v>0</v>
      </c>
      <c r="J293" s="1990" t="s">
        <v>235</v>
      </c>
      <c r="K293" s="1991" t="s">
        <v>168</v>
      </c>
    </row>
    <row r="294" spans="1:11" s="10" customFormat="1" ht="13.5" hidden="1" customHeight="1">
      <c r="A294" s="1945"/>
      <c r="B294" s="1989"/>
      <c r="C294" s="1947"/>
      <c r="D294" s="322">
        <v>2016</v>
      </c>
      <c r="E294" s="8">
        <f t="shared" si="26"/>
        <v>0</v>
      </c>
      <c r="F294" s="9">
        <v>0</v>
      </c>
      <c r="G294" s="9">
        <v>0</v>
      </c>
      <c r="H294" s="9">
        <v>0</v>
      </c>
      <c r="I294" s="9">
        <v>0</v>
      </c>
      <c r="J294" s="1990"/>
      <c r="K294" s="1991"/>
    </row>
    <row r="295" spans="1:11" s="10" customFormat="1" ht="13.5" hidden="1" customHeight="1">
      <c r="A295" s="1945"/>
      <c r="B295" s="1989"/>
      <c r="C295" s="1947"/>
      <c r="D295" s="322">
        <v>2017</v>
      </c>
      <c r="E295" s="8">
        <f t="shared" si="26"/>
        <v>0</v>
      </c>
      <c r="F295" s="9">
        <v>0</v>
      </c>
      <c r="G295" s="9">
        <v>0</v>
      </c>
      <c r="H295" s="9">
        <v>0</v>
      </c>
      <c r="I295" s="9">
        <v>0</v>
      </c>
      <c r="J295" s="1990"/>
      <c r="K295" s="1991"/>
    </row>
    <row r="296" spans="1:11" s="12" customFormat="1" ht="14.25" hidden="1" customHeight="1">
      <c r="A296" s="1945"/>
      <c r="B296" s="1989"/>
      <c r="C296" s="1947"/>
      <c r="D296" s="322">
        <v>2018</v>
      </c>
      <c r="E296" s="8">
        <f t="shared" si="26"/>
        <v>0</v>
      </c>
      <c r="F296" s="9">
        <v>0</v>
      </c>
      <c r="G296" s="9">
        <v>0</v>
      </c>
      <c r="H296" s="9">
        <v>0</v>
      </c>
      <c r="I296" s="9">
        <v>0</v>
      </c>
      <c r="J296" s="1990"/>
      <c r="K296" s="1991"/>
    </row>
    <row r="297" spans="1:11" s="12" customFormat="1" ht="14.25" hidden="1" customHeight="1">
      <c r="A297" s="1945"/>
      <c r="B297" s="1989"/>
      <c r="C297" s="1947"/>
      <c r="D297" s="322">
        <v>2019</v>
      </c>
      <c r="E297" s="8">
        <f t="shared" si="26"/>
        <v>0</v>
      </c>
      <c r="F297" s="9">
        <v>0</v>
      </c>
      <c r="G297" s="9">
        <v>0</v>
      </c>
      <c r="H297" s="9">
        <v>0</v>
      </c>
      <c r="I297" s="9">
        <v>0</v>
      </c>
      <c r="J297" s="1990"/>
      <c r="K297" s="1991"/>
    </row>
    <row r="298" spans="1:11" s="12" customFormat="1" ht="14.25" hidden="1" customHeight="1">
      <c r="A298" s="1945"/>
      <c r="B298" s="1989"/>
      <c r="C298" s="1947"/>
      <c r="D298" s="322">
        <v>2020</v>
      </c>
      <c r="E298" s="8">
        <f t="shared" si="26"/>
        <v>0</v>
      </c>
      <c r="F298" s="9">
        <v>0</v>
      </c>
      <c r="G298" s="9">
        <v>0</v>
      </c>
      <c r="H298" s="9">
        <v>0</v>
      </c>
      <c r="I298" s="9">
        <v>0</v>
      </c>
      <c r="J298" s="1990"/>
      <c r="K298" s="1991"/>
    </row>
    <row r="299" spans="1:11" s="10" customFormat="1" ht="14.25" customHeight="1">
      <c r="A299" s="1945" t="s">
        <v>449</v>
      </c>
      <c r="B299" s="1989" t="s">
        <v>450</v>
      </c>
      <c r="C299" s="1947">
        <v>2019</v>
      </c>
      <c r="D299" s="322" t="s">
        <v>8</v>
      </c>
      <c r="E299" s="8">
        <f t="shared" si="26"/>
        <v>9265.2999999999993</v>
      </c>
      <c r="F299" s="8">
        <f>SUM(F300:F304)</f>
        <v>2687</v>
      </c>
      <c r="G299" s="8">
        <f>SUM(G300:G304)</f>
        <v>6578.3</v>
      </c>
      <c r="H299" s="8">
        <f>SUM(H300:H304)</f>
        <v>0</v>
      </c>
      <c r="I299" s="8">
        <f>SUM(I300:I304)</f>
        <v>0</v>
      </c>
      <c r="J299" s="1990" t="s">
        <v>451</v>
      </c>
      <c r="K299" s="1991" t="s">
        <v>89</v>
      </c>
    </row>
    <row r="300" spans="1:11" s="10" customFormat="1" ht="13.5" customHeight="1">
      <c r="A300" s="1945"/>
      <c r="B300" s="1989"/>
      <c r="C300" s="1947"/>
      <c r="D300" s="322">
        <v>2016</v>
      </c>
      <c r="E300" s="8">
        <f t="shared" si="26"/>
        <v>0</v>
      </c>
      <c r="F300" s="9">
        <v>0</v>
      </c>
      <c r="G300" s="9">
        <v>0</v>
      </c>
      <c r="H300" s="9">
        <v>0</v>
      </c>
      <c r="I300" s="9">
        <v>0</v>
      </c>
      <c r="J300" s="1990"/>
      <c r="K300" s="1991"/>
    </row>
    <row r="301" spans="1:11" s="10" customFormat="1" ht="13.5" customHeight="1">
      <c r="A301" s="1945"/>
      <c r="B301" s="1989"/>
      <c r="C301" s="1947"/>
      <c r="D301" s="322">
        <v>2017</v>
      </c>
      <c r="E301" s="8">
        <f t="shared" si="26"/>
        <v>0</v>
      </c>
      <c r="F301" s="9">
        <v>0</v>
      </c>
      <c r="G301" s="9">
        <v>0</v>
      </c>
      <c r="H301" s="9">
        <v>0</v>
      </c>
      <c r="I301" s="9">
        <v>0</v>
      </c>
      <c r="J301" s="1990"/>
      <c r="K301" s="1991"/>
    </row>
    <row r="302" spans="1:11" s="12" customFormat="1" ht="14.25" customHeight="1">
      <c r="A302" s="1945"/>
      <c r="B302" s="1989"/>
      <c r="C302" s="1947"/>
      <c r="D302" s="322">
        <v>2018</v>
      </c>
      <c r="E302" s="8">
        <f t="shared" si="26"/>
        <v>0</v>
      </c>
      <c r="F302" s="9">
        <v>0</v>
      </c>
      <c r="G302" s="9">
        <v>0</v>
      </c>
      <c r="H302" s="9">
        <v>0</v>
      </c>
      <c r="I302" s="9">
        <v>0</v>
      </c>
      <c r="J302" s="1990"/>
      <c r="K302" s="1991"/>
    </row>
    <row r="303" spans="1:11" s="12" customFormat="1" ht="14.25" customHeight="1">
      <c r="A303" s="1945"/>
      <c r="B303" s="1989"/>
      <c r="C303" s="1947"/>
      <c r="D303" s="322">
        <v>2019</v>
      </c>
      <c r="E303" s="8">
        <f>SUM(F303:I303)</f>
        <v>9265.2999999999993</v>
      </c>
      <c r="F303" s="9">
        <v>2687</v>
      </c>
      <c r="G303" s="9">
        <v>6578.3</v>
      </c>
      <c r="H303" s="9">
        <v>0</v>
      </c>
      <c r="I303" s="9">
        <v>0</v>
      </c>
      <c r="J303" s="1990"/>
      <c r="K303" s="1991"/>
    </row>
    <row r="304" spans="1:11" s="12" customFormat="1" ht="14.25" customHeight="1">
      <c r="A304" s="1945"/>
      <c r="B304" s="1989"/>
      <c r="C304" s="1947"/>
      <c r="D304" s="322">
        <v>2020</v>
      </c>
      <c r="E304" s="8">
        <f>SUM(F304:I304)</f>
        <v>0</v>
      </c>
      <c r="F304" s="9">
        <v>0</v>
      </c>
      <c r="G304" s="9">
        <v>0</v>
      </c>
      <c r="H304" s="9">
        <v>0</v>
      </c>
      <c r="I304" s="9">
        <v>0</v>
      </c>
      <c r="J304" s="1990"/>
      <c r="K304" s="1991"/>
    </row>
    <row r="305" spans="1:12" ht="15" customHeight="1">
      <c r="A305" s="1945" t="s">
        <v>178</v>
      </c>
      <c r="B305" s="1989" t="s">
        <v>103</v>
      </c>
      <c r="C305" s="1947" t="s">
        <v>14</v>
      </c>
      <c r="D305" s="322" t="s">
        <v>8</v>
      </c>
      <c r="E305" s="8">
        <f t="shared" si="26"/>
        <v>276787.20000000001</v>
      </c>
      <c r="F305" s="8">
        <f>SUM(F306:F310)</f>
        <v>240721.2</v>
      </c>
      <c r="G305" s="8">
        <f>SUM(G306:G310)</f>
        <v>22623</v>
      </c>
      <c r="H305" s="8">
        <f>SUM(H306:H310)</f>
        <v>13443</v>
      </c>
      <c r="I305" s="8">
        <f>SUM(I306:I310)</f>
        <v>0</v>
      </c>
      <c r="J305" s="1990" t="s">
        <v>104</v>
      </c>
      <c r="K305" s="1990" t="s">
        <v>105</v>
      </c>
      <c r="L305" s="1955"/>
    </row>
    <row r="306" spans="1:12">
      <c r="A306" s="1945"/>
      <c r="B306" s="1989"/>
      <c r="C306" s="1947"/>
      <c r="D306" s="322">
        <v>2016</v>
      </c>
      <c r="E306" s="8">
        <f t="shared" ref="E306:I310" si="27">E312+E318+E324+E330+E336+E342+E348+E354+E360+E366+E372+E378+E384+E390+E396+E402+E408+E414</f>
        <v>88741</v>
      </c>
      <c r="F306" s="8">
        <f t="shared" si="27"/>
        <v>73734.3</v>
      </c>
      <c r="G306" s="8">
        <f t="shared" si="27"/>
        <v>11357.5</v>
      </c>
      <c r="H306" s="8">
        <f t="shared" si="27"/>
        <v>3649.2</v>
      </c>
      <c r="I306" s="8">
        <f t="shared" si="27"/>
        <v>0</v>
      </c>
      <c r="J306" s="1990"/>
      <c r="K306" s="1990"/>
      <c r="L306" s="1955"/>
    </row>
    <row r="307" spans="1:12">
      <c r="A307" s="1945"/>
      <c r="B307" s="1989"/>
      <c r="C307" s="1947"/>
      <c r="D307" s="322">
        <v>2017</v>
      </c>
      <c r="E307" s="8">
        <f t="shared" si="27"/>
        <v>64251.9</v>
      </c>
      <c r="F307" s="8">
        <f t="shared" si="27"/>
        <v>50265.600000000006</v>
      </c>
      <c r="G307" s="8">
        <f t="shared" si="27"/>
        <v>11265.5</v>
      </c>
      <c r="H307" s="8">
        <f t="shared" si="27"/>
        <v>2720.8</v>
      </c>
      <c r="I307" s="8">
        <f t="shared" si="27"/>
        <v>0</v>
      </c>
      <c r="J307" s="1990"/>
      <c r="K307" s="1990"/>
      <c r="L307" s="1955"/>
    </row>
    <row r="308" spans="1:12">
      <c r="A308" s="1945"/>
      <c r="B308" s="1989"/>
      <c r="C308" s="1947"/>
      <c r="D308" s="322">
        <v>2018</v>
      </c>
      <c r="E308" s="8">
        <f t="shared" si="27"/>
        <v>47693.9</v>
      </c>
      <c r="F308" s="8">
        <f t="shared" si="27"/>
        <v>44995</v>
      </c>
      <c r="G308" s="8">
        <f t="shared" si="27"/>
        <v>0</v>
      </c>
      <c r="H308" s="8">
        <f t="shared" si="27"/>
        <v>2698.9</v>
      </c>
      <c r="I308" s="8">
        <f t="shared" si="27"/>
        <v>0</v>
      </c>
      <c r="J308" s="1990"/>
      <c r="K308" s="1990"/>
      <c r="L308" s="1955"/>
    </row>
    <row r="309" spans="1:12">
      <c r="A309" s="1945"/>
      <c r="B309" s="1989"/>
      <c r="C309" s="1947"/>
      <c r="D309" s="322">
        <v>2019</v>
      </c>
      <c r="E309" s="8">
        <f t="shared" si="27"/>
        <v>70100.399999999994</v>
      </c>
      <c r="F309" s="8">
        <f t="shared" si="27"/>
        <v>65726.3</v>
      </c>
      <c r="G309" s="8">
        <f t="shared" si="27"/>
        <v>0</v>
      </c>
      <c r="H309" s="8">
        <f t="shared" si="27"/>
        <v>4374.1000000000004</v>
      </c>
      <c r="I309" s="8">
        <f t="shared" si="27"/>
        <v>0</v>
      </c>
      <c r="J309" s="1990"/>
      <c r="K309" s="1990"/>
      <c r="L309" s="1955"/>
    </row>
    <row r="310" spans="1:12">
      <c r="A310" s="1945"/>
      <c r="B310" s="1989"/>
      <c r="C310" s="1947"/>
      <c r="D310" s="322">
        <v>2020</v>
      </c>
      <c r="E310" s="8">
        <f t="shared" si="27"/>
        <v>6000</v>
      </c>
      <c r="F310" s="8">
        <f t="shared" si="27"/>
        <v>6000</v>
      </c>
      <c r="G310" s="8">
        <f t="shared" si="27"/>
        <v>0</v>
      </c>
      <c r="H310" s="8">
        <f t="shared" si="27"/>
        <v>0</v>
      </c>
      <c r="I310" s="8">
        <f>I316+I322+I328+I334+I340+I346+I352+I358+I364+I370+I376+I382+I388+I394+I400+I406+I412+I418</f>
        <v>0</v>
      </c>
      <c r="J310" s="1990"/>
      <c r="K310" s="1990"/>
      <c r="L310" s="321"/>
    </row>
    <row r="311" spans="1:12" s="2" customFormat="1" ht="15" customHeight="1">
      <c r="A311" s="1951" t="s">
        <v>102</v>
      </c>
      <c r="B311" s="1994" t="s">
        <v>106</v>
      </c>
      <c r="C311" s="1947" t="s">
        <v>14</v>
      </c>
      <c r="D311" s="51" t="s">
        <v>8</v>
      </c>
      <c r="E311" s="8">
        <f t="shared" ref="E311:E339" si="28">SUM(F311:I311)</f>
        <v>33000</v>
      </c>
      <c r="F311" s="8">
        <f>SUM(F312:F316)</f>
        <v>33000</v>
      </c>
      <c r="G311" s="8">
        <f>SUM(G312:G315)</f>
        <v>0</v>
      </c>
      <c r="H311" s="8">
        <f>SUM(H312:H315)</f>
        <v>0</v>
      </c>
      <c r="I311" s="8">
        <f>SUM(I312:I315)</f>
        <v>0</v>
      </c>
      <c r="J311" s="1994" t="s">
        <v>107</v>
      </c>
      <c r="K311" s="1990" t="s">
        <v>108</v>
      </c>
    </row>
    <row r="312" spans="1:12" s="2" customFormat="1">
      <c r="A312" s="1951"/>
      <c r="B312" s="1994"/>
      <c r="C312" s="1947"/>
      <c r="D312" s="51">
        <v>2016</v>
      </c>
      <c r="E312" s="8">
        <f t="shared" si="28"/>
        <v>9000</v>
      </c>
      <c r="F312" s="13">
        <v>9000</v>
      </c>
      <c r="G312" s="14">
        <v>0</v>
      </c>
      <c r="H312" s="14">
        <v>0</v>
      </c>
      <c r="I312" s="14">
        <v>0</v>
      </c>
      <c r="J312" s="1994"/>
      <c r="K312" s="1990"/>
    </row>
    <row r="313" spans="1:12" s="2" customFormat="1">
      <c r="A313" s="1951"/>
      <c r="B313" s="1994"/>
      <c r="C313" s="1947"/>
      <c r="D313" s="51">
        <v>2017</v>
      </c>
      <c r="E313" s="8">
        <f t="shared" si="28"/>
        <v>6000</v>
      </c>
      <c r="F313" s="13">
        <v>6000</v>
      </c>
      <c r="G313" s="14">
        <v>0</v>
      </c>
      <c r="H313" s="14">
        <v>0</v>
      </c>
      <c r="I313" s="14">
        <v>0</v>
      </c>
      <c r="J313" s="1994"/>
      <c r="K313" s="1990"/>
    </row>
    <row r="314" spans="1:12" s="2" customFormat="1">
      <c r="A314" s="1951"/>
      <c r="B314" s="1994"/>
      <c r="C314" s="1947"/>
      <c r="D314" s="322">
        <v>2018</v>
      </c>
      <c r="E314" s="8">
        <f t="shared" si="28"/>
        <v>6000</v>
      </c>
      <c r="F314" s="13">
        <v>6000</v>
      </c>
      <c r="G314" s="14">
        <v>0</v>
      </c>
      <c r="H314" s="14">
        <v>0</v>
      </c>
      <c r="I314" s="14">
        <v>0</v>
      </c>
      <c r="J314" s="1994"/>
      <c r="K314" s="1990"/>
    </row>
    <row r="315" spans="1:12" s="2" customFormat="1">
      <c r="A315" s="1951"/>
      <c r="B315" s="1994"/>
      <c r="C315" s="1947"/>
      <c r="D315" s="322">
        <v>2019</v>
      </c>
      <c r="E315" s="8">
        <f t="shared" si="28"/>
        <v>6000</v>
      </c>
      <c r="F315" s="13">
        <v>6000</v>
      </c>
      <c r="G315" s="14">
        <v>0</v>
      </c>
      <c r="H315" s="14">
        <v>0</v>
      </c>
      <c r="I315" s="14">
        <v>0</v>
      </c>
      <c r="J315" s="1994"/>
      <c r="K315" s="1990"/>
    </row>
    <row r="316" spans="1:12" s="2" customFormat="1" ht="15" customHeight="1">
      <c r="A316" s="1951"/>
      <c r="B316" s="1994"/>
      <c r="C316" s="1947"/>
      <c r="D316" s="322">
        <v>2020</v>
      </c>
      <c r="E316" s="8">
        <f>SUM(F316:I316)</f>
        <v>6000</v>
      </c>
      <c r="F316" s="13">
        <v>6000</v>
      </c>
      <c r="G316" s="14">
        <v>0</v>
      </c>
      <c r="H316" s="14">
        <v>0</v>
      </c>
      <c r="I316" s="14">
        <v>0</v>
      </c>
      <c r="J316" s="1994"/>
      <c r="K316" s="1990"/>
    </row>
    <row r="317" spans="1:12" ht="15" hidden="1" customHeight="1">
      <c r="A317" s="1951" t="s">
        <v>236</v>
      </c>
      <c r="B317" s="1994" t="s">
        <v>109</v>
      </c>
      <c r="C317" s="1951" t="s">
        <v>84</v>
      </c>
      <c r="D317" s="51" t="s">
        <v>8</v>
      </c>
      <c r="E317" s="8">
        <f t="shared" si="28"/>
        <v>37215.600000000006</v>
      </c>
      <c r="F317" s="8">
        <f>SUM(F318:F322)</f>
        <v>35354.800000000003</v>
      </c>
      <c r="G317" s="8">
        <f>SUM(G318:G322)</f>
        <v>0</v>
      </c>
      <c r="H317" s="8">
        <f>SUM(H318:H322)</f>
        <v>1860.8</v>
      </c>
      <c r="I317" s="8">
        <f>SUM(I318:I322)</f>
        <v>0</v>
      </c>
      <c r="J317" s="1990" t="s">
        <v>163</v>
      </c>
      <c r="K317" s="1991" t="s">
        <v>110</v>
      </c>
    </row>
    <row r="318" spans="1:12" hidden="1">
      <c r="A318" s="1951"/>
      <c r="B318" s="1994"/>
      <c r="C318" s="1951"/>
      <c r="D318" s="51">
        <v>2016</v>
      </c>
      <c r="E318" s="8">
        <f t="shared" si="28"/>
        <v>37215.600000000006</v>
      </c>
      <c r="F318" s="9">
        <v>35354.800000000003</v>
      </c>
      <c r="G318" s="15">
        <v>0</v>
      </c>
      <c r="H318" s="9">
        <v>1860.8</v>
      </c>
      <c r="I318" s="15">
        <v>0</v>
      </c>
      <c r="J318" s="1990"/>
      <c r="K318" s="1991"/>
    </row>
    <row r="319" spans="1:12" hidden="1">
      <c r="A319" s="1951"/>
      <c r="B319" s="1994"/>
      <c r="C319" s="1951"/>
      <c r="D319" s="51">
        <v>2017</v>
      </c>
      <c r="E319" s="8">
        <f t="shared" si="28"/>
        <v>0</v>
      </c>
      <c r="F319" s="15">
        <v>0</v>
      </c>
      <c r="G319" s="15">
        <v>0</v>
      </c>
      <c r="H319" s="15">
        <v>0</v>
      </c>
      <c r="I319" s="15">
        <v>0</v>
      </c>
      <c r="J319" s="1990"/>
      <c r="K319" s="1991"/>
    </row>
    <row r="320" spans="1:12" hidden="1">
      <c r="A320" s="1951"/>
      <c r="B320" s="1994"/>
      <c r="C320" s="1951"/>
      <c r="D320" s="322">
        <v>2018</v>
      </c>
      <c r="E320" s="8">
        <f t="shared" si="28"/>
        <v>0</v>
      </c>
      <c r="F320" s="15">
        <v>0</v>
      </c>
      <c r="G320" s="15">
        <v>0</v>
      </c>
      <c r="H320" s="15">
        <v>0</v>
      </c>
      <c r="I320" s="15">
        <v>0</v>
      </c>
      <c r="J320" s="1990"/>
      <c r="K320" s="1991"/>
    </row>
    <row r="321" spans="1:11" hidden="1">
      <c r="A321" s="1951"/>
      <c r="B321" s="1994"/>
      <c r="C321" s="1951"/>
      <c r="D321" s="322">
        <v>2019</v>
      </c>
      <c r="E321" s="8">
        <f t="shared" si="28"/>
        <v>0</v>
      </c>
      <c r="F321" s="9">
        <v>0</v>
      </c>
      <c r="G321" s="9">
        <v>0</v>
      </c>
      <c r="H321" s="9">
        <v>0</v>
      </c>
      <c r="I321" s="9">
        <v>0</v>
      </c>
      <c r="J321" s="1990"/>
      <c r="K321" s="1991"/>
    </row>
    <row r="322" spans="1:11" hidden="1">
      <c r="A322" s="1951"/>
      <c r="B322" s="1994"/>
      <c r="C322" s="1951"/>
      <c r="D322" s="322">
        <v>2020</v>
      </c>
      <c r="E322" s="8">
        <f>SUM(F322:I322)</f>
        <v>0</v>
      </c>
      <c r="F322" s="9">
        <v>0</v>
      </c>
      <c r="G322" s="9">
        <v>0</v>
      </c>
      <c r="H322" s="9">
        <v>0</v>
      </c>
      <c r="I322" s="9">
        <v>0</v>
      </c>
      <c r="J322" s="1990"/>
      <c r="K322" s="1991"/>
    </row>
    <row r="323" spans="1:11" ht="15" hidden="1" customHeight="1">
      <c r="A323" s="1951" t="s">
        <v>237</v>
      </c>
      <c r="B323" s="1994" t="s">
        <v>111</v>
      </c>
      <c r="C323" s="1951">
        <v>2016</v>
      </c>
      <c r="D323" s="51" t="s">
        <v>8</v>
      </c>
      <c r="E323" s="8">
        <f t="shared" si="28"/>
        <v>2392.1</v>
      </c>
      <c r="F323" s="8">
        <f>SUM(F324:F328)</f>
        <v>2272.5</v>
      </c>
      <c r="G323" s="8">
        <f>SUM(G324:G328)</f>
        <v>0</v>
      </c>
      <c r="H323" s="8">
        <f>SUM(H324:H328)</f>
        <v>119.6</v>
      </c>
      <c r="I323" s="8">
        <f>SUM(I324:I328)</f>
        <v>0</v>
      </c>
      <c r="J323" s="1990" t="s">
        <v>112</v>
      </c>
      <c r="K323" s="1991" t="s">
        <v>113</v>
      </c>
    </row>
    <row r="324" spans="1:11" hidden="1">
      <c r="A324" s="1951"/>
      <c r="B324" s="1994"/>
      <c r="C324" s="1951"/>
      <c r="D324" s="51">
        <v>2016</v>
      </c>
      <c r="E324" s="8">
        <f t="shared" si="28"/>
        <v>2392.1</v>
      </c>
      <c r="F324" s="9">
        <v>2272.5</v>
      </c>
      <c r="G324" s="9">
        <v>0</v>
      </c>
      <c r="H324" s="9">
        <v>119.6</v>
      </c>
      <c r="I324" s="9">
        <v>0</v>
      </c>
      <c r="J324" s="1990"/>
      <c r="K324" s="1991"/>
    </row>
    <row r="325" spans="1:11" hidden="1">
      <c r="A325" s="1951"/>
      <c r="B325" s="1994"/>
      <c r="C325" s="1951"/>
      <c r="D325" s="51">
        <v>2017</v>
      </c>
      <c r="E325" s="8">
        <f t="shared" si="28"/>
        <v>0</v>
      </c>
      <c r="F325" s="9">
        <v>0</v>
      </c>
      <c r="G325" s="9">
        <v>0</v>
      </c>
      <c r="H325" s="9">
        <v>0</v>
      </c>
      <c r="I325" s="9">
        <v>0</v>
      </c>
      <c r="J325" s="1990"/>
      <c r="K325" s="1991"/>
    </row>
    <row r="326" spans="1:11" hidden="1">
      <c r="A326" s="1951"/>
      <c r="B326" s="1994"/>
      <c r="C326" s="1951"/>
      <c r="D326" s="322">
        <v>2018</v>
      </c>
      <c r="E326" s="8">
        <f t="shared" si="28"/>
        <v>0</v>
      </c>
      <c r="F326" s="9">
        <v>0</v>
      </c>
      <c r="G326" s="9">
        <v>0</v>
      </c>
      <c r="H326" s="9">
        <v>0</v>
      </c>
      <c r="I326" s="9">
        <v>0</v>
      </c>
      <c r="J326" s="1990"/>
      <c r="K326" s="1991"/>
    </row>
    <row r="327" spans="1:11" hidden="1">
      <c r="A327" s="1951"/>
      <c r="B327" s="1994"/>
      <c r="C327" s="1951"/>
      <c r="D327" s="322">
        <v>2019</v>
      </c>
      <c r="E327" s="8">
        <f t="shared" si="28"/>
        <v>0</v>
      </c>
      <c r="F327" s="9">
        <v>0</v>
      </c>
      <c r="G327" s="9">
        <v>0</v>
      </c>
      <c r="H327" s="9">
        <v>0</v>
      </c>
      <c r="I327" s="9">
        <v>0</v>
      </c>
      <c r="J327" s="1990"/>
      <c r="K327" s="1991"/>
    </row>
    <row r="328" spans="1:11" hidden="1">
      <c r="A328" s="1951"/>
      <c r="B328" s="1994"/>
      <c r="C328" s="1951"/>
      <c r="D328" s="322">
        <v>2020</v>
      </c>
      <c r="E328" s="8">
        <f>SUM(F328:I328)</f>
        <v>0</v>
      </c>
      <c r="F328" s="9">
        <v>0</v>
      </c>
      <c r="G328" s="9">
        <v>0</v>
      </c>
      <c r="H328" s="9">
        <v>0</v>
      </c>
      <c r="I328" s="9">
        <v>0</v>
      </c>
      <c r="J328" s="1990"/>
      <c r="K328" s="1991"/>
    </row>
    <row r="329" spans="1:11" ht="15" hidden="1" customHeight="1">
      <c r="A329" s="1951" t="s">
        <v>238</v>
      </c>
      <c r="B329" s="1994" t="s">
        <v>114</v>
      </c>
      <c r="C329" s="1951">
        <v>2016</v>
      </c>
      <c r="D329" s="51" t="s">
        <v>8</v>
      </c>
      <c r="E329" s="8">
        <f t="shared" si="28"/>
        <v>2156.7000000000003</v>
      </c>
      <c r="F329" s="8">
        <f>SUM(F330:F334)</f>
        <v>2048.9</v>
      </c>
      <c r="G329" s="8">
        <f>SUM(G330:G334)</f>
        <v>0</v>
      </c>
      <c r="H329" s="8">
        <f>SUM(H330:H334)</f>
        <v>107.8</v>
      </c>
      <c r="I329" s="8">
        <f>SUM(I330:I334)</f>
        <v>0</v>
      </c>
      <c r="J329" s="1990" t="s">
        <v>115</v>
      </c>
      <c r="K329" s="1991" t="s">
        <v>113</v>
      </c>
    </row>
    <row r="330" spans="1:11" hidden="1">
      <c r="A330" s="1951"/>
      <c r="B330" s="1994"/>
      <c r="C330" s="1951"/>
      <c r="D330" s="51">
        <v>2016</v>
      </c>
      <c r="E330" s="8">
        <f t="shared" si="28"/>
        <v>2156.7000000000003</v>
      </c>
      <c r="F330" s="9">
        <v>2048.9</v>
      </c>
      <c r="G330" s="9">
        <v>0</v>
      </c>
      <c r="H330" s="9">
        <v>107.8</v>
      </c>
      <c r="I330" s="9">
        <v>0</v>
      </c>
      <c r="J330" s="1990"/>
      <c r="K330" s="1991"/>
    </row>
    <row r="331" spans="1:11" hidden="1">
      <c r="A331" s="1951"/>
      <c r="B331" s="1994"/>
      <c r="C331" s="1951"/>
      <c r="D331" s="51">
        <v>2017</v>
      </c>
      <c r="E331" s="8">
        <f t="shared" si="28"/>
        <v>0</v>
      </c>
      <c r="F331" s="9">
        <v>0</v>
      </c>
      <c r="G331" s="9">
        <v>0</v>
      </c>
      <c r="H331" s="9">
        <v>0</v>
      </c>
      <c r="I331" s="9">
        <v>0</v>
      </c>
      <c r="J331" s="1990"/>
      <c r="K331" s="1991"/>
    </row>
    <row r="332" spans="1:11" hidden="1">
      <c r="A332" s="1951"/>
      <c r="B332" s="1994"/>
      <c r="C332" s="1951"/>
      <c r="D332" s="322">
        <v>2018</v>
      </c>
      <c r="E332" s="8">
        <f t="shared" si="28"/>
        <v>0</v>
      </c>
      <c r="F332" s="9">
        <v>0</v>
      </c>
      <c r="G332" s="9">
        <v>0</v>
      </c>
      <c r="H332" s="9">
        <v>0</v>
      </c>
      <c r="I332" s="9">
        <v>0</v>
      </c>
      <c r="J332" s="1990"/>
      <c r="K332" s="1991"/>
    </row>
    <row r="333" spans="1:11" hidden="1">
      <c r="A333" s="1951"/>
      <c r="B333" s="1994"/>
      <c r="C333" s="1951"/>
      <c r="D333" s="322">
        <v>2019</v>
      </c>
      <c r="E333" s="8">
        <f t="shared" si="28"/>
        <v>0</v>
      </c>
      <c r="F333" s="9">
        <v>0</v>
      </c>
      <c r="G333" s="9">
        <v>0</v>
      </c>
      <c r="H333" s="9">
        <v>0</v>
      </c>
      <c r="I333" s="9">
        <v>0</v>
      </c>
      <c r="J333" s="1990"/>
      <c r="K333" s="1991"/>
    </row>
    <row r="334" spans="1:11" hidden="1">
      <c r="A334" s="1951"/>
      <c r="B334" s="1994"/>
      <c r="C334" s="1951"/>
      <c r="D334" s="322">
        <v>2020</v>
      </c>
      <c r="E334" s="8">
        <f>SUM(F334:I334)</f>
        <v>0</v>
      </c>
      <c r="F334" s="9">
        <v>0</v>
      </c>
      <c r="G334" s="9">
        <v>0</v>
      </c>
      <c r="H334" s="9">
        <v>0</v>
      </c>
      <c r="I334" s="9">
        <v>0</v>
      </c>
      <c r="J334" s="1990"/>
      <c r="K334" s="1991"/>
    </row>
    <row r="335" spans="1:11" ht="16.5" hidden="1" customHeight="1">
      <c r="A335" s="1951" t="s">
        <v>239</v>
      </c>
      <c r="B335" s="1994" t="s">
        <v>116</v>
      </c>
      <c r="C335" s="1951">
        <v>2016</v>
      </c>
      <c r="D335" s="51" t="s">
        <v>8</v>
      </c>
      <c r="E335" s="8">
        <f t="shared" si="28"/>
        <v>5977.5</v>
      </c>
      <c r="F335" s="8">
        <f>SUM(F336:F340)</f>
        <v>5678.6</v>
      </c>
      <c r="G335" s="8">
        <f>SUM(G336:G340)</f>
        <v>0</v>
      </c>
      <c r="H335" s="8">
        <f>SUM(H336:H340)</f>
        <v>298.89999999999998</v>
      </c>
      <c r="I335" s="8">
        <f>SUM(I336:I340)</f>
        <v>0</v>
      </c>
      <c r="J335" s="1990" t="s">
        <v>117</v>
      </c>
      <c r="K335" s="1991" t="s">
        <v>113</v>
      </c>
    </row>
    <row r="336" spans="1:11" ht="16.5" hidden="1" customHeight="1">
      <c r="A336" s="1951"/>
      <c r="B336" s="1994"/>
      <c r="C336" s="1951"/>
      <c r="D336" s="51">
        <v>2016</v>
      </c>
      <c r="E336" s="8">
        <f t="shared" si="28"/>
        <v>5977.5</v>
      </c>
      <c r="F336" s="9">
        <v>5678.6</v>
      </c>
      <c r="G336" s="9">
        <v>0</v>
      </c>
      <c r="H336" s="9">
        <v>298.89999999999998</v>
      </c>
      <c r="I336" s="9">
        <v>0</v>
      </c>
      <c r="J336" s="1990"/>
      <c r="K336" s="1991"/>
    </row>
    <row r="337" spans="1:11" ht="16.5" hidden="1" customHeight="1">
      <c r="A337" s="1951"/>
      <c r="B337" s="1994"/>
      <c r="C337" s="1951"/>
      <c r="D337" s="51">
        <v>2017</v>
      </c>
      <c r="E337" s="8">
        <f t="shared" si="28"/>
        <v>0</v>
      </c>
      <c r="F337" s="9">
        <v>0</v>
      </c>
      <c r="G337" s="9">
        <v>0</v>
      </c>
      <c r="H337" s="9">
        <v>0</v>
      </c>
      <c r="I337" s="9">
        <v>0</v>
      </c>
      <c r="J337" s="1990"/>
      <c r="K337" s="1991"/>
    </row>
    <row r="338" spans="1:11" ht="16.5" hidden="1" customHeight="1">
      <c r="A338" s="1951"/>
      <c r="B338" s="1994"/>
      <c r="C338" s="1951"/>
      <c r="D338" s="322">
        <v>2018</v>
      </c>
      <c r="E338" s="8">
        <f t="shared" si="28"/>
        <v>0</v>
      </c>
      <c r="F338" s="9">
        <v>0</v>
      </c>
      <c r="G338" s="9">
        <v>0</v>
      </c>
      <c r="H338" s="9">
        <v>0</v>
      </c>
      <c r="I338" s="9">
        <v>0</v>
      </c>
      <c r="J338" s="1990"/>
      <c r="K338" s="1991"/>
    </row>
    <row r="339" spans="1:11" ht="16.5" hidden="1" customHeight="1">
      <c r="A339" s="1951"/>
      <c r="B339" s="1994"/>
      <c r="C339" s="1951"/>
      <c r="D339" s="322">
        <v>2019</v>
      </c>
      <c r="E339" s="8">
        <f t="shared" si="28"/>
        <v>0</v>
      </c>
      <c r="F339" s="9">
        <v>0</v>
      </c>
      <c r="G339" s="9">
        <v>0</v>
      </c>
      <c r="H339" s="9">
        <v>0</v>
      </c>
      <c r="I339" s="9">
        <v>0</v>
      </c>
      <c r="J339" s="1990"/>
      <c r="K339" s="1991"/>
    </row>
    <row r="340" spans="1:11" ht="16.5" hidden="1" customHeight="1">
      <c r="A340" s="1951"/>
      <c r="B340" s="1994"/>
      <c r="C340" s="1951"/>
      <c r="D340" s="322">
        <v>2020</v>
      </c>
      <c r="E340" s="8">
        <f>SUM(F340:I340)</f>
        <v>0</v>
      </c>
      <c r="F340" s="9">
        <v>0</v>
      </c>
      <c r="G340" s="9">
        <v>0</v>
      </c>
      <c r="H340" s="9">
        <v>0</v>
      </c>
      <c r="I340" s="9">
        <v>0</v>
      </c>
      <c r="J340" s="1990"/>
      <c r="K340" s="1991"/>
    </row>
    <row r="341" spans="1:11" ht="12.75" hidden="1" customHeight="1">
      <c r="A341" s="1951" t="s">
        <v>240</v>
      </c>
      <c r="B341" s="1994" t="s">
        <v>118</v>
      </c>
      <c r="C341" s="1951">
        <v>2016</v>
      </c>
      <c r="D341" s="51" t="s">
        <v>8</v>
      </c>
      <c r="E341" s="8">
        <f t="shared" ref="E341:E351" si="29">SUM(F341:I341)</f>
        <v>13114.6</v>
      </c>
      <c r="F341" s="8">
        <f>SUM(F342:F346)</f>
        <v>12452.5</v>
      </c>
      <c r="G341" s="8">
        <f>SUM(G342:G346)</f>
        <v>0</v>
      </c>
      <c r="H341" s="8">
        <f>SUM(H342:H346)</f>
        <v>662.1</v>
      </c>
      <c r="I341" s="8">
        <f>SUM(I342:I346)</f>
        <v>0</v>
      </c>
      <c r="J341" s="1990" t="s">
        <v>119</v>
      </c>
      <c r="K341" s="1991" t="s">
        <v>90</v>
      </c>
    </row>
    <row r="342" spans="1:11" hidden="1">
      <c r="A342" s="1951"/>
      <c r="B342" s="1994"/>
      <c r="C342" s="1951"/>
      <c r="D342" s="51">
        <v>2016</v>
      </c>
      <c r="E342" s="8">
        <f t="shared" si="29"/>
        <v>13114.6</v>
      </c>
      <c r="F342" s="9">
        <v>12452.5</v>
      </c>
      <c r="G342" s="9">
        <v>0</v>
      </c>
      <c r="H342" s="9">
        <v>662.1</v>
      </c>
      <c r="I342" s="9">
        <v>0</v>
      </c>
      <c r="J342" s="1990"/>
      <c r="K342" s="1991"/>
    </row>
    <row r="343" spans="1:11" hidden="1">
      <c r="A343" s="1951"/>
      <c r="B343" s="1994"/>
      <c r="C343" s="1951"/>
      <c r="D343" s="51">
        <v>2017</v>
      </c>
      <c r="E343" s="8">
        <f t="shared" si="29"/>
        <v>0</v>
      </c>
      <c r="F343" s="9">
        <v>0</v>
      </c>
      <c r="G343" s="9">
        <v>0</v>
      </c>
      <c r="H343" s="9">
        <v>0</v>
      </c>
      <c r="I343" s="9">
        <v>0</v>
      </c>
      <c r="J343" s="1990"/>
      <c r="K343" s="1991"/>
    </row>
    <row r="344" spans="1:11" hidden="1">
      <c r="A344" s="1951"/>
      <c r="B344" s="1994"/>
      <c r="C344" s="1951"/>
      <c r="D344" s="322">
        <v>2018</v>
      </c>
      <c r="E344" s="8">
        <f t="shared" si="29"/>
        <v>0</v>
      </c>
      <c r="F344" s="9">
        <v>0</v>
      </c>
      <c r="G344" s="9">
        <v>0</v>
      </c>
      <c r="H344" s="9">
        <v>0</v>
      </c>
      <c r="I344" s="9">
        <v>0</v>
      </c>
      <c r="J344" s="1990"/>
      <c r="K344" s="1991"/>
    </row>
    <row r="345" spans="1:11" hidden="1">
      <c r="A345" s="1951"/>
      <c r="B345" s="1994"/>
      <c r="C345" s="1951"/>
      <c r="D345" s="322">
        <v>2019</v>
      </c>
      <c r="E345" s="8">
        <f t="shared" si="29"/>
        <v>0</v>
      </c>
      <c r="F345" s="9">
        <v>0</v>
      </c>
      <c r="G345" s="9">
        <v>0</v>
      </c>
      <c r="H345" s="9">
        <v>0</v>
      </c>
      <c r="I345" s="9">
        <v>0</v>
      </c>
      <c r="J345" s="1990"/>
      <c r="K345" s="1991"/>
    </row>
    <row r="346" spans="1:11" hidden="1">
      <c r="A346" s="1951"/>
      <c r="B346" s="1994"/>
      <c r="C346" s="1951"/>
      <c r="D346" s="322">
        <v>2020</v>
      </c>
      <c r="E346" s="8">
        <f>SUM(F346:I346)</f>
        <v>0</v>
      </c>
      <c r="F346" s="9">
        <v>0</v>
      </c>
      <c r="G346" s="9">
        <v>0</v>
      </c>
      <c r="H346" s="9">
        <v>0</v>
      </c>
      <c r="I346" s="9">
        <v>0</v>
      </c>
      <c r="J346" s="1990"/>
      <c r="K346" s="1991"/>
    </row>
    <row r="347" spans="1:11" ht="15" hidden="1" customHeight="1">
      <c r="A347" s="1951" t="s">
        <v>241</v>
      </c>
      <c r="B347" s="1994" t="s">
        <v>120</v>
      </c>
      <c r="C347" s="1951" t="s">
        <v>30</v>
      </c>
      <c r="D347" s="51" t="s">
        <v>8</v>
      </c>
      <c r="E347" s="8">
        <f t="shared" si="29"/>
        <v>23223</v>
      </c>
      <c r="F347" s="8">
        <f>SUM(F348:F352)</f>
        <v>0</v>
      </c>
      <c r="G347" s="8">
        <f>SUM(G348:G352)</f>
        <v>22623</v>
      </c>
      <c r="H347" s="8">
        <f>SUM(H348:H352)</f>
        <v>600</v>
      </c>
      <c r="I347" s="8">
        <f>SUM(I348:I352)</f>
        <v>0</v>
      </c>
      <c r="J347" s="1990" t="s">
        <v>121</v>
      </c>
      <c r="K347" s="1991" t="s">
        <v>113</v>
      </c>
    </row>
    <row r="348" spans="1:11" hidden="1">
      <c r="A348" s="1951"/>
      <c r="B348" s="1994"/>
      <c r="C348" s="1951"/>
      <c r="D348" s="51">
        <v>2016</v>
      </c>
      <c r="E348" s="8">
        <f t="shared" si="29"/>
        <v>11957.5</v>
      </c>
      <c r="F348" s="9">
        <v>0</v>
      </c>
      <c r="G348" s="9">
        <v>11357.5</v>
      </c>
      <c r="H348" s="9">
        <v>600</v>
      </c>
      <c r="I348" s="9">
        <v>0</v>
      </c>
      <c r="J348" s="1990"/>
      <c r="K348" s="1991"/>
    </row>
    <row r="349" spans="1:11" hidden="1">
      <c r="A349" s="1951"/>
      <c r="B349" s="1994"/>
      <c r="C349" s="1951"/>
      <c r="D349" s="51">
        <v>2017</v>
      </c>
      <c r="E349" s="8">
        <f t="shared" si="29"/>
        <v>11265.5</v>
      </c>
      <c r="F349" s="9">
        <v>0</v>
      </c>
      <c r="G349" s="9">
        <v>11265.5</v>
      </c>
      <c r="H349" s="9">
        <v>0</v>
      </c>
      <c r="I349" s="9">
        <v>0</v>
      </c>
      <c r="J349" s="1990"/>
      <c r="K349" s="1991"/>
    </row>
    <row r="350" spans="1:11" hidden="1">
      <c r="A350" s="1951"/>
      <c r="B350" s="1994"/>
      <c r="C350" s="1951"/>
      <c r="D350" s="322">
        <v>2018</v>
      </c>
      <c r="E350" s="8">
        <f t="shared" si="29"/>
        <v>0</v>
      </c>
      <c r="F350" s="9">
        <v>0</v>
      </c>
      <c r="G350" s="9">
        <v>0</v>
      </c>
      <c r="H350" s="9">
        <v>0</v>
      </c>
      <c r="I350" s="9">
        <v>0</v>
      </c>
      <c r="J350" s="1990"/>
      <c r="K350" s="1991"/>
    </row>
    <row r="351" spans="1:11" hidden="1">
      <c r="A351" s="1951"/>
      <c r="B351" s="1994"/>
      <c r="C351" s="1951"/>
      <c r="D351" s="322">
        <v>2019</v>
      </c>
      <c r="E351" s="8">
        <f t="shared" si="29"/>
        <v>0</v>
      </c>
      <c r="F351" s="9">
        <v>0</v>
      </c>
      <c r="G351" s="9">
        <v>0</v>
      </c>
      <c r="H351" s="9">
        <v>0</v>
      </c>
      <c r="I351" s="9">
        <v>0</v>
      </c>
      <c r="J351" s="1990"/>
      <c r="K351" s="1991"/>
    </row>
    <row r="352" spans="1:11" hidden="1">
      <c r="A352" s="1951"/>
      <c r="B352" s="1994"/>
      <c r="C352" s="1951"/>
      <c r="D352" s="322">
        <v>2020</v>
      </c>
      <c r="E352" s="8">
        <f>SUM(F352:I352)</f>
        <v>0</v>
      </c>
      <c r="F352" s="9">
        <v>0</v>
      </c>
      <c r="G352" s="9">
        <v>0</v>
      </c>
      <c r="H352" s="9">
        <v>0</v>
      </c>
      <c r="I352" s="9">
        <v>0</v>
      </c>
      <c r="J352" s="1990"/>
      <c r="K352" s="1991"/>
    </row>
    <row r="353" spans="1:11" ht="15" hidden="1" customHeight="1">
      <c r="A353" s="1951" t="s">
        <v>242</v>
      </c>
      <c r="B353" s="1994" t="s">
        <v>122</v>
      </c>
      <c r="C353" s="1951">
        <v>2016</v>
      </c>
      <c r="D353" s="51" t="s">
        <v>8</v>
      </c>
      <c r="E353" s="8">
        <f t="shared" ref="E353:E416" si="30">SUM(F353:I353)</f>
        <v>6327</v>
      </c>
      <c r="F353" s="8">
        <f>SUM(F354:F358)</f>
        <v>6327</v>
      </c>
      <c r="G353" s="8">
        <f>SUM(G354:G358)</f>
        <v>0</v>
      </c>
      <c r="H353" s="8">
        <f>SUM(H354:H358)</f>
        <v>0</v>
      </c>
      <c r="I353" s="8">
        <f>SUM(I354:I358)</f>
        <v>0</v>
      </c>
      <c r="J353" s="1990" t="s">
        <v>123</v>
      </c>
      <c r="K353" s="1991" t="s">
        <v>23</v>
      </c>
    </row>
    <row r="354" spans="1:11" hidden="1">
      <c r="A354" s="1951"/>
      <c r="B354" s="1994"/>
      <c r="C354" s="1951"/>
      <c r="D354" s="51">
        <v>2016</v>
      </c>
      <c r="E354" s="8">
        <f t="shared" si="30"/>
        <v>6327</v>
      </c>
      <c r="F354" s="9">
        <v>6327</v>
      </c>
      <c r="G354" s="9">
        <v>0</v>
      </c>
      <c r="H354" s="9">
        <v>0</v>
      </c>
      <c r="I354" s="9">
        <v>0</v>
      </c>
      <c r="J354" s="1990"/>
      <c r="K354" s="1991"/>
    </row>
    <row r="355" spans="1:11" hidden="1">
      <c r="A355" s="1951"/>
      <c r="B355" s="1994"/>
      <c r="C355" s="1951"/>
      <c r="D355" s="51">
        <v>2017</v>
      </c>
      <c r="E355" s="8">
        <f t="shared" si="30"/>
        <v>0</v>
      </c>
      <c r="F355" s="9">
        <v>0</v>
      </c>
      <c r="G355" s="9">
        <v>0</v>
      </c>
      <c r="H355" s="9">
        <v>0</v>
      </c>
      <c r="I355" s="9">
        <v>0</v>
      </c>
      <c r="J355" s="1990"/>
      <c r="K355" s="1991"/>
    </row>
    <row r="356" spans="1:11" hidden="1">
      <c r="A356" s="1951"/>
      <c r="B356" s="1994"/>
      <c r="C356" s="1951"/>
      <c r="D356" s="322">
        <v>2018</v>
      </c>
      <c r="E356" s="8">
        <f t="shared" si="30"/>
        <v>0</v>
      </c>
      <c r="F356" s="9">
        <v>0</v>
      </c>
      <c r="G356" s="9">
        <v>0</v>
      </c>
      <c r="H356" s="9">
        <v>0</v>
      </c>
      <c r="I356" s="9">
        <v>0</v>
      </c>
      <c r="J356" s="1990"/>
      <c r="K356" s="1991"/>
    </row>
    <row r="357" spans="1:11" hidden="1">
      <c r="A357" s="1951"/>
      <c r="B357" s="1994"/>
      <c r="C357" s="1951"/>
      <c r="D357" s="322">
        <v>2019</v>
      </c>
      <c r="E357" s="8">
        <f>SUM(F357:I357)</f>
        <v>0</v>
      </c>
      <c r="F357" s="9">
        <v>0</v>
      </c>
      <c r="G357" s="9">
        <v>0</v>
      </c>
      <c r="H357" s="9">
        <v>0</v>
      </c>
      <c r="I357" s="9">
        <v>0</v>
      </c>
      <c r="J357" s="1990"/>
      <c r="K357" s="1991"/>
    </row>
    <row r="358" spans="1:11" hidden="1">
      <c r="A358" s="1951"/>
      <c r="B358" s="1994"/>
      <c r="C358" s="1951"/>
      <c r="D358" s="322">
        <v>2020</v>
      </c>
      <c r="E358" s="8">
        <f>SUM(F358:I358)</f>
        <v>0</v>
      </c>
      <c r="F358" s="9">
        <v>0</v>
      </c>
      <c r="G358" s="9">
        <v>0</v>
      </c>
      <c r="H358" s="9">
        <v>0</v>
      </c>
      <c r="I358" s="9">
        <v>0</v>
      </c>
      <c r="J358" s="1990"/>
      <c r="K358" s="1991"/>
    </row>
    <row r="359" spans="1:11" ht="15" hidden="1" customHeight="1">
      <c r="A359" s="1951" t="s">
        <v>243</v>
      </c>
      <c r="B359" s="1994" t="s">
        <v>124</v>
      </c>
      <c r="C359" s="1951">
        <v>2016</v>
      </c>
      <c r="D359" s="51" t="s">
        <v>8</v>
      </c>
      <c r="E359" s="8">
        <f t="shared" si="30"/>
        <v>600</v>
      </c>
      <c r="F359" s="8">
        <f>SUM(F360:F364)</f>
        <v>600</v>
      </c>
      <c r="G359" s="8">
        <f>SUM(G360:G364)</f>
        <v>0</v>
      </c>
      <c r="H359" s="8">
        <f>SUM(H360:H364)</f>
        <v>0</v>
      </c>
      <c r="I359" s="8">
        <f>SUM(I360:I364)</f>
        <v>0</v>
      </c>
      <c r="J359" s="1990" t="s">
        <v>125</v>
      </c>
      <c r="K359" s="1991" t="s">
        <v>23</v>
      </c>
    </row>
    <row r="360" spans="1:11" hidden="1">
      <c r="A360" s="1951"/>
      <c r="B360" s="1994"/>
      <c r="C360" s="1951"/>
      <c r="D360" s="51">
        <v>2016</v>
      </c>
      <c r="E360" s="8">
        <f t="shared" si="30"/>
        <v>600</v>
      </c>
      <c r="F360" s="9">
        <v>600</v>
      </c>
      <c r="G360" s="9">
        <v>0</v>
      </c>
      <c r="H360" s="9">
        <v>0</v>
      </c>
      <c r="I360" s="9">
        <v>0</v>
      </c>
      <c r="J360" s="1990"/>
      <c r="K360" s="1991"/>
    </row>
    <row r="361" spans="1:11" hidden="1">
      <c r="A361" s="1951"/>
      <c r="B361" s="1994"/>
      <c r="C361" s="1951"/>
      <c r="D361" s="51">
        <v>2017</v>
      </c>
      <c r="E361" s="8">
        <f t="shared" si="30"/>
        <v>0</v>
      </c>
      <c r="F361" s="9">
        <v>0</v>
      </c>
      <c r="G361" s="9">
        <v>0</v>
      </c>
      <c r="H361" s="9">
        <v>0</v>
      </c>
      <c r="I361" s="9">
        <v>0</v>
      </c>
      <c r="J361" s="1990"/>
      <c r="K361" s="1991"/>
    </row>
    <row r="362" spans="1:11" hidden="1">
      <c r="A362" s="1951"/>
      <c r="B362" s="1994"/>
      <c r="C362" s="1951"/>
      <c r="D362" s="322">
        <v>2018</v>
      </c>
      <c r="E362" s="8">
        <f t="shared" si="30"/>
        <v>0</v>
      </c>
      <c r="F362" s="9">
        <v>0</v>
      </c>
      <c r="G362" s="9">
        <v>0</v>
      </c>
      <c r="H362" s="9">
        <v>0</v>
      </c>
      <c r="I362" s="9">
        <v>0</v>
      </c>
      <c r="J362" s="1990"/>
      <c r="K362" s="1991"/>
    </row>
    <row r="363" spans="1:11" hidden="1">
      <c r="A363" s="1951"/>
      <c r="B363" s="1994"/>
      <c r="C363" s="1951"/>
      <c r="D363" s="322">
        <v>2019</v>
      </c>
      <c r="E363" s="8">
        <f t="shared" si="30"/>
        <v>0</v>
      </c>
      <c r="F363" s="9">
        <v>0</v>
      </c>
      <c r="G363" s="9">
        <v>0</v>
      </c>
      <c r="H363" s="9">
        <v>0</v>
      </c>
      <c r="I363" s="9">
        <v>0</v>
      </c>
      <c r="J363" s="1990"/>
      <c r="K363" s="1991"/>
    </row>
    <row r="364" spans="1:11" hidden="1">
      <c r="A364" s="1951"/>
      <c r="B364" s="1994"/>
      <c r="C364" s="1951"/>
      <c r="D364" s="322">
        <v>2020</v>
      </c>
      <c r="E364" s="8">
        <f t="shared" si="30"/>
        <v>0</v>
      </c>
      <c r="F364" s="9">
        <v>0</v>
      </c>
      <c r="G364" s="9">
        <v>0</v>
      </c>
      <c r="H364" s="9">
        <v>0</v>
      </c>
      <c r="I364" s="9">
        <v>0</v>
      </c>
      <c r="J364" s="1990"/>
      <c r="K364" s="1991"/>
    </row>
    <row r="365" spans="1:11" ht="15" hidden="1" customHeight="1">
      <c r="A365" s="1951" t="s">
        <v>244</v>
      </c>
      <c r="B365" s="1994" t="s">
        <v>126</v>
      </c>
      <c r="C365" s="1951">
        <v>2017</v>
      </c>
      <c r="D365" s="51" t="s">
        <v>8</v>
      </c>
      <c r="E365" s="8">
        <f t="shared" si="30"/>
        <v>9490.9</v>
      </c>
      <c r="F365" s="8">
        <f>SUM(F366:F370)</f>
        <v>8990.9</v>
      </c>
      <c r="G365" s="8">
        <f>SUM(G366:G370)</f>
        <v>0</v>
      </c>
      <c r="H365" s="8">
        <f>SUM(H366:H370)</f>
        <v>500</v>
      </c>
      <c r="I365" s="8">
        <f>SUM(I366:I370)</f>
        <v>0</v>
      </c>
      <c r="J365" s="1990" t="s">
        <v>127</v>
      </c>
      <c r="K365" s="1991" t="s">
        <v>128</v>
      </c>
    </row>
    <row r="366" spans="1:11" hidden="1">
      <c r="A366" s="1951"/>
      <c r="B366" s="1994"/>
      <c r="C366" s="1951"/>
      <c r="D366" s="51">
        <v>2016</v>
      </c>
      <c r="E366" s="8">
        <f t="shared" si="30"/>
        <v>0</v>
      </c>
      <c r="F366" s="9">
        <v>0</v>
      </c>
      <c r="G366" s="9">
        <v>0</v>
      </c>
      <c r="H366" s="9">
        <v>0</v>
      </c>
      <c r="I366" s="9">
        <v>0</v>
      </c>
      <c r="J366" s="1990"/>
      <c r="K366" s="1991"/>
    </row>
    <row r="367" spans="1:11" hidden="1">
      <c r="A367" s="1951"/>
      <c r="B367" s="1994"/>
      <c r="C367" s="1951"/>
      <c r="D367" s="51">
        <v>2017</v>
      </c>
      <c r="E367" s="8">
        <f t="shared" si="30"/>
        <v>9490.9</v>
      </c>
      <c r="F367" s="9">
        <v>8990.9</v>
      </c>
      <c r="G367" s="9">
        <v>0</v>
      </c>
      <c r="H367" s="9">
        <v>500</v>
      </c>
      <c r="I367" s="9">
        <v>0</v>
      </c>
      <c r="J367" s="1990"/>
      <c r="K367" s="1991"/>
    </row>
    <row r="368" spans="1:11" hidden="1">
      <c r="A368" s="1951"/>
      <c r="B368" s="1994"/>
      <c r="C368" s="1951"/>
      <c r="D368" s="322">
        <v>2018</v>
      </c>
      <c r="E368" s="8">
        <f t="shared" si="30"/>
        <v>0</v>
      </c>
      <c r="F368" s="9">
        <v>0</v>
      </c>
      <c r="G368" s="9">
        <v>0</v>
      </c>
      <c r="H368" s="9">
        <v>0</v>
      </c>
      <c r="I368" s="9">
        <v>0</v>
      </c>
      <c r="J368" s="1990"/>
      <c r="K368" s="1991"/>
    </row>
    <row r="369" spans="1:11" hidden="1">
      <c r="A369" s="1951"/>
      <c r="B369" s="1994"/>
      <c r="C369" s="1951"/>
      <c r="D369" s="322">
        <v>2019</v>
      </c>
      <c r="E369" s="8">
        <f t="shared" si="30"/>
        <v>0</v>
      </c>
      <c r="F369" s="9">
        <v>0</v>
      </c>
      <c r="G369" s="9">
        <v>0</v>
      </c>
      <c r="H369" s="9">
        <v>0</v>
      </c>
      <c r="I369" s="9">
        <v>0</v>
      </c>
      <c r="J369" s="1990"/>
      <c r="K369" s="1991"/>
    </row>
    <row r="370" spans="1:11" hidden="1">
      <c r="A370" s="1951"/>
      <c r="B370" s="1994"/>
      <c r="C370" s="1951"/>
      <c r="D370" s="322">
        <v>2020</v>
      </c>
      <c r="E370" s="8">
        <f>SUM(F370:I370)</f>
        <v>0</v>
      </c>
      <c r="F370" s="9">
        <v>0</v>
      </c>
      <c r="G370" s="9">
        <v>0</v>
      </c>
      <c r="H370" s="9">
        <v>0</v>
      </c>
      <c r="I370" s="9">
        <v>0</v>
      </c>
      <c r="J370" s="1990"/>
      <c r="K370" s="1991"/>
    </row>
    <row r="371" spans="1:11" ht="15" hidden="1" customHeight="1">
      <c r="A371" s="1951" t="s">
        <v>245</v>
      </c>
      <c r="B371" s="1994" t="s">
        <v>246</v>
      </c>
      <c r="C371" s="1951">
        <v>2017</v>
      </c>
      <c r="D371" s="51" t="s">
        <v>8</v>
      </c>
      <c r="E371" s="8">
        <f t="shared" si="30"/>
        <v>2086.5</v>
      </c>
      <c r="F371" s="8">
        <f>SUM(F372:F376)</f>
        <v>1936.5</v>
      </c>
      <c r="G371" s="8">
        <f>SUM(G372:G376)</f>
        <v>0</v>
      </c>
      <c r="H371" s="8">
        <f>SUM(H372:H376)</f>
        <v>150</v>
      </c>
      <c r="I371" s="8">
        <f>SUM(I372:I376)</f>
        <v>0</v>
      </c>
      <c r="J371" s="1990" t="s">
        <v>247</v>
      </c>
      <c r="K371" s="1991" t="s">
        <v>113</v>
      </c>
    </row>
    <row r="372" spans="1:11" hidden="1">
      <c r="A372" s="1951"/>
      <c r="B372" s="1994"/>
      <c r="C372" s="1951"/>
      <c r="D372" s="51">
        <v>2016</v>
      </c>
      <c r="E372" s="8">
        <f t="shared" si="30"/>
        <v>0</v>
      </c>
      <c r="F372" s="9">
        <v>0</v>
      </c>
      <c r="G372" s="9">
        <v>0</v>
      </c>
      <c r="H372" s="9">
        <v>0</v>
      </c>
      <c r="I372" s="9">
        <v>0</v>
      </c>
      <c r="J372" s="1990"/>
      <c r="K372" s="1991"/>
    </row>
    <row r="373" spans="1:11" hidden="1">
      <c r="A373" s="1951"/>
      <c r="B373" s="1994"/>
      <c r="C373" s="1951"/>
      <c r="D373" s="51">
        <v>2017</v>
      </c>
      <c r="E373" s="8">
        <f t="shared" si="30"/>
        <v>2086.5</v>
      </c>
      <c r="F373" s="9">
        <v>1936.5</v>
      </c>
      <c r="G373" s="9">
        <v>0</v>
      </c>
      <c r="H373" s="9">
        <v>150</v>
      </c>
      <c r="I373" s="9">
        <v>0</v>
      </c>
      <c r="J373" s="1990"/>
      <c r="K373" s="1991"/>
    </row>
    <row r="374" spans="1:11" hidden="1">
      <c r="A374" s="1951"/>
      <c r="B374" s="1994"/>
      <c r="C374" s="1951"/>
      <c r="D374" s="322">
        <v>2018</v>
      </c>
      <c r="E374" s="8">
        <f t="shared" si="30"/>
        <v>0</v>
      </c>
      <c r="F374" s="9">
        <v>0</v>
      </c>
      <c r="G374" s="9">
        <v>0</v>
      </c>
      <c r="H374" s="9">
        <v>0</v>
      </c>
      <c r="I374" s="9">
        <v>0</v>
      </c>
      <c r="J374" s="1990"/>
      <c r="K374" s="1991"/>
    </row>
    <row r="375" spans="1:11" hidden="1">
      <c r="A375" s="1951"/>
      <c r="B375" s="1994"/>
      <c r="C375" s="1951"/>
      <c r="D375" s="322">
        <v>2019</v>
      </c>
      <c r="E375" s="8">
        <f t="shared" si="30"/>
        <v>0</v>
      </c>
      <c r="F375" s="9">
        <v>0</v>
      </c>
      <c r="G375" s="9">
        <v>0</v>
      </c>
      <c r="H375" s="9">
        <v>0</v>
      </c>
      <c r="I375" s="9">
        <v>0</v>
      </c>
      <c r="J375" s="1990"/>
      <c r="K375" s="1991"/>
    </row>
    <row r="376" spans="1:11" hidden="1">
      <c r="A376" s="1951"/>
      <c r="B376" s="1994"/>
      <c r="C376" s="1951"/>
      <c r="D376" s="322">
        <v>2020</v>
      </c>
      <c r="E376" s="8">
        <f>SUM(F376:I376)</f>
        <v>0</v>
      </c>
      <c r="F376" s="9">
        <v>0</v>
      </c>
      <c r="G376" s="9">
        <v>0</v>
      </c>
      <c r="H376" s="9">
        <v>0</v>
      </c>
      <c r="I376" s="9">
        <v>0</v>
      </c>
      <c r="J376" s="1990"/>
      <c r="K376" s="1991"/>
    </row>
    <row r="377" spans="1:11" ht="15" hidden="1" customHeight="1">
      <c r="A377" s="1951" t="s">
        <v>248</v>
      </c>
      <c r="B377" s="1994" t="s">
        <v>164</v>
      </c>
      <c r="C377" s="1951">
        <v>2017</v>
      </c>
      <c r="D377" s="51" t="s">
        <v>8</v>
      </c>
      <c r="E377" s="8">
        <f t="shared" si="30"/>
        <v>25409</v>
      </c>
      <c r="F377" s="8">
        <f>SUM(F378:F382)</f>
        <v>23838.2</v>
      </c>
      <c r="G377" s="8">
        <f>SUM(G378:G382)</f>
        <v>0</v>
      </c>
      <c r="H377" s="8">
        <f>SUM(H378:H382)</f>
        <v>1570.8</v>
      </c>
      <c r="I377" s="8">
        <f>SUM(I378:I382)</f>
        <v>0</v>
      </c>
      <c r="J377" s="1990" t="s">
        <v>165</v>
      </c>
      <c r="K377" s="1991" t="s">
        <v>113</v>
      </c>
    </row>
    <row r="378" spans="1:11" hidden="1">
      <c r="A378" s="1951"/>
      <c r="B378" s="1994"/>
      <c r="C378" s="1951"/>
      <c r="D378" s="51">
        <v>2016</v>
      </c>
      <c r="E378" s="8">
        <f t="shared" si="30"/>
        <v>0</v>
      </c>
      <c r="F378" s="9">
        <v>0</v>
      </c>
      <c r="G378" s="9">
        <v>0</v>
      </c>
      <c r="H378" s="9">
        <v>0</v>
      </c>
      <c r="I378" s="9">
        <v>0</v>
      </c>
      <c r="J378" s="1990"/>
      <c r="K378" s="1991"/>
    </row>
    <row r="379" spans="1:11" hidden="1">
      <c r="A379" s="1951"/>
      <c r="B379" s="1994"/>
      <c r="C379" s="1951"/>
      <c r="D379" s="51">
        <v>2017</v>
      </c>
      <c r="E379" s="8">
        <f t="shared" si="30"/>
        <v>25409</v>
      </c>
      <c r="F379" s="9">
        <v>23838.2</v>
      </c>
      <c r="G379" s="9">
        <v>0</v>
      </c>
      <c r="H379" s="9">
        <v>1570.8</v>
      </c>
      <c r="I379" s="9">
        <v>0</v>
      </c>
      <c r="J379" s="1990"/>
      <c r="K379" s="1991"/>
    </row>
    <row r="380" spans="1:11" hidden="1">
      <c r="A380" s="1951"/>
      <c r="B380" s="1994"/>
      <c r="C380" s="1951"/>
      <c r="D380" s="322">
        <v>2018</v>
      </c>
      <c r="E380" s="8">
        <f t="shared" si="30"/>
        <v>0</v>
      </c>
      <c r="F380" s="9">
        <v>0</v>
      </c>
      <c r="G380" s="9">
        <v>0</v>
      </c>
      <c r="H380" s="9">
        <v>0</v>
      </c>
      <c r="I380" s="9">
        <v>0</v>
      </c>
      <c r="J380" s="1990"/>
      <c r="K380" s="1991"/>
    </row>
    <row r="381" spans="1:11" hidden="1">
      <c r="A381" s="1951"/>
      <c r="B381" s="1994"/>
      <c r="C381" s="1951"/>
      <c r="D381" s="322">
        <v>2019</v>
      </c>
      <c r="E381" s="8">
        <f t="shared" si="30"/>
        <v>0</v>
      </c>
      <c r="F381" s="9">
        <v>0</v>
      </c>
      <c r="G381" s="9">
        <v>0</v>
      </c>
      <c r="H381" s="9">
        <v>0</v>
      </c>
      <c r="I381" s="9">
        <v>0</v>
      </c>
      <c r="J381" s="1990"/>
      <c r="K381" s="1991"/>
    </row>
    <row r="382" spans="1:11" hidden="1">
      <c r="A382" s="1951"/>
      <c r="B382" s="1994"/>
      <c r="C382" s="1951"/>
      <c r="D382" s="322">
        <v>2020</v>
      </c>
      <c r="E382" s="8">
        <f t="shared" si="30"/>
        <v>0</v>
      </c>
      <c r="F382" s="9">
        <v>0</v>
      </c>
      <c r="G382" s="9">
        <v>0</v>
      </c>
      <c r="H382" s="9">
        <v>0</v>
      </c>
      <c r="I382" s="9">
        <v>0</v>
      </c>
      <c r="J382" s="1990"/>
      <c r="K382" s="1991"/>
    </row>
    <row r="383" spans="1:11" ht="15" hidden="1" customHeight="1">
      <c r="A383" s="1951" t="s">
        <v>249</v>
      </c>
      <c r="B383" s="1994" t="s">
        <v>166</v>
      </c>
      <c r="C383" s="1951">
        <v>2017</v>
      </c>
      <c r="D383" s="51" t="s">
        <v>8</v>
      </c>
      <c r="E383" s="8">
        <f t="shared" si="30"/>
        <v>10000</v>
      </c>
      <c r="F383" s="8">
        <f>SUM(F384:F388)</f>
        <v>9500</v>
      </c>
      <c r="G383" s="8">
        <f>SUM(G384:G388)</f>
        <v>0</v>
      </c>
      <c r="H383" s="8">
        <f>SUM(H384:H388)</f>
        <v>500</v>
      </c>
      <c r="I383" s="8">
        <f>SUM(I384:I388)</f>
        <v>0</v>
      </c>
      <c r="J383" s="1990" t="s">
        <v>452</v>
      </c>
      <c r="K383" s="1991" t="s">
        <v>168</v>
      </c>
    </row>
    <row r="384" spans="1:11" hidden="1">
      <c r="A384" s="1951"/>
      <c r="B384" s="1994"/>
      <c r="C384" s="1951"/>
      <c r="D384" s="51">
        <v>2016</v>
      </c>
      <c r="E384" s="8">
        <f t="shared" si="30"/>
        <v>0</v>
      </c>
      <c r="F384" s="9">
        <v>0</v>
      </c>
      <c r="G384" s="9">
        <v>0</v>
      </c>
      <c r="H384" s="9">
        <v>0</v>
      </c>
      <c r="I384" s="9">
        <v>0</v>
      </c>
      <c r="J384" s="1990"/>
      <c r="K384" s="1991"/>
    </row>
    <row r="385" spans="1:11" hidden="1">
      <c r="A385" s="1951"/>
      <c r="B385" s="1994"/>
      <c r="C385" s="1951"/>
      <c r="D385" s="51">
        <v>2017</v>
      </c>
      <c r="E385" s="8">
        <f t="shared" si="30"/>
        <v>10000</v>
      </c>
      <c r="F385" s="9">
        <v>9500</v>
      </c>
      <c r="G385" s="9">
        <v>0</v>
      </c>
      <c r="H385" s="9">
        <v>500</v>
      </c>
      <c r="I385" s="9">
        <v>0</v>
      </c>
      <c r="J385" s="1990"/>
      <c r="K385" s="1991"/>
    </row>
    <row r="386" spans="1:11" hidden="1">
      <c r="A386" s="1951"/>
      <c r="B386" s="1994"/>
      <c r="C386" s="1951"/>
      <c r="D386" s="322">
        <v>2018</v>
      </c>
      <c r="E386" s="8">
        <f t="shared" si="30"/>
        <v>0</v>
      </c>
      <c r="F386" s="9">
        <v>0</v>
      </c>
      <c r="G386" s="9">
        <v>0</v>
      </c>
      <c r="H386" s="9">
        <v>0</v>
      </c>
      <c r="I386" s="9">
        <v>0</v>
      </c>
      <c r="J386" s="1990"/>
      <c r="K386" s="1991"/>
    </row>
    <row r="387" spans="1:11" hidden="1">
      <c r="A387" s="1951"/>
      <c r="B387" s="1994"/>
      <c r="C387" s="1951"/>
      <c r="D387" s="322">
        <v>2019</v>
      </c>
      <c r="E387" s="8">
        <f t="shared" si="30"/>
        <v>0</v>
      </c>
      <c r="F387" s="9">
        <v>0</v>
      </c>
      <c r="G387" s="9">
        <v>0</v>
      </c>
      <c r="H387" s="9">
        <v>0</v>
      </c>
      <c r="I387" s="9">
        <v>0</v>
      </c>
      <c r="J387" s="1990"/>
      <c r="K387" s="1991"/>
    </row>
    <row r="388" spans="1:11" hidden="1">
      <c r="A388" s="1951"/>
      <c r="B388" s="1994"/>
      <c r="C388" s="1951"/>
      <c r="D388" s="322">
        <v>2020</v>
      </c>
      <c r="E388" s="8">
        <f t="shared" si="30"/>
        <v>0</v>
      </c>
      <c r="F388" s="9">
        <v>0</v>
      </c>
      <c r="G388" s="9">
        <v>0</v>
      </c>
      <c r="H388" s="9">
        <v>0</v>
      </c>
      <c r="I388" s="9">
        <v>0</v>
      </c>
      <c r="J388" s="1990"/>
      <c r="K388" s="1991"/>
    </row>
    <row r="389" spans="1:11" s="2" customFormat="1" ht="15" hidden="1" customHeight="1">
      <c r="A389" s="1951" t="s">
        <v>250</v>
      </c>
      <c r="B389" s="1994" t="s">
        <v>251</v>
      </c>
      <c r="C389" s="1951">
        <v>2018</v>
      </c>
      <c r="D389" s="51" t="s">
        <v>8</v>
      </c>
      <c r="E389" s="8">
        <f t="shared" si="30"/>
        <v>3881.2999999999997</v>
      </c>
      <c r="F389" s="8">
        <f>SUM(F390:F394)</f>
        <v>3687.1</v>
      </c>
      <c r="G389" s="8">
        <f>SUM(G390:G394)</f>
        <v>0</v>
      </c>
      <c r="H389" s="8">
        <f>SUM(H390:H394)</f>
        <v>194.2</v>
      </c>
      <c r="I389" s="8">
        <f>SUM(I390:I394)</f>
        <v>0</v>
      </c>
      <c r="J389" s="1990" t="s">
        <v>252</v>
      </c>
      <c r="K389" s="1991" t="s">
        <v>113</v>
      </c>
    </row>
    <row r="390" spans="1:11" s="2" customFormat="1" hidden="1">
      <c r="A390" s="1951"/>
      <c r="B390" s="1994"/>
      <c r="C390" s="1951"/>
      <c r="D390" s="51">
        <v>2016</v>
      </c>
      <c r="E390" s="8">
        <f t="shared" si="30"/>
        <v>0</v>
      </c>
      <c r="F390" s="9">
        <v>0</v>
      </c>
      <c r="G390" s="9">
        <v>0</v>
      </c>
      <c r="H390" s="9">
        <v>0</v>
      </c>
      <c r="I390" s="9">
        <v>0</v>
      </c>
      <c r="J390" s="1990"/>
      <c r="K390" s="1991"/>
    </row>
    <row r="391" spans="1:11" s="2" customFormat="1" hidden="1">
      <c r="A391" s="1951"/>
      <c r="B391" s="1994"/>
      <c r="C391" s="1951"/>
      <c r="D391" s="51">
        <v>2017</v>
      </c>
      <c r="E391" s="8">
        <f t="shared" si="30"/>
        <v>0</v>
      </c>
      <c r="F391" s="9">
        <v>0</v>
      </c>
      <c r="G391" s="9">
        <v>0</v>
      </c>
      <c r="H391" s="9">
        <v>0</v>
      </c>
      <c r="I391" s="9">
        <v>0</v>
      </c>
      <c r="J391" s="1990"/>
      <c r="K391" s="1991"/>
    </row>
    <row r="392" spans="1:11" s="2" customFormat="1" hidden="1">
      <c r="A392" s="1951"/>
      <c r="B392" s="1994"/>
      <c r="C392" s="1951"/>
      <c r="D392" s="322">
        <v>2018</v>
      </c>
      <c r="E392" s="8">
        <f>SUM(F392:I392)</f>
        <v>3881.2999999999997</v>
      </c>
      <c r="F392" s="9">
        <v>3687.1</v>
      </c>
      <c r="G392" s="9">
        <v>0</v>
      </c>
      <c r="H392" s="9">
        <v>194.2</v>
      </c>
      <c r="I392" s="9">
        <v>0</v>
      </c>
      <c r="J392" s="1990"/>
      <c r="K392" s="1991"/>
    </row>
    <row r="393" spans="1:11" s="2" customFormat="1" hidden="1">
      <c r="A393" s="1951"/>
      <c r="B393" s="1994"/>
      <c r="C393" s="1951"/>
      <c r="D393" s="322">
        <v>2019</v>
      </c>
      <c r="E393" s="8">
        <f t="shared" si="30"/>
        <v>0</v>
      </c>
      <c r="F393" s="9">
        <v>0</v>
      </c>
      <c r="G393" s="9">
        <v>0</v>
      </c>
      <c r="H393" s="9">
        <v>0</v>
      </c>
      <c r="I393" s="9">
        <v>0</v>
      </c>
      <c r="J393" s="1990"/>
      <c r="K393" s="1991"/>
    </row>
    <row r="394" spans="1:11" s="2" customFormat="1" hidden="1">
      <c r="A394" s="1951"/>
      <c r="B394" s="1994"/>
      <c r="C394" s="1951"/>
      <c r="D394" s="322">
        <v>2020</v>
      </c>
      <c r="E394" s="8">
        <f t="shared" si="30"/>
        <v>0</v>
      </c>
      <c r="F394" s="9">
        <v>0</v>
      </c>
      <c r="G394" s="9">
        <v>0</v>
      </c>
      <c r="H394" s="9">
        <v>0</v>
      </c>
      <c r="I394" s="9">
        <v>0</v>
      </c>
      <c r="J394" s="1990"/>
      <c r="K394" s="1991"/>
    </row>
    <row r="395" spans="1:11" s="2" customFormat="1" ht="15" customHeight="1">
      <c r="A395" s="1951" t="s">
        <v>253</v>
      </c>
      <c r="B395" s="1994" t="s">
        <v>254</v>
      </c>
      <c r="C395" s="1951" t="s">
        <v>255</v>
      </c>
      <c r="D395" s="51" t="s">
        <v>8</v>
      </c>
      <c r="E395" s="8">
        <f t="shared" si="30"/>
        <v>72435.5</v>
      </c>
      <c r="F395" s="8">
        <f>SUM(F396:F400)</f>
        <v>68588.399999999994</v>
      </c>
      <c r="G395" s="8">
        <f>SUM(G396:G400)</f>
        <v>0</v>
      </c>
      <c r="H395" s="8">
        <f>SUM(H396:H400)</f>
        <v>3847.1</v>
      </c>
      <c r="I395" s="8">
        <f>SUM(I396:I400)</f>
        <v>0</v>
      </c>
      <c r="J395" s="1990" t="s">
        <v>309</v>
      </c>
      <c r="K395" s="1991" t="s">
        <v>168</v>
      </c>
    </row>
    <row r="396" spans="1:11" s="2" customFormat="1">
      <c r="A396" s="1951"/>
      <c r="B396" s="1994"/>
      <c r="C396" s="1951"/>
      <c r="D396" s="51">
        <v>2016</v>
      </c>
      <c r="E396" s="8">
        <f t="shared" si="30"/>
        <v>0</v>
      </c>
      <c r="F396" s="9">
        <v>0</v>
      </c>
      <c r="G396" s="9">
        <v>0</v>
      </c>
      <c r="H396" s="9">
        <v>0</v>
      </c>
      <c r="I396" s="9">
        <v>0</v>
      </c>
      <c r="J396" s="1990"/>
      <c r="K396" s="1991"/>
    </row>
    <row r="397" spans="1:11" s="2" customFormat="1">
      <c r="A397" s="1951"/>
      <c r="B397" s="1994"/>
      <c r="C397" s="1951"/>
      <c r="D397" s="51">
        <v>2017</v>
      </c>
      <c r="E397" s="8">
        <f t="shared" si="30"/>
        <v>0</v>
      </c>
      <c r="F397" s="9">
        <v>0</v>
      </c>
      <c r="G397" s="9">
        <v>0</v>
      </c>
      <c r="H397" s="9">
        <v>0</v>
      </c>
      <c r="I397" s="9">
        <v>0</v>
      </c>
      <c r="J397" s="1990"/>
      <c r="K397" s="1991"/>
    </row>
    <row r="398" spans="1:11" s="2" customFormat="1">
      <c r="A398" s="1951"/>
      <c r="B398" s="1994"/>
      <c r="C398" s="1951"/>
      <c r="D398" s="322">
        <v>2018</v>
      </c>
      <c r="E398" s="8">
        <f t="shared" si="30"/>
        <v>18773.5</v>
      </c>
      <c r="F398" s="9">
        <v>17609.5</v>
      </c>
      <c r="G398" s="9">
        <v>0</v>
      </c>
      <c r="H398" s="9">
        <v>1164</v>
      </c>
      <c r="I398" s="9">
        <v>0</v>
      </c>
      <c r="J398" s="1990"/>
      <c r="K398" s="1991"/>
    </row>
    <row r="399" spans="1:11" s="2" customFormat="1">
      <c r="A399" s="1951"/>
      <c r="B399" s="1994"/>
      <c r="C399" s="1951"/>
      <c r="D399" s="322">
        <v>2019</v>
      </c>
      <c r="E399" s="8">
        <f t="shared" si="30"/>
        <v>53662</v>
      </c>
      <c r="F399" s="9">
        <v>50978.9</v>
      </c>
      <c r="G399" s="9">
        <v>0</v>
      </c>
      <c r="H399" s="9">
        <v>2683.1</v>
      </c>
      <c r="I399" s="9">
        <v>0</v>
      </c>
      <c r="J399" s="1990"/>
      <c r="K399" s="1991"/>
    </row>
    <row r="400" spans="1:11" s="2" customFormat="1">
      <c r="A400" s="1951"/>
      <c r="B400" s="1994"/>
      <c r="C400" s="1951"/>
      <c r="D400" s="322">
        <v>2020</v>
      </c>
      <c r="E400" s="8">
        <f t="shared" si="30"/>
        <v>0</v>
      </c>
      <c r="F400" s="9">
        <v>0</v>
      </c>
      <c r="G400" s="9">
        <v>0</v>
      </c>
      <c r="H400" s="9">
        <v>0</v>
      </c>
      <c r="I400" s="9">
        <v>0</v>
      </c>
      <c r="J400" s="1990"/>
      <c r="K400" s="1991"/>
    </row>
    <row r="401" spans="1:11" s="2" customFormat="1" ht="15" hidden="1" customHeight="1">
      <c r="A401" s="1951" t="s">
        <v>257</v>
      </c>
      <c r="B401" s="1994" t="s">
        <v>258</v>
      </c>
      <c r="C401" s="1951">
        <v>2018</v>
      </c>
      <c r="D401" s="51" t="s">
        <v>8</v>
      </c>
      <c r="E401" s="8">
        <f t="shared" si="30"/>
        <v>11280.7</v>
      </c>
      <c r="F401" s="8">
        <f>SUM(F402:F406)</f>
        <v>10716.6</v>
      </c>
      <c r="G401" s="8">
        <f>SUM(G402:G406)</f>
        <v>0</v>
      </c>
      <c r="H401" s="8">
        <f>SUM(H402:H406)</f>
        <v>564.1</v>
      </c>
      <c r="I401" s="8">
        <f>SUM(I402:I406)</f>
        <v>0</v>
      </c>
      <c r="J401" s="1990" t="s">
        <v>259</v>
      </c>
      <c r="K401" s="1991" t="s">
        <v>168</v>
      </c>
    </row>
    <row r="402" spans="1:11" s="2" customFormat="1" hidden="1">
      <c r="A402" s="1951"/>
      <c r="B402" s="1994"/>
      <c r="C402" s="1951"/>
      <c r="D402" s="51">
        <v>2016</v>
      </c>
      <c r="E402" s="8">
        <f t="shared" si="30"/>
        <v>0</v>
      </c>
      <c r="F402" s="9">
        <v>0</v>
      </c>
      <c r="G402" s="9">
        <v>0</v>
      </c>
      <c r="H402" s="9">
        <v>0</v>
      </c>
      <c r="I402" s="9">
        <v>0</v>
      </c>
      <c r="J402" s="1990"/>
      <c r="K402" s="1991"/>
    </row>
    <row r="403" spans="1:11" s="2" customFormat="1" hidden="1">
      <c r="A403" s="1951"/>
      <c r="B403" s="1994"/>
      <c r="C403" s="1951"/>
      <c r="D403" s="51">
        <v>2017</v>
      </c>
      <c r="E403" s="8">
        <f t="shared" si="30"/>
        <v>0</v>
      </c>
      <c r="F403" s="9">
        <v>0</v>
      </c>
      <c r="G403" s="9">
        <v>0</v>
      </c>
      <c r="H403" s="9">
        <v>0</v>
      </c>
      <c r="I403" s="9">
        <v>0</v>
      </c>
      <c r="J403" s="1990"/>
      <c r="K403" s="1991"/>
    </row>
    <row r="404" spans="1:11" s="2" customFormat="1" hidden="1">
      <c r="A404" s="1951"/>
      <c r="B404" s="1994"/>
      <c r="C404" s="1951"/>
      <c r="D404" s="322">
        <v>2018</v>
      </c>
      <c r="E404" s="8">
        <f t="shared" si="30"/>
        <v>11280.7</v>
      </c>
      <c r="F404" s="9">
        <v>10716.6</v>
      </c>
      <c r="G404" s="9">
        <v>0</v>
      </c>
      <c r="H404" s="9">
        <v>564.1</v>
      </c>
      <c r="I404" s="9">
        <v>0</v>
      </c>
      <c r="J404" s="1990"/>
      <c r="K404" s="1991"/>
    </row>
    <row r="405" spans="1:11" s="2" customFormat="1" hidden="1">
      <c r="A405" s="1951"/>
      <c r="B405" s="1994"/>
      <c r="C405" s="1951"/>
      <c r="D405" s="322">
        <v>2019</v>
      </c>
      <c r="E405" s="8">
        <f t="shared" si="30"/>
        <v>0</v>
      </c>
      <c r="F405" s="9">
        <v>0</v>
      </c>
      <c r="G405" s="9">
        <v>0</v>
      </c>
      <c r="H405" s="9">
        <v>0</v>
      </c>
      <c r="I405" s="9">
        <v>0</v>
      </c>
      <c r="J405" s="1990"/>
      <c r="K405" s="1991"/>
    </row>
    <row r="406" spans="1:11" s="2" customFormat="1" hidden="1">
      <c r="A406" s="1951"/>
      <c r="B406" s="1994"/>
      <c r="C406" s="1951"/>
      <c r="D406" s="322">
        <v>2020</v>
      </c>
      <c r="E406" s="8">
        <f t="shared" si="30"/>
        <v>0</v>
      </c>
      <c r="F406" s="9">
        <v>0</v>
      </c>
      <c r="G406" s="9">
        <v>0</v>
      </c>
      <c r="H406" s="9">
        <v>0</v>
      </c>
      <c r="I406" s="9">
        <v>0</v>
      </c>
      <c r="J406" s="1990"/>
      <c r="K406" s="1991"/>
    </row>
    <row r="407" spans="1:11" s="2" customFormat="1" ht="15" hidden="1" customHeight="1">
      <c r="A407" s="1951" t="s">
        <v>260</v>
      </c>
      <c r="B407" s="1994" t="s">
        <v>261</v>
      </c>
      <c r="C407" s="1951">
        <v>2018</v>
      </c>
      <c r="D407" s="51" t="s">
        <v>8</v>
      </c>
      <c r="E407" s="8">
        <f t="shared" si="30"/>
        <v>7758.4000000000005</v>
      </c>
      <c r="F407" s="8">
        <f>SUM(F408:F412)</f>
        <v>6981.8</v>
      </c>
      <c r="G407" s="8">
        <f>SUM(G408:G412)</f>
        <v>0</v>
      </c>
      <c r="H407" s="8">
        <f>SUM(H408:H412)</f>
        <v>776.6</v>
      </c>
      <c r="I407" s="8">
        <f>SUM(I408:I412)</f>
        <v>0</v>
      </c>
      <c r="J407" s="1990" t="s">
        <v>262</v>
      </c>
      <c r="K407" s="1991" t="s">
        <v>168</v>
      </c>
    </row>
    <row r="408" spans="1:11" s="2" customFormat="1" hidden="1">
      <c r="A408" s="1951"/>
      <c r="B408" s="1994"/>
      <c r="C408" s="1951"/>
      <c r="D408" s="51">
        <v>2016</v>
      </c>
      <c r="E408" s="8">
        <f t="shared" si="30"/>
        <v>0</v>
      </c>
      <c r="F408" s="9">
        <v>0</v>
      </c>
      <c r="G408" s="9">
        <v>0</v>
      </c>
      <c r="H408" s="9">
        <v>0</v>
      </c>
      <c r="I408" s="9">
        <v>0</v>
      </c>
      <c r="J408" s="1990"/>
      <c r="K408" s="1991"/>
    </row>
    <row r="409" spans="1:11" s="2" customFormat="1" hidden="1">
      <c r="A409" s="1951"/>
      <c r="B409" s="1994"/>
      <c r="C409" s="1951"/>
      <c r="D409" s="51">
        <v>2017</v>
      </c>
      <c r="E409" s="8">
        <f t="shared" si="30"/>
        <v>0</v>
      </c>
      <c r="F409" s="9">
        <v>0</v>
      </c>
      <c r="G409" s="9">
        <v>0</v>
      </c>
      <c r="H409" s="9">
        <v>0</v>
      </c>
      <c r="I409" s="9">
        <v>0</v>
      </c>
      <c r="J409" s="1990"/>
      <c r="K409" s="1991"/>
    </row>
    <row r="410" spans="1:11" s="2" customFormat="1" hidden="1">
      <c r="A410" s="1951"/>
      <c r="B410" s="1994"/>
      <c r="C410" s="1951"/>
      <c r="D410" s="322">
        <v>2018</v>
      </c>
      <c r="E410" s="8">
        <f t="shared" si="30"/>
        <v>7758.4000000000005</v>
      </c>
      <c r="F410" s="9">
        <v>6981.8</v>
      </c>
      <c r="G410" s="9">
        <v>0</v>
      </c>
      <c r="H410" s="9">
        <v>776.6</v>
      </c>
      <c r="I410" s="9">
        <v>0</v>
      </c>
      <c r="J410" s="1990"/>
      <c r="K410" s="1991"/>
    </row>
    <row r="411" spans="1:11" s="2" customFormat="1" hidden="1">
      <c r="A411" s="1951"/>
      <c r="B411" s="1994"/>
      <c r="C411" s="1951"/>
      <c r="D411" s="322">
        <v>2019</v>
      </c>
      <c r="E411" s="8">
        <f t="shared" si="30"/>
        <v>0</v>
      </c>
      <c r="F411" s="9">
        <v>0</v>
      </c>
      <c r="G411" s="9">
        <v>0</v>
      </c>
      <c r="H411" s="9">
        <v>0</v>
      </c>
      <c r="I411" s="9">
        <v>0</v>
      </c>
      <c r="J411" s="1990"/>
      <c r="K411" s="1991"/>
    </row>
    <row r="412" spans="1:11" s="2" customFormat="1" hidden="1">
      <c r="A412" s="1951"/>
      <c r="B412" s="1994"/>
      <c r="C412" s="1951"/>
      <c r="D412" s="322">
        <v>2020</v>
      </c>
      <c r="E412" s="8">
        <f t="shared" si="30"/>
        <v>0</v>
      </c>
      <c r="F412" s="9">
        <v>0</v>
      </c>
      <c r="G412" s="9">
        <v>0</v>
      </c>
      <c r="H412" s="9">
        <v>0</v>
      </c>
      <c r="I412" s="9">
        <v>0</v>
      </c>
      <c r="J412" s="1990"/>
      <c r="K412" s="1991"/>
    </row>
    <row r="413" spans="1:11" s="2" customFormat="1" ht="15" customHeight="1">
      <c r="A413" s="1951" t="s">
        <v>263</v>
      </c>
      <c r="B413" s="1994" t="s">
        <v>264</v>
      </c>
      <c r="C413" s="1951">
        <v>2019</v>
      </c>
      <c r="D413" s="51" t="s">
        <v>8</v>
      </c>
      <c r="E413" s="8">
        <f t="shared" si="30"/>
        <v>10438.4</v>
      </c>
      <c r="F413" s="8">
        <f>SUM(F414:F418)</f>
        <v>8747.4</v>
      </c>
      <c r="G413" s="8">
        <f>SUM(G414:G418)</f>
        <v>0</v>
      </c>
      <c r="H413" s="8">
        <f>SUM(H414:H418)</f>
        <v>1691</v>
      </c>
      <c r="I413" s="8">
        <f>SUM(I414:I418)</f>
        <v>0</v>
      </c>
      <c r="J413" s="1990" t="s">
        <v>265</v>
      </c>
      <c r="K413" s="1991" t="s">
        <v>168</v>
      </c>
    </row>
    <row r="414" spans="1:11" s="2" customFormat="1">
      <c r="A414" s="1951"/>
      <c r="B414" s="1994"/>
      <c r="C414" s="1951"/>
      <c r="D414" s="51">
        <v>2016</v>
      </c>
      <c r="E414" s="8">
        <f t="shared" si="30"/>
        <v>0</v>
      </c>
      <c r="F414" s="9">
        <v>0</v>
      </c>
      <c r="G414" s="9">
        <v>0</v>
      </c>
      <c r="H414" s="9">
        <v>0</v>
      </c>
      <c r="I414" s="9">
        <v>0</v>
      </c>
      <c r="J414" s="1990"/>
      <c r="K414" s="1991"/>
    </row>
    <row r="415" spans="1:11" s="2" customFormat="1">
      <c r="A415" s="1951"/>
      <c r="B415" s="1994"/>
      <c r="C415" s="1951"/>
      <c r="D415" s="51">
        <v>2017</v>
      </c>
      <c r="E415" s="8">
        <f t="shared" si="30"/>
        <v>0</v>
      </c>
      <c r="F415" s="9">
        <v>0</v>
      </c>
      <c r="G415" s="9">
        <v>0</v>
      </c>
      <c r="H415" s="9">
        <v>0</v>
      </c>
      <c r="I415" s="9">
        <v>0</v>
      </c>
      <c r="J415" s="1990"/>
      <c r="K415" s="1991"/>
    </row>
    <row r="416" spans="1:11" s="2" customFormat="1">
      <c r="A416" s="1951"/>
      <c r="B416" s="1994"/>
      <c r="C416" s="1951"/>
      <c r="D416" s="322">
        <v>2018</v>
      </c>
      <c r="E416" s="8">
        <f t="shared" si="30"/>
        <v>0</v>
      </c>
      <c r="F416" s="9">
        <v>0</v>
      </c>
      <c r="G416" s="9">
        <v>0</v>
      </c>
      <c r="H416" s="9">
        <v>0</v>
      </c>
      <c r="I416" s="9">
        <v>0</v>
      </c>
      <c r="J416" s="1990"/>
      <c r="K416" s="1991"/>
    </row>
    <row r="417" spans="1:12" s="2" customFormat="1">
      <c r="A417" s="1951"/>
      <c r="B417" s="1994"/>
      <c r="C417" s="1951"/>
      <c r="D417" s="322">
        <v>2019</v>
      </c>
      <c r="E417" s="8">
        <f t="shared" ref="E417:E418" si="31">SUM(F417:I417)</f>
        <v>10438.4</v>
      </c>
      <c r="F417" s="9">
        <v>8747.4</v>
      </c>
      <c r="G417" s="9">
        <v>0</v>
      </c>
      <c r="H417" s="9">
        <v>1691</v>
      </c>
      <c r="I417" s="9">
        <v>0</v>
      </c>
      <c r="J417" s="1990"/>
      <c r="K417" s="1991"/>
    </row>
    <row r="418" spans="1:12" s="2" customFormat="1">
      <c r="A418" s="1951"/>
      <c r="B418" s="1994"/>
      <c r="C418" s="1951"/>
      <c r="D418" s="322">
        <v>2020</v>
      </c>
      <c r="E418" s="8">
        <f t="shared" si="31"/>
        <v>0</v>
      </c>
      <c r="F418" s="9">
        <v>0</v>
      </c>
      <c r="G418" s="9">
        <v>0</v>
      </c>
      <c r="H418" s="9">
        <v>0</v>
      </c>
      <c r="I418" s="9">
        <v>0</v>
      </c>
      <c r="J418" s="1990"/>
      <c r="K418" s="1991"/>
    </row>
    <row r="419" spans="1:12" ht="15" customHeight="1">
      <c r="A419" s="1945" t="s">
        <v>295</v>
      </c>
      <c r="B419" s="1989" t="s">
        <v>296</v>
      </c>
      <c r="C419" s="1947" t="s">
        <v>186</v>
      </c>
      <c r="D419" s="322" t="s">
        <v>8</v>
      </c>
      <c r="E419" s="8">
        <f t="shared" ref="E419:I424" si="32">E425</f>
        <v>283000</v>
      </c>
      <c r="F419" s="8">
        <f t="shared" si="32"/>
        <v>122350</v>
      </c>
      <c r="G419" s="8">
        <f t="shared" si="32"/>
        <v>0</v>
      </c>
      <c r="H419" s="8">
        <f t="shared" si="32"/>
        <v>132350</v>
      </c>
      <c r="I419" s="8">
        <f t="shared" si="32"/>
        <v>28300</v>
      </c>
      <c r="J419" s="1990" t="s">
        <v>81</v>
      </c>
      <c r="K419" s="1991" t="s">
        <v>297</v>
      </c>
      <c r="L419" s="1955"/>
    </row>
    <row r="420" spans="1:12">
      <c r="A420" s="1945"/>
      <c r="B420" s="1989"/>
      <c r="C420" s="1947"/>
      <c r="D420" s="322">
        <v>2016</v>
      </c>
      <c r="E420" s="8">
        <f t="shared" si="32"/>
        <v>0</v>
      </c>
      <c r="F420" s="8">
        <f t="shared" si="32"/>
        <v>0</v>
      </c>
      <c r="G420" s="8">
        <f t="shared" si="32"/>
        <v>0</v>
      </c>
      <c r="H420" s="8">
        <f t="shared" si="32"/>
        <v>0</v>
      </c>
      <c r="I420" s="8">
        <f t="shared" si="32"/>
        <v>0</v>
      </c>
      <c r="J420" s="1990"/>
      <c r="K420" s="1991"/>
      <c r="L420" s="1955"/>
    </row>
    <row r="421" spans="1:12">
      <c r="A421" s="1945"/>
      <c r="B421" s="1989"/>
      <c r="C421" s="1947"/>
      <c r="D421" s="322">
        <v>2017</v>
      </c>
      <c r="E421" s="8">
        <f t="shared" si="32"/>
        <v>0</v>
      </c>
      <c r="F421" s="8">
        <f t="shared" si="32"/>
        <v>0</v>
      </c>
      <c r="G421" s="8">
        <f t="shared" si="32"/>
        <v>0</v>
      </c>
      <c r="H421" s="8">
        <f t="shared" si="32"/>
        <v>0</v>
      </c>
      <c r="I421" s="8">
        <f t="shared" si="32"/>
        <v>0</v>
      </c>
      <c r="J421" s="1990"/>
      <c r="K421" s="1991"/>
      <c r="L421" s="1955"/>
    </row>
    <row r="422" spans="1:12">
      <c r="A422" s="1945"/>
      <c r="B422" s="1989"/>
      <c r="C422" s="1947"/>
      <c r="D422" s="322">
        <v>2018</v>
      </c>
      <c r="E422" s="8">
        <f t="shared" si="32"/>
        <v>10000</v>
      </c>
      <c r="F422" s="8">
        <f t="shared" si="32"/>
        <v>0</v>
      </c>
      <c r="G422" s="8">
        <f t="shared" si="32"/>
        <v>0</v>
      </c>
      <c r="H422" s="8">
        <f t="shared" si="32"/>
        <v>10000</v>
      </c>
      <c r="I422" s="8">
        <f t="shared" si="32"/>
        <v>0</v>
      </c>
      <c r="J422" s="1990"/>
      <c r="K422" s="1991"/>
      <c r="L422" s="1955"/>
    </row>
    <row r="423" spans="1:12">
      <c r="A423" s="1945"/>
      <c r="B423" s="1989"/>
      <c r="C423" s="1947"/>
      <c r="D423" s="322">
        <v>2019</v>
      </c>
      <c r="E423" s="8">
        <f t="shared" si="32"/>
        <v>148300</v>
      </c>
      <c r="F423" s="8">
        <f>F429</f>
        <v>60000</v>
      </c>
      <c r="G423" s="8">
        <f t="shared" si="32"/>
        <v>0</v>
      </c>
      <c r="H423" s="8">
        <f t="shared" si="32"/>
        <v>60000</v>
      </c>
      <c r="I423" s="8">
        <f t="shared" si="32"/>
        <v>28300</v>
      </c>
      <c r="J423" s="1990"/>
      <c r="K423" s="1991"/>
      <c r="L423" s="1955"/>
    </row>
    <row r="424" spans="1:12">
      <c r="A424" s="1945"/>
      <c r="B424" s="1989"/>
      <c r="C424" s="1947"/>
      <c r="D424" s="322">
        <v>2020</v>
      </c>
      <c r="E424" s="8">
        <f t="shared" si="32"/>
        <v>124700</v>
      </c>
      <c r="F424" s="9">
        <f>F430</f>
        <v>62350</v>
      </c>
      <c r="G424" s="9">
        <f t="shared" si="32"/>
        <v>0</v>
      </c>
      <c r="H424" s="9">
        <f t="shared" si="32"/>
        <v>62350</v>
      </c>
      <c r="I424" s="8">
        <f t="shared" si="32"/>
        <v>0</v>
      </c>
      <c r="J424" s="1990"/>
      <c r="K424" s="1991"/>
      <c r="L424" s="321"/>
    </row>
    <row r="425" spans="1:12" ht="15" customHeight="1">
      <c r="A425" s="1945" t="s">
        <v>298</v>
      </c>
      <c r="B425" s="1989" t="s">
        <v>299</v>
      </c>
      <c r="C425" s="1947" t="s">
        <v>186</v>
      </c>
      <c r="D425" s="322" t="s">
        <v>8</v>
      </c>
      <c r="E425" s="8">
        <f t="shared" ref="E425:E448" si="33">SUM(F425:I425)</f>
        <v>283000</v>
      </c>
      <c r="F425" s="8">
        <f>SUM(F426:F430)</f>
        <v>122350</v>
      </c>
      <c r="G425" s="8">
        <f>SUM(G426:G430)</f>
        <v>0</v>
      </c>
      <c r="H425" s="8">
        <f>SUM(H426:H430)</f>
        <v>132350</v>
      </c>
      <c r="I425" s="8">
        <f>SUM(I426:I430)</f>
        <v>28300</v>
      </c>
      <c r="J425" s="1990" t="s">
        <v>300</v>
      </c>
      <c r="K425" s="1991" t="s">
        <v>297</v>
      </c>
      <c r="L425" s="1955"/>
    </row>
    <row r="426" spans="1:12">
      <c r="A426" s="1945"/>
      <c r="B426" s="1989"/>
      <c r="C426" s="1947"/>
      <c r="D426" s="322">
        <v>2016</v>
      </c>
      <c r="E426" s="8">
        <f t="shared" si="33"/>
        <v>0</v>
      </c>
      <c r="F426" s="9">
        <v>0</v>
      </c>
      <c r="G426" s="9">
        <v>0</v>
      </c>
      <c r="H426" s="9">
        <v>0</v>
      </c>
      <c r="I426" s="9">
        <v>0</v>
      </c>
      <c r="J426" s="1990"/>
      <c r="K426" s="1991"/>
      <c r="L426" s="1955"/>
    </row>
    <row r="427" spans="1:12">
      <c r="A427" s="1945"/>
      <c r="B427" s="1989"/>
      <c r="C427" s="1947"/>
      <c r="D427" s="322">
        <v>2017</v>
      </c>
      <c r="E427" s="8">
        <f t="shared" si="33"/>
        <v>0</v>
      </c>
      <c r="F427" s="9">
        <v>0</v>
      </c>
      <c r="G427" s="9">
        <v>0</v>
      </c>
      <c r="H427" s="9">
        <v>0</v>
      </c>
      <c r="I427" s="9">
        <v>0</v>
      </c>
      <c r="J427" s="1990"/>
      <c r="K427" s="1991"/>
      <c r="L427" s="1955"/>
    </row>
    <row r="428" spans="1:12">
      <c r="A428" s="1945"/>
      <c r="B428" s="1989"/>
      <c r="C428" s="1947"/>
      <c r="D428" s="322">
        <v>2018</v>
      </c>
      <c r="E428" s="8">
        <f t="shared" si="33"/>
        <v>10000</v>
      </c>
      <c r="F428" s="9">
        <v>0</v>
      </c>
      <c r="G428" s="9">
        <v>0</v>
      </c>
      <c r="H428" s="9">
        <v>10000</v>
      </c>
      <c r="I428" s="9">
        <v>0</v>
      </c>
      <c r="J428" s="1990"/>
      <c r="K428" s="1991"/>
      <c r="L428" s="1955"/>
    </row>
    <row r="429" spans="1:12">
      <c r="A429" s="1945"/>
      <c r="B429" s="1989"/>
      <c r="C429" s="1947"/>
      <c r="D429" s="322">
        <v>2019</v>
      </c>
      <c r="E429" s="8">
        <f t="shared" si="33"/>
        <v>148300</v>
      </c>
      <c r="F429" s="9">
        <v>60000</v>
      </c>
      <c r="G429" s="9">
        <v>0</v>
      </c>
      <c r="H429" s="9">
        <v>60000</v>
      </c>
      <c r="I429" s="113">
        <v>28300</v>
      </c>
      <c r="J429" s="1990"/>
      <c r="K429" s="1991"/>
      <c r="L429" s="1955"/>
    </row>
    <row r="430" spans="1:12">
      <c r="A430" s="1945"/>
      <c r="B430" s="1989"/>
      <c r="C430" s="1947"/>
      <c r="D430" s="322">
        <v>2020</v>
      </c>
      <c r="E430" s="8">
        <f t="shared" si="33"/>
        <v>124700</v>
      </c>
      <c r="F430" s="114">
        <v>62350</v>
      </c>
      <c r="G430" s="9">
        <v>0</v>
      </c>
      <c r="H430" s="114">
        <v>62350</v>
      </c>
      <c r="I430" s="9">
        <v>0</v>
      </c>
      <c r="J430" s="1990"/>
      <c r="K430" s="1991"/>
      <c r="L430" s="321"/>
    </row>
    <row r="431" spans="1:12" ht="15" customHeight="1">
      <c r="A431" s="1945" t="s">
        <v>129</v>
      </c>
      <c r="B431" s="1991" t="s">
        <v>130</v>
      </c>
      <c r="C431" s="1947" t="s">
        <v>14</v>
      </c>
      <c r="D431" s="322" t="s">
        <v>8</v>
      </c>
      <c r="E431" s="8">
        <f t="shared" si="33"/>
        <v>135904.4</v>
      </c>
      <c r="F431" s="8">
        <f>SUM(F432:F436)</f>
        <v>135904.4</v>
      </c>
      <c r="G431" s="9">
        <v>0</v>
      </c>
      <c r="H431" s="9">
        <v>0</v>
      </c>
      <c r="I431" s="9">
        <v>0</v>
      </c>
      <c r="J431" s="1993"/>
      <c r="K431" s="1991" t="s">
        <v>26</v>
      </c>
    </row>
    <row r="432" spans="1:12">
      <c r="A432" s="1945"/>
      <c r="B432" s="1991"/>
      <c r="C432" s="1947"/>
      <c r="D432" s="322">
        <v>2016</v>
      </c>
      <c r="E432" s="8">
        <f t="shared" si="33"/>
        <v>25539.5</v>
      </c>
      <c r="F432" s="9">
        <f>SUM(F438)</f>
        <v>25539.5</v>
      </c>
      <c r="G432" s="9">
        <v>0</v>
      </c>
      <c r="H432" s="9">
        <v>0</v>
      </c>
      <c r="I432" s="9">
        <v>0</v>
      </c>
      <c r="J432" s="1993"/>
      <c r="K432" s="1991"/>
    </row>
    <row r="433" spans="1:32">
      <c r="A433" s="1945"/>
      <c r="B433" s="1991"/>
      <c r="C433" s="1947"/>
      <c r="D433" s="322">
        <v>2017</v>
      </c>
      <c r="E433" s="8">
        <f t="shared" si="33"/>
        <v>25743.200000000001</v>
      </c>
      <c r="F433" s="9">
        <f>SUM(F439)</f>
        <v>25743.200000000001</v>
      </c>
      <c r="G433" s="9">
        <v>0</v>
      </c>
      <c r="H433" s="9">
        <v>0</v>
      </c>
      <c r="I433" s="9">
        <v>0</v>
      </c>
      <c r="J433" s="1993"/>
      <c r="K433" s="1991"/>
    </row>
    <row r="434" spans="1:32">
      <c r="A434" s="1945"/>
      <c r="B434" s="1991"/>
      <c r="C434" s="1947"/>
      <c r="D434" s="322">
        <v>2018</v>
      </c>
      <c r="E434" s="8">
        <f t="shared" si="33"/>
        <v>28126.2</v>
      </c>
      <c r="F434" s="9">
        <f>SUM(F440)</f>
        <v>28126.2</v>
      </c>
      <c r="G434" s="9">
        <v>0</v>
      </c>
      <c r="H434" s="9">
        <v>0</v>
      </c>
      <c r="I434" s="9">
        <v>0</v>
      </c>
      <c r="J434" s="1993"/>
      <c r="K434" s="1991"/>
    </row>
    <row r="435" spans="1:32">
      <c r="A435" s="1945"/>
      <c r="B435" s="1991"/>
      <c r="C435" s="1947"/>
      <c r="D435" s="322">
        <v>2019</v>
      </c>
      <c r="E435" s="8">
        <f t="shared" si="33"/>
        <v>27726</v>
      </c>
      <c r="F435" s="9">
        <f>SUM(F441)</f>
        <v>27726</v>
      </c>
      <c r="G435" s="9">
        <v>0</v>
      </c>
      <c r="H435" s="9">
        <v>0</v>
      </c>
      <c r="I435" s="9">
        <v>0</v>
      </c>
      <c r="J435" s="1993"/>
      <c r="K435" s="1991"/>
    </row>
    <row r="436" spans="1:32">
      <c r="A436" s="1945"/>
      <c r="B436" s="1991"/>
      <c r="C436" s="1947"/>
      <c r="D436" s="322">
        <v>2020</v>
      </c>
      <c r="E436" s="8">
        <f t="shared" si="33"/>
        <v>28769.5</v>
      </c>
      <c r="F436" s="9">
        <f>SUM(F442)</f>
        <v>28769.5</v>
      </c>
      <c r="G436" s="9">
        <v>0</v>
      </c>
      <c r="H436" s="9">
        <v>0</v>
      </c>
      <c r="I436" s="9">
        <v>0</v>
      </c>
      <c r="J436" s="1993"/>
      <c r="K436" s="1991"/>
    </row>
    <row r="437" spans="1:32" ht="17.100000000000001" customHeight="1">
      <c r="A437" s="1945" t="s">
        <v>131</v>
      </c>
      <c r="B437" s="1994" t="s">
        <v>132</v>
      </c>
      <c r="C437" s="1947" t="s">
        <v>14</v>
      </c>
      <c r="D437" s="322" t="s">
        <v>8</v>
      </c>
      <c r="E437" s="8">
        <f t="shared" si="33"/>
        <v>135904.4</v>
      </c>
      <c r="F437" s="8">
        <f>SUM(F438:F442)</f>
        <v>135904.4</v>
      </c>
      <c r="G437" s="8">
        <f>SUM(G438:G442)</f>
        <v>0</v>
      </c>
      <c r="H437" s="8">
        <f>SUM(H438:H442)</f>
        <v>0</v>
      </c>
      <c r="I437" s="8">
        <f>SUM(I438:I442)</f>
        <v>0</v>
      </c>
      <c r="J437" s="1990" t="s">
        <v>133</v>
      </c>
      <c r="K437" s="1991" t="s">
        <v>26</v>
      </c>
    </row>
    <row r="438" spans="1:32" ht="17.100000000000001" customHeight="1">
      <c r="A438" s="1945"/>
      <c r="B438" s="1994"/>
      <c r="C438" s="1947"/>
      <c r="D438" s="322">
        <v>2016</v>
      </c>
      <c r="E438" s="8">
        <f t="shared" si="33"/>
        <v>25539.5</v>
      </c>
      <c r="F438" s="9">
        <f t="shared" ref="F438:I442" si="34">SUM(F444)</f>
        <v>25539.5</v>
      </c>
      <c r="G438" s="9">
        <f t="shared" si="34"/>
        <v>0</v>
      </c>
      <c r="H438" s="9">
        <f t="shared" si="34"/>
        <v>0</v>
      </c>
      <c r="I438" s="9">
        <f t="shared" si="34"/>
        <v>0</v>
      </c>
      <c r="J438" s="1990"/>
      <c r="K438" s="1991"/>
    </row>
    <row r="439" spans="1:32" ht="17.100000000000001" customHeight="1">
      <c r="A439" s="1945"/>
      <c r="B439" s="1994"/>
      <c r="C439" s="1947"/>
      <c r="D439" s="322">
        <v>2017</v>
      </c>
      <c r="E439" s="8">
        <f t="shared" si="33"/>
        <v>25743.200000000001</v>
      </c>
      <c r="F439" s="9">
        <f t="shared" si="34"/>
        <v>25743.200000000001</v>
      </c>
      <c r="G439" s="9">
        <f t="shared" si="34"/>
        <v>0</v>
      </c>
      <c r="H439" s="9">
        <f t="shared" si="34"/>
        <v>0</v>
      </c>
      <c r="I439" s="9">
        <f t="shared" si="34"/>
        <v>0</v>
      </c>
      <c r="J439" s="1990"/>
      <c r="K439" s="1991"/>
    </row>
    <row r="440" spans="1:32" ht="17.100000000000001" customHeight="1">
      <c r="A440" s="1945"/>
      <c r="B440" s="1994"/>
      <c r="C440" s="1947"/>
      <c r="D440" s="322">
        <v>2018</v>
      </c>
      <c r="E440" s="8">
        <f t="shared" si="33"/>
        <v>28126.2</v>
      </c>
      <c r="F440" s="9">
        <f t="shared" si="34"/>
        <v>28126.2</v>
      </c>
      <c r="G440" s="9">
        <f t="shared" si="34"/>
        <v>0</v>
      </c>
      <c r="H440" s="9">
        <f t="shared" si="34"/>
        <v>0</v>
      </c>
      <c r="I440" s="9">
        <f t="shared" si="34"/>
        <v>0</v>
      </c>
      <c r="J440" s="1990"/>
      <c r="K440" s="1991"/>
    </row>
    <row r="441" spans="1:32" ht="17.100000000000001" customHeight="1">
      <c r="A441" s="1945"/>
      <c r="B441" s="1994"/>
      <c r="C441" s="1947"/>
      <c r="D441" s="322">
        <v>2019</v>
      </c>
      <c r="E441" s="8">
        <f t="shared" si="33"/>
        <v>27726</v>
      </c>
      <c r="F441" s="9">
        <f t="shared" si="34"/>
        <v>27726</v>
      </c>
      <c r="G441" s="9">
        <f t="shared" si="34"/>
        <v>0</v>
      </c>
      <c r="H441" s="9">
        <f t="shared" si="34"/>
        <v>0</v>
      </c>
      <c r="I441" s="9">
        <f t="shared" si="34"/>
        <v>0</v>
      </c>
      <c r="J441" s="1990"/>
      <c r="K441" s="1991"/>
    </row>
    <row r="442" spans="1:32" ht="17.100000000000001" customHeight="1">
      <c r="A442" s="1945"/>
      <c r="B442" s="1994"/>
      <c r="C442" s="1947"/>
      <c r="D442" s="322">
        <v>2020</v>
      </c>
      <c r="E442" s="8">
        <f t="shared" si="33"/>
        <v>28769.5</v>
      </c>
      <c r="F442" s="9">
        <f t="shared" si="34"/>
        <v>28769.5</v>
      </c>
      <c r="G442" s="9">
        <f t="shared" si="34"/>
        <v>0</v>
      </c>
      <c r="H442" s="9">
        <f t="shared" si="34"/>
        <v>0</v>
      </c>
      <c r="I442" s="9">
        <f t="shared" si="34"/>
        <v>0</v>
      </c>
      <c r="J442" s="1990"/>
      <c r="K442" s="1991"/>
    </row>
    <row r="443" spans="1:32" s="2" customFormat="1" ht="17.100000000000001" customHeight="1">
      <c r="A443" s="1945" t="s">
        <v>134</v>
      </c>
      <c r="B443" s="1989" t="s">
        <v>135</v>
      </c>
      <c r="C443" s="1947" t="s">
        <v>14</v>
      </c>
      <c r="D443" s="322" t="s">
        <v>8</v>
      </c>
      <c r="E443" s="8">
        <f t="shared" si="33"/>
        <v>135904.4</v>
      </c>
      <c r="F443" s="8">
        <f>SUM(F444:F448)</f>
        <v>135904.4</v>
      </c>
      <c r="G443" s="9">
        <v>0</v>
      </c>
      <c r="H443" s="9">
        <v>0</v>
      </c>
      <c r="I443" s="9">
        <v>0</v>
      </c>
      <c r="J443" s="1990" t="s">
        <v>136</v>
      </c>
      <c r="K443" s="1991" t="s">
        <v>26</v>
      </c>
    </row>
    <row r="444" spans="1:32" s="2" customFormat="1" ht="17.100000000000001" customHeight="1">
      <c r="A444" s="1945"/>
      <c r="B444" s="1989"/>
      <c r="C444" s="1947"/>
      <c r="D444" s="322">
        <v>2016</v>
      </c>
      <c r="E444" s="8">
        <f t="shared" si="33"/>
        <v>25539.5</v>
      </c>
      <c r="F444" s="9">
        <v>25539.5</v>
      </c>
      <c r="G444" s="9">
        <v>0</v>
      </c>
      <c r="H444" s="9">
        <v>0</v>
      </c>
      <c r="I444" s="9">
        <v>0</v>
      </c>
      <c r="J444" s="1990"/>
      <c r="K444" s="1991"/>
    </row>
    <row r="445" spans="1:32" s="2" customFormat="1" ht="17.100000000000001" customHeight="1">
      <c r="A445" s="1945"/>
      <c r="B445" s="1989"/>
      <c r="C445" s="1947"/>
      <c r="D445" s="322">
        <v>2017</v>
      </c>
      <c r="E445" s="8">
        <f t="shared" si="33"/>
        <v>25743.200000000001</v>
      </c>
      <c r="F445" s="9">
        <v>25743.200000000001</v>
      </c>
      <c r="G445" s="9">
        <v>0</v>
      </c>
      <c r="H445" s="9">
        <v>0</v>
      </c>
      <c r="I445" s="9">
        <v>0</v>
      </c>
      <c r="J445" s="1990"/>
      <c r="K445" s="1991"/>
    </row>
    <row r="446" spans="1:32" s="2" customFormat="1" ht="17.100000000000001" customHeight="1">
      <c r="A446" s="1945"/>
      <c r="B446" s="1989"/>
      <c r="C446" s="1947"/>
      <c r="D446" s="322">
        <v>2018</v>
      </c>
      <c r="E446" s="8">
        <f>SUM(F446:I446)</f>
        <v>28126.2</v>
      </c>
      <c r="F446" s="9">
        <v>28126.2</v>
      </c>
      <c r="G446" s="9">
        <v>0</v>
      </c>
      <c r="H446" s="9">
        <v>0</v>
      </c>
      <c r="I446" s="9">
        <v>0</v>
      </c>
      <c r="J446" s="1990"/>
      <c r="K446" s="1991"/>
    </row>
    <row r="447" spans="1:32" s="2" customFormat="1" ht="17.100000000000001" customHeight="1">
      <c r="A447" s="1945"/>
      <c r="B447" s="1989"/>
      <c r="C447" s="1947"/>
      <c r="D447" s="322">
        <v>2019</v>
      </c>
      <c r="E447" s="8">
        <f t="shared" si="33"/>
        <v>27726</v>
      </c>
      <c r="F447" s="9">
        <v>27726</v>
      </c>
      <c r="G447" s="9">
        <v>0</v>
      </c>
      <c r="H447" s="9">
        <v>0</v>
      </c>
      <c r="I447" s="9">
        <v>0</v>
      </c>
      <c r="J447" s="1990"/>
      <c r="K447" s="1991"/>
    </row>
    <row r="448" spans="1:32" s="52" customFormat="1" ht="17.100000000000001" customHeight="1">
      <c r="A448" s="1945"/>
      <c r="B448" s="1989"/>
      <c r="C448" s="1947"/>
      <c r="D448" s="322">
        <v>2020</v>
      </c>
      <c r="E448" s="8">
        <f t="shared" si="33"/>
        <v>28769.5</v>
      </c>
      <c r="F448" s="9">
        <v>28769.5</v>
      </c>
      <c r="G448" s="9">
        <v>0</v>
      </c>
      <c r="H448" s="9">
        <v>0</v>
      </c>
      <c r="I448" s="9">
        <v>0</v>
      </c>
      <c r="J448" s="1990"/>
      <c r="K448" s="1992"/>
      <c r="L448" s="95"/>
      <c r="M448" s="95"/>
      <c r="N448" s="95"/>
      <c r="O448" s="95"/>
      <c r="P448" s="95"/>
      <c r="Q448" s="95"/>
      <c r="R448" s="95"/>
      <c r="S448" s="95"/>
      <c r="T448" s="95"/>
      <c r="U448" s="95"/>
      <c r="V448" s="95"/>
      <c r="W448" s="95"/>
      <c r="X448" s="95"/>
      <c r="Y448" s="95"/>
      <c r="Z448" s="95"/>
      <c r="AA448" s="95"/>
      <c r="AB448" s="95"/>
      <c r="AC448" s="95"/>
      <c r="AD448" s="95"/>
      <c r="AE448" s="95"/>
      <c r="AF448" s="95"/>
    </row>
    <row r="449" spans="1:11" ht="17.100000000000001" customHeight="1">
      <c r="A449" s="16"/>
      <c r="B449" s="115"/>
      <c r="C449" s="18"/>
      <c r="D449" s="18"/>
      <c r="E449" s="23"/>
      <c r="F449" s="24"/>
      <c r="G449" s="24"/>
      <c r="H449" s="24"/>
      <c r="I449" s="20"/>
      <c r="J449" s="116"/>
      <c r="K449" s="117"/>
    </row>
    <row r="450" spans="1:11" ht="17.100000000000001" customHeight="1">
      <c r="A450" s="16"/>
      <c r="B450" s="115"/>
      <c r="C450" s="18"/>
      <c r="D450" s="18"/>
      <c r="E450" s="19"/>
      <c r="F450" s="20"/>
      <c r="G450" s="20"/>
      <c r="H450" s="20"/>
      <c r="I450" s="20"/>
      <c r="J450" s="116"/>
      <c r="K450" s="117"/>
    </row>
    <row r="451" spans="1:11">
      <c r="A451" s="25"/>
      <c r="B451" s="118"/>
      <c r="C451" s="10"/>
      <c r="D451" s="119"/>
      <c r="E451" s="27"/>
      <c r="F451" s="28"/>
      <c r="G451" s="27"/>
      <c r="H451" s="27"/>
      <c r="I451" s="27"/>
      <c r="J451" s="120"/>
      <c r="K451" s="121"/>
    </row>
    <row r="452" spans="1:11">
      <c r="A452" s="31"/>
      <c r="B452" s="122"/>
      <c r="C452" s="31"/>
      <c r="D452" s="31"/>
      <c r="E452" s="33"/>
      <c r="F452" s="34"/>
      <c r="G452" s="33"/>
      <c r="H452" s="33"/>
      <c r="I452" s="33"/>
      <c r="J452" s="123"/>
      <c r="K452" s="122"/>
    </row>
  </sheetData>
  <mergeCells count="380">
    <mergeCell ref="A1:K2"/>
    <mergeCell ref="A3:A4"/>
    <mergeCell ref="B3:B4"/>
    <mergeCell ref="C3:C4"/>
    <mergeCell ref="D3:I3"/>
    <mergeCell ref="J3:J4"/>
    <mergeCell ref="K3:K4"/>
    <mergeCell ref="A5:A10"/>
    <mergeCell ref="B5:B10"/>
    <mergeCell ref="C5:C10"/>
    <mergeCell ref="J5:J10"/>
    <mergeCell ref="K5:K10"/>
    <mergeCell ref="A11:A16"/>
    <mergeCell ref="B11:B16"/>
    <mergeCell ref="C11:C16"/>
    <mergeCell ref="J11:J16"/>
    <mergeCell ref="K11:K16"/>
    <mergeCell ref="A17:A22"/>
    <mergeCell ref="B17:B22"/>
    <mergeCell ref="C17:C22"/>
    <mergeCell ref="J17:J22"/>
    <mergeCell ref="K17:K22"/>
    <mergeCell ref="A23:A28"/>
    <mergeCell ref="B23:B28"/>
    <mergeCell ref="C23:C28"/>
    <mergeCell ref="J23:J28"/>
    <mergeCell ref="K23:K28"/>
    <mergeCell ref="A29:A34"/>
    <mergeCell ref="B29:B34"/>
    <mergeCell ref="C29:C34"/>
    <mergeCell ref="J29:J34"/>
    <mergeCell ref="K29:K34"/>
    <mergeCell ref="A35:A40"/>
    <mergeCell ref="B35:B40"/>
    <mergeCell ref="C35:C40"/>
    <mergeCell ref="J35:J40"/>
    <mergeCell ref="K35:K40"/>
    <mergeCell ref="A41:A46"/>
    <mergeCell ref="B41:B46"/>
    <mergeCell ref="C41:C46"/>
    <mergeCell ref="J41:J46"/>
    <mergeCell ref="K41:K46"/>
    <mergeCell ref="A47:A52"/>
    <mergeCell ref="B47:B52"/>
    <mergeCell ref="C47:C52"/>
    <mergeCell ref="J47:J52"/>
    <mergeCell ref="K47:K52"/>
    <mergeCell ref="A53:A58"/>
    <mergeCell ref="B53:B58"/>
    <mergeCell ref="C53:C58"/>
    <mergeCell ref="J53:J58"/>
    <mergeCell ref="K53:K58"/>
    <mergeCell ref="A59:A64"/>
    <mergeCell ref="B59:B64"/>
    <mergeCell ref="C59:C64"/>
    <mergeCell ref="J59:J64"/>
    <mergeCell ref="K59:K64"/>
    <mergeCell ref="A65:A70"/>
    <mergeCell ref="B65:B70"/>
    <mergeCell ref="C65:C70"/>
    <mergeCell ref="J65:J70"/>
    <mergeCell ref="K65:K70"/>
    <mergeCell ref="A71:A76"/>
    <mergeCell ref="B71:B76"/>
    <mergeCell ref="C71:C76"/>
    <mergeCell ref="J71:J76"/>
    <mergeCell ref="K71:K76"/>
    <mergeCell ref="A77:A82"/>
    <mergeCell ref="B77:B82"/>
    <mergeCell ref="C77:C82"/>
    <mergeCell ref="J77:J82"/>
    <mergeCell ref="K77:K82"/>
    <mergeCell ref="A83:A88"/>
    <mergeCell ref="B83:B88"/>
    <mergeCell ref="C83:C88"/>
    <mergeCell ref="J83:J88"/>
    <mergeCell ref="K83:K88"/>
    <mergeCell ref="A89:A94"/>
    <mergeCell ref="B89:B94"/>
    <mergeCell ref="C89:C94"/>
    <mergeCell ref="J89:J94"/>
    <mergeCell ref="K89:K94"/>
    <mergeCell ref="A95:A100"/>
    <mergeCell ref="B95:B100"/>
    <mergeCell ref="C95:C100"/>
    <mergeCell ref="J95:J100"/>
    <mergeCell ref="K95:K100"/>
    <mergeCell ref="A101:A106"/>
    <mergeCell ref="B101:B106"/>
    <mergeCell ref="C101:C106"/>
    <mergeCell ref="J101:J106"/>
    <mergeCell ref="K101:K106"/>
    <mergeCell ref="A107:A112"/>
    <mergeCell ref="B107:B112"/>
    <mergeCell ref="C107:C112"/>
    <mergeCell ref="J107:J112"/>
    <mergeCell ref="K107:K112"/>
    <mergeCell ref="A113:A118"/>
    <mergeCell ref="B113:B118"/>
    <mergeCell ref="C113:C118"/>
    <mergeCell ref="J113:J118"/>
    <mergeCell ref="K113:K118"/>
    <mergeCell ref="A119:A124"/>
    <mergeCell ref="B119:B124"/>
    <mergeCell ref="C119:C124"/>
    <mergeCell ref="J119:J124"/>
    <mergeCell ref="K119:K124"/>
    <mergeCell ref="A125:A130"/>
    <mergeCell ref="B125:B130"/>
    <mergeCell ref="C125:C130"/>
    <mergeCell ref="J125:J130"/>
    <mergeCell ref="K125:K130"/>
    <mergeCell ref="A131:A136"/>
    <mergeCell ref="B131:B136"/>
    <mergeCell ref="C131:C136"/>
    <mergeCell ref="J131:J136"/>
    <mergeCell ref="K131:K136"/>
    <mergeCell ref="A137:A142"/>
    <mergeCell ref="B137:B142"/>
    <mergeCell ref="C137:C142"/>
    <mergeCell ref="J137:J142"/>
    <mergeCell ref="K137:K142"/>
    <mergeCell ref="A143:A148"/>
    <mergeCell ref="B143:B148"/>
    <mergeCell ref="C143:C148"/>
    <mergeCell ref="J143:J148"/>
    <mergeCell ref="K143:K148"/>
    <mergeCell ref="A149:A154"/>
    <mergeCell ref="B149:B154"/>
    <mergeCell ref="C149:C154"/>
    <mergeCell ref="J149:J154"/>
    <mergeCell ref="K149:K154"/>
    <mergeCell ref="A155:A160"/>
    <mergeCell ref="B155:B160"/>
    <mergeCell ref="C155:C160"/>
    <mergeCell ref="J155:J160"/>
    <mergeCell ref="K155:K160"/>
    <mergeCell ref="A161:A166"/>
    <mergeCell ref="B161:B166"/>
    <mergeCell ref="C161:C166"/>
    <mergeCell ref="J161:J166"/>
    <mergeCell ref="K161:K166"/>
    <mergeCell ref="A167:A172"/>
    <mergeCell ref="B167:B172"/>
    <mergeCell ref="C167:C172"/>
    <mergeCell ref="J167:J172"/>
    <mergeCell ref="K167:K172"/>
    <mergeCell ref="A173:A178"/>
    <mergeCell ref="B173:B178"/>
    <mergeCell ref="C173:C178"/>
    <mergeCell ref="J173:J178"/>
    <mergeCell ref="K173:K178"/>
    <mergeCell ref="A179:A184"/>
    <mergeCell ref="B179:B184"/>
    <mergeCell ref="C179:C184"/>
    <mergeCell ref="J179:J184"/>
    <mergeCell ref="K179:K184"/>
    <mergeCell ref="A185:A190"/>
    <mergeCell ref="B185:B190"/>
    <mergeCell ref="C185:C190"/>
    <mergeCell ref="J185:J190"/>
    <mergeCell ref="K185:K190"/>
    <mergeCell ref="A191:A196"/>
    <mergeCell ref="B191:B196"/>
    <mergeCell ref="C191:C196"/>
    <mergeCell ref="J191:J196"/>
    <mergeCell ref="K191:K196"/>
    <mergeCell ref="A197:A202"/>
    <mergeCell ref="B197:B202"/>
    <mergeCell ref="C197:C202"/>
    <mergeCell ref="J197:J202"/>
    <mergeCell ref="K197:K202"/>
    <mergeCell ref="A203:A208"/>
    <mergeCell ref="B203:B208"/>
    <mergeCell ref="C203:C208"/>
    <mergeCell ref="J203:J208"/>
    <mergeCell ref="K203:K208"/>
    <mergeCell ref="A209:A214"/>
    <mergeCell ref="B209:B214"/>
    <mergeCell ref="C209:C214"/>
    <mergeCell ref="J209:J214"/>
    <mergeCell ref="K209:K214"/>
    <mergeCell ref="A215:A220"/>
    <mergeCell ref="B215:B220"/>
    <mergeCell ref="C215:C220"/>
    <mergeCell ref="J215:J220"/>
    <mergeCell ref="K215:K220"/>
    <mergeCell ref="A221:A226"/>
    <mergeCell ref="B221:B226"/>
    <mergeCell ref="C221:C226"/>
    <mergeCell ref="J221:J226"/>
    <mergeCell ref="K221:K226"/>
    <mergeCell ref="A227:A232"/>
    <mergeCell ref="B227:B232"/>
    <mergeCell ref="C227:C232"/>
    <mergeCell ref="J227:J232"/>
    <mergeCell ref="K227:K232"/>
    <mergeCell ref="A233:A238"/>
    <mergeCell ref="B233:B238"/>
    <mergeCell ref="C233:C238"/>
    <mergeCell ref="J233:J238"/>
    <mergeCell ref="K233:K238"/>
    <mergeCell ref="A239:A244"/>
    <mergeCell ref="B239:B244"/>
    <mergeCell ref="C239:C244"/>
    <mergeCell ref="J239:J244"/>
    <mergeCell ref="K239:K244"/>
    <mergeCell ref="A245:A250"/>
    <mergeCell ref="B245:B250"/>
    <mergeCell ref="C245:C250"/>
    <mergeCell ref="J245:J250"/>
    <mergeCell ref="K245:K250"/>
    <mergeCell ref="A251:A256"/>
    <mergeCell ref="B251:B256"/>
    <mergeCell ref="C251:C256"/>
    <mergeCell ref="J251:J256"/>
    <mergeCell ref="K251:K256"/>
    <mergeCell ref="A257:A262"/>
    <mergeCell ref="B257:B262"/>
    <mergeCell ref="C257:C262"/>
    <mergeCell ref="J257:J262"/>
    <mergeCell ref="K257:K262"/>
    <mergeCell ref="A263:A268"/>
    <mergeCell ref="B263:B268"/>
    <mergeCell ref="C263:C268"/>
    <mergeCell ref="J263:J268"/>
    <mergeCell ref="K263:K268"/>
    <mergeCell ref="A269:A274"/>
    <mergeCell ref="B269:B274"/>
    <mergeCell ref="C269:C274"/>
    <mergeCell ref="J269:J274"/>
    <mergeCell ref="K269:K274"/>
    <mergeCell ref="A275:A280"/>
    <mergeCell ref="B275:B280"/>
    <mergeCell ref="C275:C280"/>
    <mergeCell ref="J275:J280"/>
    <mergeCell ref="K275:K280"/>
    <mergeCell ref="A281:A286"/>
    <mergeCell ref="B281:B286"/>
    <mergeCell ref="C281:C286"/>
    <mergeCell ref="J281:J286"/>
    <mergeCell ref="K281:K286"/>
    <mergeCell ref="A287:A292"/>
    <mergeCell ref="B287:B292"/>
    <mergeCell ref="C287:C292"/>
    <mergeCell ref="J287:J292"/>
    <mergeCell ref="K287:K292"/>
    <mergeCell ref="A305:A310"/>
    <mergeCell ref="B305:B310"/>
    <mergeCell ref="C305:C310"/>
    <mergeCell ref="J305:J310"/>
    <mergeCell ref="K305:K310"/>
    <mergeCell ref="L305:L309"/>
    <mergeCell ref="A293:A298"/>
    <mergeCell ref="B293:B298"/>
    <mergeCell ref="C293:C298"/>
    <mergeCell ref="J293:J298"/>
    <mergeCell ref="K293:K298"/>
    <mergeCell ref="A299:A304"/>
    <mergeCell ref="B299:B304"/>
    <mergeCell ref="C299:C304"/>
    <mergeCell ref="J299:J304"/>
    <mergeCell ref="K299:K304"/>
    <mergeCell ref="A311:A316"/>
    <mergeCell ref="B311:B316"/>
    <mergeCell ref="C311:C316"/>
    <mergeCell ref="J311:J316"/>
    <mergeCell ref="K311:K316"/>
    <mergeCell ref="A317:A322"/>
    <mergeCell ref="B317:B322"/>
    <mergeCell ref="C317:C322"/>
    <mergeCell ref="J317:J322"/>
    <mergeCell ref="K317:K322"/>
    <mergeCell ref="A323:A328"/>
    <mergeCell ref="B323:B328"/>
    <mergeCell ref="C323:C328"/>
    <mergeCell ref="J323:J328"/>
    <mergeCell ref="K323:K328"/>
    <mergeCell ref="A329:A334"/>
    <mergeCell ref="B329:B334"/>
    <mergeCell ref="C329:C334"/>
    <mergeCell ref="J329:J334"/>
    <mergeCell ref="K329:K334"/>
    <mergeCell ref="A335:A340"/>
    <mergeCell ref="B335:B340"/>
    <mergeCell ref="C335:C340"/>
    <mergeCell ref="J335:J340"/>
    <mergeCell ref="K335:K340"/>
    <mergeCell ref="A341:A346"/>
    <mergeCell ref="B341:B346"/>
    <mergeCell ref="C341:C346"/>
    <mergeCell ref="J341:J346"/>
    <mergeCell ref="K341:K346"/>
    <mergeCell ref="A347:A352"/>
    <mergeCell ref="B347:B352"/>
    <mergeCell ref="C347:C352"/>
    <mergeCell ref="J347:J352"/>
    <mergeCell ref="K347:K352"/>
    <mergeCell ref="A353:A358"/>
    <mergeCell ref="B353:B358"/>
    <mergeCell ref="C353:C358"/>
    <mergeCell ref="J353:J358"/>
    <mergeCell ref="K353:K358"/>
    <mergeCell ref="A359:A364"/>
    <mergeCell ref="B359:B364"/>
    <mergeCell ref="C359:C364"/>
    <mergeCell ref="J359:J364"/>
    <mergeCell ref="K359:K364"/>
    <mergeCell ref="A365:A370"/>
    <mergeCell ref="B365:B370"/>
    <mergeCell ref="C365:C370"/>
    <mergeCell ref="J365:J370"/>
    <mergeCell ref="K365:K370"/>
    <mergeCell ref="A371:A376"/>
    <mergeCell ref="B371:B376"/>
    <mergeCell ref="C371:C376"/>
    <mergeCell ref="J371:J376"/>
    <mergeCell ref="K371:K376"/>
    <mergeCell ref="A377:A382"/>
    <mergeCell ref="B377:B382"/>
    <mergeCell ref="C377:C382"/>
    <mergeCell ref="J377:J382"/>
    <mergeCell ref="K377:K382"/>
    <mergeCell ref="A383:A388"/>
    <mergeCell ref="B383:B388"/>
    <mergeCell ref="C383:C388"/>
    <mergeCell ref="J383:J388"/>
    <mergeCell ref="K383:K388"/>
    <mergeCell ref="A389:A394"/>
    <mergeCell ref="B389:B394"/>
    <mergeCell ref="C389:C394"/>
    <mergeCell ref="J389:J394"/>
    <mergeCell ref="K389:K394"/>
    <mergeCell ref="A395:A400"/>
    <mergeCell ref="B395:B400"/>
    <mergeCell ref="C395:C400"/>
    <mergeCell ref="J395:J400"/>
    <mergeCell ref="K395:K400"/>
    <mergeCell ref="A401:A406"/>
    <mergeCell ref="B401:B406"/>
    <mergeCell ref="C401:C406"/>
    <mergeCell ref="J401:J406"/>
    <mergeCell ref="K401:K406"/>
    <mergeCell ref="A407:A412"/>
    <mergeCell ref="B407:B412"/>
    <mergeCell ref="C407:C412"/>
    <mergeCell ref="J407:J412"/>
    <mergeCell ref="K407:K412"/>
    <mergeCell ref="A413:A418"/>
    <mergeCell ref="B413:B418"/>
    <mergeCell ref="C413:C418"/>
    <mergeCell ref="J413:J418"/>
    <mergeCell ref="K413:K418"/>
    <mergeCell ref="A425:A430"/>
    <mergeCell ref="B425:B430"/>
    <mergeCell ref="C425:C430"/>
    <mergeCell ref="J425:J430"/>
    <mergeCell ref="K425:K430"/>
    <mergeCell ref="L425:L429"/>
    <mergeCell ref="A419:A424"/>
    <mergeCell ref="B419:B424"/>
    <mergeCell ref="C419:C424"/>
    <mergeCell ref="J419:J424"/>
    <mergeCell ref="K419:K424"/>
    <mergeCell ref="L419:L423"/>
    <mergeCell ref="A443:A448"/>
    <mergeCell ref="B443:B448"/>
    <mergeCell ref="C443:C448"/>
    <mergeCell ref="J443:J448"/>
    <mergeCell ref="K443:K448"/>
    <mergeCell ref="A431:A436"/>
    <mergeCell ref="B431:B436"/>
    <mergeCell ref="C431:C436"/>
    <mergeCell ref="J431:J436"/>
    <mergeCell ref="K431:K436"/>
    <mergeCell ref="A437:A442"/>
    <mergeCell ref="B437:B442"/>
    <mergeCell ref="C437:C442"/>
    <mergeCell ref="J437:J442"/>
    <mergeCell ref="K437:K442"/>
  </mergeCells>
  <printOptions horizontalCentered="1" verticalCentered="1"/>
  <pageMargins left="0.11811023622047245" right="0.11811023622047245" top="0.15748031496062992" bottom="0.15748031496062992" header="0.11811023622047245" footer="0.11811023622047245"/>
  <pageSetup paperSize="9" fitToHeight="14" orientation="landscape" horizontalDpi="1200" r:id="rId1"/>
  <rowBreaks count="9" manualBreakCount="9">
    <brk id="34" max="10" man="1"/>
    <brk id="100" max="10" man="1"/>
    <brk id="136" max="10" man="1"/>
    <brk id="172" max="10" man="1"/>
    <brk id="190" max="10" man="1"/>
    <brk id="232" max="10" man="1"/>
    <brk id="286" max="10" man="1"/>
    <brk id="400" max="10" man="1"/>
    <brk id="436"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outlinePr summaryBelow="0"/>
    <pageSetUpPr fitToPage="1"/>
  </sheetPr>
  <dimension ref="A1:DZ1636"/>
  <sheetViews>
    <sheetView zoomScale="75" zoomScaleNormal="75" zoomScaleSheetLayoutView="85" workbookViewId="0">
      <pane xSplit="2" ySplit="4" topLeftCell="C287" activePane="bottomRight" state="frozen"/>
      <selection pane="topRight" activeCell="C1" sqref="C1"/>
      <selection pane="bottomLeft" activeCell="A4" sqref="A4"/>
      <selection pane="bottomRight" activeCell="H105" sqref="H105:H109"/>
    </sheetView>
  </sheetViews>
  <sheetFormatPr defaultColWidth="9.140625" defaultRowHeight="15.75"/>
  <cols>
    <col min="1" max="1" width="11.85546875" style="10" customWidth="1"/>
    <col min="2" max="2" width="67.5703125" style="111" customWidth="1"/>
    <col min="3" max="3" width="7.85546875" style="68" customWidth="1"/>
    <col min="4" max="4" width="14.28515625" style="375" customWidth="1"/>
    <col min="5" max="5" width="14.42578125" style="661" customWidth="1"/>
    <col min="6" max="6" width="14.42578125" style="112" customWidth="1"/>
    <col min="7" max="7" width="12.85546875" style="68" customWidth="1"/>
    <col min="8" max="8" width="70" style="603" customWidth="1"/>
    <col min="9" max="9" width="117" style="882" customWidth="1"/>
    <col min="10" max="10" width="23.140625" style="883" customWidth="1"/>
    <col min="11" max="11" width="42.28515625" style="884" customWidth="1"/>
    <col min="12" max="12" width="63.42578125" style="884" customWidth="1"/>
    <col min="13" max="13" width="9.140625" style="68"/>
    <col min="14" max="16384" width="9.140625" style="36"/>
  </cols>
  <sheetData>
    <row r="1" spans="1:13">
      <c r="D1" s="1162"/>
      <c r="E1" s="1163"/>
    </row>
    <row r="2" spans="1:13" ht="15">
      <c r="A2" s="2214" t="s">
        <v>5334</v>
      </c>
      <c r="B2" s="2214"/>
      <c r="C2" s="2214"/>
      <c r="D2" s="2214"/>
      <c r="E2" s="2214"/>
      <c r="F2" s="2214"/>
      <c r="G2" s="2214"/>
      <c r="H2" s="2214"/>
      <c r="I2" s="2214"/>
      <c r="J2" s="2214"/>
      <c r="K2" s="2214"/>
      <c r="L2" s="2214"/>
      <c r="M2" s="2214"/>
    </row>
    <row r="3" spans="1:13" ht="27.75" customHeight="1">
      <c r="A3" s="2029" t="s">
        <v>1</v>
      </c>
      <c r="B3" s="2154" t="s">
        <v>137</v>
      </c>
      <c r="C3" s="2230" t="s">
        <v>4</v>
      </c>
      <c r="D3" s="2230"/>
      <c r="E3" s="2230"/>
      <c r="F3" s="2230"/>
      <c r="G3" s="2230"/>
      <c r="H3" s="2231" t="s">
        <v>138</v>
      </c>
      <c r="I3" s="2232"/>
      <c r="J3" s="2233"/>
      <c r="K3" s="2045" t="s">
        <v>6</v>
      </c>
      <c r="L3" s="2227" t="s">
        <v>3518</v>
      </c>
      <c r="M3" s="2221" t="s">
        <v>146</v>
      </c>
    </row>
    <row r="4" spans="1:13" ht="31.5">
      <c r="A4" s="2030"/>
      <c r="B4" s="2155"/>
      <c r="C4" s="105" t="s">
        <v>139</v>
      </c>
      <c r="D4" s="106" t="s">
        <v>140</v>
      </c>
      <c r="E4" s="106" t="s">
        <v>147</v>
      </c>
      <c r="F4" s="373" t="s">
        <v>141</v>
      </c>
      <c r="G4" s="66" t="s">
        <v>148</v>
      </c>
      <c r="H4" s="602" t="s">
        <v>142</v>
      </c>
      <c r="I4" s="604" t="s">
        <v>143</v>
      </c>
      <c r="J4" s="604" t="s">
        <v>144</v>
      </c>
      <c r="K4" s="2022"/>
      <c r="L4" s="2228"/>
      <c r="M4" s="2222"/>
    </row>
    <row r="5" spans="1:13">
      <c r="A5" s="2192"/>
      <c r="B5" s="2218" t="s">
        <v>3537</v>
      </c>
      <c r="C5" s="1172" t="s">
        <v>8</v>
      </c>
      <c r="D5" s="666">
        <f>SUM(D6:D9)</f>
        <v>2154380.0634599999</v>
      </c>
      <c r="E5" s="666">
        <f>SUM(E6:E9)</f>
        <v>2079408.1630099998</v>
      </c>
      <c r="F5" s="666">
        <f>SUM(F6:F9)</f>
        <v>2079273.7308199997</v>
      </c>
      <c r="G5" s="1173">
        <f t="shared" ref="G5:G9" si="0">IFERROR(F5/D5,0)</f>
        <v>0.96513784456426077</v>
      </c>
      <c r="H5" s="2224"/>
      <c r="I5" s="1177" t="s">
        <v>267</v>
      </c>
      <c r="J5" s="1178">
        <f>SUM(J10,J15)</f>
        <v>42</v>
      </c>
      <c r="K5" s="2146" t="s">
        <v>2894</v>
      </c>
      <c r="L5" s="2175"/>
      <c r="M5" s="2023">
        <v>823</v>
      </c>
    </row>
    <row r="6" spans="1:13">
      <c r="A6" s="2193"/>
      <c r="B6" s="2219"/>
      <c r="C6" s="1172" t="s">
        <v>9</v>
      </c>
      <c r="D6" s="666">
        <f>SUM(D21,D96,D186,D291)</f>
        <v>1676033.8095300002</v>
      </c>
      <c r="E6" s="666">
        <f>SUM(E21,E96,E186,E291)</f>
        <v>1601069.2718799999</v>
      </c>
      <c r="F6" s="666">
        <f>SUM(F21,F96,F186,F291)</f>
        <v>1600934.8396899998</v>
      </c>
      <c r="G6" s="1173">
        <f t="shared" si="0"/>
        <v>0.95519244933307168</v>
      </c>
      <c r="H6" s="2225"/>
      <c r="I6" s="1177" t="s">
        <v>268</v>
      </c>
      <c r="J6" s="1178">
        <f>SUM(J21+J96+J186+J291)</f>
        <v>39</v>
      </c>
      <c r="K6" s="2147"/>
      <c r="L6" s="2175"/>
      <c r="M6" s="2024"/>
    </row>
    <row r="7" spans="1:13">
      <c r="A7" s="2193"/>
      <c r="B7" s="2219"/>
      <c r="C7" s="1172" t="s">
        <v>10</v>
      </c>
      <c r="D7" s="666">
        <f>SUM(D22,D97,D187,D292)</f>
        <v>436920.95484999998</v>
      </c>
      <c r="E7" s="666">
        <f>SUM(E22,E97,E187,E292)</f>
        <v>436914.61979000003</v>
      </c>
      <c r="F7" s="666">
        <f>E7</f>
        <v>436914.61979000003</v>
      </c>
      <c r="G7" s="1173">
        <f t="shared" si="0"/>
        <v>0.99998550067253666</v>
      </c>
      <c r="H7" s="2225"/>
      <c r="I7" s="1177" t="s">
        <v>269</v>
      </c>
      <c r="J7" s="1178">
        <f>SUM(J22+J97+J187+J292)</f>
        <v>2</v>
      </c>
      <c r="K7" s="2147"/>
      <c r="L7" s="2175"/>
      <c r="M7" s="2024"/>
    </row>
    <row r="8" spans="1:13">
      <c r="A8" s="2193"/>
      <c r="B8" s="2219"/>
      <c r="C8" s="1172" t="s">
        <v>11</v>
      </c>
      <c r="D8" s="663">
        <f>SUM(D23,D98,D188,D293)</f>
        <v>41425.299079999975</v>
      </c>
      <c r="E8" s="663">
        <f>SUM(E23,E98,E188,E293)</f>
        <v>41424.271339999999</v>
      </c>
      <c r="F8" s="663">
        <f>E8</f>
        <v>41424.271339999999</v>
      </c>
      <c r="G8" s="1173">
        <f t="shared" si="0"/>
        <v>0.99997519052311512</v>
      </c>
      <c r="H8" s="2225"/>
      <c r="I8" s="1177" t="s">
        <v>270</v>
      </c>
      <c r="J8" s="1178">
        <f>SUM(J23+J98+J188+J293)</f>
        <v>1</v>
      </c>
      <c r="K8" s="2147"/>
      <c r="L8" s="2175"/>
      <c r="M8" s="2024"/>
    </row>
    <row r="9" spans="1:13">
      <c r="A9" s="2194"/>
      <c r="B9" s="2220"/>
      <c r="C9" s="1172" t="s">
        <v>12</v>
      </c>
      <c r="D9" s="663">
        <f>SUM(D24,D99,D189,D294)</f>
        <v>0</v>
      </c>
      <c r="E9" s="663">
        <v>0</v>
      </c>
      <c r="F9" s="663">
        <v>0</v>
      </c>
      <c r="G9" s="1173">
        <f t="shared" si="0"/>
        <v>0</v>
      </c>
      <c r="H9" s="2226"/>
      <c r="I9" s="1177" t="s">
        <v>271</v>
      </c>
      <c r="J9" s="1180">
        <f>(J6+0.5*J7)/J5</f>
        <v>0.95238095238095233</v>
      </c>
      <c r="K9" s="2223"/>
      <c r="L9" s="2175"/>
      <c r="M9" s="2025"/>
    </row>
    <row r="10" spans="1:13">
      <c r="A10" s="2192"/>
      <c r="B10" s="2218" t="s">
        <v>2796</v>
      </c>
      <c r="C10" s="1172" t="s">
        <v>8</v>
      </c>
      <c r="D10" s="662">
        <f>SUM(D11:D14)</f>
        <v>1504750.7425700005</v>
      </c>
      <c r="E10" s="1175">
        <f>SUM(E11:E14)</f>
        <v>1549047.0725599998</v>
      </c>
      <c r="F10" s="1175">
        <f>SUM(F11:F14)</f>
        <v>1549047.0725599998</v>
      </c>
      <c r="G10" s="1173">
        <f t="shared" ref="G10:G11" si="1">IFERROR(F10/D10,0)</f>
        <v>1.0294376528529532</v>
      </c>
      <c r="H10" s="2229"/>
      <c r="I10" s="1177" t="s">
        <v>267</v>
      </c>
      <c r="J10" s="1181">
        <f>SUM(J11:J13)</f>
        <v>32</v>
      </c>
      <c r="K10" s="2146" t="s">
        <v>2797</v>
      </c>
      <c r="L10" s="2175"/>
      <c r="M10" s="2023">
        <v>823</v>
      </c>
    </row>
    <row r="11" spans="1:13">
      <c r="A11" s="2193"/>
      <c r="B11" s="2219"/>
      <c r="C11" s="1172" t="s">
        <v>9</v>
      </c>
      <c r="D11" s="663">
        <f>SUM(D21,D96,D206,D211,D226,D256,D281,D291)</f>
        <v>1459311.8243800004</v>
      </c>
      <c r="E11" s="666">
        <f>SUM(E21,E96,E206,E211,E226,E256,E281,E291)</f>
        <v>1452211.3514299998</v>
      </c>
      <c r="F11" s="666">
        <f>E11</f>
        <v>1452211.3514299998</v>
      </c>
      <c r="G11" s="1173">
        <f t="shared" si="1"/>
        <v>0.99513436893241292</v>
      </c>
      <c r="H11" s="2225"/>
      <c r="I11" s="1177" t="s">
        <v>268</v>
      </c>
      <c r="J11" s="1181">
        <f>COUNTIFS($M$20:$M$304,823,$J$20:$J$304,"Да")</f>
        <v>30</v>
      </c>
      <c r="K11" s="2147"/>
      <c r="L11" s="2175"/>
      <c r="M11" s="2024"/>
    </row>
    <row r="12" spans="1:13">
      <c r="A12" s="2193"/>
      <c r="B12" s="2219"/>
      <c r="C12" s="1172" t="s">
        <v>10</v>
      </c>
      <c r="D12" s="663">
        <f>SUM(D22+D97)</f>
        <v>12210.21485</v>
      </c>
      <c r="E12" s="666">
        <f>SUM(E22,E97,E207,E212,E227,E257,E282,E292)</f>
        <v>63607.019789999998</v>
      </c>
      <c r="F12" s="666">
        <f>E12</f>
        <v>63607.019789999998</v>
      </c>
      <c r="G12" s="1173">
        <f>IFERROR(F12/D12,0)</f>
        <v>5.2093284656657781</v>
      </c>
      <c r="H12" s="2225"/>
      <c r="I12" s="1177" t="s">
        <v>269</v>
      </c>
      <c r="J12" s="1181">
        <f>COUNTIFS($M$20:$M$304,823,$J$20:$J$304,"Частично")</f>
        <v>1</v>
      </c>
      <c r="K12" s="2147"/>
      <c r="L12" s="2175"/>
      <c r="M12" s="2024"/>
    </row>
    <row r="13" spans="1:13">
      <c r="A13" s="2193"/>
      <c r="B13" s="2219"/>
      <c r="C13" s="1172" t="s">
        <v>11</v>
      </c>
      <c r="D13" s="663">
        <f>SUM(D23,D98,D208,D213,D228,D258,D283,D293)</f>
        <v>33228.70334</v>
      </c>
      <c r="E13" s="666">
        <f>SUM(E23,E98,E208,E213,E228,E258,E283,E293)</f>
        <v>33228.70134</v>
      </c>
      <c r="F13" s="666">
        <f>E13</f>
        <v>33228.70134</v>
      </c>
      <c r="G13" s="1173">
        <f t="shared" ref="G13:G76" si="2">IFERROR(F13/D13,0)</f>
        <v>0.99999993981107294</v>
      </c>
      <c r="H13" s="2225"/>
      <c r="I13" s="1177" t="s">
        <v>270</v>
      </c>
      <c r="J13" s="1181">
        <f>COUNTIFS($M$20:$M$304,823,$J$20:$J$304,"Нет")</f>
        <v>1</v>
      </c>
      <c r="K13" s="2147"/>
      <c r="L13" s="2175"/>
      <c r="M13" s="2024"/>
    </row>
    <row r="14" spans="1:13">
      <c r="A14" s="2194"/>
      <c r="B14" s="2220"/>
      <c r="C14" s="1172" t="s">
        <v>12</v>
      </c>
      <c r="D14" s="663">
        <v>0</v>
      </c>
      <c r="E14" s="666">
        <v>0</v>
      </c>
      <c r="F14" s="666">
        <v>0</v>
      </c>
      <c r="G14" s="1173">
        <f t="shared" si="2"/>
        <v>0</v>
      </c>
      <c r="H14" s="2226"/>
      <c r="I14" s="1177" t="s">
        <v>271</v>
      </c>
      <c r="J14" s="1179">
        <f>(J11+0.5*J12)/J10</f>
        <v>0.953125</v>
      </c>
      <c r="K14" s="2147"/>
      <c r="L14" s="2175"/>
      <c r="M14" s="2025"/>
    </row>
    <row r="15" spans="1:13">
      <c r="A15" s="2211"/>
      <c r="B15" s="2215" t="s">
        <v>653</v>
      </c>
      <c r="C15" s="1174" t="s">
        <v>8</v>
      </c>
      <c r="D15" s="1175">
        <f>SUM(D16:D19)</f>
        <v>635821.82088999997</v>
      </c>
      <c r="E15" s="1175">
        <f>SUM(E16:E19)</f>
        <v>488099.54</v>
      </c>
      <c r="F15" s="1175">
        <f>SUM(F16:F19)</f>
        <v>488099.54</v>
      </c>
      <c r="G15" s="1176">
        <f t="shared" si="2"/>
        <v>0.76766717335491286</v>
      </c>
      <c r="H15" s="2229"/>
      <c r="I15" s="1177" t="s">
        <v>267</v>
      </c>
      <c r="J15" s="1178">
        <f>SUM(J16:J18)</f>
        <v>10</v>
      </c>
      <c r="K15" s="2146" t="str">
        <f>'[7]Пр ГП 19-20'!$K$11</f>
        <v>Министерство строительства МО</v>
      </c>
      <c r="L15" s="2175"/>
      <c r="M15" s="2023">
        <v>823</v>
      </c>
    </row>
    <row r="16" spans="1:13">
      <c r="A16" s="2212"/>
      <c r="B16" s="2216"/>
      <c r="C16" s="1174" t="s">
        <v>9</v>
      </c>
      <c r="D16" s="665">
        <f>SUM(D221,D231,D246,D251,D286,D236,D261,)</f>
        <v>205914.48514999999</v>
      </c>
      <c r="E16" s="665">
        <f>SUM(E221,E231,E246,E251,E286)</f>
        <v>109886.37</v>
      </c>
      <c r="F16" s="665">
        <f>E16</f>
        <v>109886.37</v>
      </c>
      <c r="G16" s="1176">
        <f t="shared" si="2"/>
        <v>0.53365050991897156</v>
      </c>
      <c r="H16" s="2225"/>
      <c r="I16" s="1177" t="s">
        <v>268</v>
      </c>
      <c r="J16" s="1178">
        <f>COUNTIFS($M$20:$M$304,807,$J$20:$J$304,"Да")</f>
        <v>9</v>
      </c>
      <c r="K16" s="2147"/>
      <c r="L16" s="2175"/>
      <c r="M16" s="2024"/>
    </row>
    <row r="17" spans="1:130">
      <c r="A17" s="2212"/>
      <c r="B17" s="2216"/>
      <c r="C17" s="1174" t="s">
        <v>10</v>
      </c>
      <c r="D17" s="665">
        <f>SUM(D222,D232,D247,D252,D287,D257,)</f>
        <v>424710.74</v>
      </c>
      <c r="E17" s="665">
        <f>SUM(E222,E232,E247,E252,E287)</f>
        <v>373307.6</v>
      </c>
      <c r="F17" s="665">
        <f>E17</f>
        <v>373307.6</v>
      </c>
      <c r="G17" s="1176">
        <f t="shared" si="2"/>
        <v>0.8789690602126049</v>
      </c>
      <c r="H17" s="2225"/>
      <c r="I17" s="1177" t="s">
        <v>269</v>
      </c>
      <c r="J17" s="1178">
        <f>COUNTIFS($M$20:$M$304,807,$J$20:$J$304,"Частично")</f>
        <v>1</v>
      </c>
      <c r="K17" s="2147"/>
      <c r="L17" s="2175"/>
      <c r="M17" s="2024"/>
    </row>
    <row r="18" spans="1:130">
      <c r="A18" s="2212"/>
      <c r="B18" s="2216"/>
      <c r="C18" s="1174" t="s">
        <v>11</v>
      </c>
      <c r="D18" s="665">
        <f>SUM(D223,D233,D248,D253,D288,D268,D273,)</f>
        <v>5196.5957399999752</v>
      </c>
      <c r="E18" s="665">
        <f>SUM(E223,E233,E248,E253,E288)</f>
        <v>4905.57</v>
      </c>
      <c r="F18" s="665">
        <f>E18</f>
        <v>4905.57</v>
      </c>
      <c r="G18" s="1176">
        <f t="shared" si="2"/>
        <v>0.943996848213562</v>
      </c>
      <c r="H18" s="2225"/>
      <c r="I18" s="1177" t="s">
        <v>270</v>
      </c>
      <c r="J18" s="1178">
        <f>COUNTIFS($M$20:$M$304,807,$J$20:$J$304,"Нет")</f>
        <v>0</v>
      </c>
      <c r="K18" s="2147"/>
      <c r="L18" s="2175"/>
      <c r="M18" s="2024"/>
    </row>
    <row r="19" spans="1:130">
      <c r="A19" s="2213"/>
      <c r="B19" s="2217"/>
      <c r="C19" s="1174" t="s">
        <v>12</v>
      </c>
      <c r="D19" s="665">
        <v>0</v>
      </c>
      <c r="E19" s="665">
        <v>0</v>
      </c>
      <c r="F19" s="665">
        <f>E19</f>
        <v>0</v>
      </c>
      <c r="G19" s="1176">
        <f t="shared" si="2"/>
        <v>0</v>
      </c>
      <c r="H19" s="2226"/>
      <c r="I19" s="1177" t="s">
        <v>271</v>
      </c>
      <c r="J19" s="1179">
        <f>(J16+0.5*J17)/J15</f>
        <v>0.95</v>
      </c>
      <c r="K19" s="2147"/>
      <c r="L19" s="2175"/>
      <c r="M19" s="2025"/>
    </row>
    <row r="20" spans="1:130">
      <c r="A20" s="2198" t="s">
        <v>16</v>
      </c>
      <c r="B20" s="2201" t="s">
        <v>2910</v>
      </c>
      <c r="C20" s="1531" t="s">
        <v>8</v>
      </c>
      <c r="D20" s="1508">
        <f>SUM(D21:D24)</f>
        <v>296877.71737999999</v>
      </c>
      <c r="E20" s="1508">
        <f>SUM(E21:E24)</f>
        <v>295679.78667</v>
      </c>
      <c r="F20" s="1508">
        <f>SUM(F21:F24)</f>
        <v>283193.99533000001</v>
      </c>
      <c r="G20" s="1532">
        <f t="shared" si="2"/>
        <v>0.95390788446246044</v>
      </c>
      <c r="H20" s="2236"/>
      <c r="I20" s="649" t="s">
        <v>267</v>
      </c>
      <c r="J20" s="650">
        <f>SUM(J25,J75)</f>
        <v>12</v>
      </c>
      <c r="K20" s="2204" t="s">
        <v>2986</v>
      </c>
      <c r="L20" s="2204"/>
      <c r="M20" s="2234">
        <v>823</v>
      </c>
    </row>
    <row r="21" spans="1:130">
      <c r="A21" s="2199"/>
      <c r="B21" s="2202"/>
      <c r="C21" s="1531" t="s">
        <v>9</v>
      </c>
      <c r="D21" s="1533">
        <f t="shared" ref="D21:E23" si="3">SUM(D26,D76)</f>
        <v>283276.29456000001</v>
      </c>
      <c r="E21" s="1533">
        <f t="shared" si="3"/>
        <v>282078.36385000002</v>
      </c>
      <c r="F21" s="1533">
        <f>E21</f>
        <v>282078.36385000002</v>
      </c>
      <c r="G21" s="1532">
        <f t="shared" si="2"/>
        <v>0.99577115793659798</v>
      </c>
      <c r="H21" s="2237"/>
      <c r="I21" s="649" t="s">
        <v>268</v>
      </c>
      <c r="J21" s="650">
        <f>SUM(J26,J76)</f>
        <v>12</v>
      </c>
      <c r="K21" s="2205"/>
      <c r="L21" s="2205"/>
      <c r="M21" s="2235"/>
    </row>
    <row r="22" spans="1:130">
      <c r="A22" s="2199"/>
      <c r="B22" s="2202"/>
      <c r="C22" s="1531" t="s">
        <v>10</v>
      </c>
      <c r="D22" s="1533">
        <f t="shared" si="3"/>
        <v>1115.63148</v>
      </c>
      <c r="E22" s="1533">
        <f t="shared" si="3"/>
        <v>1115.63148</v>
      </c>
      <c r="F22" s="1533">
        <f>E22</f>
        <v>1115.63148</v>
      </c>
      <c r="G22" s="1532">
        <f t="shared" si="2"/>
        <v>1</v>
      </c>
      <c r="H22" s="2237"/>
      <c r="I22" s="649" t="s">
        <v>269</v>
      </c>
      <c r="J22" s="650">
        <f>SUM(J27,J77)</f>
        <v>0</v>
      </c>
      <c r="K22" s="2205"/>
      <c r="L22" s="2205"/>
      <c r="M22" s="2235"/>
    </row>
    <row r="23" spans="1:130">
      <c r="A23" s="2199"/>
      <c r="B23" s="2202"/>
      <c r="C23" s="1531" t="s">
        <v>11</v>
      </c>
      <c r="D23" s="1533">
        <f t="shared" si="3"/>
        <v>12485.79134</v>
      </c>
      <c r="E23" s="1533">
        <f t="shared" si="3"/>
        <v>12485.79134</v>
      </c>
      <c r="F23" s="1533">
        <v>0</v>
      </c>
      <c r="G23" s="1532">
        <f t="shared" si="2"/>
        <v>0</v>
      </c>
      <c r="H23" s="2237"/>
      <c r="I23" s="649" t="s">
        <v>270</v>
      </c>
      <c r="J23" s="650">
        <f>SUM(J28,J78)</f>
        <v>0</v>
      </c>
      <c r="K23" s="2205"/>
      <c r="L23" s="2205"/>
      <c r="M23" s="2235"/>
    </row>
    <row r="24" spans="1:130">
      <c r="A24" s="2200"/>
      <c r="B24" s="2203"/>
      <c r="C24" s="1531" t="s">
        <v>12</v>
      </c>
      <c r="D24" s="1533">
        <v>0</v>
      </c>
      <c r="E24" s="1533">
        <v>0</v>
      </c>
      <c r="F24" s="1533">
        <v>0</v>
      </c>
      <c r="G24" s="1532">
        <f t="shared" si="2"/>
        <v>0</v>
      </c>
      <c r="H24" s="2237"/>
      <c r="I24" s="653" t="s">
        <v>271</v>
      </c>
      <c r="J24" s="654">
        <f>(J21+0.5*J22)/J20</f>
        <v>1</v>
      </c>
      <c r="K24" s="2205"/>
      <c r="L24" s="2205"/>
      <c r="M24" s="2235"/>
    </row>
    <row r="25" spans="1:130" s="372" customFormat="1" ht="15.75" customHeight="1">
      <c r="A25" s="2139" t="s">
        <v>3217</v>
      </c>
      <c r="B25" s="2132" t="s">
        <v>3498</v>
      </c>
      <c r="C25" s="1516" t="s">
        <v>8</v>
      </c>
      <c r="D25" s="783">
        <f>SUM(D26:D29)</f>
        <v>286735.93563000002</v>
      </c>
      <c r="E25" s="783">
        <f>SUM(E26:E29)</f>
        <v>285537.98612000002</v>
      </c>
      <c r="F25" s="783">
        <f>E25</f>
        <v>285537.98612000002</v>
      </c>
      <c r="G25" s="778">
        <f t="shared" si="2"/>
        <v>0.99582211588733049</v>
      </c>
      <c r="H25" s="2206"/>
      <c r="I25" s="779" t="s">
        <v>267</v>
      </c>
      <c r="J25" s="780">
        <f>SUM(J26:J28)</f>
        <v>9</v>
      </c>
      <c r="K25" s="2060" t="s">
        <v>2798</v>
      </c>
      <c r="L25" s="2060"/>
      <c r="M25" s="2041">
        <v>823</v>
      </c>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row>
    <row r="26" spans="1:130" s="372" customFormat="1">
      <c r="A26" s="2140"/>
      <c r="B26" s="2133"/>
      <c r="C26" s="1516" t="s">
        <v>9</v>
      </c>
      <c r="D26" s="1528">
        <f>SUM(D31,D36,D41,D46,D51,D56,D61,D66,D71)</f>
        <v>274250.14429000003</v>
      </c>
      <c r="E26" s="1528">
        <f>SUM(E31,E36,E41,E46,E51,E56,E61,E66,E71)</f>
        <v>273052.19478000002</v>
      </c>
      <c r="F26" s="1528">
        <f>E26</f>
        <v>273052.19478000002</v>
      </c>
      <c r="G26" s="778">
        <f t="shared" si="2"/>
        <v>0.99563190928084522</v>
      </c>
      <c r="H26" s="2207"/>
      <c r="I26" s="779" t="s">
        <v>268</v>
      </c>
      <c r="J26" s="1458">
        <v>9</v>
      </c>
      <c r="K26" s="2061"/>
      <c r="L26" s="2061"/>
      <c r="M26" s="2042"/>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row>
    <row r="27" spans="1:130" s="372" customFormat="1">
      <c r="A27" s="2140"/>
      <c r="B27" s="2133"/>
      <c r="C27" s="1516" t="s">
        <v>10</v>
      </c>
      <c r="D27" s="1528">
        <f>SUM(D32,D37,D42,D47,D52,D57,D62,D67,D72)</f>
        <v>0</v>
      </c>
      <c r="E27" s="783">
        <f>SUM(E32,E37,E42,E47,E52,E57,E62,E67,E72)</f>
        <v>0</v>
      </c>
      <c r="F27" s="783">
        <f>E27</f>
        <v>0</v>
      </c>
      <c r="G27" s="778">
        <f t="shared" si="2"/>
        <v>0</v>
      </c>
      <c r="H27" s="2207"/>
      <c r="I27" s="779" t="s">
        <v>269</v>
      </c>
      <c r="J27" s="1458">
        <f>COUNTIF($J$30:$J$74,"Частично")</f>
        <v>0</v>
      </c>
      <c r="K27" s="2061"/>
      <c r="L27" s="2061"/>
      <c r="M27" s="2042"/>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row>
    <row r="28" spans="1:130" s="372" customFormat="1">
      <c r="A28" s="2140"/>
      <c r="B28" s="2133"/>
      <c r="C28" s="1516" t="s">
        <v>11</v>
      </c>
      <c r="D28" s="1528">
        <f>SUM(D33,D38,D43,D48,D53,D63,D68,D73)</f>
        <v>12485.79134</v>
      </c>
      <c r="E28" s="783">
        <f>SUM(E33,E38,E43,E48,E53,E58,E63,E68,E73)</f>
        <v>12485.79134</v>
      </c>
      <c r="F28" s="783">
        <f>E28</f>
        <v>12485.79134</v>
      </c>
      <c r="G28" s="778">
        <f t="shared" si="2"/>
        <v>1</v>
      </c>
      <c r="H28" s="2207"/>
      <c r="I28" s="779" t="s">
        <v>270</v>
      </c>
      <c r="J28" s="1458">
        <v>0</v>
      </c>
      <c r="K28" s="2061"/>
      <c r="L28" s="2061"/>
      <c r="M28" s="2042"/>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row>
    <row r="29" spans="1:130" s="372" customFormat="1">
      <c r="A29" s="2141"/>
      <c r="B29" s="2134"/>
      <c r="C29" s="1516" t="s">
        <v>12</v>
      </c>
      <c r="D29" s="1528">
        <v>0</v>
      </c>
      <c r="E29" s="783">
        <f>SUM(E34,E39,E44,E49,E54,E59,E64,E69,E74)</f>
        <v>0</v>
      </c>
      <c r="F29" s="783">
        <f>E29</f>
        <v>0</v>
      </c>
      <c r="G29" s="778">
        <f t="shared" si="2"/>
        <v>0</v>
      </c>
      <c r="H29" s="2208"/>
      <c r="I29" s="1529" t="s">
        <v>271</v>
      </c>
      <c r="J29" s="1530">
        <f>(J26+0.5*J27)/J25</f>
        <v>1</v>
      </c>
      <c r="K29" s="2061"/>
      <c r="L29" s="2061"/>
      <c r="M29" s="2042"/>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row>
    <row r="30" spans="1:130" s="372" customFormat="1" ht="15">
      <c r="A30" s="2192" t="s">
        <v>33</v>
      </c>
      <c r="B30" s="2104" t="s">
        <v>3509</v>
      </c>
      <c r="C30" s="1891" t="s">
        <v>8</v>
      </c>
      <c r="D30" s="1892">
        <f>SUM(D31:D34)</f>
        <v>61200</v>
      </c>
      <c r="E30" s="1892">
        <f>SUM(E31:E34)</f>
        <v>61200</v>
      </c>
      <c r="F30" s="1892">
        <f>SUM(F31:F34)</f>
        <v>61200</v>
      </c>
      <c r="G30" s="67">
        <f t="shared" si="2"/>
        <v>1</v>
      </c>
      <c r="H30" s="2049" t="s">
        <v>2897</v>
      </c>
      <c r="I30" s="2178" t="s">
        <v>3510</v>
      </c>
      <c r="J30" s="2046" t="s">
        <v>3384</v>
      </c>
      <c r="K30" s="2045" t="s">
        <v>2844</v>
      </c>
      <c r="L30" s="2052"/>
      <c r="M30" s="2023">
        <v>823</v>
      </c>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row>
    <row r="31" spans="1:130" s="372" customFormat="1" ht="22.5" customHeight="1">
      <c r="A31" s="2209"/>
      <c r="B31" s="2095"/>
      <c r="C31" s="931" t="s">
        <v>9</v>
      </c>
      <c r="D31" s="656">
        <f>'668-ПП'!E56+12200</f>
        <v>61200</v>
      </c>
      <c r="E31" s="656">
        <f>'2023'!H19</f>
        <v>61200</v>
      </c>
      <c r="F31" s="656">
        <f>E31</f>
        <v>61200</v>
      </c>
      <c r="G31" s="67">
        <f t="shared" si="2"/>
        <v>1</v>
      </c>
      <c r="H31" s="2089"/>
      <c r="I31" s="2179"/>
      <c r="J31" s="2047"/>
      <c r="K31" s="2047"/>
      <c r="L31" s="2176"/>
      <c r="M31" s="2238"/>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row>
    <row r="32" spans="1:130" s="372" customFormat="1" ht="21" customHeight="1">
      <c r="A32" s="2209"/>
      <c r="B32" s="2095"/>
      <c r="C32" s="931" t="s">
        <v>10</v>
      </c>
      <c r="D32" s="656">
        <f>'475ПП'!G61</f>
        <v>0</v>
      </c>
      <c r="E32" s="656">
        <v>0</v>
      </c>
      <c r="F32" s="656">
        <v>0</v>
      </c>
      <c r="G32" s="67">
        <f t="shared" si="2"/>
        <v>0</v>
      </c>
      <c r="H32" s="2089"/>
      <c r="I32" s="2179"/>
      <c r="J32" s="2047"/>
      <c r="K32" s="2047"/>
      <c r="L32" s="2176"/>
      <c r="M32" s="2238"/>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row>
    <row r="33" spans="1:130" s="372" customFormat="1" ht="18.75" customHeight="1">
      <c r="A33" s="2209"/>
      <c r="B33" s="2095"/>
      <c r="C33" s="931" t="s">
        <v>11</v>
      </c>
      <c r="D33" s="656">
        <f>'475ПП'!H61</f>
        <v>0</v>
      </c>
      <c r="E33" s="656">
        <v>0</v>
      </c>
      <c r="F33" s="656">
        <v>0</v>
      </c>
      <c r="G33" s="67">
        <f t="shared" si="2"/>
        <v>0</v>
      </c>
      <c r="H33" s="2089"/>
      <c r="I33" s="2179"/>
      <c r="J33" s="2047"/>
      <c r="K33" s="2047"/>
      <c r="L33" s="2176"/>
      <c r="M33" s="2238"/>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row>
    <row r="34" spans="1:130" s="372" customFormat="1" ht="20.25" customHeight="1">
      <c r="A34" s="2210"/>
      <c r="B34" s="2096"/>
      <c r="C34" s="602" t="s">
        <v>12</v>
      </c>
      <c r="D34" s="927">
        <f>'475ПП'!I61</f>
        <v>0</v>
      </c>
      <c r="E34" s="927">
        <v>0</v>
      </c>
      <c r="F34" s="927">
        <v>0</v>
      </c>
      <c r="G34" s="67">
        <f t="shared" si="2"/>
        <v>0</v>
      </c>
      <c r="H34" s="2090"/>
      <c r="I34" s="2180"/>
      <c r="J34" s="2048"/>
      <c r="K34" s="2048"/>
      <c r="L34" s="2177"/>
      <c r="M34" s="2239"/>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row>
    <row r="35" spans="1:130" s="372" customFormat="1" ht="23.25" customHeight="1">
      <c r="A35" s="2192" t="s">
        <v>193</v>
      </c>
      <c r="B35" s="2104" t="s">
        <v>3371</v>
      </c>
      <c r="C35" s="931" t="s">
        <v>8</v>
      </c>
      <c r="D35" s="925">
        <f>SUM(D36:D39)</f>
        <v>49000</v>
      </c>
      <c r="E35" s="925">
        <f>SUM(E36:E39)</f>
        <v>49000</v>
      </c>
      <c r="F35" s="925">
        <f>SUM(F36:F39)</f>
        <v>49000</v>
      </c>
      <c r="G35" s="67">
        <f t="shared" si="2"/>
        <v>1</v>
      </c>
      <c r="H35" s="2195" t="s">
        <v>3206</v>
      </c>
      <c r="I35" s="2178" t="s">
        <v>3489</v>
      </c>
      <c r="J35" s="2046" t="s">
        <v>3384</v>
      </c>
      <c r="K35" s="2045" t="s">
        <v>2844</v>
      </c>
      <c r="L35" s="2052"/>
      <c r="M35" s="2023">
        <v>823</v>
      </c>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row>
    <row r="36" spans="1:130" s="372" customFormat="1" ht="22.5" customHeight="1">
      <c r="A36" s="2193"/>
      <c r="B36" s="2190"/>
      <c r="C36" s="931" t="s">
        <v>9</v>
      </c>
      <c r="D36" s="927">
        <f>'475ПП'!F73+9000</f>
        <v>49000</v>
      </c>
      <c r="E36" s="927">
        <f>'2023'!H20</f>
        <v>49000</v>
      </c>
      <c r="F36" s="927">
        <f>E36</f>
        <v>49000</v>
      </c>
      <c r="G36" s="67">
        <f t="shared" si="2"/>
        <v>1</v>
      </c>
      <c r="H36" s="2196"/>
      <c r="I36" s="2179"/>
      <c r="J36" s="2047"/>
      <c r="K36" s="2047"/>
      <c r="L36" s="2176"/>
      <c r="M36" s="2024"/>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row>
    <row r="37" spans="1:130" s="372" customFormat="1" ht="22.5" customHeight="1">
      <c r="A37" s="2193"/>
      <c r="B37" s="2190"/>
      <c r="C37" s="931" t="s">
        <v>10</v>
      </c>
      <c r="D37" s="927">
        <f>'475ПП'!G73</f>
        <v>0</v>
      </c>
      <c r="E37" s="927">
        <v>0</v>
      </c>
      <c r="F37" s="927">
        <v>0</v>
      </c>
      <c r="G37" s="67">
        <f t="shared" si="2"/>
        <v>0</v>
      </c>
      <c r="H37" s="2196"/>
      <c r="I37" s="2179"/>
      <c r="J37" s="2047"/>
      <c r="K37" s="2047"/>
      <c r="L37" s="2176"/>
      <c r="M37" s="2024"/>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row>
    <row r="38" spans="1:130" s="372" customFormat="1" ht="23.25" customHeight="1">
      <c r="A38" s="2193"/>
      <c r="B38" s="2190"/>
      <c r="C38" s="931" t="s">
        <v>11</v>
      </c>
      <c r="D38" s="927">
        <f>'475ПП'!H73</f>
        <v>0</v>
      </c>
      <c r="E38" s="927">
        <v>0</v>
      </c>
      <c r="F38" s="927">
        <v>0</v>
      </c>
      <c r="G38" s="67">
        <f t="shared" si="2"/>
        <v>0</v>
      </c>
      <c r="H38" s="2196"/>
      <c r="I38" s="2179"/>
      <c r="J38" s="2047"/>
      <c r="K38" s="2047"/>
      <c r="L38" s="2176"/>
      <c r="M38" s="2024"/>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row>
    <row r="39" spans="1:130" s="372" customFormat="1" ht="15">
      <c r="A39" s="2194"/>
      <c r="B39" s="2191"/>
      <c r="C39" s="931" t="s">
        <v>12</v>
      </c>
      <c r="D39" s="927">
        <f>'475ПП'!I73</f>
        <v>0</v>
      </c>
      <c r="E39" s="927">
        <v>0</v>
      </c>
      <c r="F39" s="927">
        <v>0</v>
      </c>
      <c r="G39" s="67">
        <f t="shared" si="2"/>
        <v>0</v>
      </c>
      <c r="H39" s="2197"/>
      <c r="I39" s="2180"/>
      <c r="J39" s="2048"/>
      <c r="K39" s="2048"/>
      <c r="L39" s="2177"/>
      <c r="M39" s="2025"/>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row>
    <row r="40" spans="1:130" s="376" customFormat="1" ht="21.75" customHeight="1">
      <c r="A40" s="2211" t="s">
        <v>2806</v>
      </c>
      <c r="B40" s="2094" t="s">
        <v>3499</v>
      </c>
      <c r="C40" s="933" t="s">
        <v>8</v>
      </c>
      <c r="D40" s="107">
        <f>SUM(D41:D44)</f>
        <v>1934.9193800000003</v>
      </c>
      <c r="E40" s="107">
        <f>SUM(E41:E44)</f>
        <v>1934.9210000000003</v>
      </c>
      <c r="F40" s="107">
        <f>SUM(F41:F44)</f>
        <v>1934.9210000000003</v>
      </c>
      <c r="G40" s="67">
        <f t="shared" si="2"/>
        <v>1.0000008372441853</v>
      </c>
      <c r="H40" s="2088" t="s">
        <v>2810</v>
      </c>
      <c r="I40" s="2049" t="s">
        <v>3386</v>
      </c>
      <c r="J40" s="2046" t="s">
        <v>3384</v>
      </c>
      <c r="K40" s="2169" t="s">
        <v>2844</v>
      </c>
      <c r="L40" s="2052"/>
      <c r="M40" s="2023">
        <v>823</v>
      </c>
      <c r="N40" s="1835"/>
      <c r="O40" s="1835"/>
      <c r="P40" s="1835"/>
      <c r="Q40" s="1835"/>
      <c r="R40" s="1835"/>
      <c r="S40" s="1835"/>
      <c r="T40" s="1835"/>
      <c r="U40" s="1835"/>
      <c r="V40" s="1835"/>
      <c r="W40" s="1835"/>
      <c r="X40" s="1835"/>
      <c r="Y40" s="1835"/>
      <c r="Z40" s="1835"/>
      <c r="AA40" s="1835"/>
      <c r="AB40" s="1835"/>
      <c r="AC40" s="1835"/>
      <c r="AD40" s="1835"/>
      <c r="AE40" s="1835"/>
      <c r="AF40" s="1835"/>
      <c r="AG40" s="1835"/>
      <c r="AH40" s="1835"/>
      <c r="AI40" s="1835"/>
      <c r="AJ40" s="1835"/>
      <c r="AK40" s="1835"/>
      <c r="AL40" s="1835"/>
      <c r="AM40" s="1835"/>
      <c r="AN40" s="1835"/>
      <c r="AO40" s="1835"/>
      <c r="AP40" s="1835"/>
      <c r="AQ40" s="1835"/>
      <c r="AR40" s="1835"/>
      <c r="AS40" s="1835"/>
      <c r="AT40" s="1835"/>
      <c r="AU40" s="1835"/>
      <c r="AV40" s="1835"/>
      <c r="AW40" s="1835"/>
      <c r="AX40" s="1835"/>
      <c r="AY40" s="1835"/>
      <c r="AZ40" s="1835"/>
      <c r="BA40" s="1835"/>
      <c r="BB40" s="1835"/>
      <c r="BC40" s="1835"/>
      <c r="BD40" s="1835"/>
      <c r="BE40" s="1835"/>
      <c r="BF40" s="1835"/>
      <c r="BG40" s="1835"/>
      <c r="BH40" s="1835"/>
      <c r="BI40" s="1835"/>
      <c r="BJ40" s="1835"/>
      <c r="BK40" s="1835"/>
      <c r="BL40" s="1835"/>
      <c r="BM40" s="1835"/>
      <c r="BN40" s="1835"/>
      <c r="BO40" s="1835"/>
      <c r="BP40" s="1835"/>
      <c r="BQ40" s="1835"/>
      <c r="BR40" s="1835"/>
      <c r="BS40" s="1835"/>
      <c r="BT40" s="1835"/>
      <c r="BU40" s="1835"/>
      <c r="BV40" s="1835"/>
      <c r="BW40" s="1835"/>
      <c r="BX40" s="1835"/>
      <c r="BY40" s="1835"/>
      <c r="BZ40" s="1835"/>
      <c r="CA40" s="1835"/>
      <c r="CB40" s="1835"/>
      <c r="CC40" s="1835"/>
      <c r="CD40" s="1835"/>
      <c r="CE40" s="1835"/>
      <c r="CF40" s="1835"/>
      <c r="CG40" s="1835"/>
      <c r="CH40" s="1835"/>
      <c r="CI40" s="1835"/>
      <c r="CJ40" s="1835"/>
      <c r="CK40" s="1835"/>
      <c r="CL40" s="1835"/>
      <c r="CM40" s="1835"/>
      <c r="CN40" s="1835"/>
      <c r="CO40" s="1835"/>
      <c r="CP40" s="1835"/>
      <c r="CQ40" s="1835"/>
      <c r="CR40" s="1835"/>
      <c r="CS40" s="1835"/>
      <c r="CT40" s="1835"/>
      <c r="CU40" s="1835"/>
      <c r="CV40" s="1835"/>
      <c r="CW40" s="1835"/>
      <c r="CX40" s="1835"/>
      <c r="CY40" s="1835"/>
      <c r="CZ40" s="1835"/>
      <c r="DA40" s="1835"/>
      <c r="DB40" s="1835"/>
      <c r="DC40" s="1835"/>
      <c r="DD40" s="1835"/>
      <c r="DE40" s="1835"/>
      <c r="DF40" s="1835"/>
      <c r="DG40" s="1835"/>
      <c r="DH40" s="1835"/>
      <c r="DI40" s="1835"/>
      <c r="DJ40" s="1835"/>
      <c r="DK40" s="1835"/>
      <c r="DL40" s="1835"/>
      <c r="DM40" s="1835"/>
      <c r="DN40" s="1835"/>
      <c r="DO40" s="1835"/>
      <c r="DP40" s="1835"/>
      <c r="DQ40" s="1835"/>
      <c r="DR40" s="1835"/>
      <c r="DS40" s="1835"/>
      <c r="DT40" s="1835"/>
      <c r="DU40" s="1835"/>
      <c r="DV40" s="1835"/>
      <c r="DW40" s="1835"/>
      <c r="DX40" s="1835"/>
      <c r="DY40" s="1835"/>
      <c r="DZ40" s="1835"/>
    </row>
    <row r="41" spans="1:130" s="376" customFormat="1" ht="21.75" customHeight="1">
      <c r="A41" s="2212"/>
      <c r="B41" s="2115"/>
      <c r="C41" s="932" t="s">
        <v>9</v>
      </c>
      <c r="D41" s="108">
        <f>'668-ПП'!F74-382.07931</f>
        <v>1934.9193800000003</v>
      </c>
      <c r="E41" s="108">
        <f>2093.541-158.62</f>
        <v>1934.9210000000003</v>
      </c>
      <c r="F41" s="108">
        <f>E41</f>
        <v>1934.9210000000003</v>
      </c>
      <c r="G41" s="67">
        <f t="shared" si="2"/>
        <v>1.0000008372441853</v>
      </c>
      <c r="H41" s="2240"/>
      <c r="I41" s="2050"/>
      <c r="J41" s="2047"/>
      <c r="K41" s="2170"/>
      <c r="L41" s="2053"/>
      <c r="M41" s="2024"/>
      <c r="N41" s="1835"/>
      <c r="O41" s="1835"/>
      <c r="P41" s="1835"/>
      <c r="Q41" s="1835"/>
      <c r="R41" s="1835"/>
      <c r="S41" s="1835"/>
      <c r="T41" s="1835"/>
      <c r="U41" s="1835"/>
      <c r="V41" s="1835"/>
      <c r="W41" s="1835"/>
      <c r="X41" s="1835"/>
      <c r="Y41" s="1835"/>
      <c r="Z41" s="1835"/>
      <c r="AA41" s="1835"/>
      <c r="AB41" s="1835"/>
      <c r="AC41" s="1835"/>
      <c r="AD41" s="1835"/>
      <c r="AE41" s="1835"/>
      <c r="AF41" s="1835"/>
      <c r="AG41" s="1835"/>
      <c r="AH41" s="1835"/>
      <c r="AI41" s="1835"/>
      <c r="AJ41" s="1835"/>
      <c r="AK41" s="1835"/>
      <c r="AL41" s="1835"/>
      <c r="AM41" s="1835"/>
      <c r="AN41" s="1835"/>
      <c r="AO41" s="1835"/>
      <c r="AP41" s="1835"/>
      <c r="AQ41" s="1835"/>
      <c r="AR41" s="1835"/>
      <c r="AS41" s="1835"/>
      <c r="AT41" s="1835"/>
      <c r="AU41" s="1835"/>
      <c r="AV41" s="1835"/>
      <c r="AW41" s="1835"/>
      <c r="AX41" s="1835"/>
      <c r="AY41" s="1835"/>
      <c r="AZ41" s="1835"/>
      <c r="BA41" s="1835"/>
      <c r="BB41" s="1835"/>
      <c r="BC41" s="1835"/>
      <c r="BD41" s="1835"/>
      <c r="BE41" s="1835"/>
      <c r="BF41" s="1835"/>
      <c r="BG41" s="1835"/>
      <c r="BH41" s="1835"/>
      <c r="BI41" s="1835"/>
      <c r="BJ41" s="1835"/>
      <c r="BK41" s="1835"/>
      <c r="BL41" s="1835"/>
      <c r="BM41" s="1835"/>
      <c r="BN41" s="1835"/>
      <c r="BO41" s="1835"/>
      <c r="BP41" s="1835"/>
      <c r="BQ41" s="1835"/>
      <c r="BR41" s="1835"/>
      <c r="BS41" s="1835"/>
      <c r="BT41" s="1835"/>
      <c r="BU41" s="1835"/>
      <c r="BV41" s="1835"/>
      <c r="BW41" s="1835"/>
      <c r="BX41" s="1835"/>
      <c r="BY41" s="1835"/>
      <c r="BZ41" s="1835"/>
      <c r="CA41" s="1835"/>
      <c r="CB41" s="1835"/>
      <c r="CC41" s="1835"/>
      <c r="CD41" s="1835"/>
      <c r="CE41" s="1835"/>
      <c r="CF41" s="1835"/>
      <c r="CG41" s="1835"/>
      <c r="CH41" s="1835"/>
      <c r="CI41" s="1835"/>
      <c r="CJ41" s="1835"/>
      <c r="CK41" s="1835"/>
      <c r="CL41" s="1835"/>
      <c r="CM41" s="1835"/>
      <c r="CN41" s="1835"/>
      <c r="CO41" s="1835"/>
      <c r="CP41" s="1835"/>
      <c r="CQ41" s="1835"/>
      <c r="CR41" s="1835"/>
      <c r="CS41" s="1835"/>
      <c r="CT41" s="1835"/>
      <c r="CU41" s="1835"/>
      <c r="CV41" s="1835"/>
      <c r="CW41" s="1835"/>
      <c r="CX41" s="1835"/>
      <c r="CY41" s="1835"/>
      <c r="CZ41" s="1835"/>
      <c r="DA41" s="1835"/>
      <c r="DB41" s="1835"/>
      <c r="DC41" s="1835"/>
      <c r="DD41" s="1835"/>
      <c r="DE41" s="1835"/>
      <c r="DF41" s="1835"/>
      <c r="DG41" s="1835"/>
      <c r="DH41" s="1835"/>
      <c r="DI41" s="1835"/>
      <c r="DJ41" s="1835"/>
      <c r="DK41" s="1835"/>
      <c r="DL41" s="1835"/>
      <c r="DM41" s="1835"/>
      <c r="DN41" s="1835"/>
      <c r="DO41" s="1835"/>
      <c r="DP41" s="1835"/>
      <c r="DQ41" s="1835"/>
      <c r="DR41" s="1835"/>
      <c r="DS41" s="1835"/>
      <c r="DT41" s="1835"/>
      <c r="DU41" s="1835"/>
      <c r="DV41" s="1835"/>
      <c r="DW41" s="1835"/>
      <c r="DX41" s="1835"/>
      <c r="DY41" s="1835"/>
      <c r="DZ41" s="1835"/>
    </row>
    <row r="42" spans="1:130" s="376" customFormat="1" ht="23.25" customHeight="1">
      <c r="A42" s="2212"/>
      <c r="B42" s="2115"/>
      <c r="C42" s="932" t="s">
        <v>10</v>
      </c>
      <c r="D42" s="655">
        <f>'475ПП'!G79</f>
        <v>0</v>
      </c>
      <c r="E42" s="108">
        <v>0</v>
      </c>
      <c r="F42" s="108">
        <v>0</v>
      </c>
      <c r="G42" s="67">
        <f t="shared" si="2"/>
        <v>0</v>
      </c>
      <c r="H42" s="2240"/>
      <c r="I42" s="2050"/>
      <c r="J42" s="2047"/>
      <c r="K42" s="2170"/>
      <c r="L42" s="2053"/>
      <c r="M42" s="2024"/>
      <c r="N42" s="1835"/>
      <c r="O42" s="1835"/>
      <c r="P42" s="1835"/>
      <c r="Q42" s="1835"/>
      <c r="R42" s="1835"/>
      <c r="S42" s="1835"/>
      <c r="T42" s="1835"/>
      <c r="U42" s="1835"/>
      <c r="V42" s="1835"/>
      <c r="W42" s="1835"/>
      <c r="X42" s="1835"/>
      <c r="Y42" s="1835"/>
      <c r="Z42" s="1835"/>
      <c r="AA42" s="1835"/>
      <c r="AB42" s="1835"/>
      <c r="AC42" s="1835"/>
      <c r="AD42" s="1835"/>
      <c r="AE42" s="1835"/>
      <c r="AF42" s="1835"/>
      <c r="AG42" s="1835"/>
      <c r="AH42" s="1835"/>
      <c r="AI42" s="1835"/>
      <c r="AJ42" s="1835"/>
      <c r="AK42" s="1835"/>
      <c r="AL42" s="1835"/>
      <c r="AM42" s="1835"/>
      <c r="AN42" s="1835"/>
      <c r="AO42" s="1835"/>
      <c r="AP42" s="1835"/>
      <c r="AQ42" s="1835"/>
      <c r="AR42" s="1835"/>
      <c r="AS42" s="1835"/>
      <c r="AT42" s="1835"/>
      <c r="AU42" s="1835"/>
      <c r="AV42" s="1835"/>
      <c r="AW42" s="1835"/>
      <c r="AX42" s="1835"/>
      <c r="AY42" s="1835"/>
      <c r="AZ42" s="1835"/>
      <c r="BA42" s="1835"/>
      <c r="BB42" s="1835"/>
      <c r="BC42" s="1835"/>
      <c r="BD42" s="1835"/>
      <c r="BE42" s="1835"/>
      <c r="BF42" s="1835"/>
      <c r="BG42" s="1835"/>
      <c r="BH42" s="1835"/>
      <c r="BI42" s="1835"/>
      <c r="BJ42" s="1835"/>
      <c r="BK42" s="1835"/>
      <c r="BL42" s="1835"/>
      <c r="BM42" s="1835"/>
      <c r="BN42" s="1835"/>
      <c r="BO42" s="1835"/>
      <c r="BP42" s="1835"/>
      <c r="BQ42" s="1835"/>
      <c r="BR42" s="1835"/>
      <c r="BS42" s="1835"/>
      <c r="BT42" s="1835"/>
      <c r="BU42" s="1835"/>
      <c r="BV42" s="1835"/>
      <c r="BW42" s="1835"/>
      <c r="BX42" s="1835"/>
      <c r="BY42" s="1835"/>
      <c r="BZ42" s="1835"/>
      <c r="CA42" s="1835"/>
      <c r="CB42" s="1835"/>
      <c r="CC42" s="1835"/>
      <c r="CD42" s="1835"/>
      <c r="CE42" s="1835"/>
      <c r="CF42" s="1835"/>
      <c r="CG42" s="1835"/>
      <c r="CH42" s="1835"/>
      <c r="CI42" s="1835"/>
      <c r="CJ42" s="1835"/>
      <c r="CK42" s="1835"/>
      <c r="CL42" s="1835"/>
      <c r="CM42" s="1835"/>
      <c r="CN42" s="1835"/>
      <c r="CO42" s="1835"/>
      <c r="CP42" s="1835"/>
      <c r="CQ42" s="1835"/>
      <c r="CR42" s="1835"/>
      <c r="CS42" s="1835"/>
      <c r="CT42" s="1835"/>
      <c r="CU42" s="1835"/>
      <c r="CV42" s="1835"/>
      <c r="CW42" s="1835"/>
      <c r="CX42" s="1835"/>
      <c r="CY42" s="1835"/>
      <c r="CZ42" s="1835"/>
      <c r="DA42" s="1835"/>
      <c r="DB42" s="1835"/>
      <c r="DC42" s="1835"/>
      <c r="DD42" s="1835"/>
      <c r="DE42" s="1835"/>
      <c r="DF42" s="1835"/>
      <c r="DG42" s="1835"/>
      <c r="DH42" s="1835"/>
      <c r="DI42" s="1835"/>
      <c r="DJ42" s="1835"/>
      <c r="DK42" s="1835"/>
      <c r="DL42" s="1835"/>
      <c r="DM42" s="1835"/>
      <c r="DN42" s="1835"/>
      <c r="DO42" s="1835"/>
      <c r="DP42" s="1835"/>
      <c r="DQ42" s="1835"/>
      <c r="DR42" s="1835"/>
      <c r="DS42" s="1835"/>
      <c r="DT42" s="1835"/>
      <c r="DU42" s="1835"/>
      <c r="DV42" s="1835"/>
      <c r="DW42" s="1835"/>
      <c r="DX42" s="1835"/>
      <c r="DY42" s="1835"/>
      <c r="DZ42" s="1835"/>
    </row>
    <row r="43" spans="1:130" s="376" customFormat="1" ht="22.5" customHeight="1">
      <c r="A43" s="2212"/>
      <c r="B43" s="2115"/>
      <c r="C43" s="932" t="s">
        <v>11</v>
      </c>
      <c r="D43" s="655">
        <f>'475ПП'!H79</f>
        <v>0</v>
      </c>
      <c r="E43" s="108">
        <v>0</v>
      </c>
      <c r="F43" s="108">
        <v>0</v>
      </c>
      <c r="G43" s="67">
        <f t="shared" si="2"/>
        <v>0</v>
      </c>
      <c r="H43" s="2240"/>
      <c r="I43" s="2050"/>
      <c r="J43" s="2047"/>
      <c r="K43" s="2170"/>
      <c r="L43" s="2053"/>
      <c r="M43" s="2024"/>
      <c r="N43" s="1835"/>
      <c r="O43" s="1835"/>
      <c r="P43" s="1835"/>
      <c r="Q43" s="1835"/>
      <c r="R43" s="1835"/>
      <c r="S43" s="1835"/>
      <c r="T43" s="1835"/>
      <c r="U43" s="1835"/>
      <c r="V43" s="1835"/>
      <c r="W43" s="1835"/>
      <c r="X43" s="1835"/>
      <c r="Y43" s="1835"/>
      <c r="Z43" s="1835"/>
      <c r="AA43" s="1835"/>
      <c r="AB43" s="1835"/>
      <c r="AC43" s="1835"/>
      <c r="AD43" s="1835"/>
      <c r="AE43" s="1835"/>
      <c r="AF43" s="1835"/>
      <c r="AG43" s="1835"/>
      <c r="AH43" s="1835"/>
      <c r="AI43" s="1835"/>
      <c r="AJ43" s="1835"/>
      <c r="AK43" s="1835"/>
      <c r="AL43" s="1835"/>
      <c r="AM43" s="1835"/>
      <c r="AN43" s="1835"/>
      <c r="AO43" s="1835"/>
      <c r="AP43" s="1835"/>
      <c r="AQ43" s="1835"/>
      <c r="AR43" s="1835"/>
      <c r="AS43" s="1835"/>
      <c r="AT43" s="1835"/>
      <c r="AU43" s="1835"/>
      <c r="AV43" s="1835"/>
      <c r="AW43" s="1835"/>
      <c r="AX43" s="1835"/>
      <c r="AY43" s="1835"/>
      <c r="AZ43" s="1835"/>
      <c r="BA43" s="1835"/>
      <c r="BB43" s="1835"/>
      <c r="BC43" s="1835"/>
      <c r="BD43" s="1835"/>
      <c r="BE43" s="1835"/>
      <c r="BF43" s="1835"/>
      <c r="BG43" s="1835"/>
      <c r="BH43" s="1835"/>
      <c r="BI43" s="1835"/>
      <c r="BJ43" s="1835"/>
      <c r="BK43" s="1835"/>
      <c r="BL43" s="1835"/>
      <c r="BM43" s="1835"/>
      <c r="BN43" s="1835"/>
      <c r="BO43" s="1835"/>
      <c r="BP43" s="1835"/>
      <c r="BQ43" s="1835"/>
      <c r="BR43" s="1835"/>
      <c r="BS43" s="1835"/>
      <c r="BT43" s="1835"/>
      <c r="BU43" s="1835"/>
      <c r="BV43" s="1835"/>
      <c r="BW43" s="1835"/>
      <c r="BX43" s="1835"/>
      <c r="BY43" s="1835"/>
      <c r="BZ43" s="1835"/>
      <c r="CA43" s="1835"/>
      <c r="CB43" s="1835"/>
      <c r="CC43" s="1835"/>
      <c r="CD43" s="1835"/>
      <c r="CE43" s="1835"/>
      <c r="CF43" s="1835"/>
      <c r="CG43" s="1835"/>
      <c r="CH43" s="1835"/>
      <c r="CI43" s="1835"/>
      <c r="CJ43" s="1835"/>
      <c r="CK43" s="1835"/>
      <c r="CL43" s="1835"/>
      <c r="CM43" s="1835"/>
      <c r="CN43" s="1835"/>
      <c r="CO43" s="1835"/>
      <c r="CP43" s="1835"/>
      <c r="CQ43" s="1835"/>
      <c r="CR43" s="1835"/>
      <c r="CS43" s="1835"/>
      <c r="CT43" s="1835"/>
      <c r="CU43" s="1835"/>
      <c r="CV43" s="1835"/>
      <c r="CW43" s="1835"/>
      <c r="CX43" s="1835"/>
      <c r="CY43" s="1835"/>
      <c r="CZ43" s="1835"/>
      <c r="DA43" s="1835"/>
      <c r="DB43" s="1835"/>
      <c r="DC43" s="1835"/>
      <c r="DD43" s="1835"/>
      <c r="DE43" s="1835"/>
      <c r="DF43" s="1835"/>
      <c r="DG43" s="1835"/>
      <c r="DH43" s="1835"/>
      <c r="DI43" s="1835"/>
      <c r="DJ43" s="1835"/>
      <c r="DK43" s="1835"/>
      <c r="DL43" s="1835"/>
      <c r="DM43" s="1835"/>
      <c r="DN43" s="1835"/>
      <c r="DO43" s="1835"/>
      <c r="DP43" s="1835"/>
      <c r="DQ43" s="1835"/>
      <c r="DR43" s="1835"/>
      <c r="DS43" s="1835"/>
      <c r="DT43" s="1835"/>
      <c r="DU43" s="1835"/>
      <c r="DV43" s="1835"/>
      <c r="DW43" s="1835"/>
      <c r="DX43" s="1835"/>
      <c r="DY43" s="1835"/>
      <c r="DZ43" s="1835"/>
    </row>
    <row r="44" spans="1:130" s="376" customFormat="1" ht="15" customHeight="1">
      <c r="A44" s="2213"/>
      <c r="B44" s="2116"/>
      <c r="C44" s="932" t="s">
        <v>12</v>
      </c>
      <c r="D44" s="655">
        <f>'475ПП'!I79</f>
        <v>0</v>
      </c>
      <c r="E44" s="108">
        <v>0</v>
      </c>
      <c r="F44" s="108">
        <v>0</v>
      </c>
      <c r="G44" s="67">
        <f t="shared" si="2"/>
        <v>0</v>
      </c>
      <c r="H44" s="2241"/>
      <c r="I44" s="2051"/>
      <c r="J44" s="2048"/>
      <c r="K44" s="2170"/>
      <c r="L44" s="2054"/>
      <c r="M44" s="2025"/>
      <c r="N44" s="1835"/>
      <c r="O44" s="1835"/>
      <c r="P44" s="1835"/>
      <c r="Q44" s="1835"/>
      <c r="R44" s="1835"/>
      <c r="S44" s="1835"/>
      <c r="T44" s="1835"/>
      <c r="U44" s="1835"/>
      <c r="V44" s="1835"/>
      <c r="W44" s="1835"/>
      <c r="X44" s="1835"/>
      <c r="Y44" s="1835"/>
      <c r="Z44" s="1835"/>
      <c r="AA44" s="1835"/>
      <c r="AB44" s="1835"/>
      <c r="AC44" s="1835"/>
      <c r="AD44" s="1835"/>
      <c r="AE44" s="1835"/>
      <c r="AF44" s="1835"/>
      <c r="AG44" s="1835"/>
      <c r="AH44" s="1835"/>
      <c r="AI44" s="1835"/>
      <c r="AJ44" s="1835"/>
      <c r="AK44" s="1835"/>
      <c r="AL44" s="1835"/>
      <c r="AM44" s="1835"/>
      <c r="AN44" s="1835"/>
      <c r="AO44" s="1835"/>
      <c r="AP44" s="1835"/>
      <c r="AQ44" s="1835"/>
      <c r="AR44" s="1835"/>
      <c r="AS44" s="1835"/>
      <c r="AT44" s="1835"/>
      <c r="AU44" s="1835"/>
      <c r="AV44" s="1835"/>
      <c r="AW44" s="1835"/>
      <c r="AX44" s="1835"/>
      <c r="AY44" s="1835"/>
      <c r="AZ44" s="1835"/>
      <c r="BA44" s="1835"/>
      <c r="BB44" s="1835"/>
      <c r="BC44" s="1835"/>
      <c r="BD44" s="1835"/>
      <c r="BE44" s="1835"/>
      <c r="BF44" s="1835"/>
      <c r="BG44" s="1835"/>
      <c r="BH44" s="1835"/>
      <c r="BI44" s="1835"/>
      <c r="BJ44" s="1835"/>
      <c r="BK44" s="1835"/>
      <c r="BL44" s="1835"/>
      <c r="BM44" s="1835"/>
      <c r="BN44" s="1835"/>
      <c r="BO44" s="1835"/>
      <c r="BP44" s="1835"/>
      <c r="BQ44" s="1835"/>
      <c r="BR44" s="1835"/>
      <c r="BS44" s="1835"/>
      <c r="BT44" s="1835"/>
      <c r="BU44" s="1835"/>
      <c r="BV44" s="1835"/>
      <c r="BW44" s="1835"/>
      <c r="BX44" s="1835"/>
      <c r="BY44" s="1835"/>
      <c r="BZ44" s="1835"/>
      <c r="CA44" s="1835"/>
      <c r="CB44" s="1835"/>
      <c r="CC44" s="1835"/>
      <c r="CD44" s="1835"/>
      <c r="CE44" s="1835"/>
      <c r="CF44" s="1835"/>
      <c r="CG44" s="1835"/>
      <c r="CH44" s="1835"/>
      <c r="CI44" s="1835"/>
      <c r="CJ44" s="1835"/>
      <c r="CK44" s="1835"/>
      <c r="CL44" s="1835"/>
      <c r="CM44" s="1835"/>
      <c r="CN44" s="1835"/>
      <c r="CO44" s="1835"/>
      <c r="CP44" s="1835"/>
      <c r="CQ44" s="1835"/>
      <c r="CR44" s="1835"/>
      <c r="CS44" s="1835"/>
      <c r="CT44" s="1835"/>
      <c r="CU44" s="1835"/>
      <c r="CV44" s="1835"/>
      <c r="CW44" s="1835"/>
      <c r="CX44" s="1835"/>
      <c r="CY44" s="1835"/>
      <c r="CZ44" s="1835"/>
      <c r="DA44" s="1835"/>
      <c r="DB44" s="1835"/>
      <c r="DC44" s="1835"/>
      <c r="DD44" s="1835"/>
      <c r="DE44" s="1835"/>
      <c r="DF44" s="1835"/>
      <c r="DG44" s="1835"/>
      <c r="DH44" s="1835"/>
      <c r="DI44" s="1835"/>
      <c r="DJ44" s="1835"/>
      <c r="DK44" s="1835"/>
      <c r="DL44" s="1835"/>
      <c r="DM44" s="1835"/>
      <c r="DN44" s="1835"/>
      <c r="DO44" s="1835"/>
      <c r="DP44" s="1835"/>
      <c r="DQ44" s="1835"/>
      <c r="DR44" s="1835"/>
      <c r="DS44" s="1835"/>
      <c r="DT44" s="1835"/>
      <c r="DU44" s="1835"/>
      <c r="DV44" s="1835"/>
      <c r="DW44" s="1835"/>
      <c r="DX44" s="1835"/>
      <c r="DY44" s="1835"/>
      <c r="DZ44" s="1835"/>
    </row>
    <row r="45" spans="1:130" s="376" customFormat="1" ht="15" customHeight="1">
      <c r="A45" s="2085" t="s">
        <v>2808</v>
      </c>
      <c r="B45" s="2094" t="s">
        <v>3203</v>
      </c>
      <c r="C45" s="933" t="s">
        <v>8</v>
      </c>
      <c r="D45" s="928">
        <f>SUM(D46:D49)</f>
        <v>74885.225910000008</v>
      </c>
      <c r="E45" s="928">
        <f>SUM(E46:E49)</f>
        <v>74885.230909999998</v>
      </c>
      <c r="F45" s="928">
        <f>SUM(F46:F49)</f>
        <v>74885.230909999998</v>
      </c>
      <c r="G45" s="67">
        <f t="shared" si="2"/>
        <v>1.0000000667688442</v>
      </c>
      <c r="H45" s="2088" t="s">
        <v>2811</v>
      </c>
      <c r="I45" s="2185" t="s">
        <v>5440</v>
      </c>
      <c r="J45" s="2046" t="s">
        <v>3384</v>
      </c>
      <c r="K45" s="2169" t="s">
        <v>2799</v>
      </c>
      <c r="L45" s="2045"/>
      <c r="M45" s="2023">
        <v>823</v>
      </c>
      <c r="N45" s="1835"/>
      <c r="O45" s="1835"/>
      <c r="P45" s="1835"/>
      <c r="Q45" s="1835"/>
      <c r="R45" s="1835"/>
      <c r="S45" s="1835"/>
      <c r="T45" s="1835"/>
      <c r="U45" s="1835"/>
      <c r="V45" s="1835"/>
      <c r="W45" s="1835"/>
      <c r="X45" s="1835"/>
      <c r="Y45" s="1835"/>
      <c r="Z45" s="1835"/>
      <c r="AA45" s="1835"/>
      <c r="AB45" s="1835"/>
      <c r="AC45" s="1835"/>
      <c r="AD45" s="1835"/>
      <c r="AE45" s="1835"/>
      <c r="AF45" s="1835"/>
      <c r="AG45" s="1835"/>
      <c r="AH45" s="1835"/>
      <c r="AI45" s="1835"/>
      <c r="AJ45" s="1835"/>
      <c r="AK45" s="1835"/>
      <c r="AL45" s="1835"/>
      <c r="AM45" s="1835"/>
      <c r="AN45" s="1835"/>
      <c r="AO45" s="1835"/>
      <c r="AP45" s="1835"/>
      <c r="AQ45" s="1835"/>
      <c r="AR45" s="1835"/>
      <c r="AS45" s="1835"/>
      <c r="AT45" s="1835"/>
      <c r="AU45" s="1835"/>
      <c r="AV45" s="1835"/>
      <c r="AW45" s="1835"/>
      <c r="AX45" s="1835"/>
      <c r="AY45" s="1835"/>
      <c r="AZ45" s="1835"/>
      <c r="BA45" s="1835"/>
      <c r="BB45" s="1835"/>
      <c r="BC45" s="1835"/>
      <c r="BD45" s="1835"/>
      <c r="BE45" s="1835"/>
      <c r="BF45" s="1835"/>
      <c r="BG45" s="1835"/>
      <c r="BH45" s="1835"/>
      <c r="BI45" s="1835"/>
      <c r="BJ45" s="1835"/>
      <c r="BK45" s="1835"/>
      <c r="BL45" s="1835"/>
      <c r="BM45" s="1835"/>
      <c r="BN45" s="1835"/>
      <c r="BO45" s="1835"/>
      <c r="BP45" s="1835"/>
      <c r="BQ45" s="1835"/>
      <c r="BR45" s="1835"/>
      <c r="BS45" s="1835"/>
      <c r="BT45" s="1835"/>
      <c r="BU45" s="1835"/>
      <c r="BV45" s="1835"/>
      <c r="BW45" s="1835"/>
      <c r="BX45" s="1835"/>
      <c r="BY45" s="1835"/>
      <c r="BZ45" s="1835"/>
      <c r="CA45" s="1835"/>
      <c r="CB45" s="1835"/>
      <c r="CC45" s="1835"/>
      <c r="CD45" s="1835"/>
      <c r="CE45" s="1835"/>
      <c r="CF45" s="1835"/>
      <c r="CG45" s="1835"/>
      <c r="CH45" s="1835"/>
      <c r="CI45" s="1835"/>
      <c r="CJ45" s="1835"/>
      <c r="CK45" s="1835"/>
      <c r="CL45" s="1835"/>
      <c r="CM45" s="1835"/>
      <c r="CN45" s="1835"/>
      <c r="CO45" s="1835"/>
      <c r="CP45" s="1835"/>
      <c r="CQ45" s="1835"/>
      <c r="CR45" s="1835"/>
      <c r="CS45" s="1835"/>
      <c r="CT45" s="1835"/>
      <c r="CU45" s="1835"/>
      <c r="CV45" s="1835"/>
      <c r="CW45" s="1835"/>
      <c r="CX45" s="1835"/>
      <c r="CY45" s="1835"/>
      <c r="CZ45" s="1835"/>
      <c r="DA45" s="1835"/>
      <c r="DB45" s="1835"/>
      <c r="DC45" s="1835"/>
      <c r="DD45" s="1835"/>
      <c r="DE45" s="1835"/>
      <c r="DF45" s="1835"/>
      <c r="DG45" s="1835"/>
      <c r="DH45" s="1835"/>
      <c r="DI45" s="1835"/>
      <c r="DJ45" s="1835"/>
      <c r="DK45" s="1835"/>
      <c r="DL45" s="1835"/>
      <c r="DM45" s="1835"/>
      <c r="DN45" s="1835"/>
      <c r="DO45" s="1835"/>
      <c r="DP45" s="1835"/>
      <c r="DQ45" s="1835"/>
      <c r="DR45" s="1835"/>
      <c r="DS45" s="1835"/>
      <c r="DT45" s="1835"/>
      <c r="DU45" s="1835"/>
      <c r="DV45" s="1835"/>
      <c r="DW45" s="1835"/>
      <c r="DX45" s="1835"/>
      <c r="DY45" s="1835"/>
      <c r="DZ45" s="1835"/>
    </row>
    <row r="46" spans="1:130" s="376" customFormat="1" ht="15" customHeight="1">
      <c r="A46" s="2086"/>
      <c r="B46" s="2095"/>
      <c r="C46" s="932" t="s">
        <v>9</v>
      </c>
      <c r="D46" s="108">
        <f>'475ПП'!F85+16937.19091</f>
        <v>74885.225910000008</v>
      </c>
      <c r="E46" s="108">
        <f>F46</f>
        <v>74885.230909999998</v>
      </c>
      <c r="F46" s="108">
        <f>'2023'!H22</f>
        <v>74885.230909999998</v>
      </c>
      <c r="G46" s="67">
        <f t="shared" si="2"/>
        <v>1.0000000667688442</v>
      </c>
      <c r="H46" s="2089"/>
      <c r="I46" s="2186"/>
      <c r="J46" s="2047"/>
      <c r="K46" s="2170"/>
      <c r="L46" s="2021"/>
      <c r="M46" s="2024"/>
      <c r="N46" s="1835"/>
      <c r="O46" s="1835"/>
      <c r="P46" s="1835"/>
      <c r="Q46" s="1835"/>
      <c r="R46" s="1835"/>
      <c r="S46" s="1835"/>
      <c r="T46" s="1835"/>
      <c r="U46" s="1835"/>
      <c r="V46" s="1835"/>
      <c r="W46" s="1835"/>
      <c r="X46" s="1835"/>
      <c r="Y46" s="1835"/>
      <c r="Z46" s="1835"/>
      <c r="AA46" s="1835"/>
      <c r="AB46" s="1835"/>
      <c r="AC46" s="1835"/>
      <c r="AD46" s="1835"/>
      <c r="AE46" s="1835"/>
      <c r="AF46" s="1835"/>
      <c r="AG46" s="1835"/>
      <c r="AH46" s="1835"/>
      <c r="AI46" s="1835"/>
      <c r="AJ46" s="1835"/>
      <c r="AK46" s="1835"/>
      <c r="AL46" s="1835"/>
      <c r="AM46" s="1835"/>
      <c r="AN46" s="1835"/>
      <c r="AO46" s="1835"/>
      <c r="AP46" s="1835"/>
      <c r="AQ46" s="1835"/>
      <c r="AR46" s="1835"/>
      <c r="AS46" s="1835"/>
      <c r="AT46" s="1835"/>
      <c r="AU46" s="1835"/>
      <c r="AV46" s="1835"/>
      <c r="AW46" s="1835"/>
      <c r="AX46" s="1835"/>
      <c r="AY46" s="1835"/>
      <c r="AZ46" s="1835"/>
      <c r="BA46" s="1835"/>
      <c r="BB46" s="1835"/>
      <c r="BC46" s="1835"/>
      <c r="BD46" s="1835"/>
      <c r="BE46" s="1835"/>
      <c r="BF46" s="1835"/>
      <c r="BG46" s="1835"/>
      <c r="BH46" s="1835"/>
      <c r="BI46" s="1835"/>
      <c r="BJ46" s="1835"/>
      <c r="BK46" s="1835"/>
      <c r="BL46" s="1835"/>
      <c r="BM46" s="1835"/>
      <c r="BN46" s="1835"/>
      <c r="BO46" s="1835"/>
      <c r="BP46" s="1835"/>
      <c r="BQ46" s="1835"/>
      <c r="BR46" s="1835"/>
      <c r="BS46" s="1835"/>
      <c r="BT46" s="1835"/>
      <c r="BU46" s="1835"/>
      <c r="BV46" s="1835"/>
      <c r="BW46" s="1835"/>
      <c r="BX46" s="1835"/>
      <c r="BY46" s="1835"/>
      <c r="BZ46" s="1835"/>
      <c r="CA46" s="1835"/>
      <c r="CB46" s="1835"/>
      <c r="CC46" s="1835"/>
      <c r="CD46" s="1835"/>
      <c r="CE46" s="1835"/>
      <c r="CF46" s="1835"/>
      <c r="CG46" s="1835"/>
      <c r="CH46" s="1835"/>
      <c r="CI46" s="1835"/>
      <c r="CJ46" s="1835"/>
      <c r="CK46" s="1835"/>
      <c r="CL46" s="1835"/>
      <c r="CM46" s="1835"/>
      <c r="CN46" s="1835"/>
      <c r="CO46" s="1835"/>
      <c r="CP46" s="1835"/>
      <c r="CQ46" s="1835"/>
      <c r="CR46" s="1835"/>
      <c r="CS46" s="1835"/>
      <c r="CT46" s="1835"/>
      <c r="CU46" s="1835"/>
      <c r="CV46" s="1835"/>
      <c r="CW46" s="1835"/>
      <c r="CX46" s="1835"/>
      <c r="CY46" s="1835"/>
      <c r="CZ46" s="1835"/>
      <c r="DA46" s="1835"/>
      <c r="DB46" s="1835"/>
      <c r="DC46" s="1835"/>
      <c r="DD46" s="1835"/>
      <c r="DE46" s="1835"/>
      <c r="DF46" s="1835"/>
      <c r="DG46" s="1835"/>
      <c r="DH46" s="1835"/>
      <c r="DI46" s="1835"/>
      <c r="DJ46" s="1835"/>
      <c r="DK46" s="1835"/>
      <c r="DL46" s="1835"/>
      <c r="DM46" s="1835"/>
      <c r="DN46" s="1835"/>
      <c r="DO46" s="1835"/>
      <c r="DP46" s="1835"/>
      <c r="DQ46" s="1835"/>
      <c r="DR46" s="1835"/>
      <c r="DS46" s="1835"/>
      <c r="DT46" s="1835"/>
      <c r="DU46" s="1835"/>
      <c r="DV46" s="1835"/>
      <c r="DW46" s="1835"/>
      <c r="DX46" s="1835"/>
      <c r="DY46" s="1835"/>
      <c r="DZ46" s="1835"/>
    </row>
    <row r="47" spans="1:130" s="376" customFormat="1" ht="15" customHeight="1">
      <c r="A47" s="2086"/>
      <c r="B47" s="2095"/>
      <c r="C47" s="932" t="s">
        <v>10</v>
      </c>
      <c r="D47" s="655">
        <f>'475ПП'!G85</f>
        <v>0</v>
      </c>
      <c r="E47" s="108">
        <v>0</v>
      </c>
      <c r="F47" s="108">
        <v>0</v>
      </c>
      <c r="G47" s="67">
        <f t="shared" si="2"/>
        <v>0</v>
      </c>
      <c r="H47" s="2089"/>
      <c r="I47" s="2186"/>
      <c r="J47" s="2047"/>
      <c r="K47" s="2170"/>
      <c r="L47" s="2021"/>
      <c r="M47" s="2024"/>
      <c r="N47" s="1835"/>
      <c r="O47" s="1835"/>
      <c r="P47" s="1835"/>
      <c r="Q47" s="1835"/>
      <c r="R47" s="1835"/>
      <c r="S47" s="1835"/>
      <c r="T47" s="1835"/>
      <c r="U47" s="1835"/>
      <c r="V47" s="1835"/>
      <c r="W47" s="1835"/>
      <c r="X47" s="1835"/>
      <c r="Y47" s="1835"/>
      <c r="Z47" s="1835"/>
      <c r="AA47" s="1835"/>
      <c r="AB47" s="1835"/>
      <c r="AC47" s="1835"/>
      <c r="AD47" s="1835"/>
      <c r="AE47" s="1835"/>
      <c r="AF47" s="1835"/>
      <c r="AG47" s="1835"/>
      <c r="AH47" s="1835"/>
      <c r="AI47" s="1835"/>
      <c r="AJ47" s="1835"/>
      <c r="AK47" s="1835"/>
      <c r="AL47" s="1835"/>
      <c r="AM47" s="1835"/>
      <c r="AN47" s="1835"/>
      <c r="AO47" s="1835"/>
      <c r="AP47" s="1835"/>
      <c r="AQ47" s="1835"/>
      <c r="AR47" s="1835"/>
      <c r="AS47" s="1835"/>
      <c r="AT47" s="1835"/>
      <c r="AU47" s="1835"/>
      <c r="AV47" s="1835"/>
      <c r="AW47" s="1835"/>
      <c r="AX47" s="1835"/>
      <c r="AY47" s="1835"/>
      <c r="AZ47" s="1835"/>
      <c r="BA47" s="1835"/>
      <c r="BB47" s="1835"/>
      <c r="BC47" s="1835"/>
      <c r="BD47" s="1835"/>
      <c r="BE47" s="1835"/>
      <c r="BF47" s="1835"/>
      <c r="BG47" s="1835"/>
      <c r="BH47" s="1835"/>
      <c r="BI47" s="1835"/>
      <c r="BJ47" s="1835"/>
      <c r="BK47" s="1835"/>
      <c r="BL47" s="1835"/>
      <c r="BM47" s="1835"/>
      <c r="BN47" s="1835"/>
      <c r="BO47" s="1835"/>
      <c r="BP47" s="1835"/>
      <c r="BQ47" s="1835"/>
      <c r="BR47" s="1835"/>
      <c r="BS47" s="1835"/>
      <c r="BT47" s="1835"/>
      <c r="BU47" s="1835"/>
      <c r="BV47" s="1835"/>
      <c r="BW47" s="1835"/>
      <c r="BX47" s="1835"/>
      <c r="BY47" s="1835"/>
      <c r="BZ47" s="1835"/>
      <c r="CA47" s="1835"/>
      <c r="CB47" s="1835"/>
      <c r="CC47" s="1835"/>
      <c r="CD47" s="1835"/>
      <c r="CE47" s="1835"/>
      <c r="CF47" s="1835"/>
      <c r="CG47" s="1835"/>
      <c r="CH47" s="1835"/>
      <c r="CI47" s="1835"/>
      <c r="CJ47" s="1835"/>
      <c r="CK47" s="1835"/>
      <c r="CL47" s="1835"/>
      <c r="CM47" s="1835"/>
      <c r="CN47" s="1835"/>
      <c r="CO47" s="1835"/>
      <c r="CP47" s="1835"/>
      <c r="CQ47" s="1835"/>
      <c r="CR47" s="1835"/>
      <c r="CS47" s="1835"/>
      <c r="CT47" s="1835"/>
      <c r="CU47" s="1835"/>
      <c r="CV47" s="1835"/>
      <c r="CW47" s="1835"/>
      <c r="CX47" s="1835"/>
      <c r="CY47" s="1835"/>
      <c r="CZ47" s="1835"/>
      <c r="DA47" s="1835"/>
      <c r="DB47" s="1835"/>
      <c r="DC47" s="1835"/>
      <c r="DD47" s="1835"/>
      <c r="DE47" s="1835"/>
      <c r="DF47" s="1835"/>
      <c r="DG47" s="1835"/>
      <c r="DH47" s="1835"/>
      <c r="DI47" s="1835"/>
      <c r="DJ47" s="1835"/>
      <c r="DK47" s="1835"/>
      <c r="DL47" s="1835"/>
      <c r="DM47" s="1835"/>
      <c r="DN47" s="1835"/>
      <c r="DO47" s="1835"/>
      <c r="DP47" s="1835"/>
      <c r="DQ47" s="1835"/>
      <c r="DR47" s="1835"/>
      <c r="DS47" s="1835"/>
      <c r="DT47" s="1835"/>
      <c r="DU47" s="1835"/>
      <c r="DV47" s="1835"/>
      <c r="DW47" s="1835"/>
      <c r="DX47" s="1835"/>
      <c r="DY47" s="1835"/>
      <c r="DZ47" s="1835"/>
    </row>
    <row r="48" spans="1:130" s="376" customFormat="1" ht="15" customHeight="1">
      <c r="A48" s="2086"/>
      <c r="B48" s="2095"/>
      <c r="C48" s="932" t="s">
        <v>11</v>
      </c>
      <c r="D48" s="655">
        <f>'475ПП'!H85</f>
        <v>0</v>
      </c>
      <c r="E48" s="108">
        <v>0</v>
      </c>
      <c r="F48" s="108">
        <v>0</v>
      </c>
      <c r="G48" s="67">
        <f t="shared" si="2"/>
        <v>0</v>
      </c>
      <c r="H48" s="2089"/>
      <c r="I48" s="2186"/>
      <c r="J48" s="2047"/>
      <c r="K48" s="2170"/>
      <c r="L48" s="2021"/>
      <c r="M48" s="2024"/>
      <c r="N48" s="1835"/>
      <c r="O48" s="1835"/>
      <c r="P48" s="1835"/>
      <c r="Q48" s="1835"/>
      <c r="R48" s="1835"/>
      <c r="S48" s="1835"/>
      <c r="T48" s="1835"/>
      <c r="U48" s="1835"/>
      <c r="V48" s="1835"/>
      <c r="W48" s="1835"/>
      <c r="X48" s="1835"/>
      <c r="Y48" s="1835"/>
      <c r="Z48" s="1835"/>
      <c r="AA48" s="1835"/>
      <c r="AB48" s="1835"/>
      <c r="AC48" s="1835"/>
      <c r="AD48" s="1835"/>
      <c r="AE48" s="1835"/>
      <c r="AF48" s="1835"/>
      <c r="AG48" s="1835"/>
      <c r="AH48" s="1835"/>
      <c r="AI48" s="1835"/>
      <c r="AJ48" s="1835"/>
      <c r="AK48" s="1835"/>
      <c r="AL48" s="1835"/>
      <c r="AM48" s="1835"/>
      <c r="AN48" s="1835"/>
      <c r="AO48" s="1835"/>
      <c r="AP48" s="1835"/>
      <c r="AQ48" s="1835"/>
      <c r="AR48" s="1835"/>
      <c r="AS48" s="1835"/>
      <c r="AT48" s="1835"/>
      <c r="AU48" s="1835"/>
      <c r="AV48" s="1835"/>
      <c r="AW48" s="1835"/>
      <c r="AX48" s="1835"/>
      <c r="AY48" s="1835"/>
      <c r="AZ48" s="1835"/>
      <c r="BA48" s="1835"/>
      <c r="BB48" s="1835"/>
      <c r="BC48" s="1835"/>
      <c r="BD48" s="1835"/>
      <c r="BE48" s="1835"/>
      <c r="BF48" s="1835"/>
      <c r="BG48" s="1835"/>
      <c r="BH48" s="1835"/>
      <c r="BI48" s="1835"/>
      <c r="BJ48" s="1835"/>
      <c r="BK48" s="1835"/>
      <c r="BL48" s="1835"/>
      <c r="BM48" s="1835"/>
      <c r="BN48" s="1835"/>
      <c r="BO48" s="1835"/>
      <c r="BP48" s="1835"/>
      <c r="BQ48" s="1835"/>
      <c r="BR48" s="1835"/>
      <c r="BS48" s="1835"/>
      <c r="BT48" s="1835"/>
      <c r="BU48" s="1835"/>
      <c r="BV48" s="1835"/>
      <c r="BW48" s="1835"/>
      <c r="BX48" s="1835"/>
      <c r="BY48" s="1835"/>
      <c r="BZ48" s="1835"/>
      <c r="CA48" s="1835"/>
      <c r="CB48" s="1835"/>
      <c r="CC48" s="1835"/>
      <c r="CD48" s="1835"/>
      <c r="CE48" s="1835"/>
      <c r="CF48" s="1835"/>
      <c r="CG48" s="1835"/>
      <c r="CH48" s="1835"/>
      <c r="CI48" s="1835"/>
      <c r="CJ48" s="1835"/>
      <c r="CK48" s="1835"/>
      <c r="CL48" s="1835"/>
      <c r="CM48" s="1835"/>
      <c r="CN48" s="1835"/>
      <c r="CO48" s="1835"/>
      <c r="CP48" s="1835"/>
      <c r="CQ48" s="1835"/>
      <c r="CR48" s="1835"/>
      <c r="CS48" s="1835"/>
      <c r="CT48" s="1835"/>
      <c r="CU48" s="1835"/>
      <c r="CV48" s="1835"/>
      <c r="CW48" s="1835"/>
      <c r="CX48" s="1835"/>
      <c r="CY48" s="1835"/>
      <c r="CZ48" s="1835"/>
      <c r="DA48" s="1835"/>
      <c r="DB48" s="1835"/>
      <c r="DC48" s="1835"/>
      <c r="DD48" s="1835"/>
      <c r="DE48" s="1835"/>
      <c r="DF48" s="1835"/>
      <c r="DG48" s="1835"/>
      <c r="DH48" s="1835"/>
      <c r="DI48" s="1835"/>
      <c r="DJ48" s="1835"/>
      <c r="DK48" s="1835"/>
      <c r="DL48" s="1835"/>
      <c r="DM48" s="1835"/>
      <c r="DN48" s="1835"/>
      <c r="DO48" s="1835"/>
      <c r="DP48" s="1835"/>
      <c r="DQ48" s="1835"/>
      <c r="DR48" s="1835"/>
      <c r="DS48" s="1835"/>
      <c r="DT48" s="1835"/>
      <c r="DU48" s="1835"/>
      <c r="DV48" s="1835"/>
      <c r="DW48" s="1835"/>
      <c r="DX48" s="1835"/>
      <c r="DY48" s="1835"/>
      <c r="DZ48" s="1835"/>
    </row>
    <row r="49" spans="1:130" s="376" customFormat="1" ht="49.5" customHeight="1">
      <c r="A49" s="2087"/>
      <c r="B49" s="2096"/>
      <c r="C49" s="932" t="s">
        <v>12</v>
      </c>
      <c r="D49" s="655">
        <f>'475ПП'!I85</f>
        <v>0</v>
      </c>
      <c r="E49" s="108">
        <v>0</v>
      </c>
      <c r="F49" s="108">
        <v>0</v>
      </c>
      <c r="G49" s="67">
        <f t="shared" si="2"/>
        <v>0</v>
      </c>
      <c r="H49" s="2090"/>
      <c r="I49" s="2187"/>
      <c r="J49" s="2048"/>
      <c r="K49" s="2171"/>
      <c r="L49" s="2022"/>
      <c r="M49" s="2024"/>
      <c r="N49" s="1835"/>
      <c r="O49" s="1835"/>
      <c r="P49" s="1835"/>
      <c r="Q49" s="1835"/>
      <c r="R49" s="1835"/>
      <c r="S49" s="1835"/>
      <c r="T49" s="1835"/>
      <c r="U49" s="1835"/>
      <c r="V49" s="1835"/>
      <c r="W49" s="1835"/>
      <c r="X49" s="1835"/>
      <c r="Y49" s="1835"/>
      <c r="Z49" s="1835"/>
      <c r="AA49" s="1835"/>
      <c r="AB49" s="1835"/>
      <c r="AC49" s="1835"/>
      <c r="AD49" s="1835"/>
      <c r="AE49" s="1835"/>
      <c r="AF49" s="1835"/>
      <c r="AG49" s="1835"/>
      <c r="AH49" s="1835"/>
      <c r="AI49" s="1835"/>
      <c r="AJ49" s="1835"/>
      <c r="AK49" s="1835"/>
      <c r="AL49" s="1835"/>
      <c r="AM49" s="1835"/>
      <c r="AN49" s="1835"/>
      <c r="AO49" s="1835"/>
      <c r="AP49" s="1835"/>
      <c r="AQ49" s="1835"/>
      <c r="AR49" s="1835"/>
      <c r="AS49" s="1835"/>
      <c r="AT49" s="1835"/>
      <c r="AU49" s="1835"/>
      <c r="AV49" s="1835"/>
      <c r="AW49" s="1835"/>
      <c r="AX49" s="1835"/>
      <c r="AY49" s="1835"/>
      <c r="AZ49" s="1835"/>
      <c r="BA49" s="1835"/>
      <c r="BB49" s="1835"/>
      <c r="BC49" s="1835"/>
      <c r="BD49" s="1835"/>
      <c r="BE49" s="1835"/>
      <c r="BF49" s="1835"/>
      <c r="BG49" s="1835"/>
      <c r="BH49" s="1835"/>
      <c r="BI49" s="1835"/>
      <c r="BJ49" s="1835"/>
      <c r="BK49" s="1835"/>
      <c r="BL49" s="1835"/>
      <c r="BM49" s="1835"/>
      <c r="BN49" s="1835"/>
      <c r="BO49" s="1835"/>
      <c r="BP49" s="1835"/>
      <c r="BQ49" s="1835"/>
      <c r="BR49" s="1835"/>
      <c r="BS49" s="1835"/>
      <c r="BT49" s="1835"/>
      <c r="BU49" s="1835"/>
      <c r="BV49" s="1835"/>
      <c r="BW49" s="1835"/>
      <c r="BX49" s="1835"/>
      <c r="BY49" s="1835"/>
      <c r="BZ49" s="1835"/>
      <c r="CA49" s="1835"/>
      <c r="CB49" s="1835"/>
      <c r="CC49" s="1835"/>
      <c r="CD49" s="1835"/>
      <c r="CE49" s="1835"/>
      <c r="CF49" s="1835"/>
      <c r="CG49" s="1835"/>
      <c r="CH49" s="1835"/>
      <c r="CI49" s="1835"/>
      <c r="CJ49" s="1835"/>
      <c r="CK49" s="1835"/>
      <c r="CL49" s="1835"/>
      <c r="CM49" s="1835"/>
      <c r="CN49" s="1835"/>
      <c r="CO49" s="1835"/>
      <c r="CP49" s="1835"/>
      <c r="CQ49" s="1835"/>
      <c r="CR49" s="1835"/>
      <c r="CS49" s="1835"/>
      <c r="CT49" s="1835"/>
      <c r="CU49" s="1835"/>
      <c r="CV49" s="1835"/>
      <c r="CW49" s="1835"/>
      <c r="CX49" s="1835"/>
      <c r="CY49" s="1835"/>
      <c r="CZ49" s="1835"/>
      <c r="DA49" s="1835"/>
      <c r="DB49" s="1835"/>
      <c r="DC49" s="1835"/>
      <c r="DD49" s="1835"/>
      <c r="DE49" s="1835"/>
      <c r="DF49" s="1835"/>
      <c r="DG49" s="1835"/>
      <c r="DH49" s="1835"/>
      <c r="DI49" s="1835"/>
      <c r="DJ49" s="1835"/>
      <c r="DK49" s="1835"/>
      <c r="DL49" s="1835"/>
      <c r="DM49" s="1835"/>
      <c r="DN49" s="1835"/>
      <c r="DO49" s="1835"/>
      <c r="DP49" s="1835"/>
      <c r="DQ49" s="1835"/>
      <c r="DR49" s="1835"/>
      <c r="DS49" s="1835"/>
      <c r="DT49" s="1835"/>
      <c r="DU49" s="1835"/>
      <c r="DV49" s="1835"/>
      <c r="DW49" s="1835"/>
      <c r="DX49" s="1835"/>
      <c r="DY49" s="1835"/>
      <c r="DZ49" s="1835"/>
    </row>
    <row r="50" spans="1:130" s="376" customFormat="1" ht="15" customHeight="1">
      <c r="A50" s="2082" t="s">
        <v>2908</v>
      </c>
      <c r="B50" s="2091" t="s">
        <v>2903</v>
      </c>
      <c r="C50" s="933" t="s">
        <v>8</v>
      </c>
      <c r="D50" s="934">
        <f>SUM(D51:D54)</f>
        <v>20000</v>
      </c>
      <c r="E50" s="929">
        <f>SUM(E51:E54)</f>
        <v>20000</v>
      </c>
      <c r="F50" s="929">
        <f>SUM(F51:F54)</f>
        <v>20000</v>
      </c>
      <c r="G50" s="67">
        <f t="shared" si="2"/>
        <v>1</v>
      </c>
      <c r="H50" s="2181" t="s">
        <v>2897</v>
      </c>
      <c r="I50" s="2049" t="s">
        <v>3512</v>
      </c>
      <c r="J50" s="2046" t="s">
        <v>3384</v>
      </c>
      <c r="K50" s="2169" t="s">
        <v>2799</v>
      </c>
      <c r="L50" s="2045"/>
      <c r="M50" s="2023">
        <v>823</v>
      </c>
      <c r="N50" s="1835"/>
      <c r="O50" s="1835"/>
      <c r="P50" s="1835"/>
      <c r="Q50" s="1835"/>
      <c r="R50" s="1835"/>
      <c r="S50" s="1835"/>
      <c r="T50" s="1835"/>
      <c r="U50" s="1835"/>
      <c r="V50" s="1835"/>
      <c r="W50" s="1835"/>
      <c r="X50" s="1835"/>
      <c r="Y50" s="1835"/>
      <c r="Z50" s="1835"/>
      <c r="AA50" s="1835"/>
      <c r="AB50" s="1835"/>
      <c r="AC50" s="1835"/>
      <c r="AD50" s="1835"/>
      <c r="AE50" s="1835"/>
      <c r="AF50" s="1835"/>
      <c r="AG50" s="1835"/>
      <c r="AH50" s="1835"/>
      <c r="AI50" s="1835"/>
      <c r="AJ50" s="1835"/>
      <c r="AK50" s="1835"/>
      <c r="AL50" s="1835"/>
      <c r="AM50" s="1835"/>
      <c r="AN50" s="1835"/>
      <c r="AO50" s="1835"/>
      <c r="AP50" s="1835"/>
      <c r="AQ50" s="1835"/>
      <c r="AR50" s="1835"/>
      <c r="AS50" s="1835"/>
      <c r="AT50" s="1835"/>
      <c r="AU50" s="1835"/>
      <c r="AV50" s="1835"/>
      <c r="AW50" s="1835"/>
      <c r="AX50" s="1835"/>
      <c r="AY50" s="1835"/>
      <c r="AZ50" s="1835"/>
      <c r="BA50" s="1835"/>
      <c r="BB50" s="1835"/>
      <c r="BC50" s="1835"/>
      <c r="BD50" s="1835"/>
      <c r="BE50" s="1835"/>
      <c r="BF50" s="1835"/>
      <c r="BG50" s="1835"/>
      <c r="BH50" s="1835"/>
      <c r="BI50" s="1835"/>
      <c r="BJ50" s="1835"/>
      <c r="BK50" s="1835"/>
      <c r="BL50" s="1835"/>
      <c r="BM50" s="1835"/>
      <c r="BN50" s="1835"/>
      <c r="BO50" s="1835"/>
      <c r="BP50" s="1835"/>
      <c r="BQ50" s="1835"/>
      <c r="BR50" s="1835"/>
      <c r="BS50" s="1835"/>
      <c r="BT50" s="1835"/>
      <c r="BU50" s="1835"/>
      <c r="BV50" s="1835"/>
      <c r="BW50" s="1835"/>
      <c r="BX50" s="1835"/>
      <c r="BY50" s="1835"/>
      <c r="BZ50" s="1835"/>
      <c r="CA50" s="1835"/>
      <c r="CB50" s="1835"/>
      <c r="CC50" s="1835"/>
      <c r="CD50" s="1835"/>
      <c r="CE50" s="1835"/>
      <c r="CF50" s="1835"/>
      <c r="CG50" s="1835"/>
      <c r="CH50" s="1835"/>
      <c r="CI50" s="1835"/>
      <c r="CJ50" s="1835"/>
      <c r="CK50" s="1835"/>
      <c r="CL50" s="1835"/>
      <c r="CM50" s="1835"/>
      <c r="CN50" s="1835"/>
      <c r="CO50" s="1835"/>
      <c r="CP50" s="1835"/>
      <c r="CQ50" s="1835"/>
      <c r="CR50" s="1835"/>
      <c r="CS50" s="1835"/>
      <c r="CT50" s="1835"/>
      <c r="CU50" s="1835"/>
      <c r="CV50" s="1835"/>
      <c r="CW50" s="1835"/>
      <c r="CX50" s="1835"/>
      <c r="CY50" s="1835"/>
      <c r="CZ50" s="1835"/>
      <c r="DA50" s="1835"/>
      <c r="DB50" s="1835"/>
      <c r="DC50" s="1835"/>
      <c r="DD50" s="1835"/>
      <c r="DE50" s="1835"/>
      <c r="DF50" s="1835"/>
      <c r="DG50" s="1835"/>
      <c r="DH50" s="1835"/>
      <c r="DI50" s="1835"/>
      <c r="DJ50" s="1835"/>
      <c r="DK50" s="1835"/>
      <c r="DL50" s="1835"/>
      <c r="DM50" s="1835"/>
      <c r="DN50" s="1835"/>
      <c r="DO50" s="1835"/>
      <c r="DP50" s="1835"/>
      <c r="DQ50" s="1835"/>
      <c r="DR50" s="1835"/>
      <c r="DS50" s="1835"/>
      <c r="DT50" s="1835"/>
      <c r="DU50" s="1835"/>
      <c r="DV50" s="1835"/>
      <c r="DW50" s="1835"/>
      <c r="DX50" s="1835"/>
      <c r="DY50" s="1835"/>
      <c r="DZ50" s="1835"/>
    </row>
    <row r="51" spans="1:130" s="376" customFormat="1" ht="15" customHeight="1">
      <c r="A51" s="2012"/>
      <c r="B51" s="2092"/>
      <c r="C51" s="932" t="s">
        <v>9</v>
      </c>
      <c r="D51" s="109">
        <f>'475ПП'!F91</f>
        <v>20000</v>
      </c>
      <c r="E51" s="658">
        <f>'2023'!H23</f>
        <v>20000</v>
      </c>
      <c r="F51" s="658">
        <f>E51</f>
        <v>20000</v>
      </c>
      <c r="G51" s="67">
        <f t="shared" si="2"/>
        <v>1</v>
      </c>
      <c r="H51" s="2182"/>
      <c r="I51" s="2188"/>
      <c r="J51" s="2047"/>
      <c r="K51" s="2170"/>
      <c r="L51" s="2021"/>
      <c r="M51" s="2024"/>
      <c r="N51" s="1835"/>
      <c r="O51" s="1835"/>
      <c r="P51" s="1835"/>
      <c r="Q51" s="1835"/>
      <c r="R51" s="1835"/>
      <c r="S51" s="1835"/>
      <c r="T51" s="1835"/>
      <c r="U51" s="1835"/>
      <c r="V51" s="1835"/>
      <c r="W51" s="1835"/>
      <c r="X51" s="1835"/>
      <c r="Y51" s="1835"/>
      <c r="Z51" s="1835"/>
      <c r="AA51" s="1835"/>
      <c r="AB51" s="1835"/>
      <c r="AC51" s="1835"/>
      <c r="AD51" s="1835"/>
      <c r="AE51" s="1835"/>
      <c r="AF51" s="1835"/>
      <c r="AG51" s="1835"/>
      <c r="AH51" s="1835"/>
      <c r="AI51" s="1835"/>
      <c r="AJ51" s="1835"/>
      <c r="AK51" s="1835"/>
      <c r="AL51" s="1835"/>
      <c r="AM51" s="1835"/>
      <c r="AN51" s="1835"/>
      <c r="AO51" s="1835"/>
      <c r="AP51" s="1835"/>
      <c r="AQ51" s="1835"/>
      <c r="AR51" s="1835"/>
      <c r="AS51" s="1835"/>
      <c r="AT51" s="1835"/>
      <c r="AU51" s="1835"/>
      <c r="AV51" s="1835"/>
      <c r="AW51" s="1835"/>
      <c r="AX51" s="1835"/>
      <c r="AY51" s="1835"/>
      <c r="AZ51" s="1835"/>
      <c r="BA51" s="1835"/>
      <c r="BB51" s="1835"/>
      <c r="BC51" s="1835"/>
      <c r="BD51" s="1835"/>
      <c r="BE51" s="1835"/>
      <c r="BF51" s="1835"/>
      <c r="BG51" s="1835"/>
      <c r="BH51" s="1835"/>
      <c r="BI51" s="1835"/>
      <c r="BJ51" s="1835"/>
      <c r="BK51" s="1835"/>
      <c r="BL51" s="1835"/>
      <c r="BM51" s="1835"/>
      <c r="BN51" s="1835"/>
      <c r="BO51" s="1835"/>
      <c r="BP51" s="1835"/>
      <c r="BQ51" s="1835"/>
      <c r="BR51" s="1835"/>
      <c r="BS51" s="1835"/>
      <c r="BT51" s="1835"/>
      <c r="BU51" s="1835"/>
      <c r="BV51" s="1835"/>
      <c r="BW51" s="1835"/>
      <c r="BX51" s="1835"/>
      <c r="BY51" s="1835"/>
      <c r="BZ51" s="1835"/>
      <c r="CA51" s="1835"/>
      <c r="CB51" s="1835"/>
      <c r="CC51" s="1835"/>
      <c r="CD51" s="1835"/>
      <c r="CE51" s="1835"/>
      <c r="CF51" s="1835"/>
      <c r="CG51" s="1835"/>
      <c r="CH51" s="1835"/>
      <c r="CI51" s="1835"/>
      <c r="CJ51" s="1835"/>
      <c r="CK51" s="1835"/>
      <c r="CL51" s="1835"/>
      <c r="CM51" s="1835"/>
      <c r="CN51" s="1835"/>
      <c r="CO51" s="1835"/>
      <c r="CP51" s="1835"/>
      <c r="CQ51" s="1835"/>
      <c r="CR51" s="1835"/>
      <c r="CS51" s="1835"/>
      <c r="CT51" s="1835"/>
      <c r="CU51" s="1835"/>
      <c r="CV51" s="1835"/>
      <c r="CW51" s="1835"/>
      <c r="CX51" s="1835"/>
      <c r="CY51" s="1835"/>
      <c r="CZ51" s="1835"/>
      <c r="DA51" s="1835"/>
      <c r="DB51" s="1835"/>
      <c r="DC51" s="1835"/>
      <c r="DD51" s="1835"/>
      <c r="DE51" s="1835"/>
      <c r="DF51" s="1835"/>
      <c r="DG51" s="1835"/>
      <c r="DH51" s="1835"/>
      <c r="DI51" s="1835"/>
      <c r="DJ51" s="1835"/>
      <c r="DK51" s="1835"/>
      <c r="DL51" s="1835"/>
      <c r="DM51" s="1835"/>
      <c r="DN51" s="1835"/>
      <c r="DO51" s="1835"/>
      <c r="DP51" s="1835"/>
      <c r="DQ51" s="1835"/>
      <c r="DR51" s="1835"/>
      <c r="DS51" s="1835"/>
      <c r="DT51" s="1835"/>
      <c r="DU51" s="1835"/>
      <c r="DV51" s="1835"/>
      <c r="DW51" s="1835"/>
      <c r="DX51" s="1835"/>
      <c r="DY51" s="1835"/>
      <c r="DZ51" s="1835"/>
    </row>
    <row r="52" spans="1:130" s="376" customFormat="1" ht="15" customHeight="1">
      <c r="A52" s="2012"/>
      <c r="B52" s="2092"/>
      <c r="C52" s="932" t="s">
        <v>10</v>
      </c>
      <c r="D52" s="109">
        <f>'475ПП'!G91</f>
        <v>0</v>
      </c>
      <c r="E52" s="658">
        <v>0</v>
      </c>
      <c r="F52" s="658">
        <v>0</v>
      </c>
      <c r="G52" s="67">
        <f t="shared" si="2"/>
        <v>0</v>
      </c>
      <c r="H52" s="2182"/>
      <c r="I52" s="2188"/>
      <c r="J52" s="2047"/>
      <c r="K52" s="2170"/>
      <c r="L52" s="2021"/>
      <c r="M52" s="2024"/>
      <c r="N52" s="1835"/>
      <c r="O52" s="1835"/>
      <c r="P52" s="1835"/>
      <c r="Q52" s="1835"/>
      <c r="R52" s="1835"/>
      <c r="S52" s="1835"/>
      <c r="T52" s="1835"/>
      <c r="U52" s="1835"/>
      <c r="V52" s="1835"/>
      <c r="W52" s="1835"/>
      <c r="X52" s="1835"/>
      <c r="Y52" s="1835"/>
      <c r="Z52" s="1835"/>
      <c r="AA52" s="1835"/>
      <c r="AB52" s="1835"/>
      <c r="AC52" s="1835"/>
      <c r="AD52" s="1835"/>
      <c r="AE52" s="1835"/>
      <c r="AF52" s="1835"/>
      <c r="AG52" s="1835"/>
      <c r="AH52" s="1835"/>
      <c r="AI52" s="1835"/>
      <c r="AJ52" s="1835"/>
      <c r="AK52" s="1835"/>
      <c r="AL52" s="1835"/>
      <c r="AM52" s="1835"/>
      <c r="AN52" s="1835"/>
      <c r="AO52" s="1835"/>
      <c r="AP52" s="1835"/>
      <c r="AQ52" s="1835"/>
      <c r="AR52" s="1835"/>
      <c r="AS52" s="1835"/>
      <c r="AT52" s="1835"/>
      <c r="AU52" s="1835"/>
      <c r="AV52" s="1835"/>
      <c r="AW52" s="1835"/>
      <c r="AX52" s="1835"/>
      <c r="AY52" s="1835"/>
      <c r="AZ52" s="1835"/>
      <c r="BA52" s="1835"/>
      <c r="BB52" s="1835"/>
      <c r="BC52" s="1835"/>
      <c r="BD52" s="1835"/>
      <c r="BE52" s="1835"/>
      <c r="BF52" s="1835"/>
      <c r="BG52" s="1835"/>
      <c r="BH52" s="1835"/>
      <c r="BI52" s="1835"/>
      <c r="BJ52" s="1835"/>
      <c r="BK52" s="1835"/>
      <c r="BL52" s="1835"/>
      <c r="BM52" s="1835"/>
      <c r="BN52" s="1835"/>
      <c r="BO52" s="1835"/>
      <c r="BP52" s="1835"/>
      <c r="BQ52" s="1835"/>
      <c r="BR52" s="1835"/>
      <c r="BS52" s="1835"/>
      <c r="BT52" s="1835"/>
      <c r="BU52" s="1835"/>
      <c r="BV52" s="1835"/>
      <c r="BW52" s="1835"/>
      <c r="BX52" s="1835"/>
      <c r="BY52" s="1835"/>
      <c r="BZ52" s="1835"/>
      <c r="CA52" s="1835"/>
      <c r="CB52" s="1835"/>
      <c r="CC52" s="1835"/>
      <c r="CD52" s="1835"/>
      <c r="CE52" s="1835"/>
      <c r="CF52" s="1835"/>
      <c r="CG52" s="1835"/>
      <c r="CH52" s="1835"/>
      <c r="CI52" s="1835"/>
      <c r="CJ52" s="1835"/>
      <c r="CK52" s="1835"/>
      <c r="CL52" s="1835"/>
      <c r="CM52" s="1835"/>
      <c r="CN52" s="1835"/>
      <c r="CO52" s="1835"/>
      <c r="CP52" s="1835"/>
      <c r="CQ52" s="1835"/>
      <c r="CR52" s="1835"/>
      <c r="CS52" s="1835"/>
      <c r="CT52" s="1835"/>
      <c r="CU52" s="1835"/>
      <c r="CV52" s="1835"/>
      <c r="CW52" s="1835"/>
      <c r="CX52" s="1835"/>
      <c r="CY52" s="1835"/>
      <c r="CZ52" s="1835"/>
      <c r="DA52" s="1835"/>
      <c r="DB52" s="1835"/>
      <c r="DC52" s="1835"/>
      <c r="DD52" s="1835"/>
      <c r="DE52" s="1835"/>
      <c r="DF52" s="1835"/>
      <c r="DG52" s="1835"/>
      <c r="DH52" s="1835"/>
      <c r="DI52" s="1835"/>
      <c r="DJ52" s="1835"/>
      <c r="DK52" s="1835"/>
      <c r="DL52" s="1835"/>
      <c r="DM52" s="1835"/>
      <c r="DN52" s="1835"/>
      <c r="DO52" s="1835"/>
      <c r="DP52" s="1835"/>
      <c r="DQ52" s="1835"/>
      <c r="DR52" s="1835"/>
      <c r="DS52" s="1835"/>
      <c r="DT52" s="1835"/>
      <c r="DU52" s="1835"/>
      <c r="DV52" s="1835"/>
      <c r="DW52" s="1835"/>
      <c r="DX52" s="1835"/>
      <c r="DY52" s="1835"/>
      <c r="DZ52" s="1835"/>
    </row>
    <row r="53" spans="1:130" s="376" customFormat="1" ht="15" customHeight="1">
      <c r="A53" s="2012"/>
      <c r="B53" s="2092"/>
      <c r="C53" s="932" t="s">
        <v>11</v>
      </c>
      <c r="D53" s="109">
        <f>'475ПП'!H91</f>
        <v>0</v>
      </c>
      <c r="E53" s="658">
        <v>0</v>
      </c>
      <c r="F53" s="658">
        <v>0</v>
      </c>
      <c r="G53" s="67">
        <f t="shared" si="2"/>
        <v>0</v>
      </c>
      <c r="H53" s="2182"/>
      <c r="I53" s="2188"/>
      <c r="J53" s="2047"/>
      <c r="K53" s="2170"/>
      <c r="L53" s="2021"/>
      <c r="M53" s="2024"/>
      <c r="N53" s="1835"/>
      <c r="O53" s="1835"/>
      <c r="P53" s="1835"/>
      <c r="Q53" s="1835"/>
      <c r="R53" s="1835"/>
      <c r="S53" s="1835"/>
      <c r="T53" s="1835"/>
      <c r="U53" s="1835"/>
      <c r="V53" s="1835"/>
      <c r="W53" s="1835"/>
      <c r="X53" s="1835"/>
      <c r="Y53" s="1835"/>
      <c r="Z53" s="1835"/>
      <c r="AA53" s="1835"/>
      <c r="AB53" s="1835"/>
      <c r="AC53" s="1835"/>
      <c r="AD53" s="1835"/>
      <c r="AE53" s="1835"/>
      <c r="AF53" s="1835"/>
      <c r="AG53" s="1835"/>
      <c r="AH53" s="1835"/>
      <c r="AI53" s="1835"/>
      <c r="AJ53" s="1835"/>
      <c r="AK53" s="1835"/>
      <c r="AL53" s="1835"/>
      <c r="AM53" s="1835"/>
      <c r="AN53" s="1835"/>
      <c r="AO53" s="1835"/>
      <c r="AP53" s="1835"/>
      <c r="AQ53" s="1835"/>
      <c r="AR53" s="1835"/>
      <c r="AS53" s="1835"/>
      <c r="AT53" s="1835"/>
      <c r="AU53" s="1835"/>
      <c r="AV53" s="1835"/>
      <c r="AW53" s="1835"/>
      <c r="AX53" s="1835"/>
      <c r="AY53" s="1835"/>
      <c r="AZ53" s="1835"/>
      <c r="BA53" s="1835"/>
      <c r="BB53" s="1835"/>
      <c r="BC53" s="1835"/>
      <c r="BD53" s="1835"/>
      <c r="BE53" s="1835"/>
      <c r="BF53" s="1835"/>
      <c r="BG53" s="1835"/>
      <c r="BH53" s="1835"/>
      <c r="BI53" s="1835"/>
      <c r="BJ53" s="1835"/>
      <c r="BK53" s="1835"/>
      <c r="BL53" s="1835"/>
      <c r="BM53" s="1835"/>
      <c r="BN53" s="1835"/>
      <c r="BO53" s="1835"/>
      <c r="BP53" s="1835"/>
      <c r="BQ53" s="1835"/>
      <c r="BR53" s="1835"/>
      <c r="BS53" s="1835"/>
      <c r="BT53" s="1835"/>
      <c r="BU53" s="1835"/>
      <c r="BV53" s="1835"/>
      <c r="BW53" s="1835"/>
      <c r="BX53" s="1835"/>
      <c r="BY53" s="1835"/>
      <c r="BZ53" s="1835"/>
      <c r="CA53" s="1835"/>
      <c r="CB53" s="1835"/>
      <c r="CC53" s="1835"/>
      <c r="CD53" s="1835"/>
      <c r="CE53" s="1835"/>
      <c r="CF53" s="1835"/>
      <c r="CG53" s="1835"/>
      <c r="CH53" s="1835"/>
      <c r="CI53" s="1835"/>
      <c r="CJ53" s="1835"/>
      <c r="CK53" s="1835"/>
      <c r="CL53" s="1835"/>
      <c r="CM53" s="1835"/>
      <c r="CN53" s="1835"/>
      <c r="CO53" s="1835"/>
      <c r="CP53" s="1835"/>
      <c r="CQ53" s="1835"/>
      <c r="CR53" s="1835"/>
      <c r="CS53" s="1835"/>
      <c r="CT53" s="1835"/>
      <c r="CU53" s="1835"/>
      <c r="CV53" s="1835"/>
      <c r="CW53" s="1835"/>
      <c r="CX53" s="1835"/>
      <c r="CY53" s="1835"/>
      <c r="CZ53" s="1835"/>
      <c r="DA53" s="1835"/>
      <c r="DB53" s="1835"/>
      <c r="DC53" s="1835"/>
      <c r="DD53" s="1835"/>
      <c r="DE53" s="1835"/>
      <c r="DF53" s="1835"/>
      <c r="DG53" s="1835"/>
      <c r="DH53" s="1835"/>
      <c r="DI53" s="1835"/>
      <c r="DJ53" s="1835"/>
      <c r="DK53" s="1835"/>
      <c r="DL53" s="1835"/>
      <c r="DM53" s="1835"/>
      <c r="DN53" s="1835"/>
      <c r="DO53" s="1835"/>
      <c r="DP53" s="1835"/>
      <c r="DQ53" s="1835"/>
      <c r="DR53" s="1835"/>
      <c r="DS53" s="1835"/>
      <c r="DT53" s="1835"/>
      <c r="DU53" s="1835"/>
      <c r="DV53" s="1835"/>
      <c r="DW53" s="1835"/>
      <c r="DX53" s="1835"/>
      <c r="DY53" s="1835"/>
      <c r="DZ53" s="1835"/>
    </row>
    <row r="54" spans="1:130" s="376" customFormat="1" ht="21" customHeight="1">
      <c r="A54" s="2013"/>
      <c r="B54" s="2093"/>
      <c r="C54" s="932" t="s">
        <v>12</v>
      </c>
      <c r="D54" s="109">
        <f>'475ПП'!I91</f>
        <v>0</v>
      </c>
      <c r="E54" s="658">
        <v>0</v>
      </c>
      <c r="F54" s="658">
        <v>0</v>
      </c>
      <c r="G54" s="67">
        <f t="shared" si="2"/>
        <v>0</v>
      </c>
      <c r="H54" s="2182"/>
      <c r="I54" s="2189"/>
      <c r="J54" s="2048"/>
      <c r="K54" s="2171"/>
      <c r="L54" s="2022"/>
      <c r="M54" s="2024"/>
      <c r="N54" s="1835"/>
      <c r="O54" s="1835"/>
      <c r="P54" s="1835"/>
      <c r="Q54" s="1835"/>
      <c r="R54" s="1835"/>
      <c r="S54" s="1835"/>
      <c r="T54" s="1835"/>
      <c r="U54" s="1835"/>
      <c r="V54" s="1835"/>
      <c r="W54" s="1835"/>
      <c r="X54" s="1835"/>
      <c r="Y54" s="1835"/>
      <c r="Z54" s="1835"/>
      <c r="AA54" s="1835"/>
      <c r="AB54" s="1835"/>
      <c r="AC54" s="1835"/>
      <c r="AD54" s="1835"/>
      <c r="AE54" s="1835"/>
      <c r="AF54" s="1835"/>
      <c r="AG54" s="1835"/>
      <c r="AH54" s="1835"/>
      <c r="AI54" s="1835"/>
      <c r="AJ54" s="1835"/>
      <c r="AK54" s="1835"/>
      <c r="AL54" s="1835"/>
      <c r="AM54" s="1835"/>
      <c r="AN54" s="1835"/>
      <c r="AO54" s="1835"/>
      <c r="AP54" s="1835"/>
      <c r="AQ54" s="1835"/>
      <c r="AR54" s="1835"/>
      <c r="AS54" s="1835"/>
      <c r="AT54" s="1835"/>
      <c r="AU54" s="1835"/>
      <c r="AV54" s="1835"/>
      <c r="AW54" s="1835"/>
      <c r="AX54" s="1835"/>
      <c r="AY54" s="1835"/>
      <c r="AZ54" s="1835"/>
      <c r="BA54" s="1835"/>
      <c r="BB54" s="1835"/>
      <c r="BC54" s="1835"/>
      <c r="BD54" s="1835"/>
      <c r="BE54" s="1835"/>
      <c r="BF54" s="1835"/>
      <c r="BG54" s="1835"/>
      <c r="BH54" s="1835"/>
      <c r="BI54" s="1835"/>
      <c r="BJ54" s="1835"/>
      <c r="BK54" s="1835"/>
      <c r="BL54" s="1835"/>
      <c r="BM54" s="1835"/>
      <c r="BN54" s="1835"/>
      <c r="BO54" s="1835"/>
      <c r="BP54" s="1835"/>
      <c r="BQ54" s="1835"/>
      <c r="BR54" s="1835"/>
      <c r="BS54" s="1835"/>
      <c r="BT54" s="1835"/>
      <c r="BU54" s="1835"/>
      <c r="BV54" s="1835"/>
      <c r="BW54" s="1835"/>
      <c r="BX54" s="1835"/>
      <c r="BY54" s="1835"/>
      <c r="BZ54" s="1835"/>
      <c r="CA54" s="1835"/>
      <c r="CB54" s="1835"/>
      <c r="CC54" s="1835"/>
      <c r="CD54" s="1835"/>
      <c r="CE54" s="1835"/>
      <c r="CF54" s="1835"/>
      <c r="CG54" s="1835"/>
      <c r="CH54" s="1835"/>
      <c r="CI54" s="1835"/>
      <c r="CJ54" s="1835"/>
      <c r="CK54" s="1835"/>
      <c r="CL54" s="1835"/>
      <c r="CM54" s="1835"/>
      <c r="CN54" s="1835"/>
      <c r="CO54" s="1835"/>
      <c r="CP54" s="1835"/>
      <c r="CQ54" s="1835"/>
      <c r="CR54" s="1835"/>
      <c r="CS54" s="1835"/>
      <c r="CT54" s="1835"/>
      <c r="CU54" s="1835"/>
      <c r="CV54" s="1835"/>
      <c r="CW54" s="1835"/>
      <c r="CX54" s="1835"/>
      <c r="CY54" s="1835"/>
      <c r="CZ54" s="1835"/>
      <c r="DA54" s="1835"/>
      <c r="DB54" s="1835"/>
      <c r="DC54" s="1835"/>
      <c r="DD54" s="1835"/>
      <c r="DE54" s="1835"/>
      <c r="DF54" s="1835"/>
      <c r="DG54" s="1835"/>
      <c r="DH54" s="1835"/>
      <c r="DI54" s="1835"/>
      <c r="DJ54" s="1835"/>
      <c r="DK54" s="1835"/>
      <c r="DL54" s="1835"/>
      <c r="DM54" s="1835"/>
      <c r="DN54" s="1835"/>
      <c r="DO54" s="1835"/>
      <c r="DP54" s="1835"/>
      <c r="DQ54" s="1835"/>
      <c r="DR54" s="1835"/>
      <c r="DS54" s="1835"/>
      <c r="DT54" s="1835"/>
      <c r="DU54" s="1835"/>
      <c r="DV54" s="1835"/>
      <c r="DW54" s="1835"/>
      <c r="DX54" s="1835"/>
      <c r="DY54" s="1835"/>
      <c r="DZ54" s="1835"/>
    </row>
    <row r="55" spans="1:130" s="376" customFormat="1" ht="32.25" customHeight="1">
      <c r="A55" s="2082" t="s">
        <v>2913</v>
      </c>
      <c r="B55" s="2091" t="s">
        <v>2905</v>
      </c>
      <c r="C55" s="933" t="s">
        <v>8</v>
      </c>
      <c r="D55" s="655">
        <f>SUM(D56:D59)</f>
        <v>22500</v>
      </c>
      <c r="E55" s="108">
        <f>SUM(E56:E59)</f>
        <v>22500</v>
      </c>
      <c r="F55" s="108">
        <f>SUM(F56:F59)</f>
        <v>22500</v>
      </c>
      <c r="G55" s="67">
        <f t="shared" si="2"/>
        <v>1</v>
      </c>
      <c r="H55" s="2097" t="s">
        <v>3196</v>
      </c>
      <c r="I55" s="2068" t="s">
        <v>3382</v>
      </c>
      <c r="J55" s="2046" t="s">
        <v>3384</v>
      </c>
      <c r="K55" s="2169" t="s">
        <v>2852</v>
      </c>
      <c r="L55" s="2175"/>
      <c r="M55" s="2078">
        <v>823</v>
      </c>
      <c r="N55" s="1835"/>
      <c r="O55" s="1835"/>
      <c r="P55" s="1835"/>
      <c r="Q55" s="1835"/>
      <c r="R55" s="1835"/>
      <c r="S55" s="1835"/>
      <c r="T55" s="1835"/>
      <c r="U55" s="1835"/>
      <c r="V55" s="1835"/>
      <c r="W55" s="1835"/>
      <c r="X55" s="1835"/>
      <c r="Y55" s="1835"/>
      <c r="Z55" s="1835"/>
      <c r="AA55" s="1835"/>
      <c r="AB55" s="1835"/>
      <c r="AC55" s="1835"/>
      <c r="AD55" s="1835"/>
      <c r="AE55" s="1835"/>
      <c r="AF55" s="1835"/>
      <c r="AG55" s="1835"/>
      <c r="AH55" s="1835"/>
      <c r="AI55" s="1835"/>
      <c r="AJ55" s="1835"/>
      <c r="AK55" s="1835"/>
      <c r="AL55" s="1835"/>
      <c r="AM55" s="1835"/>
      <c r="AN55" s="1835"/>
      <c r="AO55" s="1835"/>
      <c r="AP55" s="1835"/>
      <c r="AQ55" s="1835"/>
      <c r="AR55" s="1835"/>
      <c r="AS55" s="1835"/>
      <c r="AT55" s="1835"/>
      <c r="AU55" s="1835"/>
      <c r="AV55" s="1835"/>
      <c r="AW55" s="1835"/>
      <c r="AX55" s="1835"/>
      <c r="AY55" s="1835"/>
      <c r="AZ55" s="1835"/>
      <c r="BA55" s="1835"/>
      <c r="BB55" s="1835"/>
      <c r="BC55" s="1835"/>
      <c r="BD55" s="1835"/>
      <c r="BE55" s="1835"/>
      <c r="BF55" s="1835"/>
      <c r="BG55" s="1835"/>
      <c r="BH55" s="1835"/>
      <c r="BI55" s="1835"/>
      <c r="BJ55" s="1835"/>
      <c r="BK55" s="1835"/>
      <c r="BL55" s="1835"/>
      <c r="BM55" s="1835"/>
      <c r="BN55" s="1835"/>
      <c r="BO55" s="1835"/>
      <c r="BP55" s="1835"/>
      <c r="BQ55" s="1835"/>
      <c r="BR55" s="1835"/>
      <c r="BS55" s="1835"/>
      <c r="BT55" s="1835"/>
      <c r="BU55" s="1835"/>
      <c r="BV55" s="1835"/>
      <c r="BW55" s="1835"/>
      <c r="BX55" s="1835"/>
      <c r="BY55" s="1835"/>
      <c r="BZ55" s="1835"/>
      <c r="CA55" s="1835"/>
      <c r="CB55" s="1835"/>
      <c r="CC55" s="1835"/>
      <c r="CD55" s="1835"/>
      <c r="CE55" s="1835"/>
      <c r="CF55" s="1835"/>
      <c r="CG55" s="1835"/>
      <c r="CH55" s="1835"/>
      <c r="CI55" s="1835"/>
      <c r="CJ55" s="1835"/>
      <c r="CK55" s="1835"/>
      <c r="CL55" s="1835"/>
      <c r="CM55" s="1835"/>
      <c r="CN55" s="1835"/>
      <c r="CO55" s="1835"/>
      <c r="CP55" s="1835"/>
      <c r="CQ55" s="1835"/>
      <c r="CR55" s="1835"/>
      <c r="CS55" s="1835"/>
      <c r="CT55" s="1835"/>
      <c r="CU55" s="1835"/>
      <c r="CV55" s="1835"/>
      <c r="CW55" s="1835"/>
      <c r="CX55" s="1835"/>
      <c r="CY55" s="1835"/>
      <c r="CZ55" s="1835"/>
      <c r="DA55" s="1835"/>
      <c r="DB55" s="1835"/>
      <c r="DC55" s="1835"/>
      <c r="DD55" s="1835"/>
      <c r="DE55" s="1835"/>
      <c r="DF55" s="1835"/>
      <c r="DG55" s="1835"/>
      <c r="DH55" s="1835"/>
      <c r="DI55" s="1835"/>
      <c r="DJ55" s="1835"/>
      <c r="DK55" s="1835"/>
      <c r="DL55" s="1835"/>
      <c r="DM55" s="1835"/>
      <c r="DN55" s="1835"/>
      <c r="DO55" s="1835"/>
      <c r="DP55" s="1835"/>
      <c r="DQ55" s="1835"/>
      <c r="DR55" s="1835"/>
      <c r="DS55" s="1835"/>
      <c r="DT55" s="1835"/>
      <c r="DU55" s="1835"/>
      <c r="DV55" s="1835"/>
      <c r="DW55" s="1835"/>
      <c r="DX55" s="1835"/>
      <c r="DY55" s="1835"/>
      <c r="DZ55" s="1835"/>
    </row>
    <row r="56" spans="1:130" s="376" customFormat="1" ht="25.5" customHeight="1">
      <c r="A56" s="2012"/>
      <c r="B56" s="2092"/>
      <c r="C56" s="932" t="s">
        <v>9</v>
      </c>
      <c r="D56" s="655">
        <f>'475ПП'!F109-3500</f>
        <v>22500</v>
      </c>
      <c r="E56" s="108">
        <f>Документ!L30</f>
        <v>22500</v>
      </c>
      <c r="F56" s="108">
        <f>E56</f>
        <v>22500</v>
      </c>
      <c r="G56" s="67">
        <f t="shared" si="2"/>
        <v>1</v>
      </c>
      <c r="H56" s="2018"/>
      <c r="I56" s="2069"/>
      <c r="J56" s="2047"/>
      <c r="K56" s="2170"/>
      <c r="L56" s="2175"/>
      <c r="M56" s="2078"/>
      <c r="N56" s="1835"/>
      <c r="O56" s="1835"/>
      <c r="P56" s="1835"/>
      <c r="Q56" s="1835"/>
      <c r="R56" s="1835"/>
      <c r="S56" s="1835"/>
      <c r="T56" s="1835"/>
      <c r="U56" s="1835"/>
      <c r="V56" s="1835"/>
      <c r="W56" s="1835"/>
      <c r="X56" s="1835"/>
      <c r="Y56" s="1835"/>
      <c r="Z56" s="1835"/>
      <c r="AA56" s="1835"/>
      <c r="AB56" s="1835"/>
      <c r="AC56" s="1835"/>
      <c r="AD56" s="1835"/>
      <c r="AE56" s="1835"/>
      <c r="AF56" s="1835"/>
      <c r="AG56" s="1835"/>
      <c r="AH56" s="1835"/>
      <c r="AI56" s="1835"/>
      <c r="AJ56" s="1835"/>
      <c r="AK56" s="1835"/>
      <c r="AL56" s="1835"/>
      <c r="AM56" s="1835"/>
      <c r="AN56" s="1835"/>
      <c r="AO56" s="1835"/>
      <c r="AP56" s="1835"/>
      <c r="AQ56" s="1835"/>
      <c r="AR56" s="1835"/>
      <c r="AS56" s="1835"/>
      <c r="AT56" s="1835"/>
      <c r="AU56" s="1835"/>
      <c r="AV56" s="1835"/>
      <c r="AW56" s="1835"/>
      <c r="AX56" s="1835"/>
      <c r="AY56" s="1835"/>
      <c r="AZ56" s="1835"/>
      <c r="BA56" s="1835"/>
      <c r="BB56" s="1835"/>
      <c r="BC56" s="1835"/>
      <c r="BD56" s="1835"/>
      <c r="BE56" s="1835"/>
      <c r="BF56" s="1835"/>
      <c r="BG56" s="1835"/>
      <c r="BH56" s="1835"/>
      <c r="BI56" s="1835"/>
      <c r="BJ56" s="1835"/>
      <c r="BK56" s="1835"/>
      <c r="BL56" s="1835"/>
      <c r="BM56" s="1835"/>
      <c r="BN56" s="1835"/>
      <c r="BO56" s="1835"/>
      <c r="BP56" s="1835"/>
      <c r="BQ56" s="1835"/>
      <c r="BR56" s="1835"/>
      <c r="BS56" s="1835"/>
      <c r="BT56" s="1835"/>
      <c r="BU56" s="1835"/>
      <c r="BV56" s="1835"/>
      <c r="BW56" s="1835"/>
      <c r="BX56" s="1835"/>
      <c r="BY56" s="1835"/>
      <c r="BZ56" s="1835"/>
      <c r="CA56" s="1835"/>
      <c r="CB56" s="1835"/>
      <c r="CC56" s="1835"/>
      <c r="CD56" s="1835"/>
      <c r="CE56" s="1835"/>
      <c r="CF56" s="1835"/>
      <c r="CG56" s="1835"/>
      <c r="CH56" s="1835"/>
      <c r="CI56" s="1835"/>
      <c r="CJ56" s="1835"/>
      <c r="CK56" s="1835"/>
      <c r="CL56" s="1835"/>
      <c r="CM56" s="1835"/>
      <c r="CN56" s="1835"/>
      <c r="CO56" s="1835"/>
      <c r="CP56" s="1835"/>
      <c r="CQ56" s="1835"/>
      <c r="CR56" s="1835"/>
      <c r="CS56" s="1835"/>
      <c r="CT56" s="1835"/>
      <c r="CU56" s="1835"/>
      <c r="CV56" s="1835"/>
      <c r="CW56" s="1835"/>
      <c r="CX56" s="1835"/>
      <c r="CY56" s="1835"/>
      <c r="CZ56" s="1835"/>
      <c r="DA56" s="1835"/>
      <c r="DB56" s="1835"/>
      <c r="DC56" s="1835"/>
      <c r="DD56" s="1835"/>
      <c r="DE56" s="1835"/>
      <c r="DF56" s="1835"/>
      <c r="DG56" s="1835"/>
      <c r="DH56" s="1835"/>
      <c r="DI56" s="1835"/>
      <c r="DJ56" s="1835"/>
      <c r="DK56" s="1835"/>
      <c r="DL56" s="1835"/>
      <c r="DM56" s="1835"/>
      <c r="DN56" s="1835"/>
      <c r="DO56" s="1835"/>
      <c r="DP56" s="1835"/>
      <c r="DQ56" s="1835"/>
      <c r="DR56" s="1835"/>
      <c r="DS56" s="1835"/>
      <c r="DT56" s="1835"/>
      <c r="DU56" s="1835"/>
      <c r="DV56" s="1835"/>
      <c r="DW56" s="1835"/>
      <c r="DX56" s="1835"/>
      <c r="DY56" s="1835"/>
      <c r="DZ56" s="1835"/>
    </row>
    <row r="57" spans="1:130" s="376" customFormat="1" ht="15" customHeight="1">
      <c r="A57" s="2012"/>
      <c r="B57" s="2092"/>
      <c r="C57" s="932" t="s">
        <v>10</v>
      </c>
      <c r="D57" s="655">
        <f>'475ПП'!G109</f>
        <v>0</v>
      </c>
      <c r="E57" s="108">
        <v>0</v>
      </c>
      <c r="F57" s="108">
        <v>0</v>
      </c>
      <c r="G57" s="67">
        <f t="shared" si="2"/>
        <v>0</v>
      </c>
      <c r="H57" s="2018"/>
      <c r="I57" s="2069"/>
      <c r="J57" s="2047"/>
      <c r="K57" s="2170"/>
      <c r="L57" s="2175"/>
      <c r="M57" s="2078"/>
      <c r="N57" s="1835"/>
      <c r="O57" s="1835"/>
      <c r="P57" s="1835"/>
      <c r="Q57" s="1835"/>
      <c r="R57" s="1835"/>
      <c r="S57" s="1835"/>
      <c r="T57" s="1835"/>
      <c r="U57" s="1835"/>
      <c r="V57" s="1835"/>
      <c r="W57" s="1835"/>
      <c r="X57" s="1835"/>
      <c r="Y57" s="1835"/>
      <c r="Z57" s="1835"/>
      <c r="AA57" s="1835"/>
      <c r="AB57" s="1835"/>
      <c r="AC57" s="1835"/>
      <c r="AD57" s="1835"/>
      <c r="AE57" s="1835"/>
      <c r="AF57" s="1835"/>
      <c r="AG57" s="1835"/>
      <c r="AH57" s="1835"/>
      <c r="AI57" s="1835"/>
      <c r="AJ57" s="1835"/>
      <c r="AK57" s="1835"/>
      <c r="AL57" s="1835"/>
      <c r="AM57" s="1835"/>
      <c r="AN57" s="1835"/>
      <c r="AO57" s="1835"/>
      <c r="AP57" s="1835"/>
      <c r="AQ57" s="1835"/>
      <c r="AR57" s="1835"/>
      <c r="AS57" s="1835"/>
      <c r="AT57" s="1835"/>
      <c r="AU57" s="1835"/>
      <c r="AV57" s="1835"/>
      <c r="AW57" s="1835"/>
      <c r="AX57" s="1835"/>
      <c r="AY57" s="1835"/>
      <c r="AZ57" s="1835"/>
      <c r="BA57" s="1835"/>
      <c r="BB57" s="1835"/>
      <c r="BC57" s="1835"/>
      <c r="BD57" s="1835"/>
      <c r="BE57" s="1835"/>
      <c r="BF57" s="1835"/>
      <c r="BG57" s="1835"/>
      <c r="BH57" s="1835"/>
      <c r="BI57" s="1835"/>
      <c r="BJ57" s="1835"/>
      <c r="BK57" s="1835"/>
      <c r="BL57" s="1835"/>
      <c r="BM57" s="1835"/>
      <c r="BN57" s="1835"/>
      <c r="BO57" s="1835"/>
      <c r="BP57" s="1835"/>
      <c r="BQ57" s="1835"/>
      <c r="BR57" s="1835"/>
      <c r="BS57" s="1835"/>
      <c r="BT57" s="1835"/>
      <c r="BU57" s="1835"/>
      <c r="BV57" s="1835"/>
      <c r="BW57" s="1835"/>
      <c r="BX57" s="1835"/>
      <c r="BY57" s="1835"/>
      <c r="BZ57" s="1835"/>
      <c r="CA57" s="1835"/>
      <c r="CB57" s="1835"/>
      <c r="CC57" s="1835"/>
      <c r="CD57" s="1835"/>
      <c r="CE57" s="1835"/>
      <c r="CF57" s="1835"/>
      <c r="CG57" s="1835"/>
      <c r="CH57" s="1835"/>
      <c r="CI57" s="1835"/>
      <c r="CJ57" s="1835"/>
      <c r="CK57" s="1835"/>
      <c r="CL57" s="1835"/>
      <c r="CM57" s="1835"/>
      <c r="CN57" s="1835"/>
      <c r="CO57" s="1835"/>
      <c r="CP57" s="1835"/>
      <c r="CQ57" s="1835"/>
      <c r="CR57" s="1835"/>
      <c r="CS57" s="1835"/>
      <c r="CT57" s="1835"/>
      <c r="CU57" s="1835"/>
      <c r="CV57" s="1835"/>
      <c r="CW57" s="1835"/>
      <c r="CX57" s="1835"/>
      <c r="CY57" s="1835"/>
      <c r="CZ57" s="1835"/>
      <c r="DA57" s="1835"/>
      <c r="DB57" s="1835"/>
      <c r="DC57" s="1835"/>
      <c r="DD57" s="1835"/>
      <c r="DE57" s="1835"/>
      <c r="DF57" s="1835"/>
      <c r="DG57" s="1835"/>
      <c r="DH57" s="1835"/>
      <c r="DI57" s="1835"/>
      <c r="DJ57" s="1835"/>
      <c r="DK57" s="1835"/>
      <c r="DL57" s="1835"/>
      <c r="DM57" s="1835"/>
      <c r="DN57" s="1835"/>
      <c r="DO57" s="1835"/>
      <c r="DP57" s="1835"/>
      <c r="DQ57" s="1835"/>
      <c r="DR57" s="1835"/>
      <c r="DS57" s="1835"/>
      <c r="DT57" s="1835"/>
      <c r="DU57" s="1835"/>
      <c r="DV57" s="1835"/>
      <c r="DW57" s="1835"/>
      <c r="DX57" s="1835"/>
      <c r="DY57" s="1835"/>
      <c r="DZ57" s="1835"/>
    </row>
    <row r="58" spans="1:130" s="376" customFormat="1" ht="21" customHeight="1">
      <c r="A58" s="2012"/>
      <c r="B58" s="2092"/>
      <c r="C58" s="932" t="s">
        <v>11</v>
      </c>
      <c r="D58" s="655">
        <f>'475ПП'!H109</f>
        <v>0</v>
      </c>
      <c r="E58" s="108">
        <v>0</v>
      </c>
      <c r="F58" s="108">
        <v>0</v>
      </c>
      <c r="G58" s="67">
        <f t="shared" si="2"/>
        <v>0</v>
      </c>
      <c r="H58" s="2018"/>
      <c r="I58" s="2069"/>
      <c r="J58" s="2047"/>
      <c r="K58" s="2170"/>
      <c r="L58" s="2175"/>
      <c r="M58" s="2078"/>
      <c r="N58" s="1835"/>
      <c r="O58" s="1835"/>
      <c r="P58" s="1835"/>
      <c r="Q58" s="1835"/>
      <c r="R58" s="1835"/>
      <c r="S58" s="1835"/>
      <c r="T58" s="1835"/>
      <c r="U58" s="1835"/>
      <c r="V58" s="1835"/>
      <c r="W58" s="1835"/>
      <c r="X58" s="1835"/>
      <c r="Y58" s="1835"/>
      <c r="Z58" s="1835"/>
      <c r="AA58" s="1835"/>
      <c r="AB58" s="1835"/>
      <c r="AC58" s="1835"/>
      <c r="AD58" s="1835"/>
      <c r="AE58" s="1835"/>
      <c r="AF58" s="1835"/>
      <c r="AG58" s="1835"/>
      <c r="AH58" s="1835"/>
      <c r="AI58" s="1835"/>
      <c r="AJ58" s="1835"/>
      <c r="AK58" s="1835"/>
      <c r="AL58" s="1835"/>
      <c r="AM58" s="1835"/>
      <c r="AN58" s="1835"/>
      <c r="AO58" s="1835"/>
      <c r="AP58" s="1835"/>
      <c r="AQ58" s="1835"/>
      <c r="AR58" s="1835"/>
      <c r="AS58" s="1835"/>
      <c r="AT58" s="1835"/>
      <c r="AU58" s="1835"/>
      <c r="AV58" s="1835"/>
      <c r="AW58" s="1835"/>
      <c r="AX58" s="1835"/>
      <c r="AY58" s="1835"/>
      <c r="AZ58" s="1835"/>
      <c r="BA58" s="1835"/>
      <c r="BB58" s="1835"/>
      <c r="BC58" s="1835"/>
      <c r="BD58" s="1835"/>
      <c r="BE58" s="1835"/>
      <c r="BF58" s="1835"/>
      <c r="BG58" s="1835"/>
      <c r="BH58" s="1835"/>
      <c r="BI58" s="1835"/>
      <c r="BJ58" s="1835"/>
      <c r="BK58" s="1835"/>
      <c r="BL58" s="1835"/>
      <c r="BM58" s="1835"/>
      <c r="BN58" s="1835"/>
      <c r="BO58" s="1835"/>
      <c r="BP58" s="1835"/>
      <c r="BQ58" s="1835"/>
      <c r="BR58" s="1835"/>
      <c r="BS58" s="1835"/>
      <c r="BT58" s="1835"/>
      <c r="BU58" s="1835"/>
      <c r="BV58" s="1835"/>
      <c r="BW58" s="1835"/>
      <c r="BX58" s="1835"/>
      <c r="BY58" s="1835"/>
      <c r="BZ58" s="1835"/>
      <c r="CA58" s="1835"/>
      <c r="CB58" s="1835"/>
      <c r="CC58" s="1835"/>
      <c r="CD58" s="1835"/>
      <c r="CE58" s="1835"/>
      <c r="CF58" s="1835"/>
      <c r="CG58" s="1835"/>
      <c r="CH58" s="1835"/>
      <c r="CI58" s="1835"/>
      <c r="CJ58" s="1835"/>
      <c r="CK58" s="1835"/>
      <c r="CL58" s="1835"/>
      <c r="CM58" s="1835"/>
      <c r="CN58" s="1835"/>
      <c r="CO58" s="1835"/>
      <c r="CP58" s="1835"/>
      <c r="CQ58" s="1835"/>
      <c r="CR58" s="1835"/>
      <c r="CS58" s="1835"/>
      <c r="CT58" s="1835"/>
      <c r="CU58" s="1835"/>
      <c r="CV58" s="1835"/>
      <c r="CW58" s="1835"/>
      <c r="CX58" s="1835"/>
      <c r="CY58" s="1835"/>
      <c r="CZ58" s="1835"/>
      <c r="DA58" s="1835"/>
      <c r="DB58" s="1835"/>
      <c r="DC58" s="1835"/>
      <c r="DD58" s="1835"/>
      <c r="DE58" s="1835"/>
      <c r="DF58" s="1835"/>
      <c r="DG58" s="1835"/>
      <c r="DH58" s="1835"/>
      <c r="DI58" s="1835"/>
      <c r="DJ58" s="1835"/>
      <c r="DK58" s="1835"/>
      <c r="DL58" s="1835"/>
      <c r="DM58" s="1835"/>
      <c r="DN58" s="1835"/>
      <c r="DO58" s="1835"/>
      <c r="DP58" s="1835"/>
      <c r="DQ58" s="1835"/>
      <c r="DR58" s="1835"/>
      <c r="DS58" s="1835"/>
      <c r="DT58" s="1835"/>
      <c r="DU58" s="1835"/>
      <c r="DV58" s="1835"/>
      <c r="DW58" s="1835"/>
      <c r="DX58" s="1835"/>
      <c r="DY58" s="1835"/>
      <c r="DZ58" s="1835"/>
    </row>
    <row r="59" spans="1:130" s="376" customFormat="1" ht="15" customHeight="1">
      <c r="A59" s="2013"/>
      <c r="B59" s="2093"/>
      <c r="C59" s="932" t="s">
        <v>12</v>
      </c>
      <c r="D59" s="655">
        <f>'475ПП'!I109</f>
        <v>0</v>
      </c>
      <c r="E59" s="108">
        <v>0</v>
      </c>
      <c r="F59" s="108">
        <v>0</v>
      </c>
      <c r="G59" s="67">
        <f t="shared" si="2"/>
        <v>0</v>
      </c>
      <c r="H59" s="2019"/>
      <c r="I59" s="2070"/>
      <c r="J59" s="2048"/>
      <c r="K59" s="2171"/>
      <c r="L59" s="2175"/>
      <c r="M59" s="2078"/>
      <c r="N59" s="1835"/>
      <c r="O59" s="1835"/>
      <c r="P59" s="1835"/>
      <c r="Q59" s="1835"/>
      <c r="R59" s="1835"/>
      <c r="S59" s="1835"/>
      <c r="T59" s="1835"/>
      <c r="U59" s="1835"/>
      <c r="V59" s="1835"/>
      <c r="W59" s="1835"/>
      <c r="X59" s="1835"/>
      <c r="Y59" s="1835"/>
      <c r="Z59" s="1835"/>
      <c r="AA59" s="1835"/>
      <c r="AB59" s="1835"/>
      <c r="AC59" s="1835"/>
      <c r="AD59" s="1835"/>
      <c r="AE59" s="1835"/>
      <c r="AF59" s="1835"/>
      <c r="AG59" s="1835"/>
      <c r="AH59" s="1835"/>
      <c r="AI59" s="1835"/>
      <c r="AJ59" s="1835"/>
      <c r="AK59" s="1835"/>
      <c r="AL59" s="1835"/>
      <c r="AM59" s="1835"/>
      <c r="AN59" s="1835"/>
      <c r="AO59" s="1835"/>
      <c r="AP59" s="1835"/>
      <c r="AQ59" s="1835"/>
      <c r="AR59" s="1835"/>
      <c r="AS59" s="1835"/>
      <c r="AT59" s="1835"/>
      <c r="AU59" s="1835"/>
      <c r="AV59" s="1835"/>
      <c r="AW59" s="1835"/>
      <c r="AX59" s="1835"/>
      <c r="AY59" s="1835"/>
      <c r="AZ59" s="1835"/>
      <c r="BA59" s="1835"/>
      <c r="BB59" s="1835"/>
      <c r="BC59" s="1835"/>
      <c r="BD59" s="1835"/>
      <c r="BE59" s="1835"/>
      <c r="BF59" s="1835"/>
      <c r="BG59" s="1835"/>
      <c r="BH59" s="1835"/>
      <c r="BI59" s="1835"/>
      <c r="BJ59" s="1835"/>
      <c r="BK59" s="1835"/>
      <c r="BL59" s="1835"/>
      <c r="BM59" s="1835"/>
      <c r="BN59" s="1835"/>
      <c r="BO59" s="1835"/>
      <c r="BP59" s="1835"/>
      <c r="BQ59" s="1835"/>
      <c r="BR59" s="1835"/>
      <c r="BS59" s="1835"/>
      <c r="BT59" s="1835"/>
      <c r="BU59" s="1835"/>
      <c r="BV59" s="1835"/>
      <c r="BW59" s="1835"/>
      <c r="BX59" s="1835"/>
      <c r="BY59" s="1835"/>
      <c r="BZ59" s="1835"/>
      <c r="CA59" s="1835"/>
      <c r="CB59" s="1835"/>
      <c r="CC59" s="1835"/>
      <c r="CD59" s="1835"/>
      <c r="CE59" s="1835"/>
      <c r="CF59" s="1835"/>
      <c r="CG59" s="1835"/>
      <c r="CH59" s="1835"/>
      <c r="CI59" s="1835"/>
      <c r="CJ59" s="1835"/>
      <c r="CK59" s="1835"/>
      <c r="CL59" s="1835"/>
      <c r="CM59" s="1835"/>
      <c r="CN59" s="1835"/>
      <c r="CO59" s="1835"/>
      <c r="CP59" s="1835"/>
      <c r="CQ59" s="1835"/>
      <c r="CR59" s="1835"/>
      <c r="CS59" s="1835"/>
      <c r="CT59" s="1835"/>
      <c r="CU59" s="1835"/>
      <c r="CV59" s="1835"/>
      <c r="CW59" s="1835"/>
      <c r="CX59" s="1835"/>
      <c r="CY59" s="1835"/>
      <c r="CZ59" s="1835"/>
      <c r="DA59" s="1835"/>
      <c r="DB59" s="1835"/>
      <c r="DC59" s="1835"/>
      <c r="DD59" s="1835"/>
      <c r="DE59" s="1835"/>
      <c r="DF59" s="1835"/>
      <c r="DG59" s="1835"/>
      <c r="DH59" s="1835"/>
      <c r="DI59" s="1835"/>
      <c r="DJ59" s="1835"/>
      <c r="DK59" s="1835"/>
      <c r="DL59" s="1835"/>
      <c r="DM59" s="1835"/>
      <c r="DN59" s="1835"/>
      <c r="DO59" s="1835"/>
      <c r="DP59" s="1835"/>
      <c r="DQ59" s="1835"/>
      <c r="DR59" s="1835"/>
      <c r="DS59" s="1835"/>
      <c r="DT59" s="1835"/>
      <c r="DU59" s="1835"/>
      <c r="DV59" s="1835"/>
      <c r="DW59" s="1835"/>
      <c r="DX59" s="1835"/>
      <c r="DY59" s="1835"/>
      <c r="DZ59" s="1835"/>
    </row>
    <row r="60" spans="1:130" s="376" customFormat="1" ht="24.75" customHeight="1">
      <c r="A60" s="2082" t="s">
        <v>3195</v>
      </c>
      <c r="B60" s="2091" t="s">
        <v>3194</v>
      </c>
      <c r="C60" s="933" t="s">
        <v>8</v>
      </c>
      <c r="D60" s="655">
        <f>SUM(D61:D64)</f>
        <v>14210.526320000001</v>
      </c>
      <c r="E60" s="108">
        <f>SUM(E61:E64)</f>
        <v>14000.287090000002</v>
      </c>
      <c r="F60" s="108">
        <f>SUM(F61:F64)</f>
        <v>14000.287090000002</v>
      </c>
      <c r="G60" s="67">
        <f t="shared" si="2"/>
        <v>0.98520538752290221</v>
      </c>
      <c r="H60" s="2097" t="s">
        <v>3366</v>
      </c>
      <c r="I60" s="2068" t="s">
        <v>3487</v>
      </c>
      <c r="J60" s="2077" t="s">
        <v>3384</v>
      </c>
      <c r="K60" s="2169" t="s">
        <v>2852</v>
      </c>
      <c r="L60" s="2052" t="s">
        <v>5319</v>
      </c>
      <c r="M60" s="2078">
        <v>823</v>
      </c>
      <c r="N60" s="1835"/>
      <c r="O60" s="1835"/>
      <c r="P60" s="1835"/>
      <c r="Q60" s="1835"/>
      <c r="R60" s="1835"/>
      <c r="S60" s="1835"/>
      <c r="T60" s="1835"/>
      <c r="U60" s="1835"/>
      <c r="V60" s="1835"/>
      <c r="W60" s="1835"/>
      <c r="X60" s="1835"/>
      <c r="Y60" s="1835"/>
      <c r="Z60" s="1835"/>
      <c r="AA60" s="1835"/>
      <c r="AB60" s="1835"/>
      <c r="AC60" s="1835"/>
      <c r="AD60" s="1835"/>
      <c r="AE60" s="1835"/>
      <c r="AF60" s="1835"/>
      <c r="AG60" s="1835"/>
      <c r="AH60" s="1835"/>
      <c r="AI60" s="1835"/>
      <c r="AJ60" s="1835"/>
      <c r="AK60" s="1835"/>
      <c r="AL60" s="1835"/>
      <c r="AM60" s="1835"/>
      <c r="AN60" s="1835"/>
      <c r="AO60" s="1835"/>
      <c r="AP60" s="1835"/>
      <c r="AQ60" s="1835"/>
      <c r="AR60" s="1835"/>
      <c r="AS60" s="1835"/>
      <c r="AT60" s="1835"/>
      <c r="AU60" s="1835"/>
      <c r="AV60" s="1835"/>
      <c r="AW60" s="1835"/>
      <c r="AX60" s="1835"/>
      <c r="AY60" s="1835"/>
      <c r="AZ60" s="1835"/>
      <c r="BA60" s="1835"/>
      <c r="BB60" s="1835"/>
      <c r="BC60" s="1835"/>
      <c r="BD60" s="1835"/>
      <c r="BE60" s="1835"/>
      <c r="BF60" s="1835"/>
      <c r="BG60" s="1835"/>
      <c r="BH60" s="1835"/>
      <c r="BI60" s="1835"/>
      <c r="BJ60" s="1835"/>
      <c r="BK60" s="1835"/>
      <c r="BL60" s="1835"/>
      <c r="BM60" s="1835"/>
      <c r="BN60" s="1835"/>
      <c r="BO60" s="1835"/>
      <c r="BP60" s="1835"/>
      <c r="BQ60" s="1835"/>
      <c r="BR60" s="1835"/>
      <c r="BS60" s="1835"/>
      <c r="BT60" s="1835"/>
      <c r="BU60" s="1835"/>
      <c r="BV60" s="1835"/>
      <c r="BW60" s="1835"/>
      <c r="BX60" s="1835"/>
      <c r="BY60" s="1835"/>
      <c r="BZ60" s="1835"/>
      <c r="CA60" s="1835"/>
      <c r="CB60" s="1835"/>
      <c r="CC60" s="1835"/>
      <c r="CD60" s="1835"/>
      <c r="CE60" s="1835"/>
      <c r="CF60" s="1835"/>
      <c r="CG60" s="1835"/>
      <c r="CH60" s="1835"/>
      <c r="CI60" s="1835"/>
      <c r="CJ60" s="1835"/>
      <c r="CK60" s="1835"/>
      <c r="CL60" s="1835"/>
      <c r="CM60" s="1835"/>
      <c r="CN60" s="1835"/>
      <c r="CO60" s="1835"/>
      <c r="CP60" s="1835"/>
      <c r="CQ60" s="1835"/>
      <c r="CR60" s="1835"/>
      <c r="CS60" s="1835"/>
      <c r="CT60" s="1835"/>
      <c r="CU60" s="1835"/>
      <c r="CV60" s="1835"/>
      <c r="CW60" s="1835"/>
      <c r="CX60" s="1835"/>
      <c r="CY60" s="1835"/>
      <c r="CZ60" s="1835"/>
      <c r="DA60" s="1835"/>
      <c r="DB60" s="1835"/>
      <c r="DC60" s="1835"/>
      <c r="DD60" s="1835"/>
      <c r="DE60" s="1835"/>
      <c r="DF60" s="1835"/>
      <c r="DG60" s="1835"/>
      <c r="DH60" s="1835"/>
      <c r="DI60" s="1835"/>
      <c r="DJ60" s="1835"/>
      <c r="DK60" s="1835"/>
      <c r="DL60" s="1835"/>
      <c r="DM60" s="1835"/>
      <c r="DN60" s="1835"/>
      <c r="DO60" s="1835"/>
      <c r="DP60" s="1835"/>
      <c r="DQ60" s="1835"/>
      <c r="DR60" s="1835"/>
      <c r="DS60" s="1835"/>
      <c r="DT60" s="1835"/>
      <c r="DU60" s="1835"/>
      <c r="DV60" s="1835"/>
      <c r="DW60" s="1835"/>
      <c r="DX60" s="1835"/>
      <c r="DY60" s="1835"/>
      <c r="DZ60" s="1835"/>
    </row>
    <row r="61" spans="1:130" s="376" customFormat="1" ht="15" customHeight="1">
      <c r="A61" s="2012"/>
      <c r="B61" s="2092"/>
      <c r="C61" s="932" t="s">
        <v>9</v>
      </c>
      <c r="D61" s="655">
        <f>'475ПП'!F127</f>
        <v>9000</v>
      </c>
      <c r="E61" s="108">
        <f>'2023'!H26</f>
        <v>8789.7607700000008</v>
      </c>
      <c r="F61" s="108">
        <f>E61</f>
        <v>8789.7607700000008</v>
      </c>
      <c r="G61" s="67">
        <f t="shared" si="2"/>
        <v>0.97664008555555559</v>
      </c>
      <c r="H61" s="2018"/>
      <c r="I61" s="2069"/>
      <c r="J61" s="2047"/>
      <c r="K61" s="2170"/>
      <c r="L61" s="2053"/>
      <c r="M61" s="2078"/>
      <c r="N61" s="1835"/>
      <c r="O61" s="1835"/>
      <c r="P61" s="1835"/>
      <c r="Q61" s="1835"/>
      <c r="R61" s="1835"/>
      <c r="S61" s="1835"/>
      <c r="T61" s="1835"/>
      <c r="U61" s="1835"/>
      <c r="V61" s="1835"/>
      <c r="W61" s="1835"/>
      <c r="X61" s="1835"/>
      <c r="Y61" s="1835"/>
      <c r="Z61" s="1835"/>
      <c r="AA61" s="1835"/>
      <c r="AB61" s="1835"/>
      <c r="AC61" s="1835"/>
      <c r="AD61" s="1835"/>
      <c r="AE61" s="1835"/>
      <c r="AF61" s="1835"/>
      <c r="AG61" s="1835"/>
      <c r="AH61" s="1835"/>
      <c r="AI61" s="1835"/>
      <c r="AJ61" s="1835"/>
      <c r="AK61" s="1835"/>
      <c r="AL61" s="1835"/>
      <c r="AM61" s="1835"/>
      <c r="AN61" s="1835"/>
      <c r="AO61" s="1835"/>
      <c r="AP61" s="1835"/>
      <c r="AQ61" s="1835"/>
      <c r="AR61" s="1835"/>
      <c r="AS61" s="1835"/>
      <c r="AT61" s="1835"/>
      <c r="AU61" s="1835"/>
      <c r="AV61" s="1835"/>
      <c r="AW61" s="1835"/>
      <c r="AX61" s="1835"/>
      <c r="AY61" s="1835"/>
      <c r="AZ61" s="1835"/>
      <c r="BA61" s="1835"/>
      <c r="BB61" s="1835"/>
      <c r="BC61" s="1835"/>
      <c r="BD61" s="1835"/>
      <c r="BE61" s="1835"/>
      <c r="BF61" s="1835"/>
      <c r="BG61" s="1835"/>
      <c r="BH61" s="1835"/>
      <c r="BI61" s="1835"/>
      <c r="BJ61" s="1835"/>
      <c r="BK61" s="1835"/>
      <c r="BL61" s="1835"/>
      <c r="BM61" s="1835"/>
      <c r="BN61" s="1835"/>
      <c r="BO61" s="1835"/>
      <c r="BP61" s="1835"/>
      <c r="BQ61" s="1835"/>
      <c r="BR61" s="1835"/>
      <c r="BS61" s="1835"/>
      <c r="BT61" s="1835"/>
      <c r="BU61" s="1835"/>
      <c r="BV61" s="1835"/>
      <c r="BW61" s="1835"/>
      <c r="BX61" s="1835"/>
      <c r="BY61" s="1835"/>
      <c r="BZ61" s="1835"/>
      <c r="CA61" s="1835"/>
      <c r="CB61" s="1835"/>
      <c r="CC61" s="1835"/>
      <c r="CD61" s="1835"/>
      <c r="CE61" s="1835"/>
      <c r="CF61" s="1835"/>
      <c r="CG61" s="1835"/>
      <c r="CH61" s="1835"/>
      <c r="CI61" s="1835"/>
      <c r="CJ61" s="1835"/>
      <c r="CK61" s="1835"/>
      <c r="CL61" s="1835"/>
      <c r="CM61" s="1835"/>
      <c r="CN61" s="1835"/>
      <c r="CO61" s="1835"/>
      <c r="CP61" s="1835"/>
      <c r="CQ61" s="1835"/>
      <c r="CR61" s="1835"/>
      <c r="CS61" s="1835"/>
      <c r="CT61" s="1835"/>
      <c r="CU61" s="1835"/>
      <c r="CV61" s="1835"/>
      <c r="CW61" s="1835"/>
      <c r="CX61" s="1835"/>
      <c r="CY61" s="1835"/>
      <c r="CZ61" s="1835"/>
      <c r="DA61" s="1835"/>
      <c r="DB61" s="1835"/>
      <c r="DC61" s="1835"/>
      <c r="DD61" s="1835"/>
      <c r="DE61" s="1835"/>
      <c r="DF61" s="1835"/>
      <c r="DG61" s="1835"/>
      <c r="DH61" s="1835"/>
      <c r="DI61" s="1835"/>
      <c r="DJ61" s="1835"/>
      <c r="DK61" s="1835"/>
      <c r="DL61" s="1835"/>
      <c r="DM61" s="1835"/>
      <c r="DN61" s="1835"/>
      <c r="DO61" s="1835"/>
      <c r="DP61" s="1835"/>
      <c r="DQ61" s="1835"/>
      <c r="DR61" s="1835"/>
      <c r="DS61" s="1835"/>
      <c r="DT61" s="1835"/>
      <c r="DU61" s="1835"/>
      <c r="DV61" s="1835"/>
      <c r="DW61" s="1835"/>
      <c r="DX61" s="1835"/>
      <c r="DY61" s="1835"/>
      <c r="DZ61" s="1835"/>
    </row>
    <row r="62" spans="1:130" s="376" customFormat="1" ht="15" customHeight="1">
      <c r="A62" s="2012"/>
      <c r="B62" s="2092"/>
      <c r="C62" s="932" t="s">
        <v>10</v>
      </c>
      <c r="D62" s="655">
        <f>'475ПП'!G127</f>
        <v>0</v>
      </c>
      <c r="E62" s="108">
        <v>0</v>
      </c>
      <c r="F62" s="108">
        <v>0</v>
      </c>
      <c r="G62" s="67">
        <f t="shared" si="2"/>
        <v>0</v>
      </c>
      <c r="H62" s="2018"/>
      <c r="I62" s="2069"/>
      <c r="J62" s="2047"/>
      <c r="K62" s="2170"/>
      <c r="L62" s="2053"/>
      <c r="M62" s="2078"/>
      <c r="N62" s="1835"/>
      <c r="O62" s="1835"/>
      <c r="P62" s="1835"/>
      <c r="Q62" s="1835"/>
      <c r="R62" s="1835"/>
      <c r="S62" s="1835"/>
      <c r="T62" s="1835"/>
      <c r="U62" s="1835"/>
      <c r="V62" s="1835"/>
      <c r="W62" s="1835"/>
      <c r="X62" s="1835"/>
      <c r="Y62" s="1835"/>
      <c r="Z62" s="1835"/>
      <c r="AA62" s="1835"/>
      <c r="AB62" s="1835"/>
      <c r="AC62" s="1835"/>
      <c r="AD62" s="1835"/>
      <c r="AE62" s="1835"/>
      <c r="AF62" s="1835"/>
      <c r="AG62" s="1835"/>
      <c r="AH62" s="1835"/>
      <c r="AI62" s="1835"/>
      <c r="AJ62" s="1835"/>
      <c r="AK62" s="1835"/>
      <c r="AL62" s="1835"/>
      <c r="AM62" s="1835"/>
      <c r="AN62" s="1835"/>
      <c r="AO62" s="1835"/>
      <c r="AP62" s="1835"/>
      <c r="AQ62" s="1835"/>
      <c r="AR62" s="1835"/>
      <c r="AS62" s="1835"/>
      <c r="AT62" s="1835"/>
      <c r="AU62" s="1835"/>
      <c r="AV62" s="1835"/>
      <c r="AW62" s="1835"/>
      <c r="AX62" s="1835"/>
      <c r="AY62" s="1835"/>
      <c r="AZ62" s="1835"/>
      <c r="BA62" s="1835"/>
      <c r="BB62" s="1835"/>
      <c r="BC62" s="1835"/>
      <c r="BD62" s="1835"/>
      <c r="BE62" s="1835"/>
      <c r="BF62" s="1835"/>
      <c r="BG62" s="1835"/>
      <c r="BH62" s="1835"/>
      <c r="BI62" s="1835"/>
      <c r="BJ62" s="1835"/>
      <c r="BK62" s="1835"/>
      <c r="BL62" s="1835"/>
      <c r="BM62" s="1835"/>
      <c r="BN62" s="1835"/>
      <c r="BO62" s="1835"/>
      <c r="BP62" s="1835"/>
      <c r="BQ62" s="1835"/>
      <c r="BR62" s="1835"/>
      <c r="BS62" s="1835"/>
      <c r="BT62" s="1835"/>
      <c r="BU62" s="1835"/>
      <c r="BV62" s="1835"/>
      <c r="BW62" s="1835"/>
      <c r="BX62" s="1835"/>
      <c r="BY62" s="1835"/>
      <c r="BZ62" s="1835"/>
      <c r="CA62" s="1835"/>
      <c r="CB62" s="1835"/>
      <c r="CC62" s="1835"/>
      <c r="CD62" s="1835"/>
      <c r="CE62" s="1835"/>
      <c r="CF62" s="1835"/>
      <c r="CG62" s="1835"/>
      <c r="CH62" s="1835"/>
      <c r="CI62" s="1835"/>
      <c r="CJ62" s="1835"/>
      <c r="CK62" s="1835"/>
      <c r="CL62" s="1835"/>
      <c r="CM62" s="1835"/>
      <c r="CN62" s="1835"/>
      <c r="CO62" s="1835"/>
      <c r="CP62" s="1835"/>
      <c r="CQ62" s="1835"/>
      <c r="CR62" s="1835"/>
      <c r="CS62" s="1835"/>
      <c r="CT62" s="1835"/>
      <c r="CU62" s="1835"/>
      <c r="CV62" s="1835"/>
      <c r="CW62" s="1835"/>
      <c r="CX62" s="1835"/>
      <c r="CY62" s="1835"/>
      <c r="CZ62" s="1835"/>
      <c r="DA62" s="1835"/>
      <c r="DB62" s="1835"/>
      <c r="DC62" s="1835"/>
      <c r="DD62" s="1835"/>
      <c r="DE62" s="1835"/>
      <c r="DF62" s="1835"/>
      <c r="DG62" s="1835"/>
      <c r="DH62" s="1835"/>
      <c r="DI62" s="1835"/>
      <c r="DJ62" s="1835"/>
      <c r="DK62" s="1835"/>
      <c r="DL62" s="1835"/>
      <c r="DM62" s="1835"/>
      <c r="DN62" s="1835"/>
      <c r="DO62" s="1835"/>
      <c r="DP62" s="1835"/>
      <c r="DQ62" s="1835"/>
      <c r="DR62" s="1835"/>
      <c r="DS62" s="1835"/>
      <c r="DT62" s="1835"/>
      <c r="DU62" s="1835"/>
      <c r="DV62" s="1835"/>
      <c r="DW62" s="1835"/>
      <c r="DX62" s="1835"/>
      <c r="DY62" s="1835"/>
      <c r="DZ62" s="1835"/>
    </row>
    <row r="63" spans="1:130" s="376" customFormat="1" ht="15" customHeight="1">
      <c r="A63" s="2012"/>
      <c r="B63" s="2092"/>
      <c r="C63" s="932" t="s">
        <v>11</v>
      </c>
      <c r="D63" s="655">
        <f>'475ПП'!H127</f>
        <v>5210.5263199999999</v>
      </c>
      <c r="E63" s="108">
        <f>D63</f>
        <v>5210.5263199999999</v>
      </c>
      <c r="F63" s="108">
        <f>E63</f>
        <v>5210.5263199999999</v>
      </c>
      <c r="G63" s="67">
        <f t="shared" si="2"/>
        <v>1</v>
      </c>
      <c r="H63" s="2018"/>
      <c r="I63" s="2069"/>
      <c r="J63" s="2047"/>
      <c r="K63" s="2170"/>
      <c r="L63" s="2053"/>
      <c r="M63" s="2078"/>
      <c r="N63" s="1835"/>
      <c r="O63" s="1835"/>
      <c r="P63" s="1835"/>
      <c r="Q63" s="1835"/>
      <c r="R63" s="1835"/>
      <c r="S63" s="1835"/>
      <c r="T63" s="1835"/>
      <c r="U63" s="1835"/>
      <c r="V63" s="1835"/>
      <c r="W63" s="1835"/>
      <c r="X63" s="1835"/>
      <c r="Y63" s="1835"/>
      <c r="Z63" s="1835"/>
      <c r="AA63" s="1835"/>
      <c r="AB63" s="1835"/>
      <c r="AC63" s="1835"/>
      <c r="AD63" s="1835"/>
      <c r="AE63" s="1835"/>
      <c r="AF63" s="1835"/>
      <c r="AG63" s="1835"/>
      <c r="AH63" s="1835"/>
      <c r="AI63" s="1835"/>
      <c r="AJ63" s="1835"/>
      <c r="AK63" s="1835"/>
      <c r="AL63" s="1835"/>
      <c r="AM63" s="1835"/>
      <c r="AN63" s="1835"/>
      <c r="AO63" s="1835"/>
      <c r="AP63" s="1835"/>
      <c r="AQ63" s="1835"/>
      <c r="AR63" s="1835"/>
      <c r="AS63" s="1835"/>
      <c r="AT63" s="1835"/>
      <c r="AU63" s="1835"/>
      <c r="AV63" s="1835"/>
      <c r="AW63" s="1835"/>
      <c r="AX63" s="1835"/>
      <c r="AY63" s="1835"/>
      <c r="AZ63" s="1835"/>
      <c r="BA63" s="1835"/>
      <c r="BB63" s="1835"/>
      <c r="BC63" s="1835"/>
      <c r="BD63" s="1835"/>
      <c r="BE63" s="1835"/>
      <c r="BF63" s="1835"/>
      <c r="BG63" s="1835"/>
      <c r="BH63" s="1835"/>
      <c r="BI63" s="1835"/>
      <c r="BJ63" s="1835"/>
      <c r="BK63" s="1835"/>
      <c r="BL63" s="1835"/>
      <c r="BM63" s="1835"/>
      <c r="BN63" s="1835"/>
      <c r="BO63" s="1835"/>
      <c r="BP63" s="1835"/>
      <c r="BQ63" s="1835"/>
      <c r="BR63" s="1835"/>
      <c r="BS63" s="1835"/>
      <c r="BT63" s="1835"/>
      <c r="BU63" s="1835"/>
      <c r="BV63" s="1835"/>
      <c r="BW63" s="1835"/>
      <c r="BX63" s="1835"/>
      <c r="BY63" s="1835"/>
      <c r="BZ63" s="1835"/>
      <c r="CA63" s="1835"/>
      <c r="CB63" s="1835"/>
      <c r="CC63" s="1835"/>
      <c r="CD63" s="1835"/>
      <c r="CE63" s="1835"/>
      <c r="CF63" s="1835"/>
      <c r="CG63" s="1835"/>
      <c r="CH63" s="1835"/>
      <c r="CI63" s="1835"/>
      <c r="CJ63" s="1835"/>
      <c r="CK63" s="1835"/>
      <c r="CL63" s="1835"/>
      <c r="CM63" s="1835"/>
      <c r="CN63" s="1835"/>
      <c r="CO63" s="1835"/>
      <c r="CP63" s="1835"/>
      <c r="CQ63" s="1835"/>
      <c r="CR63" s="1835"/>
      <c r="CS63" s="1835"/>
      <c r="CT63" s="1835"/>
      <c r="CU63" s="1835"/>
      <c r="CV63" s="1835"/>
      <c r="CW63" s="1835"/>
      <c r="CX63" s="1835"/>
      <c r="CY63" s="1835"/>
      <c r="CZ63" s="1835"/>
      <c r="DA63" s="1835"/>
      <c r="DB63" s="1835"/>
      <c r="DC63" s="1835"/>
      <c r="DD63" s="1835"/>
      <c r="DE63" s="1835"/>
      <c r="DF63" s="1835"/>
      <c r="DG63" s="1835"/>
      <c r="DH63" s="1835"/>
      <c r="DI63" s="1835"/>
      <c r="DJ63" s="1835"/>
      <c r="DK63" s="1835"/>
      <c r="DL63" s="1835"/>
      <c r="DM63" s="1835"/>
      <c r="DN63" s="1835"/>
      <c r="DO63" s="1835"/>
      <c r="DP63" s="1835"/>
      <c r="DQ63" s="1835"/>
      <c r="DR63" s="1835"/>
      <c r="DS63" s="1835"/>
      <c r="DT63" s="1835"/>
      <c r="DU63" s="1835"/>
      <c r="DV63" s="1835"/>
      <c r="DW63" s="1835"/>
      <c r="DX63" s="1835"/>
      <c r="DY63" s="1835"/>
      <c r="DZ63" s="1835"/>
    </row>
    <row r="64" spans="1:130" s="376" customFormat="1" ht="15" customHeight="1">
      <c r="A64" s="2013"/>
      <c r="B64" s="2093"/>
      <c r="C64" s="932" t="s">
        <v>12</v>
      </c>
      <c r="D64" s="655">
        <f>'475ПП'!I127</f>
        <v>0</v>
      </c>
      <c r="E64" s="108">
        <v>0</v>
      </c>
      <c r="F64" s="108">
        <v>0</v>
      </c>
      <c r="G64" s="67">
        <f t="shared" si="2"/>
        <v>0</v>
      </c>
      <c r="H64" s="2019"/>
      <c r="I64" s="2070"/>
      <c r="J64" s="2048"/>
      <c r="K64" s="2171"/>
      <c r="L64" s="2054"/>
      <c r="M64" s="2078"/>
      <c r="N64" s="1835"/>
      <c r="O64" s="1835"/>
      <c r="P64" s="1835"/>
      <c r="Q64" s="1835"/>
      <c r="R64" s="1835"/>
      <c r="S64" s="1835"/>
      <c r="T64" s="1835"/>
      <c r="U64" s="1835"/>
      <c r="V64" s="1835"/>
      <c r="W64" s="1835"/>
      <c r="X64" s="1835"/>
      <c r="Y64" s="1835"/>
      <c r="Z64" s="1835"/>
      <c r="AA64" s="1835"/>
      <c r="AB64" s="1835"/>
      <c r="AC64" s="1835"/>
      <c r="AD64" s="1835"/>
      <c r="AE64" s="1835"/>
      <c r="AF64" s="1835"/>
      <c r="AG64" s="1835"/>
      <c r="AH64" s="1835"/>
      <c r="AI64" s="1835"/>
      <c r="AJ64" s="1835"/>
      <c r="AK64" s="1835"/>
      <c r="AL64" s="1835"/>
      <c r="AM64" s="1835"/>
      <c r="AN64" s="1835"/>
      <c r="AO64" s="1835"/>
      <c r="AP64" s="1835"/>
      <c r="AQ64" s="1835"/>
      <c r="AR64" s="1835"/>
      <c r="AS64" s="1835"/>
      <c r="AT64" s="1835"/>
      <c r="AU64" s="1835"/>
      <c r="AV64" s="1835"/>
      <c r="AW64" s="1835"/>
      <c r="AX64" s="1835"/>
      <c r="AY64" s="1835"/>
      <c r="AZ64" s="1835"/>
      <c r="BA64" s="1835"/>
      <c r="BB64" s="1835"/>
      <c r="BC64" s="1835"/>
      <c r="BD64" s="1835"/>
      <c r="BE64" s="1835"/>
      <c r="BF64" s="1835"/>
      <c r="BG64" s="1835"/>
      <c r="BH64" s="1835"/>
      <c r="BI64" s="1835"/>
      <c r="BJ64" s="1835"/>
      <c r="BK64" s="1835"/>
      <c r="BL64" s="1835"/>
      <c r="BM64" s="1835"/>
      <c r="BN64" s="1835"/>
      <c r="BO64" s="1835"/>
      <c r="BP64" s="1835"/>
      <c r="BQ64" s="1835"/>
      <c r="BR64" s="1835"/>
      <c r="BS64" s="1835"/>
      <c r="BT64" s="1835"/>
      <c r="BU64" s="1835"/>
      <c r="BV64" s="1835"/>
      <c r="BW64" s="1835"/>
      <c r="BX64" s="1835"/>
      <c r="BY64" s="1835"/>
      <c r="BZ64" s="1835"/>
      <c r="CA64" s="1835"/>
      <c r="CB64" s="1835"/>
      <c r="CC64" s="1835"/>
      <c r="CD64" s="1835"/>
      <c r="CE64" s="1835"/>
      <c r="CF64" s="1835"/>
      <c r="CG64" s="1835"/>
      <c r="CH64" s="1835"/>
      <c r="CI64" s="1835"/>
      <c r="CJ64" s="1835"/>
      <c r="CK64" s="1835"/>
      <c r="CL64" s="1835"/>
      <c r="CM64" s="1835"/>
      <c r="CN64" s="1835"/>
      <c r="CO64" s="1835"/>
      <c r="CP64" s="1835"/>
      <c r="CQ64" s="1835"/>
      <c r="CR64" s="1835"/>
      <c r="CS64" s="1835"/>
      <c r="CT64" s="1835"/>
      <c r="CU64" s="1835"/>
      <c r="CV64" s="1835"/>
      <c r="CW64" s="1835"/>
      <c r="CX64" s="1835"/>
      <c r="CY64" s="1835"/>
      <c r="CZ64" s="1835"/>
      <c r="DA64" s="1835"/>
      <c r="DB64" s="1835"/>
      <c r="DC64" s="1835"/>
      <c r="DD64" s="1835"/>
      <c r="DE64" s="1835"/>
      <c r="DF64" s="1835"/>
      <c r="DG64" s="1835"/>
      <c r="DH64" s="1835"/>
      <c r="DI64" s="1835"/>
      <c r="DJ64" s="1835"/>
      <c r="DK64" s="1835"/>
      <c r="DL64" s="1835"/>
      <c r="DM64" s="1835"/>
      <c r="DN64" s="1835"/>
      <c r="DO64" s="1835"/>
      <c r="DP64" s="1835"/>
      <c r="DQ64" s="1835"/>
      <c r="DR64" s="1835"/>
      <c r="DS64" s="1835"/>
      <c r="DT64" s="1835"/>
      <c r="DU64" s="1835"/>
      <c r="DV64" s="1835"/>
      <c r="DW64" s="1835"/>
      <c r="DX64" s="1835"/>
      <c r="DY64" s="1835"/>
      <c r="DZ64" s="1835"/>
    </row>
    <row r="65" spans="1:130" s="376" customFormat="1" ht="15" customHeight="1">
      <c r="A65" s="2082" t="s">
        <v>3193</v>
      </c>
      <c r="B65" s="2091" t="s">
        <v>3192</v>
      </c>
      <c r="C65" s="933" t="s">
        <v>8</v>
      </c>
      <c r="D65" s="655">
        <f>SUM(D66:D69)</f>
        <v>42275.265019999999</v>
      </c>
      <c r="E65" s="108">
        <f>SUM(E66:E69)</f>
        <v>41287.547119999996</v>
      </c>
      <c r="F65" s="108">
        <f>SUM(F66:F69)</f>
        <v>41287.547119999996</v>
      </c>
      <c r="G65" s="67">
        <f t="shared" si="2"/>
        <v>0.9766360329253353</v>
      </c>
      <c r="H65" s="2097" t="s">
        <v>5441</v>
      </c>
      <c r="I65" s="2068" t="s">
        <v>3372</v>
      </c>
      <c r="J65" s="2077" t="s">
        <v>3384</v>
      </c>
      <c r="K65" s="2169" t="s">
        <v>2852</v>
      </c>
      <c r="L65" s="2052" t="s">
        <v>5319</v>
      </c>
      <c r="M65" s="2023">
        <v>823</v>
      </c>
      <c r="N65" s="1835"/>
      <c r="O65" s="1835"/>
      <c r="P65" s="1835"/>
      <c r="Q65" s="1835"/>
      <c r="R65" s="1835"/>
      <c r="S65" s="1835"/>
      <c r="T65" s="1835"/>
      <c r="U65" s="1835"/>
      <c r="V65" s="1835"/>
      <c r="W65" s="1835"/>
      <c r="X65" s="1835"/>
      <c r="Y65" s="1835"/>
      <c r="Z65" s="1835"/>
      <c r="AA65" s="1835"/>
      <c r="AB65" s="1835"/>
      <c r="AC65" s="1835"/>
      <c r="AD65" s="1835"/>
      <c r="AE65" s="1835"/>
      <c r="AF65" s="1835"/>
      <c r="AG65" s="1835"/>
      <c r="AH65" s="1835"/>
      <c r="AI65" s="1835"/>
      <c r="AJ65" s="1835"/>
      <c r="AK65" s="1835"/>
      <c r="AL65" s="1835"/>
      <c r="AM65" s="1835"/>
      <c r="AN65" s="1835"/>
      <c r="AO65" s="1835"/>
      <c r="AP65" s="1835"/>
      <c r="AQ65" s="1835"/>
      <c r="AR65" s="1835"/>
      <c r="AS65" s="1835"/>
      <c r="AT65" s="1835"/>
      <c r="AU65" s="1835"/>
      <c r="AV65" s="1835"/>
      <c r="AW65" s="1835"/>
      <c r="AX65" s="1835"/>
      <c r="AY65" s="1835"/>
      <c r="AZ65" s="1835"/>
      <c r="BA65" s="1835"/>
      <c r="BB65" s="1835"/>
      <c r="BC65" s="1835"/>
      <c r="BD65" s="1835"/>
      <c r="BE65" s="1835"/>
      <c r="BF65" s="1835"/>
      <c r="BG65" s="1835"/>
      <c r="BH65" s="1835"/>
      <c r="BI65" s="1835"/>
      <c r="BJ65" s="1835"/>
      <c r="BK65" s="1835"/>
      <c r="BL65" s="1835"/>
      <c r="BM65" s="1835"/>
      <c r="BN65" s="1835"/>
      <c r="BO65" s="1835"/>
      <c r="BP65" s="1835"/>
      <c r="BQ65" s="1835"/>
      <c r="BR65" s="1835"/>
      <c r="BS65" s="1835"/>
      <c r="BT65" s="1835"/>
      <c r="BU65" s="1835"/>
      <c r="BV65" s="1835"/>
      <c r="BW65" s="1835"/>
      <c r="BX65" s="1835"/>
      <c r="BY65" s="1835"/>
      <c r="BZ65" s="1835"/>
      <c r="CA65" s="1835"/>
      <c r="CB65" s="1835"/>
      <c r="CC65" s="1835"/>
      <c r="CD65" s="1835"/>
      <c r="CE65" s="1835"/>
      <c r="CF65" s="1835"/>
      <c r="CG65" s="1835"/>
      <c r="CH65" s="1835"/>
      <c r="CI65" s="1835"/>
      <c r="CJ65" s="1835"/>
      <c r="CK65" s="1835"/>
      <c r="CL65" s="1835"/>
      <c r="CM65" s="1835"/>
      <c r="CN65" s="1835"/>
      <c r="CO65" s="1835"/>
      <c r="CP65" s="1835"/>
      <c r="CQ65" s="1835"/>
      <c r="CR65" s="1835"/>
      <c r="CS65" s="1835"/>
      <c r="CT65" s="1835"/>
      <c r="CU65" s="1835"/>
      <c r="CV65" s="1835"/>
      <c r="CW65" s="1835"/>
      <c r="CX65" s="1835"/>
      <c r="CY65" s="1835"/>
      <c r="CZ65" s="1835"/>
      <c r="DA65" s="1835"/>
      <c r="DB65" s="1835"/>
      <c r="DC65" s="1835"/>
      <c r="DD65" s="1835"/>
      <c r="DE65" s="1835"/>
      <c r="DF65" s="1835"/>
      <c r="DG65" s="1835"/>
      <c r="DH65" s="1835"/>
      <c r="DI65" s="1835"/>
      <c r="DJ65" s="1835"/>
      <c r="DK65" s="1835"/>
      <c r="DL65" s="1835"/>
      <c r="DM65" s="1835"/>
      <c r="DN65" s="1835"/>
      <c r="DO65" s="1835"/>
      <c r="DP65" s="1835"/>
      <c r="DQ65" s="1835"/>
      <c r="DR65" s="1835"/>
      <c r="DS65" s="1835"/>
      <c r="DT65" s="1835"/>
      <c r="DU65" s="1835"/>
      <c r="DV65" s="1835"/>
      <c r="DW65" s="1835"/>
      <c r="DX65" s="1835"/>
      <c r="DY65" s="1835"/>
      <c r="DZ65" s="1835"/>
    </row>
    <row r="66" spans="1:130" s="376" customFormat="1" ht="15" customHeight="1">
      <c r="A66" s="2012"/>
      <c r="B66" s="2092"/>
      <c r="C66" s="932" t="s">
        <v>9</v>
      </c>
      <c r="D66" s="655">
        <f>'475ПП'!F133</f>
        <v>35000</v>
      </c>
      <c r="E66" s="108">
        <f>'2023'!H32</f>
        <v>34012.282099999997</v>
      </c>
      <c r="F66" s="108">
        <f>E66</f>
        <v>34012.282099999997</v>
      </c>
      <c r="G66" s="67">
        <f t="shared" si="2"/>
        <v>0.97177948857142848</v>
      </c>
      <c r="H66" s="2018"/>
      <c r="I66" s="2069"/>
      <c r="J66" s="2047"/>
      <c r="K66" s="2170"/>
      <c r="L66" s="2053"/>
      <c r="M66" s="2024"/>
      <c r="N66" s="1835"/>
      <c r="O66" s="1835"/>
      <c r="P66" s="1835"/>
      <c r="Q66" s="1835"/>
      <c r="R66" s="1835"/>
      <c r="S66" s="1835"/>
      <c r="T66" s="1835"/>
      <c r="U66" s="1835"/>
      <c r="V66" s="1835"/>
      <c r="W66" s="1835"/>
      <c r="X66" s="1835"/>
      <c r="Y66" s="1835"/>
      <c r="Z66" s="1835"/>
      <c r="AA66" s="1835"/>
      <c r="AB66" s="1835"/>
      <c r="AC66" s="1835"/>
      <c r="AD66" s="1835"/>
      <c r="AE66" s="1835"/>
      <c r="AF66" s="1835"/>
      <c r="AG66" s="1835"/>
      <c r="AH66" s="1835"/>
      <c r="AI66" s="1835"/>
      <c r="AJ66" s="1835"/>
      <c r="AK66" s="1835"/>
      <c r="AL66" s="1835"/>
      <c r="AM66" s="1835"/>
      <c r="AN66" s="1835"/>
      <c r="AO66" s="1835"/>
      <c r="AP66" s="1835"/>
      <c r="AQ66" s="1835"/>
      <c r="AR66" s="1835"/>
      <c r="AS66" s="1835"/>
      <c r="AT66" s="1835"/>
      <c r="AU66" s="1835"/>
      <c r="AV66" s="1835"/>
      <c r="AW66" s="1835"/>
      <c r="AX66" s="1835"/>
      <c r="AY66" s="1835"/>
      <c r="AZ66" s="1835"/>
      <c r="BA66" s="1835"/>
      <c r="BB66" s="1835"/>
      <c r="BC66" s="1835"/>
      <c r="BD66" s="1835"/>
      <c r="BE66" s="1835"/>
      <c r="BF66" s="1835"/>
      <c r="BG66" s="1835"/>
      <c r="BH66" s="1835"/>
      <c r="BI66" s="1835"/>
      <c r="BJ66" s="1835"/>
      <c r="BK66" s="1835"/>
      <c r="BL66" s="1835"/>
      <c r="BM66" s="1835"/>
      <c r="BN66" s="1835"/>
      <c r="BO66" s="1835"/>
      <c r="BP66" s="1835"/>
      <c r="BQ66" s="1835"/>
      <c r="BR66" s="1835"/>
      <c r="BS66" s="1835"/>
      <c r="BT66" s="1835"/>
      <c r="BU66" s="1835"/>
      <c r="BV66" s="1835"/>
      <c r="BW66" s="1835"/>
      <c r="BX66" s="1835"/>
      <c r="BY66" s="1835"/>
      <c r="BZ66" s="1835"/>
      <c r="CA66" s="1835"/>
      <c r="CB66" s="1835"/>
      <c r="CC66" s="1835"/>
      <c r="CD66" s="1835"/>
      <c r="CE66" s="1835"/>
      <c r="CF66" s="1835"/>
      <c r="CG66" s="1835"/>
      <c r="CH66" s="1835"/>
      <c r="CI66" s="1835"/>
      <c r="CJ66" s="1835"/>
      <c r="CK66" s="1835"/>
      <c r="CL66" s="1835"/>
      <c r="CM66" s="1835"/>
      <c r="CN66" s="1835"/>
      <c r="CO66" s="1835"/>
      <c r="CP66" s="1835"/>
      <c r="CQ66" s="1835"/>
      <c r="CR66" s="1835"/>
      <c r="CS66" s="1835"/>
      <c r="CT66" s="1835"/>
      <c r="CU66" s="1835"/>
      <c r="CV66" s="1835"/>
      <c r="CW66" s="1835"/>
      <c r="CX66" s="1835"/>
      <c r="CY66" s="1835"/>
      <c r="CZ66" s="1835"/>
      <c r="DA66" s="1835"/>
      <c r="DB66" s="1835"/>
      <c r="DC66" s="1835"/>
      <c r="DD66" s="1835"/>
      <c r="DE66" s="1835"/>
      <c r="DF66" s="1835"/>
      <c r="DG66" s="1835"/>
      <c r="DH66" s="1835"/>
      <c r="DI66" s="1835"/>
      <c r="DJ66" s="1835"/>
      <c r="DK66" s="1835"/>
      <c r="DL66" s="1835"/>
      <c r="DM66" s="1835"/>
      <c r="DN66" s="1835"/>
      <c r="DO66" s="1835"/>
      <c r="DP66" s="1835"/>
      <c r="DQ66" s="1835"/>
      <c r="DR66" s="1835"/>
      <c r="DS66" s="1835"/>
      <c r="DT66" s="1835"/>
      <c r="DU66" s="1835"/>
      <c r="DV66" s="1835"/>
      <c r="DW66" s="1835"/>
      <c r="DX66" s="1835"/>
      <c r="DY66" s="1835"/>
      <c r="DZ66" s="1835"/>
    </row>
    <row r="67" spans="1:130" s="376" customFormat="1" ht="15" customHeight="1">
      <c r="A67" s="2012"/>
      <c r="B67" s="2092"/>
      <c r="C67" s="932" t="s">
        <v>10</v>
      </c>
      <c r="D67" s="655">
        <f>'475ПП'!G133</f>
        <v>0</v>
      </c>
      <c r="E67" s="108">
        <v>0</v>
      </c>
      <c r="F67" s="108">
        <v>0</v>
      </c>
      <c r="G67" s="67">
        <f t="shared" si="2"/>
        <v>0</v>
      </c>
      <c r="H67" s="2018"/>
      <c r="I67" s="2069"/>
      <c r="J67" s="2047"/>
      <c r="K67" s="2170"/>
      <c r="L67" s="2053"/>
      <c r="M67" s="2024"/>
      <c r="N67" s="1835"/>
      <c r="O67" s="1835"/>
      <c r="P67" s="1835"/>
      <c r="Q67" s="1835"/>
      <c r="R67" s="1835"/>
      <c r="S67" s="1835"/>
      <c r="T67" s="1835"/>
      <c r="U67" s="1835"/>
      <c r="V67" s="1835"/>
      <c r="W67" s="1835"/>
      <c r="X67" s="1835"/>
      <c r="Y67" s="1835"/>
      <c r="Z67" s="1835"/>
      <c r="AA67" s="1835"/>
      <c r="AB67" s="1835"/>
      <c r="AC67" s="1835"/>
      <c r="AD67" s="1835"/>
      <c r="AE67" s="1835"/>
      <c r="AF67" s="1835"/>
      <c r="AG67" s="1835"/>
      <c r="AH67" s="1835"/>
      <c r="AI67" s="1835"/>
      <c r="AJ67" s="1835"/>
      <c r="AK67" s="1835"/>
      <c r="AL67" s="1835"/>
      <c r="AM67" s="1835"/>
      <c r="AN67" s="1835"/>
      <c r="AO67" s="1835"/>
      <c r="AP67" s="1835"/>
      <c r="AQ67" s="1835"/>
      <c r="AR67" s="1835"/>
      <c r="AS67" s="1835"/>
      <c r="AT67" s="1835"/>
      <c r="AU67" s="1835"/>
      <c r="AV67" s="1835"/>
      <c r="AW67" s="1835"/>
      <c r="AX67" s="1835"/>
      <c r="AY67" s="1835"/>
      <c r="AZ67" s="1835"/>
      <c r="BA67" s="1835"/>
      <c r="BB67" s="1835"/>
      <c r="BC67" s="1835"/>
      <c r="BD67" s="1835"/>
      <c r="BE67" s="1835"/>
      <c r="BF67" s="1835"/>
      <c r="BG67" s="1835"/>
      <c r="BH67" s="1835"/>
      <c r="BI67" s="1835"/>
      <c r="BJ67" s="1835"/>
      <c r="BK67" s="1835"/>
      <c r="BL67" s="1835"/>
      <c r="BM67" s="1835"/>
      <c r="BN67" s="1835"/>
      <c r="BO67" s="1835"/>
      <c r="BP67" s="1835"/>
      <c r="BQ67" s="1835"/>
      <c r="BR67" s="1835"/>
      <c r="BS67" s="1835"/>
      <c r="BT67" s="1835"/>
      <c r="BU67" s="1835"/>
      <c r="BV67" s="1835"/>
      <c r="BW67" s="1835"/>
      <c r="BX67" s="1835"/>
      <c r="BY67" s="1835"/>
      <c r="BZ67" s="1835"/>
      <c r="CA67" s="1835"/>
      <c r="CB67" s="1835"/>
      <c r="CC67" s="1835"/>
      <c r="CD67" s="1835"/>
      <c r="CE67" s="1835"/>
      <c r="CF67" s="1835"/>
      <c r="CG67" s="1835"/>
      <c r="CH67" s="1835"/>
      <c r="CI67" s="1835"/>
      <c r="CJ67" s="1835"/>
      <c r="CK67" s="1835"/>
      <c r="CL67" s="1835"/>
      <c r="CM67" s="1835"/>
      <c r="CN67" s="1835"/>
      <c r="CO67" s="1835"/>
      <c r="CP67" s="1835"/>
      <c r="CQ67" s="1835"/>
      <c r="CR67" s="1835"/>
      <c r="CS67" s="1835"/>
      <c r="CT67" s="1835"/>
      <c r="CU67" s="1835"/>
      <c r="CV67" s="1835"/>
      <c r="CW67" s="1835"/>
      <c r="CX67" s="1835"/>
      <c r="CY67" s="1835"/>
      <c r="CZ67" s="1835"/>
      <c r="DA67" s="1835"/>
      <c r="DB67" s="1835"/>
      <c r="DC67" s="1835"/>
      <c r="DD67" s="1835"/>
      <c r="DE67" s="1835"/>
      <c r="DF67" s="1835"/>
      <c r="DG67" s="1835"/>
      <c r="DH67" s="1835"/>
      <c r="DI67" s="1835"/>
      <c r="DJ67" s="1835"/>
      <c r="DK67" s="1835"/>
      <c r="DL67" s="1835"/>
      <c r="DM67" s="1835"/>
      <c r="DN67" s="1835"/>
      <c r="DO67" s="1835"/>
      <c r="DP67" s="1835"/>
      <c r="DQ67" s="1835"/>
      <c r="DR67" s="1835"/>
      <c r="DS67" s="1835"/>
      <c r="DT67" s="1835"/>
      <c r="DU67" s="1835"/>
      <c r="DV67" s="1835"/>
      <c r="DW67" s="1835"/>
      <c r="DX67" s="1835"/>
      <c r="DY67" s="1835"/>
      <c r="DZ67" s="1835"/>
    </row>
    <row r="68" spans="1:130" s="376" customFormat="1" ht="15" customHeight="1">
      <c r="A68" s="2012"/>
      <c r="B68" s="2092"/>
      <c r="C68" s="932" t="s">
        <v>11</v>
      </c>
      <c r="D68" s="655">
        <f>'475ПП'!H133</f>
        <v>7275.2650199999998</v>
      </c>
      <c r="E68" s="108">
        <f>D68</f>
        <v>7275.2650199999998</v>
      </c>
      <c r="F68" s="108">
        <f>E68</f>
        <v>7275.2650199999998</v>
      </c>
      <c r="G68" s="67">
        <f t="shared" si="2"/>
        <v>1</v>
      </c>
      <c r="H68" s="2018"/>
      <c r="I68" s="2069"/>
      <c r="J68" s="2047"/>
      <c r="K68" s="2170"/>
      <c r="L68" s="2053"/>
      <c r="M68" s="2024"/>
      <c r="N68" s="1835"/>
      <c r="O68" s="1835"/>
      <c r="P68" s="1835"/>
      <c r="Q68" s="1835"/>
      <c r="R68" s="1835"/>
      <c r="S68" s="1835"/>
      <c r="T68" s="1835"/>
      <c r="U68" s="1835"/>
      <c r="V68" s="1835"/>
      <c r="W68" s="1835"/>
      <c r="X68" s="1835"/>
      <c r="Y68" s="1835"/>
      <c r="Z68" s="1835"/>
      <c r="AA68" s="1835"/>
      <c r="AB68" s="1835"/>
      <c r="AC68" s="1835"/>
      <c r="AD68" s="1835"/>
      <c r="AE68" s="1835"/>
      <c r="AF68" s="1835"/>
      <c r="AG68" s="1835"/>
      <c r="AH68" s="1835"/>
      <c r="AI68" s="1835"/>
      <c r="AJ68" s="1835"/>
      <c r="AK68" s="1835"/>
      <c r="AL68" s="1835"/>
      <c r="AM68" s="1835"/>
      <c r="AN68" s="1835"/>
      <c r="AO68" s="1835"/>
      <c r="AP68" s="1835"/>
      <c r="AQ68" s="1835"/>
      <c r="AR68" s="1835"/>
      <c r="AS68" s="1835"/>
      <c r="AT68" s="1835"/>
      <c r="AU68" s="1835"/>
      <c r="AV68" s="1835"/>
      <c r="AW68" s="1835"/>
      <c r="AX68" s="1835"/>
      <c r="AY68" s="1835"/>
      <c r="AZ68" s="1835"/>
      <c r="BA68" s="1835"/>
      <c r="BB68" s="1835"/>
      <c r="BC68" s="1835"/>
      <c r="BD68" s="1835"/>
      <c r="BE68" s="1835"/>
      <c r="BF68" s="1835"/>
      <c r="BG68" s="1835"/>
      <c r="BH68" s="1835"/>
      <c r="BI68" s="1835"/>
      <c r="BJ68" s="1835"/>
      <c r="BK68" s="1835"/>
      <c r="BL68" s="1835"/>
      <c r="BM68" s="1835"/>
      <c r="BN68" s="1835"/>
      <c r="BO68" s="1835"/>
      <c r="BP68" s="1835"/>
      <c r="BQ68" s="1835"/>
      <c r="BR68" s="1835"/>
      <c r="BS68" s="1835"/>
      <c r="BT68" s="1835"/>
      <c r="BU68" s="1835"/>
      <c r="BV68" s="1835"/>
      <c r="BW68" s="1835"/>
      <c r="BX68" s="1835"/>
      <c r="BY68" s="1835"/>
      <c r="BZ68" s="1835"/>
      <c r="CA68" s="1835"/>
      <c r="CB68" s="1835"/>
      <c r="CC68" s="1835"/>
      <c r="CD68" s="1835"/>
      <c r="CE68" s="1835"/>
      <c r="CF68" s="1835"/>
      <c r="CG68" s="1835"/>
      <c r="CH68" s="1835"/>
      <c r="CI68" s="1835"/>
      <c r="CJ68" s="1835"/>
      <c r="CK68" s="1835"/>
      <c r="CL68" s="1835"/>
      <c r="CM68" s="1835"/>
      <c r="CN68" s="1835"/>
      <c r="CO68" s="1835"/>
      <c r="CP68" s="1835"/>
      <c r="CQ68" s="1835"/>
      <c r="CR68" s="1835"/>
      <c r="CS68" s="1835"/>
      <c r="CT68" s="1835"/>
      <c r="CU68" s="1835"/>
      <c r="CV68" s="1835"/>
      <c r="CW68" s="1835"/>
      <c r="CX68" s="1835"/>
      <c r="CY68" s="1835"/>
      <c r="CZ68" s="1835"/>
      <c r="DA68" s="1835"/>
      <c r="DB68" s="1835"/>
      <c r="DC68" s="1835"/>
      <c r="DD68" s="1835"/>
      <c r="DE68" s="1835"/>
      <c r="DF68" s="1835"/>
      <c r="DG68" s="1835"/>
      <c r="DH68" s="1835"/>
      <c r="DI68" s="1835"/>
      <c r="DJ68" s="1835"/>
      <c r="DK68" s="1835"/>
      <c r="DL68" s="1835"/>
      <c r="DM68" s="1835"/>
      <c r="DN68" s="1835"/>
      <c r="DO68" s="1835"/>
      <c r="DP68" s="1835"/>
      <c r="DQ68" s="1835"/>
      <c r="DR68" s="1835"/>
      <c r="DS68" s="1835"/>
      <c r="DT68" s="1835"/>
      <c r="DU68" s="1835"/>
      <c r="DV68" s="1835"/>
      <c r="DW68" s="1835"/>
      <c r="DX68" s="1835"/>
      <c r="DY68" s="1835"/>
      <c r="DZ68" s="1835"/>
    </row>
    <row r="69" spans="1:130" s="376" customFormat="1" ht="15" customHeight="1">
      <c r="A69" s="2013"/>
      <c r="B69" s="2093"/>
      <c r="C69" s="932" t="s">
        <v>12</v>
      </c>
      <c r="D69" s="655">
        <f>'475ПП'!I133</f>
        <v>0</v>
      </c>
      <c r="E69" s="108">
        <v>0</v>
      </c>
      <c r="F69" s="108">
        <v>0</v>
      </c>
      <c r="G69" s="67">
        <f t="shared" si="2"/>
        <v>0</v>
      </c>
      <c r="H69" s="2019"/>
      <c r="I69" s="2070"/>
      <c r="J69" s="2048"/>
      <c r="K69" s="2171"/>
      <c r="L69" s="2054"/>
      <c r="M69" s="2024"/>
      <c r="N69" s="1835"/>
      <c r="O69" s="1835"/>
      <c r="P69" s="1835"/>
      <c r="Q69" s="1835"/>
      <c r="R69" s="1835"/>
      <c r="S69" s="1835"/>
      <c r="T69" s="1835"/>
      <c r="U69" s="1835"/>
      <c r="V69" s="1835"/>
      <c r="W69" s="1835"/>
      <c r="X69" s="1835"/>
      <c r="Y69" s="1835"/>
      <c r="Z69" s="1835"/>
      <c r="AA69" s="1835"/>
      <c r="AB69" s="1835"/>
      <c r="AC69" s="1835"/>
      <c r="AD69" s="1835"/>
      <c r="AE69" s="1835"/>
      <c r="AF69" s="1835"/>
      <c r="AG69" s="1835"/>
      <c r="AH69" s="1835"/>
      <c r="AI69" s="1835"/>
      <c r="AJ69" s="1835"/>
      <c r="AK69" s="1835"/>
      <c r="AL69" s="1835"/>
      <c r="AM69" s="1835"/>
      <c r="AN69" s="1835"/>
      <c r="AO69" s="1835"/>
      <c r="AP69" s="1835"/>
      <c r="AQ69" s="1835"/>
      <c r="AR69" s="1835"/>
      <c r="AS69" s="1835"/>
      <c r="AT69" s="1835"/>
      <c r="AU69" s="1835"/>
      <c r="AV69" s="1835"/>
      <c r="AW69" s="1835"/>
      <c r="AX69" s="1835"/>
      <c r="AY69" s="1835"/>
      <c r="AZ69" s="1835"/>
      <c r="BA69" s="1835"/>
      <c r="BB69" s="1835"/>
      <c r="BC69" s="1835"/>
      <c r="BD69" s="1835"/>
      <c r="BE69" s="1835"/>
      <c r="BF69" s="1835"/>
      <c r="BG69" s="1835"/>
      <c r="BH69" s="1835"/>
      <c r="BI69" s="1835"/>
      <c r="BJ69" s="1835"/>
      <c r="BK69" s="1835"/>
      <c r="BL69" s="1835"/>
      <c r="BM69" s="1835"/>
      <c r="BN69" s="1835"/>
      <c r="BO69" s="1835"/>
      <c r="BP69" s="1835"/>
      <c r="BQ69" s="1835"/>
      <c r="BR69" s="1835"/>
      <c r="BS69" s="1835"/>
      <c r="BT69" s="1835"/>
      <c r="BU69" s="1835"/>
      <c r="BV69" s="1835"/>
      <c r="BW69" s="1835"/>
      <c r="BX69" s="1835"/>
      <c r="BY69" s="1835"/>
      <c r="BZ69" s="1835"/>
      <c r="CA69" s="1835"/>
      <c r="CB69" s="1835"/>
      <c r="CC69" s="1835"/>
      <c r="CD69" s="1835"/>
      <c r="CE69" s="1835"/>
      <c r="CF69" s="1835"/>
      <c r="CG69" s="1835"/>
      <c r="CH69" s="1835"/>
      <c r="CI69" s="1835"/>
      <c r="CJ69" s="1835"/>
      <c r="CK69" s="1835"/>
      <c r="CL69" s="1835"/>
      <c r="CM69" s="1835"/>
      <c r="CN69" s="1835"/>
      <c r="CO69" s="1835"/>
      <c r="CP69" s="1835"/>
      <c r="CQ69" s="1835"/>
      <c r="CR69" s="1835"/>
      <c r="CS69" s="1835"/>
      <c r="CT69" s="1835"/>
      <c r="CU69" s="1835"/>
      <c r="CV69" s="1835"/>
      <c r="CW69" s="1835"/>
      <c r="CX69" s="1835"/>
      <c r="CY69" s="1835"/>
      <c r="CZ69" s="1835"/>
      <c r="DA69" s="1835"/>
      <c r="DB69" s="1835"/>
      <c r="DC69" s="1835"/>
      <c r="DD69" s="1835"/>
      <c r="DE69" s="1835"/>
      <c r="DF69" s="1835"/>
      <c r="DG69" s="1835"/>
      <c r="DH69" s="1835"/>
      <c r="DI69" s="1835"/>
      <c r="DJ69" s="1835"/>
      <c r="DK69" s="1835"/>
      <c r="DL69" s="1835"/>
      <c r="DM69" s="1835"/>
      <c r="DN69" s="1835"/>
      <c r="DO69" s="1835"/>
      <c r="DP69" s="1835"/>
      <c r="DQ69" s="1835"/>
      <c r="DR69" s="1835"/>
      <c r="DS69" s="1835"/>
      <c r="DT69" s="1835"/>
      <c r="DU69" s="1835"/>
      <c r="DV69" s="1835"/>
      <c r="DW69" s="1835"/>
      <c r="DX69" s="1835"/>
      <c r="DY69" s="1835"/>
      <c r="DZ69" s="1835"/>
    </row>
    <row r="70" spans="1:130" s="376" customFormat="1" ht="15" customHeight="1">
      <c r="A70" s="2082" t="s">
        <v>3190</v>
      </c>
      <c r="B70" s="2091" t="s">
        <v>3189</v>
      </c>
      <c r="C70" s="933" t="s">
        <v>8</v>
      </c>
      <c r="D70" s="655">
        <f>SUM(D71:D74)</f>
        <v>729.99900000000002</v>
      </c>
      <c r="E70" s="108">
        <f>SUM(E71:E74)</f>
        <v>730</v>
      </c>
      <c r="F70" s="108">
        <f>SUM(F71:F74)</f>
        <v>730</v>
      </c>
      <c r="G70" s="67">
        <f t="shared" si="2"/>
        <v>1.0000013698648902</v>
      </c>
      <c r="H70" s="2097" t="s">
        <v>3187</v>
      </c>
      <c r="I70" s="2091" t="s">
        <v>3500</v>
      </c>
      <c r="J70" s="2044" t="s">
        <v>3384</v>
      </c>
      <c r="K70" s="2169" t="s">
        <v>2799</v>
      </c>
      <c r="L70" s="2148" t="s">
        <v>5333</v>
      </c>
      <c r="M70" s="2023">
        <v>823</v>
      </c>
      <c r="N70" s="1835"/>
      <c r="O70" s="1835"/>
      <c r="P70" s="1835"/>
      <c r="Q70" s="1835"/>
      <c r="R70" s="1835"/>
      <c r="S70" s="1835"/>
      <c r="T70" s="1835"/>
      <c r="U70" s="1835"/>
      <c r="V70" s="1835"/>
      <c r="W70" s="1835"/>
      <c r="X70" s="1835"/>
      <c r="Y70" s="1835"/>
      <c r="Z70" s="1835"/>
      <c r="AA70" s="1835"/>
      <c r="AB70" s="1835"/>
      <c r="AC70" s="1835"/>
      <c r="AD70" s="1835"/>
      <c r="AE70" s="1835"/>
      <c r="AF70" s="1835"/>
      <c r="AG70" s="1835"/>
      <c r="AH70" s="1835"/>
      <c r="AI70" s="1835"/>
      <c r="AJ70" s="1835"/>
      <c r="AK70" s="1835"/>
      <c r="AL70" s="1835"/>
      <c r="AM70" s="1835"/>
      <c r="AN70" s="1835"/>
      <c r="AO70" s="1835"/>
      <c r="AP70" s="1835"/>
      <c r="AQ70" s="1835"/>
      <c r="AR70" s="1835"/>
      <c r="AS70" s="1835"/>
      <c r="AT70" s="1835"/>
      <c r="AU70" s="1835"/>
      <c r="AV70" s="1835"/>
      <c r="AW70" s="1835"/>
      <c r="AX70" s="1835"/>
      <c r="AY70" s="1835"/>
      <c r="AZ70" s="1835"/>
      <c r="BA70" s="1835"/>
      <c r="BB70" s="1835"/>
      <c r="BC70" s="1835"/>
      <c r="BD70" s="1835"/>
      <c r="BE70" s="1835"/>
      <c r="BF70" s="1835"/>
      <c r="BG70" s="1835"/>
      <c r="BH70" s="1835"/>
      <c r="BI70" s="1835"/>
      <c r="BJ70" s="1835"/>
      <c r="BK70" s="1835"/>
      <c r="BL70" s="1835"/>
      <c r="BM70" s="1835"/>
      <c r="BN70" s="1835"/>
      <c r="BO70" s="1835"/>
      <c r="BP70" s="1835"/>
      <c r="BQ70" s="1835"/>
      <c r="BR70" s="1835"/>
      <c r="BS70" s="1835"/>
      <c r="BT70" s="1835"/>
      <c r="BU70" s="1835"/>
      <c r="BV70" s="1835"/>
      <c r="BW70" s="1835"/>
      <c r="BX70" s="1835"/>
      <c r="BY70" s="1835"/>
      <c r="BZ70" s="1835"/>
      <c r="CA70" s="1835"/>
      <c r="CB70" s="1835"/>
      <c r="CC70" s="1835"/>
      <c r="CD70" s="1835"/>
      <c r="CE70" s="1835"/>
      <c r="CF70" s="1835"/>
      <c r="CG70" s="1835"/>
      <c r="CH70" s="1835"/>
      <c r="CI70" s="1835"/>
      <c r="CJ70" s="1835"/>
      <c r="CK70" s="1835"/>
      <c r="CL70" s="1835"/>
      <c r="CM70" s="1835"/>
      <c r="CN70" s="1835"/>
      <c r="CO70" s="1835"/>
      <c r="CP70" s="1835"/>
      <c r="CQ70" s="1835"/>
      <c r="CR70" s="1835"/>
      <c r="CS70" s="1835"/>
      <c r="CT70" s="1835"/>
      <c r="CU70" s="1835"/>
      <c r="CV70" s="1835"/>
      <c r="CW70" s="1835"/>
      <c r="CX70" s="1835"/>
      <c r="CY70" s="1835"/>
      <c r="CZ70" s="1835"/>
      <c r="DA70" s="1835"/>
      <c r="DB70" s="1835"/>
      <c r="DC70" s="1835"/>
      <c r="DD70" s="1835"/>
      <c r="DE70" s="1835"/>
      <c r="DF70" s="1835"/>
      <c r="DG70" s="1835"/>
      <c r="DH70" s="1835"/>
      <c r="DI70" s="1835"/>
      <c r="DJ70" s="1835"/>
      <c r="DK70" s="1835"/>
      <c r="DL70" s="1835"/>
      <c r="DM70" s="1835"/>
      <c r="DN70" s="1835"/>
      <c r="DO70" s="1835"/>
      <c r="DP70" s="1835"/>
      <c r="DQ70" s="1835"/>
      <c r="DR70" s="1835"/>
      <c r="DS70" s="1835"/>
      <c r="DT70" s="1835"/>
      <c r="DU70" s="1835"/>
      <c r="DV70" s="1835"/>
      <c r="DW70" s="1835"/>
      <c r="DX70" s="1835"/>
      <c r="DY70" s="1835"/>
      <c r="DZ70" s="1835"/>
    </row>
    <row r="71" spans="1:130" s="376" customFormat="1" ht="15" customHeight="1">
      <c r="A71" s="2012"/>
      <c r="B71" s="2092"/>
      <c r="C71" s="932" t="s">
        <v>9</v>
      </c>
      <c r="D71" s="655">
        <f>'668-ПП'!F134-164.68</f>
        <v>729.99900000000002</v>
      </c>
      <c r="E71" s="108">
        <f>'2023'!H24</f>
        <v>730</v>
      </c>
      <c r="F71" s="108">
        <f>E71</f>
        <v>730</v>
      </c>
      <c r="G71" s="67">
        <f t="shared" si="2"/>
        <v>1.0000013698648902</v>
      </c>
      <c r="H71" s="2018"/>
      <c r="I71" s="2092"/>
      <c r="J71" s="2027"/>
      <c r="K71" s="2170"/>
      <c r="L71" s="2149"/>
      <c r="M71" s="2024"/>
      <c r="N71" s="1835"/>
      <c r="O71" s="1835"/>
      <c r="P71" s="1835"/>
      <c r="Q71" s="1835"/>
      <c r="R71" s="1835"/>
      <c r="S71" s="1835"/>
      <c r="T71" s="1835"/>
      <c r="U71" s="1835"/>
      <c r="V71" s="1835"/>
      <c r="W71" s="1835"/>
      <c r="X71" s="1835"/>
      <c r="Y71" s="1835"/>
      <c r="Z71" s="1835"/>
      <c r="AA71" s="1835"/>
      <c r="AB71" s="1835"/>
      <c r="AC71" s="1835"/>
      <c r="AD71" s="1835"/>
      <c r="AE71" s="1835"/>
      <c r="AF71" s="1835"/>
      <c r="AG71" s="1835"/>
      <c r="AH71" s="1835"/>
      <c r="AI71" s="1835"/>
      <c r="AJ71" s="1835"/>
      <c r="AK71" s="1835"/>
      <c r="AL71" s="1835"/>
      <c r="AM71" s="1835"/>
      <c r="AN71" s="1835"/>
      <c r="AO71" s="1835"/>
      <c r="AP71" s="1835"/>
      <c r="AQ71" s="1835"/>
      <c r="AR71" s="1835"/>
      <c r="AS71" s="1835"/>
      <c r="AT71" s="1835"/>
      <c r="AU71" s="1835"/>
      <c r="AV71" s="1835"/>
      <c r="AW71" s="1835"/>
      <c r="AX71" s="1835"/>
      <c r="AY71" s="1835"/>
      <c r="AZ71" s="1835"/>
      <c r="BA71" s="1835"/>
      <c r="BB71" s="1835"/>
      <c r="BC71" s="1835"/>
      <c r="BD71" s="1835"/>
      <c r="BE71" s="1835"/>
      <c r="BF71" s="1835"/>
      <c r="BG71" s="1835"/>
      <c r="BH71" s="1835"/>
      <c r="BI71" s="1835"/>
      <c r="BJ71" s="1835"/>
      <c r="BK71" s="1835"/>
      <c r="BL71" s="1835"/>
      <c r="BM71" s="1835"/>
      <c r="BN71" s="1835"/>
      <c r="BO71" s="1835"/>
      <c r="BP71" s="1835"/>
      <c r="BQ71" s="1835"/>
      <c r="BR71" s="1835"/>
      <c r="BS71" s="1835"/>
      <c r="BT71" s="1835"/>
      <c r="BU71" s="1835"/>
      <c r="BV71" s="1835"/>
      <c r="BW71" s="1835"/>
      <c r="BX71" s="1835"/>
      <c r="BY71" s="1835"/>
      <c r="BZ71" s="1835"/>
      <c r="CA71" s="1835"/>
      <c r="CB71" s="1835"/>
      <c r="CC71" s="1835"/>
      <c r="CD71" s="1835"/>
      <c r="CE71" s="1835"/>
      <c r="CF71" s="1835"/>
      <c r="CG71" s="1835"/>
      <c r="CH71" s="1835"/>
      <c r="CI71" s="1835"/>
      <c r="CJ71" s="1835"/>
      <c r="CK71" s="1835"/>
      <c r="CL71" s="1835"/>
      <c r="CM71" s="1835"/>
      <c r="CN71" s="1835"/>
      <c r="CO71" s="1835"/>
      <c r="CP71" s="1835"/>
      <c r="CQ71" s="1835"/>
      <c r="CR71" s="1835"/>
      <c r="CS71" s="1835"/>
      <c r="CT71" s="1835"/>
      <c r="CU71" s="1835"/>
      <c r="CV71" s="1835"/>
      <c r="CW71" s="1835"/>
      <c r="CX71" s="1835"/>
      <c r="CY71" s="1835"/>
      <c r="CZ71" s="1835"/>
      <c r="DA71" s="1835"/>
      <c r="DB71" s="1835"/>
      <c r="DC71" s="1835"/>
      <c r="DD71" s="1835"/>
      <c r="DE71" s="1835"/>
      <c r="DF71" s="1835"/>
      <c r="DG71" s="1835"/>
      <c r="DH71" s="1835"/>
      <c r="DI71" s="1835"/>
      <c r="DJ71" s="1835"/>
      <c r="DK71" s="1835"/>
      <c r="DL71" s="1835"/>
      <c r="DM71" s="1835"/>
      <c r="DN71" s="1835"/>
      <c r="DO71" s="1835"/>
      <c r="DP71" s="1835"/>
      <c r="DQ71" s="1835"/>
      <c r="DR71" s="1835"/>
      <c r="DS71" s="1835"/>
      <c r="DT71" s="1835"/>
      <c r="DU71" s="1835"/>
      <c r="DV71" s="1835"/>
      <c r="DW71" s="1835"/>
      <c r="DX71" s="1835"/>
      <c r="DY71" s="1835"/>
      <c r="DZ71" s="1835"/>
    </row>
    <row r="72" spans="1:130" s="376" customFormat="1" ht="15" customHeight="1">
      <c r="A72" s="2012"/>
      <c r="B72" s="2092"/>
      <c r="C72" s="932" t="s">
        <v>10</v>
      </c>
      <c r="D72" s="655">
        <f>'475ПП'!G139</f>
        <v>0</v>
      </c>
      <c r="E72" s="108"/>
      <c r="F72" s="108">
        <v>0</v>
      </c>
      <c r="G72" s="67">
        <f t="shared" si="2"/>
        <v>0</v>
      </c>
      <c r="H72" s="2018"/>
      <c r="I72" s="2092"/>
      <c r="J72" s="2027"/>
      <c r="K72" s="2170"/>
      <c r="L72" s="2149"/>
      <c r="M72" s="2024"/>
      <c r="N72" s="1835"/>
      <c r="O72" s="1835"/>
      <c r="P72" s="1835"/>
      <c r="Q72" s="1835"/>
      <c r="R72" s="1835"/>
      <c r="S72" s="1835"/>
      <c r="T72" s="1835"/>
      <c r="U72" s="1835"/>
      <c r="V72" s="1835"/>
      <c r="W72" s="1835"/>
      <c r="X72" s="1835"/>
      <c r="Y72" s="1835"/>
      <c r="Z72" s="1835"/>
      <c r="AA72" s="1835"/>
      <c r="AB72" s="1835"/>
      <c r="AC72" s="1835"/>
      <c r="AD72" s="1835"/>
      <c r="AE72" s="1835"/>
      <c r="AF72" s="1835"/>
      <c r="AG72" s="1835"/>
      <c r="AH72" s="1835"/>
      <c r="AI72" s="1835"/>
      <c r="AJ72" s="1835"/>
      <c r="AK72" s="1835"/>
      <c r="AL72" s="1835"/>
      <c r="AM72" s="1835"/>
      <c r="AN72" s="1835"/>
      <c r="AO72" s="1835"/>
      <c r="AP72" s="1835"/>
      <c r="AQ72" s="1835"/>
      <c r="AR72" s="1835"/>
      <c r="AS72" s="1835"/>
      <c r="AT72" s="1835"/>
      <c r="AU72" s="1835"/>
      <c r="AV72" s="1835"/>
      <c r="AW72" s="1835"/>
      <c r="AX72" s="1835"/>
      <c r="AY72" s="1835"/>
      <c r="AZ72" s="1835"/>
      <c r="BA72" s="1835"/>
      <c r="BB72" s="1835"/>
      <c r="BC72" s="1835"/>
      <c r="BD72" s="1835"/>
      <c r="BE72" s="1835"/>
      <c r="BF72" s="1835"/>
      <c r="BG72" s="1835"/>
      <c r="BH72" s="1835"/>
      <c r="BI72" s="1835"/>
      <c r="BJ72" s="1835"/>
      <c r="BK72" s="1835"/>
      <c r="BL72" s="1835"/>
      <c r="BM72" s="1835"/>
      <c r="BN72" s="1835"/>
      <c r="BO72" s="1835"/>
      <c r="BP72" s="1835"/>
      <c r="BQ72" s="1835"/>
      <c r="BR72" s="1835"/>
      <c r="BS72" s="1835"/>
      <c r="BT72" s="1835"/>
      <c r="BU72" s="1835"/>
      <c r="BV72" s="1835"/>
      <c r="BW72" s="1835"/>
      <c r="BX72" s="1835"/>
      <c r="BY72" s="1835"/>
      <c r="BZ72" s="1835"/>
      <c r="CA72" s="1835"/>
      <c r="CB72" s="1835"/>
      <c r="CC72" s="1835"/>
      <c r="CD72" s="1835"/>
      <c r="CE72" s="1835"/>
      <c r="CF72" s="1835"/>
      <c r="CG72" s="1835"/>
      <c r="CH72" s="1835"/>
      <c r="CI72" s="1835"/>
      <c r="CJ72" s="1835"/>
      <c r="CK72" s="1835"/>
      <c r="CL72" s="1835"/>
      <c r="CM72" s="1835"/>
      <c r="CN72" s="1835"/>
      <c r="CO72" s="1835"/>
      <c r="CP72" s="1835"/>
      <c r="CQ72" s="1835"/>
      <c r="CR72" s="1835"/>
      <c r="CS72" s="1835"/>
      <c r="CT72" s="1835"/>
      <c r="CU72" s="1835"/>
      <c r="CV72" s="1835"/>
      <c r="CW72" s="1835"/>
      <c r="CX72" s="1835"/>
      <c r="CY72" s="1835"/>
      <c r="CZ72" s="1835"/>
      <c r="DA72" s="1835"/>
      <c r="DB72" s="1835"/>
      <c r="DC72" s="1835"/>
      <c r="DD72" s="1835"/>
      <c r="DE72" s="1835"/>
      <c r="DF72" s="1835"/>
      <c r="DG72" s="1835"/>
      <c r="DH72" s="1835"/>
      <c r="DI72" s="1835"/>
      <c r="DJ72" s="1835"/>
      <c r="DK72" s="1835"/>
      <c r="DL72" s="1835"/>
      <c r="DM72" s="1835"/>
      <c r="DN72" s="1835"/>
      <c r="DO72" s="1835"/>
      <c r="DP72" s="1835"/>
      <c r="DQ72" s="1835"/>
      <c r="DR72" s="1835"/>
      <c r="DS72" s="1835"/>
      <c r="DT72" s="1835"/>
      <c r="DU72" s="1835"/>
      <c r="DV72" s="1835"/>
      <c r="DW72" s="1835"/>
      <c r="DX72" s="1835"/>
      <c r="DY72" s="1835"/>
      <c r="DZ72" s="1835"/>
    </row>
    <row r="73" spans="1:130" s="376" customFormat="1" ht="15" customHeight="1">
      <c r="A73" s="2012"/>
      <c r="B73" s="2092"/>
      <c r="C73" s="932" t="s">
        <v>11</v>
      </c>
      <c r="D73" s="655">
        <f>'475ПП'!H139</f>
        <v>0</v>
      </c>
      <c r="E73" s="108">
        <v>0</v>
      </c>
      <c r="F73" s="108">
        <v>0</v>
      </c>
      <c r="G73" s="67">
        <f t="shared" si="2"/>
        <v>0</v>
      </c>
      <c r="H73" s="2018"/>
      <c r="I73" s="2092"/>
      <c r="J73" s="2027"/>
      <c r="K73" s="2170"/>
      <c r="L73" s="2149"/>
      <c r="M73" s="2024"/>
      <c r="N73" s="1835"/>
      <c r="O73" s="1835"/>
      <c r="P73" s="1835"/>
      <c r="Q73" s="1835"/>
      <c r="R73" s="1835"/>
      <c r="S73" s="1835"/>
      <c r="T73" s="1835"/>
      <c r="U73" s="1835"/>
      <c r="V73" s="1835"/>
      <c r="W73" s="1835"/>
      <c r="X73" s="1835"/>
      <c r="Y73" s="1835"/>
      <c r="Z73" s="1835"/>
      <c r="AA73" s="1835"/>
      <c r="AB73" s="1835"/>
      <c r="AC73" s="1835"/>
      <c r="AD73" s="1835"/>
      <c r="AE73" s="1835"/>
      <c r="AF73" s="1835"/>
      <c r="AG73" s="1835"/>
      <c r="AH73" s="1835"/>
      <c r="AI73" s="1835"/>
      <c r="AJ73" s="1835"/>
      <c r="AK73" s="1835"/>
      <c r="AL73" s="1835"/>
      <c r="AM73" s="1835"/>
      <c r="AN73" s="1835"/>
      <c r="AO73" s="1835"/>
      <c r="AP73" s="1835"/>
      <c r="AQ73" s="1835"/>
      <c r="AR73" s="1835"/>
      <c r="AS73" s="1835"/>
      <c r="AT73" s="1835"/>
      <c r="AU73" s="1835"/>
      <c r="AV73" s="1835"/>
      <c r="AW73" s="1835"/>
      <c r="AX73" s="1835"/>
      <c r="AY73" s="1835"/>
      <c r="AZ73" s="1835"/>
      <c r="BA73" s="1835"/>
      <c r="BB73" s="1835"/>
      <c r="BC73" s="1835"/>
      <c r="BD73" s="1835"/>
      <c r="BE73" s="1835"/>
      <c r="BF73" s="1835"/>
      <c r="BG73" s="1835"/>
      <c r="BH73" s="1835"/>
      <c r="BI73" s="1835"/>
      <c r="BJ73" s="1835"/>
      <c r="BK73" s="1835"/>
      <c r="BL73" s="1835"/>
      <c r="BM73" s="1835"/>
      <c r="BN73" s="1835"/>
      <c r="BO73" s="1835"/>
      <c r="BP73" s="1835"/>
      <c r="BQ73" s="1835"/>
      <c r="BR73" s="1835"/>
      <c r="BS73" s="1835"/>
      <c r="BT73" s="1835"/>
      <c r="BU73" s="1835"/>
      <c r="BV73" s="1835"/>
      <c r="BW73" s="1835"/>
      <c r="BX73" s="1835"/>
      <c r="BY73" s="1835"/>
      <c r="BZ73" s="1835"/>
      <c r="CA73" s="1835"/>
      <c r="CB73" s="1835"/>
      <c r="CC73" s="1835"/>
      <c r="CD73" s="1835"/>
      <c r="CE73" s="1835"/>
      <c r="CF73" s="1835"/>
      <c r="CG73" s="1835"/>
      <c r="CH73" s="1835"/>
      <c r="CI73" s="1835"/>
      <c r="CJ73" s="1835"/>
      <c r="CK73" s="1835"/>
      <c r="CL73" s="1835"/>
      <c r="CM73" s="1835"/>
      <c r="CN73" s="1835"/>
      <c r="CO73" s="1835"/>
      <c r="CP73" s="1835"/>
      <c r="CQ73" s="1835"/>
      <c r="CR73" s="1835"/>
      <c r="CS73" s="1835"/>
      <c r="CT73" s="1835"/>
      <c r="CU73" s="1835"/>
      <c r="CV73" s="1835"/>
      <c r="CW73" s="1835"/>
      <c r="CX73" s="1835"/>
      <c r="CY73" s="1835"/>
      <c r="CZ73" s="1835"/>
      <c r="DA73" s="1835"/>
      <c r="DB73" s="1835"/>
      <c r="DC73" s="1835"/>
      <c r="DD73" s="1835"/>
      <c r="DE73" s="1835"/>
      <c r="DF73" s="1835"/>
      <c r="DG73" s="1835"/>
      <c r="DH73" s="1835"/>
      <c r="DI73" s="1835"/>
      <c r="DJ73" s="1835"/>
      <c r="DK73" s="1835"/>
      <c r="DL73" s="1835"/>
      <c r="DM73" s="1835"/>
      <c r="DN73" s="1835"/>
      <c r="DO73" s="1835"/>
      <c r="DP73" s="1835"/>
      <c r="DQ73" s="1835"/>
      <c r="DR73" s="1835"/>
      <c r="DS73" s="1835"/>
      <c r="DT73" s="1835"/>
      <c r="DU73" s="1835"/>
      <c r="DV73" s="1835"/>
      <c r="DW73" s="1835"/>
      <c r="DX73" s="1835"/>
      <c r="DY73" s="1835"/>
      <c r="DZ73" s="1835"/>
    </row>
    <row r="74" spans="1:130" s="376" customFormat="1" ht="31.5" customHeight="1">
      <c r="A74" s="2013"/>
      <c r="B74" s="2093"/>
      <c r="C74" s="932" t="s">
        <v>12</v>
      </c>
      <c r="D74" s="655">
        <f>'475ПП'!I139</f>
        <v>0</v>
      </c>
      <c r="E74" s="108">
        <v>0</v>
      </c>
      <c r="F74" s="108">
        <v>0</v>
      </c>
      <c r="G74" s="67">
        <f t="shared" si="2"/>
        <v>0</v>
      </c>
      <c r="H74" s="2019"/>
      <c r="I74" s="2093"/>
      <c r="J74" s="2028"/>
      <c r="K74" s="2171"/>
      <c r="L74" s="2150"/>
      <c r="M74" s="2024"/>
      <c r="N74" s="1835"/>
      <c r="O74" s="1835"/>
      <c r="P74" s="1835"/>
      <c r="Q74" s="1835"/>
      <c r="R74" s="1835"/>
      <c r="S74" s="1835"/>
      <c r="T74" s="1835"/>
      <c r="U74" s="1835"/>
      <c r="V74" s="1835"/>
      <c r="W74" s="1835"/>
      <c r="X74" s="1835"/>
      <c r="Y74" s="1835"/>
      <c r="Z74" s="1835"/>
      <c r="AA74" s="1835"/>
      <c r="AB74" s="1835"/>
      <c r="AC74" s="1835"/>
      <c r="AD74" s="1835"/>
      <c r="AE74" s="1835"/>
      <c r="AF74" s="1835"/>
      <c r="AG74" s="1835"/>
      <c r="AH74" s="1835"/>
      <c r="AI74" s="1835"/>
      <c r="AJ74" s="1835"/>
      <c r="AK74" s="1835"/>
      <c r="AL74" s="1835"/>
      <c r="AM74" s="1835"/>
      <c r="AN74" s="1835"/>
      <c r="AO74" s="1835"/>
      <c r="AP74" s="1835"/>
      <c r="AQ74" s="1835"/>
      <c r="AR74" s="1835"/>
      <c r="AS74" s="1835"/>
      <c r="AT74" s="1835"/>
      <c r="AU74" s="1835"/>
      <c r="AV74" s="1835"/>
      <c r="AW74" s="1835"/>
      <c r="AX74" s="1835"/>
      <c r="AY74" s="1835"/>
      <c r="AZ74" s="1835"/>
      <c r="BA74" s="1835"/>
      <c r="BB74" s="1835"/>
      <c r="BC74" s="1835"/>
      <c r="BD74" s="1835"/>
      <c r="BE74" s="1835"/>
      <c r="BF74" s="1835"/>
      <c r="BG74" s="1835"/>
      <c r="BH74" s="1835"/>
      <c r="BI74" s="1835"/>
      <c r="BJ74" s="1835"/>
      <c r="BK74" s="1835"/>
      <c r="BL74" s="1835"/>
      <c r="BM74" s="1835"/>
      <c r="BN74" s="1835"/>
      <c r="BO74" s="1835"/>
      <c r="BP74" s="1835"/>
      <c r="BQ74" s="1835"/>
      <c r="BR74" s="1835"/>
      <c r="BS74" s="1835"/>
      <c r="BT74" s="1835"/>
      <c r="BU74" s="1835"/>
      <c r="BV74" s="1835"/>
      <c r="BW74" s="1835"/>
      <c r="BX74" s="1835"/>
      <c r="BY74" s="1835"/>
      <c r="BZ74" s="1835"/>
      <c r="CA74" s="1835"/>
      <c r="CB74" s="1835"/>
      <c r="CC74" s="1835"/>
      <c r="CD74" s="1835"/>
      <c r="CE74" s="1835"/>
      <c r="CF74" s="1835"/>
      <c r="CG74" s="1835"/>
      <c r="CH74" s="1835"/>
      <c r="CI74" s="1835"/>
      <c r="CJ74" s="1835"/>
      <c r="CK74" s="1835"/>
      <c r="CL74" s="1835"/>
      <c r="CM74" s="1835"/>
      <c r="CN74" s="1835"/>
      <c r="CO74" s="1835"/>
      <c r="CP74" s="1835"/>
      <c r="CQ74" s="1835"/>
      <c r="CR74" s="1835"/>
      <c r="CS74" s="1835"/>
      <c r="CT74" s="1835"/>
      <c r="CU74" s="1835"/>
      <c r="CV74" s="1835"/>
      <c r="CW74" s="1835"/>
      <c r="CX74" s="1835"/>
      <c r="CY74" s="1835"/>
      <c r="CZ74" s="1835"/>
      <c r="DA74" s="1835"/>
      <c r="DB74" s="1835"/>
      <c r="DC74" s="1835"/>
      <c r="DD74" s="1835"/>
      <c r="DE74" s="1835"/>
      <c r="DF74" s="1835"/>
      <c r="DG74" s="1835"/>
      <c r="DH74" s="1835"/>
      <c r="DI74" s="1835"/>
      <c r="DJ74" s="1835"/>
      <c r="DK74" s="1835"/>
      <c r="DL74" s="1835"/>
      <c r="DM74" s="1835"/>
      <c r="DN74" s="1835"/>
      <c r="DO74" s="1835"/>
      <c r="DP74" s="1835"/>
      <c r="DQ74" s="1835"/>
      <c r="DR74" s="1835"/>
      <c r="DS74" s="1835"/>
      <c r="DT74" s="1835"/>
      <c r="DU74" s="1835"/>
      <c r="DV74" s="1835"/>
      <c r="DW74" s="1835"/>
      <c r="DX74" s="1835"/>
      <c r="DY74" s="1835"/>
      <c r="DZ74" s="1835"/>
    </row>
    <row r="75" spans="1:130" s="372" customFormat="1">
      <c r="A75" s="2123" t="s">
        <v>3236</v>
      </c>
      <c r="B75" s="2108" t="s">
        <v>2870</v>
      </c>
      <c r="C75" s="776" t="s">
        <v>8</v>
      </c>
      <c r="D75" s="1503">
        <f>SUM(D76:D79)</f>
        <v>10141.78175</v>
      </c>
      <c r="E75" s="1503">
        <f>SUM(E76:E79)</f>
        <v>10141.80055</v>
      </c>
      <c r="F75" s="1503">
        <f>SUM(F76:F79)</f>
        <v>10141.80055</v>
      </c>
      <c r="G75" s="778">
        <f t="shared" si="2"/>
        <v>1.0000018537176665</v>
      </c>
      <c r="H75" s="2160" t="s">
        <v>3185</v>
      </c>
      <c r="I75" s="779" t="s">
        <v>267</v>
      </c>
      <c r="J75" s="1458">
        <f>SUM(J76:J78)</f>
        <v>3</v>
      </c>
      <c r="K75" s="2060" t="s">
        <v>2798</v>
      </c>
      <c r="L75" s="2060"/>
      <c r="M75" s="2041">
        <v>823</v>
      </c>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c r="DL75" s="36"/>
      <c r="DM75" s="36"/>
      <c r="DN75" s="36"/>
      <c r="DO75" s="36"/>
      <c r="DP75" s="36"/>
      <c r="DQ75" s="36"/>
      <c r="DR75" s="36"/>
      <c r="DS75" s="36"/>
      <c r="DT75" s="36"/>
      <c r="DU75" s="36"/>
      <c r="DV75" s="36"/>
      <c r="DW75" s="36"/>
      <c r="DX75" s="36"/>
      <c r="DY75" s="36"/>
      <c r="DZ75" s="36"/>
    </row>
    <row r="76" spans="1:130" s="372" customFormat="1">
      <c r="A76" s="2124"/>
      <c r="B76" s="2109"/>
      <c r="C76" s="776" t="s">
        <v>9</v>
      </c>
      <c r="D76" s="1525">
        <f t="shared" ref="D76:E79" si="4">SUM(D81,D86,D91)</f>
        <v>9026.1502700000001</v>
      </c>
      <c r="E76" s="1525">
        <f t="shared" si="4"/>
        <v>9026.1690699999999</v>
      </c>
      <c r="F76" s="1525">
        <f>E76</f>
        <v>9026.1690699999999</v>
      </c>
      <c r="G76" s="778">
        <f t="shared" si="2"/>
        <v>1.0000020828370277</v>
      </c>
      <c r="H76" s="2161"/>
      <c r="I76" s="779" t="s">
        <v>268</v>
      </c>
      <c r="J76" s="1458">
        <f>COUNTIF($J$80:$J$94,"Да")</f>
        <v>3</v>
      </c>
      <c r="K76" s="2061"/>
      <c r="L76" s="2061"/>
      <c r="M76" s="2042"/>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c r="DL76" s="36"/>
      <c r="DM76" s="36"/>
      <c r="DN76" s="36"/>
      <c r="DO76" s="36"/>
      <c r="DP76" s="36"/>
      <c r="DQ76" s="36"/>
      <c r="DR76" s="36"/>
      <c r="DS76" s="36"/>
      <c r="DT76" s="36"/>
      <c r="DU76" s="36"/>
      <c r="DV76" s="36"/>
      <c r="DW76" s="36"/>
      <c r="DX76" s="36"/>
      <c r="DY76" s="36"/>
      <c r="DZ76" s="36"/>
    </row>
    <row r="77" spans="1:130" s="372" customFormat="1">
      <c r="A77" s="2124"/>
      <c r="B77" s="2109"/>
      <c r="C77" s="776" t="s">
        <v>10</v>
      </c>
      <c r="D77" s="1525">
        <f t="shared" si="4"/>
        <v>1115.63148</v>
      </c>
      <c r="E77" s="1525">
        <f t="shared" si="4"/>
        <v>1115.63148</v>
      </c>
      <c r="F77" s="1525">
        <f>E77</f>
        <v>1115.63148</v>
      </c>
      <c r="G77" s="778">
        <f t="shared" ref="G77:G145" si="5">IFERROR(F77/D77,0)</f>
        <v>1</v>
      </c>
      <c r="H77" s="2161"/>
      <c r="I77" s="779" t="s">
        <v>269</v>
      </c>
      <c r="J77" s="1458">
        <f>COUNTIF($J$80:$J$94,"Частично")</f>
        <v>0</v>
      </c>
      <c r="K77" s="2061"/>
      <c r="L77" s="2061"/>
      <c r="M77" s="2042"/>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c r="DL77" s="36"/>
      <c r="DM77" s="36"/>
      <c r="DN77" s="36"/>
      <c r="DO77" s="36"/>
      <c r="DP77" s="36"/>
      <c r="DQ77" s="36"/>
      <c r="DR77" s="36"/>
      <c r="DS77" s="36"/>
      <c r="DT77" s="36"/>
      <c r="DU77" s="36"/>
      <c r="DV77" s="36"/>
      <c r="DW77" s="36"/>
      <c r="DX77" s="36"/>
      <c r="DY77" s="36"/>
      <c r="DZ77" s="36"/>
    </row>
    <row r="78" spans="1:130" s="372" customFormat="1">
      <c r="A78" s="2124"/>
      <c r="B78" s="2109"/>
      <c r="C78" s="776" t="s">
        <v>11</v>
      </c>
      <c r="D78" s="1525">
        <f t="shared" si="4"/>
        <v>0</v>
      </c>
      <c r="E78" s="1525">
        <f t="shared" si="4"/>
        <v>0</v>
      </c>
      <c r="F78" s="1525">
        <f>E78</f>
        <v>0</v>
      </c>
      <c r="G78" s="778">
        <f t="shared" si="5"/>
        <v>0</v>
      </c>
      <c r="H78" s="2161"/>
      <c r="I78" s="779" t="s">
        <v>270</v>
      </c>
      <c r="J78" s="1458">
        <f>COUNTIF($J$80:$J$94,"Нет")</f>
        <v>0</v>
      </c>
      <c r="K78" s="2061"/>
      <c r="L78" s="2061"/>
      <c r="M78" s="2042"/>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row>
    <row r="79" spans="1:130" s="372" customFormat="1">
      <c r="A79" s="2125"/>
      <c r="B79" s="2110"/>
      <c r="C79" s="776" t="s">
        <v>12</v>
      </c>
      <c r="D79" s="1525">
        <f t="shared" si="4"/>
        <v>0</v>
      </c>
      <c r="E79" s="1525">
        <f t="shared" si="4"/>
        <v>0</v>
      </c>
      <c r="F79" s="1525">
        <f>E79</f>
        <v>0</v>
      </c>
      <c r="G79" s="778">
        <f t="shared" si="5"/>
        <v>0</v>
      </c>
      <c r="H79" s="2162"/>
      <c r="I79" s="779" t="s">
        <v>271</v>
      </c>
      <c r="J79" s="1459">
        <f>(J76+0.5*J77)/J75</f>
        <v>1</v>
      </c>
      <c r="K79" s="2061"/>
      <c r="L79" s="2061"/>
      <c r="M79" s="2043"/>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c r="CR79" s="36"/>
      <c r="CS79" s="36"/>
      <c r="CT79" s="36"/>
      <c r="CU79" s="36"/>
      <c r="CV79" s="36"/>
      <c r="CW79" s="36"/>
      <c r="CX79" s="36"/>
      <c r="CY79" s="36"/>
      <c r="CZ79" s="36"/>
      <c r="DA79" s="36"/>
      <c r="DB79" s="36"/>
      <c r="DC79" s="36"/>
      <c r="DD79" s="36"/>
      <c r="DE79" s="36"/>
      <c r="DF79" s="36"/>
      <c r="DG79" s="36"/>
      <c r="DH79" s="36"/>
      <c r="DI79" s="36"/>
      <c r="DJ79" s="36"/>
      <c r="DK79" s="36"/>
      <c r="DL79" s="36"/>
      <c r="DM79" s="36"/>
      <c r="DN79" s="36"/>
      <c r="DO79" s="36"/>
      <c r="DP79" s="36"/>
      <c r="DQ79" s="36"/>
      <c r="DR79" s="36"/>
      <c r="DS79" s="36"/>
      <c r="DT79" s="36"/>
      <c r="DU79" s="36"/>
      <c r="DV79" s="36"/>
      <c r="DW79" s="36"/>
      <c r="DX79" s="36"/>
      <c r="DY79" s="36"/>
      <c r="DZ79" s="36"/>
    </row>
    <row r="80" spans="1:130" s="376" customFormat="1" ht="15" customHeight="1">
      <c r="A80" s="2085" t="s">
        <v>3237</v>
      </c>
      <c r="B80" s="2076" t="s">
        <v>655</v>
      </c>
      <c r="C80" s="932" t="s">
        <v>8</v>
      </c>
      <c r="D80" s="107">
        <f>SUM(D81:D84)</f>
        <v>1186.8420000000001</v>
      </c>
      <c r="E80" s="107">
        <f>SUM(E81:E84)</f>
        <v>1186.8420000000001</v>
      </c>
      <c r="F80" s="107">
        <f>SUM(F81:F84)</f>
        <v>1186.8420000000001</v>
      </c>
      <c r="G80" s="67">
        <f t="shared" si="5"/>
        <v>1</v>
      </c>
      <c r="H80" s="2088" t="s">
        <v>3611</v>
      </c>
      <c r="I80" s="2169" t="s">
        <v>5398</v>
      </c>
      <c r="J80" s="2046" t="s">
        <v>3384</v>
      </c>
      <c r="K80" s="2169" t="s">
        <v>2799</v>
      </c>
      <c r="L80" s="2052"/>
      <c r="M80" s="2023">
        <v>823</v>
      </c>
      <c r="N80" s="1835"/>
      <c r="O80" s="1835"/>
      <c r="P80" s="1835"/>
      <c r="Q80" s="1835"/>
      <c r="R80" s="1835"/>
      <c r="S80" s="1835"/>
      <c r="T80" s="1835"/>
      <c r="U80" s="1835"/>
      <c r="V80" s="1835"/>
      <c r="W80" s="1835"/>
      <c r="X80" s="1835"/>
      <c r="Y80" s="1835"/>
      <c r="Z80" s="1835"/>
      <c r="AA80" s="1835"/>
      <c r="AB80" s="1835"/>
      <c r="AC80" s="1835"/>
      <c r="AD80" s="1835"/>
      <c r="AE80" s="1835"/>
      <c r="AF80" s="1835"/>
      <c r="AG80" s="1835"/>
      <c r="AH80" s="1835"/>
      <c r="AI80" s="1835"/>
      <c r="AJ80" s="1835"/>
      <c r="AK80" s="1835"/>
      <c r="AL80" s="1835"/>
      <c r="AM80" s="1835"/>
      <c r="AN80" s="1835"/>
      <c r="AO80" s="1835"/>
      <c r="AP80" s="1835"/>
      <c r="AQ80" s="1835"/>
      <c r="AR80" s="1835"/>
      <c r="AS80" s="1835"/>
      <c r="AT80" s="1835"/>
      <c r="AU80" s="1835"/>
      <c r="AV80" s="1835"/>
      <c r="AW80" s="1835"/>
      <c r="AX80" s="1835"/>
      <c r="AY80" s="1835"/>
      <c r="AZ80" s="1835"/>
      <c r="BA80" s="1835"/>
      <c r="BB80" s="1835"/>
      <c r="BC80" s="1835"/>
      <c r="BD80" s="1835"/>
      <c r="BE80" s="1835"/>
      <c r="BF80" s="1835"/>
      <c r="BG80" s="1835"/>
      <c r="BH80" s="1835"/>
      <c r="BI80" s="1835"/>
      <c r="BJ80" s="1835"/>
      <c r="BK80" s="1835"/>
      <c r="BL80" s="1835"/>
      <c r="BM80" s="1835"/>
      <c r="BN80" s="1835"/>
      <c r="BO80" s="1835"/>
      <c r="BP80" s="1835"/>
      <c r="BQ80" s="1835"/>
      <c r="BR80" s="1835"/>
      <c r="BS80" s="1835"/>
      <c r="BT80" s="1835"/>
      <c r="BU80" s="1835"/>
      <c r="BV80" s="1835"/>
      <c r="BW80" s="1835"/>
      <c r="BX80" s="1835"/>
      <c r="BY80" s="1835"/>
      <c r="BZ80" s="1835"/>
      <c r="CA80" s="1835"/>
      <c r="CB80" s="1835"/>
      <c r="CC80" s="1835"/>
      <c r="CD80" s="1835"/>
      <c r="CE80" s="1835"/>
      <c r="CF80" s="1835"/>
      <c r="CG80" s="1835"/>
      <c r="CH80" s="1835"/>
      <c r="CI80" s="1835"/>
      <c r="CJ80" s="1835"/>
      <c r="CK80" s="1835"/>
      <c r="CL80" s="1835"/>
      <c r="CM80" s="1835"/>
      <c r="CN80" s="1835"/>
      <c r="CO80" s="1835"/>
      <c r="CP80" s="1835"/>
      <c r="CQ80" s="1835"/>
      <c r="CR80" s="1835"/>
      <c r="CS80" s="1835"/>
      <c r="CT80" s="1835"/>
      <c r="CU80" s="1835"/>
      <c r="CV80" s="1835"/>
      <c r="CW80" s="1835"/>
      <c r="CX80" s="1835"/>
      <c r="CY80" s="1835"/>
      <c r="CZ80" s="1835"/>
      <c r="DA80" s="1835"/>
      <c r="DB80" s="1835"/>
      <c r="DC80" s="1835"/>
      <c r="DD80" s="1835"/>
      <c r="DE80" s="1835"/>
      <c r="DF80" s="1835"/>
      <c r="DG80" s="1835"/>
      <c r="DH80" s="1835"/>
      <c r="DI80" s="1835"/>
      <c r="DJ80" s="1835"/>
      <c r="DK80" s="1835"/>
      <c r="DL80" s="1835"/>
      <c r="DM80" s="1835"/>
      <c r="DN80" s="1835"/>
      <c r="DO80" s="1835"/>
      <c r="DP80" s="1835"/>
      <c r="DQ80" s="1835"/>
      <c r="DR80" s="1835"/>
      <c r="DS80" s="1835"/>
      <c r="DT80" s="1835"/>
      <c r="DU80" s="1835"/>
      <c r="DV80" s="1835"/>
      <c r="DW80" s="1835"/>
      <c r="DX80" s="1835"/>
      <c r="DY80" s="1835"/>
      <c r="DZ80" s="1835"/>
    </row>
    <row r="81" spans="1:130" s="376" customFormat="1" ht="15" customHeight="1">
      <c r="A81" s="2086"/>
      <c r="B81" s="2015"/>
      <c r="C81" s="932" t="s">
        <v>9</v>
      </c>
      <c r="D81" s="656">
        <f>'668-ПП'!F152</f>
        <v>71.210520000000002</v>
      </c>
      <c r="E81" s="656">
        <f>'2023_КАССА'!G45</f>
        <v>71.210520000000002</v>
      </c>
      <c r="F81" s="656">
        <f>E81</f>
        <v>71.210520000000002</v>
      </c>
      <c r="G81" s="67">
        <f t="shared" si="5"/>
        <v>1</v>
      </c>
      <c r="H81" s="2240"/>
      <c r="I81" s="2170"/>
      <c r="J81" s="2047"/>
      <c r="K81" s="2170"/>
      <c r="L81" s="2053"/>
      <c r="M81" s="2024"/>
      <c r="N81" s="1835"/>
      <c r="O81" s="1835"/>
      <c r="P81" s="1835"/>
      <c r="Q81" s="1835"/>
      <c r="R81" s="1835"/>
      <c r="S81" s="1835"/>
      <c r="T81" s="1835"/>
      <c r="U81" s="1835"/>
      <c r="V81" s="1835"/>
      <c r="W81" s="1835"/>
      <c r="X81" s="1835"/>
      <c r="Y81" s="1835"/>
      <c r="Z81" s="1835"/>
      <c r="AA81" s="1835"/>
      <c r="AB81" s="1835"/>
      <c r="AC81" s="1835"/>
      <c r="AD81" s="1835"/>
      <c r="AE81" s="1835"/>
      <c r="AF81" s="1835"/>
      <c r="AG81" s="1835"/>
      <c r="AH81" s="1835"/>
      <c r="AI81" s="1835"/>
      <c r="AJ81" s="1835"/>
      <c r="AK81" s="1835"/>
      <c r="AL81" s="1835"/>
      <c r="AM81" s="1835"/>
      <c r="AN81" s="1835"/>
      <c r="AO81" s="1835"/>
      <c r="AP81" s="1835"/>
      <c r="AQ81" s="1835"/>
      <c r="AR81" s="1835"/>
      <c r="AS81" s="1835"/>
      <c r="AT81" s="1835"/>
      <c r="AU81" s="1835"/>
      <c r="AV81" s="1835"/>
      <c r="AW81" s="1835"/>
      <c r="AX81" s="1835"/>
      <c r="AY81" s="1835"/>
      <c r="AZ81" s="1835"/>
      <c r="BA81" s="1835"/>
      <c r="BB81" s="1835"/>
      <c r="BC81" s="1835"/>
      <c r="BD81" s="1835"/>
      <c r="BE81" s="1835"/>
      <c r="BF81" s="1835"/>
      <c r="BG81" s="1835"/>
      <c r="BH81" s="1835"/>
      <c r="BI81" s="1835"/>
      <c r="BJ81" s="1835"/>
      <c r="BK81" s="1835"/>
      <c r="BL81" s="1835"/>
      <c r="BM81" s="1835"/>
      <c r="BN81" s="1835"/>
      <c r="BO81" s="1835"/>
      <c r="BP81" s="1835"/>
      <c r="BQ81" s="1835"/>
      <c r="BR81" s="1835"/>
      <c r="BS81" s="1835"/>
      <c r="BT81" s="1835"/>
      <c r="BU81" s="1835"/>
      <c r="BV81" s="1835"/>
      <c r="BW81" s="1835"/>
      <c r="BX81" s="1835"/>
      <c r="BY81" s="1835"/>
      <c r="BZ81" s="1835"/>
      <c r="CA81" s="1835"/>
      <c r="CB81" s="1835"/>
      <c r="CC81" s="1835"/>
      <c r="CD81" s="1835"/>
      <c r="CE81" s="1835"/>
      <c r="CF81" s="1835"/>
      <c r="CG81" s="1835"/>
      <c r="CH81" s="1835"/>
      <c r="CI81" s="1835"/>
      <c r="CJ81" s="1835"/>
      <c r="CK81" s="1835"/>
      <c r="CL81" s="1835"/>
      <c r="CM81" s="1835"/>
      <c r="CN81" s="1835"/>
      <c r="CO81" s="1835"/>
      <c r="CP81" s="1835"/>
      <c r="CQ81" s="1835"/>
      <c r="CR81" s="1835"/>
      <c r="CS81" s="1835"/>
      <c r="CT81" s="1835"/>
      <c r="CU81" s="1835"/>
      <c r="CV81" s="1835"/>
      <c r="CW81" s="1835"/>
      <c r="CX81" s="1835"/>
      <c r="CY81" s="1835"/>
      <c r="CZ81" s="1835"/>
      <c r="DA81" s="1835"/>
      <c r="DB81" s="1835"/>
      <c r="DC81" s="1835"/>
      <c r="DD81" s="1835"/>
      <c r="DE81" s="1835"/>
      <c r="DF81" s="1835"/>
      <c r="DG81" s="1835"/>
      <c r="DH81" s="1835"/>
      <c r="DI81" s="1835"/>
      <c r="DJ81" s="1835"/>
      <c r="DK81" s="1835"/>
      <c r="DL81" s="1835"/>
      <c r="DM81" s="1835"/>
      <c r="DN81" s="1835"/>
      <c r="DO81" s="1835"/>
      <c r="DP81" s="1835"/>
      <c r="DQ81" s="1835"/>
      <c r="DR81" s="1835"/>
      <c r="DS81" s="1835"/>
      <c r="DT81" s="1835"/>
      <c r="DU81" s="1835"/>
      <c r="DV81" s="1835"/>
      <c r="DW81" s="1835"/>
      <c r="DX81" s="1835"/>
      <c r="DY81" s="1835"/>
      <c r="DZ81" s="1835"/>
    </row>
    <row r="82" spans="1:130" s="376" customFormat="1" ht="15" customHeight="1">
      <c r="A82" s="2086"/>
      <c r="B82" s="2015"/>
      <c r="C82" s="932" t="s">
        <v>10</v>
      </c>
      <c r="D82" s="655">
        <f>'668-ПП'!G152</f>
        <v>1115.63148</v>
      </c>
      <c r="E82" s="655">
        <f>'2023_КАССА'!G44</f>
        <v>1115.63148</v>
      </c>
      <c r="F82" s="655">
        <f>E82</f>
        <v>1115.63148</v>
      </c>
      <c r="G82" s="67">
        <f t="shared" si="5"/>
        <v>1</v>
      </c>
      <c r="H82" s="2240"/>
      <c r="I82" s="2170"/>
      <c r="J82" s="2047"/>
      <c r="K82" s="2170"/>
      <c r="L82" s="2053"/>
      <c r="M82" s="2024"/>
      <c r="N82" s="1835"/>
      <c r="O82" s="1835"/>
      <c r="P82" s="1835"/>
      <c r="Q82" s="1835"/>
      <c r="R82" s="1835"/>
      <c r="S82" s="1835"/>
      <c r="T82" s="1835"/>
      <c r="U82" s="1835"/>
      <c r="V82" s="1835"/>
      <c r="W82" s="1835"/>
      <c r="X82" s="1835"/>
      <c r="Y82" s="1835"/>
      <c r="Z82" s="1835"/>
      <c r="AA82" s="1835"/>
      <c r="AB82" s="1835"/>
      <c r="AC82" s="1835"/>
      <c r="AD82" s="1835"/>
      <c r="AE82" s="1835"/>
      <c r="AF82" s="1835"/>
      <c r="AG82" s="1835"/>
      <c r="AH82" s="1835"/>
      <c r="AI82" s="1835"/>
      <c r="AJ82" s="1835"/>
      <c r="AK82" s="1835"/>
      <c r="AL82" s="1835"/>
      <c r="AM82" s="1835"/>
      <c r="AN82" s="1835"/>
      <c r="AO82" s="1835"/>
      <c r="AP82" s="1835"/>
      <c r="AQ82" s="1835"/>
      <c r="AR82" s="1835"/>
      <c r="AS82" s="1835"/>
      <c r="AT82" s="1835"/>
      <c r="AU82" s="1835"/>
      <c r="AV82" s="1835"/>
      <c r="AW82" s="1835"/>
      <c r="AX82" s="1835"/>
      <c r="AY82" s="1835"/>
      <c r="AZ82" s="1835"/>
      <c r="BA82" s="1835"/>
      <c r="BB82" s="1835"/>
      <c r="BC82" s="1835"/>
      <c r="BD82" s="1835"/>
      <c r="BE82" s="1835"/>
      <c r="BF82" s="1835"/>
      <c r="BG82" s="1835"/>
      <c r="BH82" s="1835"/>
      <c r="BI82" s="1835"/>
      <c r="BJ82" s="1835"/>
      <c r="BK82" s="1835"/>
      <c r="BL82" s="1835"/>
      <c r="BM82" s="1835"/>
      <c r="BN82" s="1835"/>
      <c r="BO82" s="1835"/>
      <c r="BP82" s="1835"/>
      <c r="BQ82" s="1835"/>
      <c r="BR82" s="1835"/>
      <c r="BS82" s="1835"/>
      <c r="BT82" s="1835"/>
      <c r="BU82" s="1835"/>
      <c r="BV82" s="1835"/>
      <c r="BW82" s="1835"/>
      <c r="BX82" s="1835"/>
      <c r="BY82" s="1835"/>
      <c r="BZ82" s="1835"/>
      <c r="CA82" s="1835"/>
      <c r="CB82" s="1835"/>
      <c r="CC82" s="1835"/>
      <c r="CD82" s="1835"/>
      <c r="CE82" s="1835"/>
      <c r="CF82" s="1835"/>
      <c r="CG82" s="1835"/>
      <c r="CH82" s="1835"/>
      <c r="CI82" s="1835"/>
      <c r="CJ82" s="1835"/>
      <c r="CK82" s="1835"/>
      <c r="CL82" s="1835"/>
      <c r="CM82" s="1835"/>
      <c r="CN82" s="1835"/>
      <c r="CO82" s="1835"/>
      <c r="CP82" s="1835"/>
      <c r="CQ82" s="1835"/>
      <c r="CR82" s="1835"/>
      <c r="CS82" s="1835"/>
      <c r="CT82" s="1835"/>
      <c r="CU82" s="1835"/>
      <c r="CV82" s="1835"/>
      <c r="CW82" s="1835"/>
      <c r="CX82" s="1835"/>
      <c r="CY82" s="1835"/>
      <c r="CZ82" s="1835"/>
      <c r="DA82" s="1835"/>
      <c r="DB82" s="1835"/>
      <c r="DC82" s="1835"/>
      <c r="DD82" s="1835"/>
      <c r="DE82" s="1835"/>
      <c r="DF82" s="1835"/>
      <c r="DG82" s="1835"/>
      <c r="DH82" s="1835"/>
      <c r="DI82" s="1835"/>
      <c r="DJ82" s="1835"/>
      <c r="DK82" s="1835"/>
      <c r="DL82" s="1835"/>
      <c r="DM82" s="1835"/>
      <c r="DN82" s="1835"/>
      <c r="DO82" s="1835"/>
      <c r="DP82" s="1835"/>
      <c r="DQ82" s="1835"/>
      <c r="DR82" s="1835"/>
      <c r="DS82" s="1835"/>
      <c r="DT82" s="1835"/>
      <c r="DU82" s="1835"/>
      <c r="DV82" s="1835"/>
      <c r="DW82" s="1835"/>
      <c r="DX82" s="1835"/>
      <c r="DY82" s="1835"/>
      <c r="DZ82" s="1835"/>
    </row>
    <row r="83" spans="1:130" s="376" customFormat="1" ht="15" customHeight="1">
      <c r="A83" s="2086"/>
      <c r="B83" s="2015"/>
      <c r="C83" s="932" t="s">
        <v>11</v>
      </c>
      <c r="D83" s="655">
        <f>'475ПП'!H151</f>
        <v>0</v>
      </c>
      <c r="E83" s="108">
        <v>0</v>
      </c>
      <c r="F83" s="108">
        <v>0</v>
      </c>
      <c r="G83" s="67">
        <f t="shared" si="5"/>
        <v>0</v>
      </c>
      <c r="H83" s="2240"/>
      <c r="I83" s="2170"/>
      <c r="J83" s="2047"/>
      <c r="K83" s="2170"/>
      <c r="L83" s="2053"/>
      <c r="M83" s="2024"/>
      <c r="N83" s="1835"/>
      <c r="O83" s="1835"/>
      <c r="P83" s="1835"/>
      <c r="Q83" s="1835"/>
      <c r="R83" s="1835"/>
      <c r="S83" s="1835"/>
      <c r="T83" s="1835"/>
      <c r="U83" s="1835"/>
      <c r="V83" s="1835"/>
      <c r="W83" s="1835"/>
      <c r="X83" s="1835"/>
      <c r="Y83" s="1835"/>
      <c r="Z83" s="1835"/>
      <c r="AA83" s="1835"/>
      <c r="AB83" s="1835"/>
      <c r="AC83" s="1835"/>
      <c r="AD83" s="1835"/>
      <c r="AE83" s="1835"/>
      <c r="AF83" s="1835"/>
      <c r="AG83" s="1835"/>
      <c r="AH83" s="1835"/>
      <c r="AI83" s="1835"/>
      <c r="AJ83" s="1835"/>
      <c r="AK83" s="1835"/>
      <c r="AL83" s="1835"/>
      <c r="AM83" s="1835"/>
      <c r="AN83" s="1835"/>
      <c r="AO83" s="1835"/>
      <c r="AP83" s="1835"/>
      <c r="AQ83" s="1835"/>
      <c r="AR83" s="1835"/>
      <c r="AS83" s="1835"/>
      <c r="AT83" s="1835"/>
      <c r="AU83" s="1835"/>
      <c r="AV83" s="1835"/>
      <c r="AW83" s="1835"/>
      <c r="AX83" s="1835"/>
      <c r="AY83" s="1835"/>
      <c r="AZ83" s="1835"/>
      <c r="BA83" s="1835"/>
      <c r="BB83" s="1835"/>
      <c r="BC83" s="1835"/>
      <c r="BD83" s="1835"/>
      <c r="BE83" s="1835"/>
      <c r="BF83" s="1835"/>
      <c r="BG83" s="1835"/>
      <c r="BH83" s="1835"/>
      <c r="BI83" s="1835"/>
      <c r="BJ83" s="1835"/>
      <c r="BK83" s="1835"/>
      <c r="BL83" s="1835"/>
      <c r="BM83" s="1835"/>
      <c r="BN83" s="1835"/>
      <c r="BO83" s="1835"/>
      <c r="BP83" s="1835"/>
      <c r="BQ83" s="1835"/>
      <c r="BR83" s="1835"/>
      <c r="BS83" s="1835"/>
      <c r="BT83" s="1835"/>
      <c r="BU83" s="1835"/>
      <c r="BV83" s="1835"/>
      <c r="BW83" s="1835"/>
      <c r="BX83" s="1835"/>
      <c r="BY83" s="1835"/>
      <c r="BZ83" s="1835"/>
      <c r="CA83" s="1835"/>
      <c r="CB83" s="1835"/>
      <c r="CC83" s="1835"/>
      <c r="CD83" s="1835"/>
      <c r="CE83" s="1835"/>
      <c r="CF83" s="1835"/>
      <c r="CG83" s="1835"/>
      <c r="CH83" s="1835"/>
      <c r="CI83" s="1835"/>
      <c r="CJ83" s="1835"/>
      <c r="CK83" s="1835"/>
      <c r="CL83" s="1835"/>
      <c r="CM83" s="1835"/>
      <c r="CN83" s="1835"/>
      <c r="CO83" s="1835"/>
      <c r="CP83" s="1835"/>
      <c r="CQ83" s="1835"/>
      <c r="CR83" s="1835"/>
      <c r="CS83" s="1835"/>
      <c r="CT83" s="1835"/>
      <c r="CU83" s="1835"/>
      <c r="CV83" s="1835"/>
      <c r="CW83" s="1835"/>
      <c r="CX83" s="1835"/>
      <c r="CY83" s="1835"/>
      <c r="CZ83" s="1835"/>
      <c r="DA83" s="1835"/>
      <c r="DB83" s="1835"/>
      <c r="DC83" s="1835"/>
      <c r="DD83" s="1835"/>
      <c r="DE83" s="1835"/>
      <c r="DF83" s="1835"/>
      <c r="DG83" s="1835"/>
      <c r="DH83" s="1835"/>
      <c r="DI83" s="1835"/>
      <c r="DJ83" s="1835"/>
      <c r="DK83" s="1835"/>
      <c r="DL83" s="1835"/>
      <c r="DM83" s="1835"/>
      <c r="DN83" s="1835"/>
      <c r="DO83" s="1835"/>
      <c r="DP83" s="1835"/>
      <c r="DQ83" s="1835"/>
      <c r="DR83" s="1835"/>
      <c r="DS83" s="1835"/>
      <c r="DT83" s="1835"/>
      <c r="DU83" s="1835"/>
      <c r="DV83" s="1835"/>
      <c r="DW83" s="1835"/>
      <c r="DX83" s="1835"/>
      <c r="DY83" s="1835"/>
      <c r="DZ83" s="1835"/>
    </row>
    <row r="84" spans="1:130" s="376" customFormat="1" ht="15" customHeight="1">
      <c r="A84" s="2087"/>
      <c r="B84" s="2016"/>
      <c r="C84" s="932" t="s">
        <v>12</v>
      </c>
      <c r="D84" s="655">
        <f>'475ПП'!I151</f>
        <v>0</v>
      </c>
      <c r="E84" s="108">
        <v>0</v>
      </c>
      <c r="F84" s="108">
        <v>0</v>
      </c>
      <c r="G84" s="67">
        <f t="shared" si="5"/>
        <v>0</v>
      </c>
      <c r="H84" s="2241"/>
      <c r="I84" s="2171"/>
      <c r="J84" s="2048"/>
      <c r="K84" s="2171"/>
      <c r="L84" s="2054"/>
      <c r="M84" s="2025"/>
      <c r="N84" s="1835"/>
      <c r="O84" s="1835"/>
      <c r="P84" s="1835"/>
      <c r="Q84" s="1835"/>
      <c r="R84" s="1835"/>
      <c r="S84" s="1835"/>
      <c r="T84" s="1835"/>
      <c r="U84" s="1835"/>
      <c r="V84" s="1835"/>
      <c r="W84" s="1835"/>
      <c r="X84" s="1835"/>
      <c r="Y84" s="1835"/>
      <c r="Z84" s="1835"/>
      <c r="AA84" s="1835"/>
      <c r="AB84" s="1835"/>
      <c r="AC84" s="1835"/>
      <c r="AD84" s="1835"/>
      <c r="AE84" s="1835"/>
      <c r="AF84" s="1835"/>
      <c r="AG84" s="1835"/>
      <c r="AH84" s="1835"/>
      <c r="AI84" s="1835"/>
      <c r="AJ84" s="1835"/>
      <c r="AK84" s="1835"/>
      <c r="AL84" s="1835"/>
      <c r="AM84" s="1835"/>
      <c r="AN84" s="1835"/>
      <c r="AO84" s="1835"/>
      <c r="AP84" s="1835"/>
      <c r="AQ84" s="1835"/>
      <c r="AR84" s="1835"/>
      <c r="AS84" s="1835"/>
      <c r="AT84" s="1835"/>
      <c r="AU84" s="1835"/>
      <c r="AV84" s="1835"/>
      <c r="AW84" s="1835"/>
      <c r="AX84" s="1835"/>
      <c r="AY84" s="1835"/>
      <c r="AZ84" s="1835"/>
      <c r="BA84" s="1835"/>
      <c r="BB84" s="1835"/>
      <c r="BC84" s="1835"/>
      <c r="BD84" s="1835"/>
      <c r="BE84" s="1835"/>
      <c r="BF84" s="1835"/>
      <c r="BG84" s="1835"/>
      <c r="BH84" s="1835"/>
      <c r="BI84" s="1835"/>
      <c r="BJ84" s="1835"/>
      <c r="BK84" s="1835"/>
      <c r="BL84" s="1835"/>
      <c r="BM84" s="1835"/>
      <c r="BN84" s="1835"/>
      <c r="BO84" s="1835"/>
      <c r="BP84" s="1835"/>
      <c r="BQ84" s="1835"/>
      <c r="BR84" s="1835"/>
      <c r="BS84" s="1835"/>
      <c r="BT84" s="1835"/>
      <c r="BU84" s="1835"/>
      <c r="BV84" s="1835"/>
      <c r="BW84" s="1835"/>
      <c r="BX84" s="1835"/>
      <c r="BY84" s="1835"/>
      <c r="BZ84" s="1835"/>
      <c r="CA84" s="1835"/>
      <c r="CB84" s="1835"/>
      <c r="CC84" s="1835"/>
      <c r="CD84" s="1835"/>
      <c r="CE84" s="1835"/>
      <c r="CF84" s="1835"/>
      <c r="CG84" s="1835"/>
      <c r="CH84" s="1835"/>
      <c r="CI84" s="1835"/>
      <c r="CJ84" s="1835"/>
      <c r="CK84" s="1835"/>
      <c r="CL84" s="1835"/>
      <c r="CM84" s="1835"/>
      <c r="CN84" s="1835"/>
      <c r="CO84" s="1835"/>
      <c r="CP84" s="1835"/>
      <c r="CQ84" s="1835"/>
      <c r="CR84" s="1835"/>
      <c r="CS84" s="1835"/>
      <c r="CT84" s="1835"/>
      <c r="CU84" s="1835"/>
      <c r="CV84" s="1835"/>
      <c r="CW84" s="1835"/>
      <c r="CX84" s="1835"/>
      <c r="CY84" s="1835"/>
      <c r="CZ84" s="1835"/>
      <c r="DA84" s="1835"/>
      <c r="DB84" s="1835"/>
      <c r="DC84" s="1835"/>
      <c r="DD84" s="1835"/>
      <c r="DE84" s="1835"/>
      <c r="DF84" s="1835"/>
      <c r="DG84" s="1835"/>
      <c r="DH84" s="1835"/>
      <c r="DI84" s="1835"/>
      <c r="DJ84" s="1835"/>
      <c r="DK84" s="1835"/>
      <c r="DL84" s="1835"/>
      <c r="DM84" s="1835"/>
      <c r="DN84" s="1835"/>
      <c r="DO84" s="1835"/>
      <c r="DP84" s="1835"/>
      <c r="DQ84" s="1835"/>
      <c r="DR84" s="1835"/>
      <c r="DS84" s="1835"/>
      <c r="DT84" s="1835"/>
      <c r="DU84" s="1835"/>
      <c r="DV84" s="1835"/>
      <c r="DW84" s="1835"/>
      <c r="DX84" s="1835"/>
      <c r="DY84" s="1835"/>
      <c r="DZ84" s="1835"/>
    </row>
    <row r="85" spans="1:130" s="376" customFormat="1" ht="15">
      <c r="A85" s="2085" t="s">
        <v>3238</v>
      </c>
      <c r="B85" s="2107" t="s">
        <v>3374</v>
      </c>
      <c r="C85" s="932" t="s">
        <v>8</v>
      </c>
      <c r="D85" s="655">
        <f>SUM(D86:D89)</f>
        <v>3154.1</v>
      </c>
      <c r="E85" s="108">
        <f>SUM(E86:E89)</f>
        <v>3154.1188000000002</v>
      </c>
      <c r="F85" s="108">
        <f>SUM(F86:F89)</f>
        <v>3154.1188000000002</v>
      </c>
      <c r="G85" s="67">
        <f t="shared" si="5"/>
        <v>1.0000059604958627</v>
      </c>
      <c r="H85" s="2181" t="str">
        <f>'[7]Пр ГП 19-20'!$J$41</f>
        <v xml:space="preserve">Обучение плаванию ежегодно не менее 500 человек </v>
      </c>
      <c r="I85" s="2169" t="s">
        <v>5397</v>
      </c>
      <c r="J85" s="2044" t="s">
        <v>3384</v>
      </c>
      <c r="K85" s="2243" t="s">
        <v>2799</v>
      </c>
      <c r="L85" s="2052"/>
      <c r="M85" s="2023">
        <v>823</v>
      </c>
      <c r="N85" s="1835"/>
      <c r="O85" s="1835"/>
      <c r="P85" s="1835"/>
      <c r="Q85" s="1835"/>
      <c r="R85" s="1835"/>
      <c r="S85" s="1835"/>
      <c r="T85" s="1835"/>
      <c r="U85" s="1835"/>
      <c r="V85" s="1835"/>
      <c r="W85" s="1835"/>
      <c r="X85" s="1835"/>
      <c r="Y85" s="1835"/>
      <c r="Z85" s="1835"/>
      <c r="AA85" s="1835"/>
      <c r="AB85" s="1835"/>
      <c r="AC85" s="1835"/>
      <c r="AD85" s="1835"/>
      <c r="AE85" s="1835"/>
      <c r="AF85" s="1835"/>
      <c r="AG85" s="1835"/>
      <c r="AH85" s="1835"/>
      <c r="AI85" s="1835"/>
      <c r="AJ85" s="1835"/>
      <c r="AK85" s="1835"/>
      <c r="AL85" s="1835"/>
      <c r="AM85" s="1835"/>
      <c r="AN85" s="1835"/>
      <c r="AO85" s="1835"/>
      <c r="AP85" s="1835"/>
      <c r="AQ85" s="1835"/>
      <c r="AR85" s="1835"/>
      <c r="AS85" s="1835"/>
      <c r="AT85" s="1835"/>
      <c r="AU85" s="1835"/>
      <c r="AV85" s="1835"/>
      <c r="AW85" s="1835"/>
      <c r="AX85" s="1835"/>
      <c r="AY85" s="1835"/>
      <c r="AZ85" s="1835"/>
      <c r="BA85" s="1835"/>
      <c r="BB85" s="1835"/>
      <c r="BC85" s="1835"/>
      <c r="BD85" s="1835"/>
      <c r="BE85" s="1835"/>
      <c r="BF85" s="1835"/>
      <c r="BG85" s="1835"/>
      <c r="BH85" s="1835"/>
      <c r="BI85" s="1835"/>
      <c r="BJ85" s="1835"/>
      <c r="BK85" s="1835"/>
      <c r="BL85" s="1835"/>
      <c r="BM85" s="1835"/>
      <c r="BN85" s="1835"/>
      <c r="BO85" s="1835"/>
      <c r="BP85" s="1835"/>
      <c r="BQ85" s="1835"/>
      <c r="BR85" s="1835"/>
      <c r="BS85" s="1835"/>
      <c r="BT85" s="1835"/>
      <c r="BU85" s="1835"/>
      <c r="BV85" s="1835"/>
      <c r="BW85" s="1835"/>
      <c r="BX85" s="1835"/>
      <c r="BY85" s="1835"/>
      <c r="BZ85" s="1835"/>
      <c r="CA85" s="1835"/>
      <c r="CB85" s="1835"/>
      <c r="CC85" s="1835"/>
      <c r="CD85" s="1835"/>
      <c r="CE85" s="1835"/>
      <c r="CF85" s="1835"/>
      <c r="CG85" s="1835"/>
      <c r="CH85" s="1835"/>
      <c r="CI85" s="1835"/>
      <c r="CJ85" s="1835"/>
      <c r="CK85" s="1835"/>
      <c r="CL85" s="1835"/>
      <c r="CM85" s="1835"/>
      <c r="CN85" s="1835"/>
      <c r="CO85" s="1835"/>
      <c r="CP85" s="1835"/>
      <c r="CQ85" s="1835"/>
      <c r="CR85" s="1835"/>
      <c r="CS85" s="1835"/>
      <c r="CT85" s="1835"/>
      <c r="CU85" s="1835"/>
      <c r="CV85" s="1835"/>
      <c r="CW85" s="1835"/>
      <c r="CX85" s="1835"/>
      <c r="CY85" s="1835"/>
      <c r="CZ85" s="1835"/>
      <c r="DA85" s="1835"/>
      <c r="DB85" s="1835"/>
      <c r="DC85" s="1835"/>
      <c r="DD85" s="1835"/>
      <c r="DE85" s="1835"/>
      <c r="DF85" s="1835"/>
      <c r="DG85" s="1835"/>
      <c r="DH85" s="1835"/>
      <c r="DI85" s="1835"/>
      <c r="DJ85" s="1835"/>
      <c r="DK85" s="1835"/>
      <c r="DL85" s="1835"/>
      <c r="DM85" s="1835"/>
      <c r="DN85" s="1835"/>
      <c r="DO85" s="1835"/>
      <c r="DP85" s="1835"/>
      <c r="DQ85" s="1835"/>
      <c r="DR85" s="1835"/>
      <c r="DS85" s="1835"/>
      <c r="DT85" s="1835"/>
      <c r="DU85" s="1835"/>
      <c r="DV85" s="1835"/>
      <c r="DW85" s="1835"/>
      <c r="DX85" s="1835"/>
      <c r="DY85" s="1835"/>
      <c r="DZ85" s="1835"/>
    </row>
    <row r="86" spans="1:130" s="376" customFormat="1" ht="15">
      <c r="A86" s="2086"/>
      <c r="B86" s="2107"/>
      <c r="C86" s="932" t="s">
        <v>9</v>
      </c>
      <c r="D86" s="655">
        <f>'475ПП'!F157-5</f>
        <v>3154.1</v>
      </c>
      <c r="E86" s="108">
        <f>'2023'!H41</f>
        <v>3154.1188000000002</v>
      </c>
      <c r="F86" s="108">
        <f>E86</f>
        <v>3154.1188000000002</v>
      </c>
      <c r="G86" s="67">
        <f t="shared" si="5"/>
        <v>1.0000059604958627</v>
      </c>
      <c r="H86" s="2181"/>
      <c r="I86" s="2170"/>
      <c r="J86" s="2027"/>
      <c r="K86" s="2243"/>
      <c r="L86" s="2053"/>
      <c r="M86" s="2024"/>
      <c r="N86" s="1835"/>
      <c r="O86" s="1835"/>
      <c r="P86" s="1835"/>
      <c r="Q86" s="1835"/>
      <c r="R86" s="1835"/>
      <c r="S86" s="1835"/>
      <c r="T86" s="1835"/>
      <c r="U86" s="1835"/>
      <c r="V86" s="1835"/>
      <c r="W86" s="1835"/>
      <c r="X86" s="1835"/>
      <c r="Y86" s="1835"/>
      <c r="Z86" s="1835"/>
      <c r="AA86" s="1835"/>
      <c r="AB86" s="1835"/>
      <c r="AC86" s="1835"/>
      <c r="AD86" s="1835"/>
      <c r="AE86" s="1835"/>
      <c r="AF86" s="1835"/>
      <c r="AG86" s="1835"/>
      <c r="AH86" s="1835"/>
      <c r="AI86" s="1835"/>
      <c r="AJ86" s="1835"/>
      <c r="AK86" s="1835"/>
      <c r="AL86" s="1835"/>
      <c r="AM86" s="1835"/>
      <c r="AN86" s="1835"/>
      <c r="AO86" s="1835"/>
      <c r="AP86" s="1835"/>
      <c r="AQ86" s="1835"/>
      <c r="AR86" s="1835"/>
      <c r="AS86" s="1835"/>
      <c r="AT86" s="1835"/>
      <c r="AU86" s="1835"/>
      <c r="AV86" s="1835"/>
      <c r="AW86" s="1835"/>
      <c r="AX86" s="1835"/>
      <c r="AY86" s="1835"/>
      <c r="AZ86" s="1835"/>
      <c r="BA86" s="1835"/>
      <c r="BB86" s="1835"/>
      <c r="BC86" s="1835"/>
      <c r="BD86" s="1835"/>
      <c r="BE86" s="1835"/>
      <c r="BF86" s="1835"/>
      <c r="BG86" s="1835"/>
      <c r="BH86" s="1835"/>
      <c r="BI86" s="1835"/>
      <c r="BJ86" s="1835"/>
      <c r="BK86" s="1835"/>
      <c r="BL86" s="1835"/>
      <c r="BM86" s="1835"/>
      <c r="BN86" s="1835"/>
      <c r="BO86" s="1835"/>
      <c r="BP86" s="1835"/>
      <c r="BQ86" s="1835"/>
      <c r="BR86" s="1835"/>
      <c r="BS86" s="1835"/>
      <c r="BT86" s="1835"/>
      <c r="BU86" s="1835"/>
      <c r="BV86" s="1835"/>
      <c r="BW86" s="1835"/>
      <c r="BX86" s="1835"/>
      <c r="BY86" s="1835"/>
      <c r="BZ86" s="1835"/>
      <c r="CA86" s="1835"/>
      <c r="CB86" s="1835"/>
      <c r="CC86" s="1835"/>
      <c r="CD86" s="1835"/>
      <c r="CE86" s="1835"/>
      <c r="CF86" s="1835"/>
      <c r="CG86" s="1835"/>
      <c r="CH86" s="1835"/>
      <c r="CI86" s="1835"/>
      <c r="CJ86" s="1835"/>
      <c r="CK86" s="1835"/>
      <c r="CL86" s="1835"/>
      <c r="CM86" s="1835"/>
      <c r="CN86" s="1835"/>
      <c r="CO86" s="1835"/>
      <c r="CP86" s="1835"/>
      <c r="CQ86" s="1835"/>
      <c r="CR86" s="1835"/>
      <c r="CS86" s="1835"/>
      <c r="CT86" s="1835"/>
      <c r="CU86" s="1835"/>
      <c r="CV86" s="1835"/>
      <c r="CW86" s="1835"/>
      <c r="CX86" s="1835"/>
      <c r="CY86" s="1835"/>
      <c r="CZ86" s="1835"/>
      <c r="DA86" s="1835"/>
      <c r="DB86" s="1835"/>
      <c r="DC86" s="1835"/>
      <c r="DD86" s="1835"/>
      <c r="DE86" s="1835"/>
      <c r="DF86" s="1835"/>
      <c r="DG86" s="1835"/>
      <c r="DH86" s="1835"/>
      <c r="DI86" s="1835"/>
      <c r="DJ86" s="1835"/>
      <c r="DK86" s="1835"/>
      <c r="DL86" s="1835"/>
      <c r="DM86" s="1835"/>
      <c r="DN86" s="1835"/>
      <c r="DO86" s="1835"/>
      <c r="DP86" s="1835"/>
      <c r="DQ86" s="1835"/>
      <c r="DR86" s="1835"/>
      <c r="DS86" s="1835"/>
      <c r="DT86" s="1835"/>
      <c r="DU86" s="1835"/>
      <c r="DV86" s="1835"/>
      <c r="DW86" s="1835"/>
      <c r="DX86" s="1835"/>
      <c r="DY86" s="1835"/>
      <c r="DZ86" s="1835"/>
    </row>
    <row r="87" spans="1:130" s="376" customFormat="1" ht="15">
      <c r="A87" s="2086"/>
      <c r="B87" s="2107"/>
      <c r="C87" s="932" t="s">
        <v>10</v>
      </c>
      <c r="D87" s="655">
        <v>0</v>
      </c>
      <c r="E87" s="108">
        <v>0</v>
      </c>
      <c r="F87" s="108">
        <v>0</v>
      </c>
      <c r="G87" s="67">
        <f t="shared" si="5"/>
        <v>0</v>
      </c>
      <c r="H87" s="2181"/>
      <c r="I87" s="2170"/>
      <c r="J87" s="2027"/>
      <c r="K87" s="2243"/>
      <c r="L87" s="2053"/>
      <c r="M87" s="2024"/>
      <c r="N87" s="1835"/>
      <c r="O87" s="1835"/>
      <c r="P87" s="1835"/>
      <c r="Q87" s="1835"/>
      <c r="R87" s="1835"/>
      <c r="S87" s="1835"/>
      <c r="T87" s="1835"/>
      <c r="U87" s="1835"/>
      <c r="V87" s="1835"/>
      <c r="W87" s="1835"/>
      <c r="X87" s="1835"/>
      <c r="Y87" s="1835"/>
      <c r="Z87" s="1835"/>
      <c r="AA87" s="1835"/>
      <c r="AB87" s="1835"/>
      <c r="AC87" s="1835"/>
      <c r="AD87" s="1835"/>
      <c r="AE87" s="1835"/>
      <c r="AF87" s="1835"/>
      <c r="AG87" s="1835"/>
      <c r="AH87" s="1835"/>
      <c r="AI87" s="1835"/>
      <c r="AJ87" s="1835"/>
      <c r="AK87" s="1835"/>
      <c r="AL87" s="1835"/>
      <c r="AM87" s="1835"/>
      <c r="AN87" s="1835"/>
      <c r="AO87" s="1835"/>
      <c r="AP87" s="1835"/>
      <c r="AQ87" s="1835"/>
      <c r="AR87" s="1835"/>
      <c r="AS87" s="1835"/>
      <c r="AT87" s="1835"/>
      <c r="AU87" s="1835"/>
      <c r="AV87" s="1835"/>
      <c r="AW87" s="1835"/>
      <c r="AX87" s="1835"/>
      <c r="AY87" s="1835"/>
      <c r="AZ87" s="1835"/>
      <c r="BA87" s="1835"/>
      <c r="BB87" s="1835"/>
      <c r="BC87" s="1835"/>
      <c r="BD87" s="1835"/>
      <c r="BE87" s="1835"/>
      <c r="BF87" s="1835"/>
      <c r="BG87" s="1835"/>
      <c r="BH87" s="1835"/>
      <c r="BI87" s="1835"/>
      <c r="BJ87" s="1835"/>
      <c r="BK87" s="1835"/>
      <c r="BL87" s="1835"/>
      <c r="BM87" s="1835"/>
      <c r="BN87" s="1835"/>
      <c r="BO87" s="1835"/>
      <c r="BP87" s="1835"/>
      <c r="BQ87" s="1835"/>
      <c r="BR87" s="1835"/>
      <c r="BS87" s="1835"/>
      <c r="BT87" s="1835"/>
      <c r="BU87" s="1835"/>
      <c r="BV87" s="1835"/>
      <c r="BW87" s="1835"/>
      <c r="BX87" s="1835"/>
      <c r="BY87" s="1835"/>
      <c r="BZ87" s="1835"/>
      <c r="CA87" s="1835"/>
      <c r="CB87" s="1835"/>
      <c r="CC87" s="1835"/>
      <c r="CD87" s="1835"/>
      <c r="CE87" s="1835"/>
      <c r="CF87" s="1835"/>
      <c r="CG87" s="1835"/>
      <c r="CH87" s="1835"/>
      <c r="CI87" s="1835"/>
      <c r="CJ87" s="1835"/>
      <c r="CK87" s="1835"/>
      <c r="CL87" s="1835"/>
      <c r="CM87" s="1835"/>
      <c r="CN87" s="1835"/>
      <c r="CO87" s="1835"/>
      <c r="CP87" s="1835"/>
      <c r="CQ87" s="1835"/>
      <c r="CR87" s="1835"/>
      <c r="CS87" s="1835"/>
      <c r="CT87" s="1835"/>
      <c r="CU87" s="1835"/>
      <c r="CV87" s="1835"/>
      <c r="CW87" s="1835"/>
      <c r="CX87" s="1835"/>
      <c r="CY87" s="1835"/>
      <c r="CZ87" s="1835"/>
      <c r="DA87" s="1835"/>
      <c r="DB87" s="1835"/>
      <c r="DC87" s="1835"/>
      <c r="DD87" s="1835"/>
      <c r="DE87" s="1835"/>
      <c r="DF87" s="1835"/>
      <c r="DG87" s="1835"/>
      <c r="DH87" s="1835"/>
      <c r="DI87" s="1835"/>
      <c r="DJ87" s="1835"/>
      <c r="DK87" s="1835"/>
      <c r="DL87" s="1835"/>
      <c r="DM87" s="1835"/>
      <c r="DN87" s="1835"/>
      <c r="DO87" s="1835"/>
      <c r="DP87" s="1835"/>
      <c r="DQ87" s="1835"/>
      <c r="DR87" s="1835"/>
      <c r="DS87" s="1835"/>
      <c r="DT87" s="1835"/>
      <c r="DU87" s="1835"/>
      <c r="DV87" s="1835"/>
      <c r="DW87" s="1835"/>
      <c r="DX87" s="1835"/>
      <c r="DY87" s="1835"/>
      <c r="DZ87" s="1835"/>
    </row>
    <row r="88" spans="1:130" s="376" customFormat="1" ht="15">
      <c r="A88" s="2086"/>
      <c r="B88" s="2107"/>
      <c r="C88" s="932" t="s">
        <v>11</v>
      </c>
      <c r="D88" s="655">
        <v>0</v>
      </c>
      <c r="E88" s="108">
        <v>0</v>
      </c>
      <c r="F88" s="108">
        <v>0</v>
      </c>
      <c r="G88" s="67">
        <f t="shared" si="5"/>
        <v>0</v>
      </c>
      <c r="H88" s="2181"/>
      <c r="I88" s="2170"/>
      <c r="J88" s="2027"/>
      <c r="K88" s="2243"/>
      <c r="L88" s="2053"/>
      <c r="M88" s="2024"/>
      <c r="N88" s="1835"/>
      <c r="O88" s="1835"/>
      <c r="P88" s="1835"/>
      <c r="Q88" s="1835"/>
      <c r="R88" s="1835"/>
      <c r="S88" s="1835"/>
      <c r="T88" s="1835"/>
      <c r="U88" s="1835"/>
      <c r="V88" s="1835"/>
      <c r="W88" s="1835"/>
      <c r="X88" s="1835"/>
      <c r="Y88" s="1835"/>
      <c r="Z88" s="1835"/>
      <c r="AA88" s="1835"/>
      <c r="AB88" s="1835"/>
      <c r="AC88" s="1835"/>
      <c r="AD88" s="1835"/>
      <c r="AE88" s="1835"/>
      <c r="AF88" s="1835"/>
      <c r="AG88" s="1835"/>
      <c r="AH88" s="1835"/>
      <c r="AI88" s="1835"/>
      <c r="AJ88" s="1835"/>
      <c r="AK88" s="1835"/>
      <c r="AL88" s="1835"/>
      <c r="AM88" s="1835"/>
      <c r="AN88" s="1835"/>
      <c r="AO88" s="1835"/>
      <c r="AP88" s="1835"/>
      <c r="AQ88" s="1835"/>
      <c r="AR88" s="1835"/>
      <c r="AS88" s="1835"/>
      <c r="AT88" s="1835"/>
      <c r="AU88" s="1835"/>
      <c r="AV88" s="1835"/>
      <c r="AW88" s="1835"/>
      <c r="AX88" s="1835"/>
      <c r="AY88" s="1835"/>
      <c r="AZ88" s="1835"/>
      <c r="BA88" s="1835"/>
      <c r="BB88" s="1835"/>
      <c r="BC88" s="1835"/>
      <c r="BD88" s="1835"/>
      <c r="BE88" s="1835"/>
      <c r="BF88" s="1835"/>
      <c r="BG88" s="1835"/>
      <c r="BH88" s="1835"/>
      <c r="BI88" s="1835"/>
      <c r="BJ88" s="1835"/>
      <c r="BK88" s="1835"/>
      <c r="BL88" s="1835"/>
      <c r="BM88" s="1835"/>
      <c r="BN88" s="1835"/>
      <c r="BO88" s="1835"/>
      <c r="BP88" s="1835"/>
      <c r="BQ88" s="1835"/>
      <c r="BR88" s="1835"/>
      <c r="BS88" s="1835"/>
      <c r="BT88" s="1835"/>
      <c r="BU88" s="1835"/>
      <c r="BV88" s="1835"/>
      <c r="BW88" s="1835"/>
      <c r="BX88" s="1835"/>
      <c r="BY88" s="1835"/>
      <c r="BZ88" s="1835"/>
      <c r="CA88" s="1835"/>
      <c r="CB88" s="1835"/>
      <c r="CC88" s="1835"/>
      <c r="CD88" s="1835"/>
      <c r="CE88" s="1835"/>
      <c r="CF88" s="1835"/>
      <c r="CG88" s="1835"/>
      <c r="CH88" s="1835"/>
      <c r="CI88" s="1835"/>
      <c r="CJ88" s="1835"/>
      <c r="CK88" s="1835"/>
      <c r="CL88" s="1835"/>
      <c r="CM88" s="1835"/>
      <c r="CN88" s="1835"/>
      <c r="CO88" s="1835"/>
      <c r="CP88" s="1835"/>
      <c r="CQ88" s="1835"/>
      <c r="CR88" s="1835"/>
      <c r="CS88" s="1835"/>
      <c r="CT88" s="1835"/>
      <c r="CU88" s="1835"/>
      <c r="CV88" s="1835"/>
      <c r="CW88" s="1835"/>
      <c r="CX88" s="1835"/>
      <c r="CY88" s="1835"/>
      <c r="CZ88" s="1835"/>
      <c r="DA88" s="1835"/>
      <c r="DB88" s="1835"/>
      <c r="DC88" s="1835"/>
      <c r="DD88" s="1835"/>
      <c r="DE88" s="1835"/>
      <c r="DF88" s="1835"/>
      <c r="DG88" s="1835"/>
      <c r="DH88" s="1835"/>
      <c r="DI88" s="1835"/>
      <c r="DJ88" s="1835"/>
      <c r="DK88" s="1835"/>
      <c r="DL88" s="1835"/>
      <c r="DM88" s="1835"/>
      <c r="DN88" s="1835"/>
      <c r="DO88" s="1835"/>
      <c r="DP88" s="1835"/>
      <c r="DQ88" s="1835"/>
      <c r="DR88" s="1835"/>
      <c r="DS88" s="1835"/>
      <c r="DT88" s="1835"/>
      <c r="DU88" s="1835"/>
      <c r="DV88" s="1835"/>
      <c r="DW88" s="1835"/>
      <c r="DX88" s="1835"/>
      <c r="DY88" s="1835"/>
      <c r="DZ88" s="1835"/>
    </row>
    <row r="89" spans="1:130" s="376" customFormat="1" ht="15">
      <c r="A89" s="2087"/>
      <c r="B89" s="2107"/>
      <c r="C89" s="932" t="s">
        <v>12</v>
      </c>
      <c r="D89" s="655">
        <v>0</v>
      </c>
      <c r="E89" s="108">
        <v>0</v>
      </c>
      <c r="F89" s="108">
        <v>0</v>
      </c>
      <c r="G89" s="67">
        <f t="shared" si="5"/>
        <v>0</v>
      </c>
      <c r="H89" s="2181"/>
      <c r="I89" s="2171"/>
      <c r="J89" s="2028"/>
      <c r="K89" s="2243"/>
      <c r="L89" s="2054"/>
      <c r="M89" s="2025"/>
      <c r="N89" s="1835"/>
      <c r="O89" s="1835"/>
      <c r="P89" s="1835"/>
      <c r="Q89" s="1835"/>
      <c r="R89" s="1835"/>
      <c r="S89" s="1835"/>
      <c r="T89" s="1835"/>
      <c r="U89" s="1835"/>
      <c r="V89" s="1835"/>
      <c r="W89" s="1835"/>
      <c r="X89" s="1835"/>
      <c r="Y89" s="1835"/>
      <c r="Z89" s="1835"/>
      <c r="AA89" s="1835"/>
      <c r="AB89" s="1835"/>
      <c r="AC89" s="1835"/>
      <c r="AD89" s="1835"/>
      <c r="AE89" s="1835"/>
      <c r="AF89" s="1835"/>
      <c r="AG89" s="1835"/>
      <c r="AH89" s="1835"/>
      <c r="AI89" s="1835"/>
      <c r="AJ89" s="1835"/>
      <c r="AK89" s="1835"/>
      <c r="AL89" s="1835"/>
      <c r="AM89" s="1835"/>
      <c r="AN89" s="1835"/>
      <c r="AO89" s="1835"/>
      <c r="AP89" s="1835"/>
      <c r="AQ89" s="1835"/>
      <c r="AR89" s="1835"/>
      <c r="AS89" s="1835"/>
      <c r="AT89" s="1835"/>
      <c r="AU89" s="1835"/>
      <c r="AV89" s="1835"/>
      <c r="AW89" s="1835"/>
      <c r="AX89" s="1835"/>
      <c r="AY89" s="1835"/>
      <c r="AZ89" s="1835"/>
      <c r="BA89" s="1835"/>
      <c r="BB89" s="1835"/>
      <c r="BC89" s="1835"/>
      <c r="BD89" s="1835"/>
      <c r="BE89" s="1835"/>
      <c r="BF89" s="1835"/>
      <c r="BG89" s="1835"/>
      <c r="BH89" s="1835"/>
      <c r="BI89" s="1835"/>
      <c r="BJ89" s="1835"/>
      <c r="BK89" s="1835"/>
      <c r="BL89" s="1835"/>
      <c r="BM89" s="1835"/>
      <c r="BN89" s="1835"/>
      <c r="BO89" s="1835"/>
      <c r="BP89" s="1835"/>
      <c r="BQ89" s="1835"/>
      <c r="BR89" s="1835"/>
      <c r="BS89" s="1835"/>
      <c r="BT89" s="1835"/>
      <c r="BU89" s="1835"/>
      <c r="BV89" s="1835"/>
      <c r="BW89" s="1835"/>
      <c r="BX89" s="1835"/>
      <c r="BY89" s="1835"/>
      <c r="BZ89" s="1835"/>
      <c r="CA89" s="1835"/>
      <c r="CB89" s="1835"/>
      <c r="CC89" s="1835"/>
      <c r="CD89" s="1835"/>
      <c r="CE89" s="1835"/>
      <c r="CF89" s="1835"/>
      <c r="CG89" s="1835"/>
      <c r="CH89" s="1835"/>
      <c r="CI89" s="1835"/>
      <c r="CJ89" s="1835"/>
      <c r="CK89" s="1835"/>
      <c r="CL89" s="1835"/>
      <c r="CM89" s="1835"/>
      <c r="CN89" s="1835"/>
      <c r="CO89" s="1835"/>
      <c r="CP89" s="1835"/>
      <c r="CQ89" s="1835"/>
      <c r="CR89" s="1835"/>
      <c r="CS89" s="1835"/>
      <c r="CT89" s="1835"/>
      <c r="CU89" s="1835"/>
      <c r="CV89" s="1835"/>
      <c r="CW89" s="1835"/>
      <c r="CX89" s="1835"/>
      <c r="CY89" s="1835"/>
      <c r="CZ89" s="1835"/>
      <c r="DA89" s="1835"/>
      <c r="DB89" s="1835"/>
      <c r="DC89" s="1835"/>
      <c r="DD89" s="1835"/>
      <c r="DE89" s="1835"/>
      <c r="DF89" s="1835"/>
      <c r="DG89" s="1835"/>
      <c r="DH89" s="1835"/>
      <c r="DI89" s="1835"/>
      <c r="DJ89" s="1835"/>
      <c r="DK89" s="1835"/>
      <c r="DL89" s="1835"/>
      <c r="DM89" s="1835"/>
      <c r="DN89" s="1835"/>
      <c r="DO89" s="1835"/>
      <c r="DP89" s="1835"/>
      <c r="DQ89" s="1835"/>
      <c r="DR89" s="1835"/>
      <c r="DS89" s="1835"/>
      <c r="DT89" s="1835"/>
      <c r="DU89" s="1835"/>
      <c r="DV89" s="1835"/>
      <c r="DW89" s="1835"/>
      <c r="DX89" s="1835"/>
      <c r="DY89" s="1835"/>
      <c r="DZ89" s="1835"/>
    </row>
    <row r="90" spans="1:130" s="376" customFormat="1" ht="28.5" customHeight="1">
      <c r="A90" s="2085" t="s">
        <v>3239</v>
      </c>
      <c r="B90" s="2076" t="s">
        <v>3178</v>
      </c>
      <c r="C90" s="932" t="s">
        <v>8</v>
      </c>
      <c r="D90" s="655">
        <f>SUM(D91:D94)</f>
        <v>5800.8397500000001</v>
      </c>
      <c r="E90" s="108">
        <f>SUM(E91:E94)</f>
        <v>5800.8397500000001</v>
      </c>
      <c r="F90" s="108">
        <f>SUM(F91:F94)</f>
        <v>5800.8397500000001</v>
      </c>
      <c r="G90" s="67">
        <f t="shared" si="5"/>
        <v>1</v>
      </c>
      <c r="H90" s="2091" t="s">
        <v>2851</v>
      </c>
      <c r="I90" s="2045" t="s">
        <v>5399</v>
      </c>
      <c r="J90" s="2046" t="s">
        <v>3384</v>
      </c>
      <c r="K90" s="2169" t="s">
        <v>2852</v>
      </c>
      <c r="L90" s="2052"/>
      <c r="M90" s="2023">
        <v>823</v>
      </c>
      <c r="N90" s="1835"/>
      <c r="O90" s="1835"/>
      <c r="P90" s="1835"/>
      <c r="Q90" s="1835"/>
      <c r="R90" s="1835"/>
      <c r="S90" s="1835"/>
      <c r="T90" s="1835"/>
      <c r="U90" s="1835"/>
      <c r="V90" s="1835"/>
      <c r="W90" s="1835"/>
      <c r="X90" s="1835"/>
      <c r="Y90" s="1835"/>
      <c r="Z90" s="1835"/>
      <c r="AA90" s="1835"/>
      <c r="AB90" s="1835"/>
      <c r="AC90" s="1835"/>
      <c r="AD90" s="1835"/>
      <c r="AE90" s="1835"/>
      <c r="AF90" s="1835"/>
      <c r="AG90" s="1835"/>
      <c r="AH90" s="1835"/>
      <c r="AI90" s="1835"/>
      <c r="AJ90" s="1835"/>
      <c r="AK90" s="1835"/>
      <c r="AL90" s="1835"/>
      <c r="AM90" s="1835"/>
      <c r="AN90" s="1835"/>
      <c r="AO90" s="1835"/>
      <c r="AP90" s="1835"/>
      <c r="AQ90" s="1835"/>
      <c r="AR90" s="1835"/>
      <c r="AS90" s="1835"/>
      <c r="AT90" s="1835"/>
      <c r="AU90" s="1835"/>
      <c r="AV90" s="1835"/>
      <c r="AW90" s="1835"/>
      <c r="AX90" s="1835"/>
      <c r="AY90" s="1835"/>
      <c r="AZ90" s="1835"/>
      <c r="BA90" s="1835"/>
      <c r="BB90" s="1835"/>
      <c r="BC90" s="1835"/>
      <c r="BD90" s="1835"/>
      <c r="BE90" s="1835"/>
      <c r="BF90" s="1835"/>
      <c r="BG90" s="1835"/>
      <c r="BH90" s="1835"/>
      <c r="BI90" s="1835"/>
      <c r="BJ90" s="1835"/>
      <c r="BK90" s="1835"/>
      <c r="BL90" s="1835"/>
      <c r="BM90" s="1835"/>
      <c r="BN90" s="1835"/>
      <c r="BO90" s="1835"/>
      <c r="BP90" s="1835"/>
      <c r="BQ90" s="1835"/>
      <c r="BR90" s="1835"/>
      <c r="BS90" s="1835"/>
      <c r="BT90" s="1835"/>
      <c r="BU90" s="1835"/>
      <c r="BV90" s="1835"/>
      <c r="BW90" s="1835"/>
      <c r="BX90" s="1835"/>
      <c r="BY90" s="1835"/>
      <c r="BZ90" s="1835"/>
      <c r="CA90" s="1835"/>
      <c r="CB90" s="1835"/>
      <c r="CC90" s="1835"/>
      <c r="CD90" s="1835"/>
      <c r="CE90" s="1835"/>
      <c r="CF90" s="1835"/>
      <c r="CG90" s="1835"/>
      <c r="CH90" s="1835"/>
      <c r="CI90" s="1835"/>
      <c r="CJ90" s="1835"/>
      <c r="CK90" s="1835"/>
      <c r="CL90" s="1835"/>
      <c r="CM90" s="1835"/>
      <c r="CN90" s="1835"/>
      <c r="CO90" s="1835"/>
      <c r="CP90" s="1835"/>
      <c r="CQ90" s="1835"/>
      <c r="CR90" s="1835"/>
      <c r="CS90" s="1835"/>
      <c r="CT90" s="1835"/>
      <c r="CU90" s="1835"/>
      <c r="CV90" s="1835"/>
      <c r="CW90" s="1835"/>
      <c r="CX90" s="1835"/>
      <c r="CY90" s="1835"/>
      <c r="CZ90" s="1835"/>
      <c r="DA90" s="1835"/>
      <c r="DB90" s="1835"/>
      <c r="DC90" s="1835"/>
      <c r="DD90" s="1835"/>
      <c r="DE90" s="1835"/>
      <c r="DF90" s="1835"/>
      <c r="DG90" s="1835"/>
      <c r="DH90" s="1835"/>
      <c r="DI90" s="1835"/>
      <c r="DJ90" s="1835"/>
      <c r="DK90" s="1835"/>
      <c r="DL90" s="1835"/>
      <c r="DM90" s="1835"/>
      <c r="DN90" s="1835"/>
      <c r="DO90" s="1835"/>
      <c r="DP90" s="1835"/>
      <c r="DQ90" s="1835"/>
      <c r="DR90" s="1835"/>
      <c r="DS90" s="1835"/>
      <c r="DT90" s="1835"/>
      <c r="DU90" s="1835"/>
      <c r="DV90" s="1835"/>
      <c r="DW90" s="1835"/>
      <c r="DX90" s="1835"/>
      <c r="DY90" s="1835"/>
      <c r="DZ90" s="1835"/>
    </row>
    <row r="91" spans="1:130" s="376" customFormat="1" ht="23.25" customHeight="1">
      <c r="A91" s="2086"/>
      <c r="B91" s="2015"/>
      <c r="C91" s="932" t="s">
        <v>9</v>
      </c>
      <c r="D91" s="655">
        <f>'475ПП'!F163+1800.83975</f>
        <v>5800.8397500000001</v>
      </c>
      <c r="E91" s="108">
        <f>'2023'!H42</f>
        <v>5800.8397500000001</v>
      </c>
      <c r="F91" s="108">
        <f>E91</f>
        <v>5800.8397500000001</v>
      </c>
      <c r="G91" s="67">
        <f t="shared" si="5"/>
        <v>1</v>
      </c>
      <c r="H91" s="2092"/>
      <c r="I91" s="2021"/>
      <c r="J91" s="2047"/>
      <c r="K91" s="2170"/>
      <c r="L91" s="2053"/>
      <c r="M91" s="2024"/>
      <c r="N91" s="1835"/>
      <c r="O91" s="1835"/>
      <c r="P91" s="1835"/>
      <c r="Q91" s="1835"/>
      <c r="R91" s="1835"/>
      <c r="S91" s="1835"/>
      <c r="T91" s="1835"/>
      <c r="U91" s="1835"/>
      <c r="V91" s="1835"/>
      <c r="W91" s="1835"/>
      <c r="X91" s="1835"/>
      <c r="Y91" s="1835"/>
      <c r="Z91" s="1835"/>
      <c r="AA91" s="1835"/>
      <c r="AB91" s="1835"/>
      <c r="AC91" s="1835"/>
      <c r="AD91" s="1835"/>
      <c r="AE91" s="1835"/>
      <c r="AF91" s="1835"/>
      <c r="AG91" s="1835"/>
      <c r="AH91" s="1835"/>
      <c r="AI91" s="1835"/>
      <c r="AJ91" s="1835"/>
      <c r="AK91" s="1835"/>
      <c r="AL91" s="1835"/>
      <c r="AM91" s="1835"/>
      <c r="AN91" s="1835"/>
      <c r="AO91" s="1835"/>
      <c r="AP91" s="1835"/>
      <c r="AQ91" s="1835"/>
      <c r="AR91" s="1835"/>
      <c r="AS91" s="1835"/>
      <c r="AT91" s="1835"/>
      <c r="AU91" s="1835"/>
      <c r="AV91" s="1835"/>
      <c r="AW91" s="1835"/>
      <c r="AX91" s="1835"/>
      <c r="AY91" s="1835"/>
      <c r="AZ91" s="1835"/>
      <c r="BA91" s="1835"/>
      <c r="BB91" s="1835"/>
      <c r="BC91" s="1835"/>
      <c r="BD91" s="1835"/>
      <c r="BE91" s="1835"/>
      <c r="BF91" s="1835"/>
      <c r="BG91" s="1835"/>
      <c r="BH91" s="1835"/>
      <c r="BI91" s="1835"/>
      <c r="BJ91" s="1835"/>
      <c r="BK91" s="1835"/>
      <c r="BL91" s="1835"/>
      <c r="BM91" s="1835"/>
      <c r="BN91" s="1835"/>
      <c r="BO91" s="1835"/>
      <c r="BP91" s="1835"/>
      <c r="BQ91" s="1835"/>
      <c r="BR91" s="1835"/>
      <c r="BS91" s="1835"/>
      <c r="BT91" s="1835"/>
      <c r="BU91" s="1835"/>
      <c r="BV91" s="1835"/>
      <c r="BW91" s="1835"/>
      <c r="BX91" s="1835"/>
      <c r="BY91" s="1835"/>
      <c r="BZ91" s="1835"/>
      <c r="CA91" s="1835"/>
      <c r="CB91" s="1835"/>
      <c r="CC91" s="1835"/>
      <c r="CD91" s="1835"/>
      <c r="CE91" s="1835"/>
      <c r="CF91" s="1835"/>
      <c r="CG91" s="1835"/>
      <c r="CH91" s="1835"/>
      <c r="CI91" s="1835"/>
      <c r="CJ91" s="1835"/>
      <c r="CK91" s="1835"/>
      <c r="CL91" s="1835"/>
      <c r="CM91" s="1835"/>
      <c r="CN91" s="1835"/>
      <c r="CO91" s="1835"/>
      <c r="CP91" s="1835"/>
      <c r="CQ91" s="1835"/>
      <c r="CR91" s="1835"/>
      <c r="CS91" s="1835"/>
      <c r="CT91" s="1835"/>
      <c r="CU91" s="1835"/>
      <c r="CV91" s="1835"/>
      <c r="CW91" s="1835"/>
      <c r="CX91" s="1835"/>
      <c r="CY91" s="1835"/>
      <c r="CZ91" s="1835"/>
      <c r="DA91" s="1835"/>
      <c r="DB91" s="1835"/>
      <c r="DC91" s="1835"/>
      <c r="DD91" s="1835"/>
      <c r="DE91" s="1835"/>
      <c r="DF91" s="1835"/>
      <c r="DG91" s="1835"/>
      <c r="DH91" s="1835"/>
      <c r="DI91" s="1835"/>
      <c r="DJ91" s="1835"/>
      <c r="DK91" s="1835"/>
      <c r="DL91" s="1835"/>
      <c r="DM91" s="1835"/>
      <c r="DN91" s="1835"/>
      <c r="DO91" s="1835"/>
      <c r="DP91" s="1835"/>
      <c r="DQ91" s="1835"/>
      <c r="DR91" s="1835"/>
      <c r="DS91" s="1835"/>
      <c r="DT91" s="1835"/>
      <c r="DU91" s="1835"/>
      <c r="DV91" s="1835"/>
      <c r="DW91" s="1835"/>
      <c r="DX91" s="1835"/>
      <c r="DY91" s="1835"/>
      <c r="DZ91" s="1835"/>
    </row>
    <row r="92" spans="1:130" s="376" customFormat="1" ht="24.75" customHeight="1">
      <c r="A92" s="2086"/>
      <c r="B92" s="2015"/>
      <c r="C92" s="932" t="s">
        <v>10</v>
      </c>
      <c r="D92" s="655">
        <v>0</v>
      </c>
      <c r="E92" s="108">
        <v>0</v>
      </c>
      <c r="F92" s="108">
        <v>0</v>
      </c>
      <c r="G92" s="67">
        <f t="shared" si="5"/>
        <v>0</v>
      </c>
      <c r="H92" s="2092"/>
      <c r="I92" s="2021"/>
      <c r="J92" s="2047"/>
      <c r="K92" s="2170"/>
      <c r="L92" s="2053"/>
      <c r="M92" s="2024"/>
      <c r="N92" s="1835"/>
      <c r="O92" s="1835"/>
      <c r="P92" s="1835"/>
      <c r="Q92" s="1835"/>
      <c r="R92" s="1835"/>
      <c r="S92" s="1835"/>
      <c r="T92" s="1835"/>
      <c r="U92" s="1835"/>
      <c r="V92" s="1835"/>
      <c r="W92" s="1835"/>
      <c r="X92" s="1835"/>
      <c r="Y92" s="1835"/>
      <c r="Z92" s="1835"/>
      <c r="AA92" s="1835"/>
      <c r="AB92" s="1835"/>
      <c r="AC92" s="1835"/>
      <c r="AD92" s="1835"/>
      <c r="AE92" s="1835"/>
      <c r="AF92" s="1835"/>
      <c r="AG92" s="1835"/>
      <c r="AH92" s="1835"/>
      <c r="AI92" s="1835"/>
      <c r="AJ92" s="1835"/>
      <c r="AK92" s="1835"/>
      <c r="AL92" s="1835"/>
      <c r="AM92" s="1835"/>
      <c r="AN92" s="1835"/>
      <c r="AO92" s="1835"/>
      <c r="AP92" s="1835"/>
      <c r="AQ92" s="1835"/>
      <c r="AR92" s="1835"/>
      <c r="AS92" s="1835"/>
      <c r="AT92" s="1835"/>
      <c r="AU92" s="1835"/>
      <c r="AV92" s="1835"/>
      <c r="AW92" s="1835"/>
      <c r="AX92" s="1835"/>
      <c r="AY92" s="1835"/>
      <c r="AZ92" s="1835"/>
      <c r="BA92" s="1835"/>
      <c r="BB92" s="1835"/>
      <c r="BC92" s="1835"/>
      <c r="BD92" s="1835"/>
      <c r="BE92" s="1835"/>
      <c r="BF92" s="1835"/>
      <c r="BG92" s="1835"/>
      <c r="BH92" s="1835"/>
      <c r="BI92" s="1835"/>
      <c r="BJ92" s="1835"/>
      <c r="BK92" s="1835"/>
      <c r="BL92" s="1835"/>
      <c r="BM92" s="1835"/>
      <c r="BN92" s="1835"/>
      <c r="BO92" s="1835"/>
      <c r="BP92" s="1835"/>
      <c r="BQ92" s="1835"/>
      <c r="BR92" s="1835"/>
      <c r="BS92" s="1835"/>
      <c r="BT92" s="1835"/>
      <c r="BU92" s="1835"/>
      <c r="BV92" s="1835"/>
      <c r="BW92" s="1835"/>
      <c r="BX92" s="1835"/>
      <c r="BY92" s="1835"/>
      <c r="BZ92" s="1835"/>
      <c r="CA92" s="1835"/>
      <c r="CB92" s="1835"/>
      <c r="CC92" s="1835"/>
      <c r="CD92" s="1835"/>
      <c r="CE92" s="1835"/>
      <c r="CF92" s="1835"/>
      <c r="CG92" s="1835"/>
      <c r="CH92" s="1835"/>
      <c r="CI92" s="1835"/>
      <c r="CJ92" s="1835"/>
      <c r="CK92" s="1835"/>
      <c r="CL92" s="1835"/>
      <c r="CM92" s="1835"/>
      <c r="CN92" s="1835"/>
      <c r="CO92" s="1835"/>
      <c r="CP92" s="1835"/>
      <c r="CQ92" s="1835"/>
      <c r="CR92" s="1835"/>
      <c r="CS92" s="1835"/>
      <c r="CT92" s="1835"/>
      <c r="CU92" s="1835"/>
      <c r="CV92" s="1835"/>
      <c r="CW92" s="1835"/>
      <c r="CX92" s="1835"/>
      <c r="CY92" s="1835"/>
      <c r="CZ92" s="1835"/>
      <c r="DA92" s="1835"/>
      <c r="DB92" s="1835"/>
      <c r="DC92" s="1835"/>
      <c r="DD92" s="1835"/>
      <c r="DE92" s="1835"/>
      <c r="DF92" s="1835"/>
      <c r="DG92" s="1835"/>
      <c r="DH92" s="1835"/>
      <c r="DI92" s="1835"/>
      <c r="DJ92" s="1835"/>
      <c r="DK92" s="1835"/>
      <c r="DL92" s="1835"/>
      <c r="DM92" s="1835"/>
      <c r="DN92" s="1835"/>
      <c r="DO92" s="1835"/>
      <c r="DP92" s="1835"/>
      <c r="DQ92" s="1835"/>
      <c r="DR92" s="1835"/>
      <c r="DS92" s="1835"/>
      <c r="DT92" s="1835"/>
      <c r="DU92" s="1835"/>
      <c r="DV92" s="1835"/>
      <c r="DW92" s="1835"/>
      <c r="DX92" s="1835"/>
      <c r="DY92" s="1835"/>
      <c r="DZ92" s="1835"/>
    </row>
    <row r="93" spans="1:130" s="376" customFormat="1" ht="25.5" customHeight="1">
      <c r="A93" s="2086"/>
      <c r="B93" s="2015"/>
      <c r="C93" s="932" t="s">
        <v>11</v>
      </c>
      <c r="D93" s="655">
        <v>0</v>
      </c>
      <c r="E93" s="108">
        <v>0</v>
      </c>
      <c r="F93" s="108">
        <v>0</v>
      </c>
      <c r="G93" s="67">
        <f t="shared" si="5"/>
        <v>0</v>
      </c>
      <c r="H93" s="2092"/>
      <c r="I93" s="2021"/>
      <c r="J93" s="2047"/>
      <c r="K93" s="2170"/>
      <c r="L93" s="2053"/>
      <c r="M93" s="2024"/>
      <c r="N93" s="1835"/>
      <c r="O93" s="1835"/>
      <c r="P93" s="1835"/>
      <c r="Q93" s="1835"/>
      <c r="R93" s="1835"/>
      <c r="S93" s="1835"/>
      <c r="T93" s="1835"/>
      <c r="U93" s="1835"/>
      <c r="V93" s="1835"/>
      <c r="W93" s="1835"/>
      <c r="X93" s="1835"/>
      <c r="Y93" s="1835"/>
      <c r="Z93" s="1835"/>
      <c r="AA93" s="1835"/>
      <c r="AB93" s="1835"/>
      <c r="AC93" s="1835"/>
      <c r="AD93" s="1835"/>
      <c r="AE93" s="1835"/>
      <c r="AF93" s="1835"/>
      <c r="AG93" s="1835"/>
      <c r="AH93" s="1835"/>
      <c r="AI93" s="1835"/>
      <c r="AJ93" s="1835"/>
      <c r="AK93" s="1835"/>
      <c r="AL93" s="1835"/>
      <c r="AM93" s="1835"/>
      <c r="AN93" s="1835"/>
      <c r="AO93" s="1835"/>
      <c r="AP93" s="1835"/>
      <c r="AQ93" s="1835"/>
      <c r="AR93" s="1835"/>
      <c r="AS93" s="1835"/>
      <c r="AT93" s="1835"/>
      <c r="AU93" s="1835"/>
      <c r="AV93" s="1835"/>
      <c r="AW93" s="1835"/>
      <c r="AX93" s="1835"/>
      <c r="AY93" s="1835"/>
      <c r="AZ93" s="1835"/>
      <c r="BA93" s="1835"/>
      <c r="BB93" s="1835"/>
      <c r="BC93" s="1835"/>
      <c r="BD93" s="1835"/>
      <c r="BE93" s="1835"/>
      <c r="BF93" s="1835"/>
      <c r="BG93" s="1835"/>
      <c r="BH93" s="1835"/>
      <c r="BI93" s="1835"/>
      <c r="BJ93" s="1835"/>
      <c r="BK93" s="1835"/>
      <c r="BL93" s="1835"/>
      <c r="BM93" s="1835"/>
      <c r="BN93" s="1835"/>
      <c r="BO93" s="1835"/>
      <c r="BP93" s="1835"/>
      <c r="BQ93" s="1835"/>
      <c r="BR93" s="1835"/>
      <c r="BS93" s="1835"/>
      <c r="BT93" s="1835"/>
      <c r="BU93" s="1835"/>
      <c r="BV93" s="1835"/>
      <c r="BW93" s="1835"/>
      <c r="BX93" s="1835"/>
      <c r="BY93" s="1835"/>
      <c r="BZ93" s="1835"/>
      <c r="CA93" s="1835"/>
      <c r="CB93" s="1835"/>
      <c r="CC93" s="1835"/>
      <c r="CD93" s="1835"/>
      <c r="CE93" s="1835"/>
      <c r="CF93" s="1835"/>
      <c r="CG93" s="1835"/>
      <c r="CH93" s="1835"/>
      <c r="CI93" s="1835"/>
      <c r="CJ93" s="1835"/>
      <c r="CK93" s="1835"/>
      <c r="CL93" s="1835"/>
      <c r="CM93" s="1835"/>
      <c r="CN93" s="1835"/>
      <c r="CO93" s="1835"/>
      <c r="CP93" s="1835"/>
      <c r="CQ93" s="1835"/>
      <c r="CR93" s="1835"/>
      <c r="CS93" s="1835"/>
      <c r="CT93" s="1835"/>
      <c r="CU93" s="1835"/>
      <c r="CV93" s="1835"/>
      <c r="CW93" s="1835"/>
      <c r="CX93" s="1835"/>
      <c r="CY93" s="1835"/>
      <c r="CZ93" s="1835"/>
      <c r="DA93" s="1835"/>
      <c r="DB93" s="1835"/>
      <c r="DC93" s="1835"/>
      <c r="DD93" s="1835"/>
      <c r="DE93" s="1835"/>
      <c r="DF93" s="1835"/>
      <c r="DG93" s="1835"/>
      <c r="DH93" s="1835"/>
      <c r="DI93" s="1835"/>
      <c r="DJ93" s="1835"/>
      <c r="DK93" s="1835"/>
      <c r="DL93" s="1835"/>
      <c r="DM93" s="1835"/>
      <c r="DN93" s="1835"/>
      <c r="DO93" s="1835"/>
      <c r="DP93" s="1835"/>
      <c r="DQ93" s="1835"/>
      <c r="DR93" s="1835"/>
      <c r="DS93" s="1835"/>
      <c r="DT93" s="1835"/>
      <c r="DU93" s="1835"/>
      <c r="DV93" s="1835"/>
      <c r="DW93" s="1835"/>
      <c r="DX93" s="1835"/>
      <c r="DY93" s="1835"/>
      <c r="DZ93" s="1835"/>
    </row>
    <row r="94" spans="1:130" s="376" customFormat="1" ht="24" customHeight="1">
      <c r="A94" s="2087"/>
      <c r="B94" s="2016"/>
      <c r="C94" s="932" t="s">
        <v>12</v>
      </c>
      <c r="D94" s="655">
        <v>0</v>
      </c>
      <c r="E94" s="108">
        <v>0</v>
      </c>
      <c r="F94" s="108">
        <v>0</v>
      </c>
      <c r="G94" s="67">
        <f t="shared" si="5"/>
        <v>0</v>
      </c>
      <c r="H94" s="2093"/>
      <c r="I94" s="2022"/>
      <c r="J94" s="2048"/>
      <c r="K94" s="2171"/>
      <c r="L94" s="2054"/>
      <c r="M94" s="2025"/>
      <c r="N94" s="1835"/>
      <c r="O94" s="1835"/>
      <c r="P94" s="1835"/>
      <c r="Q94" s="1835"/>
      <c r="R94" s="1835"/>
      <c r="S94" s="1835"/>
      <c r="T94" s="1835"/>
      <c r="U94" s="1835"/>
      <c r="V94" s="1835"/>
      <c r="W94" s="1835"/>
      <c r="X94" s="1835"/>
      <c r="Y94" s="1835"/>
      <c r="Z94" s="1835"/>
      <c r="AA94" s="1835"/>
      <c r="AB94" s="1835"/>
      <c r="AC94" s="1835"/>
      <c r="AD94" s="1835"/>
      <c r="AE94" s="1835"/>
      <c r="AF94" s="1835"/>
      <c r="AG94" s="1835"/>
      <c r="AH94" s="1835"/>
      <c r="AI94" s="1835"/>
      <c r="AJ94" s="1835"/>
      <c r="AK94" s="1835"/>
      <c r="AL94" s="1835"/>
      <c r="AM94" s="1835"/>
      <c r="AN94" s="1835"/>
      <c r="AO94" s="1835"/>
      <c r="AP94" s="1835"/>
      <c r="AQ94" s="1835"/>
      <c r="AR94" s="1835"/>
      <c r="AS94" s="1835"/>
      <c r="AT94" s="1835"/>
      <c r="AU94" s="1835"/>
      <c r="AV94" s="1835"/>
      <c r="AW94" s="1835"/>
      <c r="AX94" s="1835"/>
      <c r="AY94" s="1835"/>
      <c r="AZ94" s="1835"/>
      <c r="BA94" s="1835"/>
      <c r="BB94" s="1835"/>
      <c r="BC94" s="1835"/>
      <c r="BD94" s="1835"/>
      <c r="BE94" s="1835"/>
      <c r="BF94" s="1835"/>
      <c r="BG94" s="1835"/>
      <c r="BH94" s="1835"/>
      <c r="BI94" s="1835"/>
      <c r="BJ94" s="1835"/>
      <c r="BK94" s="1835"/>
      <c r="BL94" s="1835"/>
      <c r="BM94" s="1835"/>
      <c r="BN94" s="1835"/>
      <c r="BO94" s="1835"/>
      <c r="BP94" s="1835"/>
      <c r="BQ94" s="1835"/>
      <c r="BR94" s="1835"/>
      <c r="BS94" s="1835"/>
      <c r="BT94" s="1835"/>
      <c r="BU94" s="1835"/>
      <c r="BV94" s="1835"/>
      <c r="BW94" s="1835"/>
      <c r="BX94" s="1835"/>
      <c r="BY94" s="1835"/>
      <c r="BZ94" s="1835"/>
      <c r="CA94" s="1835"/>
      <c r="CB94" s="1835"/>
      <c r="CC94" s="1835"/>
      <c r="CD94" s="1835"/>
      <c r="CE94" s="1835"/>
      <c r="CF94" s="1835"/>
      <c r="CG94" s="1835"/>
      <c r="CH94" s="1835"/>
      <c r="CI94" s="1835"/>
      <c r="CJ94" s="1835"/>
      <c r="CK94" s="1835"/>
      <c r="CL94" s="1835"/>
      <c r="CM94" s="1835"/>
      <c r="CN94" s="1835"/>
      <c r="CO94" s="1835"/>
      <c r="CP94" s="1835"/>
      <c r="CQ94" s="1835"/>
      <c r="CR94" s="1835"/>
      <c r="CS94" s="1835"/>
      <c r="CT94" s="1835"/>
      <c r="CU94" s="1835"/>
      <c r="CV94" s="1835"/>
      <c r="CW94" s="1835"/>
      <c r="CX94" s="1835"/>
      <c r="CY94" s="1835"/>
      <c r="CZ94" s="1835"/>
      <c r="DA94" s="1835"/>
      <c r="DB94" s="1835"/>
      <c r="DC94" s="1835"/>
      <c r="DD94" s="1835"/>
      <c r="DE94" s="1835"/>
      <c r="DF94" s="1835"/>
      <c r="DG94" s="1835"/>
      <c r="DH94" s="1835"/>
      <c r="DI94" s="1835"/>
      <c r="DJ94" s="1835"/>
      <c r="DK94" s="1835"/>
      <c r="DL94" s="1835"/>
      <c r="DM94" s="1835"/>
      <c r="DN94" s="1835"/>
      <c r="DO94" s="1835"/>
      <c r="DP94" s="1835"/>
      <c r="DQ94" s="1835"/>
      <c r="DR94" s="1835"/>
      <c r="DS94" s="1835"/>
      <c r="DT94" s="1835"/>
      <c r="DU94" s="1835"/>
      <c r="DV94" s="1835"/>
      <c r="DW94" s="1835"/>
      <c r="DX94" s="1835"/>
      <c r="DY94" s="1835"/>
      <c r="DZ94" s="1835"/>
    </row>
    <row r="95" spans="1:130" s="372" customFormat="1">
      <c r="A95" s="2098" t="s">
        <v>40</v>
      </c>
      <c r="B95" s="2101" t="s">
        <v>2916</v>
      </c>
      <c r="C95" s="1506" t="s">
        <v>8</v>
      </c>
      <c r="D95" s="1526">
        <f>SUM(D96:D99)</f>
        <v>1113485.83519</v>
      </c>
      <c r="E95" s="1526">
        <f>SUM(E96:E99)</f>
        <v>1112684.1182899999</v>
      </c>
      <c r="F95" s="1526">
        <f>SUM(F96:F99)</f>
        <v>1112549.6860999998</v>
      </c>
      <c r="G95" s="1527">
        <f t="shared" si="5"/>
        <v>0.99915926268622857</v>
      </c>
      <c r="H95" s="2101"/>
      <c r="I95" s="649" t="s">
        <v>267</v>
      </c>
      <c r="J95" s="672">
        <f>SUM(J100,J155,J170)</f>
        <v>14</v>
      </c>
      <c r="K95" s="2057" t="s">
        <v>2800</v>
      </c>
      <c r="L95" s="2057"/>
      <c r="M95" s="2234">
        <v>823</v>
      </c>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CM95" s="36"/>
      <c r="CN95" s="36"/>
      <c r="CO95" s="36"/>
      <c r="CP95" s="36"/>
      <c r="CQ95" s="36"/>
      <c r="CR95" s="36"/>
      <c r="CS95" s="36"/>
      <c r="CT95" s="36"/>
      <c r="CU95" s="36"/>
      <c r="CV95" s="36"/>
      <c r="CW95" s="36"/>
      <c r="CX95" s="36"/>
      <c r="CY95" s="36"/>
      <c r="CZ95" s="36"/>
      <c r="DA95" s="36"/>
      <c r="DB95" s="36"/>
      <c r="DC95" s="36"/>
      <c r="DD95" s="36"/>
      <c r="DE95" s="36"/>
      <c r="DF95" s="36"/>
      <c r="DG95" s="36"/>
      <c r="DH95" s="36"/>
      <c r="DI95" s="36"/>
      <c r="DJ95" s="36"/>
      <c r="DK95" s="36"/>
      <c r="DL95" s="36"/>
      <c r="DM95" s="36"/>
      <c r="DN95" s="36"/>
      <c r="DO95" s="36"/>
      <c r="DP95" s="36"/>
      <c r="DQ95" s="36"/>
      <c r="DR95" s="36"/>
      <c r="DS95" s="36"/>
      <c r="DT95" s="36"/>
      <c r="DU95" s="36"/>
      <c r="DV95" s="36"/>
      <c r="DW95" s="36"/>
      <c r="DX95" s="36"/>
      <c r="DY95" s="36"/>
      <c r="DZ95" s="36"/>
    </row>
    <row r="96" spans="1:130" s="372" customFormat="1">
      <c r="A96" s="2099"/>
      <c r="B96" s="2102"/>
      <c r="C96" s="1506" t="s">
        <v>9</v>
      </c>
      <c r="D96" s="1526">
        <f t="shared" ref="D96:F98" si="6">SUM(D101,D156,D171)</f>
        <v>1082614.0218200001</v>
      </c>
      <c r="E96" s="1526">
        <f t="shared" si="6"/>
        <v>1081818.5999799999</v>
      </c>
      <c r="F96" s="1526">
        <f t="shared" si="6"/>
        <v>1081684.1677899999</v>
      </c>
      <c r="G96" s="1527">
        <f t="shared" si="5"/>
        <v>0.99914110291271019</v>
      </c>
      <c r="H96" s="2102"/>
      <c r="I96" s="649" t="s">
        <v>268</v>
      </c>
      <c r="J96" s="650">
        <f>SUM(J101,J156,J171)</f>
        <v>13</v>
      </c>
      <c r="K96" s="2058"/>
      <c r="L96" s="2058"/>
      <c r="M96" s="2235"/>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c r="CB96" s="36"/>
      <c r="CC96" s="36"/>
      <c r="CD96" s="36"/>
      <c r="CE96" s="36"/>
      <c r="CF96" s="36"/>
      <c r="CG96" s="36"/>
      <c r="CH96" s="36"/>
      <c r="CI96" s="36"/>
      <c r="CJ96" s="36"/>
      <c r="CK96" s="36"/>
      <c r="CL96" s="36"/>
      <c r="CM96" s="36"/>
      <c r="CN96" s="36"/>
      <c r="CO96" s="36"/>
      <c r="CP96" s="36"/>
      <c r="CQ96" s="36"/>
      <c r="CR96" s="36"/>
      <c r="CS96" s="36"/>
      <c r="CT96" s="36"/>
      <c r="CU96" s="36"/>
      <c r="CV96" s="36"/>
      <c r="CW96" s="36"/>
      <c r="CX96" s="36"/>
      <c r="CY96" s="36"/>
      <c r="CZ96" s="36"/>
      <c r="DA96" s="36"/>
      <c r="DB96" s="36"/>
      <c r="DC96" s="36"/>
      <c r="DD96" s="36"/>
      <c r="DE96" s="36"/>
      <c r="DF96" s="36"/>
      <c r="DG96" s="36"/>
      <c r="DH96" s="36"/>
      <c r="DI96" s="36"/>
      <c r="DJ96" s="36"/>
      <c r="DK96" s="36"/>
      <c r="DL96" s="36"/>
      <c r="DM96" s="36"/>
      <c r="DN96" s="36"/>
      <c r="DO96" s="36"/>
      <c r="DP96" s="36"/>
      <c r="DQ96" s="36"/>
      <c r="DR96" s="36"/>
      <c r="DS96" s="36"/>
      <c r="DT96" s="36"/>
      <c r="DU96" s="36"/>
      <c r="DV96" s="36"/>
      <c r="DW96" s="36"/>
      <c r="DX96" s="36"/>
      <c r="DY96" s="36"/>
      <c r="DZ96" s="36"/>
    </row>
    <row r="97" spans="1:130" s="372" customFormat="1">
      <c r="A97" s="2099"/>
      <c r="B97" s="2102"/>
      <c r="C97" s="1506" t="s">
        <v>10</v>
      </c>
      <c r="D97" s="1526">
        <f t="shared" si="6"/>
        <v>11094.58337</v>
      </c>
      <c r="E97" s="1526">
        <f t="shared" si="6"/>
        <v>11088.28831</v>
      </c>
      <c r="F97" s="1526">
        <f t="shared" si="6"/>
        <v>11088.28831</v>
      </c>
      <c r="G97" s="1527">
        <f t="shared" si="5"/>
        <v>0.99943260059525785</v>
      </c>
      <c r="H97" s="2102"/>
      <c r="I97" s="649" t="s">
        <v>269</v>
      </c>
      <c r="J97" s="650">
        <f>SUM(J102,J157,J172)</f>
        <v>1</v>
      </c>
      <c r="K97" s="2058"/>
      <c r="L97" s="2058"/>
      <c r="M97" s="2235"/>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c r="CB97" s="36"/>
      <c r="CC97" s="36"/>
      <c r="CD97" s="36"/>
      <c r="CE97" s="36"/>
      <c r="CF97" s="36"/>
      <c r="CG97" s="36"/>
      <c r="CH97" s="36"/>
      <c r="CI97" s="36"/>
      <c r="CJ97" s="36"/>
      <c r="CK97" s="36"/>
      <c r="CL97" s="36"/>
      <c r="CM97" s="36"/>
      <c r="CN97" s="36"/>
      <c r="CO97" s="36"/>
      <c r="CP97" s="36"/>
      <c r="CQ97" s="36"/>
      <c r="CR97" s="36"/>
      <c r="CS97" s="36"/>
      <c r="CT97" s="36"/>
      <c r="CU97" s="36"/>
      <c r="CV97" s="36"/>
      <c r="CW97" s="36"/>
      <c r="CX97" s="36"/>
      <c r="CY97" s="36"/>
      <c r="CZ97" s="36"/>
      <c r="DA97" s="36"/>
      <c r="DB97" s="36"/>
      <c r="DC97" s="36"/>
      <c r="DD97" s="36"/>
      <c r="DE97" s="36"/>
      <c r="DF97" s="36"/>
      <c r="DG97" s="36"/>
      <c r="DH97" s="36"/>
      <c r="DI97" s="36"/>
      <c r="DJ97" s="36"/>
      <c r="DK97" s="36"/>
      <c r="DL97" s="36"/>
      <c r="DM97" s="36"/>
      <c r="DN97" s="36"/>
      <c r="DO97" s="36"/>
      <c r="DP97" s="36"/>
      <c r="DQ97" s="36"/>
      <c r="DR97" s="36"/>
      <c r="DS97" s="36"/>
      <c r="DT97" s="36"/>
      <c r="DU97" s="36"/>
      <c r="DV97" s="36"/>
      <c r="DW97" s="36"/>
      <c r="DX97" s="36"/>
      <c r="DY97" s="36"/>
      <c r="DZ97" s="36"/>
    </row>
    <row r="98" spans="1:130" s="372" customFormat="1">
      <c r="A98" s="2099"/>
      <c r="B98" s="2102"/>
      <c r="C98" s="1506" t="s">
        <v>11</v>
      </c>
      <c r="D98" s="1526">
        <f t="shared" si="6"/>
        <v>19777.23</v>
      </c>
      <c r="E98" s="1526">
        <f t="shared" si="6"/>
        <v>19777.23</v>
      </c>
      <c r="F98" s="1526">
        <f t="shared" si="6"/>
        <v>19777.23</v>
      </c>
      <c r="G98" s="1527">
        <f t="shared" si="5"/>
        <v>1</v>
      </c>
      <c r="H98" s="2102"/>
      <c r="I98" s="649" t="s">
        <v>270</v>
      </c>
      <c r="J98" s="650">
        <f>SUM(J103,J158,J173)</f>
        <v>0</v>
      </c>
      <c r="K98" s="2058"/>
      <c r="L98" s="2058"/>
      <c r="M98" s="2235"/>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c r="DK98" s="36"/>
      <c r="DL98" s="36"/>
      <c r="DM98" s="36"/>
      <c r="DN98" s="36"/>
      <c r="DO98" s="36"/>
      <c r="DP98" s="36"/>
      <c r="DQ98" s="36"/>
      <c r="DR98" s="36"/>
      <c r="DS98" s="36"/>
      <c r="DT98" s="36"/>
      <c r="DU98" s="36"/>
      <c r="DV98" s="36"/>
      <c r="DW98" s="36"/>
      <c r="DX98" s="36"/>
      <c r="DY98" s="36"/>
      <c r="DZ98" s="36"/>
    </row>
    <row r="99" spans="1:130" s="372" customFormat="1">
      <c r="A99" s="2100"/>
      <c r="B99" s="2103"/>
      <c r="C99" s="1506" t="s">
        <v>12</v>
      </c>
      <c r="D99" s="1526">
        <v>0</v>
      </c>
      <c r="E99" s="1526">
        <f>SUM(E104,E159,E174)</f>
        <v>0</v>
      </c>
      <c r="F99" s="1526">
        <f>SUM(F104,F159,F174)</f>
        <v>0</v>
      </c>
      <c r="G99" s="1527">
        <f t="shared" si="5"/>
        <v>0</v>
      </c>
      <c r="H99" s="2103"/>
      <c r="I99" s="649" t="s">
        <v>271</v>
      </c>
      <c r="J99" s="652">
        <f>(J96+0.5*J97)/J95</f>
        <v>0.9642857142857143</v>
      </c>
      <c r="K99" s="2058"/>
      <c r="L99" s="2058"/>
      <c r="M99" s="2242"/>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c r="CB99" s="36"/>
      <c r="CC99" s="36"/>
      <c r="CD99" s="36"/>
      <c r="CE99" s="36"/>
      <c r="CF99" s="36"/>
      <c r="CG99" s="36"/>
      <c r="CH99" s="36"/>
      <c r="CI99" s="36"/>
      <c r="CJ99" s="36"/>
      <c r="CK99" s="36"/>
      <c r="CL99" s="36"/>
      <c r="CM99" s="36"/>
      <c r="CN99" s="36"/>
      <c r="CO99" s="36"/>
      <c r="CP99" s="36"/>
      <c r="CQ99" s="36"/>
      <c r="CR99" s="36"/>
      <c r="CS99" s="36"/>
      <c r="CT99" s="36"/>
      <c r="CU99" s="36"/>
      <c r="CV99" s="36"/>
      <c r="CW99" s="36"/>
      <c r="CX99" s="36"/>
      <c r="CY99" s="36"/>
      <c r="CZ99" s="36"/>
      <c r="DA99" s="36"/>
      <c r="DB99" s="36"/>
      <c r="DC99" s="36"/>
      <c r="DD99" s="36"/>
      <c r="DE99" s="36"/>
      <c r="DF99" s="36"/>
      <c r="DG99" s="36"/>
      <c r="DH99" s="36"/>
      <c r="DI99" s="36"/>
      <c r="DJ99" s="36"/>
      <c r="DK99" s="36"/>
      <c r="DL99" s="36"/>
      <c r="DM99" s="36"/>
      <c r="DN99" s="36"/>
      <c r="DO99" s="36"/>
      <c r="DP99" s="36"/>
      <c r="DQ99" s="36"/>
      <c r="DR99" s="36"/>
      <c r="DS99" s="36"/>
      <c r="DT99" s="36"/>
      <c r="DU99" s="36"/>
      <c r="DV99" s="36"/>
      <c r="DW99" s="36"/>
      <c r="DX99" s="36"/>
      <c r="DY99" s="36"/>
      <c r="DZ99" s="36"/>
    </row>
    <row r="100" spans="1:130" s="372" customFormat="1">
      <c r="A100" s="2079" t="s">
        <v>2845</v>
      </c>
      <c r="B100" s="2108" t="s">
        <v>2917</v>
      </c>
      <c r="C100" s="776" t="s">
        <v>8</v>
      </c>
      <c r="D100" s="1503">
        <f>SUM(D101:D104)</f>
        <v>1034105.8569300001</v>
      </c>
      <c r="E100" s="1503">
        <f>SUM(E101:E104)</f>
        <v>1033310.8368999999</v>
      </c>
      <c r="F100" s="1503">
        <f>SUM(F101:F104)</f>
        <v>1033176.4047099999</v>
      </c>
      <c r="G100" s="778">
        <f t="shared" si="5"/>
        <v>0.99910120205414998</v>
      </c>
      <c r="H100" s="2120" t="s">
        <v>3171</v>
      </c>
      <c r="I100" s="779" t="s">
        <v>267</v>
      </c>
      <c r="J100" s="1458">
        <f>SUM(J101:J103)</f>
        <v>10</v>
      </c>
      <c r="K100" s="2066" t="s">
        <v>2889</v>
      </c>
      <c r="L100" s="2060"/>
      <c r="M100" s="2041">
        <v>823</v>
      </c>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c r="CB100" s="36"/>
      <c r="CC100" s="36"/>
      <c r="CD100" s="36"/>
      <c r="CE100" s="36"/>
      <c r="CF100" s="36"/>
      <c r="CG100" s="36"/>
      <c r="CH100" s="36"/>
      <c r="CI100" s="36"/>
      <c r="CJ100" s="36"/>
      <c r="CK100" s="36"/>
      <c r="CL100" s="36"/>
      <c r="CM100" s="36"/>
      <c r="CN100" s="36"/>
      <c r="CO100" s="36"/>
      <c r="CP100" s="36"/>
      <c r="CQ100" s="36"/>
      <c r="CR100" s="36"/>
      <c r="CS100" s="36"/>
      <c r="CT100" s="36"/>
      <c r="CU100" s="36"/>
      <c r="CV100" s="36"/>
      <c r="CW100" s="36"/>
      <c r="CX100" s="36"/>
      <c r="CY100" s="36"/>
      <c r="CZ100" s="36"/>
      <c r="DA100" s="36"/>
      <c r="DB100" s="36"/>
      <c r="DC100" s="36"/>
      <c r="DD100" s="36"/>
      <c r="DE100" s="36"/>
      <c r="DF100" s="36"/>
      <c r="DG100" s="36"/>
      <c r="DH100" s="36"/>
      <c r="DI100" s="36"/>
      <c r="DJ100" s="36"/>
      <c r="DK100" s="36"/>
      <c r="DL100" s="36"/>
      <c r="DM100" s="36"/>
      <c r="DN100" s="36"/>
      <c r="DO100" s="36"/>
      <c r="DP100" s="36"/>
      <c r="DQ100" s="36"/>
      <c r="DR100" s="36"/>
      <c r="DS100" s="36"/>
      <c r="DT100" s="36"/>
      <c r="DU100" s="36"/>
      <c r="DV100" s="36"/>
      <c r="DW100" s="36"/>
      <c r="DX100" s="36"/>
      <c r="DY100" s="36"/>
      <c r="DZ100" s="36"/>
    </row>
    <row r="101" spans="1:130" s="372" customFormat="1">
      <c r="A101" s="2080"/>
      <c r="B101" s="2121"/>
      <c r="C101" s="776" t="s">
        <v>9</v>
      </c>
      <c r="D101" s="1503">
        <f>SUM(D106,D111,D116,D121,D126,D136,D141,D146,D151,D131)</f>
        <v>1034105.8569300001</v>
      </c>
      <c r="E101" s="1503">
        <f>SUM(E106,E111,E116,E121,E126,E136,E141,E146,E151,E131)</f>
        <v>1033310.8368999999</v>
      </c>
      <c r="F101" s="1503">
        <f>SUM(F106,F111,F116,F121,F126,F136,F141,F146,F151)</f>
        <v>1033176.4047099999</v>
      </c>
      <c r="G101" s="778">
        <f t="shared" si="5"/>
        <v>0.99910120205414998</v>
      </c>
      <c r="H101" s="2121"/>
      <c r="I101" s="779" t="s">
        <v>268</v>
      </c>
      <c r="J101" s="1458">
        <f>COUNTIF($J$105:$J$154,"Да")</f>
        <v>9</v>
      </c>
      <c r="K101" s="2066"/>
      <c r="L101" s="2061"/>
      <c r="M101" s="2042"/>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c r="CB101" s="36"/>
      <c r="CC101" s="36"/>
      <c r="CD101" s="36"/>
      <c r="CE101" s="36"/>
      <c r="CF101" s="36"/>
      <c r="CG101" s="36"/>
      <c r="CH101" s="36"/>
      <c r="CI101" s="36"/>
      <c r="CJ101" s="36"/>
      <c r="CK101" s="36"/>
      <c r="CL101" s="36"/>
      <c r="CM101" s="36"/>
      <c r="CN101" s="36"/>
      <c r="CO101" s="36"/>
      <c r="CP101" s="36"/>
      <c r="CQ101" s="36"/>
      <c r="CR101" s="36"/>
      <c r="CS101" s="36"/>
      <c r="CT101" s="36"/>
      <c r="CU101" s="36"/>
      <c r="CV101" s="36"/>
      <c r="CW101" s="36"/>
      <c r="CX101" s="36"/>
      <c r="CY101" s="36"/>
      <c r="CZ101" s="36"/>
      <c r="DA101" s="36"/>
      <c r="DB101" s="36"/>
      <c r="DC101" s="36"/>
      <c r="DD101" s="36"/>
      <c r="DE101" s="36"/>
      <c r="DF101" s="36"/>
      <c r="DG101" s="36"/>
      <c r="DH101" s="36"/>
      <c r="DI101" s="36"/>
      <c r="DJ101" s="36"/>
      <c r="DK101" s="36"/>
      <c r="DL101" s="36"/>
      <c r="DM101" s="36"/>
      <c r="DN101" s="36"/>
      <c r="DO101" s="36"/>
      <c r="DP101" s="36"/>
      <c r="DQ101" s="36"/>
      <c r="DR101" s="36"/>
      <c r="DS101" s="36"/>
      <c r="DT101" s="36"/>
      <c r="DU101" s="36"/>
      <c r="DV101" s="36"/>
      <c r="DW101" s="36"/>
      <c r="DX101" s="36"/>
      <c r="DY101" s="36"/>
      <c r="DZ101" s="36"/>
    </row>
    <row r="102" spans="1:130" s="372" customFormat="1">
      <c r="A102" s="2080"/>
      <c r="B102" s="2121"/>
      <c r="C102" s="776" t="s">
        <v>10</v>
      </c>
      <c r="D102" s="1503">
        <v>0</v>
      </c>
      <c r="E102" s="1503">
        <v>0</v>
      </c>
      <c r="F102" s="1503">
        <v>0</v>
      </c>
      <c r="G102" s="778">
        <f t="shared" si="5"/>
        <v>0</v>
      </c>
      <c r="H102" s="2121"/>
      <c r="I102" s="779" t="s">
        <v>269</v>
      </c>
      <c r="J102" s="1458">
        <f>COUNTIF($J$105:$J$154,"Частично")</f>
        <v>1</v>
      </c>
      <c r="K102" s="2066"/>
      <c r="L102" s="2061"/>
      <c r="M102" s="2042"/>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c r="CB102" s="36"/>
      <c r="CC102" s="36"/>
      <c r="CD102" s="36"/>
      <c r="CE102" s="36"/>
      <c r="CF102" s="36"/>
      <c r="CG102" s="36"/>
      <c r="CH102" s="36"/>
      <c r="CI102" s="36"/>
      <c r="CJ102" s="36"/>
      <c r="CK102" s="36"/>
      <c r="CL102" s="36"/>
      <c r="CM102" s="36"/>
      <c r="CN102" s="36"/>
      <c r="CO102" s="36"/>
      <c r="CP102" s="36"/>
      <c r="CQ102" s="36"/>
      <c r="CR102" s="36"/>
      <c r="CS102" s="36"/>
      <c r="CT102" s="36"/>
      <c r="CU102" s="36"/>
      <c r="CV102" s="36"/>
      <c r="CW102" s="36"/>
      <c r="CX102" s="36"/>
      <c r="CY102" s="36"/>
      <c r="CZ102" s="36"/>
      <c r="DA102" s="36"/>
      <c r="DB102" s="36"/>
      <c r="DC102" s="36"/>
      <c r="DD102" s="36"/>
      <c r="DE102" s="36"/>
      <c r="DF102" s="36"/>
      <c r="DG102" s="36"/>
      <c r="DH102" s="36"/>
      <c r="DI102" s="36"/>
      <c r="DJ102" s="36"/>
      <c r="DK102" s="36"/>
      <c r="DL102" s="36"/>
      <c r="DM102" s="36"/>
      <c r="DN102" s="36"/>
      <c r="DO102" s="36"/>
      <c r="DP102" s="36"/>
      <c r="DQ102" s="36"/>
      <c r="DR102" s="36"/>
      <c r="DS102" s="36"/>
      <c r="DT102" s="36"/>
      <c r="DU102" s="36"/>
      <c r="DV102" s="36"/>
      <c r="DW102" s="36"/>
      <c r="DX102" s="36"/>
      <c r="DY102" s="36"/>
      <c r="DZ102" s="36"/>
    </row>
    <row r="103" spans="1:130" s="372" customFormat="1">
      <c r="A103" s="2080"/>
      <c r="B103" s="2121"/>
      <c r="C103" s="776" t="s">
        <v>11</v>
      </c>
      <c r="D103" s="1503">
        <v>0</v>
      </c>
      <c r="E103" s="1503">
        <v>0</v>
      </c>
      <c r="F103" s="1503">
        <v>0</v>
      </c>
      <c r="G103" s="778">
        <f t="shared" si="5"/>
        <v>0</v>
      </c>
      <c r="H103" s="2121"/>
      <c r="I103" s="779" t="s">
        <v>270</v>
      </c>
      <c r="J103" s="1458">
        <f>COUNTIF($J$105:$J$154,"Нет")</f>
        <v>0</v>
      </c>
      <c r="K103" s="2066"/>
      <c r="L103" s="2061"/>
      <c r="M103" s="2042"/>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c r="CB103" s="36"/>
      <c r="CC103" s="36"/>
      <c r="CD103" s="36"/>
      <c r="CE103" s="36"/>
      <c r="CF103" s="36"/>
      <c r="CG103" s="36"/>
      <c r="CH103" s="36"/>
      <c r="CI103" s="36"/>
      <c r="CJ103" s="36"/>
      <c r="CK103" s="36"/>
      <c r="CL103" s="36"/>
      <c r="CM103" s="36"/>
      <c r="CN103" s="36"/>
      <c r="CO103" s="36"/>
      <c r="CP103" s="36"/>
      <c r="CQ103" s="36"/>
      <c r="CR103" s="36"/>
      <c r="CS103" s="36"/>
      <c r="CT103" s="36"/>
      <c r="CU103" s="36"/>
      <c r="CV103" s="36"/>
      <c r="CW103" s="36"/>
      <c r="CX103" s="36"/>
      <c r="CY103" s="36"/>
      <c r="CZ103" s="36"/>
      <c r="DA103" s="36"/>
      <c r="DB103" s="36"/>
      <c r="DC103" s="36"/>
      <c r="DD103" s="36"/>
      <c r="DE103" s="36"/>
      <c r="DF103" s="36"/>
      <c r="DG103" s="36"/>
      <c r="DH103" s="36"/>
      <c r="DI103" s="36"/>
      <c r="DJ103" s="36"/>
      <c r="DK103" s="36"/>
      <c r="DL103" s="36"/>
      <c r="DM103" s="36"/>
      <c r="DN103" s="36"/>
      <c r="DO103" s="36"/>
      <c r="DP103" s="36"/>
      <c r="DQ103" s="36"/>
      <c r="DR103" s="36"/>
      <c r="DS103" s="36"/>
      <c r="DT103" s="36"/>
      <c r="DU103" s="36"/>
      <c r="DV103" s="36"/>
      <c r="DW103" s="36"/>
      <c r="DX103" s="36"/>
      <c r="DY103" s="36"/>
      <c r="DZ103" s="36"/>
    </row>
    <row r="104" spans="1:130" s="372" customFormat="1">
      <c r="A104" s="2081"/>
      <c r="B104" s="2122"/>
      <c r="C104" s="776" t="s">
        <v>12</v>
      </c>
      <c r="D104" s="1503">
        <v>0</v>
      </c>
      <c r="E104" s="1503">
        <v>0</v>
      </c>
      <c r="F104" s="1503">
        <v>0</v>
      </c>
      <c r="G104" s="778">
        <f t="shared" si="5"/>
        <v>0</v>
      </c>
      <c r="H104" s="2122"/>
      <c r="I104" s="779" t="s">
        <v>271</v>
      </c>
      <c r="J104" s="1459">
        <f>(J101+0.5*J102)/J100</f>
        <v>0.95</v>
      </c>
      <c r="K104" s="2066"/>
      <c r="L104" s="2062"/>
      <c r="M104" s="2043"/>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c r="CB104" s="36"/>
      <c r="CC104" s="36"/>
      <c r="CD104" s="36"/>
      <c r="CE104" s="36"/>
      <c r="CF104" s="36"/>
      <c r="CG104" s="36"/>
      <c r="CH104" s="36"/>
      <c r="CI104" s="36"/>
      <c r="CJ104" s="36"/>
      <c r="CK104" s="36"/>
      <c r="CL104" s="36"/>
      <c r="CM104" s="36"/>
      <c r="CN104" s="36"/>
      <c r="CO104" s="36"/>
      <c r="CP104" s="36"/>
      <c r="CQ104" s="36"/>
      <c r="CR104" s="36"/>
      <c r="CS104" s="36"/>
      <c r="CT104" s="36"/>
      <c r="CU104" s="36"/>
      <c r="CV104" s="36"/>
      <c r="CW104" s="36"/>
      <c r="CX104" s="36"/>
      <c r="CY104" s="36"/>
      <c r="CZ104" s="36"/>
      <c r="DA104" s="36"/>
      <c r="DB104" s="36"/>
      <c r="DC104" s="36"/>
      <c r="DD104" s="36"/>
      <c r="DE104" s="36"/>
      <c r="DF104" s="36"/>
      <c r="DG104" s="36"/>
      <c r="DH104" s="36"/>
      <c r="DI104" s="36"/>
      <c r="DJ104" s="36"/>
      <c r="DK104" s="36"/>
      <c r="DL104" s="36"/>
      <c r="DM104" s="36"/>
      <c r="DN104" s="36"/>
      <c r="DO104" s="36"/>
      <c r="DP104" s="36"/>
      <c r="DQ104" s="36"/>
      <c r="DR104" s="36"/>
      <c r="DS104" s="36"/>
      <c r="DT104" s="36"/>
      <c r="DU104" s="36"/>
      <c r="DV104" s="36"/>
      <c r="DW104" s="36"/>
      <c r="DX104" s="36"/>
      <c r="DY104" s="36"/>
      <c r="DZ104" s="36"/>
    </row>
    <row r="105" spans="1:130" s="372" customFormat="1" ht="15" customHeight="1">
      <c r="A105" s="2029" t="s">
        <v>43</v>
      </c>
      <c r="B105" s="2032" t="s">
        <v>50</v>
      </c>
      <c r="C105" s="931" t="s">
        <v>8</v>
      </c>
      <c r="D105" s="1893">
        <f>SUM(D106:D109)</f>
        <v>1237.58797</v>
      </c>
      <c r="E105" s="107">
        <f>SUM(E106:E109)</f>
        <v>1022.23455</v>
      </c>
      <c r="F105" s="107">
        <f>SUM(F106:F109)</f>
        <v>1022.23455</v>
      </c>
      <c r="G105" s="67">
        <f t="shared" si="5"/>
        <v>0.82598940421180722</v>
      </c>
      <c r="H105" s="2035" t="s">
        <v>3169</v>
      </c>
      <c r="I105" s="2038" t="s">
        <v>5433</v>
      </c>
      <c r="J105" s="2044" t="s">
        <v>3385</v>
      </c>
      <c r="K105" s="2172" t="s">
        <v>2848</v>
      </c>
      <c r="L105" s="2148"/>
      <c r="M105" s="2262">
        <v>823</v>
      </c>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c r="CB105" s="36"/>
      <c r="CC105" s="36"/>
      <c r="CD105" s="36"/>
      <c r="CE105" s="36"/>
      <c r="CF105" s="36"/>
      <c r="CG105" s="36"/>
      <c r="CH105" s="36"/>
      <c r="CI105" s="36"/>
      <c r="CJ105" s="36"/>
      <c r="CK105" s="36"/>
      <c r="CL105" s="36"/>
      <c r="CM105" s="36"/>
      <c r="CN105" s="36"/>
      <c r="CO105" s="36"/>
      <c r="CP105" s="36"/>
      <c r="CQ105" s="36"/>
      <c r="CR105" s="36"/>
      <c r="CS105" s="36"/>
      <c r="CT105" s="36"/>
      <c r="CU105" s="36"/>
      <c r="CV105" s="36"/>
      <c r="CW105" s="36"/>
      <c r="CX105" s="36"/>
      <c r="CY105" s="36"/>
      <c r="CZ105" s="36"/>
      <c r="DA105" s="36"/>
      <c r="DB105" s="36"/>
      <c r="DC105" s="36"/>
      <c r="DD105" s="36"/>
      <c r="DE105" s="36"/>
      <c r="DF105" s="36"/>
      <c r="DG105" s="36"/>
      <c r="DH105" s="36"/>
      <c r="DI105" s="36"/>
      <c r="DJ105" s="36"/>
      <c r="DK105" s="36"/>
      <c r="DL105" s="36"/>
      <c r="DM105" s="36"/>
      <c r="DN105" s="36"/>
      <c r="DO105" s="36"/>
      <c r="DP105" s="36"/>
      <c r="DQ105" s="36"/>
      <c r="DR105" s="36"/>
      <c r="DS105" s="36"/>
      <c r="DT105" s="36"/>
      <c r="DU105" s="36"/>
      <c r="DV105" s="36"/>
      <c r="DW105" s="36"/>
      <c r="DX105" s="36"/>
      <c r="DY105" s="36"/>
      <c r="DZ105" s="36"/>
    </row>
    <row r="106" spans="1:130" s="372" customFormat="1" ht="15" customHeight="1">
      <c r="A106" s="2030"/>
      <c r="B106" s="2033"/>
      <c r="C106" s="931" t="s">
        <v>9</v>
      </c>
      <c r="D106" s="3618">
        <f>НОВЫЙ!F188</f>
        <v>1237.58797</v>
      </c>
      <c r="E106" s="655">
        <f>'2023'!H49</f>
        <v>1022.23455</v>
      </c>
      <c r="F106" s="655">
        <f>E106</f>
        <v>1022.23455</v>
      </c>
      <c r="G106" s="67">
        <f t="shared" si="5"/>
        <v>0.82598940421180722</v>
      </c>
      <c r="H106" s="2036"/>
      <c r="I106" s="2039"/>
      <c r="J106" s="2027"/>
      <c r="K106" s="2173"/>
      <c r="L106" s="2149"/>
      <c r="M106" s="2263"/>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c r="CB106" s="36"/>
      <c r="CC106" s="36"/>
      <c r="CD106" s="36"/>
      <c r="CE106" s="36"/>
      <c r="CF106" s="36"/>
      <c r="CG106" s="36"/>
      <c r="CH106" s="36"/>
      <c r="CI106" s="36"/>
      <c r="CJ106" s="36"/>
      <c r="CK106" s="36"/>
      <c r="CL106" s="36"/>
      <c r="CM106" s="36"/>
      <c r="CN106" s="36"/>
      <c r="CO106" s="36"/>
      <c r="CP106" s="36"/>
      <c r="CQ106" s="36"/>
      <c r="CR106" s="36"/>
      <c r="CS106" s="36"/>
      <c r="CT106" s="36"/>
      <c r="CU106" s="36"/>
      <c r="CV106" s="36"/>
      <c r="CW106" s="36"/>
      <c r="CX106" s="36"/>
      <c r="CY106" s="36"/>
      <c r="CZ106" s="36"/>
      <c r="DA106" s="36"/>
      <c r="DB106" s="36"/>
      <c r="DC106" s="36"/>
      <c r="DD106" s="36"/>
      <c r="DE106" s="36"/>
      <c r="DF106" s="36"/>
      <c r="DG106" s="36"/>
      <c r="DH106" s="36"/>
      <c r="DI106" s="36"/>
      <c r="DJ106" s="36"/>
      <c r="DK106" s="36"/>
      <c r="DL106" s="36"/>
      <c r="DM106" s="36"/>
      <c r="DN106" s="36"/>
      <c r="DO106" s="36"/>
      <c r="DP106" s="36"/>
      <c r="DQ106" s="36"/>
      <c r="DR106" s="36"/>
      <c r="DS106" s="36"/>
      <c r="DT106" s="36"/>
      <c r="DU106" s="36"/>
      <c r="DV106" s="36"/>
      <c r="DW106" s="36"/>
      <c r="DX106" s="36"/>
      <c r="DY106" s="36"/>
      <c r="DZ106" s="36"/>
    </row>
    <row r="107" spans="1:130" s="372" customFormat="1" ht="15" customHeight="1">
      <c r="A107" s="2030"/>
      <c r="B107" s="2033"/>
      <c r="C107" s="931" t="s">
        <v>10</v>
      </c>
      <c r="D107" s="655">
        <v>0</v>
      </c>
      <c r="E107" s="655">
        <v>0</v>
      </c>
      <c r="F107" s="655">
        <v>0</v>
      </c>
      <c r="G107" s="67">
        <f t="shared" si="5"/>
        <v>0</v>
      </c>
      <c r="H107" s="2036"/>
      <c r="I107" s="2039"/>
      <c r="J107" s="2027"/>
      <c r="K107" s="2173"/>
      <c r="L107" s="2149"/>
      <c r="M107" s="2263"/>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c r="CB107" s="36"/>
      <c r="CC107" s="36"/>
      <c r="CD107" s="36"/>
      <c r="CE107" s="36"/>
      <c r="CF107" s="36"/>
      <c r="CG107" s="36"/>
      <c r="CH107" s="36"/>
      <c r="CI107" s="36"/>
      <c r="CJ107" s="36"/>
      <c r="CK107" s="36"/>
      <c r="CL107" s="36"/>
      <c r="CM107" s="36"/>
      <c r="CN107" s="36"/>
      <c r="CO107" s="36"/>
      <c r="CP107" s="36"/>
      <c r="CQ107" s="36"/>
      <c r="CR107" s="36"/>
      <c r="CS107" s="36"/>
      <c r="CT107" s="36"/>
      <c r="CU107" s="36"/>
      <c r="CV107" s="36"/>
      <c r="CW107" s="36"/>
      <c r="CX107" s="36"/>
      <c r="CY107" s="36"/>
      <c r="CZ107" s="36"/>
      <c r="DA107" s="36"/>
      <c r="DB107" s="36"/>
      <c r="DC107" s="36"/>
      <c r="DD107" s="36"/>
      <c r="DE107" s="36"/>
      <c r="DF107" s="36"/>
      <c r="DG107" s="36"/>
      <c r="DH107" s="36"/>
      <c r="DI107" s="36"/>
      <c r="DJ107" s="36"/>
      <c r="DK107" s="36"/>
      <c r="DL107" s="36"/>
      <c r="DM107" s="36"/>
      <c r="DN107" s="36"/>
      <c r="DO107" s="36"/>
      <c r="DP107" s="36"/>
      <c r="DQ107" s="36"/>
      <c r="DR107" s="36"/>
      <c r="DS107" s="36"/>
      <c r="DT107" s="36"/>
      <c r="DU107" s="36"/>
      <c r="DV107" s="36"/>
      <c r="DW107" s="36"/>
      <c r="DX107" s="36"/>
      <c r="DY107" s="36"/>
      <c r="DZ107" s="36"/>
    </row>
    <row r="108" spans="1:130" s="372" customFormat="1" ht="15" customHeight="1">
      <c r="A108" s="2030"/>
      <c r="B108" s="2033"/>
      <c r="C108" s="931" t="s">
        <v>11</v>
      </c>
      <c r="D108" s="655">
        <v>0</v>
      </c>
      <c r="E108" s="655">
        <v>0</v>
      </c>
      <c r="F108" s="655">
        <v>0</v>
      </c>
      <c r="G108" s="67">
        <f t="shared" si="5"/>
        <v>0</v>
      </c>
      <c r="H108" s="2036"/>
      <c r="I108" s="2039"/>
      <c r="J108" s="2027"/>
      <c r="K108" s="2173"/>
      <c r="L108" s="2149"/>
      <c r="M108" s="2263"/>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6"/>
      <c r="CU108" s="36"/>
      <c r="CV108" s="36"/>
      <c r="CW108" s="36"/>
      <c r="CX108" s="36"/>
      <c r="CY108" s="36"/>
      <c r="CZ108" s="36"/>
      <c r="DA108" s="36"/>
      <c r="DB108" s="36"/>
      <c r="DC108" s="36"/>
      <c r="DD108" s="36"/>
      <c r="DE108" s="36"/>
      <c r="DF108" s="36"/>
      <c r="DG108" s="36"/>
      <c r="DH108" s="36"/>
      <c r="DI108" s="36"/>
      <c r="DJ108" s="36"/>
      <c r="DK108" s="36"/>
      <c r="DL108" s="36"/>
      <c r="DM108" s="36"/>
      <c r="DN108" s="36"/>
      <c r="DO108" s="36"/>
      <c r="DP108" s="36"/>
      <c r="DQ108" s="36"/>
      <c r="DR108" s="36"/>
      <c r="DS108" s="36"/>
      <c r="DT108" s="36"/>
      <c r="DU108" s="36"/>
      <c r="DV108" s="36"/>
      <c r="DW108" s="36"/>
      <c r="DX108" s="36"/>
      <c r="DY108" s="36"/>
      <c r="DZ108" s="36"/>
    </row>
    <row r="109" spans="1:130" s="372" customFormat="1" ht="15" customHeight="1">
      <c r="A109" s="2031"/>
      <c r="B109" s="2034"/>
      <c r="C109" s="931" t="s">
        <v>12</v>
      </c>
      <c r="D109" s="655">
        <v>0</v>
      </c>
      <c r="E109" s="655">
        <v>0</v>
      </c>
      <c r="F109" s="655">
        <v>0</v>
      </c>
      <c r="G109" s="67">
        <f t="shared" si="5"/>
        <v>0</v>
      </c>
      <c r="H109" s="2037"/>
      <c r="I109" s="2040"/>
      <c r="J109" s="2028"/>
      <c r="K109" s="2174"/>
      <c r="L109" s="2150"/>
      <c r="M109" s="2264"/>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36"/>
      <c r="CQ109" s="36"/>
      <c r="CR109" s="36"/>
      <c r="CS109" s="36"/>
      <c r="CT109" s="36"/>
      <c r="CU109" s="36"/>
      <c r="CV109" s="36"/>
      <c r="CW109" s="36"/>
      <c r="CX109" s="36"/>
      <c r="CY109" s="36"/>
      <c r="CZ109" s="36"/>
      <c r="DA109" s="36"/>
      <c r="DB109" s="36"/>
      <c r="DC109" s="36"/>
      <c r="DD109" s="36"/>
      <c r="DE109" s="36"/>
      <c r="DF109" s="36"/>
      <c r="DG109" s="36"/>
      <c r="DH109" s="36"/>
      <c r="DI109" s="36"/>
      <c r="DJ109" s="36"/>
      <c r="DK109" s="36"/>
      <c r="DL109" s="36"/>
      <c r="DM109" s="36"/>
      <c r="DN109" s="36"/>
      <c r="DO109" s="36"/>
      <c r="DP109" s="36"/>
      <c r="DQ109" s="36"/>
      <c r="DR109" s="36"/>
      <c r="DS109" s="36"/>
      <c r="DT109" s="36"/>
      <c r="DU109" s="36"/>
      <c r="DV109" s="36"/>
      <c r="DW109" s="36"/>
      <c r="DX109" s="36"/>
      <c r="DY109" s="36"/>
      <c r="DZ109" s="36"/>
    </row>
    <row r="110" spans="1:130" s="372" customFormat="1" ht="22.5" customHeight="1">
      <c r="A110" s="2029" t="s">
        <v>196</v>
      </c>
      <c r="B110" s="2032" t="s">
        <v>2918</v>
      </c>
      <c r="C110" s="931" t="s">
        <v>8</v>
      </c>
      <c r="D110" s="107">
        <f>SUM(D111:D114)</f>
        <v>67599.999660000001</v>
      </c>
      <c r="E110" s="107">
        <f>SUM(E111:E114)</f>
        <v>67600</v>
      </c>
      <c r="F110" s="107">
        <f>SUM(F111:F114)</f>
        <v>67600</v>
      </c>
      <c r="G110" s="67">
        <f t="shared" si="5"/>
        <v>1.0000000050295859</v>
      </c>
      <c r="H110" s="2035" t="s">
        <v>2849</v>
      </c>
      <c r="I110" s="2169" t="s">
        <v>3491</v>
      </c>
      <c r="J110" s="2046" t="s">
        <v>3384</v>
      </c>
      <c r="K110" s="2045" t="s">
        <v>2799</v>
      </c>
      <c r="L110" s="2052"/>
      <c r="M110" s="2023">
        <v>823</v>
      </c>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c r="CB110" s="36"/>
      <c r="CC110" s="36"/>
      <c r="CD110" s="36"/>
      <c r="CE110" s="36"/>
      <c r="CF110" s="36"/>
      <c r="CG110" s="36"/>
      <c r="CH110" s="36"/>
      <c r="CI110" s="36"/>
      <c r="CJ110" s="36"/>
      <c r="CK110" s="36"/>
      <c r="CL110" s="36"/>
      <c r="CM110" s="36"/>
      <c r="CN110" s="36"/>
      <c r="CO110" s="36"/>
      <c r="CP110" s="36"/>
      <c r="CQ110" s="36"/>
      <c r="CR110" s="36"/>
      <c r="CS110" s="36"/>
      <c r="CT110" s="36"/>
      <c r="CU110" s="36"/>
      <c r="CV110" s="36"/>
      <c r="CW110" s="36"/>
      <c r="CX110" s="36"/>
      <c r="CY110" s="36"/>
      <c r="CZ110" s="36"/>
      <c r="DA110" s="36"/>
      <c r="DB110" s="36"/>
      <c r="DC110" s="36"/>
      <c r="DD110" s="36"/>
      <c r="DE110" s="36"/>
      <c r="DF110" s="36"/>
      <c r="DG110" s="36"/>
      <c r="DH110" s="36"/>
      <c r="DI110" s="36"/>
      <c r="DJ110" s="36"/>
      <c r="DK110" s="36"/>
      <c r="DL110" s="36"/>
      <c r="DM110" s="36"/>
      <c r="DN110" s="36"/>
      <c r="DO110" s="36"/>
      <c r="DP110" s="36"/>
      <c r="DQ110" s="36"/>
      <c r="DR110" s="36"/>
      <c r="DS110" s="36"/>
      <c r="DT110" s="36"/>
      <c r="DU110" s="36"/>
      <c r="DV110" s="36"/>
      <c r="DW110" s="36"/>
      <c r="DX110" s="36"/>
      <c r="DY110" s="36"/>
      <c r="DZ110" s="36"/>
    </row>
    <row r="111" spans="1:130" s="372" customFormat="1" ht="23.25" customHeight="1">
      <c r="A111" s="2030"/>
      <c r="B111" s="2033"/>
      <c r="C111" s="931" t="s">
        <v>9</v>
      </c>
      <c r="D111" s="110">
        <f>НОВЫЙ!F194</f>
        <v>67599.999660000001</v>
      </c>
      <c r="E111" s="110">
        <f>программа!P164</f>
        <v>67600</v>
      </c>
      <c r="F111" s="110">
        <f>E111</f>
        <v>67600</v>
      </c>
      <c r="G111" s="67">
        <f t="shared" si="5"/>
        <v>1.0000000050295859</v>
      </c>
      <c r="H111" s="2036"/>
      <c r="I111" s="2183"/>
      <c r="J111" s="2047"/>
      <c r="K111" s="2021"/>
      <c r="L111" s="2053"/>
      <c r="M111" s="2024"/>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c r="CB111" s="36"/>
      <c r="CC111" s="36"/>
      <c r="CD111" s="36"/>
      <c r="CE111" s="36"/>
      <c r="CF111" s="36"/>
      <c r="CG111" s="36"/>
      <c r="CH111" s="36"/>
      <c r="CI111" s="36"/>
      <c r="CJ111" s="36"/>
      <c r="CK111" s="36"/>
      <c r="CL111" s="36"/>
      <c r="CM111" s="36"/>
      <c r="CN111" s="36"/>
      <c r="CO111" s="36"/>
      <c r="CP111" s="36"/>
      <c r="CQ111" s="36"/>
      <c r="CR111" s="36"/>
      <c r="CS111" s="36"/>
      <c r="CT111" s="36"/>
      <c r="CU111" s="36"/>
      <c r="CV111" s="36"/>
      <c r="CW111" s="36"/>
      <c r="CX111" s="36"/>
      <c r="CY111" s="36"/>
      <c r="CZ111" s="36"/>
      <c r="DA111" s="36"/>
      <c r="DB111" s="36"/>
      <c r="DC111" s="36"/>
      <c r="DD111" s="36"/>
      <c r="DE111" s="36"/>
      <c r="DF111" s="36"/>
      <c r="DG111" s="36"/>
      <c r="DH111" s="36"/>
      <c r="DI111" s="36"/>
      <c r="DJ111" s="36"/>
      <c r="DK111" s="36"/>
      <c r="DL111" s="36"/>
      <c r="DM111" s="36"/>
      <c r="DN111" s="36"/>
      <c r="DO111" s="36"/>
      <c r="DP111" s="36"/>
      <c r="DQ111" s="36"/>
      <c r="DR111" s="36"/>
      <c r="DS111" s="36"/>
      <c r="DT111" s="36"/>
      <c r="DU111" s="36"/>
      <c r="DV111" s="36"/>
      <c r="DW111" s="36"/>
      <c r="DX111" s="36"/>
      <c r="DY111" s="36"/>
      <c r="DZ111" s="36"/>
    </row>
    <row r="112" spans="1:130" s="372" customFormat="1" ht="24" customHeight="1">
      <c r="A112" s="2030"/>
      <c r="B112" s="2033"/>
      <c r="C112" s="931" t="s">
        <v>10</v>
      </c>
      <c r="D112" s="655">
        <v>0</v>
      </c>
      <c r="E112" s="655">
        <v>0</v>
      </c>
      <c r="F112" s="655">
        <v>0</v>
      </c>
      <c r="G112" s="67">
        <f t="shared" si="5"/>
        <v>0</v>
      </c>
      <c r="H112" s="2036"/>
      <c r="I112" s="2183"/>
      <c r="J112" s="2047"/>
      <c r="K112" s="2021"/>
      <c r="L112" s="2053"/>
      <c r="M112" s="2024"/>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c r="DG112" s="36"/>
      <c r="DH112" s="36"/>
      <c r="DI112" s="36"/>
      <c r="DJ112" s="36"/>
      <c r="DK112" s="36"/>
      <c r="DL112" s="36"/>
      <c r="DM112" s="36"/>
      <c r="DN112" s="36"/>
      <c r="DO112" s="36"/>
      <c r="DP112" s="36"/>
      <c r="DQ112" s="36"/>
      <c r="DR112" s="36"/>
      <c r="DS112" s="36"/>
      <c r="DT112" s="36"/>
      <c r="DU112" s="36"/>
      <c r="DV112" s="36"/>
      <c r="DW112" s="36"/>
      <c r="DX112" s="36"/>
      <c r="DY112" s="36"/>
      <c r="DZ112" s="36"/>
    </row>
    <row r="113" spans="1:130" s="372" customFormat="1" ht="24" customHeight="1">
      <c r="A113" s="2030"/>
      <c r="B113" s="2033"/>
      <c r="C113" s="931" t="s">
        <v>11</v>
      </c>
      <c r="D113" s="655">
        <v>0</v>
      </c>
      <c r="E113" s="655">
        <v>0</v>
      </c>
      <c r="F113" s="655">
        <v>0</v>
      </c>
      <c r="G113" s="67">
        <f t="shared" si="5"/>
        <v>0</v>
      </c>
      <c r="H113" s="2036"/>
      <c r="I113" s="2183"/>
      <c r="J113" s="2047"/>
      <c r="K113" s="2021"/>
      <c r="L113" s="2053"/>
      <c r="M113" s="2024"/>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c r="CB113" s="36"/>
      <c r="CC113" s="36"/>
      <c r="CD113" s="36"/>
      <c r="CE113" s="36"/>
      <c r="CF113" s="36"/>
      <c r="CG113" s="36"/>
      <c r="CH113" s="36"/>
      <c r="CI113" s="36"/>
      <c r="CJ113" s="36"/>
      <c r="CK113" s="36"/>
      <c r="CL113" s="36"/>
      <c r="CM113" s="36"/>
      <c r="CN113" s="36"/>
      <c r="CO113" s="36"/>
      <c r="CP113" s="36"/>
      <c r="CQ113" s="36"/>
      <c r="CR113" s="36"/>
      <c r="CS113" s="36"/>
      <c r="CT113" s="36"/>
      <c r="CU113" s="36"/>
      <c r="CV113" s="36"/>
      <c r="CW113" s="36"/>
      <c r="CX113" s="36"/>
      <c r="CY113" s="36"/>
      <c r="CZ113" s="36"/>
      <c r="DA113" s="36"/>
      <c r="DB113" s="36"/>
      <c r="DC113" s="36"/>
      <c r="DD113" s="36"/>
      <c r="DE113" s="36"/>
      <c r="DF113" s="36"/>
      <c r="DG113" s="36"/>
      <c r="DH113" s="36"/>
      <c r="DI113" s="36"/>
      <c r="DJ113" s="36"/>
      <c r="DK113" s="36"/>
      <c r="DL113" s="36"/>
      <c r="DM113" s="36"/>
      <c r="DN113" s="36"/>
      <c r="DO113" s="36"/>
      <c r="DP113" s="36"/>
      <c r="DQ113" s="36"/>
      <c r="DR113" s="36"/>
      <c r="DS113" s="36"/>
      <c r="DT113" s="36"/>
      <c r="DU113" s="36"/>
      <c r="DV113" s="36"/>
      <c r="DW113" s="36"/>
      <c r="DX113" s="36"/>
      <c r="DY113" s="36"/>
      <c r="DZ113" s="36"/>
    </row>
    <row r="114" spans="1:130" s="372" customFormat="1" ht="25.5" customHeight="1">
      <c r="A114" s="2031"/>
      <c r="B114" s="2034"/>
      <c r="C114" s="931" t="s">
        <v>12</v>
      </c>
      <c r="D114" s="655">
        <v>0</v>
      </c>
      <c r="E114" s="655">
        <v>0</v>
      </c>
      <c r="F114" s="655">
        <v>0</v>
      </c>
      <c r="G114" s="67">
        <f t="shared" si="5"/>
        <v>0</v>
      </c>
      <c r="H114" s="2037"/>
      <c r="I114" s="2184"/>
      <c r="J114" s="2048"/>
      <c r="K114" s="2021"/>
      <c r="L114" s="2054"/>
      <c r="M114" s="2025"/>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c r="CB114" s="36"/>
      <c r="CC114" s="36"/>
      <c r="CD114" s="36"/>
      <c r="CE114" s="36"/>
      <c r="CF114" s="36"/>
      <c r="CG114" s="36"/>
      <c r="CH114" s="36"/>
      <c r="CI114" s="36"/>
      <c r="CJ114" s="36"/>
      <c r="CK114" s="36"/>
      <c r="CL114" s="36"/>
      <c r="CM114" s="36"/>
      <c r="CN114" s="36"/>
      <c r="CO114" s="36"/>
      <c r="CP114" s="36"/>
      <c r="CQ114" s="36"/>
      <c r="CR114" s="36"/>
      <c r="CS114" s="36"/>
      <c r="CT114" s="36"/>
      <c r="CU114" s="36"/>
      <c r="CV114" s="36"/>
      <c r="CW114" s="36"/>
      <c r="CX114" s="36"/>
      <c r="CY114" s="36"/>
      <c r="CZ114" s="36"/>
      <c r="DA114" s="36"/>
      <c r="DB114" s="36"/>
      <c r="DC114" s="36"/>
      <c r="DD114" s="36"/>
      <c r="DE114" s="36"/>
      <c r="DF114" s="36"/>
      <c r="DG114" s="36"/>
      <c r="DH114" s="36"/>
      <c r="DI114" s="36"/>
      <c r="DJ114" s="36"/>
      <c r="DK114" s="36"/>
      <c r="DL114" s="36"/>
      <c r="DM114" s="36"/>
      <c r="DN114" s="36"/>
      <c r="DO114" s="36"/>
      <c r="DP114" s="36"/>
      <c r="DQ114" s="36"/>
      <c r="DR114" s="36"/>
      <c r="DS114" s="36"/>
      <c r="DT114" s="36"/>
      <c r="DU114" s="36"/>
      <c r="DV114" s="36"/>
      <c r="DW114" s="36"/>
      <c r="DX114" s="36"/>
      <c r="DY114" s="36"/>
      <c r="DZ114" s="36"/>
    </row>
    <row r="115" spans="1:130" s="372" customFormat="1" ht="15" customHeight="1">
      <c r="A115" s="2029" t="s">
        <v>197</v>
      </c>
      <c r="B115" s="2032" t="s">
        <v>152</v>
      </c>
      <c r="C115" s="931" t="s">
        <v>8</v>
      </c>
      <c r="D115" s="1894">
        <f>SUM(D116:D119)</f>
        <v>32.07</v>
      </c>
      <c r="E115" s="107">
        <f>SUM(E116:E119)</f>
        <v>30.920999999999999</v>
      </c>
      <c r="F115" s="107">
        <f>SUM(F116:F119)</f>
        <v>30.920999999999999</v>
      </c>
      <c r="G115" s="67">
        <f t="shared" si="5"/>
        <v>0.96417212347988768</v>
      </c>
      <c r="H115" s="2035" t="s">
        <v>2813</v>
      </c>
      <c r="I115" s="2045" t="s">
        <v>3493</v>
      </c>
      <c r="J115" s="2046" t="s">
        <v>3384</v>
      </c>
      <c r="K115" s="2055" t="s">
        <v>3490</v>
      </c>
      <c r="L115" s="2052" t="s">
        <v>5319</v>
      </c>
      <c r="M115" s="2023">
        <v>823</v>
      </c>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c r="CB115" s="36"/>
      <c r="CC115" s="36"/>
      <c r="CD115" s="36"/>
      <c r="CE115" s="36"/>
      <c r="CF115" s="36"/>
      <c r="CG115" s="36"/>
      <c r="CH115" s="36"/>
      <c r="CI115" s="36"/>
      <c r="CJ115" s="36"/>
      <c r="CK115" s="36"/>
      <c r="CL115" s="36"/>
      <c r="CM115" s="36"/>
      <c r="CN115" s="36"/>
      <c r="CO115" s="36"/>
      <c r="CP115" s="36"/>
      <c r="CQ115" s="36"/>
      <c r="CR115" s="36"/>
      <c r="CS115" s="36"/>
      <c r="CT115" s="36"/>
      <c r="CU115" s="36"/>
      <c r="CV115" s="36"/>
      <c r="CW115" s="36"/>
      <c r="CX115" s="36"/>
      <c r="CY115" s="36"/>
      <c r="CZ115" s="36"/>
      <c r="DA115" s="36"/>
      <c r="DB115" s="36"/>
      <c r="DC115" s="36"/>
      <c r="DD115" s="36"/>
      <c r="DE115" s="36"/>
      <c r="DF115" s="36"/>
      <c r="DG115" s="36"/>
      <c r="DH115" s="36"/>
      <c r="DI115" s="36"/>
      <c r="DJ115" s="36"/>
      <c r="DK115" s="36"/>
      <c r="DL115" s="36"/>
      <c r="DM115" s="36"/>
      <c r="DN115" s="36"/>
      <c r="DO115" s="36"/>
      <c r="DP115" s="36"/>
      <c r="DQ115" s="36"/>
      <c r="DR115" s="36"/>
      <c r="DS115" s="36"/>
      <c r="DT115" s="36"/>
      <c r="DU115" s="36"/>
      <c r="DV115" s="36"/>
      <c r="DW115" s="36"/>
      <c r="DX115" s="36"/>
      <c r="DY115" s="36"/>
      <c r="DZ115" s="36"/>
    </row>
    <row r="116" spans="1:130" s="372" customFormat="1" ht="15" customHeight="1">
      <c r="A116" s="2030"/>
      <c r="B116" s="2033"/>
      <c r="C116" s="931" t="s">
        <v>9</v>
      </c>
      <c r="D116" s="1895">
        <f>НОВЫЙ!F200</f>
        <v>32.07</v>
      </c>
      <c r="E116" s="655">
        <f>'2023_КАССА'!G50</f>
        <v>30.920999999999999</v>
      </c>
      <c r="F116" s="655">
        <f>E116</f>
        <v>30.920999999999999</v>
      </c>
      <c r="G116" s="67">
        <f t="shared" si="5"/>
        <v>0.96417212347988768</v>
      </c>
      <c r="H116" s="2036"/>
      <c r="I116" s="2021"/>
      <c r="J116" s="2047"/>
      <c r="K116" s="2055"/>
      <c r="L116" s="2053"/>
      <c r="M116" s="2024"/>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36"/>
      <c r="CY116" s="36"/>
      <c r="CZ116" s="36"/>
      <c r="DA116" s="36"/>
      <c r="DB116" s="36"/>
      <c r="DC116" s="36"/>
      <c r="DD116" s="36"/>
      <c r="DE116" s="36"/>
      <c r="DF116" s="36"/>
      <c r="DG116" s="36"/>
      <c r="DH116" s="36"/>
      <c r="DI116" s="36"/>
      <c r="DJ116" s="36"/>
      <c r="DK116" s="36"/>
      <c r="DL116" s="36"/>
      <c r="DM116" s="36"/>
      <c r="DN116" s="36"/>
      <c r="DO116" s="36"/>
      <c r="DP116" s="36"/>
      <c r="DQ116" s="36"/>
      <c r="DR116" s="36"/>
      <c r="DS116" s="36"/>
      <c r="DT116" s="36"/>
      <c r="DU116" s="36"/>
      <c r="DV116" s="36"/>
      <c r="DW116" s="36"/>
      <c r="DX116" s="36"/>
      <c r="DY116" s="36"/>
      <c r="DZ116" s="36"/>
    </row>
    <row r="117" spans="1:130" s="372" customFormat="1" ht="15" customHeight="1">
      <c r="A117" s="2030"/>
      <c r="B117" s="2033"/>
      <c r="C117" s="931" t="s">
        <v>10</v>
      </c>
      <c r="D117" s="655">
        <v>0</v>
      </c>
      <c r="E117" s="655">
        <v>0</v>
      </c>
      <c r="F117" s="655">
        <v>0</v>
      </c>
      <c r="G117" s="67">
        <f t="shared" si="5"/>
        <v>0</v>
      </c>
      <c r="H117" s="2036"/>
      <c r="I117" s="2021"/>
      <c r="J117" s="2047"/>
      <c r="K117" s="2055"/>
      <c r="L117" s="2053"/>
      <c r="M117" s="2024"/>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c r="CB117" s="36"/>
      <c r="CC117" s="36"/>
      <c r="CD117" s="36"/>
      <c r="CE117" s="36"/>
      <c r="CF117" s="36"/>
      <c r="CG117" s="36"/>
      <c r="CH117" s="36"/>
      <c r="CI117" s="36"/>
      <c r="CJ117" s="36"/>
      <c r="CK117" s="36"/>
      <c r="CL117" s="36"/>
      <c r="CM117" s="36"/>
      <c r="CN117" s="36"/>
      <c r="CO117" s="36"/>
      <c r="CP117" s="36"/>
      <c r="CQ117" s="36"/>
      <c r="CR117" s="36"/>
      <c r="CS117" s="36"/>
      <c r="CT117" s="36"/>
      <c r="CU117" s="36"/>
      <c r="CV117" s="36"/>
      <c r="CW117" s="36"/>
      <c r="CX117" s="36"/>
      <c r="CY117" s="36"/>
      <c r="CZ117" s="36"/>
      <c r="DA117" s="36"/>
      <c r="DB117" s="36"/>
      <c r="DC117" s="36"/>
      <c r="DD117" s="36"/>
      <c r="DE117" s="36"/>
      <c r="DF117" s="36"/>
      <c r="DG117" s="36"/>
      <c r="DH117" s="36"/>
      <c r="DI117" s="36"/>
      <c r="DJ117" s="36"/>
      <c r="DK117" s="36"/>
      <c r="DL117" s="36"/>
      <c r="DM117" s="36"/>
      <c r="DN117" s="36"/>
      <c r="DO117" s="36"/>
      <c r="DP117" s="36"/>
      <c r="DQ117" s="36"/>
      <c r="DR117" s="36"/>
      <c r="DS117" s="36"/>
      <c r="DT117" s="36"/>
      <c r="DU117" s="36"/>
      <c r="DV117" s="36"/>
      <c r="DW117" s="36"/>
      <c r="DX117" s="36"/>
      <c r="DY117" s="36"/>
      <c r="DZ117" s="36"/>
    </row>
    <row r="118" spans="1:130" s="372" customFormat="1" ht="15" customHeight="1">
      <c r="A118" s="2030"/>
      <c r="B118" s="2033"/>
      <c r="C118" s="931" t="s">
        <v>11</v>
      </c>
      <c r="D118" s="655">
        <v>0</v>
      </c>
      <c r="E118" s="655">
        <v>0</v>
      </c>
      <c r="F118" s="655">
        <v>0</v>
      </c>
      <c r="G118" s="67">
        <f t="shared" si="5"/>
        <v>0</v>
      </c>
      <c r="H118" s="2036"/>
      <c r="I118" s="2021"/>
      <c r="J118" s="2047"/>
      <c r="K118" s="2055"/>
      <c r="L118" s="2053"/>
      <c r="M118" s="2024"/>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c r="CB118" s="36"/>
      <c r="CC118" s="36"/>
      <c r="CD118" s="36"/>
      <c r="CE118" s="36"/>
      <c r="CF118" s="36"/>
      <c r="CG118" s="36"/>
      <c r="CH118" s="36"/>
      <c r="CI118" s="36"/>
      <c r="CJ118" s="36"/>
      <c r="CK118" s="36"/>
      <c r="CL118" s="36"/>
      <c r="CM118" s="36"/>
      <c r="CN118" s="36"/>
      <c r="CO118" s="36"/>
      <c r="CP118" s="36"/>
      <c r="CQ118" s="36"/>
      <c r="CR118" s="36"/>
      <c r="CS118" s="36"/>
      <c r="CT118" s="36"/>
      <c r="CU118" s="36"/>
      <c r="CV118" s="36"/>
      <c r="CW118" s="36"/>
      <c r="CX118" s="36"/>
      <c r="CY118" s="36"/>
      <c r="CZ118" s="36"/>
      <c r="DA118" s="36"/>
      <c r="DB118" s="36"/>
      <c r="DC118" s="36"/>
      <c r="DD118" s="36"/>
      <c r="DE118" s="36"/>
      <c r="DF118" s="36"/>
      <c r="DG118" s="36"/>
      <c r="DH118" s="36"/>
      <c r="DI118" s="36"/>
      <c r="DJ118" s="36"/>
      <c r="DK118" s="36"/>
      <c r="DL118" s="36"/>
      <c r="DM118" s="36"/>
      <c r="DN118" s="36"/>
      <c r="DO118" s="36"/>
      <c r="DP118" s="36"/>
      <c r="DQ118" s="36"/>
      <c r="DR118" s="36"/>
      <c r="DS118" s="36"/>
      <c r="DT118" s="36"/>
      <c r="DU118" s="36"/>
      <c r="DV118" s="36"/>
      <c r="DW118" s="36"/>
      <c r="DX118" s="36"/>
      <c r="DY118" s="36"/>
      <c r="DZ118" s="36"/>
    </row>
    <row r="119" spans="1:130" s="372" customFormat="1" ht="27.75" customHeight="1">
      <c r="A119" s="2031"/>
      <c r="B119" s="2034"/>
      <c r="C119" s="931" t="s">
        <v>12</v>
      </c>
      <c r="D119" s="655">
        <v>0</v>
      </c>
      <c r="E119" s="655">
        <v>0</v>
      </c>
      <c r="F119" s="655">
        <v>0</v>
      </c>
      <c r="G119" s="67">
        <f t="shared" si="5"/>
        <v>0</v>
      </c>
      <c r="H119" s="2037"/>
      <c r="I119" s="2022"/>
      <c r="J119" s="2048"/>
      <c r="K119" s="2055"/>
      <c r="L119" s="2054"/>
      <c r="M119" s="2025"/>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c r="CB119" s="36"/>
      <c r="CC119" s="36"/>
      <c r="CD119" s="36"/>
      <c r="CE119" s="36"/>
      <c r="CF119" s="36"/>
      <c r="CG119" s="36"/>
      <c r="CH119" s="36"/>
      <c r="CI119" s="36"/>
      <c r="CJ119" s="36"/>
      <c r="CK119" s="36"/>
      <c r="CL119" s="36"/>
      <c r="CM119" s="36"/>
      <c r="CN119" s="36"/>
      <c r="CO119" s="36"/>
      <c r="CP119" s="36"/>
      <c r="CQ119" s="36"/>
      <c r="CR119" s="36"/>
      <c r="CS119" s="36"/>
      <c r="CT119" s="36"/>
      <c r="CU119" s="36"/>
      <c r="CV119" s="36"/>
      <c r="CW119" s="36"/>
      <c r="CX119" s="36"/>
      <c r="CY119" s="36"/>
      <c r="CZ119" s="36"/>
      <c r="DA119" s="36"/>
      <c r="DB119" s="36"/>
      <c r="DC119" s="36"/>
      <c r="DD119" s="36"/>
      <c r="DE119" s="36"/>
      <c r="DF119" s="36"/>
      <c r="DG119" s="36"/>
      <c r="DH119" s="36"/>
      <c r="DI119" s="36"/>
      <c r="DJ119" s="36"/>
      <c r="DK119" s="36"/>
      <c r="DL119" s="36"/>
      <c r="DM119" s="36"/>
      <c r="DN119" s="36"/>
      <c r="DO119" s="36"/>
      <c r="DP119" s="36"/>
      <c r="DQ119" s="36"/>
      <c r="DR119" s="36"/>
      <c r="DS119" s="36"/>
      <c r="DT119" s="36"/>
      <c r="DU119" s="36"/>
      <c r="DV119" s="36"/>
      <c r="DW119" s="36"/>
      <c r="DX119" s="36"/>
      <c r="DY119" s="36"/>
      <c r="DZ119" s="36"/>
    </row>
    <row r="120" spans="1:130" s="372" customFormat="1" ht="15" customHeight="1">
      <c r="A120" s="2029" t="s">
        <v>198</v>
      </c>
      <c r="B120" s="2032" t="s">
        <v>22</v>
      </c>
      <c r="C120" s="931" t="s">
        <v>8</v>
      </c>
      <c r="D120" s="107">
        <f>SUM(D121:D124)</f>
        <v>905061.93929999997</v>
      </c>
      <c r="E120" s="655">
        <f>SUM(E121:E124)</f>
        <v>905061.93964</v>
      </c>
      <c r="F120" s="655">
        <f>SUM(F121:F124)</f>
        <v>905061.93964</v>
      </c>
      <c r="G120" s="67">
        <f t="shared" si="5"/>
        <v>1.0000000003756648</v>
      </c>
      <c r="H120" s="2035" t="s">
        <v>2815</v>
      </c>
      <c r="I120" s="2052" t="s">
        <v>5442</v>
      </c>
      <c r="J120" s="2046" t="s">
        <v>3384</v>
      </c>
      <c r="K120" s="2045" t="s">
        <v>3492</v>
      </c>
      <c r="L120" s="2052"/>
      <c r="M120" s="2023">
        <v>823</v>
      </c>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c r="CB120" s="36"/>
      <c r="CC120" s="36"/>
      <c r="CD120" s="36"/>
      <c r="CE120" s="36"/>
      <c r="CF120" s="36"/>
      <c r="CG120" s="36"/>
      <c r="CH120" s="36"/>
      <c r="CI120" s="36"/>
      <c r="CJ120" s="36"/>
      <c r="CK120" s="36"/>
      <c r="CL120" s="36"/>
      <c r="CM120" s="36"/>
      <c r="CN120" s="36"/>
      <c r="CO120" s="36"/>
      <c r="CP120" s="36"/>
      <c r="CQ120" s="36"/>
      <c r="CR120" s="36"/>
      <c r="CS120" s="36"/>
      <c r="CT120" s="36"/>
      <c r="CU120" s="36"/>
      <c r="CV120" s="36"/>
      <c r="CW120" s="36"/>
      <c r="CX120" s="36"/>
      <c r="CY120" s="36"/>
      <c r="CZ120" s="36"/>
      <c r="DA120" s="36"/>
      <c r="DB120" s="36"/>
      <c r="DC120" s="36"/>
      <c r="DD120" s="36"/>
      <c r="DE120" s="36"/>
      <c r="DF120" s="36"/>
      <c r="DG120" s="36"/>
      <c r="DH120" s="36"/>
      <c r="DI120" s="36"/>
      <c r="DJ120" s="36"/>
      <c r="DK120" s="36"/>
      <c r="DL120" s="36"/>
      <c r="DM120" s="36"/>
      <c r="DN120" s="36"/>
      <c r="DO120" s="36"/>
      <c r="DP120" s="36"/>
      <c r="DQ120" s="36"/>
      <c r="DR120" s="36"/>
      <c r="DS120" s="36"/>
      <c r="DT120" s="36"/>
      <c r="DU120" s="36"/>
      <c r="DV120" s="36"/>
      <c r="DW120" s="36"/>
      <c r="DX120" s="36"/>
      <c r="DY120" s="36"/>
      <c r="DZ120" s="36"/>
    </row>
    <row r="121" spans="1:130" s="372" customFormat="1" ht="15" customHeight="1">
      <c r="A121" s="2030"/>
      <c r="B121" s="2033"/>
      <c r="C121" s="931" t="s">
        <v>9</v>
      </c>
      <c r="D121" s="110">
        <f>НОВЫЙ!F206</f>
        <v>905061.93929999997</v>
      </c>
      <c r="E121" s="655">
        <f>'Документ (2)'!S120</f>
        <v>905061.93964</v>
      </c>
      <c r="F121" s="655">
        <f>E121</f>
        <v>905061.93964</v>
      </c>
      <c r="G121" s="67">
        <f t="shared" si="5"/>
        <v>1.0000000003756648</v>
      </c>
      <c r="H121" s="2036"/>
      <c r="I121" s="2053"/>
      <c r="J121" s="2047"/>
      <c r="K121" s="2021"/>
      <c r="L121" s="2053"/>
      <c r="M121" s="2024"/>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c r="CB121" s="36"/>
      <c r="CC121" s="36"/>
      <c r="CD121" s="36"/>
      <c r="CE121" s="36"/>
      <c r="CF121" s="36"/>
      <c r="CG121" s="36"/>
      <c r="CH121" s="36"/>
      <c r="CI121" s="36"/>
      <c r="CJ121" s="36"/>
      <c r="CK121" s="36"/>
      <c r="CL121" s="36"/>
      <c r="CM121" s="36"/>
      <c r="CN121" s="36"/>
      <c r="CO121" s="36"/>
      <c r="CP121" s="36"/>
      <c r="CQ121" s="36"/>
      <c r="CR121" s="36"/>
      <c r="CS121" s="36"/>
      <c r="CT121" s="36"/>
      <c r="CU121" s="36"/>
      <c r="CV121" s="36"/>
      <c r="CW121" s="36"/>
      <c r="CX121" s="36"/>
      <c r="CY121" s="36"/>
      <c r="CZ121" s="36"/>
      <c r="DA121" s="36"/>
      <c r="DB121" s="36"/>
      <c r="DC121" s="36"/>
      <c r="DD121" s="36"/>
      <c r="DE121" s="36"/>
      <c r="DF121" s="36"/>
      <c r="DG121" s="36"/>
      <c r="DH121" s="36"/>
      <c r="DI121" s="36"/>
      <c r="DJ121" s="36"/>
      <c r="DK121" s="36"/>
      <c r="DL121" s="36"/>
      <c r="DM121" s="36"/>
      <c r="DN121" s="36"/>
      <c r="DO121" s="36"/>
      <c r="DP121" s="36"/>
      <c r="DQ121" s="36"/>
      <c r="DR121" s="36"/>
      <c r="DS121" s="36"/>
      <c r="DT121" s="36"/>
      <c r="DU121" s="36"/>
      <c r="DV121" s="36"/>
      <c r="DW121" s="36"/>
      <c r="DX121" s="36"/>
      <c r="DY121" s="36"/>
      <c r="DZ121" s="36"/>
    </row>
    <row r="122" spans="1:130" s="372" customFormat="1" ht="15" customHeight="1">
      <c r="A122" s="2030"/>
      <c r="B122" s="2033"/>
      <c r="C122" s="931" t="s">
        <v>10</v>
      </c>
      <c r="D122" s="655">
        <v>0</v>
      </c>
      <c r="E122" s="655">
        <v>0</v>
      </c>
      <c r="F122" s="655">
        <v>0</v>
      </c>
      <c r="G122" s="67">
        <f t="shared" si="5"/>
        <v>0</v>
      </c>
      <c r="H122" s="2036"/>
      <c r="I122" s="2053"/>
      <c r="J122" s="2047"/>
      <c r="K122" s="2021"/>
      <c r="L122" s="2053"/>
      <c r="M122" s="2024"/>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c r="CB122" s="36"/>
      <c r="CC122" s="36"/>
      <c r="CD122" s="36"/>
      <c r="CE122" s="36"/>
      <c r="CF122" s="36"/>
      <c r="CG122" s="36"/>
      <c r="CH122" s="36"/>
      <c r="CI122" s="36"/>
      <c r="CJ122" s="36"/>
      <c r="CK122" s="36"/>
      <c r="CL122" s="36"/>
      <c r="CM122" s="36"/>
      <c r="CN122" s="36"/>
      <c r="CO122" s="36"/>
      <c r="CP122" s="36"/>
      <c r="CQ122" s="36"/>
      <c r="CR122" s="36"/>
      <c r="CS122" s="36"/>
      <c r="CT122" s="36"/>
      <c r="CU122" s="36"/>
      <c r="CV122" s="36"/>
      <c r="CW122" s="36"/>
      <c r="CX122" s="36"/>
      <c r="CY122" s="36"/>
      <c r="CZ122" s="36"/>
      <c r="DA122" s="36"/>
      <c r="DB122" s="36"/>
      <c r="DC122" s="36"/>
      <c r="DD122" s="36"/>
      <c r="DE122" s="36"/>
      <c r="DF122" s="36"/>
      <c r="DG122" s="36"/>
      <c r="DH122" s="36"/>
      <c r="DI122" s="36"/>
      <c r="DJ122" s="36"/>
      <c r="DK122" s="36"/>
      <c r="DL122" s="36"/>
      <c r="DM122" s="36"/>
      <c r="DN122" s="36"/>
      <c r="DO122" s="36"/>
      <c r="DP122" s="36"/>
      <c r="DQ122" s="36"/>
      <c r="DR122" s="36"/>
      <c r="DS122" s="36"/>
      <c r="DT122" s="36"/>
      <c r="DU122" s="36"/>
      <c r="DV122" s="36"/>
      <c r="DW122" s="36"/>
      <c r="DX122" s="36"/>
      <c r="DY122" s="36"/>
      <c r="DZ122" s="36"/>
    </row>
    <row r="123" spans="1:130" s="372" customFormat="1" ht="15" customHeight="1">
      <c r="A123" s="2030"/>
      <c r="B123" s="2033"/>
      <c r="C123" s="931" t="s">
        <v>11</v>
      </c>
      <c r="D123" s="655">
        <v>0</v>
      </c>
      <c r="E123" s="655">
        <v>0</v>
      </c>
      <c r="F123" s="655">
        <v>0</v>
      </c>
      <c r="G123" s="67">
        <f t="shared" si="5"/>
        <v>0</v>
      </c>
      <c r="H123" s="2036"/>
      <c r="I123" s="2053"/>
      <c r="J123" s="2047"/>
      <c r="K123" s="2021"/>
      <c r="L123" s="2053"/>
      <c r="M123" s="2024"/>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c r="CB123" s="36"/>
      <c r="CC123" s="36"/>
      <c r="CD123" s="36"/>
      <c r="CE123" s="36"/>
      <c r="CF123" s="36"/>
      <c r="CG123" s="36"/>
      <c r="CH123" s="36"/>
      <c r="CI123" s="36"/>
      <c r="CJ123" s="36"/>
      <c r="CK123" s="36"/>
      <c r="CL123" s="36"/>
      <c r="CM123" s="36"/>
      <c r="CN123" s="36"/>
      <c r="CO123" s="36"/>
      <c r="CP123" s="36"/>
      <c r="CQ123" s="36"/>
      <c r="CR123" s="36"/>
      <c r="CS123" s="36"/>
      <c r="CT123" s="36"/>
      <c r="CU123" s="36"/>
      <c r="CV123" s="36"/>
      <c r="CW123" s="36"/>
      <c r="CX123" s="36"/>
      <c r="CY123" s="36"/>
      <c r="CZ123" s="36"/>
      <c r="DA123" s="36"/>
      <c r="DB123" s="36"/>
      <c r="DC123" s="36"/>
      <c r="DD123" s="36"/>
      <c r="DE123" s="36"/>
      <c r="DF123" s="36"/>
      <c r="DG123" s="36"/>
      <c r="DH123" s="36"/>
      <c r="DI123" s="36"/>
      <c r="DJ123" s="36"/>
      <c r="DK123" s="36"/>
      <c r="DL123" s="36"/>
      <c r="DM123" s="36"/>
      <c r="DN123" s="36"/>
      <c r="DO123" s="36"/>
      <c r="DP123" s="36"/>
      <c r="DQ123" s="36"/>
      <c r="DR123" s="36"/>
      <c r="DS123" s="36"/>
      <c r="DT123" s="36"/>
      <c r="DU123" s="36"/>
      <c r="DV123" s="36"/>
      <c r="DW123" s="36"/>
      <c r="DX123" s="36"/>
      <c r="DY123" s="36"/>
      <c r="DZ123" s="36"/>
    </row>
    <row r="124" spans="1:130" s="372" customFormat="1" ht="25.5" customHeight="1">
      <c r="A124" s="2031"/>
      <c r="B124" s="2034"/>
      <c r="C124" s="931" t="s">
        <v>12</v>
      </c>
      <c r="D124" s="655">
        <v>0</v>
      </c>
      <c r="E124" s="655">
        <v>0</v>
      </c>
      <c r="F124" s="655">
        <v>0</v>
      </c>
      <c r="G124" s="67">
        <f t="shared" si="5"/>
        <v>0</v>
      </c>
      <c r="H124" s="2037"/>
      <c r="I124" s="2054"/>
      <c r="J124" s="2048"/>
      <c r="K124" s="2021"/>
      <c r="L124" s="2054"/>
      <c r="M124" s="2025"/>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c r="CB124" s="36"/>
      <c r="CC124" s="36"/>
      <c r="CD124" s="36"/>
      <c r="CE124" s="36"/>
      <c r="CF124" s="36"/>
      <c r="CG124" s="36"/>
      <c r="CH124" s="36"/>
      <c r="CI124" s="36"/>
      <c r="CJ124" s="36"/>
      <c r="CK124" s="36"/>
      <c r="CL124" s="36"/>
      <c r="CM124" s="36"/>
      <c r="CN124" s="36"/>
      <c r="CO124" s="36"/>
      <c r="CP124" s="36"/>
      <c r="CQ124" s="36"/>
      <c r="CR124" s="36"/>
      <c r="CS124" s="36"/>
      <c r="CT124" s="36"/>
      <c r="CU124" s="36"/>
      <c r="CV124" s="36"/>
      <c r="CW124" s="36"/>
      <c r="CX124" s="36"/>
      <c r="CY124" s="36"/>
      <c r="CZ124" s="36"/>
      <c r="DA124" s="36"/>
      <c r="DB124" s="36"/>
      <c r="DC124" s="36"/>
      <c r="DD124" s="36"/>
      <c r="DE124" s="36"/>
      <c r="DF124" s="36"/>
      <c r="DG124" s="36"/>
      <c r="DH124" s="36"/>
      <c r="DI124" s="36"/>
      <c r="DJ124" s="36"/>
      <c r="DK124" s="36"/>
      <c r="DL124" s="36"/>
      <c r="DM124" s="36"/>
      <c r="DN124" s="36"/>
      <c r="DO124" s="36"/>
      <c r="DP124" s="36"/>
      <c r="DQ124" s="36"/>
      <c r="DR124" s="36"/>
      <c r="DS124" s="36"/>
      <c r="DT124" s="36"/>
      <c r="DU124" s="36"/>
      <c r="DV124" s="36"/>
      <c r="DW124" s="36"/>
      <c r="DX124" s="36"/>
      <c r="DY124" s="36"/>
      <c r="DZ124" s="36"/>
    </row>
    <row r="125" spans="1:130" s="372" customFormat="1" ht="15" customHeight="1">
      <c r="A125" s="2029" t="s">
        <v>199</v>
      </c>
      <c r="B125" s="2032" t="s">
        <v>3502</v>
      </c>
      <c r="C125" s="931" t="s">
        <v>8</v>
      </c>
      <c r="D125" s="107">
        <f>SUM(D126:D129)</f>
        <v>6067.2359999999999</v>
      </c>
      <c r="E125" s="107">
        <f>SUM(E126:E129)</f>
        <v>6035.7867699999997</v>
      </c>
      <c r="F125" s="107">
        <f>SUM(F126:F129)</f>
        <v>6035.7867699999997</v>
      </c>
      <c r="G125" s="67">
        <f t="shared" si="5"/>
        <v>0.99481654743609771</v>
      </c>
      <c r="H125" s="2049" t="s">
        <v>3503</v>
      </c>
      <c r="I125" s="2052" t="s">
        <v>3504</v>
      </c>
      <c r="J125" s="2046" t="s">
        <v>3384</v>
      </c>
      <c r="K125" s="2045" t="s">
        <v>3492</v>
      </c>
      <c r="L125" s="2052"/>
      <c r="M125" s="2023">
        <v>823</v>
      </c>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c r="CB125" s="36"/>
      <c r="CC125" s="36"/>
      <c r="CD125" s="36"/>
      <c r="CE125" s="36"/>
      <c r="CF125" s="36"/>
      <c r="CG125" s="36"/>
      <c r="CH125" s="36"/>
      <c r="CI125" s="36"/>
      <c r="CJ125" s="36"/>
      <c r="CK125" s="36"/>
      <c r="CL125" s="36"/>
      <c r="CM125" s="36"/>
      <c r="CN125" s="36"/>
      <c r="CO125" s="36"/>
      <c r="CP125" s="36"/>
      <c r="CQ125" s="36"/>
      <c r="CR125" s="36"/>
      <c r="CS125" s="36"/>
      <c r="CT125" s="36"/>
      <c r="CU125" s="36"/>
      <c r="CV125" s="36"/>
      <c r="CW125" s="36"/>
      <c r="CX125" s="36"/>
      <c r="CY125" s="36"/>
      <c r="CZ125" s="36"/>
      <c r="DA125" s="36"/>
      <c r="DB125" s="36"/>
      <c r="DC125" s="36"/>
      <c r="DD125" s="36"/>
      <c r="DE125" s="36"/>
      <c r="DF125" s="36"/>
      <c r="DG125" s="36"/>
      <c r="DH125" s="36"/>
      <c r="DI125" s="36"/>
      <c r="DJ125" s="36"/>
      <c r="DK125" s="36"/>
      <c r="DL125" s="36"/>
      <c r="DM125" s="36"/>
      <c r="DN125" s="36"/>
      <c r="DO125" s="36"/>
      <c r="DP125" s="36"/>
      <c r="DQ125" s="36"/>
      <c r="DR125" s="36"/>
      <c r="DS125" s="36"/>
      <c r="DT125" s="36"/>
      <c r="DU125" s="36"/>
      <c r="DV125" s="36"/>
      <c r="DW125" s="36"/>
      <c r="DX125" s="36"/>
      <c r="DY125" s="36"/>
      <c r="DZ125" s="36"/>
    </row>
    <row r="126" spans="1:130" s="372" customFormat="1" ht="15" customHeight="1">
      <c r="A126" s="2030"/>
      <c r="B126" s="2033"/>
      <c r="C126" s="931" t="s">
        <v>9</v>
      </c>
      <c r="D126" s="110">
        <f>НОВЫЙ!F212</f>
        <v>6067.2359999999999</v>
      </c>
      <c r="E126" s="655">
        <f>'2023'!H68</f>
        <v>6035.7867699999997</v>
      </c>
      <c r="F126" s="655">
        <f>E126</f>
        <v>6035.7867699999997</v>
      </c>
      <c r="G126" s="67">
        <f t="shared" si="5"/>
        <v>0.99481654743609771</v>
      </c>
      <c r="H126" s="2050"/>
      <c r="I126" s="2053"/>
      <c r="J126" s="2047"/>
      <c r="K126" s="2021"/>
      <c r="L126" s="2053"/>
      <c r="M126" s="2024"/>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c r="CB126" s="36"/>
      <c r="CC126" s="36"/>
      <c r="CD126" s="36"/>
      <c r="CE126" s="36"/>
      <c r="CF126" s="36"/>
      <c r="CG126" s="36"/>
      <c r="CH126" s="36"/>
      <c r="CI126" s="36"/>
      <c r="CJ126" s="36"/>
      <c r="CK126" s="36"/>
      <c r="CL126" s="36"/>
      <c r="CM126" s="36"/>
      <c r="CN126" s="36"/>
      <c r="CO126" s="36"/>
      <c r="CP126" s="36"/>
      <c r="CQ126" s="36"/>
      <c r="CR126" s="36"/>
      <c r="CS126" s="36"/>
      <c r="CT126" s="36"/>
      <c r="CU126" s="36"/>
      <c r="CV126" s="36"/>
      <c r="CW126" s="36"/>
      <c r="CX126" s="36"/>
      <c r="CY126" s="36"/>
      <c r="CZ126" s="36"/>
      <c r="DA126" s="36"/>
      <c r="DB126" s="36"/>
      <c r="DC126" s="36"/>
      <c r="DD126" s="36"/>
      <c r="DE126" s="36"/>
      <c r="DF126" s="36"/>
      <c r="DG126" s="36"/>
      <c r="DH126" s="36"/>
      <c r="DI126" s="36"/>
      <c r="DJ126" s="36"/>
      <c r="DK126" s="36"/>
      <c r="DL126" s="36"/>
      <c r="DM126" s="36"/>
      <c r="DN126" s="36"/>
      <c r="DO126" s="36"/>
      <c r="DP126" s="36"/>
      <c r="DQ126" s="36"/>
      <c r="DR126" s="36"/>
      <c r="DS126" s="36"/>
      <c r="DT126" s="36"/>
      <c r="DU126" s="36"/>
      <c r="DV126" s="36"/>
      <c r="DW126" s="36"/>
      <c r="DX126" s="36"/>
      <c r="DY126" s="36"/>
      <c r="DZ126" s="36"/>
    </row>
    <row r="127" spans="1:130" s="372" customFormat="1" ht="15" customHeight="1">
      <c r="A127" s="2030"/>
      <c r="B127" s="2033"/>
      <c r="C127" s="931" t="s">
        <v>10</v>
      </c>
      <c r="D127" s="655">
        <v>0</v>
      </c>
      <c r="E127" s="655">
        <v>0</v>
      </c>
      <c r="F127" s="655">
        <v>0</v>
      </c>
      <c r="G127" s="67">
        <f t="shared" si="5"/>
        <v>0</v>
      </c>
      <c r="H127" s="2050"/>
      <c r="I127" s="2053"/>
      <c r="J127" s="2047"/>
      <c r="K127" s="2021"/>
      <c r="L127" s="2053"/>
      <c r="M127" s="2024"/>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c r="CB127" s="36"/>
      <c r="CC127" s="36"/>
      <c r="CD127" s="36"/>
      <c r="CE127" s="36"/>
      <c r="CF127" s="36"/>
      <c r="CG127" s="36"/>
      <c r="CH127" s="36"/>
      <c r="CI127" s="36"/>
      <c r="CJ127" s="36"/>
      <c r="CK127" s="36"/>
      <c r="CL127" s="36"/>
      <c r="CM127" s="36"/>
      <c r="CN127" s="36"/>
      <c r="CO127" s="36"/>
      <c r="CP127" s="36"/>
      <c r="CQ127" s="36"/>
      <c r="CR127" s="36"/>
      <c r="CS127" s="36"/>
      <c r="CT127" s="36"/>
      <c r="CU127" s="36"/>
      <c r="CV127" s="36"/>
      <c r="CW127" s="36"/>
      <c r="CX127" s="36"/>
      <c r="CY127" s="36"/>
      <c r="CZ127" s="36"/>
      <c r="DA127" s="36"/>
      <c r="DB127" s="36"/>
      <c r="DC127" s="36"/>
      <c r="DD127" s="36"/>
      <c r="DE127" s="36"/>
      <c r="DF127" s="36"/>
      <c r="DG127" s="36"/>
      <c r="DH127" s="36"/>
      <c r="DI127" s="36"/>
      <c r="DJ127" s="36"/>
      <c r="DK127" s="36"/>
      <c r="DL127" s="36"/>
      <c r="DM127" s="36"/>
      <c r="DN127" s="36"/>
      <c r="DO127" s="36"/>
      <c r="DP127" s="36"/>
      <c r="DQ127" s="36"/>
      <c r="DR127" s="36"/>
      <c r="DS127" s="36"/>
      <c r="DT127" s="36"/>
      <c r="DU127" s="36"/>
      <c r="DV127" s="36"/>
      <c r="DW127" s="36"/>
      <c r="DX127" s="36"/>
      <c r="DY127" s="36"/>
      <c r="DZ127" s="36"/>
    </row>
    <row r="128" spans="1:130" s="372" customFormat="1" ht="15" customHeight="1">
      <c r="A128" s="2030"/>
      <c r="B128" s="2033"/>
      <c r="C128" s="931" t="s">
        <v>11</v>
      </c>
      <c r="D128" s="655">
        <v>0</v>
      </c>
      <c r="E128" s="655">
        <v>0</v>
      </c>
      <c r="F128" s="655">
        <v>0</v>
      </c>
      <c r="G128" s="67">
        <f t="shared" si="5"/>
        <v>0</v>
      </c>
      <c r="H128" s="2050"/>
      <c r="I128" s="2053"/>
      <c r="J128" s="2047"/>
      <c r="K128" s="2021"/>
      <c r="L128" s="2053"/>
      <c r="M128" s="2024"/>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6"/>
      <c r="CU128" s="36"/>
      <c r="CV128" s="36"/>
      <c r="CW128" s="36"/>
      <c r="CX128" s="36"/>
      <c r="CY128" s="36"/>
      <c r="CZ128" s="36"/>
      <c r="DA128" s="36"/>
      <c r="DB128" s="36"/>
      <c r="DC128" s="36"/>
      <c r="DD128" s="36"/>
      <c r="DE128" s="36"/>
      <c r="DF128" s="36"/>
      <c r="DG128" s="36"/>
      <c r="DH128" s="36"/>
      <c r="DI128" s="36"/>
      <c r="DJ128" s="36"/>
      <c r="DK128" s="36"/>
      <c r="DL128" s="36"/>
      <c r="DM128" s="36"/>
      <c r="DN128" s="36"/>
      <c r="DO128" s="36"/>
      <c r="DP128" s="36"/>
      <c r="DQ128" s="36"/>
      <c r="DR128" s="36"/>
      <c r="DS128" s="36"/>
      <c r="DT128" s="36"/>
      <c r="DU128" s="36"/>
      <c r="DV128" s="36"/>
      <c r="DW128" s="36"/>
      <c r="DX128" s="36"/>
      <c r="DY128" s="36"/>
      <c r="DZ128" s="36"/>
    </row>
    <row r="129" spans="1:130" s="372" customFormat="1" ht="20.25" customHeight="1">
      <c r="A129" s="2031"/>
      <c r="B129" s="2034"/>
      <c r="C129" s="931" t="s">
        <v>12</v>
      </c>
      <c r="D129" s="655">
        <v>0</v>
      </c>
      <c r="E129" s="655">
        <v>0</v>
      </c>
      <c r="F129" s="655">
        <v>0</v>
      </c>
      <c r="G129" s="67">
        <f t="shared" si="5"/>
        <v>0</v>
      </c>
      <c r="H129" s="2051"/>
      <c r="I129" s="2054"/>
      <c r="J129" s="2048"/>
      <c r="K129" s="2021"/>
      <c r="L129" s="2054"/>
      <c r="M129" s="2025"/>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c r="CB129" s="36"/>
      <c r="CC129" s="36"/>
      <c r="CD129" s="36"/>
      <c r="CE129" s="36"/>
      <c r="CF129" s="36"/>
      <c r="CG129" s="36"/>
      <c r="CH129" s="36"/>
      <c r="CI129" s="36"/>
      <c r="CJ129" s="36"/>
      <c r="CK129" s="36"/>
      <c r="CL129" s="36"/>
      <c r="CM129" s="36"/>
      <c r="CN129" s="36"/>
      <c r="CO129" s="36"/>
      <c r="CP129" s="36"/>
      <c r="CQ129" s="36"/>
      <c r="CR129" s="36"/>
      <c r="CS129" s="36"/>
      <c r="CT129" s="36"/>
      <c r="CU129" s="36"/>
      <c r="CV129" s="36"/>
      <c r="CW129" s="36"/>
      <c r="CX129" s="36"/>
      <c r="CY129" s="36"/>
      <c r="CZ129" s="36"/>
      <c r="DA129" s="36"/>
      <c r="DB129" s="36"/>
      <c r="DC129" s="36"/>
      <c r="DD129" s="36"/>
      <c r="DE129" s="36"/>
      <c r="DF129" s="36"/>
      <c r="DG129" s="36"/>
      <c r="DH129" s="36"/>
      <c r="DI129" s="36"/>
      <c r="DJ129" s="36"/>
      <c r="DK129" s="36"/>
      <c r="DL129" s="36"/>
      <c r="DM129" s="36"/>
      <c r="DN129" s="36"/>
      <c r="DO129" s="36"/>
      <c r="DP129" s="36"/>
      <c r="DQ129" s="36"/>
      <c r="DR129" s="36"/>
      <c r="DS129" s="36"/>
      <c r="DT129" s="36"/>
      <c r="DU129" s="36"/>
      <c r="DV129" s="36"/>
      <c r="DW129" s="36"/>
      <c r="DX129" s="36"/>
      <c r="DY129" s="36"/>
      <c r="DZ129" s="36"/>
    </row>
    <row r="130" spans="1:130" s="1482" customFormat="1" ht="20.25" customHeight="1">
      <c r="A130" s="2250" t="s">
        <v>204</v>
      </c>
      <c r="B130" s="2251" t="s">
        <v>156</v>
      </c>
      <c r="C130" s="1896" t="s">
        <v>8</v>
      </c>
      <c r="D130" s="655">
        <f>SUM(D131:D134)</f>
        <v>134.43199999999999</v>
      </c>
      <c r="E130" s="655">
        <f>SUM(E131:E134)</f>
        <v>134.43218999999999</v>
      </c>
      <c r="F130" s="655">
        <f>SUM(F131:F134)</f>
        <v>134.43218999999999</v>
      </c>
      <c r="G130" s="1897">
        <f t="shared" si="5"/>
        <v>1.0000014133539634</v>
      </c>
      <c r="H130" s="2269" t="s">
        <v>2816</v>
      </c>
      <c r="I130" s="2020" t="s">
        <v>5316</v>
      </c>
      <c r="J130" s="2075" t="s">
        <v>3384</v>
      </c>
      <c r="K130" s="2021" t="s">
        <v>5317</v>
      </c>
      <c r="L130" s="1560"/>
      <c r="M130" s="2023">
        <v>823</v>
      </c>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c r="CR130" s="36"/>
      <c r="CS130" s="36"/>
      <c r="CT130" s="36"/>
      <c r="CU130" s="36"/>
      <c r="CV130" s="36"/>
      <c r="CW130" s="36"/>
      <c r="CX130" s="36"/>
      <c r="CY130" s="36"/>
      <c r="CZ130" s="36"/>
      <c r="DA130" s="36"/>
      <c r="DB130" s="36"/>
      <c r="DC130" s="36"/>
      <c r="DD130" s="36"/>
      <c r="DE130" s="36"/>
      <c r="DF130" s="36"/>
      <c r="DG130" s="36"/>
      <c r="DH130" s="36"/>
      <c r="DI130" s="36"/>
      <c r="DJ130" s="36"/>
      <c r="DK130" s="36"/>
      <c r="DL130" s="36"/>
      <c r="DM130" s="36"/>
      <c r="DN130" s="36"/>
      <c r="DO130" s="36"/>
      <c r="DP130" s="36"/>
      <c r="DQ130" s="36"/>
      <c r="DR130" s="36"/>
      <c r="DS130" s="36"/>
      <c r="DT130" s="36"/>
      <c r="DU130" s="36"/>
      <c r="DV130" s="36"/>
      <c r="DW130" s="36"/>
      <c r="DX130" s="36"/>
      <c r="DY130" s="36"/>
      <c r="DZ130" s="36"/>
    </row>
    <row r="131" spans="1:130" s="1482" customFormat="1" ht="20.25" customHeight="1">
      <c r="A131" s="2030"/>
      <c r="B131" s="2033"/>
      <c r="C131" s="1896" t="s">
        <v>9</v>
      </c>
      <c r="D131" s="655">
        <f>НОВЫЙ!F230</f>
        <v>134.43199999999999</v>
      </c>
      <c r="E131" s="655">
        <f>Документ_2!J756</f>
        <v>134.43218999999999</v>
      </c>
      <c r="F131" s="655">
        <f>E131</f>
        <v>134.43218999999999</v>
      </c>
      <c r="G131" s="1897">
        <f t="shared" si="5"/>
        <v>1.0000014133539634</v>
      </c>
      <c r="H131" s="2155"/>
      <c r="I131" s="2021"/>
      <c r="J131" s="2047"/>
      <c r="K131" s="2021"/>
      <c r="L131" s="1560"/>
      <c r="M131" s="2024"/>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c r="CB131" s="36"/>
      <c r="CC131" s="36"/>
      <c r="CD131" s="36"/>
      <c r="CE131" s="36"/>
      <c r="CF131" s="36"/>
      <c r="CG131" s="36"/>
      <c r="CH131" s="36"/>
      <c r="CI131" s="36"/>
      <c r="CJ131" s="36"/>
      <c r="CK131" s="36"/>
      <c r="CL131" s="36"/>
      <c r="CM131" s="36"/>
      <c r="CN131" s="36"/>
      <c r="CO131" s="36"/>
      <c r="CP131" s="36"/>
      <c r="CQ131" s="36"/>
      <c r="CR131" s="36"/>
      <c r="CS131" s="36"/>
      <c r="CT131" s="36"/>
      <c r="CU131" s="36"/>
      <c r="CV131" s="36"/>
      <c r="CW131" s="36"/>
      <c r="CX131" s="36"/>
      <c r="CY131" s="36"/>
      <c r="CZ131" s="36"/>
      <c r="DA131" s="36"/>
      <c r="DB131" s="36"/>
      <c r="DC131" s="36"/>
      <c r="DD131" s="36"/>
      <c r="DE131" s="36"/>
      <c r="DF131" s="36"/>
      <c r="DG131" s="36"/>
      <c r="DH131" s="36"/>
      <c r="DI131" s="36"/>
      <c r="DJ131" s="36"/>
      <c r="DK131" s="36"/>
      <c r="DL131" s="36"/>
      <c r="DM131" s="36"/>
      <c r="DN131" s="36"/>
      <c r="DO131" s="36"/>
      <c r="DP131" s="36"/>
      <c r="DQ131" s="36"/>
      <c r="DR131" s="36"/>
      <c r="DS131" s="36"/>
      <c r="DT131" s="36"/>
      <c r="DU131" s="36"/>
      <c r="DV131" s="36"/>
      <c r="DW131" s="36"/>
      <c r="DX131" s="36"/>
      <c r="DY131" s="36"/>
      <c r="DZ131" s="36"/>
    </row>
    <row r="132" spans="1:130" s="1482" customFormat="1" ht="20.25" customHeight="1">
      <c r="A132" s="2030"/>
      <c r="B132" s="2033"/>
      <c r="C132" s="1896" t="s">
        <v>10</v>
      </c>
      <c r="D132" s="655">
        <v>0</v>
      </c>
      <c r="E132" s="655">
        <v>0</v>
      </c>
      <c r="F132" s="655">
        <v>0</v>
      </c>
      <c r="G132" s="1897">
        <f t="shared" si="5"/>
        <v>0</v>
      </c>
      <c r="H132" s="2155"/>
      <c r="I132" s="2021"/>
      <c r="J132" s="2047"/>
      <c r="K132" s="2021"/>
      <c r="L132" s="1560"/>
      <c r="M132" s="2024"/>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c r="CB132" s="36"/>
      <c r="CC132" s="36"/>
      <c r="CD132" s="36"/>
      <c r="CE132" s="36"/>
      <c r="CF132" s="36"/>
      <c r="CG132" s="36"/>
      <c r="CH132" s="36"/>
      <c r="CI132" s="36"/>
      <c r="CJ132" s="36"/>
      <c r="CK132" s="36"/>
      <c r="CL132" s="36"/>
      <c r="CM132" s="36"/>
      <c r="CN132" s="36"/>
      <c r="CO132" s="36"/>
      <c r="CP132" s="36"/>
      <c r="CQ132" s="36"/>
      <c r="CR132" s="36"/>
      <c r="CS132" s="36"/>
      <c r="CT132" s="36"/>
      <c r="CU132" s="36"/>
      <c r="CV132" s="36"/>
      <c r="CW132" s="36"/>
      <c r="CX132" s="36"/>
      <c r="CY132" s="36"/>
      <c r="CZ132" s="36"/>
      <c r="DA132" s="36"/>
      <c r="DB132" s="36"/>
      <c r="DC132" s="36"/>
      <c r="DD132" s="36"/>
      <c r="DE132" s="36"/>
      <c r="DF132" s="36"/>
      <c r="DG132" s="36"/>
      <c r="DH132" s="36"/>
      <c r="DI132" s="36"/>
      <c r="DJ132" s="36"/>
      <c r="DK132" s="36"/>
      <c r="DL132" s="36"/>
      <c r="DM132" s="36"/>
      <c r="DN132" s="36"/>
      <c r="DO132" s="36"/>
      <c r="DP132" s="36"/>
      <c r="DQ132" s="36"/>
      <c r="DR132" s="36"/>
      <c r="DS132" s="36"/>
      <c r="DT132" s="36"/>
      <c r="DU132" s="36"/>
      <c r="DV132" s="36"/>
      <c r="DW132" s="36"/>
      <c r="DX132" s="36"/>
      <c r="DY132" s="36"/>
      <c r="DZ132" s="36"/>
    </row>
    <row r="133" spans="1:130" s="1482" customFormat="1" ht="20.25" customHeight="1">
      <c r="A133" s="2030"/>
      <c r="B133" s="2033"/>
      <c r="C133" s="1896" t="s">
        <v>11</v>
      </c>
      <c r="D133" s="655">
        <v>0</v>
      </c>
      <c r="E133" s="655">
        <v>0</v>
      </c>
      <c r="F133" s="655">
        <v>0</v>
      </c>
      <c r="G133" s="1897">
        <f t="shared" si="5"/>
        <v>0</v>
      </c>
      <c r="H133" s="2155"/>
      <c r="I133" s="2021"/>
      <c r="J133" s="2047"/>
      <c r="K133" s="2021"/>
      <c r="L133" s="1560"/>
      <c r="M133" s="2024"/>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c r="CB133" s="36"/>
      <c r="CC133" s="36"/>
      <c r="CD133" s="36"/>
      <c r="CE133" s="36"/>
      <c r="CF133" s="36"/>
      <c r="CG133" s="36"/>
      <c r="CH133" s="36"/>
      <c r="CI133" s="36"/>
      <c r="CJ133" s="36"/>
      <c r="CK133" s="36"/>
      <c r="CL133" s="36"/>
      <c r="CM133" s="36"/>
      <c r="CN133" s="36"/>
      <c r="CO133" s="36"/>
      <c r="CP133" s="36"/>
      <c r="CQ133" s="36"/>
      <c r="CR133" s="36"/>
      <c r="CS133" s="36"/>
      <c r="CT133" s="36"/>
      <c r="CU133" s="36"/>
      <c r="CV133" s="36"/>
      <c r="CW133" s="36"/>
      <c r="CX133" s="36"/>
      <c r="CY133" s="36"/>
      <c r="CZ133" s="36"/>
      <c r="DA133" s="36"/>
      <c r="DB133" s="36"/>
      <c r="DC133" s="36"/>
      <c r="DD133" s="36"/>
      <c r="DE133" s="36"/>
      <c r="DF133" s="36"/>
      <c r="DG133" s="36"/>
      <c r="DH133" s="36"/>
      <c r="DI133" s="36"/>
      <c r="DJ133" s="36"/>
      <c r="DK133" s="36"/>
      <c r="DL133" s="36"/>
      <c r="DM133" s="36"/>
      <c r="DN133" s="36"/>
      <c r="DO133" s="36"/>
      <c r="DP133" s="36"/>
      <c r="DQ133" s="36"/>
      <c r="DR133" s="36"/>
      <c r="DS133" s="36"/>
      <c r="DT133" s="36"/>
      <c r="DU133" s="36"/>
      <c r="DV133" s="36"/>
      <c r="DW133" s="36"/>
      <c r="DX133" s="36"/>
      <c r="DY133" s="36"/>
      <c r="DZ133" s="36"/>
    </row>
    <row r="134" spans="1:130" s="1482" customFormat="1" ht="20.25" customHeight="1">
      <c r="A134" s="2031"/>
      <c r="B134" s="2034"/>
      <c r="C134" s="1896" t="s">
        <v>12</v>
      </c>
      <c r="D134" s="655">
        <v>0</v>
      </c>
      <c r="E134" s="655">
        <v>0</v>
      </c>
      <c r="F134" s="655">
        <v>0</v>
      </c>
      <c r="G134" s="1897">
        <f t="shared" si="5"/>
        <v>0</v>
      </c>
      <c r="H134" s="2156"/>
      <c r="I134" s="2022"/>
      <c r="J134" s="2048"/>
      <c r="K134" s="2022"/>
      <c r="L134" s="1560"/>
      <c r="M134" s="2025"/>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c r="CB134" s="36"/>
      <c r="CC134" s="36"/>
      <c r="CD134" s="36"/>
      <c r="CE134" s="36"/>
      <c r="CF134" s="36"/>
      <c r="CG134" s="36"/>
      <c r="CH134" s="36"/>
      <c r="CI134" s="36"/>
      <c r="CJ134" s="36"/>
      <c r="CK134" s="36"/>
      <c r="CL134" s="36"/>
      <c r="CM134" s="36"/>
      <c r="CN134" s="36"/>
      <c r="CO134" s="36"/>
      <c r="CP134" s="36"/>
      <c r="CQ134" s="36"/>
      <c r="CR134" s="36"/>
      <c r="CS134" s="36"/>
      <c r="CT134" s="36"/>
      <c r="CU134" s="36"/>
      <c r="CV134" s="36"/>
      <c r="CW134" s="36"/>
      <c r="CX134" s="36"/>
      <c r="CY134" s="36"/>
      <c r="CZ134" s="36"/>
      <c r="DA134" s="36"/>
      <c r="DB134" s="36"/>
      <c r="DC134" s="36"/>
      <c r="DD134" s="36"/>
      <c r="DE134" s="36"/>
      <c r="DF134" s="36"/>
      <c r="DG134" s="36"/>
      <c r="DH134" s="36"/>
      <c r="DI134" s="36"/>
      <c r="DJ134" s="36"/>
      <c r="DK134" s="36"/>
      <c r="DL134" s="36"/>
      <c r="DM134" s="36"/>
      <c r="DN134" s="36"/>
      <c r="DO134" s="36"/>
      <c r="DP134" s="36"/>
      <c r="DQ134" s="36"/>
      <c r="DR134" s="36"/>
      <c r="DS134" s="36"/>
      <c r="DT134" s="36"/>
      <c r="DU134" s="36"/>
      <c r="DV134" s="36"/>
      <c r="DW134" s="36"/>
      <c r="DX134" s="36"/>
      <c r="DY134" s="36"/>
      <c r="DZ134" s="36"/>
    </row>
    <row r="135" spans="1:130" ht="15" customHeight="1">
      <c r="A135" s="2270" t="s">
        <v>2927</v>
      </c>
      <c r="B135" s="2270" t="s">
        <v>5411</v>
      </c>
      <c r="C135" s="1896" t="s">
        <v>8</v>
      </c>
      <c r="D135" s="1898">
        <f>SUM(D136:D139)</f>
        <v>900</v>
      </c>
      <c r="E135" s="706">
        <f>SUM(E136:E139)</f>
        <v>900</v>
      </c>
      <c r="F135" s="706">
        <f>SUM(F136:F139)</f>
        <v>900</v>
      </c>
      <c r="G135" s="67">
        <f t="shared" si="5"/>
        <v>1</v>
      </c>
      <c r="H135" s="2270" t="s">
        <v>5412</v>
      </c>
      <c r="I135" s="2020" t="s">
        <v>5443</v>
      </c>
      <c r="J135" s="2026" t="s">
        <v>3384</v>
      </c>
      <c r="K135" s="2271" t="s">
        <v>23</v>
      </c>
      <c r="L135" s="2274"/>
      <c r="M135" s="2268">
        <v>823</v>
      </c>
    </row>
    <row r="136" spans="1:130" ht="15" customHeight="1">
      <c r="A136" s="2130"/>
      <c r="B136" s="2130"/>
      <c r="C136" s="1896" t="s">
        <v>9</v>
      </c>
      <c r="D136" s="1898">
        <f>НОВЫЙ!F266</f>
        <v>900</v>
      </c>
      <c r="E136" s="706">
        <f>'2023'!H51</f>
        <v>900</v>
      </c>
      <c r="F136" s="706">
        <f>E136</f>
        <v>900</v>
      </c>
      <c r="G136" s="67">
        <f t="shared" si="5"/>
        <v>1</v>
      </c>
      <c r="H136" s="2130"/>
      <c r="I136" s="2021"/>
      <c r="J136" s="2027"/>
      <c r="K136" s="2272"/>
      <c r="L136" s="2053"/>
      <c r="M136" s="2024"/>
    </row>
    <row r="137" spans="1:130" ht="15" customHeight="1">
      <c r="A137" s="2130"/>
      <c r="B137" s="2130"/>
      <c r="C137" s="1896" t="s">
        <v>10</v>
      </c>
      <c r="D137" s="1898">
        <v>0</v>
      </c>
      <c r="E137" s="706">
        <v>0</v>
      </c>
      <c r="F137" s="706">
        <v>0</v>
      </c>
      <c r="G137" s="67">
        <f t="shared" si="5"/>
        <v>0</v>
      </c>
      <c r="H137" s="2130"/>
      <c r="I137" s="2021"/>
      <c r="J137" s="2027"/>
      <c r="K137" s="2272"/>
      <c r="L137" s="2053"/>
      <c r="M137" s="2024"/>
    </row>
    <row r="138" spans="1:130" ht="15" customHeight="1">
      <c r="A138" s="2130"/>
      <c r="B138" s="2130"/>
      <c r="C138" s="1896" t="s">
        <v>11</v>
      </c>
      <c r="D138" s="1898">
        <v>0</v>
      </c>
      <c r="E138" s="706">
        <v>0</v>
      </c>
      <c r="F138" s="706">
        <v>0</v>
      </c>
      <c r="G138" s="67">
        <f t="shared" si="5"/>
        <v>0</v>
      </c>
      <c r="H138" s="2130"/>
      <c r="I138" s="2021"/>
      <c r="J138" s="2027"/>
      <c r="K138" s="2272"/>
      <c r="L138" s="2053"/>
      <c r="M138" s="2024"/>
    </row>
    <row r="139" spans="1:130" ht="15" customHeight="1">
      <c r="A139" s="2131"/>
      <c r="B139" s="2131"/>
      <c r="C139" s="1896" t="s">
        <v>12</v>
      </c>
      <c r="D139" s="1898">
        <v>0</v>
      </c>
      <c r="E139" s="706">
        <v>0</v>
      </c>
      <c r="F139" s="706">
        <v>0</v>
      </c>
      <c r="G139" s="67">
        <f t="shared" si="5"/>
        <v>0</v>
      </c>
      <c r="H139" s="2131"/>
      <c r="I139" s="2022"/>
      <c r="J139" s="2028"/>
      <c r="K139" s="2273"/>
      <c r="L139" s="2054"/>
      <c r="M139" s="2025"/>
    </row>
    <row r="140" spans="1:130" ht="15">
      <c r="A140" s="2129" t="s">
        <v>2929</v>
      </c>
      <c r="B140" s="2129" t="s">
        <v>2930</v>
      </c>
      <c r="C140" s="1896" t="s">
        <v>8</v>
      </c>
      <c r="D140" s="1898">
        <f>SUM(D141:D144)</f>
        <v>35051.025000000001</v>
      </c>
      <c r="E140" s="706">
        <f>SUM(E141:E144)</f>
        <v>35050.1</v>
      </c>
      <c r="F140" s="706">
        <f>SUM(F141:F144)</f>
        <v>35050.1</v>
      </c>
      <c r="G140" s="67">
        <f t="shared" si="5"/>
        <v>0.99997360990156481</v>
      </c>
      <c r="H140" s="2049" t="s">
        <v>2930</v>
      </c>
      <c r="I140" s="2045" t="s">
        <v>5444</v>
      </c>
      <c r="J140" s="2044" t="s">
        <v>3384</v>
      </c>
      <c r="K140" s="2056" t="s">
        <v>3034</v>
      </c>
      <c r="L140" s="2045"/>
      <c r="M140" s="2023">
        <v>823</v>
      </c>
    </row>
    <row r="141" spans="1:130" ht="15">
      <c r="A141" s="2130"/>
      <c r="B141" s="2130"/>
      <c r="C141" s="1896" t="s">
        <v>9</v>
      </c>
      <c r="D141" s="1898">
        <f>НОВЫЙ!F272</f>
        <v>35051.025000000001</v>
      </c>
      <c r="E141" s="706">
        <f>программа!P133</f>
        <v>35050.1</v>
      </c>
      <c r="F141" s="706">
        <f>E141</f>
        <v>35050.1</v>
      </c>
      <c r="G141" s="67">
        <f t="shared" si="5"/>
        <v>0.99997360990156481</v>
      </c>
      <c r="H141" s="2190"/>
      <c r="I141" s="2047"/>
      <c r="J141" s="2047"/>
      <c r="K141" s="2047"/>
      <c r="L141" s="2047"/>
      <c r="M141" s="2024"/>
    </row>
    <row r="142" spans="1:130" ht="15">
      <c r="A142" s="2130"/>
      <c r="B142" s="2130"/>
      <c r="C142" s="1896" t="s">
        <v>10</v>
      </c>
      <c r="D142" s="1898">
        <v>0</v>
      </c>
      <c r="E142" s="706">
        <v>0</v>
      </c>
      <c r="F142" s="706">
        <v>0</v>
      </c>
      <c r="G142" s="67">
        <f t="shared" si="5"/>
        <v>0</v>
      </c>
      <c r="H142" s="2190"/>
      <c r="I142" s="2047"/>
      <c r="J142" s="2047"/>
      <c r="K142" s="2047"/>
      <c r="L142" s="2047"/>
      <c r="M142" s="2024"/>
    </row>
    <row r="143" spans="1:130" ht="15">
      <c r="A143" s="2130"/>
      <c r="B143" s="2130"/>
      <c r="C143" s="1896" t="s">
        <v>11</v>
      </c>
      <c r="D143" s="1898">
        <v>0</v>
      </c>
      <c r="E143" s="706">
        <v>0</v>
      </c>
      <c r="F143" s="706">
        <v>0</v>
      </c>
      <c r="G143" s="67">
        <f t="shared" si="5"/>
        <v>0</v>
      </c>
      <c r="H143" s="2190"/>
      <c r="I143" s="2047"/>
      <c r="J143" s="2047"/>
      <c r="K143" s="2047"/>
      <c r="L143" s="2047"/>
      <c r="M143" s="2024"/>
    </row>
    <row r="144" spans="1:130" ht="15">
      <c r="A144" s="2131"/>
      <c r="B144" s="2131"/>
      <c r="C144" s="1896" t="s">
        <v>12</v>
      </c>
      <c r="D144" s="1898">
        <v>0</v>
      </c>
      <c r="E144" s="706">
        <v>0</v>
      </c>
      <c r="F144" s="706">
        <v>0</v>
      </c>
      <c r="G144" s="67">
        <f t="shared" si="5"/>
        <v>0</v>
      </c>
      <c r="H144" s="2191"/>
      <c r="I144" s="2048"/>
      <c r="J144" s="2048"/>
      <c r="K144" s="2048"/>
      <c r="L144" s="2048"/>
      <c r="M144" s="2025"/>
    </row>
    <row r="145" spans="1:130" ht="15" customHeight="1">
      <c r="A145" s="2129" t="s">
        <v>3133</v>
      </c>
      <c r="B145" s="2129" t="s">
        <v>3379</v>
      </c>
      <c r="C145" s="1896" t="s">
        <v>8</v>
      </c>
      <c r="D145" s="1899">
        <f>SUM(D146:D149)</f>
        <v>4984.4290000000001</v>
      </c>
      <c r="E145" s="706">
        <f>SUM(E146:E149)</f>
        <v>4984.4295899999997</v>
      </c>
      <c r="F145" s="706">
        <f>SUM(F146:F149)</f>
        <v>4984.4295899999997</v>
      </c>
      <c r="G145" s="67">
        <f t="shared" si="5"/>
        <v>1.0000001183686236</v>
      </c>
      <c r="H145" s="2049" t="s">
        <v>3131</v>
      </c>
      <c r="I145" s="2045" t="s">
        <v>5445</v>
      </c>
      <c r="J145" s="2044" t="s">
        <v>3384</v>
      </c>
      <c r="K145" s="2056" t="s">
        <v>23</v>
      </c>
      <c r="L145" s="2052"/>
      <c r="M145" s="2023">
        <v>823</v>
      </c>
    </row>
    <row r="146" spans="1:130" ht="15" customHeight="1">
      <c r="A146" s="2130"/>
      <c r="B146" s="2130"/>
      <c r="C146" s="1896" t="s">
        <v>9</v>
      </c>
      <c r="D146" s="1899">
        <f>НОВЫЙ!F302</f>
        <v>4984.4290000000001</v>
      </c>
      <c r="E146" s="706">
        <f>'2023'!H81</f>
        <v>4984.4295899999997</v>
      </c>
      <c r="F146" s="706">
        <f>E146</f>
        <v>4984.4295899999997</v>
      </c>
      <c r="G146" s="67">
        <f t="shared" ref="G146:G226" si="7">IFERROR(F146/D146,0)</f>
        <v>1.0000001183686236</v>
      </c>
      <c r="H146" s="2190"/>
      <c r="I146" s="2047"/>
      <c r="J146" s="2027"/>
      <c r="K146" s="2047"/>
      <c r="L146" s="2053"/>
      <c r="M146" s="2024"/>
    </row>
    <row r="147" spans="1:130" ht="15" customHeight="1">
      <c r="A147" s="2130"/>
      <c r="B147" s="2130"/>
      <c r="C147" s="1896" t="s">
        <v>10</v>
      </c>
      <c r="D147" s="1898">
        <f>'475ПП'!G301</f>
        <v>0</v>
      </c>
      <c r="E147" s="706">
        <v>0</v>
      </c>
      <c r="F147" s="706">
        <v>0</v>
      </c>
      <c r="G147" s="67">
        <f t="shared" si="7"/>
        <v>0</v>
      </c>
      <c r="H147" s="2190"/>
      <c r="I147" s="2047"/>
      <c r="J147" s="2027"/>
      <c r="K147" s="2047"/>
      <c r="L147" s="2053"/>
      <c r="M147" s="2024"/>
    </row>
    <row r="148" spans="1:130" ht="15" customHeight="1">
      <c r="A148" s="2130"/>
      <c r="B148" s="2130"/>
      <c r="C148" s="1896" t="s">
        <v>11</v>
      </c>
      <c r="D148" s="1898">
        <f>'475ПП'!H301</f>
        <v>0</v>
      </c>
      <c r="E148" s="706">
        <v>0</v>
      </c>
      <c r="F148" s="706">
        <v>0</v>
      </c>
      <c r="G148" s="67">
        <f t="shared" si="7"/>
        <v>0</v>
      </c>
      <c r="H148" s="2190"/>
      <c r="I148" s="2047"/>
      <c r="J148" s="2027"/>
      <c r="K148" s="2047"/>
      <c r="L148" s="2053"/>
      <c r="M148" s="2024"/>
    </row>
    <row r="149" spans="1:130" ht="15" customHeight="1">
      <c r="A149" s="2131"/>
      <c r="B149" s="2131"/>
      <c r="C149" s="1896" t="s">
        <v>12</v>
      </c>
      <c r="D149" s="1898">
        <f>'475ПП'!I301</f>
        <v>0</v>
      </c>
      <c r="E149" s="706">
        <v>0</v>
      </c>
      <c r="F149" s="706">
        <v>0</v>
      </c>
      <c r="G149" s="67">
        <f t="shared" si="7"/>
        <v>0</v>
      </c>
      <c r="H149" s="2191"/>
      <c r="I149" s="2048"/>
      <c r="J149" s="2028"/>
      <c r="K149" s="2048"/>
      <c r="L149" s="2054"/>
      <c r="M149" s="2025"/>
    </row>
    <row r="150" spans="1:130" ht="22.5" customHeight="1">
      <c r="A150" s="2129" t="s">
        <v>3130</v>
      </c>
      <c r="B150" s="2288" t="s">
        <v>3129</v>
      </c>
      <c r="C150" s="1896" t="s">
        <v>8</v>
      </c>
      <c r="D150" s="1898">
        <f>SUM(D151:D154)</f>
        <v>13037.137999999999</v>
      </c>
      <c r="E150" s="706">
        <f>SUM(E151:E154)</f>
        <v>12490.99316</v>
      </c>
      <c r="F150" s="706">
        <f>SUM(F151:F154)</f>
        <v>12490.99316</v>
      </c>
      <c r="G150" s="67">
        <f t="shared" si="7"/>
        <v>0.95810853271630636</v>
      </c>
      <c r="H150" s="2049" t="s">
        <v>3128</v>
      </c>
      <c r="I150" s="2265" t="s">
        <v>5405</v>
      </c>
      <c r="J150" s="2044" t="s">
        <v>3384</v>
      </c>
      <c r="K150" s="2056" t="s">
        <v>3127</v>
      </c>
      <c r="L150" s="2052"/>
      <c r="M150" s="2023">
        <v>823</v>
      </c>
    </row>
    <row r="151" spans="1:130" ht="23.25" customHeight="1">
      <c r="A151" s="2130"/>
      <c r="B151" s="2289"/>
      <c r="C151" s="1896" t="s">
        <v>9</v>
      </c>
      <c r="D151" s="1899">
        <f>НОВЫЙ!F308</f>
        <v>13037.137999999999</v>
      </c>
      <c r="E151" s="706">
        <f>'2023'!H82</f>
        <v>12490.99316</v>
      </c>
      <c r="F151" s="706">
        <f>E151</f>
        <v>12490.99316</v>
      </c>
      <c r="G151" s="67">
        <f t="shared" si="7"/>
        <v>0.95810853271630636</v>
      </c>
      <c r="H151" s="2190"/>
      <c r="I151" s="2266"/>
      <c r="J151" s="2027"/>
      <c r="K151" s="2047"/>
      <c r="L151" s="2053"/>
      <c r="M151" s="2024"/>
    </row>
    <row r="152" spans="1:130" ht="21" customHeight="1">
      <c r="A152" s="2130"/>
      <c r="B152" s="2289"/>
      <c r="C152" s="1896" t="s">
        <v>10</v>
      </c>
      <c r="D152" s="1898">
        <f>'475ПП'!G307</f>
        <v>0</v>
      </c>
      <c r="E152" s="706">
        <v>0</v>
      </c>
      <c r="F152" s="706">
        <v>0</v>
      </c>
      <c r="G152" s="67">
        <f t="shared" si="7"/>
        <v>0</v>
      </c>
      <c r="H152" s="2190"/>
      <c r="I152" s="2266"/>
      <c r="J152" s="2027"/>
      <c r="K152" s="2047"/>
      <c r="L152" s="2053"/>
      <c r="M152" s="2024"/>
    </row>
    <row r="153" spans="1:130" ht="22.5" customHeight="1">
      <c r="A153" s="2130"/>
      <c r="B153" s="2289"/>
      <c r="C153" s="1896" t="s">
        <v>11</v>
      </c>
      <c r="D153" s="1898">
        <f>'475ПП'!H307</f>
        <v>0</v>
      </c>
      <c r="E153" s="706">
        <v>0</v>
      </c>
      <c r="F153" s="706">
        <v>0</v>
      </c>
      <c r="G153" s="67">
        <f t="shared" si="7"/>
        <v>0</v>
      </c>
      <c r="H153" s="2190"/>
      <c r="I153" s="2266"/>
      <c r="J153" s="2027"/>
      <c r="K153" s="2047"/>
      <c r="L153" s="2053"/>
      <c r="M153" s="2024"/>
    </row>
    <row r="154" spans="1:130" ht="23.25" customHeight="1">
      <c r="A154" s="2131"/>
      <c r="B154" s="2290"/>
      <c r="C154" s="1896" t="s">
        <v>12</v>
      </c>
      <c r="D154" s="1898">
        <f>'475ПП'!I307</f>
        <v>0</v>
      </c>
      <c r="E154" s="706">
        <v>0</v>
      </c>
      <c r="F154" s="706">
        <v>0</v>
      </c>
      <c r="G154" s="67">
        <f t="shared" si="7"/>
        <v>0</v>
      </c>
      <c r="H154" s="2191"/>
      <c r="I154" s="2267"/>
      <c r="J154" s="2028"/>
      <c r="K154" s="2048"/>
      <c r="L154" s="2054"/>
      <c r="M154" s="2025"/>
    </row>
    <row r="155" spans="1:130" s="372" customFormat="1" ht="21.75" customHeight="1">
      <c r="A155" s="2139" t="s">
        <v>175</v>
      </c>
      <c r="B155" s="2282" t="s">
        <v>2936</v>
      </c>
      <c r="C155" s="776" t="s">
        <v>8</v>
      </c>
      <c r="D155" s="777">
        <f>SUM(D156:D159)</f>
        <v>67577.23</v>
      </c>
      <c r="E155" s="781">
        <f>SUM(E156:E159)</f>
        <v>67577.23</v>
      </c>
      <c r="F155" s="781">
        <f>SUM(F156:F159)</f>
        <v>67577.23</v>
      </c>
      <c r="G155" s="778">
        <f t="shared" si="7"/>
        <v>1</v>
      </c>
      <c r="H155" s="2279" t="s">
        <v>3125</v>
      </c>
      <c r="I155" s="779" t="s">
        <v>267</v>
      </c>
      <c r="J155" s="1458">
        <f>SUM(J156:J158)</f>
        <v>2</v>
      </c>
      <c r="K155" s="2066" t="s">
        <v>2801</v>
      </c>
      <c r="L155" s="2298"/>
      <c r="M155" s="2041">
        <v>823</v>
      </c>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c r="CB155" s="36"/>
      <c r="CC155" s="36"/>
      <c r="CD155" s="36"/>
      <c r="CE155" s="36"/>
      <c r="CF155" s="36"/>
      <c r="CG155" s="36"/>
      <c r="CH155" s="36"/>
      <c r="CI155" s="36"/>
      <c r="CJ155" s="36"/>
      <c r="CK155" s="36"/>
      <c r="CL155" s="36"/>
      <c r="CM155" s="36"/>
      <c r="CN155" s="36"/>
      <c r="CO155" s="36"/>
      <c r="CP155" s="36"/>
      <c r="CQ155" s="36"/>
      <c r="CR155" s="36"/>
      <c r="CS155" s="36"/>
      <c r="CT155" s="36"/>
      <c r="CU155" s="36"/>
      <c r="CV155" s="36"/>
      <c r="CW155" s="36"/>
      <c r="CX155" s="36"/>
      <c r="CY155" s="36"/>
      <c r="CZ155" s="36"/>
      <c r="DA155" s="36"/>
      <c r="DB155" s="36"/>
      <c r="DC155" s="36"/>
      <c r="DD155" s="36"/>
      <c r="DE155" s="36"/>
      <c r="DF155" s="36"/>
      <c r="DG155" s="36"/>
      <c r="DH155" s="36"/>
      <c r="DI155" s="36"/>
      <c r="DJ155" s="36"/>
      <c r="DK155" s="36"/>
      <c r="DL155" s="36"/>
      <c r="DM155" s="36"/>
      <c r="DN155" s="36"/>
      <c r="DO155" s="36"/>
      <c r="DP155" s="36"/>
      <c r="DQ155" s="36"/>
      <c r="DR155" s="36"/>
      <c r="DS155" s="36"/>
      <c r="DT155" s="36"/>
      <c r="DU155" s="36"/>
      <c r="DV155" s="36"/>
      <c r="DW155" s="36"/>
      <c r="DX155" s="36"/>
      <c r="DY155" s="36"/>
      <c r="DZ155" s="36"/>
    </row>
    <row r="156" spans="1:130" s="372" customFormat="1" ht="18" customHeight="1">
      <c r="A156" s="2140"/>
      <c r="B156" s="2283"/>
      <c r="C156" s="776" t="s">
        <v>9</v>
      </c>
      <c r="D156" s="1525">
        <f t="shared" ref="D156:E158" si="8">SUM(D161,D166)</f>
        <v>47800</v>
      </c>
      <c r="E156" s="1525">
        <f>SUM(E161+E166)</f>
        <v>47800</v>
      </c>
      <c r="F156" s="1525">
        <f>E156</f>
        <v>47800</v>
      </c>
      <c r="G156" s="778">
        <f t="shared" si="7"/>
        <v>1</v>
      </c>
      <c r="H156" s="2280"/>
      <c r="I156" s="779" t="s">
        <v>268</v>
      </c>
      <c r="J156" s="1458">
        <f>COUNTIF($J$160:$J$169,"Да")</f>
        <v>2</v>
      </c>
      <c r="K156" s="2066"/>
      <c r="L156" s="2298"/>
      <c r="M156" s="2042"/>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c r="CB156" s="36"/>
      <c r="CC156" s="36"/>
      <c r="CD156" s="36"/>
      <c r="CE156" s="36"/>
      <c r="CF156" s="36"/>
      <c r="CG156" s="36"/>
      <c r="CH156" s="36"/>
      <c r="CI156" s="36"/>
      <c r="CJ156" s="36"/>
      <c r="CK156" s="36"/>
      <c r="CL156" s="36"/>
      <c r="CM156" s="36"/>
      <c r="CN156" s="36"/>
      <c r="CO156" s="36"/>
      <c r="CP156" s="36"/>
      <c r="CQ156" s="36"/>
      <c r="CR156" s="36"/>
      <c r="CS156" s="36"/>
      <c r="CT156" s="36"/>
      <c r="CU156" s="36"/>
      <c r="CV156" s="36"/>
      <c r="CW156" s="36"/>
      <c r="CX156" s="36"/>
      <c r="CY156" s="36"/>
      <c r="CZ156" s="36"/>
      <c r="DA156" s="36"/>
      <c r="DB156" s="36"/>
      <c r="DC156" s="36"/>
      <c r="DD156" s="36"/>
      <c r="DE156" s="36"/>
      <c r="DF156" s="36"/>
      <c r="DG156" s="36"/>
      <c r="DH156" s="36"/>
      <c r="DI156" s="36"/>
      <c r="DJ156" s="36"/>
      <c r="DK156" s="36"/>
      <c r="DL156" s="36"/>
      <c r="DM156" s="36"/>
      <c r="DN156" s="36"/>
      <c r="DO156" s="36"/>
      <c r="DP156" s="36"/>
      <c r="DQ156" s="36"/>
      <c r="DR156" s="36"/>
      <c r="DS156" s="36"/>
      <c r="DT156" s="36"/>
      <c r="DU156" s="36"/>
      <c r="DV156" s="36"/>
      <c r="DW156" s="36"/>
      <c r="DX156" s="36"/>
      <c r="DY156" s="36"/>
      <c r="DZ156" s="36"/>
    </row>
    <row r="157" spans="1:130" s="372" customFormat="1" ht="22.5" customHeight="1">
      <c r="A157" s="2140"/>
      <c r="B157" s="2283"/>
      <c r="C157" s="776" t="s">
        <v>10</v>
      </c>
      <c r="D157" s="1525">
        <f t="shared" si="8"/>
        <v>0</v>
      </c>
      <c r="E157" s="1525">
        <f t="shared" si="8"/>
        <v>0</v>
      </c>
      <c r="F157" s="1525">
        <f>E157</f>
        <v>0</v>
      </c>
      <c r="G157" s="778">
        <f t="shared" si="7"/>
        <v>0</v>
      </c>
      <c r="H157" s="2280"/>
      <c r="I157" s="779" t="s">
        <v>269</v>
      </c>
      <c r="J157" s="1458">
        <f>COUNTIF($J$160:$J$169,"Нет")</f>
        <v>0</v>
      </c>
      <c r="K157" s="2066"/>
      <c r="L157" s="2298"/>
      <c r="M157" s="2042"/>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c r="CB157" s="36"/>
      <c r="CC157" s="36"/>
      <c r="CD157" s="36"/>
      <c r="CE157" s="36"/>
      <c r="CF157" s="36"/>
      <c r="CG157" s="36"/>
      <c r="CH157" s="36"/>
      <c r="CI157" s="36"/>
      <c r="CJ157" s="36"/>
      <c r="CK157" s="36"/>
      <c r="CL157" s="36"/>
      <c r="CM157" s="36"/>
      <c r="CN157" s="36"/>
      <c r="CO157" s="36"/>
      <c r="CP157" s="36"/>
      <c r="CQ157" s="36"/>
      <c r="CR157" s="36"/>
      <c r="CS157" s="36"/>
      <c r="CT157" s="36"/>
      <c r="CU157" s="36"/>
      <c r="CV157" s="36"/>
      <c r="CW157" s="36"/>
      <c r="CX157" s="36"/>
      <c r="CY157" s="36"/>
      <c r="CZ157" s="36"/>
      <c r="DA157" s="36"/>
      <c r="DB157" s="36"/>
      <c r="DC157" s="36"/>
      <c r="DD157" s="36"/>
      <c r="DE157" s="36"/>
      <c r="DF157" s="36"/>
      <c r="DG157" s="36"/>
      <c r="DH157" s="36"/>
      <c r="DI157" s="36"/>
      <c r="DJ157" s="36"/>
      <c r="DK157" s="36"/>
      <c r="DL157" s="36"/>
      <c r="DM157" s="36"/>
      <c r="DN157" s="36"/>
      <c r="DO157" s="36"/>
      <c r="DP157" s="36"/>
      <c r="DQ157" s="36"/>
      <c r="DR157" s="36"/>
      <c r="DS157" s="36"/>
      <c r="DT157" s="36"/>
      <c r="DU157" s="36"/>
      <c r="DV157" s="36"/>
      <c r="DW157" s="36"/>
      <c r="DX157" s="36"/>
      <c r="DY157" s="36"/>
      <c r="DZ157" s="36"/>
    </row>
    <row r="158" spans="1:130" s="372" customFormat="1" ht="23.25" customHeight="1">
      <c r="A158" s="2140"/>
      <c r="B158" s="2283"/>
      <c r="C158" s="776" t="s">
        <v>11</v>
      </c>
      <c r="D158" s="1525">
        <f t="shared" si="8"/>
        <v>19777.23</v>
      </c>
      <c r="E158" s="1525">
        <f t="shared" si="8"/>
        <v>19777.23</v>
      </c>
      <c r="F158" s="1525">
        <f>E158</f>
        <v>19777.23</v>
      </c>
      <c r="G158" s="778">
        <f t="shared" si="7"/>
        <v>1</v>
      </c>
      <c r="H158" s="2280"/>
      <c r="I158" s="779" t="s">
        <v>270</v>
      </c>
      <c r="J158" s="1458">
        <f>COUNTIF($J$160:$J$169,"Частично")</f>
        <v>0</v>
      </c>
      <c r="K158" s="2066"/>
      <c r="L158" s="2298"/>
      <c r="M158" s="2042"/>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c r="CB158" s="36"/>
      <c r="CC158" s="36"/>
      <c r="CD158" s="36"/>
      <c r="CE158" s="36"/>
      <c r="CF158" s="36"/>
      <c r="CG158" s="36"/>
      <c r="CH158" s="36"/>
      <c r="CI158" s="36"/>
      <c r="CJ158" s="36"/>
      <c r="CK158" s="36"/>
      <c r="CL158" s="36"/>
      <c r="CM158" s="36"/>
      <c r="CN158" s="36"/>
      <c r="CO158" s="36"/>
      <c r="CP158" s="36"/>
      <c r="CQ158" s="36"/>
      <c r="CR158" s="36"/>
      <c r="CS158" s="36"/>
      <c r="CT158" s="36"/>
      <c r="CU158" s="36"/>
      <c r="CV158" s="36"/>
      <c r="CW158" s="36"/>
      <c r="CX158" s="36"/>
      <c r="CY158" s="36"/>
      <c r="CZ158" s="36"/>
      <c r="DA158" s="36"/>
      <c r="DB158" s="36"/>
      <c r="DC158" s="36"/>
      <c r="DD158" s="36"/>
      <c r="DE158" s="36"/>
      <c r="DF158" s="36"/>
      <c r="DG158" s="36"/>
      <c r="DH158" s="36"/>
      <c r="DI158" s="36"/>
      <c r="DJ158" s="36"/>
      <c r="DK158" s="36"/>
      <c r="DL158" s="36"/>
      <c r="DM158" s="36"/>
      <c r="DN158" s="36"/>
      <c r="DO158" s="36"/>
      <c r="DP158" s="36"/>
      <c r="DQ158" s="36"/>
      <c r="DR158" s="36"/>
      <c r="DS158" s="36"/>
      <c r="DT158" s="36"/>
      <c r="DU158" s="36"/>
      <c r="DV158" s="36"/>
      <c r="DW158" s="36"/>
      <c r="DX158" s="36"/>
      <c r="DY158" s="36"/>
      <c r="DZ158" s="36"/>
    </row>
    <row r="159" spans="1:130" s="372" customFormat="1" ht="66.75" customHeight="1">
      <c r="A159" s="2141"/>
      <c r="B159" s="2284"/>
      <c r="C159" s="776" t="s">
        <v>12</v>
      </c>
      <c r="D159" s="1525">
        <v>0</v>
      </c>
      <c r="E159" s="1525">
        <v>0</v>
      </c>
      <c r="F159" s="1525">
        <v>0</v>
      </c>
      <c r="G159" s="778">
        <f t="shared" si="7"/>
        <v>0</v>
      </c>
      <c r="H159" s="2281"/>
      <c r="I159" s="779" t="s">
        <v>271</v>
      </c>
      <c r="J159" s="1459">
        <f>(J156+0.5*J157)/J155</f>
        <v>1</v>
      </c>
      <c r="K159" s="2066"/>
      <c r="L159" s="2298"/>
      <c r="M159" s="2043"/>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c r="CB159" s="36"/>
      <c r="CC159" s="36"/>
      <c r="CD159" s="36"/>
      <c r="CE159" s="36"/>
      <c r="CF159" s="36"/>
      <c r="CG159" s="36"/>
      <c r="CH159" s="36"/>
      <c r="CI159" s="36"/>
      <c r="CJ159" s="36"/>
      <c r="CK159" s="36"/>
      <c r="CL159" s="36"/>
      <c r="CM159" s="36"/>
      <c r="CN159" s="36"/>
      <c r="CO159" s="36"/>
      <c r="CP159" s="36"/>
      <c r="CQ159" s="36"/>
      <c r="CR159" s="36"/>
      <c r="CS159" s="36"/>
      <c r="CT159" s="36"/>
      <c r="CU159" s="36"/>
      <c r="CV159" s="36"/>
      <c r="CW159" s="36"/>
      <c r="CX159" s="36"/>
      <c r="CY159" s="36"/>
      <c r="CZ159" s="36"/>
      <c r="DA159" s="36"/>
      <c r="DB159" s="36"/>
      <c r="DC159" s="36"/>
      <c r="DD159" s="36"/>
      <c r="DE159" s="36"/>
      <c r="DF159" s="36"/>
      <c r="DG159" s="36"/>
      <c r="DH159" s="36"/>
      <c r="DI159" s="36"/>
      <c r="DJ159" s="36"/>
      <c r="DK159" s="36"/>
      <c r="DL159" s="36"/>
      <c r="DM159" s="36"/>
      <c r="DN159" s="36"/>
      <c r="DO159" s="36"/>
      <c r="DP159" s="36"/>
      <c r="DQ159" s="36"/>
      <c r="DR159" s="36"/>
      <c r="DS159" s="36"/>
      <c r="DT159" s="36"/>
      <c r="DU159" s="36"/>
      <c r="DV159" s="36"/>
      <c r="DW159" s="36"/>
      <c r="DX159" s="36"/>
      <c r="DY159" s="36"/>
      <c r="DZ159" s="36"/>
    </row>
    <row r="160" spans="1:130" s="372" customFormat="1" ht="15" customHeight="1">
      <c r="A160" s="2029" t="s">
        <v>58</v>
      </c>
      <c r="B160" s="2104" t="s">
        <v>2937</v>
      </c>
      <c r="C160" s="931" t="s">
        <v>8</v>
      </c>
      <c r="D160" s="934">
        <f>SUM(D161:D164)</f>
        <v>9846.2000000000007</v>
      </c>
      <c r="E160" s="107">
        <f>SUM(E161:E164)</f>
        <v>9846.2000000000007</v>
      </c>
      <c r="F160" s="107">
        <f>SUM(F161:F164)</f>
        <v>9846.2000000000007</v>
      </c>
      <c r="G160" s="67">
        <f t="shared" si="7"/>
        <v>1</v>
      </c>
      <c r="H160" s="2049" t="s">
        <v>2818</v>
      </c>
      <c r="I160" s="2049" t="s">
        <v>5446</v>
      </c>
      <c r="J160" s="2044" t="s">
        <v>3384</v>
      </c>
      <c r="K160" s="2077" t="s">
        <v>2852</v>
      </c>
      <c r="L160" s="2052"/>
      <c r="M160" s="2023">
        <v>823</v>
      </c>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c r="CB160" s="36"/>
      <c r="CC160" s="36"/>
      <c r="CD160" s="36"/>
      <c r="CE160" s="36"/>
      <c r="CF160" s="36"/>
      <c r="CG160" s="36"/>
      <c r="CH160" s="36"/>
      <c r="CI160" s="36"/>
      <c r="CJ160" s="36"/>
      <c r="CK160" s="36"/>
      <c r="CL160" s="36"/>
      <c r="CM160" s="36"/>
      <c r="CN160" s="36"/>
      <c r="CO160" s="36"/>
      <c r="CP160" s="36"/>
      <c r="CQ160" s="36"/>
      <c r="CR160" s="36"/>
      <c r="CS160" s="36"/>
      <c r="CT160" s="36"/>
      <c r="CU160" s="36"/>
      <c r="CV160" s="36"/>
      <c r="CW160" s="36"/>
      <c r="CX160" s="36"/>
      <c r="CY160" s="36"/>
      <c r="CZ160" s="36"/>
      <c r="DA160" s="36"/>
      <c r="DB160" s="36"/>
      <c r="DC160" s="36"/>
      <c r="DD160" s="36"/>
      <c r="DE160" s="36"/>
      <c r="DF160" s="36"/>
      <c r="DG160" s="36"/>
      <c r="DH160" s="36"/>
      <c r="DI160" s="36"/>
      <c r="DJ160" s="36"/>
      <c r="DK160" s="36"/>
      <c r="DL160" s="36"/>
      <c r="DM160" s="36"/>
      <c r="DN160" s="36"/>
      <c r="DO160" s="36"/>
      <c r="DP160" s="36"/>
      <c r="DQ160" s="36"/>
      <c r="DR160" s="36"/>
      <c r="DS160" s="36"/>
      <c r="DT160" s="36"/>
      <c r="DU160" s="36"/>
      <c r="DV160" s="36"/>
      <c r="DW160" s="36"/>
      <c r="DX160" s="36"/>
      <c r="DY160" s="36"/>
      <c r="DZ160" s="36"/>
    </row>
    <row r="161" spans="1:130" s="372" customFormat="1" ht="15" customHeight="1">
      <c r="A161" s="2030"/>
      <c r="B161" s="2105"/>
      <c r="C161" s="931" t="s">
        <v>9</v>
      </c>
      <c r="D161" s="108">
        <f>'475ПП'!F319</f>
        <v>6400</v>
      </c>
      <c r="E161" s="108">
        <f>'Документ (2)'!R169</f>
        <v>6400</v>
      </c>
      <c r="F161" s="108">
        <f>E161</f>
        <v>6400</v>
      </c>
      <c r="G161" s="67">
        <f t="shared" si="7"/>
        <v>1</v>
      </c>
      <c r="H161" s="2050"/>
      <c r="I161" s="2050"/>
      <c r="J161" s="2027"/>
      <c r="K161" s="2047"/>
      <c r="L161" s="2053"/>
      <c r="M161" s="2024"/>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c r="CB161" s="36"/>
      <c r="CC161" s="36"/>
      <c r="CD161" s="36"/>
      <c r="CE161" s="36"/>
      <c r="CF161" s="36"/>
      <c r="CG161" s="36"/>
      <c r="CH161" s="36"/>
      <c r="CI161" s="36"/>
      <c r="CJ161" s="36"/>
      <c r="CK161" s="36"/>
      <c r="CL161" s="36"/>
      <c r="CM161" s="36"/>
      <c r="CN161" s="36"/>
      <c r="CO161" s="36"/>
      <c r="CP161" s="36"/>
      <c r="CQ161" s="36"/>
      <c r="CR161" s="36"/>
      <c r="CS161" s="36"/>
      <c r="CT161" s="36"/>
      <c r="CU161" s="36"/>
      <c r="CV161" s="36"/>
      <c r="CW161" s="36"/>
      <c r="CX161" s="36"/>
      <c r="CY161" s="36"/>
      <c r="CZ161" s="36"/>
      <c r="DA161" s="36"/>
      <c r="DB161" s="36"/>
      <c r="DC161" s="36"/>
      <c r="DD161" s="36"/>
      <c r="DE161" s="36"/>
      <c r="DF161" s="36"/>
      <c r="DG161" s="36"/>
      <c r="DH161" s="36"/>
      <c r="DI161" s="36"/>
      <c r="DJ161" s="36"/>
      <c r="DK161" s="36"/>
      <c r="DL161" s="36"/>
      <c r="DM161" s="36"/>
      <c r="DN161" s="36"/>
      <c r="DO161" s="36"/>
      <c r="DP161" s="36"/>
      <c r="DQ161" s="36"/>
      <c r="DR161" s="36"/>
      <c r="DS161" s="36"/>
      <c r="DT161" s="36"/>
      <c r="DU161" s="36"/>
      <c r="DV161" s="36"/>
      <c r="DW161" s="36"/>
      <c r="DX161" s="36"/>
      <c r="DY161" s="36"/>
      <c r="DZ161" s="36"/>
    </row>
    <row r="162" spans="1:130" s="372" customFormat="1" ht="19.5" customHeight="1">
      <c r="A162" s="2030"/>
      <c r="B162" s="2105"/>
      <c r="C162" s="931" t="s">
        <v>10</v>
      </c>
      <c r="D162" s="655">
        <f>'475ПП'!G319</f>
        <v>0</v>
      </c>
      <c r="E162" s="108">
        <v>0</v>
      </c>
      <c r="F162" s="108">
        <v>0</v>
      </c>
      <c r="G162" s="67">
        <f t="shared" si="7"/>
        <v>0</v>
      </c>
      <c r="H162" s="2050"/>
      <c r="I162" s="2050"/>
      <c r="J162" s="2027"/>
      <c r="K162" s="2047"/>
      <c r="L162" s="2053"/>
      <c r="M162" s="2024"/>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c r="CB162" s="36"/>
      <c r="CC162" s="36"/>
      <c r="CD162" s="36"/>
      <c r="CE162" s="36"/>
      <c r="CF162" s="36"/>
      <c r="CG162" s="36"/>
      <c r="CH162" s="36"/>
      <c r="CI162" s="36"/>
      <c r="CJ162" s="36"/>
      <c r="CK162" s="36"/>
      <c r="CL162" s="36"/>
      <c r="CM162" s="36"/>
      <c r="CN162" s="36"/>
      <c r="CO162" s="36"/>
      <c r="CP162" s="36"/>
      <c r="CQ162" s="36"/>
      <c r="CR162" s="36"/>
      <c r="CS162" s="36"/>
      <c r="CT162" s="36"/>
      <c r="CU162" s="36"/>
      <c r="CV162" s="36"/>
      <c r="CW162" s="36"/>
      <c r="CX162" s="36"/>
      <c r="CY162" s="36"/>
      <c r="CZ162" s="36"/>
      <c r="DA162" s="36"/>
      <c r="DB162" s="36"/>
      <c r="DC162" s="36"/>
      <c r="DD162" s="36"/>
      <c r="DE162" s="36"/>
      <c r="DF162" s="36"/>
      <c r="DG162" s="36"/>
      <c r="DH162" s="36"/>
      <c r="DI162" s="36"/>
      <c r="DJ162" s="36"/>
      <c r="DK162" s="36"/>
      <c r="DL162" s="36"/>
      <c r="DM162" s="36"/>
      <c r="DN162" s="36"/>
      <c r="DO162" s="36"/>
      <c r="DP162" s="36"/>
      <c r="DQ162" s="36"/>
      <c r="DR162" s="36"/>
      <c r="DS162" s="36"/>
      <c r="DT162" s="36"/>
      <c r="DU162" s="36"/>
      <c r="DV162" s="36"/>
      <c r="DW162" s="36"/>
      <c r="DX162" s="36"/>
      <c r="DY162" s="36"/>
      <c r="DZ162" s="36"/>
    </row>
    <row r="163" spans="1:130" s="372" customFormat="1" ht="21.75" customHeight="1">
      <c r="A163" s="2030"/>
      <c r="B163" s="2105"/>
      <c r="C163" s="931" t="s">
        <v>11</v>
      </c>
      <c r="D163" s="655">
        <f>'475ПП'!H319</f>
        <v>3446.2</v>
      </c>
      <c r="E163" s="108">
        <f>D163</f>
        <v>3446.2</v>
      </c>
      <c r="F163" s="108">
        <f>E163</f>
        <v>3446.2</v>
      </c>
      <c r="G163" s="67">
        <f t="shared" si="7"/>
        <v>1</v>
      </c>
      <c r="H163" s="2050"/>
      <c r="I163" s="2050"/>
      <c r="J163" s="2027"/>
      <c r="K163" s="2047"/>
      <c r="L163" s="2053"/>
      <c r="M163" s="2024"/>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c r="CB163" s="36"/>
      <c r="CC163" s="36"/>
      <c r="CD163" s="36"/>
      <c r="CE163" s="36"/>
      <c r="CF163" s="36"/>
      <c r="CG163" s="36"/>
      <c r="CH163" s="36"/>
      <c r="CI163" s="36"/>
      <c r="CJ163" s="36"/>
      <c r="CK163" s="36"/>
      <c r="CL163" s="36"/>
      <c r="CM163" s="36"/>
      <c r="CN163" s="36"/>
      <c r="CO163" s="36"/>
      <c r="CP163" s="36"/>
      <c r="CQ163" s="36"/>
      <c r="CR163" s="36"/>
      <c r="CS163" s="36"/>
      <c r="CT163" s="36"/>
      <c r="CU163" s="36"/>
      <c r="CV163" s="36"/>
      <c r="CW163" s="36"/>
      <c r="CX163" s="36"/>
      <c r="CY163" s="36"/>
      <c r="CZ163" s="36"/>
      <c r="DA163" s="36"/>
      <c r="DB163" s="36"/>
      <c r="DC163" s="36"/>
      <c r="DD163" s="36"/>
      <c r="DE163" s="36"/>
      <c r="DF163" s="36"/>
      <c r="DG163" s="36"/>
      <c r="DH163" s="36"/>
      <c r="DI163" s="36"/>
      <c r="DJ163" s="36"/>
      <c r="DK163" s="36"/>
      <c r="DL163" s="36"/>
      <c r="DM163" s="36"/>
      <c r="DN163" s="36"/>
      <c r="DO163" s="36"/>
      <c r="DP163" s="36"/>
      <c r="DQ163" s="36"/>
      <c r="DR163" s="36"/>
      <c r="DS163" s="36"/>
      <c r="DT163" s="36"/>
      <c r="DU163" s="36"/>
      <c r="DV163" s="36"/>
      <c r="DW163" s="36"/>
      <c r="DX163" s="36"/>
      <c r="DY163" s="36"/>
      <c r="DZ163" s="36"/>
    </row>
    <row r="164" spans="1:130" s="372" customFormat="1" ht="22.5" customHeight="1">
      <c r="A164" s="2031"/>
      <c r="B164" s="2106"/>
      <c r="C164" s="931" t="s">
        <v>12</v>
      </c>
      <c r="D164" s="655">
        <f>'475ПП'!I319</f>
        <v>0</v>
      </c>
      <c r="E164" s="108">
        <v>0</v>
      </c>
      <c r="F164" s="108">
        <v>0</v>
      </c>
      <c r="G164" s="67">
        <f t="shared" si="7"/>
        <v>0</v>
      </c>
      <c r="H164" s="2051"/>
      <c r="I164" s="2051"/>
      <c r="J164" s="2028"/>
      <c r="K164" s="2048"/>
      <c r="L164" s="2054"/>
      <c r="M164" s="2025"/>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c r="CB164" s="36"/>
      <c r="CC164" s="36"/>
      <c r="CD164" s="36"/>
      <c r="CE164" s="36"/>
      <c r="CF164" s="36"/>
      <c r="CG164" s="36"/>
      <c r="CH164" s="36"/>
      <c r="CI164" s="36"/>
      <c r="CJ164" s="36"/>
      <c r="CK164" s="36"/>
      <c r="CL164" s="36"/>
      <c r="CM164" s="36"/>
      <c r="CN164" s="36"/>
      <c r="CO164" s="36"/>
      <c r="CP164" s="36"/>
      <c r="CQ164" s="36"/>
      <c r="CR164" s="36"/>
      <c r="CS164" s="36"/>
      <c r="CT164" s="36"/>
      <c r="CU164" s="36"/>
      <c r="CV164" s="36"/>
      <c r="CW164" s="36"/>
      <c r="CX164" s="36"/>
      <c r="CY164" s="36"/>
      <c r="CZ164" s="36"/>
      <c r="DA164" s="36"/>
      <c r="DB164" s="36"/>
      <c r="DC164" s="36"/>
      <c r="DD164" s="36"/>
      <c r="DE164" s="36"/>
      <c r="DF164" s="36"/>
      <c r="DG164" s="36"/>
      <c r="DH164" s="36"/>
      <c r="DI164" s="36"/>
      <c r="DJ164" s="36"/>
      <c r="DK164" s="36"/>
      <c r="DL164" s="36"/>
      <c r="DM164" s="36"/>
      <c r="DN164" s="36"/>
      <c r="DO164" s="36"/>
      <c r="DP164" s="36"/>
      <c r="DQ164" s="36"/>
      <c r="DR164" s="36"/>
      <c r="DS164" s="36"/>
      <c r="DT164" s="36"/>
      <c r="DU164" s="36"/>
      <c r="DV164" s="36"/>
      <c r="DW164" s="36"/>
      <c r="DX164" s="36"/>
      <c r="DY164" s="36"/>
      <c r="DZ164" s="36"/>
    </row>
    <row r="165" spans="1:130" s="372" customFormat="1" ht="21.75" customHeight="1">
      <c r="A165" s="2085" t="s">
        <v>67</v>
      </c>
      <c r="B165" s="2094" t="s">
        <v>2819</v>
      </c>
      <c r="C165" s="932" t="s">
        <v>8</v>
      </c>
      <c r="D165" s="107">
        <f>SUM(D166:D169)</f>
        <v>57731.03</v>
      </c>
      <c r="E165" s="107">
        <f>SUM(E166:E169)</f>
        <v>57731.03</v>
      </c>
      <c r="F165" s="107">
        <f>SUM(F166:F169)</f>
        <v>57731.03</v>
      </c>
      <c r="G165" s="67">
        <f t="shared" si="7"/>
        <v>1</v>
      </c>
      <c r="H165" s="2049" t="s">
        <v>2820</v>
      </c>
      <c r="I165" s="2052" t="s">
        <v>2874</v>
      </c>
      <c r="J165" s="2046" t="s">
        <v>3384</v>
      </c>
      <c r="K165" s="2045" t="s">
        <v>2852</v>
      </c>
      <c r="L165" s="2052"/>
      <c r="M165" s="2023">
        <v>823</v>
      </c>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c r="CB165" s="36"/>
      <c r="CC165" s="36"/>
      <c r="CD165" s="36"/>
      <c r="CE165" s="36"/>
      <c r="CF165" s="36"/>
      <c r="CG165" s="36"/>
      <c r="CH165" s="36"/>
      <c r="CI165" s="36"/>
      <c r="CJ165" s="36"/>
      <c r="CK165" s="36"/>
      <c r="CL165" s="36"/>
      <c r="CM165" s="36"/>
      <c r="CN165" s="36"/>
      <c r="CO165" s="36"/>
      <c r="CP165" s="36"/>
      <c r="CQ165" s="36"/>
      <c r="CR165" s="36"/>
      <c r="CS165" s="36"/>
      <c r="CT165" s="36"/>
      <c r="CU165" s="36"/>
      <c r="CV165" s="36"/>
      <c r="CW165" s="36"/>
      <c r="CX165" s="36"/>
      <c r="CY165" s="36"/>
      <c r="CZ165" s="36"/>
      <c r="DA165" s="36"/>
      <c r="DB165" s="36"/>
      <c r="DC165" s="36"/>
      <c r="DD165" s="36"/>
      <c r="DE165" s="36"/>
      <c r="DF165" s="36"/>
      <c r="DG165" s="36"/>
      <c r="DH165" s="36"/>
      <c r="DI165" s="36"/>
      <c r="DJ165" s="36"/>
      <c r="DK165" s="36"/>
      <c r="DL165" s="36"/>
      <c r="DM165" s="36"/>
      <c r="DN165" s="36"/>
      <c r="DO165" s="36"/>
      <c r="DP165" s="36"/>
      <c r="DQ165" s="36"/>
      <c r="DR165" s="36"/>
      <c r="DS165" s="36"/>
      <c r="DT165" s="36"/>
      <c r="DU165" s="36"/>
      <c r="DV165" s="36"/>
      <c r="DW165" s="36"/>
      <c r="DX165" s="36"/>
      <c r="DY165" s="36"/>
      <c r="DZ165" s="36"/>
    </row>
    <row r="166" spans="1:130" s="372" customFormat="1" ht="23.25" customHeight="1">
      <c r="A166" s="2086"/>
      <c r="B166" s="2115"/>
      <c r="C166" s="932" t="s">
        <v>9</v>
      </c>
      <c r="D166" s="110">
        <f>'475ПП'!F325</f>
        <v>41400</v>
      </c>
      <c r="E166" s="108">
        <f>'Документ (2)'!R174</f>
        <v>41400</v>
      </c>
      <c r="F166" s="108">
        <f>E166</f>
        <v>41400</v>
      </c>
      <c r="G166" s="67">
        <f t="shared" si="7"/>
        <v>1</v>
      </c>
      <c r="H166" s="2050"/>
      <c r="I166" s="2053" t="s">
        <v>268</v>
      </c>
      <c r="J166" s="2047"/>
      <c r="K166" s="2021"/>
      <c r="L166" s="2053"/>
      <c r="M166" s="2024"/>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c r="CB166" s="36"/>
      <c r="CC166" s="36"/>
      <c r="CD166" s="36"/>
      <c r="CE166" s="36"/>
      <c r="CF166" s="36"/>
      <c r="CG166" s="36"/>
      <c r="CH166" s="36"/>
      <c r="CI166" s="36"/>
      <c r="CJ166" s="36"/>
      <c r="CK166" s="36"/>
      <c r="CL166" s="36"/>
      <c r="CM166" s="36"/>
      <c r="CN166" s="36"/>
      <c r="CO166" s="36"/>
      <c r="CP166" s="36"/>
      <c r="CQ166" s="36"/>
      <c r="CR166" s="36"/>
      <c r="CS166" s="36"/>
      <c r="CT166" s="36"/>
      <c r="CU166" s="36"/>
      <c r="CV166" s="36"/>
      <c r="CW166" s="36"/>
      <c r="CX166" s="36"/>
      <c r="CY166" s="36"/>
      <c r="CZ166" s="36"/>
      <c r="DA166" s="36"/>
      <c r="DB166" s="36"/>
      <c r="DC166" s="36"/>
      <c r="DD166" s="36"/>
      <c r="DE166" s="36"/>
      <c r="DF166" s="36"/>
      <c r="DG166" s="36"/>
      <c r="DH166" s="36"/>
      <c r="DI166" s="36"/>
      <c r="DJ166" s="36"/>
      <c r="DK166" s="36"/>
      <c r="DL166" s="36"/>
      <c r="DM166" s="36"/>
      <c r="DN166" s="36"/>
      <c r="DO166" s="36"/>
      <c r="DP166" s="36"/>
      <c r="DQ166" s="36"/>
      <c r="DR166" s="36"/>
      <c r="DS166" s="36"/>
      <c r="DT166" s="36"/>
      <c r="DU166" s="36"/>
      <c r="DV166" s="36"/>
      <c r="DW166" s="36"/>
      <c r="DX166" s="36"/>
      <c r="DY166" s="36"/>
      <c r="DZ166" s="36"/>
    </row>
    <row r="167" spans="1:130" s="372" customFormat="1" ht="24" customHeight="1">
      <c r="A167" s="2086"/>
      <c r="B167" s="2115"/>
      <c r="C167" s="932" t="s">
        <v>10</v>
      </c>
      <c r="D167" s="109">
        <f>'475ПП'!G325</f>
        <v>0</v>
      </c>
      <c r="E167" s="108">
        <v>0</v>
      </c>
      <c r="F167" s="108">
        <v>0</v>
      </c>
      <c r="G167" s="67">
        <f t="shared" si="7"/>
        <v>0</v>
      </c>
      <c r="H167" s="2050"/>
      <c r="I167" s="2053" t="s">
        <v>269</v>
      </c>
      <c r="J167" s="2047"/>
      <c r="K167" s="2021"/>
      <c r="L167" s="2053"/>
      <c r="M167" s="2024"/>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c r="CB167" s="36"/>
      <c r="CC167" s="36"/>
      <c r="CD167" s="36"/>
      <c r="CE167" s="36"/>
      <c r="CF167" s="36"/>
      <c r="CG167" s="36"/>
      <c r="CH167" s="36"/>
      <c r="CI167" s="36"/>
      <c r="CJ167" s="36"/>
      <c r="CK167" s="36"/>
      <c r="CL167" s="36"/>
      <c r="CM167" s="36"/>
      <c r="CN167" s="36"/>
      <c r="CO167" s="36"/>
      <c r="CP167" s="36"/>
      <c r="CQ167" s="36"/>
      <c r="CR167" s="36"/>
      <c r="CS167" s="36"/>
      <c r="CT167" s="36"/>
      <c r="CU167" s="36"/>
      <c r="CV167" s="36"/>
      <c r="CW167" s="36"/>
      <c r="CX167" s="36"/>
      <c r="CY167" s="36"/>
      <c r="CZ167" s="36"/>
      <c r="DA167" s="36"/>
      <c r="DB167" s="36"/>
      <c r="DC167" s="36"/>
      <c r="DD167" s="36"/>
      <c r="DE167" s="36"/>
      <c r="DF167" s="36"/>
      <c r="DG167" s="36"/>
      <c r="DH167" s="36"/>
      <c r="DI167" s="36"/>
      <c r="DJ167" s="36"/>
      <c r="DK167" s="36"/>
      <c r="DL167" s="36"/>
      <c r="DM167" s="36"/>
      <c r="DN167" s="36"/>
      <c r="DO167" s="36"/>
      <c r="DP167" s="36"/>
      <c r="DQ167" s="36"/>
      <c r="DR167" s="36"/>
      <c r="DS167" s="36"/>
      <c r="DT167" s="36"/>
      <c r="DU167" s="36"/>
      <c r="DV167" s="36"/>
      <c r="DW167" s="36"/>
      <c r="DX167" s="36"/>
      <c r="DY167" s="36"/>
      <c r="DZ167" s="36"/>
    </row>
    <row r="168" spans="1:130" s="372" customFormat="1" ht="24" customHeight="1">
      <c r="A168" s="2086"/>
      <c r="B168" s="2115"/>
      <c r="C168" s="932" t="s">
        <v>11</v>
      </c>
      <c r="D168" s="109">
        <f>'475ПП'!H325</f>
        <v>16331.03</v>
      </c>
      <c r="E168" s="108">
        <f>D168</f>
        <v>16331.03</v>
      </c>
      <c r="F168" s="108">
        <f>E168</f>
        <v>16331.03</v>
      </c>
      <c r="G168" s="67">
        <f t="shared" si="7"/>
        <v>1</v>
      </c>
      <c r="H168" s="2050"/>
      <c r="I168" s="2053" t="s">
        <v>270</v>
      </c>
      <c r="J168" s="2047"/>
      <c r="K168" s="2021"/>
      <c r="L168" s="2053"/>
      <c r="M168" s="2024"/>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c r="CB168" s="36"/>
      <c r="CC168" s="36"/>
      <c r="CD168" s="36"/>
      <c r="CE168" s="36"/>
      <c r="CF168" s="36"/>
      <c r="CG168" s="36"/>
      <c r="CH168" s="36"/>
      <c r="CI168" s="36"/>
      <c r="CJ168" s="36"/>
      <c r="CK168" s="36"/>
      <c r="CL168" s="36"/>
      <c r="CM168" s="36"/>
      <c r="CN168" s="36"/>
      <c r="CO168" s="36"/>
      <c r="CP168" s="36"/>
      <c r="CQ168" s="36"/>
      <c r="CR168" s="36"/>
      <c r="CS168" s="36"/>
      <c r="CT168" s="36"/>
      <c r="CU168" s="36"/>
      <c r="CV168" s="36"/>
      <c r="CW168" s="36"/>
      <c r="CX168" s="36"/>
      <c r="CY168" s="36"/>
      <c r="CZ168" s="36"/>
      <c r="DA168" s="36"/>
      <c r="DB168" s="36"/>
      <c r="DC168" s="36"/>
      <c r="DD168" s="36"/>
      <c r="DE168" s="36"/>
      <c r="DF168" s="36"/>
      <c r="DG168" s="36"/>
      <c r="DH168" s="36"/>
      <c r="DI168" s="36"/>
      <c r="DJ168" s="36"/>
      <c r="DK168" s="36"/>
      <c r="DL168" s="36"/>
      <c r="DM168" s="36"/>
      <c r="DN168" s="36"/>
      <c r="DO168" s="36"/>
      <c r="DP168" s="36"/>
      <c r="DQ168" s="36"/>
      <c r="DR168" s="36"/>
      <c r="DS168" s="36"/>
      <c r="DT168" s="36"/>
      <c r="DU168" s="36"/>
      <c r="DV168" s="36"/>
      <c r="DW168" s="36"/>
      <c r="DX168" s="36"/>
      <c r="DY168" s="36"/>
      <c r="DZ168" s="36"/>
    </row>
    <row r="169" spans="1:130" s="372" customFormat="1" ht="23.25" customHeight="1">
      <c r="A169" s="2087"/>
      <c r="B169" s="2116"/>
      <c r="C169" s="932" t="s">
        <v>12</v>
      </c>
      <c r="D169" s="109">
        <f>'475ПП'!I325</f>
        <v>0</v>
      </c>
      <c r="E169" s="108">
        <v>0</v>
      </c>
      <c r="F169" s="108">
        <v>0</v>
      </c>
      <c r="G169" s="67">
        <f t="shared" si="7"/>
        <v>0</v>
      </c>
      <c r="H169" s="2051"/>
      <c r="I169" s="2054" t="s">
        <v>271</v>
      </c>
      <c r="J169" s="2048"/>
      <c r="K169" s="2022"/>
      <c r="L169" s="2054"/>
      <c r="M169" s="2025"/>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c r="CB169" s="36"/>
      <c r="CC169" s="36"/>
      <c r="CD169" s="36"/>
      <c r="CE169" s="36"/>
      <c r="CF169" s="36"/>
      <c r="CG169" s="36"/>
      <c r="CH169" s="36"/>
      <c r="CI169" s="36"/>
      <c r="CJ169" s="36"/>
      <c r="CK169" s="36"/>
      <c r="CL169" s="36"/>
      <c r="CM169" s="36"/>
      <c r="CN169" s="36"/>
      <c r="CO169" s="36"/>
      <c r="CP169" s="36"/>
      <c r="CQ169" s="36"/>
      <c r="CR169" s="36"/>
      <c r="CS169" s="36"/>
      <c r="CT169" s="36"/>
      <c r="CU169" s="36"/>
      <c r="CV169" s="36"/>
      <c r="CW169" s="36"/>
      <c r="CX169" s="36"/>
      <c r="CY169" s="36"/>
      <c r="CZ169" s="36"/>
      <c r="DA169" s="36"/>
      <c r="DB169" s="36"/>
      <c r="DC169" s="36"/>
      <c r="DD169" s="36"/>
      <c r="DE169" s="36"/>
      <c r="DF169" s="36"/>
      <c r="DG169" s="36"/>
      <c r="DH169" s="36"/>
      <c r="DI169" s="36"/>
      <c r="DJ169" s="36"/>
      <c r="DK169" s="36"/>
      <c r="DL169" s="36"/>
      <c r="DM169" s="36"/>
      <c r="DN169" s="36"/>
      <c r="DO169" s="36"/>
      <c r="DP169" s="36"/>
      <c r="DQ169" s="36"/>
      <c r="DR169" s="36"/>
      <c r="DS169" s="36"/>
      <c r="DT169" s="36"/>
      <c r="DU169" s="36"/>
      <c r="DV169" s="36"/>
      <c r="DW169" s="36"/>
      <c r="DX169" s="36"/>
      <c r="DY169" s="36"/>
      <c r="DZ169" s="36"/>
    </row>
    <row r="170" spans="1:130" s="372" customFormat="1">
      <c r="A170" s="2123" t="s">
        <v>2876</v>
      </c>
      <c r="B170" s="2117" t="s">
        <v>2875</v>
      </c>
      <c r="C170" s="776" t="s">
        <v>8</v>
      </c>
      <c r="D170" s="781">
        <f>SUM(D171:D174)</f>
        <v>11802.74826</v>
      </c>
      <c r="E170" s="781">
        <f>SUM(E171:E174)</f>
        <v>11796.051390000001</v>
      </c>
      <c r="F170" s="781">
        <f>SUM(F171:F174)</f>
        <v>11796.051390000001</v>
      </c>
      <c r="G170" s="778">
        <f t="shared" si="7"/>
        <v>0.99943260079326646</v>
      </c>
      <c r="H170" s="2160" t="s">
        <v>3643</v>
      </c>
      <c r="I170" s="779" t="s">
        <v>267</v>
      </c>
      <c r="J170" s="1458">
        <f>SUM(J171:J173)</f>
        <v>2</v>
      </c>
      <c r="K170" s="2060" t="s">
        <v>2802</v>
      </c>
      <c r="L170" s="2299"/>
      <c r="M170" s="2041">
        <v>823</v>
      </c>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c r="CB170" s="36"/>
      <c r="CC170" s="36"/>
      <c r="CD170" s="36"/>
      <c r="CE170" s="36"/>
      <c r="CF170" s="36"/>
      <c r="CG170" s="36"/>
      <c r="CH170" s="36"/>
      <c r="CI170" s="36"/>
      <c r="CJ170" s="36"/>
      <c r="CK170" s="36"/>
      <c r="CL170" s="36"/>
      <c r="CM170" s="36"/>
      <c r="CN170" s="36"/>
      <c r="CO170" s="36"/>
      <c r="CP170" s="36"/>
      <c r="CQ170" s="36"/>
      <c r="CR170" s="36"/>
      <c r="CS170" s="36"/>
      <c r="CT170" s="36"/>
      <c r="CU170" s="36"/>
      <c r="CV170" s="36"/>
      <c r="CW170" s="36"/>
      <c r="CX170" s="36"/>
      <c r="CY170" s="36"/>
      <c r="CZ170" s="36"/>
      <c r="DA170" s="36"/>
      <c r="DB170" s="36"/>
      <c r="DC170" s="36"/>
      <c r="DD170" s="36"/>
      <c r="DE170" s="36"/>
      <c r="DF170" s="36"/>
      <c r="DG170" s="36"/>
      <c r="DH170" s="36"/>
      <c r="DI170" s="36"/>
      <c r="DJ170" s="36"/>
      <c r="DK170" s="36"/>
      <c r="DL170" s="36"/>
      <c r="DM170" s="36"/>
      <c r="DN170" s="36"/>
      <c r="DO170" s="36"/>
      <c r="DP170" s="36"/>
      <c r="DQ170" s="36"/>
      <c r="DR170" s="36"/>
      <c r="DS170" s="36"/>
      <c r="DT170" s="36"/>
      <c r="DU170" s="36"/>
      <c r="DV170" s="36"/>
      <c r="DW170" s="36"/>
      <c r="DX170" s="36"/>
      <c r="DY170" s="36"/>
      <c r="DZ170" s="36"/>
    </row>
    <row r="171" spans="1:130" s="372" customFormat="1">
      <c r="A171" s="2124"/>
      <c r="B171" s="2118"/>
      <c r="C171" s="776" t="s">
        <v>9</v>
      </c>
      <c r="D171" s="781">
        <f t="shared" ref="D171:E173" si="9">SUM(D176,D181)</f>
        <v>708.16489000000001</v>
      </c>
      <c r="E171" s="781">
        <f t="shared" si="9"/>
        <v>707.76307999999995</v>
      </c>
      <c r="F171" s="781">
        <f>E171</f>
        <v>707.76307999999995</v>
      </c>
      <c r="G171" s="778">
        <f t="shared" si="7"/>
        <v>0.99943260389540056</v>
      </c>
      <c r="H171" s="2161"/>
      <c r="I171" s="779" t="s">
        <v>268</v>
      </c>
      <c r="J171" s="1458">
        <f>COUNTIF($J$175:$J$184,"Да")</f>
        <v>2</v>
      </c>
      <c r="K171" s="2061"/>
      <c r="L171" s="2300"/>
      <c r="M171" s="2042"/>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c r="CB171" s="36"/>
      <c r="CC171" s="36"/>
      <c r="CD171" s="36"/>
      <c r="CE171" s="36"/>
      <c r="CF171" s="36"/>
      <c r="CG171" s="36"/>
      <c r="CH171" s="36"/>
      <c r="CI171" s="36"/>
      <c r="CJ171" s="36"/>
      <c r="CK171" s="36"/>
      <c r="CL171" s="36"/>
      <c r="CM171" s="36"/>
      <c r="CN171" s="36"/>
      <c r="CO171" s="36"/>
      <c r="CP171" s="36"/>
      <c r="CQ171" s="36"/>
      <c r="CR171" s="36"/>
      <c r="CS171" s="36"/>
      <c r="CT171" s="36"/>
      <c r="CU171" s="36"/>
      <c r="CV171" s="36"/>
      <c r="CW171" s="36"/>
      <c r="CX171" s="36"/>
      <c r="CY171" s="36"/>
      <c r="CZ171" s="36"/>
      <c r="DA171" s="36"/>
      <c r="DB171" s="36"/>
      <c r="DC171" s="36"/>
      <c r="DD171" s="36"/>
      <c r="DE171" s="36"/>
      <c r="DF171" s="36"/>
      <c r="DG171" s="36"/>
      <c r="DH171" s="36"/>
      <c r="DI171" s="36"/>
      <c r="DJ171" s="36"/>
      <c r="DK171" s="36"/>
      <c r="DL171" s="36"/>
      <c r="DM171" s="36"/>
      <c r="DN171" s="36"/>
      <c r="DO171" s="36"/>
      <c r="DP171" s="36"/>
      <c r="DQ171" s="36"/>
      <c r="DR171" s="36"/>
      <c r="DS171" s="36"/>
      <c r="DT171" s="36"/>
      <c r="DU171" s="36"/>
      <c r="DV171" s="36"/>
      <c r="DW171" s="36"/>
      <c r="DX171" s="36"/>
      <c r="DY171" s="36"/>
      <c r="DZ171" s="36"/>
    </row>
    <row r="172" spans="1:130" s="372" customFormat="1">
      <c r="A172" s="2124"/>
      <c r="B172" s="2118"/>
      <c r="C172" s="776" t="s">
        <v>10</v>
      </c>
      <c r="D172" s="781">
        <f t="shared" si="9"/>
        <v>11094.58337</v>
      </c>
      <c r="E172" s="781">
        <f t="shared" si="9"/>
        <v>11088.28831</v>
      </c>
      <c r="F172" s="781">
        <f>E172</f>
        <v>11088.28831</v>
      </c>
      <c r="G172" s="778">
        <f t="shared" si="7"/>
        <v>0.99943260059525785</v>
      </c>
      <c r="H172" s="2161"/>
      <c r="I172" s="779" t="s">
        <v>269</v>
      </c>
      <c r="J172" s="1458">
        <f>COUNTIF($J$175:$J$184,"Частично")</f>
        <v>0</v>
      </c>
      <c r="K172" s="2061"/>
      <c r="L172" s="2300"/>
      <c r="M172" s="2042"/>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c r="CB172" s="36"/>
      <c r="CC172" s="36"/>
      <c r="CD172" s="36"/>
      <c r="CE172" s="36"/>
      <c r="CF172" s="36"/>
      <c r="CG172" s="36"/>
      <c r="CH172" s="36"/>
      <c r="CI172" s="36"/>
      <c r="CJ172" s="36"/>
      <c r="CK172" s="36"/>
      <c r="CL172" s="36"/>
      <c r="CM172" s="36"/>
      <c r="CN172" s="36"/>
      <c r="CO172" s="36"/>
      <c r="CP172" s="36"/>
      <c r="CQ172" s="36"/>
      <c r="CR172" s="36"/>
      <c r="CS172" s="36"/>
      <c r="CT172" s="36"/>
      <c r="CU172" s="36"/>
      <c r="CV172" s="36"/>
      <c r="CW172" s="36"/>
      <c r="CX172" s="36"/>
      <c r="CY172" s="36"/>
      <c r="CZ172" s="36"/>
      <c r="DA172" s="36"/>
      <c r="DB172" s="36"/>
      <c r="DC172" s="36"/>
      <c r="DD172" s="36"/>
      <c r="DE172" s="36"/>
      <c r="DF172" s="36"/>
      <c r="DG172" s="36"/>
      <c r="DH172" s="36"/>
      <c r="DI172" s="36"/>
      <c r="DJ172" s="36"/>
      <c r="DK172" s="36"/>
      <c r="DL172" s="36"/>
      <c r="DM172" s="36"/>
      <c r="DN172" s="36"/>
      <c r="DO172" s="36"/>
      <c r="DP172" s="36"/>
      <c r="DQ172" s="36"/>
      <c r="DR172" s="36"/>
      <c r="DS172" s="36"/>
      <c r="DT172" s="36"/>
      <c r="DU172" s="36"/>
      <c r="DV172" s="36"/>
      <c r="DW172" s="36"/>
      <c r="DX172" s="36"/>
      <c r="DY172" s="36"/>
      <c r="DZ172" s="36"/>
    </row>
    <row r="173" spans="1:130" s="372" customFormat="1">
      <c r="A173" s="2124"/>
      <c r="B173" s="2118"/>
      <c r="C173" s="776" t="s">
        <v>11</v>
      </c>
      <c r="D173" s="781">
        <f t="shared" si="9"/>
        <v>0</v>
      </c>
      <c r="E173" s="781">
        <f t="shared" si="9"/>
        <v>0</v>
      </c>
      <c r="F173" s="781">
        <f>E173</f>
        <v>0</v>
      </c>
      <c r="G173" s="778">
        <f t="shared" si="7"/>
        <v>0</v>
      </c>
      <c r="H173" s="2161"/>
      <c r="I173" s="779" t="s">
        <v>270</v>
      </c>
      <c r="J173" s="1458">
        <f>COUNTIF($J$175:$J$184,"Нет")</f>
        <v>0</v>
      </c>
      <c r="K173" s="2061"/>
      <c r="L173" s="2300"/>
      <c r="M173" s="2042"/>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c r="CB173" s="36"/>
      <c r="CC173" s="36"/>
      <c r="CD173" s="36"/>
      <c r="CE173" s="36"/>
      <c r="CF173" s="36"/>
      <c r="CG173" s="36"/>
      <c r="CH173" s="36"/>
      <c r="CI173" s="36"/>
      <c r="CJ173" s="36"/>
      <c r="CK173" s="36"/>
      <c r="CL173" s="36"/>
      <c r="CM173" s="36"/>
      <c r="CN173" s="36"/>
      <c r="CO173" s="36"/>
      <c r="CP173" s="36"/>
      <c r="CQ173" s="36"/>
      <c r="CR173" s="36"/>
      <c r="CS173" s="36"/>
      <c r="CT173" s="36"/>
      <c r="CU173" s="36"/>
      <c r="CV173" s="36"/>
      <c r="CW173" s="36"/>
      <c r="CX173" s="36"/>
      <c r="CY173" s="36"/>
      <c r="CZ173" s="36"/>
      <c r="DA173" s="36"/>
      <c r="DB173" s="36"/>
      <c r="DC173" s="36"/>
      <c r="DD173" s="36"/>
      <c r="DE173" s="36"/>
      <c r="DF173" s="36"/>
      <c r="DG173" s="36"/>
      <c r="DH173" s="36"/>
      <c r="DI173" s="36"/>
      <c r="DJ173" s="36"/>
      <c r="DK173" s="36"/>
      <c r="DL173" s="36"/>
      <c r="DM173" s="36"/>
      <c r="DN173" s="36"/>
      <c r="DO173" s="36"/>
      <c r="DP173" s="36"/>
      <c r="DQ173" s="36"/>
      <c r="DR173" s="36"/>
      <c r="DS173" s="36"/>
      <c r="DT173" s="36"/>
      <c r="DU173" s="36"/>
      <c r="DV173" s="36"/>
      <c r="DW173" s="36"/>
      <c r="DX173" s="36"/>
      <c r="DY173" s="36"/>
      <c r="DZ173" s="36"/>
    </row>
    <row r="174" spans="1:130" s="372" customFormat="1" ht="33.75" customHeight="1">
      <c r="A174" s="2125"/>
      <c r="B174" s="2119"/>
      <c r="C174" s="776" t="s">
        <v>12</v>
      </c>
      <c r="D174" s="781">
        <v>0</v>
      </c>
      <c r="E174" s="781">
        <v>0</v>
      </c>
      <c r="F174" s="781">
        <v>0</v>
      </c>
      <c r="G174" s="778">
        <f t="shared" si="7"/>
        <v>0</v>
      </c>
      <c r="H174" s="2162"/>
      <c r="I174" s="779" t="s">
        <v>271</v>
      </c>
      <c r="J174" s="1459">
        <f>(J171+0.5*J172)/J170</f>
        <v>1</v>
      </c>
      <c r="K174" s="2062"/>
      <c r="L174" s="2301"/>
      <c r="M174" s="2043"/>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c r="CB174" s="36"/>
      <c r="CC174" s="36"/>
      <c r="CD174" s="36"/>
      <c r="CE174" s="36"/>
      <c r="CF174" s="36"/>
      <c r="CG174" s="36"/>
      <c r="CH174" s="36"/>
      <c r="CI174" s="36"/>
      <c r="CJ174" s="36"/>
      <c r="CK174" s="36"/>
      <c r="CL174" s="36"/>
      <c r="CM174" s="36"/>
      <c r="CN174" s="36"/>
      <c r="CO174" s="36"/>
      <c r="CP174" s="36"/>
      <c r="CQ174" s="36"/>
      <c r="CR174" s="36"/>
      <c r="CS174" s="36"/>
      <c r="CT174" s="36"/>
      <c r="CU174" s="36"/>
      <c r="CV174" s="36"/>
      <c r="CW174" s="36"/>
      <c r="CX174" s="36"/>
      <c r="CY174" s="36"/>
      <c r="CZ174" s="36"/>
      <c r="DA174" s="36"/>
      <c r="DB174" s="36"/>
      <c r="DC174" s="36"/>
      <c r="DD174" s="36"/>
      <c r="DE174" s="36"/>
      <c r="DF174" s="36"/>
      <c r="DG174" s="36"/>
      <c r="DH174" s="36"/>
      <c r="DI174" s="36"/>
      <c r="DJ174" s="36"/>
      <c r="DK174" s="36"/>
      <c r="DL174" s="36"/>
      <c r="DM174" s="36"/>
      <c r="DN174" s="36"/>
      <c r="DO174" s="36"/>
      <c r="DP174" s="36"/>
      <c r="DQ174" s="36"/>
      <c r="DR174" s="36"/>
      <c r="DS174" s="36"/>
      <c r="DT174" s="36"/>
      <c r="DU174" s="36"/>
      <c r="DV174" s="36"/>
      <c r="DW174" s="36"/>
      <c r="DX174" s="36"/>
      <c r="DY174" s="36"/>
      <c r="DZ174" s="36"/>
    </row>
    <row r="175" spans="1:130" s="372" customFormat="1" ht="15">
      <c r="A175" s="2294" t="s">
        <v>2877</v>
      </c>
      <c r="B175" s="2032" t="s">
        <v>3119</v>
      </c>
      <c r="C175" s="931" t="s">
        <v>8</v>
      </c>
      <c r="D175" s="107">
        <f>SUM(D176:D179)</f>
        <v>7674.45039</v>
      </c>
      <c r="E175" s="107">
        <f>SUM(E176:E179)</f>
        <v>7674.45039</v>
      </c>
      <c r="F175" s="107">
        <f>SUM(F176:F179)</f>
        <v>7674.45039</v>
      </c>
      <c r="G175" s="67">
        <f t="shared" si="7"/>
        <v>1</v>
      </c>
      <c r="H175" s="2142" t="s">
        <v>3620</v>
      </c>
      <c r="I175" s="2052" t="s">
        <v>3516</v>
      </c>
      <c r="J175" s="2044" t="s">
        <v>3384</v>
      </c>
      <c r="K175" s="2045" t="s">
        <v>3496</v>
      </c>
      <c r="L175" s="2295"/>
      <c r="M175" s="2063">
        <v>823</v>
      </c>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c r="CB175" s="36"/>
      <c r="CC175" s="36"/>
      <c r="CD175" s="36"/>
      <c r="CE175" s="36"/>
      <c r="CF175" s="36"/>
      <c r="CG175" s="36"/>
      <c r="CH175" s="36"/>
      <c r="CI175" s="36"/>
      <c r="CJ175" s="36"/>
      <c r="CK175" s="36"/>
      <c r="CL175" s="36"/>
      <c r="CM175" s="36"/>
      <c r="CN175" s="36"/>
      <c r="CO175" s="36"/>
      <c r="CP175" s="36"/>
      <c r="CQ175" s="36"/>
      <c r="CR175" s="36"/>
      <c r="CS175" s="36"/>
      <c r="CT175" s="36"/>
      <c r="CU175" s="36"/>
      <c r="CV175" s="36"/>
      <c r="CW175" s="36"/>
      <c r="CX175" s="36"/>
      <c r="CY175" s="36"/>
      <c r="CZ175" s="36"/>
      <c r="DA175" s="36"/>
      <c r="DB175" s="36"/>
      <c r="DC175" s="36"/>
      <c r="DD175" s="36"/>
      <c r="DE175" s="36"/>
      <c r="DF175" s="36"/>
      <c r="DG175" s="36"/>
      <c r="DH175" s="36"/>
      <c r="DI175" s="36"/>
      <c r="DJ175" s="36"/>
      <c r="DK175" s="36"/>
      <c r="DL175" s="36"/>
      <c r="DM175" s="36"/>
      <c r="DN175" s="36"/>
      <c r="DO175" s="36"/>
      <c r="DP175" s="36"/>
      <c r="DQ175" s="36"/>
      <c r="DR175" s="36"/>
      <c r="DS175" s="36"/>
      <c r="DT175" s="36"/>
      <c r="DU175" s="36"/>
      <c r="DV175" s="36"/>
      <c r="DW175" s="36"/>
      <c r="DX175" s="36"/>
      <c r="DY175" s="36"/>
      <c r="DZ175" s="36"/>
    </row>
    <row r="176" spans="1:130" s="372" customFormat="1" ht="15">
      <c r="A176" s="2030"/>
      <c r="B176" s="2033"/>
      <c r="C176" s="931" t="s">
        <v>9</v>
      </c>
      <c r="D176" s="656">
        <f>'668-ПП'!F338</f>
        <v>460.46701999999999</v>
      </c>
      <c r="E176" s="108">
        <f>НП!P198</f>
        <v>460.46701999999999</v>
      </c>
      <c r="F176" s="108">
        <f>E176</f>
        <v>460.46701999999999</v>
      </c>
      <c r="G176" s="67">
        <f t="shared" si="7"/>
        <v>1</v>
      </c>
      <c r="H176" s="2036"/>
      <c r="I176" s="2053"/>
      <c r="J176" s="2027"/>
      <c r="K176" s="2021"/>
      <c r="L176" s="2296"/>
      <c r="M176" s="2064"/>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c r="CB176" s="36"/>
      <c r="CC176" s="36"/>
      <c r="CD176" s="36"/>
      <c r="CE176" s="36"/>
      <c r="CF176" s="36"/>
      <c r="CG176" s="36"/>
      <c r="CH176" s="36"/>
      <c r="CI176" s="36"/>
      <c r="CJ176" s="36"/>
      <c r="CK176" s="36"/>
      <c r="CL176" s="36"/>
      <c r="CM176" s="36"/>
      <c r="CN176" s="36"/>
      <c r="CO176" s="36"/>
      <c r="CP176" s="36"/>
      <c r="CQ176" s="36"/>
      <c r="CR176" s="36"/>
      <c r="CS176" s="36"/>
      <c r="CT176" s="36"/>
      <c r="CU176" s="36"/>
      <c r="CV176" s="36"/>
      <c r="CW176" s="36"/>
      <c r="CX176" s="36"/>
      <c r="CY176" s="36"/>
      <c r="CZ176" s="36"/>
      <c r="DA176" s="36"/>
      <c r="DB176" s="36"/>
      <c r="DC176" s="36"/>
      <c r="DD176" s="36"/>
      <c r="DE176" s="36"/>
      <c r="DF176" s="36"/>
      <c r="DG176" s="36"/>
      <c r="DH176" s="36"/>
      <c r="DI176" s="36"/>
      <c r="DJ176" s="36"/>
      <c r="DK176" s="36"/>
      <c r="DL176" s="36"/>
      <c r="DM176" s="36"/>
      <c r="DN176" s="36"/>
      <c r="DO176" s="36"/>
      <c r="DP176" s="36"/>
      <c r="DQ176" s="36"/>
      <c r="DR176" s="36"/>
      <c r="DS176" s="36"/>
      <c r="DT176" s="36"/>
      <c r="DU176" s="36"/>
      <c r="DV176" s="36"/>
      <c r="DW176" s="36"/>
      <c r="DX176" s="36"/>
      <c r="DY176" s="36"/>
      <c r="DZ176" s="36"/>
    </row>
    <row r="177" spans="1:130" s="372" customFormat="1" ht="15">
      <c r="A177" s="2030"/>
      <c r="B177" s="2033"/>
      <c r="C177" s="931" t="s">
        <v>10</v>
      </c>
      <c r="D177" s="655">
        <f>'668-ПП'!G338</f>
        <v>7213.9833699999999</v>
      </c>
      <c r="E177" s="108">
        <f>НП!P197</f>
        <v>7213.9833699999999</v>
      </c>
      <c r="F177" s="108">
        <f>E177</f>
        <v>7213.9833699999999</v>
      </c>
      <c r="G177" s="67">
        <f t="shared" si="7"/>
        <v>1</v>
      </c>
      <c r="H177" s="2036"/>
      <c r="I177" s="2053"/>
      <c r="J177" s="2027"/>
      <c r="K177" s="2021"/>
      <c r="L177" s="2296"/>
      <c r="M177" s="2064"/>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c r="CB177" s="36"/>
      <c r="CC177" s="36"/>
      <c r="CD177" s="36"/>
      <c r="CE177" s="36"/>
      <c r="CF177" s="36"/>
      <c r="CG177" s="36"/>
      <c r="CH177" s="36"/>
      <c r="CI177" s="36"/>
      <c r="CJ177" s="36"/>
      <c r="CK177" s="36"/>
      <c r="CL177" s="36"/>
      <c r="CM177" s="36"/>
      <c r="CN177" s="36"/>
      <c r="CO177" s="36"/>
      <c r="CP177" s="36"/>
      <c r="CQ177" s="36"/>
      <c r="CR177" s="36"/>
      <c r="CS177" s="36"/>
      <c r="CT177" s="36"/>
      <c r="CU177" s="36"/>
      <c r="CV177" s="36"/>
      <c r="CW177" s="36"/>
      <c r="CX177" s="36"/>
      <c r="CY177" s="36"/>
      <c r="CZ177" s="36"/>
      <c r="DA177" s="36"/>
      <c r="DB177" s="36"/>
      <c r="DC177" s="36"/>
      <c r="DD177" s="36"/>
      <c r="DE177" s="36"/>
      <c r="DF177" s="36"/>
      <c r="DG177" s="36"/>
      <c r="DH177" s="36"/>
      <c r="DI177" s="36"/>
      <c r="DJ177" s="36"/>
      <c r="DK177" s="36"/>
      <c r="DL177" s="36"/>
      <c r="DM177" s="36"/>
      <c r="DN177" s="36"/>
      <c r="DO177" s="36"/>
      <c r="DP177" s="36"/>
      <c r="DQ177" s="36"/>
      <c r="DR177" s="36"/>
      <c r="DS177" s="36"/>
      <c r="DT177" s="36"/>
      <c r="DU177" s="36"/>
      <c r="DV177" s="36"/>
      <c r="DW177" s="36"/>
      <c r="DX177" s="36"/>
      <c r="DY177" s="36"/>
      <c r="DZ177" s="36"/>
    </row>
    <row r="178" spans="1:130" s="372" customFormat="1" ht="15">
      <c r="A178" s="2030"/>
      <c r="B178" s="2033"/>
      <c r="C178" s="931" t="s">
        <v>11</v>
      </c>
      <c r="D178" s="655">
        <f>'475ПП'!H337</f>
        <v>0</v>
      </c>
      <c r="E178" s="108">
        <v>0</v>
      </c>
      <c r="F178" s="108">
        <v>0</v>
      </c>
      <c r="G178" s="67">
        <f t="shared" si="7"/>
        <v>0</v>
      </c>
      <c r="H178" s="2036"/>
      <c r="I178" s="2053"/>
      <c r="J178" s="2027"/>
      <c r="K178" s="2021"/>
      <c r="L178" s="2296"/>
      <c r="M178" s="2064"/>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c r="CB178" s="36"/>
      <c r="CC178" s="36"/>
      <c r="CD178" s="36"/>
      <c r="CE178" s="36"/>
      <c r="CF178" s="36"/>
      <c r="CG178" s="36"/>
      <c r="CH178" s="36"/>
      <c r="CI178" s="36"/>
      <c r="CJ178" s="36"/>
      <c r="CK178" s="36"/>
      <c r="CL178" s="36"/>
      <c r="CM178" s="36"/>
      <c r="CN178" s="36"/>
      <c r="CO178" s="36"/>
      <c r="CP178" s="36"/>
      <c r="CQ178" s="36"/>
      <c r="CR178" s="36"/>
      <c r="CS178" s="36"/>
      <c r="CT178" s="36"/>
      <c r="CU178" s="36"/>
      <c r="CV178" s="36"/>
      <c r="CW178" s="36"/>
      <c r="CX178" s="36"/>
      <c r="CY178" s="36"/>
      <c r="CZ178" s="36"/>
      <c r="DA178" s="36"/>
      <c r="DB178" s="36"/>
      <c r="DC178" s="36"/>
      <c r="DD178" s="36"/>
      <c r="DE178" s="36"/>
      <c r="DF178" s="36"/>
      <c r="DG178" s="36"/>
      <c r="DH178" s="36"/>
      <c r="DI178" s="36"/>
      <c r="DJ178" s="36"/>
      <c r="DK178" s="36"/>
      <c r="DL178" s="36"/>
      <c r="DM178" s="36"/>
      <c r="DN178" s="36"/>
      <c r="DO178" s="36"/>
      <c r="DP178" s="36"/>
      <c r="DQ178" s="36"/>
      <c r="DR178" s="36"/>
      <c r="DS178" s="36"/>
      <c r="DT178" s="36"/>
      <c r="DU178" s="36"/>
      <c r="DV178" s="36"/>
      <c r="DW178" s="36"/>
      <c r="DX178" s="36"/>
      <c r="DY178" s="36"/>
      <c r="DZ178" s="36"/>
    </row>
    <row r="179" spans="1:130" s="372" customFormat="1" ht="15">
      <c r="A179" s="2031"/>
      <c r="B179" s="2034"/>
      <c r="C179" s="931" t="s">
        <v>12</v>
      </c>
      <c r="D179" s="655">
        <f>'475ПП'!I337</f>
        <v>0</v>
      </c>
      <c r="E179" s="108">
        <v>0</v>
      </c>
      <c r="F179" s="108">
        <v>0</v>
      </c>
      <c r="G179" s="67">
        <f t="shared" si="7"/>
        <v>0</v>
      </c>
      <c r="H179" s="2037"/>
      <c r="I179" s="2054"/>
      <c r="J179" s="2028"/>
      <c r="K179" s="2022"/>
      <c r="L179" s="2297"/>
      <c r="M179" s="2065"/>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c r="CB179" s="36"/>
      <c r="CC179" s="36"/>
      <c r="CD179" s="36"/>
      <c r="CE179" s="36"/>
      <c r="CF179" s="36"/>
      <c r="CG179" s="36"/>
      <c r="CH179" s="36"/>
      <c r="CI179" s="36"/>
      <c r="CJ179" s="36"/>
      <c r="CK179" s="36"/>
      <c r="CL179" s="36"/>
      <c r="CM179" s="36"/>
      <c r="CN179" s="36"/>
      <c r="CO179" s="36"/>
      <c r="CP179" s="36"/>
      <c r="CQ179" s="36"/>
      <c r="CR179" s="36"/>
      <c r="CS179" s="36"/>
      <c r="CT179" s="36"/>
      <c r="CU179" s="36"/>
      <c r="CV179" s="36"/>
      <c r="CW179" s="36"/>
      <c r="CX179" s="36"/>
      <c r="CY179" s="36"/>
      <c r="CZ179" s="36"/>
      <c r="DA179" s="36"/>
      <c r="DB179" s="36"/>
      <c r="DC179" s="36"/>
      <c r="DD179" s="36"/>
      <c r="DE179" s="36"/>
      <c r="DF179" s="36"/>
      <c r="DG179" s="36"/>
      <c r="DH179" s="36"/>
      <c r="DI179" s="36"/>
      <c r="DJ179" s="36"/>
      <c r="DK179" s="36"/>
      <c r="DL179" s="36"/>
      <c r="DM179" s="36"/>
      <c r="DN179" s="36"/>
      <c r="DO179" s="36"/>
      <c r="DP179" s="36"/>
      <c r="DQ179" s="36"/>
      <c r="DR179" s="36"/>
      <c r="DS179" s="36"/>
      <c r="DT179" s="36"/>
      <c r="DU179" s="36"/>
      <c r="DV179" s="36"/>
      <c r="DW179" s="36"/>
      <c r="DX179" s="36"/>
      <c r="DY179" s="36"/>
      <c r="DZ179" s="36"/>
    </row>
    <row r="180" spans="1:130" s="372" customFormat="1" ht="15" customHeight="1">
      <c r="A180" s="2294" t="s">
        <v>2878</v>
      </c>
      <c r="B180" s="2032" t="s">
        <v>3116</v>
      </c>
      <c r="C180" s="931" t="s">
        <v>8</v>
      </c>
      <c r="D180" s="107">
        <f>SUM(D181:D184)</f>
        <v>4128.2978700000003</v>
      </c>
      <c r="E180" s="107">
        <f>SUM(E181:E184)</f>
        <v>4121.6009999999997</v>
      </c>
      <c r="F180" s="107">
        <f>SUM(F181:F184)</f>
        <v>4121.6009999999997</v>
      </c>
      <c r="G180" s="67">
        <f t="shared" si="7"/>
        <v>0.99837781327537767</v>
      </c>
      <c r="H180" s="2049" t="s">
        <v>3114</v>
      </c>
      <c r="I180" s="2052" t="s">
        <v>3612</v>
      </c>
      <c r="J180" s="2044" t="s">
        <v>3384</v>
      </c>
      <c r="K180" s="2045" t="s">
        <v>3497</v>
      </c>
      <c r="L180" s="2052"/>
      <c r="M180" s="2063">
        <v>823</v>
      </c>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c r="CM180" s="36"/>
      <c r="CN180" s="36"/>
      <c r="CO180" s="36"/>
      <c r="CP180" s="36"/>
      <c r="CQ180" s="36"/>
      <c r="CR180" s="36"/>
      <c r="CS180" s="36"/>
      <c r="CT180" s="36"/>
      <c r="CU180" s="36"/>
      <c r="CV180" s="36"/>
      <c r="CW180" s="36"/>
      <c r="CX180" s="36"/>
      <c r="CY180" s="36"/>
      <c r="CZ180" s="36"/>
      <c r="DA180" s="36"/>
      <c r="DB180" s="36"/>
      <c r="DC180" s="36"/>
      <c r="DD180" s="36"/>
      <c r="DE180" s="36"/>
      <c r="DF180" s="36"/>
      <c r="DG180" s="36"/>
      <c r="DH180" s="36"/>
      <c r="DI180" s="36"/>
      <c r="DJ180" s="36"/>
      <c r="DK180" s="36"/>
      <c r="DL180" s="36"/>
      <c r="DM180" s="36"/>
      <c r="DN180" s="36"/>
      <c r="DO180" s="36"/>
      <c r="DP180" s="36"/>
      <c r="DQ180" s="36"/>
      <c r="DR180" s="36"/>
      <c r="DS180" s="36"/>
      <c r="DT180" s="36"/>
      <c r="DU180" s="36"/>
      <c r="DV180" s="36"/>
      <c r="DW180" s="36"/>
      <c r="DX180" s="36"/>
      <c r="DY180" s="36"/>
      <c r="DZ180" s="36"/>
    </row>
    <row r="181" spans="1:130" s="372" customFormat="1">
      <c r="A181" s="2030"/>
      <c r="B181" s="2033"/>
      <c r="C181" s="931" t="s">
        <v>9</v>
      </c>
      <c r="D181" s="659">
        <f>'668-ПП'!F344</f>
        <v>247.69786999999997</v>
      </c>
      <c r="E181" s="659">
        <f>НП!P187</f>
        <v>247.29606000000001</v>
      </c>
      <c r="F181" s="659">
        <f>E181</f>
        <v>247.29606000000001</v>
      </c>
      <c r="G181" s="67">
        <f t="shared" si="7"/>
        <v>0.99837782214275816</v>
      </c>
      <c r="H181" s="2050"/>
      <c r="I181" s="2053"/>
      <c r="J181" s="2027"/>
      <c r="K181" s="2021"/>
      <c r="L181" s="2053"/>
      <c r="M181" s="2064"/>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c r="CB181" s="36"/>
      <c r="CC181" s="36"/>
      <c r="CD181" s="36"/>
      <c r="CE181" s="36"/>
      <c r="CF181" s="36"/>
      <c r="CG181" s="36"/>
      <c r="CH181" s="36"/>
      <c r="CI181" s="36"/>
      <c r="CJ181" s="36"/>
      <c r="CK181" s="36"/>
      <c r="CL181" s="36"/>
      <c r="CM181" s="36"/>
      <c r="CN181" s="36"/>
      <c r="CO181" s="36"/>
      <c r="CP181" s="36"/>
      <c r="CQ181" s="36"/>
      <c r="CR181" s="36"/>
      <c r="CS181" s="36"/>
      <c r="CT181" s="36"/>
      <c r="CU181" s="36"/>
      <c r="CV181" s="36"/>
      <c r="CW181" s="36"/>
      <c r="CX181" s="36"/>
      <c r="CY181" s="36"/>
      <c r="CZ181" s="36"/>
      <c r="DA181" s="36"/>
      <c r="DB181" s="36"/>
      <c r="DC181" s="36"/>
      <c r="DD181" s="36"/>
      <c r="DE181" s="36"/>
      <c r="DF181" s="36"/>
      <c r="DG181" s="36"/>
      <c r="DH181" s="36"/>
      <c r="DI181" s="36"/>
      <c r="DJ181" s="36"/>
      <c r="DK181" s="36"/>
      <c r="DL181" s="36"/>
      <c r="DM181" s="36"/>
      <c r="DN181" s="36"/>
      <c r="DO181" s="36"/>
      <c r="DP181" s="36"/>
      <c r="DQ181" s="36"/>
      <c r="DR181" s="36"/>
      <c r="DS181" s="36"/>
      <c r="DT181" s="36"/>
      <c r="DU181" s="36"/>
      <c r="DV181" s="36"/>
      <c r="DW181" s="36"/>
      <c r="DX181" s="36"/>
      <c r="DY181" s="36"/>
      <c r="DZ181" s="36"/>
    </row>
    <row r="182" spans="1:130" s="372" customFormat="1" ht="15" customHeight="1">
      <c r="A182" s="2030"/>
      <c r="B182" s="2033"/>
      <c r="C182" s="931" t="s">
        <v>10</v>
      </c>
      <c r="D182" s="109">
        <f>'668-ПП'!G344</f>
        <v>3880.6</v>
      </c>
      <c r="E182" s="109">
        <f>НП!P186</f>
        <v>3874.30494</v>
      </c>
      <c r="F182" s="109">
        <f>E182</f>
        <v>3874.30494</v>
      </c>
      <c r="G182" s="67">
        <f t="shared" si="7"/>
        <v>0.99837781270937487</v>
      </c>
      <c r="H182" s="2050"/>
      <c r="I182" s="2053"/>
      <c r="J182" s="2027"/>
      <c r="K182" s="2021"/>
      <c r="L182" s="2053"/>
      <c r="M182" s="2064"/>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c r="CB182" s="36"/>
      <c r="CC182" s="36"/>
      <c r="CD182" s="36"/>
      <c r="CE182" s="36"/>
      <c r="CF182" s="36"/>
      <c r="CG182" s="36"/>
      <c r="CH182" s="36"/>
      <c r="CI182" s="36"/>
      <c r="CJ182" s="36"/>
      <c r="CK182" s="36"/>
      <c r="CL182" s="36"/>
      <c r="CM182" s="36"/>
      <c r="CN182" s="36"/>
      <c r="CO182" s="36"/>
      <c r="CP182" s="36"/>
      <c r="CQ182" s="36"/>
      <c r="CR182" s="36"/>
      <c r="CS182" s="36"/>
      <c r="CT182" s="36"/>
      <c r="CU182" s="36"/>
      <c r="CV182" s="36"/>
      <c r="CW182" s="36"/>
      <c r="CX182" s="36"/>
      <c r="CY182" s="36"/>
      <c r="CZ182" s="36"/>
      <c r="DA182" s="36"/>
      <c r="DB182" s="36"/>
      <c r="DC182" s="36"/>
      <c r="DD182" s="36"/>
      <c r="DE182" s="36"/>
      <c r="DF182" s="36"/>
      <c r="DG182" s="36"/>
      <c r="DH182" s="36"/>
      <c r="DI182" s="36"/>
      <c r="DJ182" s="36"/>
      <c r="DK182" s="36"/>
      <c r="DL182" s="36"/>
      <c r="DM182" s="36"/>
      <c r="DN182" s="36"/>
      <c r="DO182" s="36"/>
      <c r="DP182" s="36"/>
      <c r="DQ182" s="36"/>
      <c r="DR182" s="36"/>
      <c r="DS182" s="36"/>
      <c r="DT182" s="36"/>
      <c r="DU182" s="36"/>
      <c r="DV182" s="36"/>
      <c r="DW182" s="36"/>
      <c r="DX182" s="36"/>
      <c r="DY182" s="36"/>
      <c r="DZ182" s="36"/>
    </row>
    <row r="183" spans="1:130" s="372" customFormat="1" ht="15" customHeight="1">
      <c r="A183" s="2030"/>
      <c r="B183" s="2033"/>
      <c r="C183" s="931" t="s">
        <v>11</v>
      </c>
      <c r="D183" s="655">
        <f>'475ПП'!H343</f>
        <v>0</v>
      </c>
      <c r="E183" s="108">
        <v>0</v>
      </c>
      <c r="F183" s="108">
        <v>0</v>
      </c>
      <c r="G183" s="67">
        <f t="shared" si="7"/>
        <v>0</v>
      </c>
      <c r="H183" s="2050"/>
      <c r="I183" s="2053"/>
      <c r="J183" s="2027"/>
      <c r="K183" s="2021"/>
      <c r="L183" s="2053"/>
      <c r="M183" s="2064"/>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c r="CB183" s="36"/>
      <c r="CC183" s="36"/>
      <c r="CD183" s="36"/>
      <c r="CE183" s="36"/>
      <c r="CF183" s="36"/>
      <c r="CG183" s="36"/>
      <c r="CH183" s="36"/>
      <c r="CI183" s="36"/>
      <c r="CJ183" s="36"/>
      <c r="CK183" s="36"/>
      <c r="CL183" s="36"/>
      <c r="CM183" s="36"/>
      <c r="CN183" s="36"/>
      <c r="CO183" s="36"/>
      <c r="CP183" s="36"/>
      <c r="CQ183" s="36"/>
      <c r="CR183" s="36"/>
      <c r="CS183" s="36"/>
      <c r="CT183" s="36"/>
      <c r="CU183" s="36"/>
      <c r="CV183" s="36"/>
      <c r="CW183" s="36"/>
      <c r="CX183" s="36"/>
      <c r="CY183" s="36"/>
      <c r="CZ183" s="36"/>
      <c r="DA183" s="36"/>
      <c r="DB183" s="36"/>
      <c r="DC183" s="36"/>
      <c r="DD183" s="36"/>
      <c r="DE183" s="36"/>
      <c r="DF183" s="36"/>
      <c r="DG183" s="36"/>
      <c r="DH183" s="36"/>
      <c r="DI183" s="36"/>
      <c r="DJ183" s="36"/>
      <c r="DK183" s="36"/>
      <c r="DL183" s="36"/>
      <c r="DM183" s="36"/>
      <c r="DN183" s="36"/>
      <c r="DO183" s="36"/>
      <c r="DP183" s="36"/>
      <c r="DQ183" s="36"/>
      <c r="DR183" s="36"/>
      <c r="DS183" s="36"/>
      <c r="DT183" s="36"/>
      <c r="DU183" s="36"/>
      <c r="DV183" s="36"/>
      <c r="DW183" s="36"/>
      <c r="DX183" s="36"/>
      <c r="DY183" s="36"/>
      <c r="DZ183" s="36"/>
    </row>
    <row r="184" spans="1:130" s="372" customFormat="1" ht="15" customHeight="1">
      <c r="A184" s="2031"/>
      <c r="B184" s="2034"/>
      <c r="C184" s="931" t="s">
        <v>12</v>
      </c>
      <c r="D184" s="655">
        <f>'475ПП'!I343</f>
        <v>0</v>
      </c>
      <c r="E184" s="108">
        <v>0</v>
      </c>
      <c r="F184" s="108">
        <v>0</v>
      </c>
      <c r="G184" s="67">
        <f t="shared" si="7"/>
        <v>0</v>
      </c>
      <c r="H184" s="2051"/>
      <c r="I184" s="2054"/>
      <c r="J184" s="2028"/>
      <c r="K184" s="2022"/>
      <c r="L184" s="2054"/>
      <c r="M184" s="2065"/>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c r="CB184" s="36"/>
      <c r="CC184" s="36"/>
      <c r="CD184" s="36"/>
      <c r="CE184" s="36"/>
      <c r="CF184" s="36"/>
      <c r="CG184" s="36"/>
      <c r="CH184" s="36"/>
      <c r="CI184" s="36"/>
      <c r="CJ184" s="36"/>
      <c r="CK184" s="36"/>
      <c r="CL184" s="36"/>
      <c r="CM184" s="36"/>
      <c r="CN184" s="36"/>
      <c r="CO184" s="36"/>
      <c r="CP184" s="36"/>
      <c r="CQ184" s="36"/>
      <c r="CR184" s="36"/>
      <c r="CS184" s="36"/>
      <c r="CT184" s="36"/>
      <c r="CU184" s="36"/>
      <c r="CV184" s="36"/>
      <c r="CW184" s="36"/>
      <c r="CX184" s="36"/>
      <c r="CY184" s="36"/>
      <c r="CZ184" s="36"/>
      <c r="DA184" s="36"/>
      <c r="DB184" s="36"/>
      <c r="DC184" s="36"/>
      <c r="DD184" s="36"/>
      <c r="DE184" s="36"/>
      <c r="DF184" s="36"/>
      <c r="DG184" s="36"/>
      <c r="DH184" s="36"/>
      <c r="DI184" s="36"/>
      <c r="DJ184" s="36"/>
      <c r="DK184" s="36"/>
      <c r="DL184" s="36"/>
      <c r="DM184" s="36"/>
      <c r="DN184" s="36"/>
      <c r="DO184" s="36"/>
      <c r="DP184" s="36"/>
      <c r="DQ184" s="36"/>
      <c r="DR184" s="36"/>
      <c r="DS184" s="36"/>
      <c r="DT184" s="36"/>
      <c r="DU184" s="36"/>
      <c r="DV184" s="36"/>
      <c r="DW184" s="36"/>
      <c r="DX184" s="36"/>
      <c r="DY184" s="36"/>
      <c r="DZ184" s="36"/>
    </row>
    <row r="185" spans="1:130">
      <c r="A185" s="2291" t="s">
        <v>76</v>
      </c>
      <c r="B185" s="2111" t="s">
        <v>77</v>
      </c>
      <c r="C185" s="1521" t="s">
        <v>8</v>
      </c>
      <c r="D185" s="1522">
        <f>SUM(D186:D189)</f>
        <v>689220.51088999992</v>
      </c>
      <c r="E185" s="1522">
        <f>SUM(E186:E189)</f>
        <v>617900.04072000005</v>
      </c>
      <c r="F185" s="1522">
        <f>SUM(F186:F189)</f>
        <v>617900.04072000005</v>
      </c>
      <c r="G185" s="1509">
        <f t="shared" si="7"/>
        <v>0.89652009909295538</v>
      </c>
      <c r="H185" s="2111"/>
      <c r="I185" s="649" t="s">
        <v>267</v>
      </c>
      <c r="J185" s="677">
        <f>SUM(J186:J188)</f>
        <v>15</v>
      </c>
      <c r="K185" s="2057" t="s">
        <v>2895</v>
      </c>
      <c r="L185" s="2247"/>
      <c r="M185" s="2234" t="s">
        <v>150</v>
      </c>
    </row>
    <row r="186" spans="1:130">
      <c r="A186" s="2292"/>
      <c r="B186" s="2112"/>
      <c r="C186" s="1521" t="s">
        <v>9</v>
      </c>
      <c r="D186" s="1523">
        <f>SUM(D201,D241,D276,D261,D191)</f>
        <v>255347.49314999999</v>
      </c>
      <c r="E186" s="1523">
        <f>SUM(E201,E241,E276,E261,E191)</f>
        <v>184028.09072000001</v>
      </c>
      <c r="F186" s="1523">
        <f>E186</f>
        <v>184028.09072000001</v>
      </c>
      <c r="G186" s="1509">
        <f t="shared" si="7"/>
        <v>0.72069668062844661</v>
      </c>
      <c r="H186" s="2112"/>
      <c r="I186" s="649" t="s">
        <v>268</v>
      </c>
      <c r="J186" s="677">
        <f>SUM(J201,J241,J276,J191,J261,)</f>
        <v>13</v>
      </c>
      <c r="K186" s="2058"/>
      <c r="L186" s="2248"/>
      <c r="M186" s="2235"/>
    </row>
    <row r="187" spans="1:130">
      <c r="A187" s="2292"/>
      <c r="B187" s="2112"/>
      <c r="C187" s="1521" t="s">
        <v>10</v>
      </c>
      <c r="D187" s="1523">
        <f>SUM(D202,D242,D277,D192)</f>
        <v>424710.74</v>
      </c>
      <c r="E187" s="1523">
        <f>SUM(E202,E242,E277,E192)</f>
        <v>424710.7</v>
      </c>
      <c r="F187" s="1524">
        <f>E187</f>
        <v>424710.7</v>
      </c>
      <c r="G187" s="1509">
        <f t="shared" si="7"/>
        <v>0.99999990581825182</v>
      </c>
      <c r="H187" s="2112"/>
      <c r="I187" s="649" t="s">
        <v>269</v>
      </c>
      <c r="J187" s="677">
        <f>SUM(J202,J242,J277,J192)</f>
        <v>1</v>
      </c>
      <c r="K187" s="2058"/>
      <c r="L187" s="2248"/>
      <c r="M187" s="2235"/>
    </row>
    <row r="188" spans="1:130">
      <c r="A188" s="2292"/>
      <c r="B188" s="2112"/>
      <c r="C188" s="1521" t="s">
        <v>11</v>
      </c>
      <c r="D188" s="1523">
        <f>SUM(D203,D243,D278,D263,D193)</f>
        <v>9162.2777399999759</v>
      </c>
      <c r="E188" s="1523">
        <f>SUM(E203,E243,E278,E263,E193)</f>
        <v>9161.25</v>
      </c>
      <c r="F188" s="1524">
        <f>E188</f>
        <v>9161.25</v>
      </c>
      <c r="G188" s="1509">
        <f t="shared" si="7"/>
        <v>0.9998878292026131</v>
      </c>
      <c r="H188" s="2112"/>
      <c r="I188" s="649" t="s">
        <v>270</v>
      </c>
      <c r="J188" s="677">
        <f>SUM(J203,J243,J278,J263,J193)</f>
        <v>1</v>
      </c>
      <c r="K188" s="2058"/>
      <c r="L188" s="2248"/>
      <c r="M188" s="2235"/>
    </row>
    <row r="189" spans="1:130">
      <c r="A189" s="2293"/>
      <c r="B189" s="2113"/>
      <c r="C189" s="1521" t="s">
        <v>12</v>
      </c>
      <c r="D189" s="1524">
        <v>0</v>
      </c>
      <c r="E189" s="1524">
        <v>0</v>
      </c>
      <c r="F189" s="1524">
        <v>0</v>
      </c>
      <c r="G189" s="1509">
        <f t="shared" si="7"/>
        <v>0</v>
      </c>
      <c r="H189" s="2113"/>
      <c r="I189" s="649" t="s">
        <v>271</v>
      </c>
      <c r="J189" s="652">
        <f>(J186+0.5*J187)/J185</f>
        <v>0.9</v>
      </c>
      <c r="K189" s="2059"/>
      <c r="L189" s="2249"/>
      <c r="M189" s="2242"/>
    </row>
    <row r="190" spans="1:130" ht="15.75" customHeight="1">
      <c r="A190" s="2276" t="s">
        <v>5413</v>
      </c>
      <c r="B190" s="2275" t="s">
        <v>80</v>
      </c>
      <c r="C190" s="776" t="s">
        <v>8</v>
      </c>
      <c r="D190" s="1834">
        <f>SUM(D191:D194)</f>
        <v>12000</v>
      </c>
      <c r="E190" s="1834">
        <f t="shared" ref="E190:F190" si="10">SUM(E191:E194)</f>
        <v>12000</v>
      </c>
      <c r="F190" s="1834">
        <f t="shared" si="10"/>
        <v>12000</v>
      </c>
      <c r="G190" s="778">
        <f t="shared" si="7"/>
        <v>1</v>
      </c>
      <c r="H190" s="2278" t="s">
        <v>2822</v>
      </c>
      <c r="I190" s="779" t="s">
        <v>267</v>
      </c>
      <c r="J190" s="780">
        <f>SUM(J191:J193)</f>
        <v>1</v>
      </c>
      <c r="K190" s="2060" t="s">
        <v>3027</v>
      </c>
      <c r="L190" s="2066"/>
      <c r="M190" s="2067"/>
    </row>
    <row r="191" spans="1:130">
      <c r="A191" s="2140"/>
      <c r="B191" s="2109"/>
      <c r="C191" s="776" t="s">
        <v>9</v>
      </c>
      <c r="D191" s="1834">
        <f>SUM(D196)</f>
        <v>9000</v>
      </c>
      <c r="E191" s="1834">
        <f t="shared" ref="E191:F191" si="11">SUM(E196)</f>
        <v>9000</v>
      </c>
      <c r="F191" s="1834">
        <f t="shared" si="11"/>
        <v>9000</v>
      </c>
      <c r="G191" s="778">
        <f t="shared" si="7"/>
        <v>1</v>
      </c>
      <c r="H191" s="2278"/>
      <c r="I191" s="779" t="s">
        <v>268</v>
      </c>
      <c r="J191" s="780">
        <v>1</v>
      </c>
      <c r="K191" s="2061"/>
      <c r="L191" s="2066"/>
      <c r="M191" s="2067"/>
    </row>
    <row r="192" spans="1:130">
      <c r="A192" s="2140"/>
      <c r="B192" s="2109"/>
      <c r="C192" s="776" t="s">
        <v>10</v>
      </c>
      <c r="D192" s="1834">
        <f>SUM(D197)</f>
        <v>0</v>
      </c>
      <c r="E192" s="1834">
        <f t="shared" ref="E192:F192" si="12">SUM(E197)</f>
        <v>0</v>
      </c>
      <c r="F192" s="1834">
        <f t="shared" si="12"/>
        <v>0</v>
      </c>
      <c r="G192" s="778">
        <f t="shared" si="7"/>
        <v>0</v>
      </c>
      <c r="H192" s="2278"/>
      <c r="I192" s="779" t="s">
        <v>269</v>
      </c>
      <c r="J192" s="780">
        <v>0</v>
      </c>
      <c r="K192" s="2061"/>
      <c r="L192" s="2066"/>
      <c r="M192" s="2067"/>
    </row>
    <row r="193" spans="1:130">
      <c r="A193" s="2140"/>
      <c r="B193" s="2109"/>
      <c r="C193" s="776" t="s">
        <v>11</v>
      </c>
      <c r="D193" s="1834">
        <f>SUM(D198)</f>
        <v>3000</v>
      </c>
      <c r="E193" s="1834">
        <f t="shared" ref="E193:F193" si="13">SUM(E198)</f>
        <v>3000</v>
      </c>
      <c r="F193" s="1834">
        <f t="shared" si="13"/>
        <v>3000</v>
      </c>
      <c r="G193" s="778">
        <f t="shared" si="7"/>
        <v>1</v>
      </c>
      <c r="H193" s="2278"/>
      <c r="I193" s="779" t="s">
        <v>270</v>
      </c>
      <c r="J193" s="780">
        <v>0</v>
      </c>
      <c r="K193" s="2061"/>
      <c r="L193" s="2066"/>
      <c r="M193" s="2067"/>
    </row>
    <row r="194" spans="1:130">
      <c r="A194" s="2141"/>
      <c r="B194" s="2110"/>
      <c r="C194" s="776" t="s">
        <v>12</v>
      </c>
      <c r="D194" s="1834">
        <f>SUM(D199)</f>
        <v>0</v>
      </c>
      <c r="E194" s="1834">
        <f t="shared" ref="E194:F194" si="14">SUM(E199)</f>
        <v>0</v>
      </c>
      <c r="F194" s="1834">
        <f t="shared" si="14"/>
        <v>0</v>
      </c>
      <c r="G194" s="778">
        <f t="shared" si="7"/>
        <v>0</v>
      </c>
      <c r="H194" s="2278"/>
      <c r="I194" s="779" t="s">
        <v>271</v>
      </c>
      <c r="J194" s="1459">
        <f>(J191+0.5*J192)/J190</f>
        <v>1</v>
      </c>
      <c r="K194" s="2062"/>
      <c r="L194" s="2066"/>
      <c r="M194" s="2067"/>
    </row>
    <row r="195" spans="1:130" ht="15.75" customHeight="1">
      <c r="A195" s="2250" t="s">
        <v>219</v>
      </c>
      <c r="B195" s="2277" t="s">
        <v>5415</v>
      </c>
      <c r="C195" s="932" t="s">
        <v>8</v>
      </c>
      <c r="D195" s="108">
        <f>SUM(D196:D199)</f>
        <v>12000</v>
      </c>
      <c r="E195" s="108">
        <f>SUM(E196:E199)</f>
        <v>12000</v>
      </c>
      <c r="F195" s="108">
        <f>SUM(F196:F199)</f>
        <v>12000</v>
      </c>
      <c r="G195" s="67">
        <f t="shared" si="7"/>
        <v>1</v>
      </c>
      <c r="H195" s="2033" t="s">
        <v>5416</v>
      </c>
      <c r="I195" s="2136" t="s">
        <v>5437</v>
      </c>
      <c r="J195" s="2285" t="s">
        <v>3384</v>
      </c>
      <c r="K195" s="2045" t="s">
        <v>2993</v>
      </c>
      <c r="L195" s="2055"/>
      <c r="M195" s="2074">
        <v>807</v>
      </c>
    </row>
    <row r="196" spans="1:130" ht="15.75" customHeight="1">
      <c r="A196" s="2030"/>
      <c r="B196" s="2105"/>
      <c r="C196" s="932" t="s">
        <v>9</v>
      </c>
      <c r="D196" s="108">
        <v>9000</v>
      </c>
      <c r="E196" s="108">
        <v>9000</v>
      </c>
      <c r="F196" s="108">
        <f>E196</f>
        <v>9000</v>
      </c>
      <c r="G196" s="67">
        <f t="shared" si="7"/>
        <v>1</v>
      </c>
      <c r="H196" s="2033"/>
      <c r="I196" s="2137"/>
      <c r="J196" s="2286"/>
      <c r="K196" s="2021"/>
      <c r="L196" s="2055"/>
      <c r="M196" s="2074"/>
    </row>
    <row r="197" spans="1:130" ht="15.75" customHeight="1">
      <c r="A197" s="2030"/>
      <c r="B197" s="2105"/>
      <c r="C197" s="932" t="s">
        <v>10</v>
      </c>
      <c r="D197" s="108">
        <v>0</v>
      </c>
      <c r="E197" s="108">
        <v>0</v>
      </c>
      <c r="F197" s="108">
        <v>0</v>
      </c>
      <c r="G197" s="67">
        <f t="shared" si="7"/>
        <v>0</v>
      </c>
      <c r="H197" s="2033"/>
      <c r="I197" s="2137"/>
      <c r="J197" s="2286"/>
      <c r="K197" s="2021"/>
      <c r="L197" s="2055"/>
      <c r="M197" s="2074"/>
    </row>
    <row r="198" spans="1:130" ht="15.75" customHeight="1">
      <c r="A198" s="2030"/>
      <c r="B198" s="2105"/>
      <c r="C198" s="932" t="s">
        <v>11</v>
      </c>
      <c r="D198" s="108">
        <v>3000</v>
      </c>
      <c r="E198" s="108">
        <v>3000</v>
      </c>
      <c r="F198" s="108">
        <f>E198</f>
        <v>3000</v>
      </c>
      <c r="G198" s="67">
        <f t="shared" si="7"/>
        <v>1</v>
      </c>
      <c r="H198" s="2033"/>
      <c r="I198" s="2137"/>
      <c r="J198" s="2286"/>
      <c r="K198" s="2021"/>
      <c r="L198" s="2055"/>
      <c r="M198" s="2074"/>
    </row>
    <row r="199" spans="1:130" ht="15.75" customHeight="1">
      <c r="A199" s="2031"/>
      <c r="B199" s="2106"/>
      <c r="C199" s="932" t="s">
        <v>12</v>
      </c>
      <c r="D199" s="108">
        <v>0</v>
      </c>
      <c r="E199" s="108">
        <v>0</v>
      </c>
      <c r="F199" s="108">
        <v>0</v>
      </c>
      <c r="G199" s="67">
        <f t="shared" si="7"/>
        <v>0</v>
      </c>
      <c r="H199" s="2034"/>
      <c r="I199" s="2138"/>
      <c r="J199" s="2287"/>
      <c r="K199" s="2022"/>
      <c r="L199" s="2055"/>
      <c r="M199" s="2074"/>
    </row>
    <row r="200" spans="1:130">
      <c r="A200" s="2139" t="s">
        <v>5414</v>
      </c>
      <c r="B200" s="2108" t="s">
        <v>2720</v>
      </c>
      <c r="C200" s="776" t="s">
        <v>8</v>
      </c>
      <c r="D200" s="777">
        <f>SUM(D201:D204)</f>
        <v>127612.50600000001</v>
      </c>
      <c r="E200" s="777">
        <f>SUM(E201:E204)</f>
        <v>124136.57072</v>
      </c>
      <c r="F200" s="777">
        <f>SUM(F201:F204)</f>
        <v>124136.57072</v>
      </c>
      <c r="G200" s="778">
        <f t="shared" si="7"/>
        <v>0.97276179749969016</v>
      </c>
      <c r="H200" s="2143" t="s">
        <v>2826</v>
      </c>
      <c r="I200" s="779" t="s">
        <v>267</v>
      </c>
      <c r="J200" s="780">
        <f>SUM(J201:J203)</f>
        <v>7</v>
      </c>
      <c r="K200" s="2060" t="s">
        <v>3070</v>
      </c>
      <c r="L200" s="2060"/>
      <c r="M200" s="2041">
        <v>823</v>
      </c>
    </row>
    <row r="201" spans="1:130">
      <c r="A201" s="2140"/>
      <c r="B201" s="2109"/>
      <c r="C201" s="776" t="s">
        <v>9</v>
      </c>
      <c r="D201" s="777">
        <f>SUM(D206,D211,D221,D226,D231,D236,D216)</f>
        <v>122146.82400000001</v>
      </c>
      <c r="E201" s="777">
        <f t="shared" ref="E201:F201" si="15">SUM(E206,E211,E221,E226,E231,E236,E216)</f>
        <v>118671.92072000001</v>
      </c>
      <c r="F201" s="777">
        <f t="shared" si="15"/>
        <v>118671.92072000001</v>
      </c>
      <c r="G201" s="778">
        <f t="shared" si="7"/>
        <v>0.97155142339190093</v>
      </c>
      <c r="H201" s="2144"/>
      <c r="I201" s="779" t="s">
        <v>268</v>
      </c>
      <c r="J201" s="780">
        <v>6</v>
      </c>
      <c r="K201" s="2061"/>
      <c r="L201" s="2061"/>
      <c r="M201" s="2042"/>
    </row>
    <row r="202" spans="1:130">
      <c r="A202" s="2140"/>
      <c r="B202" s="2109"/>
      <c r="C202" s="776" t="s">
        <v>10</v>
      </c>
      <c r="D202" s="777">
        <f t="shared" ref="D202:F202" si="16">SUM(D207,D212,D222,D227,D232,D237,D217)</f>
        <v>0</v>
      </c>
      <c r="E202" s="777">
        <f t="shared" si="16"/>
        <v>0</v>
      </c>
      <c r="F202" s="777">
        <f t="shared" si="16"/>
        <v>0</v>
      </c>
      <c r="G202" s="778">
        <f t="shared" si="7"/>
        <v>0</v>
      </c>
      <c r="H202" s="2144"/>
      <c r="I202" s="779" t="s">
        <v>269</v>
      </c>
      <c r="J202" s="780">
        <f>COUNTIF($J$205:$J$234,"Частично")</f>
        <v>0</v>
      </c>
      <c r="K202" s="2061"/>
      <c r="L202" s="2061"/>
      <c r="M202" s="2042"/>
    </row>
    <row r="203" spans="1:130">
      <c r="A203" s="2140"/>
      <c r="B203" s="2109"/>
      <c r="C203" s="776" t="s">
        <v>11</v>
      </c>
      <c r="D203" s="777">
        <f t="shared" ref="D203:F203" si="17">SUM(D208,D213,D223,D228,D233,D238,D218)</f>
        <v>5465.6819999999998</v>
      </c>
      <c r="E203" s="777">
        <f t="shared" si="17"/>
        <v>5464.65</v>
      </c>
      <c r="F203" s="777">
        <f t="shared" si="17"/>
        <v>5464.65</v>
      </c>
      <c r="G203" s="778">
        <f t="shared" si="7"/>
        <v>0.99981118550255943</v>
      </c>
      <c r="H203" s="2144"/>
      <c r="I203" s="779" t="s">
        <v>270</v>
      </c>
      <c r="J203" s="780">
        <v>1</v>
      </c>
      <c r="K203" s="2061"/>
      <c r="L203" s="2061"/>
      <c r="M203" s="2042"/>
    </row>
    <row r="204" spans="1:130">
      <c r="A204" s="2141"/>
      <c r="B204" s="2110"/>
      <c r="C204" s="776" t="s">
        <v>12</v>
      </c>
      <c r="D204" s="777">
        <f t="shared" ref="D204:F204" si="18">SUM(D209,D214,D224,D229,D234,D239,D219)</f>
        <v>0</v>
      </c>
      <c r="E204" s="777">
        <f t="shared" si="18"/>
        <v>0</v>
      </c>
      <c r="F204" s="777">
        <f t="shared" si="18"/>
        <v>0</v>
      </c>
      <c r="G204" s="778">
        <f t="shared" si="7"/>
        <v>0</v>
      </c>
      <c r="H204" s="2145"/>
      <c r="I204" s="779" t="s">
        <v>271</v>
      </c>
      <c r="J204" s="1459">
        <f>(J201+0.5*J202)/J200</f>
        <v>0.8571428571428571</v>
      </c>
      <c r="K204" s="2062"/>
      <c r="L204" s="2062"/>
      <c r="M204" s="2043"/>
    </row>
    <row r="205" spans="1:130" s="372" customFormat="1" ht="15" customHeight="1">
      <c r="A205" s="2082" t="s">
        <v>602</v>
      </c>
      <c r="B205" s="2076" t="s">
        <v>2827</v>
      </c>
      <c r="C205" s="932" t="s">
        <v>8</v>
      </c>
      <c r="D205" s="109">
        <f>SUM(D206:D209)</f>
        <v>19313.64</v>
      </c>
      <c r="E205" s="109">
        <f>SUM(E206:E209)</f>
        <v>19313.637699999999</v>
      </c>
      <c r="F205" s="109">
        <f>SUM(F206:F209)</f>
        <v>19313.637699999999</v>
      </c>
      <c r="G205" s="67">
        <f t="shared" si="7"/>
        <v>0.99999988091317848</v>
      </c>
      <c r="H205" s="2097" t="s">
        <v>5447</v>
      </c>
      <c r="I205" s="2045" t="s">
        <v>5400</v>
      </c>
      <c r="J205" s="2044" t="s">
        <v>3384</v>
      </c>
      <c r="K205" s="2045" t="s">
        <v>3027</v>
      </c>
      <c r="L205" s="2052"/>
      <c r="M205" s="2023">
        <v>823</v>
      </c>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c r="CB205" s="36"/>
      <c r="CC205" s="36"/>
      <c r="CD205" s="36"/>
      <c r="CE205" s="36"/>
      <c r="CF205" s="36"/>
      <c r="CG205" s="36"/>
      <c r="CH205" s="36"/>
      <c r="CI205" s="36"/>
      <c r="CJ205" s="36"/>
      <c r="CK205" s="36"/>
      <c r="CL205" s="36"/>
      <c r="CM205" s="36"/>
      <c r="CN205" s="36"/>
      <c r="CO205" s="36"/>
      <c r="CP205" s="36"/>
      <c r="CQ205" s="36"/>
      <c r="CR205" s="36"/>
      <c r="CS205" s="36"/>
      <c r="CT205" s="36"/>
      <c r="CU205" s="36"/>
      <c r="CV205" s="36"/>
      <c r="CW205" s="36"/>
      <c r="CX205" s="36"/>
      <c r="CY205" s="36"/>
      <c r="CZ205" s="36"/>
      <c r="DA205" s="36"/>
      <c r="DB205" s="36"/>
      <c r="DC205" s="36"/>
      <c r="DD205" s="36"/>
      <c r="DE205" s="36"/>
      <c r="DF205" s="36"/>
      <c r="DG205" s="36"/>
      <c r="DH205" s="36"/>
      <c r="DI205" s="36"/>
      <c r="DJ205" s="36"/>
      <c r="DK205" s="36"/>
      <c r="DL205" s="36"/>
      <c r="DM205" s="36"/>
      <c r="DN205" s="36"/>
      <c r="DO205" s="36"/>
      <c r="DP205" s="36"/>
      <c r="DQ205" s="36"/>
      <c r="DR205" s="36"/>
      <c r="DS205" s="36"/>
      <c r="DT205" s="36"/>
      <c r="DU205" s="36"/>
      <c r="DV205" s="36"/>
      <c r="DW205" s="36"/>
      <c r="DX205" s="36"/>
      <c r="DY205" s="36"/>
      <c r="DZ205" s="36"/>
    </row>
    <row r="206" spans="1:130" s="372" customFormat="1" ht="15" customHeight="1">
      <c r="A206" s="2012"/>
      <c r="B206" s="2015"/>
      <c r="C206" s="932" t="s">
        <v>9</v>
      </c>
      <c r="D206" s="109">
        <f>'475ПП'!F481</f>
        <v>18347.957999999999</v>
      </c>
      <c r="E206" s="658">
        <f>'2023'!H102</f>
        <v>18347.957699999999</v>
      </c>
      <c r="F206" s="658">
        <f>E206</f>
        <v>18347.957699999999</v>
      </c>
      <c r="G206" s="67">
        <f t="shared" si="7"/>
        <v>0.99999998364940668</v>
      </c>
      <c r="H206" s="2018"/>
      <c r="I206" s="2021"/>
      <c r="J206" s="2027"/>
      <c r="K206" s="2021"/>
      <c r="L206" s="2053"/>
      <c r="M206" s="2024"/>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c r="CB206" s="36"/>
      <c r="CC206" s="36"/>
      <c r="CD206" s="36"/>
      <c r="CE206" s="36"/>
      <c r="CF206" s="36"/>
      <c r="CG206" s="36"/>
      <c r="CH206" s="36"/>
      <c r="CI206" s="36"/>
      <c r="CJ206" s="36"/>
      <c r="CK206" s="36"/>
      <c r="CL206" s="36"/>
      <c r="CM206" s="36"/>
      <c r="CN206" s="36"/>
      <c r="CO206" s="36"/>
      <c r="CP206" s="36"/>
      <c r="CQ206" s="36"/>
      <c r="CR206" s="36"/>
      <c r="CS206" s="36"/>
      <c r="CT206" s="36"/>
      <c r="CU206" s="36"/>
      <c r="CV206" s="36"/>
      <c r="CW206" s="36"/>
      <c r="CX206" s="36"/>
      <c r="CY206" s="36"/>
      <c r="CZ206" s="36"/>
      <c r="DA206" s="36"/>
      <c r="DB206" s="36"/>
      <c r="DC206" s="36"/>
      <c r="DD206" s="36"/>
      <c r="DE206" s="36"/>
      <c r="DF206" s="36"/>
      <c r="DG206" s="36"/>
      <c r="DH206" s="36"/>
      <c r="DI206" s="36"/>
      <c r="DJ206" s="36"/>
      <c r="DK206" s="36"/>
      <c r="DL206" s="36"/>
      <c r="DM206" s="36"/>
      <c r="DN206" s="36"/>
      <c r="DO206" s="36"/>
      <c r="DP206" s="36"/>
      <c r="DQ206" s="36"/>
      <c r="DR206" s="36"/>
      <c r="DS206" s="36"/>
      <c r="DT206" s="36"/>
      <c r="DU206" s="36"/>
      <c r="DV206" s="36"/>
      <c r="DW206" s="36"/>
      <c r="DX206" s="36"/>
      <c r="DY206" s="36"/>
      <c r="DZ206" s="36"/>
    </row>
    <row r="207" spans="1:130" s="372" customFormat="1" ht="15" customHeight="1">
      <c r="A207" s="2012"/>
      <c r="B207" s="2015"/>
      <c r="C207" s="932" t="s">
        <v>10</v>
      </c>
      <c r="D207" s="109">
        <f>'475ПП'!G481</f>
        <v>0</v>
      </c>
      <c r="E207" s="658">
        <v>0</v>
      </c>
      <c r="F207" s="658">
        <v>0</v>
      </c>
      <c r="G207" s="67">
        <f t="shared" si="7"/>
        <v>0</v>
      </c>
      <c r="H207" s="2018"/>
      <c r="I207" s="2021"/>
      <c r="J207" s="2027"/>
      <c r="K207" s="2021"/>
      <c r="L207" s="2053"/>
      <c r="M207" s="2024"/>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c r="CB207" s="36"/>
      <c r="CC207" s="36"/>
      <c r="CD207" s="36"/>
      <c r="CE207" s="36"/>
      <c r="CF207" s="36"/>
      <c r="CG207" s="36"/>
      <c r="CH207" s="36"/>
      <c r="CI207" s="36"/>
      <c r="CJ207" s="36"/>
      <c r="CK207" s="36"/>
      <c r="CL207" s="36"/>
      <c r="CM207" s="36"/>
      <c r="CN207" s="36"/>
      <c r="CO207" s="36"/>
      <c r="CP207" s="36"/>
      <c r="CQ207" s="36"/>
      <c r="CR207" s="36"/>
      <c r="CS207" s="36"/>
      <c r="CT207" s="36"/>
      <c r="CU207" s="36"/>
      <c r="CV207" s="36"/>
      <c r="CW207" s="36"/>
      <c r="CX207" s="36"/>
      <c r="CY207" s="36"/>
      <c r="CZ207" s="36"/>
      <c r="DA207" s="36"/>
      <c r="DB207" s="36"/>
      <c r="DC207" s="36"/>
      <c r="DD207" s="36"/>
      <c r="DE207" s="36"/>
      <c r="DF207" s="36"/>
      <c r="DG207" s="36"/>
      <c r="DH207" s="36"/>
      <c r="DI207" s="36"/>
      <c r="DJ207" s="36"/>
      <c r="DK207" s="36"/>
      <c r="DL207" s="36"/>
      <c r="DM207" s="36"/>
      <c r="DN207" s="36"/>
      <c r="DO207" s="36"/>
      <c r="DP207" s="36"/>
      <c r="DQ207" s="36"/>
      <c r="DR207" s="36"/>
      <c r="DS207" s="36"/>
      <c r="DT207" s="36"/>
      <c r="DU207" s="36"/>
      <c r="DV207" s="36"/>
      <c r="DW207" s="36"/>
      <c r="DX207" s="36"/>
      <c r="DY207" s="36"/>
      <c r="DZ207" s="36"/>
    </row>
    <row r="208" spans="1:130" s="372" customFormat="1" ht="15" customHeight="1">
      <c r="A208" s="2012"/>
      <c r="B208" s="2015"/>
      <c r="C208" s="932" t="s">
        <v>11</v>
      </c>
      <c r="D208" s="109">
        <f>'475ПП'!H481</f>
        <v>965.68200000000002</v>
      </c>
      <c r="E208" s="658">
        <v>965.68</v>
      </c>
      <c r="F208" s="658">
        <f>E208</f>
        <v>965.68</v>
      </c>
      <c r="G208" s="67">
        <f t="shared" si="7"/>
        <v>0.99999792892484274</v>
      </c>
      <c r="H208" s="2018"/>
      <c r="I208" s="2021"/>
      <c r="J208" s="2027"/>
      <c r="K208" s="2021"/>
      <c r="L208" s="2053"/>
      <c r="M208" s="2024"/>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c r="CB208" s="36"/>
      <c r="CC208" s="36"/>
      <c r="CD208" s="36"/>
      <c r="CE208" s="36"/>
      <c r="CF208" s="36"/>
      <c r="CG208" s="36"/>
      <c r="CH208" s="36"/>
      <c r="CI208" s="36"/>
      <c r="CJ208" s="36"/>
      <c r="CK208" s="36"/>
      <c r="CL208" s="36"/>
      <c r="CM208" s="36"/>
      <c r="CN208" s="36"/>
      <c r="CO208" s="36"/>
      <c r="CP208" s="36"/>
      <c r="CQ208" s="36"/>
      <c r="CR208" s="36"/>
      <c r="CS208" s="36"/>
      <c r="CT208" s="36"/>
      <c r="CU208" s="36"/>
      <c r="CV208" s="36"/>
      <c r="CW208" s="36"/>
      <c r="CX208" s="36"/>
      <c r="CY208" s="36"/>
      <c r="CZ208" s="36"/>
      <c r="DA208" s="36"/>
      <c r="DB208" s="36"/>
      <c r="DC208" s="36"/>
      <c r="DD208" s="36"/>
      <c r="DE208" s="36"/>
      <c r="DF208" s="36"/>
      <c r="DG208" s="36"/>
      <c r="DH208" s="36"/>
      <c r="DI208" s="36"/>
      <c r="DJ208" s="36"/>
      <c r="DK208" s="36"/>
      <c r="DL208" s="36"/>
      <c r="DM208" s="36"/>
      <c r="DN208" s="36"/>
      <c r="DO208" s="36"/>
      <c r="DP208" s="36"/>
      <c r="DQ208" s="36"/>
      <c r="DR208" s="36"/>
      <c r="DS208" s="36"/>
      <c r="DT208" s="36"/>
      <c r="DU208" s="36"/>
      <c r="DV208" s="36"/>
      <c r="DW208" s="36"/>
      <c r="DX208" s="36"/>
      <c r="DY208" s="36"/>
      <c r="DZ208" s="36"/>
    </row>
    <row r="209" spans="1:130" s="372" customFormat="1" ht="15" customHeight="1">
      <c r="A209" s="2013"/>
      <c r="B209" s="2016"/>
      <c r="C209" s="932" t="s">
        <v>12</v>
      </c>
      <c r="D209" s="109">
        <f>'475ПП'!I481</f>
        <v>0</v>
      </c>
      <c r="E209" s="658">
        <v>0</v>
      </c>
      <c r="F209" s="658">
        <v>0</v>
      </c>
      <c r="G209" s="67">
        <f t="shared" si="7"/>
        <v>0</v>
      </c>
      <c r="H209" s="2019"/>
      <c r="I209" s="2022"/>
      <c r="J209" s="2028"/>
      <c r="K209" s="2022"/>
      <c r="L209" s="2054"/>
      <c r="M209" s="2025"/>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c r="CB209" s="36"/>
      <c r="CC209" s="36"/>
      <c r="CD209" s="36"/>
      <c r="CE209" s="36"/>
      <c r="CF209" s="36"/>
      <c r="CG209" s="36"/>
      <c r="CH209" s="36"/>
      <c r="CI209" s="36"/>
      <c r="CJ209" s="36"/>
      <c r="CK209" s="36"/>
      <c r="CL209" s="36"/>
      <c r="CM209" s="36"/>
      <c r="CN209" s="36"/>
      <c r="CO209" s="36"/>
      <c r="CP209" s="36"/>
      <c r="CQ209" s="36"/>
      <c r="CR209" s="36"/>
      <c r="CS209" s="36"/>
      <c r="CT209" s="36"/>
      <c r="CU209" s="36"/>
      <c r="CV209" s="36"/>
      <c r="CW209" s="36"/>
      <c r="CX209" s="36"/>
      <c r="CY209" s="36"/>
      <c r="CZ209" s="36"/>
      <c r="DA209" s="36"/>
      <c r="DB209" s="36"/>
      <c r="DC209" s="36"/>
      <c r="DD209" s="36"/>
      <c r="DE209" s="36"/>
      <c r="DF209" s="36"/>
      <c r="DG209" s="36"/>
      <c r="DH209" s="36"/>
      <c r="DI209" s="36"/>
      <c r="DJ209" s="36"/>
      <c r="DK209" s="36"/>
      <c r="DL209" s="36"/>
      <c r="DM209" s="36"/>
      <c r="DN209" s="36"/>
      <c r="DO209" s="36"/>
      <c r="DP209" s="36"/>
      <c r="DQ209" s="36"/>
      <c r="DR209" s="36"/>
      <c r="DS209" s="36"/>
      <c r="DT209" s="36"/>
      <c r="DU209" s="36"/>
      <c r="DV209" s="36"/>
      <c r="DW209" s="36"/>
      <c r="DX209" s="36"/>
      <c r="DY209" s="36"/>
      <c r="DZ209" s="36"/>
    </row>
    <row r="210" spans="1:130" s="104" customFormat="1" ht="15" customHeight="1">
      <c r="A210" s="2082" t="s">
        <v>2967</v>
      </c>
      <c r="B210" s="2076" t="s">
        <v>106</v>
      </c>
      <c r="C210" s="933" t="s">
        <v>8</v>
      </c>
      <c r="D210" s="934">
        <f>SUM(D211:D214)</f>
        <v>11927.3</v>
      </c>
      <c r="E210" s="658">
        <f>SUM(E211:E214)</f>
        <v>11927.2978</v>
      </c>
      <c r="F210" s="658">
        <f>SUM(F211:F214)</f>
        <v>11927.2978</v>
      </c>
      <c r="G210" s="67">
        <f t="shared" si="7"/>
        <v>0.99999981554920236</v>
      </c>
      <c r="H210" s="2097" t="s">
        <v>3067</v>
      </c>
      <c r="I210" s="2045" t="s">
        <v>5418</v>
      </c>
      <c r="J210" s="2044" t="s">
        <v>3384</v>
      </c>
      <c r="K210" s="2045" t="s">
        <v>3052</v>
      </c>
      <c r="L210" s="2052"/>
      <c r="M210" s="2023">
        <v>823</v>
      </c>
      <c r="N210" s="1836"/>
      <c r="O210" s="1836"/>
      <c r="P210" s="1836"/>
      <c r="Q210" s="1836"/>
      <c r="R210" s="1836"/>
      <c r="S210" s="1836"/>
      <c r="T210" s="1836"/>
      <c r="U210" s="1836"/>
      <c r="V210" s="1836"/>
      <c r="W210" s="1836"/>
      <c r="X210" s="1836"/>
      <c r="Y210" s="1836"/>
      <c r="Z210" s="1836"/>
      <c r="AA210" s="1836"/>
      <c r="AB210" s="1836"/>
      <c r="AC210" s="1836"/>
      <c r="AD210" s="1836"/>
      <c r="AE210" s="1836"/>
      <c r="AF210" s="1836"/>
      <c r="AG210" s="1836"/>
      <c r="AH210" s="1836"/>
      <c r="AI210" s="1836"/>
      <c r="AJ210" s="1836"/>
      <c r="AK210" s="1836"/>
      <c r="AL210" s="1836"/>
      <c r="AM210" s="1836"/>
      <c r="AN210" s="1836"/>
      <c r="AO210" s="1836"/>
      <c r="AP210" s="1836"/>
      <c r="AQ210" s="1836"/>
      <c r="AR210" s="1836"/>
      <c r="AS210" s="1836"/>
      <c r="AT210" s="1836"/>
      <c r="AU210" s="1836"/>
      <c r="AV210" s="1836"/>
      <c r="AW210" s="1836"/>
      <c r="AX210" s="1836"/>
      <c r="AY210" s="1836"/>
      <c r="AZ210" s="1836"/>
      <c r="BA210" s="1836"/>
      <c r="BB210" s="1836"/>
      <c r="BC210" s="1836"/>
      <c r="BD210" s="1836"/>
      <c r="BE210" s="1836"/>
      <c r="BF210" s="1836"/>
      <c r="BG210" s="1836"/>
      <c r="BH210" s="1836"/>
      <c r="BI210" s="1836"/>
      <c r="BJ210" s="1836"/>
      <c r="BK210" s="1836"/>
      <c r="BL210" s="1836"/>
      <c r="BM210" s="1836"/>
      <c r="BN210" s="1836"/>
      <c r="BO210" s="1836"/>
      <c r="BP210" s="1836"/>
      <c r="BQ210" s="1836"/>
      <c r="BR210" s="1836"/>
      <c r="BS210" s="1836"/>
      <c r="BT210" s="1836"/>
      <c r="BU210" s="1836"/>
      <c r="BV210" s="1836"/>
      <c r="BW210" s="1836"/>
      <c r="BX210" s="1836"/>
      <c r="BY210" s="1836"/>
      <c r="BZ210" s="1836"/>
      <c r="CA210" s="1836"/>
      <c r="CB210" s="1836"/>
      <c r="CC210" s="1836"/>
      <c r="CD210" s="1836"/>
      <c r="CE210" s="1836"/>
      <c r="CF210" s="1836"/>
      <c r="CG210" s="1836"/>
      <c r="CH210" s="1836"/>
      <c r="CI210" s="1836"/>
      <c r="CJ210" s="1836"/>
      <c r="CK210" s="1836"/>
      <c r="CL210" s="1836"/>
      <c r="CM210" s="1836"/>
      <c r="CN210" s="1836"/>
      <c r="CO210" s="1836"/>
      <c r="CP210" s="1836"/>
      <c r="CQ210" s="1836"/>
      <c r="CR210" s="1836"/>
      <c r="CS210" s="1836"/>
      <c r="CT210" s="1836"/>
      <c r="CU210" s="1836"/>
      <c r="CV210" s="1836"/>
      <c r="CW210" s="1836"/>
      <c r="CX210" s="1836"/>
      <c r="CY210" s="1836"/>
      <c r="CZ210" s="1836"/>
      <c r="DA210" s="1836"/>
      <c r="DB210" s="1836"/>
      <c r="DC210" s="1836"/>
      <c r="DD210" s="1836"/>
      <c r="DE210" s="1836"/>
      <c r="DF210" s="1836"/>
      <c r="DG210" s="1836"/>
      <c r="DH210" s="1836"/>
      <c r="DI210" s="1836"/>
      <c r="DJ210" s="1836"/>
      <c r="DK210" s="1836"/>
      <c r="DL210" s="1836"/>
      <c r="DM210" s="1836"/>
      <c r="DN210" s="1836"/>
      <c r="DO210" s="1836"/>
      <c r="DP210" s="1836"/>
      <c r="DQ210" s="1836"/>
      <c r="DR210" s="1836"/>
      <c r="DS210" s="1836"/>
      <c r="DT210" s="1836"/>
      <c r="DU210" s="1836"/>
      <c r="DV210" s="1836"/>
      <c r="DW210" s="1836"/>
      <c r="DX210" s="1836"/>
      <c r="DY210" s="1836"/>
      <c r="DZ210" s="1836"/>
    </row>
    <row r="211" spans="1:130" s="104" customFormat="1" ht="15" customHeight="1">
      <c r="A211" s="2012"/>
      <c r="B211" s="2015"/>
      <c r="C211" s="932" t="s">
        <v>9</v>
      </c>
      <c r="D211" s="935">
        <f>'475ПП'!F487+5927.3</f>
        <v>11927.3</v>
      </c>
      <c r="E211" s="658">
        <f>'2023'!H98</f>
        <v>11927.2978</v>
      </c>
      <c r="F211" s="658">
        <f>E211</f>
        <v>11927.2978</v>
      </c>
      <c r="G211" s="67">
        <f t="shared" si="7"/>
        <v>0.99999981554920236</v>
      </c>
      <c r="H211" s="2018"/>
      <c r="I211" s="2021"/>
      <c r="J211" s="2027"/>
      <c r="K211" s="2021"/>
      <c r="L211" s="2053"/>
      <c r="M211" s="2024"/>
      <c r="N211" s="1836"/>
      <c r="O211" s="1836"/>
      <c r="P211" s="1836"/>
      <c r="Q211" s="1836"/>
      <c r="R211" s="1836"/>
      <c r="S211" s="1836"/>
      <c r="T211" s="1836"/>
      <c r="U211" s="1836"/>
      <c r="V211" s="1836"/>
      <c r="W211" s="1836"/>
      <c r="X211" s="1836"/>
      <c r="Y211" s="1836"/>
      <c r="Z211" s="1836"/>
      <c r="AA211" s="1836"/>
      <c r="AB211" s="1836"/>
      <c r="AC211" s="1836"/>
      <c r="AD211" s="1836"/>
      <c r="AE211" s="1836"/>
      <c r="AF211" s="1836"/>
      <c r="AG211" s="1836"/>
      <c r="AH211" s="1836"/>
      <c r="AI211" s="1836"/>
      <c r="AJ211" s="1836"/>
      <c r="AK211" s="1836"/>
      <c r="AL211" s="1836"/>
      <c r="AM211" s="1836"/>
      <c r="AN211" s="1836"/>
      <c r="AO211" s="1836"/>
      <c r="AP211" s="1836"/>
      <c r="AQ211" s="1836"/>
      <c r="AR211" s="1836"/>
      <c r="AS211" s="1836"/>
      <c r="AT211" s="1836"/>
      <c r="AU211" s="1836"/>
      <c r="AV211" s="1836"/>
      <c r="AW211" s="1836"/>
      <c r="AX211" s="1836"/>
      <c r="AY211" s="1836"/>
      <c r="AZ211" s="1836"/>
      <c r="BA211" s="1836"/>
      <c r="BB211" s="1836"/>
      <c r="BC211" s="1836"/>
      <c r="BD211" s="1836"/>
      <c r="BE211" s="1836"/>
      <c r="BF211" s="1836"/>
      <c r="BG211" s="1836"/>
      <c r="BH211" s="1836"/>
      <c r="BI211" s="1836"/>
      <c r="BJ211" s="1836"/>
      <c r="BK211" s="1836"/>
      <c r="BL211" s="1836"/>
      <c r="BM211" s="1836"/>
      <c r="BN211" s="1836"/>
      <c r="BO211" s="1836"/>
      <c r="BP211" s="1836"/>
      <c r="BQ211" s="1836"/>
      <c r="BR211" s="1836"/>
      <c r="BS211" s="1836"/>
      <c r="BT211" s="1836"/>
      <c r="BU211" s="1836"/>
      <c r="BV211" s="1836"/>
      <c r="BW211" s="1836"/>
      <c r="BX211" s="1836"/>
      <c r="BY211" s="1836"/>
      <c r="BZ211" s="1836"/>
      <c r="CA211" s="1836"/>
      <c r="CB211" s="1836"/>
      <c r="CC211" s="1836"/>
      <c r="CD211" s="1836"/>
      <c r="CE211" s="1836"/>
      <c r="CF211" s="1836"/>
      <c r="CG211" s="1836"/>
      <c r="CH211" s="1836"/>
      <c r="CI211" s="1836"/>
      <c r="CJ211" s="1836"/>
      <c r="CK211" s="1836"/>
      <c r="CL211" s="1836"/>
      <c r="CM211" s="1836"/>
      <c r="CN211" s="1836"/>
      <c r="CO211" s="1836"/>
      <c r="CP211" s="1836"/>
      <c r="CQ211" s="1836"/>
      <c r="CR211" s="1836"/>
      <c r="CS211" s="1836"/>
      <c r="CT211" s="1836"/>
      <c r="CU211" s="1836"/>
      <c r="CV211" s="1836"/>
      <c r="CW211" s="1836"/>
      <c r="CX211" s="1836"/>
      <c r="CY211" s="1836"/>
      <c r="CZ211" s="1836"/>
      <c r="DA211" s="1836"/>
      <c r="DB211" s="1836"/>
      <c r="DC211" s="1836"/>
      <c r="DD211" s="1836"/>
      <c r="DE211" s="1836"/>
      <c r="DF211" s="1836"/>
      <c r="DG211" s="1836"/>
      <c r="DH211" s="1836"/>
      <c r="DI211" s="1836"/>
      <c r="DJ211" s="1836"/>
      <c r="DK211" s="1836"/>
      <c r="DL211" s="1836"/>
      <c r="DM211" s="1836"/>
      <c r="DN211" s="1836"/>
      <c r="DO211" s="1836"/>
      <c r="DP211" s="1836"/>
      <c r="DQ211" s="1836"/>
      <c r="DR211" s="1836"/>
      <c r="DS211" s="1836"/>
      <c r="DT211" s="1836"/>
      <c r="DU211" s="1836"/>
      <c r="DV211" s="1836"/>
      <c r="DW211" s="1836"/>
      <c r="DX211" s="1836"/>
      <c r="DY211" s="1836"/>
      <c r="DZ211" s="1836"/>
    </row>
    <row r="212" spans="1:130" s="104" customFormat="1" ht="15" customHeight="1">
      <c r="A212" s="2012"/>
      <c r="B212" s="2015"/>
      <c r="C212" s="932" t="s">
        <v>10</v>
      </c>
      <c r="D212" s="935">
        <f>'475ПП'!G487</f>
        <v>0</v>
      </c>
      <c r="E212" s="658">
        <v>0</v>
      </c>
      <c r="F212" s="658">
        <v>0</v>
      </c>
      <c r="G212" s="67">
        <f t="shared" si="7"/>
        <v>0</v>
      </c>
      <c r="H212" s="2018"/>
      <c r="I212" s="2021"/>
      <c r="J212" s="2027"/>
      <c r="K212" s="2021"/>
      <c r="L212" s="2053"/>
      <c r="M212" s="2024"/>
      <c r="N212" s="1836"/>
      <c r="O212" s="1836"/>
      <c r="P212" s="1836"/>
      <c r="Q212" s="1836"/>
      <c r="R212" s="1836"/>
      <c r="S212" s="1836"/>
      <c r="T212" s="1836"/>
      <c r="U212" s="1836"/>
      <c r="V212" s="1836"/>
      <c r="W212" s="1836"/>
      <c r="X212" s="1836"/>
      <c r="Y212" s="1836"/>
      <c r="Z212" s="1836"/>
      <c r="AA212" s="1836"/>
      <c r="AB212" s="1836"/>
      <c r="AC212" s="1836"/>
      <c r="AD212" s="1836"/>
      <c r="AE212" s="1836"/>
      <c r="AF212" s="1836"/>
      <c r="AG212" s="1836"/>
      <c r="AH212" s="1836"/>
      <c r="AI212" s="1836"/>
      <c r="AJ212" s="1836"/>
      <c r="AK212" s="1836"/>
      <c r="AL212" s="1836"/>
      <c r="AM212" s="1836"/>
      <c r="AN212" s="1836"/>
      <c r="AO212" s="1836"/>
      <c r="AP212" s="1836"/>
      <c r="AQ212" s="1836"/>
      <c r="AR212" s="1836"/>
      <c r="AS212" s="1836"/>
      <c r="AT212" s="1836"/>
      <c r="AU212" s="1836"/>
      <c r="AV212" s="1836"/>
      <c r="AW212" s="1836"/>
      <c r="AX212" s="1836"/>
      <c r="AY212" s="1836"/>
      <c r="AZ212" s="1836"/>
      <c r="BA212" s="1836"/>
      <c r="BB212" s="1836"/>
      <c r="BC212" s="1836"/>
      <c r="BD212" s="1836"/>
      <c r="BE212" s="1836"/>
      <c r="BF212" s="1836"/>
      <c r="BG212" s="1836"/>
      <c r="BH212" s="1836"/>
      <c r="BI212" s="1836"/>
      <c r="BJ212" s="1836"/>
      <c r="BK212" s="1836"/>
      <c r="BL212" s="1836"/>
      <c r="BM212" s="1836"/>
      <c r="BN212" s="1836"/>
      <c r="BO212" s="1836"/>
      <c r="BP212" s="1836"/>
      <c r="BQ212" s="1836"/>
      <c r="BR212" s="1836"/>
      <c r="BS212" s="1836"/>
      <c r="BT212" s="1836"/>
      <c r="BU212" s="1836"/>
      <c r="BV212" s="1836"/>
      <c r="BW212" s="1836"/>
      <c r="BX212" s="1836"/>
      <c r="BY212" s="1836"/>
      <c r="BZ212" s="1836"/>
      <c r="CA212" s="1836"/>
      <c r="CB212" s="1836"/>
      <c r="CC212" s="1836"/>
      <c r="CD212" s="1836"/>
      <c r="CE212" s="1836"/>
      <c r="CF212" s="1836"/>
      <c r="CG212" s="1836"/>
      <c r="CH212" s="1836"/>
      <c r="CI212" s="1836"/>
      <c r="CJ212" s="1836"/>
      <c r="CK212" s="1836"/>
      <c r="CL212" s="1836"/>
      <c r="CM212" s="1836"/>
      <c r="CN212" s="1836"/>
      <c r="CO212" s="1836"/>
      <c r="CP212" s="1836"/>
      <c r="CQ212" s="1836"/>
      <c r="CR212" s="1836"/>
      <c r="CS212" s="1836"/>
      <c r="CT212" s="1836"/>
      <c r="CU212" s="1836"/>
      <c r="CV212" s="1836"/>
      <c r="CW212" s="1836"/>
      <c r="CX212" s="1836"/>
      <c r="CY212" s="1836"/>
      <c r="CZ212" s="1836"/>
      <c r="DA212" s="1836"/>
      <c r="DB212" s="1836"/>
      <c r="DC212" s="1836"/>
      <c r="DD212" s="1836"/>
      <c r="DE212" s="1836"/>
      <c r="DF212" s="1836"/>
      <c r="DG212" s="1836"/>
      <c r="DH212" s="1836"/>
      <c r="DI212" s="1836"/>
      <c r="DJ212" s="1836"/>
      <c r="DK212" s="1836"/>
      <c r="DL212" s="1836"/>
      <c r="DM212" s="1836"/>
      <c r="DN212" s="1836"/>
      <c r="DO212" s="1836"/>
      <c r="DP212" s="1836"/>
      <c r="DQ212" s="1836"/>
      <c r="DR212" s="1836"/>
      <c r="DS212" s="1836"/>
      <c r="DT212" s="1836"/>
      <c r="DU212" s="1836"/>
      <c r="DV212" s="1836"/>
      <c r="DW212" s="1836"/>
      <c r="DX212" s="1836"/>
      <c r="DY212" s="1836"/>
      <c r="DZ212" s="1836"/>
    </row>
    <row r="213" spans="1:130" s="104" customFormat="1" ht="15" customHeight="1">
      <c r="A213" s="2012"/>
      <c r="B213" s="2015"/>
      <c r="C213" s="932" t="s">
        <v>11</v>
      </c>
      <c r="D213" s="935">
        <f>'475ПП'!H487</f>
        <v>0</v>
      </c>
      <c r="E213" s="658">
        <v>0</v>
      </c>
      <c r="F213" s="658">
        <v>0</v>
      </c>
      <c r="G213" s="67">
        <f t="shared" si="7"/>
        <v>0</v>
      </c>
      <c r="H213" s="2018"/>
      <c r="I213" s="2021"/>
      <c r="J213" s="2027"/>
      <c r="K213" s="2021"/>
      <c r="L213" s="2053"/>
      <c r="M213" s="2024"/>
      <c r="N213" s="1836"/>
      <c r="O213" s="1836"/>
      <c r="P213" s="1836"/>
      <c r="Q213" s="1836"/>
      <c r="R213" s="1836"/>
      <c r="S213" s="1836"/>
      <c r="T213" s="1836"/>
      <c r="U213" s="1836"/>
      <c r="V213" s="1836"/>
      <c r="W213" s="1836"/>
      <c r="X213" s="1836"/>
      <c r="Y213" s="1836"/>
      <c r="Z213" s="1836"/>
      <c r="AA213" s="1836"/>
      <c r="AB213" s="1836"/>
      <c r="AC213" s="1836"/>
      <c r="AD213" s="1836"/>
      <c r="AE213" s="1836"/>
      <c r="AF213" s="1836"/>
      <c r="AG213" s="1836"/>
      <c r="AH213" s="1836"/>
      <c r="AI213" s="1836"/>
      <c r="AJ213" s="1836"/>
      <c r="AK213" s="1836"/>
      <c r="AL213" s="1836"/>
      <c r="AM213" s="1836"/>
      <c r="AN213" s="1836"/>
      <c r="AO213" s="1836"/>
      <c r="AP213" s="1836"/>
      <c r="AQ213" s="1836"/>
      <c r="AR213" s="1836"/>
      <c r="AS213" s="1836"/>
      <c r="AT213" s="1836"/>
      <c r="AU213" s="1836"/>
      <c r="AV213" s="1836"/>
      <c r="AW213" s="1836"/>
      <c r="AX213" s="1836"/>
      <c r="AY213" s="1836"/>
      <c r="AZ213" s="1836"/>
      <c r="BA213" s="1836"/>
      <c r="BB213" s="1836"/>
      <c r="BC213" s="1836"/>
      <c r="BD213" s="1836"/>
      <c r="BE213" s="1836"/>
      <c r="BF213" s="1836"/>
      <c r="BG213" s="1836"/>
      <c r="BH213" s="1836"/>
      <c r="BI213" s="1836"/>
      <c r="BJ213" s="1836"/>
      <c r="BK213" s="1836"/>
      <c r="BL213" s="1836"/>
      <c r="BM213" s="1836"/>
      <c r="BN213" s="1836"/>
      <c r="BO213" s="1836"/>
      <c r="BP213" s="1836"/>
      <c r="BQ213" s="1836"/>
      <c r="BR213" s="1836"/>
      <c r="BS213" s="1836"/>
      <c r="BT213" s="1836"/>
      <c r="BU213" s="1836"/>
      <c r="BV213" s="1836"/>
      <c r="BW213" s="1836"/>
      <c r="BX213" s="1836"/>
      <c r="BY213" s="1836"/>
      <c r="BZ213" s="1836"/>
      <c r="CA213" s="1836"/>
      <c r="CB213" s="1836"/>
      <c r="CC213" s="1836"/>
      <c r="CD213" s="1836"/>
      <c r="CE213" s="1836"/>
      <c r="CF213" s="1836"/>
      <c r="CG213" s="1836"/>
      <c r="CH213" s="1836"/>
      <c r="CI213" s="1836"/>
      <c r="CJ213" s="1836"/>
      <c r="CK213" s="1836"/>
      <c r="CL213" s="1836"/>
      <c r="CM213" s="1836"/>
      <c r="CN213" s="1836"/>
      <c r="CO213" s="1836"/>
      <c r="CP213" s="1836"/>
      <c r="CQ213" s="1836"/>
      <c r="CR213" s="1836"/>
      <c r="CS213" s="1836"/>
      <c r="CT213" s="1836"/>
      <c r="CU213" s="1836"/>
      <c r="CV213" s="1836"/>
      <c r="CW213" s="1836"/>
      <c r="CX213" s="1836"/>
      <c r="CY213" s="1836"/>
      <c r="CZ213" s="1836"/>
      <c r="DA213" s="1836"/>
      <c r="DB213" s="1836"/>
      <c r="DC213" s="1836"/>
      <c r="DD213" s="1836"/>
      <c r="DE213" s="1836"/>
      <c r="DF213" s="1836"/>
      <c r="DG213" s="1836"/>
      <c r="DH213" s="1836"/>
      <c r="DI213" s="1836"/>
      <c r="DJ213" s="1836"/>
      <c r="DK213" s="1836"/>
      <c r="DL213" s="1836"/>
      <c r="DM213" s="1836"/>
      <c r="DN213" s="1836"/>
      <c r="DO213" s="1836"/>
      <c r="DP213" s="1836"/>
      <c r="DQ213" s="1836"/>
      <c r="DR213" s="1836"/>
      <c r="DS213" s="1836"/>
      <c r="DT213" s="1836"/>
      <c r="DU213" s="1836"/>
      <c r="DV213" s="1836"/>
      <c r="DW213" s="1836"/>
      <c r="DX213" s="1836"/>
      <c r="DY213" s="1836"/>
      <c r="DZ213" s="1836"/>
    </row>
    <row r="214" spans="1:130" s="104" customFormat="1" ht="15" customHeight="1">
      <c r="A214" s="2013"/>
      <c r="B214" s="2016"/>
      <c r="C214" s="932" t="s">
        <v>12</v>
      </c>
      <c r="D214" s="935">
        <f>'475ПП'!I487</f>
        <v>0</v>
      </c>
      <c r="E214" s="658">
        <v>0</v>
      </c>
      <c r="F214" s="658">
        <v>0</v>
      </c>
      <c r="G214" s="67">
        <f t="shared" si="7"/>
        <v>0</v>
      </c>
      <c r="H214" s="2019"/>
      <c r="I214" s="2022"/>
      <c r="J214" s="2028"/>
      <c r="K214" s="2022"/>
      <c r="L214" s="2054"/>
      <c r="M214" s="2025"/>
      <c r="N214" s="1836"/>
      <c r="O214" s="1836"/>
      <c r="P214" s="1836"/>
      <c r="Q214" s="1836"/>
      <c r="R214" s="1836"/>
      <c r="S214" s="1836"/>
      <c r="T214" s="1836"/>
      <c r="U214" s="1836"/>
      <c r="V214" s="1836"/>
      <c r="W214" s="1836"/>
      <c r="X214" s="1836"/>
      <c r="Y214" s="1836"/>
      <c r="Z214" s="1836"/>
      <c r="AA214" s="1836"/>
      <c r="AB214" s="1836"/>
      <c r="AC214" s="1836"/>
      <c r="AD214" s="1836"/>
      <c r="AE214" s="1836"/>
      <c r="AF214" s="1836"/>
      <c r="AG214" s="1836"/>
      <c r="AH214" s="1836"/>
      <c r="AI214" s="1836"/>
      <c r="AJ214" s="1836"/>
      <c r="AK214" s="1836"/>
      <c r="AL214" s="1836"/>
      <c r="AM214" s="1836"/>
      <c r="AN214" s="1836"/>
      <c r="AO214" s="1836"/>
      <c r="AP214" s="1836"/>
      <c r="AQ214" s="1836"/>
      <c r="AR214" s="1836"/>
      <c r="AS214" s="1836"/>
      <c r="AT214" s="1836"/>
      <c r="AU214" s="1836"/>
      <c r="AV214" s="1836"/>
      <c r="AW214" s="1836"/>
      <c r="AX214" s="1836"/>
      <c r="AY214" s="1836"/>
      <c r="AZ214" s="1836"/>
      <c r="BA214" s="1836"/>
      <c r="BB214" s="1836"/>
      <c r="BC214" s="1836"/>
      <c r="BD214" s="1836"/>
      <c r="BE214" s="1836"/>
      <c r="BF214" s="1836"/>
      <c r="BG214" s="1836"/>
      <c r="BH214" s="1836"/>
      <c r="BI214" s="1836"/>
      <c r="BJ214" s="1836"/>
      <c r="BK214" s="1836"/>
      <c r="BL214" s="1836"/>
      <c r="BM214" s="1836"/>
      <c r="BN214" s="1836"/>
      <c r="BO214" s="1836"/>
      <c r="BP214" s="1836"/>
      <c r="BQ214" s="1836"/>
      <c r="BR214" s="1836"/>
      <c r="BS214" s="1836"/>
      <c r="BT214" s="1836"/>
      <c r="BU214" s="1836"/>
      <c r="BV214" s="1836"/>
      <c r="BW214" s="1836"/>
      <c r="BX214" s="1836"/>
      <c r="BY214" s="1836"/>
      <c r="BZ214" s="1836"/>
      <c r="CA214" s="1836"/>
      <c r="CB214" s="1836"/>
      <c r="CC214" s="1836"/>
      <c r="CD214" s="1836"/>
      <c r="CE214" s="1836"/>
      <c r="CF214" s="1836"/>
      <c r="CG214" s="1836"/>
      <c r="CH214" s="1836"/>
      <c r="CI214" s="1836"/>
      <c r="CJ214" s="1836"/>
      <c r="CK214" s="1836"/>
      <c r="CL214" s="1836"/>
      <c r="CM214" s="1836"/>
      <c r="CN214" s="1836"/>
      <c r="CO214" s="1836"/>
      <c r="CP214" s="1836"/>
      <c r="CQ214" s="1836"/>
      <c r="CR214" s="1836"/>
      <c r="CS214" s="1836"/>
      <c r="CT214" s="1836"/>
      <c r="CU214" s="1836"/>
      <c r="CV214" s="1836"/>
      <c r="CW214" s="1836"/>
      <c r="CX214" s="1836"/>
      <c r="CY214" s="1836"/>
      <c r="CZ214" s="1836"/>
      <c r="DA214" s="1836"/>
      <c r="DB214" s="1836"/>
      <c r="DC214" s="1836"/>
      <c r="DD214" s="1836"/>
      <c r="DE214" s="1836"/>
      <c r="DF214" s="1836"/>
      <c r="DG214" s="1836"/>
      <c r="DH214" s="1836"/>
      <c r="DI214" s="1836"/>
      <c r="DJ214" s="1836"/>
      <c r="DK214" s="1836"/>
      <c r="DL214" s="1836"/>
      <c r="DM214" s="1836"/>
      <c r="DN214" s="1836"/>
      <c r="DO214" s="1836"/>
      <c r="DP214" s="1836"/>
      <c r="DQ214" s="1836"/>
      <c r="DR214" s="1836"/>
      <c r="DS214" s="1836"/>
      <c r="DT214" s="1836"/>
      <c r="DU214" s="1836"/>
      <c r="DV214" s="1836"/>
      <c r="DW214" s="1836"/>
      <c r="DX214" s="1836"/>
      <c r="DY214" s="1836"/>
      <c r="DZ214" s="1836"/>
    </row>
    <row r="215" spans="1:130" s="104" customFormat="1" ht="15" customHeight="1">
      <c r="A215" s="2011" t="s">
        <v>2968</v>
      </c>
      <c r="B215" s="2014" t="s">
        <v>2749</v>
      </c>
      <c r="C215" s="933" t="s">
        <v>8</v>
      </c>
      <c r="D215" s="935">
        <f>SUM(D216:D219)</f>
        <v>1807.5</v>
      </c>
      <c r="E215" s="658">
        <f>SUM(E216:E219)</f>
        <v>1807.45045</v>
      </c>
      <c r="F215" s="658">
        <f>SUM(F216:F219)</f>
        <v>1807.45045</v>
      </c>
      <c r="G215" s="67">
        <f t="shared" si="7"/>
        <v>0.99997258644536657</v>
      </c>
      <c r="H215" s="2017" t="s">
        <v>2829</v>
      </c>
      <c r="I215" s="2020" t="s">
        <v>5417</v>
      </c>
      <c r="J215" s="2026" t="s">
        <v>3384</v>
      </c>
      <c r="K215" s="2020" t="s">
        <v>3066</v>
      </c>
      <c r="L215" s="1771"/>
      <c r="M215" s="2023">
        <v>823</v>
      </c>
      <c r="N215" s="1836"/>
      <c r="O215" s="1836"/>
      <c r="P215" s="1836"/>
      <c r="Q215" s="1836"/>
      <c r="R215" s="1836"/>
      <c r="S215" s="1836"/>
      <c r="T215" s="1836"/>
      <c r="U215" s="1836"/>
      <c r="V215" s="1836"/>
      <c r="W215" s="1836"/>
      <c r="X215" s="1836"/>
      <c r="Y215" s="1836"/>
      <c r="Z215" s="1836"/>
      <c r="AA215" s="1836"/>
      <c r="AB215" s="1836"/>
      <c r="AC215" s="1836"/>
      <c r="AD215" s="1836"/>
      <c r="AE215" s="1836"/>
      <c r="AF215" s="1836"/>
      <c r="AG215" s="1836"/>
      <c r="AH215" s="1836"/>
      <c r="AI215" s="1836"/>
      <c r="AJ215" s="1836"/>
      <c r="AK215" s="1836"/>
      <c r="AL215" s="1836"/>
      <c r="AM215" s="1836"/>
      <c r="AN215" s="1836"/>
      <c r="AO215" s="1836"/>
      <c r="AP215" s="1836"/>
      <c r="AQ215" s="1836"/>
      <c r="AR215" s="1836"/>
      <c r="AS215" s="1836"/>
      <c r="AT215" s="1836"/>
      <c r="AU215" s="1836"/>
      <c r="AV215" s="1836"/>
      <c r="AW215" s="1836"/>
      <c r="AX215" s="1836"/>
      <c r="AY215" s="1836"/>
      <c r="AZ215" s="1836"/>
      <c r="BA215" s="1836"/>
      <c r="BB215" s="1836"/>
      <c r="BC215" s="1836"/>
      <c r="BD215" s="1836"/>
      <c r="BE215" s="1836"/>
      <c r="BF215" s="1836"/>
      <c r="BG215" s="1836"/>
      <c r="BH215" s="1836"/>
      <c r="BI215" s="1836"/>
      <c r="BJ215" s="1836"/>
      <c r="BK215" s="1836"/>
      <c r="BL215" s="1836"/>
      <c r="BM215" s="1836"/>
      <c r="BN215" s="1836"/>
      <c r="BO215" s="1836"/>
      <c r="BP215" s="1836"/>
      <c r="BQ215" s="1836"/>
      <c r="BR215" s="1836"/>
      <c r="BS215" s="1836"/>
      <c r="BT215" s="1836"/>
      <c r="BU215" s="1836"/>
      <c r="BV215" s="1836"/>
      <c r="BW215" s="1836"/>
      <c r="BX215" s="1836"/>
      <c r="BY215" s="1836"/>
      <c r="BZ215" s="1836"/>
      <c r="CA215" s="1836"/>
      <c r="CB215" s="1836"/>
      <c r="CC215" s="1836"/>
      <c r="CD215" s="1836"/>
      <c r="CE215" s="1836"/>
      <c r="CF215" s="1836"/>
      <c r="CG215" s="1836"/>
      <c r="CH215" s="1836"/>
      <c r="CI215" s="1836"/>
      <c r="CJ215" s="1836"/>
      <c r="CK215" s="1836"/>
      <c r="CL215" s="1836"/>
      <c r="CM215" s="1836"/>
      <c r="CN215" s="1836"/>
      <c r="CO215" s="1836"/>
      <c r="CP215" s="1836"/>
      <c r="CQ215" s="1836"/>
      <c r="CR215" s="1836"/>
      <c r="CS215" s="1836"/>
      <c r="CT215" s="1836"/>
      <c r="CU215" s="1836"/>
      <c r="CV215" s="1836"/>
      <c r="CW215" s="1836"/>
      <c r="CX215" s="1836"/>
      <c r="CY215" s="1836"/>
      <c r="CZ215" s="1836"/>
      <c r="DA215" s="1836"/>
      <c r="DB215" s="1836"/>
      <c r="DC215" s="1836"/>
      <c r="DD215" s="1836"/>
      <c r="DE215" s="1836"/>
      <c r="DF215" s="1836"/>
      <c r="DG215" s="1836"/>
      <c r="DH215" s="1836"/>
      <c r="DI215" s="1836"/>
      <c r="DJ215" s="1836"/>
      <c r="DK215" s="1836"/>
      <c r="DL215" s="1836"/>
      <c r="DM215" s="1836"/>
      <c r="DN215" s="1836"/>
      <c r="DO215" s="1836"/>
      <c r="DP215" s="1836"/>
      <c r="DQ215" s="1836"/>
      <c r="DR215" s="1836"/>
      <c r="DS215" s="1836"/>
      <c r="DT215" s="1836"/>
      <c r="DU215" s="1836"/>
      <c r="DV215" s="1836"/>
      <c r="DW215" s="1836"/>
      <c r="DX215" s="1836"/>
      <c r="DY215" s="1836"/>
      <c r="DZ215" s="1836"/>
    </row>
    <row r="216" spans="1:130" s="104" customFormat="1" ht="15" customHeight="1">
      <c r="A216" s="2012"/>
      <c r="B216" s="2015"/>
      <c r="C216" s="932" t="s">
        <v>9</v>
      </c>
      <c r="D216" s="935">
        <v>1807.5</v>
      </c>
      <c r="E216" s="658">
        <f>'2023'!H103</f>
        <v>1807.45045</v>
      </c>
      <c r="F216" s="658">
        <f>E216</f>
        <v>1807.45045</v>
      </c>
      <c r="G216" s="67">
        <f t="shared" si="7"/>
        <v>0.99997258644536657</v>
      </c>
      <c r="H216" s="2018"/>
      <c r="I216" s="2021"/>
      <c r="J216" s="2027"/>
      <c r="K216" s="2021"/>
      <c r="L216" s="1771"/>
      <c r="M216" s="2024"/>
      <c r="N216" s="1836"/>
      <c r="O216" s="1836"/>
      <c r="P216" s="1836"/>
      <c r="Q216" s="1836"/>
      <c r="R216" s="1836"/>
      <c r="S216" s="1836"/>
      <c r="T216" s="1836"/>
      <c r="U216" s="1836"/>
      <c r="V216" s="1836"/>
      <c r="W216" s="1836"/>
      <c r="X216" s="1836"/>
      <c r="Y216" s="1836"/>
      <c r="Z216" s="1836"/>
      <c r="AA216" s="1836"/>
      <c r="AB216" s="1836"/>
      <c r="AC216" s="1836"/>
      <c r="AD216" s="1836"/>
      <c r="AE216" s="1836"/>
      <c r="AF216" s="1836"/>
      <c r="AG216" s="1836"/>
      <c r="AH216" s="1836"/>
      <c r="AI216" s="1836"/>
      <c r="AJ216" s="1836"/>
      <c r="AK216" s="1836"/>
      <c r="AL216" s="1836"/>
      <c r="AM216" s="1836"/>
      <c r="AN216" s="1836"/>
      <c r="AO216" s="1836"/>
      <c r="AP216" s="1836"/>
      <c r="AQ216" s="1836"/>
      <c r="AR216" s="1836"/>
      <c r="AS216" s="1836"/>
      <c r="AT216" s="1836"/>
      <c r="AU216" s="1836"/>
      <c r="AV216" s="1836"/>
      <c r="AW216" s="1836"/>
      <c r="AX216" s="1836"/>
      <c r="AY216" s="1836"/>
      <c r="AZ216" s="1836"/>
      <c r="BA216" s="1836"/>
      <c r="BB216" s="1836"/>
      <c r="BC216" s="1836"/>
      <c r="BD216" s="1836"/>
      <c r="BE216" s="1836"/>
      <c r="BF216" s="1836"/>
      <c r="BG216" s="1836"/>
      <c r="BH216" s="1836"/>
      <c r="BI216" s="1836"/>
      <c r="BJ216" s="1836"/>
      <c r="BK216" s="1836"/>
      <c r="BL216" s="1836"/>
      <c r="BM216" s="1836"/>
      <c r="BN216" s="1836"/>
      <c r="BO216" s="1836"/>
      <c r="BP216" s="1836"/>
      <c r="BQ216" s="1836"/>
      <c r="BR216" s="1836"/>
      <c r="BS216" s="1836"/>
      <c r="BT216" s="1836"/>
      <c r="BU216" s="1836"/>
      <c r="BV216" s="1836"/>
      <c r="BW216" s="1836"/>
      <c r="BX216" s="1836"/>
      <c r="BY216" s="1836"/>
      <c r="BZ216" s="1836"/>
      <c r="CA216" s="1836"/>
      <c r="CB216" s="1836"/>
      <c r="CC216" s="1836"/>
      <c r="CD216" s="1836"/>
      <c r="CE216" s="1836"/>
      <c r="CF216" s="1836"/>
      <c r="CG216" s="1836"/>
      <c r="CH216" s="1836"/>
      <c r="CI216" s="1836"/>
      <c r="CJ216" s="1836"/>
      <c r="CK216" s="1836"/>
      <c r="CL216" s="1836"/>
      <c r="CM216" s="1836"/>
      <c r="CN216" s="1836"/>
      <c r="CO216" s="1836"/>
      <c r="CP216" s="1836"/>
      <c r="CQ216" s="1836"/>
      <c r="CR216" s="1836"/>
      <c r="CS216" s="1836"/>
      <c r="CT216" s="1836"/>
      <c r="CU216" s="1836"/>
      <c r="CV216" s="1836"/>
      <c r="CW216" s="1836"/>
      <c r="CX216" s="1836"/>
      <c r="CY216" s="1836"/>
      <c r="CZ216" s="1836"/>
      <c r="DA216" s="1836"/>
      <c r="DB216" s="1836"/>
      <c r="DC216" s="1836"/>
      <c r="DD216" s="1836"/>
      <c r="DE216" s="1836"/>
      <c r="DF216" s="1836"/>
      <c r="DG216" s="1836"/>
      <c r="DH216" s="1836"/>
      <c r="DI216" s="1836"/>
      <c r="DJ216" s="1836"/>
      <c r="DK216" s="1836"/>
      <c r="DL216" s="1836"/>
      <c r="DM216" s="1836"/>
      <c r="DN216" s="1836"/>
      <c r="DO216" s="1836"/>
      <c r="DP216" s="1836"/>
      <c r="DQ216" s="1836"/>
      <c r="DR216" s="1836"/>
      <c r="DS216" s="1836"/>
      <c r="DT216" s="1836"/>
      <c r="DU216" s="1836"/>
      <c r="DV216" s="1836"/>
      <c r="DW216" s="1836"/>
      <c r="DX216" s="1836"/>
      <c r="DY216" s="1836"/>
      <c r="DZ216" s="1836"/>
    </row>
    <row r="217" spans="1:130" s="104" customFormat="1" ht="15" customHeight="1">
      <c r="A217" s="2012"/>
      <c r="B217" s="2015"/>
      <c r="C217" s="932" t="s">
        <v>10</v>
      </c>
      <c r="D217" s="935">
        <v>0</v>
      </c>
      <c r="E217" s="658">
        <v>0</v>
      </c>
      <c r="F217" s="658">
        <v>0</v>
      </c>
      <c r="G217" s="67">
        <f t="shared" si="7"/>
        <v>0</v>
      </c>
      <c r="H217" s="2018"/>
      <c r="I217" s="2021"/>
      <c r="J217" s="2027"/>
      <c r="K217" s="2021"/>
      <c r="L217" s="1771"/>
      <c r="M217" s="2024"/>
      <c r="N217" s="1836"/>
      <c r="O217" s="1836"/>
      <c r="P217" s="1836"/>
      <c r="Q217" s="1836"/>
      <c r="R217" s="1836"/>
      <c r="S217" s="1836"/>
      <c r="T217" s="1836"/>
      <c r="U217" s="1836"/>
      <c r="V217" s="1836"/>
      <c r="W217" s="1836"/>
      <c r="X217" s="1836"/>
      <c r="Y217" s="1836"/>
      <c r="Z217" s="1836"/>
      <c r="AA217" s="1836"/>
      <c r="AB217" s="1836"/>
      <c r="AC217" s="1836"/>
      <c r="AD217" s="1836"/>
      <c r="AE217" s="1836"/>
      <c r="AF217" s="1836"/>
      <c r="AG217" s="1836"/>
      <c r="AH217" s="1836"/>
      <c r="AI217" s="1836"/>
      <c r="AJ217" s="1836"/>
      <c r="AK217" s="1836"/>
      <c r="AL217" s="1836"/>
      <c r="AM217" s="1836"/>
      <c r="AN217" s="1836"/>
      <c r="AO217" s="1836"/>
      <c r="AP217" s="1836"/>
      <c r="AQ217" s="1836"/>
      <c r="AR217" s="1836"/>
      <c r="AS217" s="1836"/>
      <c r="AT217" s="1836"/>
      <c r="AU217" s="1836"/>
      <c r="AV217" s="1836"/>
      <c r="AW217" s="1836"/>
      <c r="AX217" s="1836"/>
      <c r="AY217" s="1836"/>
      <c r="AZ217" s="1836"/>
      <c r="BA217" s="1836"/>
      <c r="BB217" s="1836"/>
      <c r="BC217" s="1836"/>
      <c r="BD217" s="1836"/>
      <c r="BE217" s="1836"/>
      <c r="BF217" s="1836"/>
      <c r="BG217" s="1836"/>
      <c r="BH217" s="1836"/>
      <c r="BI217" s="1836"/>
      <c r="BJ217" s="1836"/>
      <c r="BK217" s="1836"/>
      <c r="BL217" s="1836"/>
      <c r="BM217" s="1836"/>
      <c r="BN217" s="1836"/>
      <c r="BO217" s="1836"/>
      <c r="BP217" s="1836"/>
      <c r="BQ217" s="1836"/>
      <c r="BR217" s="1836"/>
      <c r="BS217" s="1836"/>
      <c r="BT217" s="1836"/>
      <c r="BU217" s="1836"/>
      <c r="BV217" s="1836"/>
      <c r="BW217" s="1836"/>
      <c r="BX217" s="1836"/>
      <c r="BY217" s="1836"/>
      <c r="BZ217" s="1836"/>
      <c r="CA217" s="1836"/>
      <c r="CB217" s="1836"/>
      <c r="CC217" s="1836"/>
      <c r="CD217" s="1836"/>
      <c r="CE217" s="1836"/>
      <c r="CF217" s="1836"/>
      <c r="CG217" s="1836"/>
      <c r="CH217" s="1836"/>
      <c r="CI217" s="1836"/>
      <c r="CJ217" s="1836"/>
      <c r="CK217" s="1836"/>
      <c r="CL217" s="1836"/>
      <c r="CM217" s="1836"/>
      <c r="CN217" s="1836"/>
      <c r="CO217" s="1836"/>
      <c r="CP217" s="1836"/>
      <c r="CQ217" s="1836"/>
      <c r="CR217" s="1836"/>
      <c r="CS217" s="1836"/>
      <c r="CT217" s="1836"/>
      <c r="CU217" s="1836"/>
      <c r="CV217" s="1836"/>
      <c r="CW217" s="1836"/>
      <c r="CX217" s="1836"/>
      <c r="CY217" s="1836"/>
      <c r="CZ217" s="1836"/>
      <c r="DA217" s="1836"/>
      <c r="DB217" s="1836"/>
      <c r="DC217" s="1836"/>
      <c r="DD217" s="1836"/>
      <c r="DE217" s="1836"/>
      <c r="DF217" s="1836"/>
      <c r="DG217" s="1836"/>
      <c r="DH217" s="1836"/>
      <c r="DI217" s="1836"/>
      <c r="DJ217" s="1836"/>
      <c r="DK217" s="1836"/>
      <c r="DL217" s="1836"/>
      <c r="DM217" s="1836"/>
      <c r="DN217" s="1836"/>
      <c r="DO217" s="1836"/>
      <c r="DP217" s="1836"/>
      <c r="DQ217" s="1836"/>
      <c r="DR217" s="1836"/>
      <c r="DS217" s="1836"/>
      <c r="DT217" s="1836"/>
      <c r="DU217" s="1836"/>
      <c r="DV217" s="1836"/>
      <c r="DW217" s="1836"/>
      <c r="DX217" s="1836"/>
      <c r="DY217" s="1836"/>
      <c r="DZ217" s="1836"/>
    </row>
    <row r="218" spans="1:130" s="104" customFormat="1" ht="15" customHeight="1">
      <c r="A218" s="2012"/>
      <c r="B218" s="2015"/>
      <c r="C218" s="932" t="s">
        <v>11</v>
      </c>
      <c r="D218" s="935">
        <v>0</v>
      </c>
      <c r="E218" s="658">
        <v>0</v>
      </c>
      <c r="F218" s="658">
        <v>0</v>
      </c>
      <c r="G218" s="67">
        <f t="shared" si="7"/>
        <v>0</v>
      </c>
      <c r="H218" s="2018"/>
      <c r="I218" s="2021"/>
      <c r="J218" s="2027"/>
      <c r="K218" s="2021"/>
      <c r="L218" s="1771"/>
      <c r="M218" s="2024"/>
      <c r="N218" s="1836"/>
      <c r="O218" s="1836"/>
      <c r="P218" s="1836"/>
      <c r="Q218" s="1836"/>
      <c r="R218" s="1836"/>
      <c r="S218" s="1836"/>
      <c r="T218" s="1836"/>
      <c r="U218" s="1836"/>
      <c r="V218" s="1836"/>
      <c r="W218" s="1836"/>
      <c r="X218" s="1836"/>
      <c r="Y218" s="1836"/>
      <c r="Z218" s="1836"/>
      <c r="AA218" s="1836"/>
      <c r="AB218" s="1836"/>
      <c r="AC218" s="1836"/>
      <c r="AD218" s="1836"/>
      <c r="AE218" s="1836"/>
      <c r="AF218" s="1836"/>
      <c r="AG218" s="1836"/>
      <c r="AH218" s="1836"/>
      <c r="AI218" s="1836"/>
      <c r="AJ218" s="1836"/>
      <c r="AK218" s="1836"/>
      <c r="AL218" s="1836"/>
      <c r="AM218" s="1836"/>
      <c r="AN218" s="1836"/>
      <c r="AO218" s="1836"/>
      <c r="AP218" s="1836"/>
      <c r="AQ218" s="1836"/>
      <c r="AR218" s="1836"/>
      <c r="AS218" s="1836"/>
      <c r="AT218" s="1836"/>
      <c r="AU218" s="1836"/>
      <c r="AV218" s="1836"/>
      <c r="AW218" s="1836"/>
      <c r="AX218" s="1836"/>
      <c r="AY218" s="1836"/>
      <c r="AZ218" s="1836"/>
      <c r="BA218" s="1836"/>
      <c r="BB218" s="1836"/>
      <c r="BC218" s="1836"/>
      <c r="BD218" s="1836"/>
      <c r="BE218" s="1836"/>
      <c r="BF218" s="1836"/>
      <c r="BG218" s="1836"/>
      <c r="BH218" s="1836"/>
      <c r="BI218" s="1836"/>
      <c r="BJ218" s="1836"/>
      <c r="BK218" s="1836"/>
      <c r="BL218" s="1836"/>
      <c r="BM218" s="1836"/>
      <c r="BN218" s="1836"/>
      <c r="BO218" s="1836"/>
      <c r="BP218" s="1836"/>
      <c r="BQ218" s="1836"/>
      <c r="BR218" s="1836"/>
      <c r="BS218" s="1836"/>
      <c r="BT218" s="1836"/>
      <c r="BU218" s="1836"/>
      <c r="BV218" s="1836"/>
      <c r="BW218" s="1836"/>
      <c r="BX218" s="1836"/>
      <c r="BY218" s="1836"/>
      <c r="BZ218" s="1836"/>
      <c r="CA218" s="1836"/>
      <c r="CB218" s="1836"/>
      <c r="CC218" s="1836"/>
      <c r="CD218" s="1836"/>
      <c r="CE218" s="1836"/>
      <c r="CF218" s="1836"/>
      <c r="CG218" s="1836"/>
      <c r="CH218" s="1836"/>
      <c r="CI218" s="1836"/>
      <c r="CJ218" s="1836"/>
      <c r="CK218" s="1836"/>
      <c r="CL218" s="1836"/>
      <c r="CM218" s="1836"/>
      <c r="CN218" s="1836"/>
      <c r="CO218" s="1836"/>
      <c r="CP218" s="1836"/>
      <c r="CQ218" s="1836"/>
      <c r="CR218" s="1836"/>
      <c r="CS218" s="1836"/>
      <c r="CT218" s="1836"/>
      <c r="CU218" s="1836"/>
      <c r="CV218" s="1836"/>
      <c r="CW218" s="1836"/>
      <c r="CX218" s="1836"/>
      <c r="CY218" s="1836"/>
      <c r="CZ218" s="1836"/>
      <c r="DA218" s="1836"/>
      <c r="DB218" s="1836"/>
      <c r="DC218" s="1836"/>
      <c r="DD218" s="1836"/>
      <c r="DE218" s="1836"/>
      <c r="DF218" s="1836"/>
      <c r="DG218" s="1836"/>
      <c r="DH218" s="1836"/>
      <c r="DI218" s="1836"/>
      <c r="DJ218" s="1836"/>
      <c r="DK218" s="1836"/>
      <c r="DL218" s="1836"/>
      <c r="DM218" s="1836"/>
      <c r="DN218" s="1836"/>
      <c r="DO218" s="1836"/>
      <c r="DP218" s="1836"/>
      <c r="DQ218" s="1836"/>
      <c r="DR218" s="1836"/>
      <c r="DS218" s="1836"/>
      <c r="DT218" s="1836"/>
      <c r="DU218" s="1836"/>
      <c r="DV218" s="1836"/>
      <c r="DW218" s="1836"/>
      <c r="DX218" s="1836"/>
      <c r="DY218" s="1836"/>
      <c r="DZ218" s="1836"/>
    </row>
    <row r="219" spans="1:130" s="104" customFormat="1" ht="15" customHeight="1">
      <c r="A219" s="2013"/>
      <c r="B219" s="2016"/>
      <c r="C219" s="932" t="s">
        <v>12</v>
      </c>
      <c r="D219" s="935">
        <v>0</v>
      </c>
      <c r="E219" s="658">
        <v>0</v>
      </c>
      <c r="F219" s="658">
        <v>0</v>
      </c>
      <c r="G219" s="67">
        <f t="shared" si="7"/>
        <v>0</v>
      </c>
      <c r="H219" s="2019"/>
      <c r="I219" s="2022"/>
      <c r="J219" s="2028"/>
      <c r="K219" s="2022"/>
      <c r="L219" s="1771"/>
      <c r="M219" s="2025"/>
      <c r="N219" s="1836"/>
      <c r="O219" s="1836"/>
      <c r="P219" s="1836"/>
      <c r="Q219" s="1836"/>
      <c r="R219" s="1836"/>
      <c r="S219" s="1836"/>
      <c r="T219" s="1836"/>
      <c r="U219" s="1836"/>
      <c r="V219" s="1836"/>
      <c r="W219" s="1836"/>
      <c r="X219" s="1836"/>
      <c r="Y219" s="1836"/>
      <c r="Z219" s="1836"/>
      <c r="AA219" s="1836"/>
      <c r="AB219" s="1836"/>
      <c r="AC219" s="1836"/>
      <c r="AD219" s="1836"/>
      <c r="AE219" s="1836"/>
      <c r="AF219" s="1836"/>
      <c r="AG219" s="1836"/>
      <c r="AH219" s="1836"/>
      <c r="AI219" s="1836"/>
      <c r="AJ219" s="1836"/>
      <c r="AK219" s="1836"/>
      <c r="AL219" s="1836"/>
      <c r="AM219" s="1836"/>
      <c r="AN219" s="1836"/>
      <c r="AO219" s="1836"/>
      <c r="AP219" s="1836"/>
      <c r="AQ219" s="1836"/>
      <c r="AR219" s="1836"/>
      <c r="AS219" s="1836"/>
      <c r="AT219" s="1836"/>
      <c r="AU219" s="1836"/>
      <c r="AV219" s="1836"/>
      <c r="AW219" s="1836"/>
      <c r="AX219" s="1836"/>
      <c r="AY219" s="1836"/>
      <c r="AZ219" s="1836"/>
      <c r="BA219" s="1836"/>
      <c r="BB219" s="1836"/>
      <c r="BC219" s="1836"/>
      <c r="BD219" s="1836"/>
      <c r="BE219" s="1836"/>
      <c r="BF219" s="1836"/>
      <c r="BG219" s="1836"/>
      <c r="BH219" s="1836"/>
      <c r="BI219" s="1836"/>
      <c r="BJ219" s="1836"/>
      <c r="BK219" s="1836"/>
      <c r="BL219" s="1836"/>
      <c r="BM219" s="1836"/>
      <c r="BN219" s="1836"/>
      <c r="BO219" s="1836"/>
      <c r="BP219" s="1836"/>
      <c r="BQ219" s="1836"/>
      <c r="BR219" s="1836"/>
      <c r="BS219" s="1836"/>
      <c r="BT219" s="1836"/>
      <c r="BU219" s="1836"/>
      <c r="BV219" s="1836"/>
      <c r="BW219" s="1836"/>
      <c r="BX219" s="1836"/>
      <c r="BY219" s="1836"/>
      <c r="BZ219" s="1836"/>
      <c r="CA219" s="1836"/>
      <c r="CB219" s="1836"/>
      <c r="CC219" s="1836"/>
      <c r="CD219" s="1836"/>
      <c r="CE219" s="1836"/>
      <c r="CF219" s="1836"/>
      <c r="CG219" s="1836"/>
      <c r="CH219" s="1836"/>
      <c r="CI219" s="1836"/>
      <c r="CJ219" s="1836"/>
      <c r="CK219" s="1836"/>
      <c r="CL219" s="1836"/>
      <c r="CM219" s="1836"/>
      <c r="CN219" s="1836"/>
      <c r="CO219" s="1836"/>
      <c r="CP219" s="1836"/>
      <c r="CQ219" s="1836"/>
      <c r="CR219" s="1836"/>
      <c r="CS219" s="1836"/>
      <c r="CT219" s="1836"/>
      <c r="CU219" s="1836"/>
      <c r="CV219" s="1836"/>
      <c r="CW219" s="1836"/>
      <c r="CX219" s="1836"/>
      <c r="CY219" s="1836"/>
      <c r="CZ219" s="1836"/>
      <c r="DA219" s="1836"/>
      <c r="DB219" s="1836"/>
      <c r="DC219" s="1836"/>
      <c r="DD219" s="1836"/>
      <c r="DE219" s="1836"/>
      <c r="DF219" s="1836"/>
      <c r="DG219" s="1836"/>
      <c r="DH219" s="1836"/>
      <c r="DI219" s="1836"/>
      <c r="DJ219" s="1836"/>
      <c r="DK219" s="1836"/>
      <c r="DL219" s="1836"/>
      <c r="DM219" s="1836"/>
      <c r="DN219" s="1836"/>
      <c r="DO219" s="1836"/>
      <c r="DP219" s="1836"/>
      <c r="DQ219" s="1836"/>
      <c r="DR219" s="1836"/>
      <c r="DS219" s="1836"/>
      <c r="DT219" s="1836"/>
      <c r="DU219" s="1836"/>
      <c r="DV219" s="1836"/>
      <c r="DW219" s="1836"/>
      <c r="DX219" s="1836"/>
      <c r="DY219" s="1836"/>
      <c r="DZ219" s="1836"/>
    </row>
    <row r="220" spans="1:130" s="372" customFormat="1" ht="15" customHeight="1">
      <c r="A220" s="2082" t="s">
        <v>2980</v>
      </c>
      <c r="B220" s="2107" t="s">
        <v>2953</v>
      </c>
      <c r="C220" s="932" t="s">
        <v>8</v>
      </c>
      <c r="D220" s="1900">
        <f>SUM(D221:D224)</f>
        <v>80000</v>
      </c>
      <c r="E220" s="109">
        <f>SUM(E221:E224)</f>
        <v>79979.42</v>
      </c>
      <c r="F220" s="109">
        <f>SUM(F221:F224)</f>
        <v>79979.42</v>
      </c>
      <c r="G220" s="67">
        <f t="shared" si="7"/>
        <v>0.99974275000000001</v>
      </c>
      <c r="H220" s="2135" t="s">
        <v>3054</v>
      </c>
      <c r="I220" s="2136" t="s">
        <v>5437</v>
      </c>
      <c r="J220" s="2046" t="s">
        <v>3384</v>
      </c>
      <c r="K220" s="2055" t="s">
        <v>168</v>
      </c>
      <c r="L220" s="2052"/>
      <c r="M220" s="2074">
        <v>807</v>
      </c>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c r="CB220" s="36"/>
      <c r="CC220" s="36"/>
      <c r="CD220" s="36"/>
      <c r="CE220" s="36"/>
      <c r="CF220" s="36"/>
      <c r="CG220" s="36"/>
      <c r="CH220" s="36"/>
      <c r="CI220" s="36"/>
      <c r="CJ220" s="36"/>
      <c r="CK220" s="36"/>
      <c r="CL220" s="36"/>
      <c r="CM220" s="36"/>
      <c r="CN220" s="36"/>
      <c r="CO220" s="36"/>
      <c r="CP220" s="36"/>
      <c r="CQ220" s="36"/>
      <c r="CR220" s="36"/>
      <c r="CS220" s="36"/>
      <c r="CT220" s="36"/>
      <c r="CU220" s="36"/>
      <c r="CV220" s="36"/>
      <c r="CW220" s="36"/>
      <c r="CX220" s="36"/>
      <c r="CY220" s="36"/>
      <c r="CZ220" s="36"/>
      <c r="DA220" s="36"/>
      <c r="DB220" s="36"/>
      <c r="DC220" s="36"/>
      <c r="DD220" s="36"/>
      <c r="DE220" s="36"/>
      <c r="DF220" s="36"/>
      <c r="DG220" s="36"/>
      <c r="DH220" s="36"/>
      <c r="DI220" s="36"/>
      <c r="DJ220" s="36"/>
      <c r="DK220" s="36"/>
      <c r="DL220" s="36"/>
      <c r="DM220" s="36"/>
      <c r="DN220" s="36"/>
      <c r="DO220" s="36"/>
      <c r="DP220" s="36"/>
      <c r="DQ220" s="36"/>
      <c r="DR220" s="36"/>
      <c r="DS220" s="36"/>
      <c r="DT220" s="36"/>
      <c r="DU220" s="36"/>
      <c r="DV220" s="36"/>
      <c r="DW220" s="36"/>
      <c r="DX220" s="36"/>
      <c r="DY220" s="36"/>
      <c r="DZ220" s="36"/>
    </row>
    <row r="221" spans="1:130" s="372" customFormat="1" ht="15" customHeight="1">
      <c r="A221" s="2012"/>
      <c r="B221" s="2107"/>
      <c r="C221" s="932" t="s">
        <v>9</v>
      </c>
      <c r="D221" s="658">
        <f>'475ПП'!F577</f>
        <v>76000</v>
      </c>
      <c r="E221" s="658">
        <v>75980.45</v>
      </c>
      <c r="F221" s="658">
        <f>E221</f>
        <v>75980.45</v>
      </c>
      <c r="G221" s="67">
        <f t="shared" si="7"/>
        <v>0.99974276315789468</v>
      </c>
      <c r="H221" s="2135"/>
      <c r="I221" s="2137"/>
      <c r="J221" s="2047"/>
      <c r="K221" s="2055"/>
      <c r="L221" s="2053"/>
      <c r="M221" s="2074"/>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c r="CB221" s="36"/>
      <c r="CC221" s="36"/>
      <c r="CD221" s="36"/>
      <c r="CE221" s="36"/>
      <c r="CF221" s="36"/>
      <c r="CG221" s="36"/>
      <c r="CH221" s="36"/>
      <c r="CI221" s="36"/>
      <c r="CJ221" s="36"/>
      <c r="CK221" s="36"/>
      <c r="CL221" s="36"/>
      <c r="CM221" s="36"/>
      <c r="CN221" s="36"/>
      <c r="CO221" s="36"/>
      <c r="CP221" s="36"/>
      <c r="CQ221" s="36"/>
      <c r="CR221" s="36"/>
      <c r="CS221" s="36"/>
      <c r="CT221" s="36"/>
      <c r="CU221" s="36"/>
      <c r="CV221" s="36"/>
      <c r="CW221" s="36"/>
      <c r="CX221" s="36"/>
      <c r="CY221" s="36"/>
      <c r="CZ221" s="36"/>
      <c r="DA221" s="36"/>
      <c r="DB221" s="36"/>
      <c r="DC221" s="36"/>
      <c r="DD221" s="36"/>
      <c r="DE221" s="36"/>
      <c r="DF221" s="36"/>
      <c r="DG221" s="36"/>
      <c r="DH221" s="36"/>
      <c r="DI221" s="36"/>
      <c r="DJ221" s="36"/>
      <c r="DK221" s="36"/>
      <c r="DL221" s="36"/>
      <c r="DM221" s="36"/>
      <c r="DN221" s="36"/>
      <c r="DO221" s="36"/>
      <c r="DP221" s="36"/>
      <c r="DQ221" s="36"/>
      <c r="DR221" s="36"/>
      <c r="DS221" s="36"/>
      <c r="DT221" s="36"/>
      <c r="DU221" s="36"/>
      <c r="DV221" s="36"/>
      <c r="DW221" s="36"/>
      <c r="DX221" s="36"/>
      <c r="DY221" s="36"/>
      <c r="DZ221" s="36"/>
    </row>
    <row r="222" spans="1:130" s="372" customFormat="1" ht="15" customHeight="1">
      <c r="A222" s="2012"/>
      <c r="B222" s="2107"/>
      <c r="C222" s="932" t="s">
        <v>10</v>
      </c>
      <c r="D222" s="1900">
        <f>'475ПП'!G577</f>
        <v>0</v>
      </c>
      <c r="E222" s="658">
        <v>0</v>
      </c>
      <c r="F222" s="658">
        <v>0</v>
      </c>
      <c r="G222" s="67">
        <f t="shared" si="7"/>
        <v>0</v>
      </c>
      <c r="H222" s="2135"/>
      <c r="I222" s="2137"/>
      <c r="J222" s="2047"/>
      <c r="K222" s="2055"/>
      <c r="L222" s="2053"/>
      <c r="M222" s="2074"/>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c r="CB222" s="36"/>
      <c r="CC222" s="36"/>
      <c r="CD222" s="36"/>
      <c r="CE222" s="36"/>
      <c r="CF222" s="36"/>
      <c r="CG222" s="36"/>
      <c r="CH222" s="36"/>
      <c r="CI222" s="36"/>
      <c r="CJ222" s="36"/>
      <c r="CK222" s="36"/>
      <c r="CL222" s="36"/>
      <c r="CM222" s="36"/>
      <c r="CN222" s="36"/>
      <c r="CO222" s="36"/>
      <c r="CP222" s="36"/>
      <c r="CQ222" s="36"/>
      <c r="CR222" s="36"/>
      <c r="CS222" s="36"/>
      <c r="CT222" s="36"/>
      <c r="CU222" s="36"/>
      <c r="CV222" s="36"/>
      <c r="CW222" s="36"/>
      <c r="CX222" s="36"/>
      <c r="CY222" s="36"/>
      <c r="CZ222" s="36"/>
      <c r="DA222" s="36"/>
      <c r="DB222" s="36"/>
      <c r="DC222" s="36"/>
      <c r="DD222" s="36"/>
      <c r="DE222" s="36"/>
      <c r="DF222" s="36"/>
      <c r="DG222" s="36"/>
      <c r="DH222" s="36"/>
      <c r="DI222" s="36"/>
      <c r="DJ222" s="36"/>
      <c r="DK222" s="36"/>
      <c r="DL222" s="36"/>
      <c r="DM222" s="36"/>
      <c r="DN222" s="36"/>
      <c r="DO222" s="36"/>
      <c r="DP222" s="36"/>
      <c r="DQ222" s="36"/>
      <c r="DR222" s="36"/>
      <c r="DS222" s="36"/>
      <c r="DT222" s="36"/>
      <c r="DU222" s="36"/>
      <c r="DV222" s="36"/>
      <c r="DW222" s="36"/>
      <c r="DX222" s="36"/>
      <c r="DY222" s="36"/>
      <c r="DZ222" s="36"/>
    </row>
    <row r="223" spans="1:130" s="372" customFormat="1" ht="15" customHeight="1">
      <c r="A223" s="2012"/>
      <c r="B223" s="2107"/>
      <c r="C223" s="932" t="s">
        <v>11</v>
      </c>
      <c r="D223" s="1900">
        <f>'475ПП'!H577</f>
        <v>4000</v>
      </c>
      <c r="E223" s="658">
        <v>3998.97</v>
      </c>
      <c r="F223" s="658">
        <f>E223</f>
        <v>3998.97</v>
      </c>
      <c r="G223" s="67">
        <f t="shared" si="7"/>
        <v>0.99974249999999998</v>
      </c>
      <c r="H223" s="2135"/>
      <c r="I223" s="2137"/>
      <c r="J223" s="2047"/>
      <c r="K223" s="2055"/>
      <c r="L223" s="2053"/>
      <c r="M223" s="2074"/>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c r="CB223" s="36"/>
      <c r="CC223" s="36"/>
      <c r="CD223" s="36"/>
      <c r="CE223" s="36"/>
      <c r="CF223" s="36"/>
      <c r="CG223" s="36"/>
      <c r="CH223" s="36"/>
      <c r="CI223" s="36"/>
      <c r="CJ223" s="36"/>
      <c r="CK223" s="36"/>
      <c r="CL223" s="36"/>
      <c r="CM223" s="36"/>
      <c r="CN223" s="36"/>
      <c r="CO223" s="36"/>
      <c r="CP223" s="36"/>
      <c r="CQ223" s="36"/>
      <c r="CR223" s="36"/>
      <c r="CS223" s="36"/>
      <c r="CT223" s="36"/>
      <c r="CU223" s="36"/>
      <c r="CV223" s="36"/>
      <c r="CW223" s="36"/>
      <c r="CX223" s="36"/>
      <c r="CY223" s="36"/>
      <c r="CZ223" s="36"/>
      <c r="DA223" s="36"/>
      <c r="DB223" s="36"/>
      <c r="DC223" s="36"/>
      <c r="DD223" s="36"/>
      <c r="DE223" s="36"/>
      <c r="DF223" s="36"/>
      <c r="DG223" s="36"/>
      <c r="DH223" s="36"/>
      <c r="DI223" s="36"/>
      <c r="DJ223" s="36"/>
      <c r="DK223" s="36"/>
      <c r="DL223" s="36"/>
      <c r="DM223" s="36"/>
      <c r="DN223" s="36"/>
      <c r="DO223" s="36"/>
      <c r="DP223" s="36"/>
      <c r="DQ223" s="36"/>
      <c r="DR223" s="36"/>
      <c r="DS223" s="36"/>
      <c r="DT223" s="36"/>
      <c r="DU223" s="36"/>
      <c r="DV223" s="36"/>
      <c r="DW223" s="36"/>
      <c r="DX223" s="36"/>
      <c r="DY223" s="36"/>
      <c r="DZ223" s="36"/>
    </row>
    <row r="224" spans="1:130" s="372" customFormat="1" ht="24.75" customHeight="1">
      <c r="A224" s="2013"/>
      <c r="B224" s="2107"/>
      <c r="C224" s="1901" t="s">
        <v>12</v>
      </c>
      <c r="D224" s="1900">
        <f>'475ПП'!I577</f>
        <v>0</v>
      </c>
      <c r="E224" s="658">
        <v>0</v>
      </c>
      <c r="F224" s="658">
        <v>0</v>
      </c>
      <c r="G224" s="67">
        <f t="shared" si="7"/>
        <v>0</v>
      </c>
      <c r="H224" s="2135"/>
      <c r="I224" s="2138"/>
      <c r="J224" s="2048"/>
      <c r="K224" s="2055"/>
      <c r="L224" s="2054"/>
      <c r="M224" s="2074"/>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c r="CB224" s="36"/>
      <c r="CC224" s="36"/>
      <c r="CD224" s="36"/>
      <c r="CE224" s="36"/>
      <c r="CF224" s="36"/>
      <c r="CG224" s="36"/>
      <c r="CH224" s="36"/>
      <c r="CI224" s="36"/>
      <c r="CJ224" s="36"/>
      <c r="CK224" s="36"/>
      <c r="CL224" s="36"/>
      <c r="CM224" s="36"/>
      <c r="CN224" s="36"/>
      <c r="CO224" s="36"/>
      <c r="CP224" s="36"/>
      <c r="CQ224" s="36"/>
      <c r="CR224" s="36"/>
      <c r="CS224" s="36"/>
      <c r="CT224" s="36"/>
      <c r="CU224" s="36"/>
      <c r="CV224" s="36"/>
      <c r="CW224" s="36"/>
      <c r="CX224" s="36"/>
      <c r="CY224" s="36"/>
      <c r="CZ224" s="36"/>
      <c r="DA224" s="36"/>
      <c r="DB224" s="36"/>
      <c r="DC224" s="36"/>
      <c r="DD224" s="36"/>
      <c r="DE224" s="36"/>
      <c r="DF224" s="36"/>
      <c r="DG224" s="36"/>
      <c r="DH224" s="36"/>
      <c r="DI224" s="36"/>
      <c r="DJ224" s="36"/>
      <c r="DK224" s="36"/>
      <c r="DL224" s="36"/>
      <c r="DM224" s="36"/>
      <c r="DN224" s="36"/>
      <c r="DO224" s="36"/>
      <c r="DP224" s="36"/>
      <c r="DQ224" s="36"/>
      <c r="DR224" s="36"/>
      <c r="DS224" s="36"/>
      <c r="DT224" s="36"/>
      <c r="DU224" s="36"/>
      <c r="DV224" s="36"/>
      <c r="DW224" s="36"/>
      <c r="DX224" s="36"/>
      <c r="DY224" s="36"/>
      <c r="DZ224" s="36"/>
    </row>
    <row r="225" spans="1:130" s="372" customFormat="1" ht="15" customHeight="1">
      <c r="A225" s="2082" t="s">
        <v>2981</v>
      </c>
      <c r="B225" s="2076" t="s">
        <v>2954</v>
      </c>
      <c r="C225" s="932" t="s">
        <v>8</v>
      </c>
      <c r="D225" s="1902">
        <f>SUM(D226:D229)</f>
        <v>4400</v>
      </c>
      <c r="E225" s="1906">
        <f>SUM(E226:E229)</f>
        <v>944.66476999999998</v>
      </c>
      <c r="F225" s="1906">
        <f>SUM(F226:F229)</f>
        <v>944.66476999999998</v>
      </c>
      <c r="G225" s="67">
        <f t="shared" si="7"/>
        <v>0.21469653863636362</v>
      </c>
      <c r="H225" s="2068" t="s">
        <v>3381</v>
      </c>
      <c r="I225" s="2077" t="s">
        <v>5448</v>
      </c>
      <c r="J225" s="2044" t="s">
        <v>3488</v>
      </c>
      <c r="K225" s="2045" t="s">
        <v>3052</v>
      </c>
      <c r="L225" s="2148" t="s">
        <v>5421</v>
      </c>
      <c r="M225" s="2063">
        <v>823</v>
      </c>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c r="CB225" s="36"/>
      <c r="CC225" s="36"/>
      <c r="CD225" s="36"/>
      <c r="CE225" s="36"/>
      <c r="CF225" s="36"/>
      <c r="CG225" s="36"/>
      <c r="CH225" s="36"/>
      <c r="CI225" s="36"/>
      <c r="CJ225" s="36"/>
      <c r="CK225" s="36"/>
      <c r="CL225" s="36"/>
      <c r="CM225" s="36"/>
      <c r="CN225" s="36"/>
      <c r="CO225" s="36"/>
      <c r="CP225" s="36"/>
      <c r="CQ225" s="36"/>
      <c r="CR225" s="36"/>
      <c r="CS225" s="36"/>
      <c r="CT225" s="36"/>
      <c r="CU225" s="36"/>
      <c r="CV225" s="36"/>
      <c r="CW225" s="36"/>
      <c r="CX225" s="36"/>
      <c r="CY225" s="36"/>
      <c r="CZ225" s="36"/>
      <c r="DA225" s="36"/>
      <c r="DB225" s="36"/>
      <c r="DC225" s="36"/>
      <c r="DD225" s="36"/>
      <c r="DE225" s="36"/>
      <c r="DF225" s="36"/>
      <c r="DG225" s="36"/>
      <c r="DH225" s="36"/>
      <c r="DI225" s="36"/>
      <c r="DJ225" s="36"/>
      <c r="DK225" s="36"/>
      <c r="DL225" s="36"/>
      <c r="DM225" s="36"/>
      <c r="DN225" s="36"/>
      <c r="DO225" s="36"/>
      <c r="DP225" s="36"/>
      <c r="DQ225" s="36"/>
      <c r="DR225" s="36"/>
      <c r="DS225" s="36"/>
      <c r="DT225" s="36"/>
      <c r="DU225" s="36"/>
      <c r="DV225" s="36"/>
      <c r="DW225" s="36"/>
      <c r="DX225" s="36"/>
      <c r="DY225" s="36"/>
      <c r="DZ225" s="36"/>
    </row>
    <row r="226" spans="1:130" s="372" customFormat="1" ht="15" customHeight="1">
      <c r="A226" s="2012"/>
      <c r="B226" s="2015"/>
      <c r="C226" s="932" t="s">
        <v>9</v>
      </c>
      <c r="D226" s="1903">
        <f>'475ПП'!F583</f>
        <v>4400</v>
      </c>
      <c r="E226" s="1906">
        <f>'2023'!H99</f>
        <v>944.66476999999998</v>
      </c>
      <c r="F226" s="1906">
        <f>E226</f>
        <v>944.66476999999998</v>
      </c>
      <c r="G226" s="67">
        <f t="shared" si="7"/>
        <v>0.21469653863636362</v>
      </c>
      <c r="H226" s="2069"/>
      <c r="I226" s="2047"/>
      <c r="J226" s="2027"/>
      <c r="K226" s="2021"/>
      <c r="L226" s="2149"/>
      <c r="M226" s="2064"/>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c r="CB226" s="36"/>
      <c r="CC226" s="36"/>
      <c r="CD226" s="36"/>
      <c r="CE226" s="36"/>
      <c r="CF226" s="36"/>
      <c r="CG226" s="36"/>
      <c r="CH226" s="36"/>
      <c r="CI226" s="36"/>
      <c r="CJ226" s="36"/>
      <c r="CK226" s="36"/>
      <c r="CL226" s="36"/>
      <c r="CM226" s="36"/>
      <c r="CN226" s="36"/>
      <c r="CO226" s="36"/>
      <c r="CP226" s="36"/>
      <c r="CQ226" s="36"/>
      <c r="CR226" s="36"/>
      <c r="CS226" s="36"/>
      <c r="CT226" s="36"/>
      <c r="CU226" s="36"/>
      <c r="CV226" s="36"/>
      <c r="CW226" s="36"/>
      <c r="CX226" s="36"/>
      <c r="CY226" s="36"/>
      <c r="CZ226" s="36"/>
      <c r="DA226" s="36"/>
      <c r="DB226" s="36"/>
      <c r="DC226" s="36"/>
      <c r="DD226" s="36"/>
      <c r="DE226" s="36"/>
      <c r="DF226" s="36"/>
      <c r="DG226" s="36"/>
      <c r="DH226" s="36"/>
      <c r="DI226" s="36"/>
      <c r="DJ226" s="36"/>
      <c r="DK226" s="36"/>
      <c r="DL226" s="36"/>
      <c r="DM226" s="36"/>
      <c r="DN226" s="36"/>
      <c r="DO226" s="36"/>
      <c r="DP226" s="36"/>
      <c r="DQ226" s="36"/>
      <c r="DR226" s="36"/>
      <c r="DS226" s="36"/>
      <c r="DT226" s="36"/>
      <c r="DU226" s="36"/>
      <c r="DV226" s="36"/>
      <c r="DW226" s="36"/>
      <c r="DX226" s="36"/>
      <c r="DY226" s="36"/>
      <c r="DZ226" s="36"/>
    </row>
    <row r="227" spans="1:130" s="372" customFormat="1" ht="15" customHeight="1">
      <c r="A227" s="2012"/>
      <c r="B227" s="2015"/>
      <c r="C227" s="932" t="s">
        <v>10</v>
      </c>
      <c r="D227" s="1904">
        <f>'475ПП'!G583</f>
        <v>0</v>
      </c>
      <c r="E227" s="1906">
        <v>0</v>
      </c>
      <c r="F227" s="1906">
        <v>0</v>
      </c>
      <c r="G227" s="67">
        <f t="shared" ref="G227:G304" si="19">IFERROR(F227/D227,0)</f>
        <v>0</v>
      </c>
      <c r="H227" s="2069"/>
      <c r="I227" s="2047"/>
      <c r="J227" s="2027"/>
      <c r="K227" s="2021"/>
      <c r="L227" s="2149"/>
      <c r="M227" s="2064"/>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c r="CB227" s="36"/>
      <c r="CC227" s="36"/>
      <c r="CD227" s="36"/>
      <c r="CE227" s="36"/>
      <c r="CF227" s="36"/>
      <c r="CG227" s="36"/>
      <c r="CH227" s="36"/>
      <c r="CI227" s="36"/>
      <c r="CJ227" s="36"/>
      <c r="CK227" s="36"/>
      <c r="CL227" s="36"/>
      <c r="CM227" s="36"/>
      <c r="CN227" s="36"/>
      <c r="CO227" s="36"/>
      <c r="CP227" s="36"/>
      <c r="CQ227" s="36"/>
      <c r="CR227" s="36"/>
      <c r="CS227" s="36"/>
      <c r="CT227" s="36"/>
      <c r="CU227" s="36"/>
      <c r="CV227" s="36"/>
      <c r="CW227" s="36"/>
      <c r="CX227" s="36"/>
      <c r="CY227" s="36"/>
      <c r="CZ227" s="36"/>
      <c r="DA227" s="36"/>
      <c r="DB227" s="36"/>
      <c r="DC227" s="36"/>
      <c r="DD227" s="36"/>
      <c r="DE227" s="36"/>
      <c r="DF227" s="36"/>
      <c r="DG227" s="36"/>
      <c r="DH227" s="36"/>
      <c r="DI227" s="36"/>
      <c r="DJ227" s="36"/>
      <c r="DK227" s="36"/>
      <c r="DL227" s="36"/>
      <c r="DM227" s="36"/>
      <c r="DN227" s="36"/>
      <c r="DO227" s="36"/>
      <c r="DP227" s="36"/>
      <c r="DQ227" s="36"/>
      <c r="DR227" s="36"/>
      <c r="DS227" s="36"/>
      <c r="DT227" s="36"/>
      <c r="DU227" s="36"/>
      <c r="DV227" s="36"/>
      <c r="DW227" s="36"/>
      <c r="DX227" s="36"/>
      <c r="DY227" s="36"/>
      <c r="DZ227" s="36"/>
    </row>
    <row r="228" spans="1:130" s="372" customFormat="1" ht="15" customHeight="1">
      <c r="A228" s="2012"/>
      <c r="B228" s="2015"/>
      <c r="C228" s="932" t="s">
        <v>11</v>
      </c>
      <c r="D228" s="1905">
        <f>'475ПП'!H583</f>
        <v>0</v>
      </c>
      <c r="E228" s="1906">
        <v>0</v>
      </c>
      <c r="F228" s="1906">
        <v>0</v>
      </c>
      <c r="G228" s="67">
        <f t="shared" si="19"/>
        <v>0</v>
      </c>
      <c r="H228" s="2069"/>
      <c r="I228" s="2047"/>
      <c r="J228" s="2027"/>
      <c r="K228" s="2021"/>
      <c r="L228" s="2149"/>
      <c r="M228" s="2064"/>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c r="CB228" s="36"/>
      <c r="CC228" s="36"/>
      <c r="CD228" s="36"/>
      <c r="CE228" s="36"/>
      <c r="CF228" s="36"/>
      <c r="CG228" s="36"/>
      <c r="CH228" s="36"/>
      <c r="CI228" s="36"/>
      <c r="CJ228" s="36"/>
      <c r="CK228" s="36"/>
      <c r="CL228" s="36"/>
      <c r="CM228" s="36"/>
      <c r="CN228" s="36"/>
      <c r="CO228" s="36"/>
      <c r="CP228" s="36"/>
      <c r="CQ228" s="36"/>
      <c r="CR228" s="36"/>
      <c r="CS228" s="36"/>
      <c r="CT228" s="36"/>
      <c r="CU228" s="36"/>
      <c r="CV228" s="36"/>
      <c r="CW228" s="36"/>
      <c r="CX228" s="36"/>
      <c r="CY228" s="36"/>
      <c r="CZ228" s="36"/>
      <c r="DA228" s="36"/>
      <c r="DB228" s="36"/>
      <c r="DC228" s="36"/>
      <c r="DD228" s="36"/>
      <c r="DE228" s="36"/>
      <c r="DF228" s="36"/>
      <c r="DG228" s="36"/>
      <c r="DH228" s="36"/>
      <c r="DI228" s="36"/>
      <c r="DJ228" s="36"/>
      <c r="DK228" s="36"/>
      <c r="DL228" s="36"/>
      <c r="DM228" s="36"/>
      <c r="DN228" s="36"/>
      <c r="DO228" s="36"/>
      <c r="DP228" s="36"/>
      <c r="DQ228" s="36"/>
      <c r="DR228" s="36"/>
      <c r="DS228" s="36"/>
      <c r="DT228" s="36"/>
      <c r="DU228" s="36"/>
      <c r="DV228" s="36"/>
      <c r="DW228" s="36"/>
      <c r="DX228" s="36"/>
      <c r="DY228" s="36"/>
      <c r="DZ228" s="36"/>
    </row>
    <row r="229" spans="1:130" s="372" customFormat="1" ht="15" customHeight="1">
      <c r="A229" s="2013"/>
      <c r="B229" s="2016"/>
      <c r="C229" s="1901" t="s">
        <v>12</v>
      </c>
      <c r="D229" s="1905">
        <f>'475ПП'!I583</f>
        <v>0</v>
      </c>
      <c r="E229" s="1906">
        <v>0</v>
      </c>
      <c r="F229" s="1906">
        <v>0</v>
      </c>
      <c r="G229" s="67">
        <f t="shared" si="19"/>
        <v>0</v>
      </c>
      <c r="H229" s="2070"/>
      <c r="I229" s="2048"/>
      <c r="J229" s="2028"/>
      <c r="K229" s="2022"/>
      <c r="L229" s="2150"/>
      <c r="M229" s="2065"/>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c r="CB229" s="36"/>
      <c r="CC229" s="36"/>
      <c r="CD229" s="36"/>
      <c r="CE229" s="36"/>
      <c r="CF229" s="36"/>
      <c r="CG229" s="36"/>
      <c r="CH229" s="36"/>
      <c r="CI229" s="36"/>
      <c r="CJ229" s="36"/>
      <c r="CK229" s="36"/>
      <c r="CL229" s="36"/>
      <c r="CM229" s="36"/>
      <c r="CN229" s="36"/>
      <c r="CO229" s="36"/>
      <c r="CP229" s="36"/>
      <c r="CQ229" s="36"/>
      <c r="CR229" s="36"/>
      <c r="CS229" s="36"/>
      <c r="CT229" s="36"/>
      <c r="CU229" s="36"/>
      <c r="CV229" s="36"/>
      <c r="CW229" s="36"/>
      <c r="CX229" s="36"/>
      <c r="CY229" s="36"/>
      <c r="CZ229" s="36"/>
      <c r="DA229" s="36"/>
      <c r="DB229" s="36"/>
      <c r="DC229" s="36"/>
      <c r="DD229" s="36"/>
      <c r="DE229" s="36"/>
      <c r="DF229" s="36"/>
      <c r="DG229" s="36"/>
      <c r="DH229" s="36"/>
      <c r="DI229" s="36"/>
      <c r="DJ229" s="36"/>
      <c r="DK229" s="36"/>
      <c r="DL229" s="36"/>
      <c r="DM229" s="36"/>
      <c r="DN229" s="36"/>
      <c r="DO229" s="36"/>
      <c r="DP229" s="36"/>
      <c r="DQ229" s="36"/>
      <c r="DR229" s="36"/>
      <c r="DS229" s="36"/>
      <c r="DT229" s="36"/>
      <c r="DU229" s="36"/>
      <c r="DV229" s="36"/>
      <c r="DW229" s="36"/>
      <c r="DX229" s="36"/>
      <c r="DY229" s="36"/>
      <c r="DZ229" s="36"/>
    </row>
    <row r="230" spans="1:130" s="372" customFormat="1" ht="15" customHeight="1">
      <c r="A230" s="2082" t="s">
        <v>613</v>
      </c>
      <c r="B230" s="2076" t="s">
        <v>2961</v>
      </c>
      <c r="C230" s="932" t="s">
        <v>8</v>
      </c>
      <c r="D230" s="1902">
        <f>SUM(D231:D234)</f>
        <v>10000</v>
      </c>
      <c r="E230" s="1906">
        <f>SUM(E231:E234)</f>
        <v>10000</v>
      </c>
      <c r="F230" s="1906">
        <f>SUM(F231:F234)</f>
        <v>10000</v>
      </c>
      <c r="G230" s="67">
        <f t="shared" si="19"/>
        <v>1</v>
      </c>
      <c r="H230" s="2068" t="s">
        <v>3043</v>
      </c>
      <c r="I230" s="2136" t="s">
        <v>5437</v>
      </c>
      <c r="J230" s="2044" t="s">
        <v>3384</v>
      </c>
      <c r="K230" s="2045" t="s">
        <v>2993</v>
      </c>
      <c r="L230" s="2052"/>
      <c r="M230" s="2063">
        <v>807</v>
      </c>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c r="CB230" s="36"/>
      <c r="CC230" s="36"/>
      <c r="CD230" s="36"/>
      <c r="CE230" s="36"/>
      <c r="CF230" s="36"/>
      <c r="CG230" s="36"/>
      <c r="CH230" s="36"/>
      <c r="CI230" s="36"/>
      <c r="CJ230" s="36"/>
      <c r="CK230" s="36"/>
      <c r="CL230" s="36"/>
      <c r="CM230" s="36"/>
      <c r="CN230" s="36"/>
      <c r="CO230" s="36"/>
      <c r="CP230" s="36"/>
      <c r="CQ230" s="36"/>
      <c r="CR230" s="36"/>
      <c r="CS230" s="36"/>
      <c r="CT230" s="36"/>
      <c r="CU230" s="36"/>
      <c r="CV230" s="36"/>
      <c r="CW230" s="36"/>
      <c r="CX230" s="36"/>
      <c r="CY230" s="36"/>
      <c r="CZ230" s="36"/>
      <c r="DA230" s="36"/>
      <c r="DB230" s="36"/>
      <c r="DC230" s="36"/>
      <c r="DD230" s="36"/>
      <c r="DE230" s="36"/>
      <c r="DF230" s="36"/>
      <c r="DG230" s="36"/>
      <c r="DH230" s="36"/>
      <c r="DI230" s="36"/>
      <c r="DJ230" s="36"/>
      <c r="DK230" s="36"/>
      <c r="DL230" s="36"/>
      <c r="DM230" s="36"/>
      <c r="DN230" s="36"/>
      <c r="DO230" s="36"/>
      <c r="DP230" s="36"/>
      <c r="DQ230" s="36"/>
      <c r="DR230" s="36"/>
      <c r="DS230" s="36"/>
      <c r="DT230" s="36"/>
      <c r="DU230" s="36"/>
      <c r="DV230" s="36"/>
      <c r="DW230" s="36"/>
      <c r="DX230" s="36"/>
      <c r="DY230" s="36"/>
      <c r="DZ230" s="36"/>
    </row>
    <row r="231" spans="1:130" s="372" customFormat="1" ht="15" customHeight="1">
      <c r="A231" s="2012"/>
      <c r="B231" s="2015"/>
      <c r="C231" s="932" t="s">
        <v>9</v>
      </c>
      <c r="D231" s="1904">
        <f>'475ПП'!F631</f>
        <v>9500</v>
      </c>
      <c r="E231" s="1906">
        <v>9500</v>
      </c>
      <c r="F231" s="1906">
        <f>E231</f>
        <v>9500</v>
      </c>
      <c r="G231" s="67">
        <f t="shared" si="19"/>
        <v>1</v>
      </c>
      <c r="H231" s="2069"/>
      <c r="I231" s="2137"/>
      <c r="J231" s="2027"/>
      <c r="K231" s="2021"/>
      <c r="L231" s="2053"/>
      <c r="M231" s="2064"/>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c r="CB231" s="36"/>
      <c r="CC231" s="36"/>
      <c r="CD231" s="36"/>
      <c r="CE231" s="36"/>
      <c r="CF231" s="36"/>
      <c r="CG231" s="36"/>
      <c r="CH231" s="36"/>
      <c r="CI231" s="36"/>
      <c r="CJ231" s="36"/>
      <c r="CK231" s="36"/>
      <c r="CL231" s="36"/>
      <c r="CM231" s="36"/>
      <c r="CN231" s="36"/>
      <c r="CO231" s="36"/>
      <c r="CP231" s="36"/>
      <c r="CQ231" s="36"/>
      <c r="CR231" s="36"/>
      <c r="CS231" s="36"/>
      <c r="CT231" s="36"/>
      <c r="CU231" s="36"/>
      <c r="CV231" s="36"/>
      <c r="CW231" s="36"/>
      <c r="CX231" s="36"/>
      <c r="CY231" s="36"/>
      <c r="CZ231" s="36"/>
      <c r="DA231" s="36"/>
      <c r="DB231" s="36"/>
      <c r="DC231" s="36"/>
      <c r="DD231" s="36"/>
      <c r="DE231" s="36"/>
      <c r="DF231" s="36"/>
      <c r="DG231" s="36"/>
      <c r="DH231" s="36"/>
      <c r="DI231" s="36"/>
      <c r="DJ231" s="36"/>
      <c r="DK231" s="36"/>
      <c r="DL231" s="36"/>
      <c r="DM231" s="36"/>
      <c r="DN231" s="36"/>
      <c r="DO231" s="36"/>
      <c r="DP231" s="36"/>
      <c r="DQ231" s="36"/>
      <c r="DR231" s="36"/>
      <c r="DS231" s="36"/>
      <c r="DT231" s="36"/>
      <c r="DU231" s="36"/>
      <c r="DV231" s="36"/>
      <c r="DW231" s="36"/>
      <c r="DX231" s="36"/>
      <c r="DY231" s="36"/>
      <c r="DZ231" s="36"/>
    </row>
    <row r="232" spans="1:130" s="372" customFormat="1" ht="15" customHeight="1">
      <c r="A232" s="2012"/>
      <c r="B232" s="2015"/>
      <c r="C232" s="932" t="s">
        <v>10</v>
      </c>
      <c r="D232" s="1904">
        <f>'475ПП'!G631</f>
        <v>0</v>
      </c>
      <c r="E232" s="1906">
        <v>0</v>
      </c>
      <c r="F232" s="1906">
        <v>0</v>
      </c>
      <c r="G232" s="67">
        <f t="shared" si="19"/>
        <v>0</v>
      </c>
      <c r="H232" s="2069"/>
      <c r="I232" s="2137"/>
      <c r="J232" s="2027"/>
      <c r="K232" s="2021"/>
      <c r="L232" s="2053"/>
      <c r="M232" s="2064"/>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c r="CB232" s="36"/>
      <c r="CC232" s="36"/>
      <c r="CD232" s="36"/>
      <c r="CE232" s="36"/>
      <c r="CF232" s="36"/>
      <c r="CG232" s="36"/>
      <c r="CH232" s="36"/>
      <c r="CI232" s="36"/>
      <c r="CJ232" s="36"/>
      <c r="CK232" s="36"/>
      <c r="CL232" s="36"/>
      <c r="CM232" s="36"/>
      <c r="CN232" s="36"/>
      <c r="CO232" s="36"/>
      <c r="CP232" s="36"/>
      <c r="CQ232" s="36"/>
      <c r="CR232" s="36"/>
      <c r="CS232" s="36"/>
      <c r="CT232" s="36"/>
      <c r="CU232" s="36"/>
      <c r="CV232" s="36"/>
      <c r="CW232" s="36"/>
      <c r="CX232" s="36"/>
      <c r="CY232" s="36"/>
      <c r="CZ232" s="36"/>
      <c r="DA232" s="36"/>
      <c r="DB232" s="36"/>
      <c r="DC232" s="36"/>
      <c r="DD232" s="36"/>
      <c r="DE232" s="36"/>
      <c r="DF232" s="36"/>
      <c r="DG232" s="36"/>
      <c r="DH232" s="36"/>
      <c r="DI232" s="36"/>
      <c r="DJ232" s="36"/>
      <c r="DK232" s="36"/>
      <c r="DL232" s="36"/>
      <c r="DM232" s="36"/>
      <c r="DN232" s="36"/>
      <c r="DO232" s="36"/>
      <c r="DP232" s="36"/>
      <c r="DQ232" s="36"/>
      <c r="DR232" s="36"/>
      <c r="DS232" s="36"/>
      <c r="DT232" s="36"/>
      <c r="DU232" s="36"/>
      <c r="DV232" s="36"/>
      <c r="DW232" s="36"/>
      <c r="DX232" s="36"/>
      <c r="DY232" s="36"/>
      <c r="DZ232" s="36"/>
    </row>
    <row r="233" spans="1:130" s="372" customFormat="1" ht="15" customHeight="1">
      <c r="A233" s="2012"/>
      <c r="B233" s="2015"/>
      <c r="C233" s="932" t="s">
        <v>11</v>
      </c>
      <c r="D233" s="1905">
        <f>'475ПП'!H631</f>
        <v>500</v>
      </c>
      <c r="E233" s="1906">
        <v>500</v>
      </c>
      <c r="F233" s="1906">
        <f>E233</f>
        <v>500</v>
      </c>
      <c r="G233" s="67">
        <f t="shared" si="19"/>
        <v>1</v>
      </c>
      <c r="H233" s="2069"/>
      <c r="I233" s="2137"/>
      <c r="J233" s="2027"/>
      <c r="K233" s="2021"/>
      <c r="L233" s="2053"/>
      <c r="M233" s="2064"/>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c r="CB233" s="36"/>
      <c r="CC233" s="36"/>
      <c r="CD233" s="36"/>
      <c r="CE233" s="36"/>
      <c r="CF233" s="36"/>
      <c r="CG233" s="36"/>
      <c r="CH233" s="36"/>
      <c r="CI233" s="36"/>
      <c r="CJ233" s="36"/>
      <c r="CK233" s="36"/>
      <c r="CL233" s="36"/>
      <c r="CM233" s="36"/>
      <c r="CN233" s="36"/>
      <c r="CO233" s="36"/>
      <c r="CP233" s="36"/>
      <c r="CQ233" s="36"/>
      <c r="CR233" s="36"/>
      <c r="CS233" s="36"/>
      <c r="CT233" s="36"/>
      <c r="CU233" s="36"/>
      <c r="CV233" s="36"/>
      <c r="CW233" s="36"/>
      <c r="CX233" s="36"/>
      <c r="CY233" s="36"/>
      <c r="CZ233" s="36"/>
      <c r="DA233" s="36"/>
      <c r="DB233" s="36"/>
      <c r="DC233" s="36"/>
      <c r="DD233" s="36"/>
      <c r="DE233" s="36"/>
      <c r="DF233" s="36"/>
      <c r="DG233" s="36"/>
      <c r="DH233" s="36"/>
      <c r="DI233" s="36"/>
      <c r="DJ233" s="36"/>
      <c r="DK233" s="36"/>
      <c r="DL233" s="36"/>
      <c r="DM233" s="36"/>
      <c r="DN233" s="36"/>
      <c r="DO233" s="36"/>
      <c r="DP233" s="36"/>
      <c r="DQ233" s="36"/>
      <c r="DR233" s="36"/>
      <c r="DS233" s="36"/>
      <c r="DT233" s="36"/>
      <c r="DU233" s="36"/>
      <c r="DV233" s="36"/>
      <c r="DW233" s="36"/>
      <c r="DX233" s="36"/>
      <c r="DY233" s="36"/>
      <c r="DZ233" s="36"/>
    </row>
    <row r="234" spans="1:130" s="372" customFormat="1" ht="15" customHeight="1">
      <c r="A234" s="2013"/>
      <c r="B234" s="2016"/>
      <c r="C234" s="1901" t="s">
        <v>12</v>
      </c>
      <c r="D234" s="1905">
        <f>'475ПП'!I631</f>
        <v>0</v>
      </c>
      <c r="E234" s="1906">
        <v>0</v>
      </c>
      <c r="F234" s="1906">
        <v>0</v>
      </c>
      <c r="G234" s="67">
        <f t="shared" si="19"/>
        <v>0</v>
      </c>
      <c r="H234" s="2070"/>
      <c r="I234" s="2138"/>
      <c r="J234" s="2028"/>
      <c r="K234" s="2022"/>
      <c r="L234" s="2054"/>
      <c r="M234" s="2065"/>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c r="CB234" s="36"/>
      <c r="CC234" s="36"/>
      <c r="CD234" s="36"/>
      <c r="CE234" s="36"/>
      <c r="CF234" s="36"/>
      <c r="CG234" s="36"/>
      <c r="CH234" s="36"/>
      <c r="CI234" s="36"/>
      <c r="CJ234" s="36"/>
      <c r="CK234" s="36"/>
      <c r="CL234" s="36"/>
      <c r="CM234" s="36"/>
      <c r="CN234" s="36"/>
      <c r="CO234" s="36"/>
      <c r="CP234" s="36"/>
      <c r="CQ234" s="36"/>
      <c r="CR234" s="36"/>
      <c r="CS234" s="36"/>
      <c r="CT234" s="36"/>
      <c r="CU234" s="36"/>
      <c r="CV234" s="36"/>
      <c r="CW234" s="36"/>
      <c r="CX234" s="36"/>
      <c r="CY234" s="36"/>
      <c r="CZ234" s="36"/>
      <c r="DA234" s="36"/>
      <c r="DB234" s="36"/>
      <c r="DC234" s="36"/>
      <c r="DD234" s="36"/>
      <c r="DE234" s="36"/>
      <c r="DF234" s="36"/>
      <c r="DG234" s="36"/>
      <c r="DH234" s="36"/>
      <c r="DI234" s="36"/>
      <c r="DJ234" s="36"/>
      <c r="DK234" s="36"/>
      <c r="DL234" s="36"/>
      <c r="DM234" s="36"/>
      <c r="DN234" s="36"/>
      <c r="DO234" s="36"/>
      <c r="DP234" s="36"/>
      <c r="DQ234" s="36"/>
      <c r="DR234" s="36"/>
      <c r="DS234" s="36"/>
      <c r="DT234" s="36"/>
      <c r="DU234" s="36"/>
      <c r="DV234" s="36"/>
      <c r="DW234" s="36"/>
      <c r="DX234" s="36"/>
      <c r="DY234" s="36"/>
      <c r="DZ234" s="36"/>
    </row>
    <row r="235" spans="1:130" s="1482" customFormat="1" ht="15" customHeight="1">
      <c r="A235" s="2011" t="s">
        <v>615</v>
      </c>
      <c r="B235" s="2014" t="s">
        <v>2962</v>
      </c>
      <c r="C235" s="932" t="s">
        <v>8</v>
      </c>
      <c r="D235" s="1905">
        <f>SUM(D236:D239)</f>
        <v>164.066</v>
      </c>
      <c r="E235" s="1906">
        <f>SUM(E236:E239)</f>
        <v>164.1</v>
      </c>
      <c r="F235" s="1906">
        <f>SUM(F236:F239)</f>
        <v>164.1</v>
      </c>
      <c r="G235" s="1897">
        <f t="shared" si="19"/>
        <v>1.0002072336742529</v>
      </c>
      <c r="H235" s="2114" t="s">
        <v>3621</v>
      </c>
      <c r="I235" s="2075" t="s">
        <v>5438</v>
      </c>
      <c r="J235" s="2026" t="s">
        <v>3384</v>
      </c>
      <c r="K235" s="2020" t="s">
        <v>3040</v>
      </c>
      <c r="L235" s="2020" t="s">
        <v>5320</v>
      </c>
      <c r="M235" s="2063">
        <v>807</v>
      </c>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c r="CB235" s="36"/>
      <c r="CC235" s="36"/>
      <c r="CD235" s="36"/>
      <c r="CE235" s="36"/>
      <c r="CF235" s="36"/>
      <c r="CG235" s="36"/>
      <c r="CH235" s="36"/>
      <c r="CI235" s="36"/>
      <c r="CJ235" s="36"/>
      <c r="CK235" s="36"/>
      <c r="CL235" s="36"/>
      <c r="CM235" s="36"/>
      <c r="CN235" s="36"/>
      <c r="CO235" s="36"/>
      <c r="CP235" s="36"/>
      <c r="CQ235" s="36"/>
      <c r="CR235" s="36"/>
      <c r="CS235" s="36"/>
      <c r="CT235" s="36"/>
      <c r="CU235" s="36"/>
      <c r="CV235" s="36"/>
      <c r="CW235" s="36"/>
      <c r="CX235" s="36"/>
      <c r="CY235" s="36"/>
      <c r="CZ235" s="36"/>
      <c r="DA235" s="36"/>
      <c r="DB235" s="36"/>
      <c r="DC235" s="36"/>
      <c r="DD235" s="36"/>
      <c r="DE235" s="36"/>
      <c r="DF235" s="36"/>
      <c r="DG235" s="36"/>
      <c r="DH235" s="36"/>
      <c r="DI235" s="36"/>
      <c r="DJ235" s="36"/>
      <c r="DK235" s="36"/>
      <c r="DL235" s="36"/>
      <c r="DM235" s="36"/>
      <c r="DN235" s="36"/>
      <c r="DO235" s="36"/>
      <c r="DP235" s="36"/>
      <c r="DQ235" s="36"/>
      <c r="DR235" s="36"/>
      <c r="DS235" s="36"/>
      <c r="DT235" s="36"/>
      <c r="DU235" s="36"/>
      <c r="DV235" s="36"/>
      <c r="DW235" s="36"/>
      <c r="DX235" s="36"/>
      <c r="DY235" s="36"/>
      <c r="DZ235" s="36"/>
    </row>
    <row r="236" spans="1:130" s="1482" customFormat="1" ht="15" customHeight="1">
      <c r="A236" s="2012"/>
      <c r="B236" s="2015"/>
      <c r="C236" s="932" t="s">
        <v>9</v>
      </c>
      <c r="D236" s="1905">
        <f>'668-ПП'!F638</f>
        <v>164.066</v>
      </c>
      <c r="E236" s="1906">
        <v>164.1</v>
      </c>
      <c r="F236" s="1906">
        <v>164.1</v>
      </c>
      <c r="G236" s="1897">
        <f t="shared" si="19"/>
        <v>1.0002072336742529</v>
      </c>
      <c r="H236" s="2069"/>
      <c r="I236" s="2047"/>
      <c r="J236" s="2027"/>
      <c r="K236" s="2021"/>
      <c r="L236" s="2021"/>
      <c r="M236" s="2064"/>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c r="CB236" s="36"/>
      <c r="CC236" s="36"/>
      <c r="CD236" s="36"/>
      <c r="CE236" s="36"/>
      <c r="CF236" s="36"/>
      <c r="CG236" s="36"/>
      <c r="CH236" s="36"/>
      <c r="CI236" s="36"/>
      <c r="CJ236" s="36"/>
      <c r="CK236" s="36"/>
      <c r="CL236" s="36"/>
      <c r="CM236" s="36"/>
      <c r="CN236" s="36"/>
      <c r="CO236" s="36"/>
      <c r="CP236" s="36"/>
      <c r="CQ236" s="36"/>
      <c r="CR236" s="36"/>
      <c r="CS236" s="36"/>
      <c r="CT236" s="36"/>
      <c r="CU236" s="36"/>
      <c r="CV236" s="36"/>
      <c r="CW236" s="36"/>
      <c r="CX236" s="36"/>
      <c r="CY236" s="36"/>
      <c r="CZ236" s="36"/>
      <c r="DA236" s="36"/>
      <c r="DB236" s="36"/>
      <c r="DC236" s="36"/>
      <c r="DD236" s="36"/>
      <c r="DE236" s="36"/>
      <c r="DF236" s="36"/>
      <c r="DG236" s="36"/>
      <c r="DH236" s="36"/>
      <c r="DI236" s="36"/>
      <c r="DJ236" s="36"/>
      <c r="DK236" s="36"/>
      <c r="DL236" s="36"/>
      <c r="DM236" s="36"/>
      <c r="DN236" s="36"/>
      <c r="DO236" s="36"/>
      <c r="DP236" s="36"/>
      <c r="DQ236" s="36"/>
      <c r="DR236" s="36"/>
      <c r="DS236" s="36"/>
      <c r="DT236" s="36"/>
      <c r="DU236" s="36"/>
      <c r="DV236" s="36"/>
      <c r="DW236" s="36"/>
      <c r="DX236" s="36"/>
      <c r="DY236" s="36"/>
      <c r="DZ236" s="36"/>
    </row>
    <row r="237" spans="1:130" s="1482" customFormat="1" ht="15" customHeight="1">
      <c r="A237" s="2012"/>
      <c r="B237" s="2015"/>
      <c r="C237" s="932" t="s">
        <v>10</v>
      </c>
      <c r="D237" s="1905">
        <v>0</v>
      </c>
      <c r="E237" s="1906">
        <v>0</v>
      </c>
      <c r="F237" s="1906">
        <v>0</v>
      </c>
      <c r="G237" s="1897">
        <f t="shared" si="19"/>
        <v>0</v>
      </c>
      <c r="H237" s="2069"/>
      <c r="I237" s="2047"/>
      <c r="J237" s="2027"/>
      <c r="K237" s="2021"/>
      <c r="L237" s="2021"/>
      <c r="M237" s="2064"/>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c r="CB237" s="36"/>
      <c r="CC237" s="36"/>
      <c r="CD237" s="36"/>
      <c r="CE237" s="36"/>
      <c r="CF237" s="36"/>
      <c r="CG237" s="36"/>
      <c r="CH237" s="36"/>
      <c r="CI237" s="36"/>
      <c r="CJ237" s="36"/>
      <c r="CK237" s="36"/>
      <c r="CL237" s="36"/>
      <c r="CM237" s="36"/>
      <c r="CN237" s="36"/>
      <c r="CO237" s="36"/>
      <c r="CP237" s="36"/>
      <c r="CQ237" s="36"/>
      <c r="CR237" s="36"/>
      <c r="CS237" s="36"/>
      <c r="CT237" s="36"/>
      <c r="CU237" s="36"/>
      <c r="CV237" s="36"/>
      <c r="CW237" s="36"/>
      <c r="CX237" s="36"/>
      <c r="CY237" s="36"/>
      <c r="CZ237" s="36"/>
      <c r="DA237" s="36"/>
      <c r="DB237" s="36"/>
      <c r="DC237" s="36"/>
      <c r="DD237" s="36"/>
      <c r="DE237" s="36"/>
      <c r="DF237" s="36"/>
      <c r="DG237" s="36"/>
      <c r="DH237" s="36"/>
      <c r="DI237" s="36"/>
      <c r="DJ237" s="36"/>
      <c r="DK237" s="36"/>
      <c r="DL237" s="36"/>
      <c r="DM237" s="36"/>
      <c r="DN237" s="36"/>
      <c r="DO237" s="36"/>
      <c r="DP237" s="36"/>
      <c r="DQ237" s="36"/>
      <c r="DR237" s="36"/>
      <c r="DS237" s="36"/>
      <c r="DT237" s="36"/>
      <c r="DU237" s="36"/>
      <c r="DV237" s="36"/>
      <c r="DW237" s="36"/>
      <c r="DX237" s="36"/>
      <c r="DY237" s="36"/>
      <c r="DZ237" s="36"/>
    </row>
    <row r="238" spans="1:130" s="1482" customFormat="1" ht="15" customHeight="1">
      <c r="A238" s="2012"/>
      <c r="B238" s="2015"/>
      <c r="C238" s="932" t="s">
        <v>11</v>
      </c>
      <c r="D238" s="1905">
        <v>0</v>
      </c>
      <c r="E238" s="1906">
        <v>0</v>
      </c>
      <c r="F238" s="1906">
        <v>0</v>
      </c>
      <c r="G238" s="1897">
        <f t="shared" si="19"/>
        <v>0</v>
      </c>
      <c r="H238" s="2069"/>
      <c r="I238" s="2047"/>
      <c r="J238" s="2027"/>
      <c r="K238" s="2021"/>
      <c r="L238" s="2021"/>
      <c r="M238" s="2064"/>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c r="CB238" s="36"/>
      <c r="CC238" s="36"/>
      <c r="CD238" s="36"/>
      <c r="CE238" s="36"/>
      <c r="CF238" s="36"/>
      <c r="CG238" s="36"/>
      <c r="CH238" s="36"/>
      <c r="CI238" s="36"/>
      <c r="CJ238" s="36"/>
      <c r="CK238" s="36"/>
      <c r="CL238" s="36"/>
      <c r="CM238" s="36"/>
      <c r="CN238" s="36"/>
      <c r="CO238" s="36"/>
      <c r="CP238" s="36"/>
      <c r="CQ238" s="36"/>
      <c r="CR238" s="36"/>
      <c r="CS238" s="36"/>
      <c r="CT238" s="36"/>
      <c r="CU238" s="36"/>
      <c r="CV238" s="36"/>
      <c r="CW238" s="36"/>
      <c r="CX238" s="36"/>
      <c r="CY238" s="36"/>
      <c r="CZ238" s="36"/>
      <c r="DA238" s="36"/>
      <c r="DB238" s="36"/>
      <c r="DC238" s="36"/>
      <c r="DD238" s="36"/>
      <c r="DE238" s="36"/>
      <c r="DF238" s="36"/>
      <c r="DG238" s="36"/>
      <c r="DH238" s="36"/>
      <c r="DI238" s="36"/>
      <c r="DJ238" s="36"/>
      <c r="DK238" s="36"/>
      <c r="DL238" s="36"/>
      <c r="DM238" s="36"/>
      <c r="DN238" s="36"/>
      <c r="DO238" s="36"/>
      <c r="DP238" s="36"/>
      <c r="DQ238" s="36"/>
      <c r="DR238" s="36"/>
      <c r="DS238" s="36"/>
      <c r="DT238" s="36"/>
      <c r="DU238" s="36"/>
      <c r="DV238" s="36"/>
      <c r="DW238" s="36"/>
      <c r="DX238" s="36"/>
      <c r="DY238" s="36"/>
      <c r="DZ238" s="36"/>
    </row>
    <row r="239" spans="1:130" s="1482" customFormat="1" ht="15" customHeight="1">
      <c r="A239" s="2013"/>
      <c r="B239" s="2016"/>
      <c r="C239" s="1901" t="s">
        <v>12</v>
      </c>
      <c r="D239" s="1905">
        <v>0</v>
      </c>
      <c r="E239" s="1906">
        <v>0</v>
      </c>
      <c r="F239" s="1906">
        <v>0</v>
      </c>
      <c r="G239" s="1897">
        <f t="shared" si="19"/>
        <v>0</v>
      </c>
      <c r="H239" s="2070"/>
      <c r="I239" s="2048"/>
      <c r="J239" s="2028"/>
      <c r="K239" s="2022"/>
      <c r="L239" s="2022"/>
      <c r="M239" s="2065"/>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c r="CB239" s="36"/>
      <c r="CC239" s="36"/>
      <c r="CD239" s="36"/>
      <c r="CE239" s="36"/>
      <c r="CF239" s="36"/>
      <c r="CG239" s="36"/>
      <c r="CH239" s="36"/>
      <c r="CI239" s="36"/>
      <c r="CJ239" s="36"/>
      <c r="CK239" s="36"/>
      <c r="CL239" s="36"/>
      <c r="CM239" s="36"/>
      <c r="CN239" s="36"/>
      <c r="CO239" s="36"/>
      <c r="CP239" s="36"/>
      <c r="CQ239" s="36"/>
      <c r="CR239" s="36"/>
      <c r="CS239" s="36"/>
      <c r="CT239" s="36"/>
      <c r="CU239" s="36"/>
      <c r="CV239" s="36"/>
      <c r="CW239" s="36"/>
      <c r="CX239" s="36"/>
      <c r="CY239" s="36"/>
      <c r="CZ239" s="36"/>
      <c r="DA239" s="36"/>
      <c r="DB239" s="36"/>
      <c r="DC239" s="36"/>
      <c r="DD239" s="36"/>
      <c r="DE239" s="36"/>
      <c r="DF239" s="36"/>
      <c r="DG239" s="36"/>
      <c r="DH239" s="36"/>
      <c r="DI239" s="36"/>
      <c r="DJ239" s="36"/>
      <c r="DK239" s="36"/>
      <c r="DL239" s="36"/>
      <c r="DM239" s="36"/>
      <c r="DN239" s="36"/>
      <c r="DO239" s="36"/>
      <c r="DP239" s="36"/>
      <c r="DQ239" s="36"/>
      <c r="DR239" s="36"/>
      <c r="DS239" s="36"/>
      <c r="DT239" s="36"/>
      <c r="DU239" s="36"/>
      <c r="DV239" s="36"/>
      <c r="DW239" s="36"/>
      <c r="DX239" s="36"/>
      <c r="DY239" s="36"/>
      <c r="DZ239" s="36"/>
    </row>
    <row r="240" spans="1:130" s="372" customFormat="1" ht="15" customHeight="1">
      <c r="A240" s="2166" t="s">
        <v>3015</v>
      </c>
      <c r="B240" s="2132" t="s">
        <v>3014</v>
      </c>
      <c r="C240" s="1516" t="s">
        <v>8</v>
      </c>
      <c r="D240" s="1519">
        <f>SUM(D241:D244)</f>
        <v>381844.83999999997</v>
      </c>
      <c r="E240" s="1927">
        <f>SUM(E241:E244)</f>
        <v>314000.3</v>
      </c>
      <c r="F240" s="1927">
        <f>SUM(F241:F244)</f>
        <v>314000.3</v>
      </c>
      <c r="G240" s="1512">
        <f t="shared" si="19"/>
        <v>0.82232432419408896</v>
      </c>
      <c r="H240" s="2143" t="s">
        <v>3505</v>
      </c>
      <c r="I240" s="779" t="s">
        <v>267</v>
      </c>
      <c r="J240" s="780">
        <f>SUM(J241:J243)</f>
        <v>3</v>
      </c>
      <c r="K240" s="2066" t="s">
        <v>3012</v>
      </c>
      <c r="L240" s="2066"/>
      <c r="M240" s="2041">
        <v>807</v>
      </c>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c r="CB240" s="36"/>
      <c r="CC240" s="36"/>
      <c r="CD240" s="36"/>
      <c r="CE240" s="36"/>
      <c r="CF240" s="36"/>
      <c r="CG240" s="36"/>
      <c r="CH240" s="36"/>
      <c r="CI240" s="36"/>
      <c r="CJ240" s="36"/>
      <c r="CK240" s="36"/>
      <c r="CL240" s="36"/>
      <c r="CM240" s="36"/>
      <c r="CN240" s="36"/>
      <c r="CO240" s="36"/>
      <c r="CP240" s="36"/>
      <c r="CQ240" s="36"/>
      <c r="CR240" s="36"/>
      <c r="CS240" s="36"/>
      <c r="CT240" s="36"/>
      <c r="CU240" s="36"/>
      <c r="CV240" s="36"/>
      <c r="CW240" s="36"/>
      <c r="CX240" s="36"/>
      <c r="CY240" s="36"/>
      <c r="CZ240" s="36"/>
      <c r="DA240" s="36"/>
      <c r="DB240" s="36"/>
      <c r="DC240" s="36"/>
      <c r="DD240" s="36"/>
      <c r="DE240" s="36"/>
      <c r="DF240" s="36"/>
      <c r="DG240" s="36"/>
      <c r="DH240" s="36"/>
      <c r="DI240" s="36"/>
      <c r="DJ240" s="36"/>
      <c r="DK240" s="36"/>
      <c r="DL240" s="36"/>
      <c r="DM240" s="36"/>
      <c r="DN240" s="36"/>
      <c r="DO240" s="36"/>
      <c r="DP240" s="36"/>
      <c r="DQ240" s="36"/>
      <c r="DR240" s="36"/>
      <c r="DS240" s="36"/>
      <c r="DT240" s="36"/>
      <c r="DU240" s="36"/>
      <c r="DV240" s="36"/>
      <c r="DW240" s="36"/>
      <c r="DX240" s="36"/>
      <c r="DY240" s="36"/>
      <c r="DZ240" s="36"/>
    </row>
    <row r="241" spans="1:130" s="372" customFormat="1" ht="15" customHeight="1">
      <c r="A241" s="2167"/>
      <c r="B241" s="2133"/>
      <c r="C241" s="1516" t="s">
        <v>9</v>
      </c>
      <c r="D241" s="1519">
        <f t="shared" ref="D241:F244" si="20">SUM(D246,D251,D256)</f>
        <v>84525.1</v>
      </c>
      <c r="E241" s="1927">
        <f t="shared" si="20"/>
        <v>16680.599999999999</v>
      </c>
      <c r="F241" s="1927">
        <f t="shared" si="20"/>
        <v>16680.599999999999</v>
      </c>
      <c r="G241" s="1512">
        <f t="shared" si="19"/>
        <v>0.19734493067739639</v>
      </c>
      <c r="H241" s="2144"/>
      <c r="I241" s="779" t="s">
        <v>268</v>
      </c>
      <c r="J241" s="780">
        <f>COUNTIF($J$245:$J$259,"Да")</f>
        <v>2</v>
      </c>
      <c r="K241" s="2066"/>
      <c r="L241" s="2066"/>
      <c r="M241" s="2042"/>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c r="CB241" s="36"/>
      <c r="CC241" s="36"/>
      <c r="CD241" s="36"/>
      <c r="CE241" s="36"/>
      <c r="CF241" s="36"/>
      <c r="CG241" s="36"/>
      <c r="CH241" s="36"/>
      <c r="CI241" s="36"/>
      <c r="CJ241" s="36"/>
      <c r="CK241" s="36"/>
      <c r="CL241" s="36"/>
      <c r="CM241" s="36"/>
      <c r="CN241" s="36"/>
      <c r="CO241" s="36"/>
      <c r="CP241" s="36"/>
      <c r="CQ241" s="36"/>
      <c r="CR241" s="36"/>
      <c r="CS241" s="36"/>
      <c r="CT241" s="36"/>
      <c r="CU241" s="36"/>
      <c r="CV241" s="36"/>
      <c r="CW241" s="36"/>
      <c r="CX241" s="36"/>
      <c r="CY241" s="36"/>
      <c r="CZ241" s="36"/>
      <c r="DA241" s="36"/>
      <c r="DB241" s="36"/>
      <c r="DC241" s="36"/>
      <c r="DD241" s="36"/>
      <c r="DE241" s="36"/>
      <c r="DF241" s="36"/>
      <c r="DG241" s="36"/>
      <c r="DH241" s="36"/>
      <c r="DI241" s="36"/>
      <c r="DJ241" s="36"/>
      <c r="DK241" s="36"/>
      <c r="DL241" s="36"/>
      <c r="DM241" s="36"/>
      <c r="DN241" s="36"/>
      <c r="DO241" s="36"/>
      <c r="DP241" s="36"/>
      <c r="DQ241" s="36"/>
      <c r="DR241" s="36"/>
      <c r="DS241" s="36"/>
      <c r="DT241" s="36"/>
      <c r="DU241" s="36"/>
      <c r="DV241" s="36"/>
      <c r="DW241" s="36"/>
      <c r="DX241" s="36"/>
      <c r="DY241" s="36"/>
      <c r="DZ241" s="36"/>
    </row>
    <row r="242" spans="1:130" s="372" customFormat="1" ht="15" customHeight="1">
      <c r="A242" s="2167"/>
      <c r="B242" s="2133"/>
      <c r="C242" s="1516" t="s">
        <v>10</v>
      </c>
      <c r="D242" s="1520">
        <f t="shared" si="20"/>
        <v>297319.74</v>
      </c>
      <c r="E242" s="1927">
        <f t="shared" si="20"/>
        <v>297319.7</v>
      </c>
      <c r="F242" s="1927">
        <f t="shared" si="20"/>
        <v>297319.7</v>
      </c>
      <c r="G242" s="1512">
        <f t="shared" si="19"/>
        <v>0.99999986546470143</v>
      </c>
      <c r="H242" s="2144"/>
      <c r="I242" s="779" t="s">
        <v>269</v>
      </c>
      <c r="J242" s="780">
        <f>COUNTIF($J$245:$J$259,"Частично")</f>
        <v>1</v>
      </c>
      <c r="K242" s="2066"/>
      <c r="L242" s="2066"/>
      <c r="M242" s="2042"/>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c r="CB242" s="36"/>
      <c r="CC242" s="36"/>
      <c r="CD242" s="36"/>
      <c r="CE242" s="36"/>
      <c r="CF242" s="36"/>
      <c r="CG242" s="36"/>
      <c r="CH242" s="36"/>
      <c r="CI242" s="36"/>
      <c r="CJ242" s="36"/>
      <c r="CK242" s="36"/>
      <c r="CL242" s="36"/>
      <c r="CM242" s="36"/>
      <c r="CN242" s="36"/>
      <c r="CO242" s="36"/>
      <c r="CP242" s="36"/>
      <c r="CQ242" s="36"/>
      <c r="CR242" s="36"/>
      <c r="CS242" s="36"/>
      <c r="CT242" s="36"/>
      <c r="CU242" s="36"/>
      <c r="CV242" s="36"/>
      <c r="CW242" s="36"/>
      <c r="CX242" s="36"/>
      <c r="CY242" s="36"/>
      <c r="CZ242" s="36"/>
      <c r="DA242" s="36"/>
      <c r="DB242" s="36"/>
      <c r="DC242" s="36"/>
      <c r="DD242" s="36"/>
      <c r="DE242" s="36"/>
      <c r="DF242" s="36"/>
      <c r="DG242" s="36"/>
      <c r="DH242" s="36"/>
      <c r="DI242" s="36"/>
      <c r="DJ242" s="36"/>
      <c r="DK242" s="36"/>
      <c r="DL242" s="36"/>
      <c r="DM242" s="36"/>
      <c r="DN242" s="36"/>
      <c r="DO242" s="36"/>
      <c r="DP242" s="36"/>
      <c r="DQ242" s="36"/>
      <c r="DR242" s="36"/>
      <c r="DS242" s="36"/>
      <c r="DT242" s="36"/>
      <c r="DU242" s="36"/>
      <c r="DV242" s="36"/>
      <c r="DW242" s="36"/>
      <c r="DX242" s="36"/>
      <c r="DY242" s="36"/>
      <c r="DZ242" s="36"/>
    </row>
    <row r="243" spans="1:130" s="372" customFormat="1" ht="15" customHeight="1">
      <c r="A243" s="2167"/>
      <c r="B243" s="2133"/>
      <c r="C243" s="1516" t="s">
        <v>11</v>
      </c>
      <c r="D243" s="1519">
        <f t="shared" si="20"/>
        <v>0</v>
      </c>
      <c r="E243" s="1517">
        <f t="shared" si="20"/>
        <v>0</v>
      </c>
      <c r="F243" s="1517">
        <f t="shared" si="20"/>
        <v>0</v>
      </c>
      <c r="G243" s="1512">
        <f t="shared" si="19"/>
        <v>0</v>
      </c>
      <c r="H243" s="2144"/>
      <c r="I243" s="779" t="s">
        <v>270</v>
      </c>
      <c r="J243" s="780">
        <f>COUNTIF($J$245:$J$259,"Нет")</f>
        <v>0</v>
      </c>
      <c r="K243" s="2066"/>
      <c r="L243" s="2066"/>
      <c r="M243" s="2042"/>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c r="CB243" s="36"/>
      <c r="CC243" s="36"/>
      <c r="CD243" s="36"/>
      <c r="CE243" s="36"/>
      <c r="CF243" s="36"/>
      <c r="CG243" s="36"/>
      <c r="CH243" s="36"/>
      <c r="CI243" s="36"/>
      <c r="CJ243" s="36"/>
      <c r="CK243" s="36"/>
      <c r="CL243" s="36"/>
      <c r="CM243" s="36"/>
      <c r="CN243" s="36"/>
      <c r="CO243" s="36"/>
      <c r="CP243" s="36"/>
      <c r="CQ243" s="36"/>
      <c r="CR243" s="36"/>
      <c r="CS243" s="36"/>
      <c r="CT243" s="36"/>
      <c r="CU243" s="36"/>
      <c r="CV243" s="36"/>
      <c r="CW243" s="36"/>
      <c r="CX243" s="36"/>
      <c r="CY243" s="36"/>
      <c r="CZ243" s="36"/>
      <c r="DA243" s="36"/>
      <c r="DB243" s="36"/>
      <c r="DC243" s="36"/>
      <c r="DD243" s="36"/>
      <c r="DE243" s="36"/>
      <c r="DF243" s="36"/>
      <c r="DG243" s="36"/>
      <c r="DH243" s="36"/>
      <c r="DI243" s="36"/>
      <c r="DJ243" s="36"/>
      <c r="DK243" s="36"/>
      <c r="DL243" s="36"/>
      <c r="DM243" s="36"/>
      <c r="DN243" s="36"/>
      <c r="DO243" s="36"/>
      <c r="DP243" s="36"/>
      <c r="DQ243" s="36"/>
      <c r="DR243" s="36"/>
      <c r="DS243" s="36"/>
      <c r="DT243" s="36"/>
      <c r="DU243" s="36"/>
      <c r="DV243" s="36"/>
      <c r="DW243" s="36"/>
      <c r="DX243" s="36"/>
      <c r="DY243" s="36"/>
      <c r="DZ243" s="36"/>
    </row>
    <row r="244" spans="1:130" s="372" customFormat="1" ht="15" customHeight="1">
      <c r="A244" s="2168"/>
      <c r="B244" s="2134"/>
      <c r="C244" s="1518" t="s">
        <v>12</v>
      </c>
      <c r="D244" s="1519">
        <f t="shared" si="20"/>
        <v>0</v>
      </c>
      <c r="E244" s="1517">
        <f t="shared" si="20"/>
        <v>0</v>
      </c>
      <c r="F244" s="1517">
        <f t="shared" si="20"/>
        <v>0</v>
      </c>
      <c r="G244" s="1512">
        <f t="shared" si="19"/>
        <v>0</v>
      </c>
      <c r="H244" s="2145"/>
      <c r="I244" s="779" t="s">
        <v>271</v>
      </c>
      <c r="J244" s="1459">
        <f>(J241+0.5*J242)/J240</f>
        <v>0.83333333333333337</v>
      </c>
      <c r="K244" s="2066"/>
      <c r="L244" s="2066"/>
      <c r="M244" s="2043"/>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c r="CB244" s="36"/>
      <c r="CC244" s="36"/>
      <c r="CD244" s="36"/>
      <c r="CE244" s="36"/>
      <c r="CF244" s="36"/>
      <c r="CG244" s="36"/>
      <c r="CH244" s="36"/>
      <c r="CI244" s="36"/>
      <c r="CJ244" s="36"/>
      <c r="CK244" s="36"/>
      <c r="CL244" s="36"/>
      <c r="CM244" s="36"/>
      <c r="CN244" s="36"/>
      <c r="CO244" s="36"/>
      <c r="CP244" s="36"/>
      <c r="CQ244" s="36"/>
      <c r="CR244" s="36"/>
      <c r="CS244" s="36"/>
      <c r="CT244" s="36"/>
      <c r="CU244" s="36"/>
      <c r="CV244" s="36"/>
      <c r="CW244" s="36"/>
      <c r="CX244" s="36"/>
      <c r="CY244" s="36"/>
      <c r="CZ244" s="36"/>
      <c r="DA244" s="36"/>
      <c r="DB244" s="36"/>
      <c r="DC244" s="36"/>
      <c r="DD244" s="36"/>
      <c r="DE244" s="36"/>
      <c r="DF244" s="36"/>
      <c r="DG244" s="36"/>
      <c r="DH244" s="36"/>
      <c r="DI244" s="36"/>
      <c r="DJ244" s="36"/>
      <c r="DK244" s="36"/>
      <c r="DL244" s="36"/>
      <c r="DM244" s="36"/>
      <c r="DN244" s="36"/>
      <c r="DO244" s="36"/>
      <c r="DP244" s="36"/>
      <c r="DQ244" s="36"/>
      <c r="DR244" s="36"/>
      <c r="DS244" s="36"/>
      <c r="DT244" s="36"/>
      <c r="DU244" s="36"/>
      <c r="DV244" s="36"/>
      <c r="DW244" s="36"/>
      <c r="DX244" s="36"/>
      <c r="DY244" s="36"/>
      <c r="DZ244" s="36"/>
    </row>
    <row r="245" spans="1:130" s="372" customFormat="1" ht="15" customHeight="1">
      <c r="A245" s="2082" t="s">
        <v>2772</v>
      </c>
      <c r="B245" s="2076" t="s">
        <v>2823</v>
      </c>
      <c r="C245" s="932" t="s">
        <v>8</v>
      </c>
      <c r="D245" s="1905">
        <f>SUM(D246:D249)</f>
        <v>265001.73</v>
      </c>
      <c r="E245" s="1906">
        <f>SUM(E246:E249)</f>
        <v>197157.2</v>
      </c>
      <c r="F245" s="1906">
        <f>SUM(F246:F249)</f>
        <v>197157.2</v>
      </c>
      <c r="G245" s="1907">
        <f t="shared" si="19"/>
        <v>0.74398457700634646</v>
      </c>
      <c r="H245" s="2083" t="s">
        <v>3007</v>
      </c>
      <c r="I245" s="2084" t="s">
        <v>5449</v>
      </c>
      <c r="J245" s="2044" t="s">
        <v>3385</v>
      </c>
      <c r="K245" s="2055" t="s">
        <v>3011</v>
      </c>
      <c r="L245" s="2052"/>
      <c r="M245" s="2063">
        <v>807</v>
      </c>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c r="CB245" s="36"/>
      <c r="CC245" s="36"/>
      <c r="CD245" s="36"/>
      <c r="CE245" s="36"/>
      <c r="CF245" s="36"/>
      <c r="CG245" s="36"/>
      <c r="CH245" s="36"/>
      <c r="CI245" s="36"/>
      <c r="CJ245" s="36"/>
      <c r="CK245" s="36"/>
      <c r="CL245" s="36"/>
      <c r="CM245" s="36"/>
      <c r="CN245" s="36"/>
      <c r="CO245" s="36"/>
      <c r="CP245" s="36"/>
      <c r="CQ245" s="36"/>
      <c r="CR245" s="36"/>
      <c r="CS245" s="36"/>
      <c r="CT245" s="36"/>
      <c r="CU245" s="36"/>
      <c r="CV245" s="36"/>
      <c r="CW245" s="36"/>
      <c r="CX245" s="36"/>
      <c r="CY245" s="36"/>
      <c r="CZ245" s="36"/>
      <c r="DA245" s="36"/>
      <c r="DB245" s="36"/>
      <c r="DC245" s="36"/>
      <c r="DD245" s="36"/>
      <c r="DE245" s="36"/>
      <c r="DF245" s="36"/>
      <c r="DG245" s="36"/>
      <c r="DH245" s="36"/>
      <c r="DI245" s="36"/>
      <c r="DJ245" s="36"/>
      <c r="DK245" s="36"/>
      <c r="DL245" s="36"/>
      <c r="DM245" s="36"/>
      <c r="DN245" s="36"/>
      <c r="DO245" s="36"/>
      <c r="DP245" s="36"/>
      <c r="DQ245" s="36"/>
      <c r="DR245" s="36"/>
      <c r="DS245" s="36"/>
      <c r="DT245" s="36"/>
      <c r="DU245" s="36"/>
      <c r="DV245" s="36"/>
      <c r="DW245" s="36"/>
      <c r="DX245" s="36"/>
      <c r="DY245" s="36"/>
      <c r="DZ245" s="36"/>
    </row>
    <row r="246" spans="1:130" s="372" customFormat="1" ht="15" customHeight="1">
      <c r="A246" s="2012"/>
      <c r="B246" s="2015"/>
      <c r="C246" s="932" t="s">
        <v>9</v>
      </c>
      <c r="D246" s="1905">
        <f>'475ПП'!F697+77815.1</f>
        <v>84525.1</v>
      </c>
      <c r="E246" s="1906">
        <v>16680.599999999999</v>
      </c>
      <c r="F246" s="1906">
        <v>16680.599999999999</v>
      </c>
      <c r="G246" s="1907">
        <f t="shared" si="19"/>
        <v>0.19734493067739639</v>
      </c>
      <c r="H246" s="2083"/>
      <c r="I246" s="2084"/>
      <c r="J246" s="2027"/>
      <c r="K246" s="2055"/>
      <c r="L246" s="2053"/>
      <c r="M246" s="2064"/>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c r="CB246" s="36"/>
      <c r="CC246" s="36"/>
      <c r="CD246" s="36"/>
      <c r="CE246" s="36"/>
      <c r="CF246" s="36"/>
      <c r="CG246" s="36"/>
      <c r="CH246" s="36"/>
      <c r="CI246" s="36"/>
      <c r="CJ246" s="36"/>
      <c r="CK246" s="36"/>
      <c r="CL246" s="36"/>
      <c r="CM246" s="36"/>
      <c r="CN246" s="36"/>
      <c r="CO246" s="36"/>
      <c r="CP246" s="36"/>
      <c r="CQ246" s="36"/>
      <c r="CR246" s="36"/>
      <c r="CS246" s="36"/>
      <c r="CT246" s="36"/>
      <c r="CU246" s="36"/>
      <c r="CV246" s="36"/>
      <c r="CW246" s="36"/>
      <c r="CX246" s="36"/>
      <c r="CY246" s="36"/>
      <c r="CZ246" s="36"/>
      <c r="DA246" s="36"/>
      <c r="DB246" s="36"/>
      <c r="DC246" s="36"/>
      <c r="DD246" s="36"/>
      <c r="DE246" s="36"/>
      <c r="DF246" s="36"/>
      <c r="DG246" s="36"/>
      <c r="DH246" s="36"/>
      <c r="DI246" s="36"/>
      <c r="DJ246" s="36"/>
      <c r="DK246" s="36"/>
      <c r="DL246" s="36"/>
      <c r="DM246" s="36"/>
      <c r="DN246" s="36"/>
      <c r="DO246" s="36"/>
      <c r="DP246" s="36"/>
      <c r="DQ246" s="36"/>
      <c r="DR246" s="36"/>
      <c r="DS246" s="36"/>
      <c r="DT246" s="36"/>
      <c r="DU246" s="36"/>
      <c r="DV246" s="36"/>
      <c r="DW246" s="36"/>
      <c r="DX246" s="36"/>
      <c r="DY246" s="36"/>
      <c r="DZ246" s="36"/>
    </row>
    <row r="247" spans="1:130" s="372" customFormat="1" ht="15" customHeight="1">
      <c r="A247" s="2012"/>
      <c r="B247" s="2015"/>
      <c r="C247" s="932" t="s">
        <v>10</v>
      </c>
      <c r="D247" s="1905">
        <f>'475ПП'!G697</f>
        <v>180476.63</v>
      </c>
      <c r="E247" s="1906">
        <v>180476.6</v>
      </c>
      <c r="F247" s="1906">
        <v>180476.6</v>
      </c>
      <c r="G247" s="1907">
        <f t="shared" si="19"/>
        <v>0.99999983377349189</v>
      </c>
      <c r="H247" s="2083"/>
      <c r="I247" s="2084"/>
      <c r="J247" s="2027"/>
      <c r="K247" s="2055"/>
      <c r="L247" s="2053"/>
      <c r="M247" s="2064"/>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c r="CB247" s="36"/>
      <c r="CC247" s="36"/>
      <c r="CD247" s="36"/>
      <c r="CE247" s="36"/>
      <c r="CF247" s="36"/>
      <c r="CG247" s="36"/>
      <c r="CH247" s="36"/>
      <c r="CI247" s="36"/>
      <c r="CJ247" s="36"/>
      <c r="CK247" s="36"/>
      <c r="CL247" s="36"/>
      <c r="CM247" s="36"/>
      <c r="CN247" s="36"/>
      <c r="CO247" s="36"/>
      <c r="CP247" s="36"/>
      <c r="CQ247" s="36"/>
      <c r="CR247" s="36"/>
      <c r="CS247" s="36"/>
      <c r="CT247" s="36"/>
      <c r="CU247" s="36"/>
      <c r="CV247" s="36"/>
      <c r="CW247" s="36"/>
      <c r="CX247" s="36"/>
      <c r="CY247" s="36"/>
      <c r="CZ247" s="36"/>
      <c r="DA247" s="36"/>
      <c r="DB247" s="36"/>
      <c r="DC247" s="36"/>
      <c r="DD247" s="36"/>
      <c r="DE247" s="36"/>
      <c r="DF247" s="36"/>
      <c r="DG247" s="36"/>
      <c r="DH247" s="36"/>
      <c r="DI247" s="36"/>
      <c r="DJ247" s="36"/>
      <c r="DK247" s="36"/>
      <c r="DL247" s="36"/>
      <c r="DM247" s="36"/>
      <c r="DN247" s="36"/>
      <c r="DO247" s="36"/>
      <c r="DP247" s="36"/>
      <c r="DQ247" s="36"/>
      <c r="DR247" s="36"/>
      <c r="DS247" s="36"/>
      <c r="DT247" s="36"/>
      <c r="DU247" s="36"/>
      <c r="DV247" s="36"/>
      <c r="DW247" s="36"/>
      <c r="DX247" s="36"/>
      <c r="DY247" s="36"/>
      <c r="DZ247" s="36"/>
    </row>
    <row r="248" spans="1:130" s="372" customFormat="1" ht="15" customHeight="1">
      <c r="A248" s="2012"/>
      <c r="B248" s="2015"/>
      <c r="C248" s="932" t="s">
        <v>11</v>
      </c>
      <c r="D248" s="1905">
        <f>'475ПП'!H697</f>
        <v>0</v>
      </c>
      <c r="E248" s="1906">
        <v>0</v>
      </c>
      <c r="F248" s="1906">
        <v>0</v>
      </c>
      <c r="G248" s="1907">
        <f t="shared" si="19"/>
        <v>0</v>
      </c>
      <c r="H248" s="2083"/>
      <c r="I248" s="2084"/>
      <c r="J248" s="2027"/>
      <c r="K248" s="2055"/>
      <c r="L248" s="2053"/>
      <c r="M248" s="2064"/>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c r="CB248" s="36"/>
      <c r="CC248" s="36"/>
      <c r="CD248" s="36"/>
      <c r="CE248" s="36"/>
      <c r="CF248" s="36"/>
      <c r="CG248" s="36"/>
      <c r="CH248" s="36"/>
      <c r="CI248" s="36"/>
      <c r="CJ248" s="36"/>
      <c r="CK248" s="36"/>
      <c r="CL248" s="36"/>
      <c r="CM248" s="36"/>
      <c r="CN248" s="36"/>
      <c r="CO248" s="36"/>
      <c r="CP248" s="36"/>
      <c r="CQ248" s="36"/>
      <c r="CR248" s="36"/>
      <c r="CS248" s="36"/>
      <c r="CT248" s="36"/>
      <c r="CU248" s="36"/>
      <c r="CV248" s="36"/>
      <c r="CW248" s="36"/>
      <c r="CX248" s="36"/>
      <c r="CY248" s="36"/>
      <c r="CZ248" s="36"/>
      <c r="DA248" s="36"/>
      <c r="DB248" s="36"/>
      <c r="DC248" s="36"/>
      <c r="DD248" s="36"/>
      <c r="DE248" s="36"/>
      <c r="DF248" s="36"/>
      <c r="DG248" s="36"/>
      <c r="DH248" s="36"/>
      <c r="DI248" s="36"/>
      <c r="DJ248" s="36"/>
      <c r="DK248" s="36"/>
      <c r="DL248" s="36"/>
      <c r="DM248" s="36"/>
      <c r="DN248" s="36"/>
      <c r="DO248" s="36"/>
      <c r="DP248" s="36"/>
      <c r="DQ248" s="36"/>
      <c r="DR248" s="36"/>
      <c r="DS248" s="36"/>
      <c r="DT248" s="36"/>
      <c r="DU248" s="36"/>
      <c r="DV248" s="36"/>
      <c r="DW248" s="36"/>
      <c r="DX248" s="36"/>
      <c r="DY248" s="36"/>
      <c r="DZ248" s="36"/>
    </row>
    <row r="249" spans="1:130" s="372" customFormat="1" ht="15" customHeight="1">
      <c r="A249" s="2013"/>
      <c r="B249" s="2016"/>
      <c r="C249" s="1901" t="s">
        <v>12</v>
      </c>
      <c r="D249" s="1905">
        <f>'475ПП'!I697</f>
        <v>0</v>
      </c>
      <c r="E249" s="1906">
        <v>0</v>
      </c>
      <c r="F249" s="1906">
        <v>0</v>
      </c>
      <c r="G249" s="1907">
        <f t="shared" si="19"/>
        <v>0</v>
      </c>
      <c r="H249" s="2083"/>
      <c r="I249" s="2084"/>
      <c r="J249" s="2028"/>
      <c r="K249" s="2055"/>
      <c r="L249" s="2054"/>
      <c r="M249" s="2065"/>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c r="CB249" s="36"/>
      <c r="CC249" s="36"/>
      <c r="CD249" s="36"/>
      <c r="CE249" s="36"/>
      <c r="CF249" s="36"/>
      <c r="CG249" s="36"/>
      <c r="CH249" s="36"/>
      <c r="CI249" s="36"/>
      <c r="CJ249" s="36"/>
      <c r="CK249" s="36"/>
      <c r="CL249" s="36"/>
      <c r="CM249" s="36"/>
      <c r="CN249" s="36"/>
      <c r="CO249" s="36"/>
      <c r="CP249" s="36"/>
      <c r="CQ249" s="36"/>
      <c r="CR249" s="36"/>
      <c r="CS249" s="36"/>
      <c r="CT249" s="36"/>
      <c r="CU249" s="36"/>
      <c r="CV249" s="36"/>
      <c r="CW249" s="36"/>
      <c r="CX249" s="36"/>
      <c r="CY249" s="36"/>
      <c r="CZ249" s="36"/>
      <c r="DA249" s="36"/>
      <c r="DB249" s="36"/>
      <c r="DC249" s="36"/>
      <c r="DD249" s="36"/>
      <c r="DE249" s="36"/>
      <c r="DF249" s="36"/>
      <c r="DG249" s="36"/>
      <c r="DH249" s="36"/>
      <c r="DI249" s="36"/>
      <c r="DJ249" s="36"/>
      <c r="DK249" s="36"/>
      <c r="DL249" s="36"/>
      <c r="DM249" s="36"/>
      <c r="DN249" s="36"/>
      <c r="DO249" s="36"/>
      <c r="DP249" s="36"/>
      <c r="DQ249" s="36"/>
      <c r="DR249" s="36"/>
      <c r="DS249" s="36"/>
      <c r="DT249" s="36"/>
      <c r="DU249" s="36"/>
      <c r="DV249" s="36"/>
      <c r="DW249" s="36"/>
      <c r="DX249" s="36"/>
      <c r="DY249" s="36"/>
      <c r="DZ249" s="36"/>
    </row>
    <row r="250" spans="1:130" s="372" customFormat="1" ht="15" customHeight="1">
      <c r="A250" s="2082" t="s">
        <v>2775</v>
      </c>
      <c r="B250" s="2076" t="s">
        <v>3010</v>
      </c>
      <c r="C250" s="932" t="s">
        <v>8</v>
      </c>
      <c r="D250" s="1905">
        <f>SUM(D251:D254)</f>
        <v>65440</v>
      </c>
      <c r="E250" s="1906">
        <f>SUM(E251:E254)</f>
        <v>65440</v>
      </c>
      <c r="F250" s="1906">
        <f>SUM(F251:F254)</f>
        <v>65440</v>
      </c>
      <c r="G250" s="1907">
        <f t="shared" si="19"/>
        <v>1</v>
      </c>
      <c r="H250" s="2083" t="s">
        <v>3007</v>
      </c>
      <c r="I250" s="2084" t="s">
        <v>5435</v>
      </c>
      <c r="J250" s="2044" t="s">
        <v>3384</v>
      </c>
      <c r="K250" s="2055" t="s">
        <v>3009</v>
      </c>
      <c r="L250" s="2052"/>
      <c r="M250" s="2063">
        <v>807</v>
      </c>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c r="CB250" s="36"/>
      <c r="CC250" s="36"/>
      <c r="CD250" s="36"/>
      <c r="CE250" s="36"/>
      <c r="CF250" s="36"/>
      <c r="CG250" s="36"/>
      <c r="CH250" s="36"/>
      <c r="CI250" s="36"/>
      <c r="CJ250" s="36"/>
      <c r="CK250" s="36"/>
      <c r="CL250" s="36"/>
      <c r="CM250" s="36"/>
      <c r="CN250" s="36"/>
      <c r="CO250" s="36"/>
      <c r="CP250" s="36"/>
      <c r="CQ250" s="36"/>
      <c r="CR250" s="36"/>
      <c r="CS250" s="36"/>
      <c r="CT250" s="36"/>
      <c r="CU250" s="36"/>
      <c r="CV250" s="36"/>
      <c r="CW250" s="36"/>
      <c r="CX250" s="36"/>
      <c r="CY250" s="36"/>
      <c r="CZ250" s="36"/>
      <c r="DA250" s="36"/>
      <c r="DB250" s="36"/>
      <c r="DC250" s="36"/>
      <c r="DD250" s="36"/>
      <c r="DE250" s="36"/>
      <c r="DF250" s="36"/>
      <c r="DG250" s="36"/>
      <c r="DH250" s="36"/>
      <c r="DI250" s="36"/>
      <c r="DJ250" s="36"/>
      <c r="DK250" s="36"/>
      <c r="DL250" s="36"/>
      <c r="DM250" s="36"/>
      <c r="DN250" s="36"/>
      <c r="DO250" s="36"/>
      <c r="DP250" s="36"/>
      <c r="DQ250" s="36"/>
      <c r="DR250" s="36"/>
      <c r="DS250" s="36"/>
      <c r="DT250" s="36"/>
      <c r="DU250" s="36"/>
      <c r="DV250" s="36"/>
      <c r="DW250" s="36"/>
      <c r="DX250" s="36"/>
      <c r="DY250" s="36"/>
      <c r="DZ250" s="36"/>
    </row>
    <row r="251" spans="1:130" s="372" customFormat="1" ht="15" customHeight="1">
      <c r="A251" s="2012"/>
      <c r="B251" s="2015"/>
      <c r="C251" s="932" t="s">
        <v>9</v>
      </c>
      <c r="D251" s="1905">
        <f>'475ПП'!F703</f>
        <v>0</v>
      </c>
      <c r="E251" s="1906">
        <v>0</v>
      </c>
      <c r="F251" s="1906">
        <v>0</v>
      </c>
      <c r="G251" s="1907">
        <f t="shared" si="19"/>
        <v>0</v>
      </c>
      <c r="H251" s="2083"/>
      <c r="I251" s="2084"/>
      <c r="J251" s="2027"/>
      <c r="K251" s="2055"/>
      <c r="L251" s="2053"/>
      <c r="M251" s="2064"/>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c r="CB251" s="36"/>
      <c r="CC251" s="36"/>
      <c r="CD251" s="36"/>
      <c r="CE251" s="36"/>
      <c r="CF251" s="36"/>
      <c r="CG251" s="36"/>
      <c r="CH251" s="36"/>
      <c r="CI251" s="36"/>
      <c r="CJ251" s="36"/>
      <c r="CK251" s="36"/>
      <c r="CL251" s="36"/>
      <c r="CM251" s="36"/>
      <c r="CN251" s="36"/>
      <c r="CO251" s="36"/>
      <c r="CP251" s="36"/>
      <c r="CQ251" s="36"/>
      <c r="CR251" s="36"/>
      <c r="CS251" s="36"/>
      <c r="CT251" s="36"/>
      <c r="CU251" s="36"/>
      <c r="CV251" s="36"/>
      <c r="CW251" s="36"/>
      <c r="CX251" s="36"/>
      <c r="CY251" s="36"/>
      <c r="CZ251" s="36"/>
      <c r="DA251" s="36"/>
      <c r="DB251" s="36"/>
      <c r="DC251" s="36"/>
      <c r="DD251" s="36"/>
      <c r="DE251" s="36"/>
      <c r="DF251" s="36"/>
      <c r="DG251" s="36"/>
      <c r="DH251" s="36"/>
      <c r="DI251" s="36"/>
      <c r="DJ251" s="36"/>
      <c r="DK251" s="36"/>
      <c r="DL251" s="36"/>
      <c r="DM251" s="36"/>
      <c r="DN251" s="36"/>
      <c r="DO251" s="36"/>
      <c r="DP251" s="36"/>
      <c r="DQ251" s="36"/>
      <c r="DR251" s="36"/>
      <c r="DS251" s="36"/>
      <c r="DT251" s="36"/>
      <c r="DU251" s="36"/>
      <c r="DV251" s="36"/>
      <c r="DW251" s="36"/>
      <c r="DX251" s="36"/>
      <c r="DY251" s="36"/>
      <c r="DZ251" s="36"/>
    </row>
    <row r="252" spans="1:130" s="372" customFormat="1" ht="15" customHeight="1">
      <c r="A252" s="2012"/>
      <c r="B252" s="2015"/>
      <c r="C252" s="932" t="s">
        <v>10</v>
      </c>
      <c r="D252" s="1905">
        <f>'475ПП'!G703</f>
        <v>65440</v>
      </c>
      <c r="E252" s="1906">
        <v>65440</v>
      </c>
      <c r="F252" s="1906">
        <v>65440</v>
      </c>
      <c r="G252" s="1907">
        <f t="shared" si="19"/>
        <v>1</v>
      </c>
      <c r="H252" s="2083"/>
      <c r="I252" s="2084"/>
      <c r="J252" s="2027"/>
      <c r="K252" s="2055"/>
      <c r="L252" s="2053"/>
      <c r="M252" s="2064"/>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c r="CB252" s="36"/>
      <c r="CC252" s="36"/>
      <c r="CD252" s="36"/>
      <c r="CE252" s="36"/>
      <c r="CF252" s="36"/>
      <c r="CG252" s="36"/>
      <c r="CH252" s="36"/>
      <c r="CI252" s="36"/>
      <c r="CJ252" s="36"/>
      <c r="CK252" s="36"/>
      <c r="CL252" s="36"/>
      <c r="CM252" s="36"/>
      <c r="CN252" s="36"/>
      <c r="CO252" s="36"/>
      <c r="CP252" s="36"/>
      <c r="CQ252" s="36"/>
      <c r="CR252" s="36"/>
      <c r="CS252" s="36"/>
      <c r="CT252" s="36"/>
      <c r="CU252" s="36"/>
      <c r="CV252" s="36"/>
      <c r="CW252" s="36"/>
      <c r="CX252" s="36"/>
      <c r="CY252" s="36"/>
      <c r="CZ252" s="36"/>
      <c r="DA252" s="36"/>
      <c r="DB252" s="36"/>
      <c r="DC252" s="36"/>
      <c r="DD252" s="36"/>
      <c r="DE252" s="36"/>
      <c r="DF252" s="36"/>
      <c r="DG252" s="36"/>
      <c r="DH252" s="36"/>
      <c r="DI252" s="36"/>
      <c r="DJ252" s="36"/>
      <c r="DK252" s="36"/>
      <c r="DL252" s="36"/>
      <c r="DM252" s="36"/>
      <c r="DN252" s="36"/>
      <c r="DO252" s="36"/>
      <c r="DP252" s="36"/>
      <c r="DQ252" s="36"/>
      <c r="DR252" s="36"/>
      <c r="DS252" s="36"/>
      <c r="DT252" s="36"/>
      <c r="DU252" s="36"/>
      <c r="DV252" s="36"/>
      <c r="DW252" s="36"/>
      <c r="DX252" s="36"/>
      <c r="DY252" s="36"/>
      <c r="DZ252" s="36"/>
    </row>
    <row r="253" spans="1:130" s="372" customFormat="1" ht="15" customHeight="1">
      <c r="A253" s="2012"/>
      <c r="B253" s="2015"/>
      <c r="C253" s="932" t="s">
        <v>11</v>
      </c>
      <c r="D253" s="1905">
        <f>'475ПП'!H703</f>
        <v>0</v>
      </c>
      <c r="E253" s="1906">
        <v>0</v>
      </c>
      <c r="F253" s="1906">
        <v>0</v>
      </c>
      <c r="G253" s="1907">
        <f t="shared" si="19"/>
        <v>0</v>
      </c>
      <c r="H253" s="2083"/>
      <c r="I253" s="2084"/>
      <c r="J253" s="2027"/>
      <c r="K253" s="2055"/>
      <c r="L253" s="2053"/>
      <c r="M253" s="2064"/>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c r="CB253" s="36"/>
      <c r="CC253" s="36"/>
      <c r="CD253" s="36"/>
      <c r="CE253" s="36"/>
      <c r="CF253" s="36"/>
      <c r="CG253" s="36"/>
      <c r="CH253" s="36"/>
      <c r="CI253" s="36"/>
      <c r="CJ253" s="36"/>
      <c r="CK253" s="36"/>
      <c r="CL253" s="36"/>
      <c r="CM253" s="36"/>
      <c r="CN253" s="36"/>
      <c r="CO253" s="36"/>
      <c r="CP253" s="36"/>
      <c r="CQ253" s="36"/>
      <c r="CR253" s="36"/>
      <c r="CS253" s="36"/>
      <c r="CT253" s="36"/>
      <c r="CU253" s="36"/>
      <c r="CV253" s="36"/>
      <c r="CW253" s="36"/>
      <c r="CX253" s="36"/>
      <c r="CY253" s="36"/>
      <c r="CZ253" s="36"/>
      <c r="DA253" s="36"/>
      <c r="DB253" s="36"/>
      <c r="DC253" s="36"/>
      <c r="DD253" s="36"/>
      <c r="DE253" s="36"/>
      <c r="DF253" s="36"/>
      <c r="DG253" s="36"/>
      <c r="DH253" s="36"/>
      <c r="DI253" s="36"/>
      <c r="DJ253" s="36"/>
      <c r="DK253" s="36"/>
      <c r="DL253" s="36"/>
      <c r="DM253" s="36"/>
      <c r="DN253" s="36"/>
      <c r="DO253" s="36"/>
      <c r="DP253" s="36"/>
      <c r="DQ253" s="36"/>
      <c r="DR253" s="36"/>
      <c r="DS253" s="36"/>
      <c r="DT253" s="36"/>
      <c r="DU253" s="36"/>
      <c r="DV253" s="36"/>
      <c r="DW253" s="36"/>
      <c r="DX253" s="36"/>
      <c r="DY253" s="36"/>
      <c r="DZ253" s="36"/>
    </row>
    <row r="254" spans="1:130" s="372" customFormat="1" ht="15" customHeight="1">
      <c r="A254" s="2013"/>
      <c r="B254" s="2016"/>
      <c r="C254" s="1901" t="s">
        <v>12</v>
      </c>
      <c r="D254" s="1905">
        <f>'475ПП'!I703</f>
        <v>0</v>
      </c>
      <c r="E254" s="1906">
        <v>0</v>
      </c>
      <c r="F254" s="1906">
        <v>0</v>
      </c>
      <c r="G254" s="1907">
        <f t="shared" si="19"/>
        <v>0</v>
      </c>
      <c r="H254" s="2083"/>
      <c r="I254" s="2084"/>
      <c r="J254" s="2028"/>
      <c r="K254" s="2055"/>
      <c r="L254" s="2054"/>
      <c r="M254" s="2065"/>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c r="CB254" s="36"/>
      <c r="CC254" s="36"/>
      <c r="CD254" s="36"/>
      <c r="CE254" s="36"/>
      <c r="CF254" s="36"/>
      <c r="CG254" s="36"/>
      <c r="CH254" s="36"/>
      <c r="CI254" s="36"/>
      <c r="CJ254" s="36"/>
      <c r="CK254" s="36"/>
      <c r="CL254" s="36"/>
      <c r="CM254" s="36"/>
      <c r="CN254" s="36"/>
      <c r="CO254" s="36"/>
      <c r="CP254" s="36"/>
      <c r="CQ254" s="36"/>
      <c r="CR254" s="36"/>
      <c r="CS254" s="36"/>
      <c r="CT254" s="36"/>
      <c r="CU254" s="36"/>
      <c r="CV254" s="36"/>
      <c r="CW254" s="36"/>
      <c r="CX254" s="36"/>
      <c r="CY254" s="36"/>
      <c r="CZ254" s="36"/>
      <c r="DA254" s="36"/>
      <c r="DB254" s="36"/>
      <c r="DC254" s="36"/>
      <c r="DD254" s="36"/>
      <c r="DE254" s="36"/>
      <c r="DF254" s="36"/>
      <c r="DG254" s="36"/>
      <c r="DH254" s="36"/>
      <c r="DI254" s="36"/>
      <c r="DJ254" s="36"/>
      <c r="DK254" s="36"/>
      <c r="DL254" s="36"/>
      <c r="DM254" s="36"/>
      <c r="DN254" s="36"/>
      <c r="DO254" s="36"/>
      <c r="DP254" s="36"/>
      <c r="DQ254" s="36"/>
      <c r="DR254" s="36"/>
      <c r="DS254" s="36"/>
      <c r="DT254" s="36"/>
      <c r="DU254" s="36"/>
      <c r="DV254" s="36"/>
      <c r="DW254" s="36"/>
      <c r="DX254" s="36"/>
      <c r="DY254" s="36"/>
      <c r="DZ254" s="36"/>
    </row>
    <row r="255" spans="1:130" s="372" customFormat="1" ht="15" customHeight="1">
      <c r="A255" s="2082" t="s">
        <v>641</v>
      </c>
      <c r="B255" s="2076" t="s">
        <v>3008</v>
      </c>
      <c r="C255" s="932" t="s">
        <v>8</v>
      </c>
      <c r="D255" s="1905">
        <f>SUM(D256:D259)</f>
        <v>51403.11</v>
      </c>
      <c r="E255" s="1906">
        <f>SUM(E256:E259)</f>
        <v>51403.1</v>
      </c>
      <c r="F255" s="1906">
        <f>SUM(F256:F259)</f>
        <v>51403.1</v>
      </c>
      <c r="G255" s="1907">
        <f t="shared" si="19"/>
        <v>0.99999980545924161</v>
      </c>
      <c r="H255" s="2083" t="s">
        <v>3007</v>
      </c>
      <c r="I255" s="2071" t="s">
        <v>5439</v>
      </c>
      <c r="J255" s="2044" t="s">
        <v>3384</v>
      </c>
      <c r="K255" s="2055" t="s">
        <v>3009</v>
      </c>
      <c r="L255" s="2052"/>
      <c r="M255" s="2063">
        <v>807</v>
      </c>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c r="CB255" s="36"/>
      <c r="CC255" s="36"/>
      <c r="CD255" s="36"/>
      <c r="CE255" s="36"/>
      <c r="CF255" s="36"/>
      <c r="CG255" s="36"/>
      <c r="CH255" s="36"/>
      <c r="CI255" s="36"/>
      <c r="CJ255" s="36"/>
      <c r="CK255" s="36"/>
      <c r="CL255" s="36"/>
      <c r="CM255" s="36"/>
      <c r="CN255" s="36"/>
      <c r="CO255" s="36"/>
      <c r="CP255" s="36"/>
      <c r="CQ255" s="36"/>
      <c r="CR255" s="36"/>
      <c r="CS255" s="36"/>
      <c r="CT255" s="36"/>
      <c r="CU255" s="36"/>
      <c r="CV255" s="36"/>
      <c r="CW255" s="36"/>
      <c r="CX255" s="36"/>
      <c r="CY255" s="36"/>
      <c r="CZ255" s="36"/>
      <c r="DA255" s="36"/>
      <c r="DB255" s="36"/>
      <c r="DC255" s="36"/>
      <c r="DD255" s="36"/>
      <c r="DE255" s="36"/>
      <c r="DF255" s="36"/>
      <c r="DG255" s="36"/>
      <c r="DH255" s="36"/>
      <c r="DI255" s="36"/>
      <c r="DJ255" s="36"/>
      <c r="DK255" s="36"/>
      <c r="DL255" s="36"/>
      <c r="DM255" s="36"/>
      <c r="DN255" s="36"/>
      <c r="DO255" s="36"/>
      <c r="DP255" s="36"/>
      <c r="DQ255" s="36"/>
      <c r="DR255" s="36"/>
      <c r="DS255" s="36"/>
      <c r="DT255" s="36"/>
      <c r="DU255" s="36"/>
      <c r="DV255" s="36"/>
      <c r="DW255" s="36"/>
      <c r="DX255" s="36"/>
      <c r="DY255" s="36"/>
      <c r="DZ255" s="36"/>
    </row>
    <row r="256" spans="1:130" s="372" customFormat="1" ht="15" customHeight="1">
      <c r="A256" s="2012"/>
      <c r="B256" s="2015"/>
      <c r="C256" s="932" t="s">
        <v>9</v>
      </c>
      <c r="D256" s="1905">
        <f>'475ПП'!F709</f>
        <v>0</v>
      </c>
      <c r="E256" s="1906">
        <v>0</v>
      </c>
      <c r="F256" s="1906">
        <v>0</v>
      </c>
      <c r="G256" s="1907">
        <f t="shared" si="19"/>
        <v>0</v>
      </c>
      <c r="H256" s="2083"/>
      <c r="I256" s="2072"/>
      <c r="J256" s="2027"/>
      <c r="K256" s="2055"/>
      <c r="L256" s="2053"/>
      <c r="M256" s="2064"/>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c r="CB256" s="36"/>
      <c r="CC256" s="36"/>
      <c r="CD256" s="36"/>
      <c r="CE256" s="36"/>
      <c r="CF256" s="36"/>
      <c r="CG256" s="36"/>
      <c r="CH256" s="36"/>
      <c r="CI256" s="36"/>
      <c r="CJ256" s="36"/>
      <c r="CK256" s="36"/>
      <c r="CL256" s="36"/>
      <c r="CM256" s="36"/>
      <c r="CN256" s="36"/>
      <c r="CO256" s="36"/>
      <c r="CP256" s="36"/>
      <c r="CQ256" s="36"/>
      <c r="CR256" s="36"/>
      <c r="CS256" s="36"/>
      <c r="CT256" s="36"/>
      <c r="CU256" s="36"/>
      <c r="CV256" s="36"/>
      <c r="CW256" s="36"/>
      <c r="CX256" s="36"/>
      <c r="CY256" s="36"/>
      <c r="CZ256" s="36"/>
      <c r="DA256" s="36"/>
      <c r="DB256" s="36"/>
      <c r="DC256" s="36"/>
      <c r="DD256" s="36"/>
      <c r="DE256" s="36"/>
      <c r="DF256" s="36"/>
      <c r="DG256" s="36"/>
      <c r="DH256" s="36"/>
      <c r="DI256" s="36"/>
      <c r="DJ256" s="36"/>
      <c r="DK256" s="36"/>
      <c r="DL256" s="36"/>
      <c r="DM256" s="36"/>
      <c r="DN256" s="36"/>
      <c r="DO256" s="36"/>
      <c r="DP256" s="36"/>
      <c r="DQ256" s="36"/>
      <c r="DR256" s="36"/>
      <c r="DS256" s="36"/>
      <c r="DT256" s="36"/>
      <c r="DU256" s="36"/>
      <c r="DV256" s="36"/>
      <c r="DW256" s="36"/>
      <c r="DX256" s="36"/>
      <c r="DY256" s="36"/>
      <c r="DZ256" s="36"/>
    </row>
    <row r="257" spans="1:130" s="372" customFormat="1" ht="15" customHeight="1">
      <c r="A257" s="2012"/>
      <c r="B257" s="2015"/>
      <c r="C257" s="932" t="s">
        <v>10</v>
      </c>
      <c r="D257" s="1905">
        <f>'475ПП'!G709</f>
        <v>51403.11</v>
      </c>
      <c r="E257" s="1906">
        <v>51403.1</v>
      </c>
      <c r="F257" s="1906">
        <v>51403.1</v>
      </c>
      <c r="G257" s="1907">
        <f t="shared" si="19"/>
        <v>0.99999980545924161</v>
      </c>
      <c r="H257" s="2083"/>
      <c r="I257" s="2072"/>
      <c r="J257" s="2027"/>
      <c r="K257" s="2055"/>
      <c r="L257" s="2053"/>
      <c r="M257" s="2064"/>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c r="CB257" s="36"/>
      <c r="CC257" s="36"/>
      <c r="CD257" s="36"/>
      <c r="CE257" s="36"/>
      <c r="CF257" s="36"/>
      <c r="CG257" s="36"/>
      <c r="CH257" s="36"/>
      <c r="CI257" s="36"/>
      <c r="CJ257" s="36"/>
      <c r="CK257" s="36"/>
      <c r="CL257" s="36"/>
      <c r="CM257" s="36"/>
      <c r="CN257" s="36"/>
      <c r="CO257" s="36"/>
      <c r="CP257" s="36"/>
      <c r="CQ257" s="36"/>
      <c r="CR257" s="36"/>
      <c r="CS257" s="36"/>
      <c r="CT257" s="36"/>
      <c r="CU257" s="36"/>
      <c r="CV257" s="36"/>
      <c r="CW257" s="36"/>
      <c r="CX257" s="36"/>
      <c r="CY257" s="36"/>
      <c r="CZ257" s="36"/>
      <c r="DA257" s="36"/>
      <c r="DB257" s="36"/>
      <c r="DC257" s="36"/>
      <c r="DD257" s="36"/>
      <c r="DE257" s="36"/>
      <c r="DF257" s="36"/>
      <c r="DG257" s="36"/>
      <c r="DH257" s="36"/>
      <c r="DI257" s="36"/>
      <c r="DJ257" s="36"/>
      <c r="DK257" s="36"/>
      <c r="DL257" s="36"/>
      <c r="DM257" s="36"/>
      <c r="DN257" s="36"/>
      <c r="DO257" s="36"/>
      <c r="DP257" s="36"/>
      <c r="DQ257" s="36"/>
      <c r="DR257" s="36"/>
      <c r="DS257" s="36"/>
      <c r="DT257" s="36"/>
      <c r="DU257" s="36"/>
      <c r="DV257" s="36"/>
      <c r="DW257" s="36"/>
      <c r="DX257" s="36"/>
      <c r="DY257" s="36"/>
      <c r="DZ257" s="36"/>
    </row>
    <row r="258" spans="1:130" s="372" customFormat="1" ht="15" customHeight="1">
      <c r="A258" s="2012"/>
      <c r="B258" s="2015"/>
      <c r="C258" s="932" t="s">
        <v>11</v>
      </c>
      <c r="D258" s="1905">
        <f>'475ПП'!H709</f>
        <v>0</v>
      </c>
      <c r="E258" s="1906">
        <v>0</v>
      </c>
      <c r="F258" s="1906">
        <v>0</v>
      </c>
      <c r="G258" s="1907">
        <f t="shared" si="19"/>
        <v>0</v>
      </c>
      <c r="H258" s="2083"/>
      <c r="I258" s="2072"/>
      <c r="J258" s="2027"/>
      <c r="K258" s="2055"/>
      <c r="L258" s="2053"/>
      <c r="M258" s="2064"/>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c r="CB258" s="36"/>
      <c r="CC258" s="36"/>
      <c r="CD258" s="36"/>
      <c r="CE258" s="36"/>
      <c r="CF258" s="36"/>
      <c r="CG258" s="36"/>
      <c r="CH258" s="36"/>
      <c r="CI258" s="36"/>
      <c r="CJ258" s="36"/>
      <c r="CK258" s="36"/>
      <c r="CL258" s="36"/>
      <c r="CM258" s="36"/>
      <c r="CN258" s="36"/>
      <c r="CO258" s="36"/>
      <c r="CP258" s="36"/>
      <c r="CQ258" s="36"/>
      <c r="CR258" s="36"/>
      <c r="CS258" s="36"/>
      <c r="CT258" s="36"/>
      <c r="CU258" s="36"/>
      <c r="CV258" s="36"/>
      <c r="CW258" s="36"/>
      <c r="CX258" s="36"/>
      <c r="CY258" s="36"/>
      <c r="CZ258" s="36"/>
      <c r="DA258" s="36"/>
      <c r="DB258" s="36"/>
      <c r="DC258" s="36"/>
      <c r="DD258" s="36"/>
      <c r="DE258" s="36"/>
      <c r="DF258" s="36"/>
      <c r="DG258" s="36"/>
      <c r="DH258" s="36"/>
      <c r="DI258" s="36"/>
      <c r="DJ258" s="36"/>
      <c r="DK258" s="36"/>
      <c r="DL258" s="36"/>
      <c r="DM258" s="36"/>
      <c r="DN258" s="36"/>
      <c r="DO258" s="36"/>
      <c r="DP258" s="36"/>
      <c r="DQ258" s="36"/>
      <c r="DR258" s="36"/>
      <c r="DS258" s="36"/>
      <c r="DT258" s="36"/>
      <c r="DU258" s="36"/>
      <c r="DV258" s="36"/>
      <c r="DW258" s="36"/>
      <c r="DX258" s="36"/>
      <c r="DY258" s="36"/>
      <c r="DZ258" s="36"/>
    </row>
    <row r="259" spans="1:130" s="372" customFormat="1" ht="15" customHeight="1">
      <c r="A259" s="2013"/>
      <c r="B259" s="2016"/>
      <c r="C259" s="1901" t="s">
        <v>12</v>
      </c>
      <c r="D259" s="1905">
        <f>'475ПП'!I709</f>
        <v>0</v>
      </c>
      <c r="E259" s="1906">
        <v>0</v>
      </c>
      <c r="F259" s="1906">
        <v>0</v>
      </c>
      <c r="G259" s="1907">
        <f t="shared" si="19"/>
        <v>0</v>
      </c>
      <c r="H259" s="2083"/>
      <c r="I259" s="2073"/>
      <c r="J259" s="2028"/>
      <c r="K259" s="2055"/>
      <c r="L259" s="2054"/>
      <c r="M259" s="2065"/>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c r="CB259" s="36"/>
      <c r="CC259" s="36"/>
      <c r="CD259" s="36"/>
      <c r="CE259" s="36"/>
      <c r="CF259" s="36"/>
      <c r="CG259" s="36"/>
      <c r="CH259" s="36"/>
      <c r="CI259" s="36"/>
      <c r="CJ259" s="36"/>
      <c r="CK259" s="36"/>
      <c r="CL259" s="36"/>
      <c r="CM259" s="36"/>
      <c r="CN259" s="36"/>
      <c r="CO259" s="36"/>
      <c r="CP259" s="36"/>
      <c r="CQ259" s="36"/>
      <c r="CR259" s="36"/>
      <c r="CS259" s="36"/>
      <c r="CT259" s="36"/>
      <c r="CU259" s="36"/>
      <c r="CV259" s="36"/>
      <c r="CW259" s="36"/>
      <c r="CX259" s="36"/>
      <c r="CY259" s="36"/>
      <c r="CZ259" s="36"/>
      <c r="DA259" s="36"/>
      <c r="DB259" s="36"/>
      <c r="DC259" s="36"/>
      <c r="DD259" s="36"/>
      <c r="DE259" s="36"/>
      <c r="DF259" s="36"/>
      <c r="DG259" s="36"/>
      <c r="DH259" s="36"/>
      <c r="DI259" s="36"/>
      <c r="DJ259" s="36"/>
      <c r="DK259" s="36"/>
      <c r="DL259" s="36"/>
      <c r="DM259" s="36"/>
      <c r="DN259" s="36"/>
      <c r="DO259" s="36"/>
      <c r="DP259" s="36"/>
      <c r="DQ259" s="36"/>
      <c r="DR259" s="36"/>
      <c r="DS259" s="36"/>
      <c r="DT259" s="36"/>
      <c r="DU259" s="36"/>
      <c r="DV259" s="36"/>
      <c r="DW259" s="36"/>
      <c r="DX259" s="36"/>
      <c r="DY259" s="36"/>
      <c r="DZ259" s="36"/>
    </row>
    <row r="260" spans="1:130" s="372" customFormat="1" ht="15" customHeight="1">
      <c r="A260" s="2166" t="s">
        <v>3626</v>
      </c>
      <c r="B260" s="2163" t="s">
        <v>3627</v>
      </c>
      <c r="C260" s="1516" t="s">
        <v>8</v>
      </c>
      <c r="D260" s="1517">
        <f t="shared" ref="D260:E260" si="21">SUM(D261:D264)</f>
        <v>28290</v>
      </c>
      <c r="E260" s="1517">
        <f t="shared" si="21"/>
        <v>28290</v>
      </c>
      <c r="F260" s="1517">
        <f>SUM(F261:F264)</f>
        <v>0</v>
      </c>
      <c r="G260" s="1512">
        <f t="shared" si="19"/>
        <v>0</v>
      </c>
      <c r="H260" s="2126" t="s">
        <v>3637</v>
      </c>
      <c r="I260" s="779" t="s">
        <v>267</v>
      </c>
      <c r="J260" s="780">
        <f>SUM(J261:J263)</f>
        <v>2</v>
      </c>
      <c r="K260" s="2066"/>
      <c r="L260" s="2066"/>
      <c r="M260" s="2067">
        <v>807</v>
      </c>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c r="CB260" s="36"/>
      <c r="CC260" s="36"/>
      <c r="CD260" s="36"/>
      <c r="CE260" s="36"/>
      <c r="CF260" s="36"/>
      <c r="CG260" s="36"/>
      <c r="CH260" s="36"/>
      <c r="CI260" s="36"/>
      <c r="CJ260" s="36"/>
      <c r="CK260" s="36"/>
      <c r="CL260" s="36"/>
      <c r="CM260" s="36"/>
      <c r="CN260" s="36"/>
      <c r="CO260" s="36"/>
      <c r="CP260" s="36"/>
      <c r="CQ260" s="36"/>
      <c r="CR260" s="36"/>
      <c r="CS260" s="36"/>
      <c r="CT260" s="36"/>
      <c r="CU260" s="36"/>
      <c r="CV260" s="36"/>
      <c r="CW260" s="36"/>
      <c r="CX260" s="36"/>
      <c r="CY260" s="36"/>
      <c r="CZ260" s="36"/>
      <c r="DA260" s="36"/>
      <c r="DB260" s="36"/>
      <c r="DC260" s="36"/>
      <c r="DD260" s="36"/>
      <c r="DE260" s="36"/>
      <c r="DF260" s="36"/>
      <c r="DG260" s="36"/>
      <c r="DH260" s="36"/>
      <c r="DI260" s="36"/>
      <c r="DJ260" s="36"/>
      <c r="DK260" s="36"/>
      <c r="DL260" s="36"/>
      <c r="DM260" s="36"/>
      <c r="DN260" s="36"/>
      <c r="DO260" s="36"/>
      <c r="DP260" s="36"/>
      <c r="DQ260" s="36"/>
      <c r="DR260" s="36"/>
      <c r="DS260" s="36"/>
      <c r="DT260" s="36"/>
      <c r="DU260" s="36"/>
      <c r="DV260" s="36"/>
      <c r="DW260" s="36"/>
      <c r="DX260" s="36"/>
      <c r="DY260" s="36"/>
      <c r="DZ260" s="36"/>
    </row>
    <row r="261" spans="1:130" s="372" customFormat="1" ht="15" customHeight="1">
      <c r="A261" s="2167"/>
      <c r="B261" s="2164"/>
      <c r="C261" s="1516" t="s">
        <v>9</v>
      </c>
      <c r="D261" s="1517">
        <f>SUM(D271,D266)</f>
        <v>28000</v>
      </c>
      <c r="E261" s="1517">
        <f>SUM(E266+E271)</f>
        <v>28000</v>
      </c>
      <c r="F261" s="1517">
        <v>0</v>
      </c>
      <c r="G261" s="1512">
        <f t="shared" si="19"/>
        <v>0</v>
      </c>
      <c r="H261" s="2127"/>
      <c r="I261" s="779" t="s">
        <v>268</v>
      </c>
      <c r="J261" s="780">
        <f>COUNTIF($J$245:$J$259,"Да")</f>
        <v>2</v>
      </c>
      <c r="K261" s="2066"/>
      <c r="L261" s="2066"/>
      <c r="M261" s="2067"/>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c r="CB261" s="36"/>
      <c r="CC261" s="36"/>
      <c r="CD261" s="36"/>
      <c r="CE261" s="36"/>
      <c r="CF261" s="36"/>
      <c r="CG261" s="36"/>
      <c r="CH261" s="36"/>
      <c r="CI261" s="36"/>
      <c r="CJ261" s="36"/>
      <c r="CK261" s="36"/>
      <c r="CL261" s="36"/>
      <c r="CM261" s="36"/>
      <c r="CN261" s="36"/>
      <c r="CO261" s="36"/>
      <c r="CP261" s="36"/>
      <c r="CQ261" s="36"/>
      <c r="CR261" s="36"/>
      <c r="CS261" s="36"/>
      <c r="CT261" s="36"/>
      <c r="CU261" s="36"/>
      <c r="CV261" s="36"/>
      <c r="CW261" s="36"/>
      <c r="CX261" s="36"/>
      <c r="CY261" s="36"/>
      <c r="CZ261" s="36"/>
      <c r="DA261" s="36"/>
      <c r="DB261" s="36"/>
      <c r="DC261" s="36"/>
      <c r="DD261" s="36"/>
      <c r="DE261" s="36"/>
      <c r="DF261" s="36"/>
      <c r="DG261" s="36"/>
      <c r="DH261" s="36"/>
      <c r="DI261" s="36"/>
      <c r="DJ261" s="36"/>
      <c r="DK261" s="36"/>
      <c r="DL261" s="36"/>
      <c r="DM261" s="36"/>
      <c r="DN261" s="36"/>
      <c r="DO261" s="36"/>
      <c r="DP261" s="36"/>
      <c r="DQ261" s="36"/>
      <c r="DR261" s="36"/>
      <c r="DS261" s="36"/>
      <c r="DT261" s="36"/>
      <c r="DU261" s="36"/>
      <c r="DV261" s="36"/>
      <c r="DW261" s="36"/>
      <c r="DX261" s="36"/>
      <c r="DY261" s="36"/>
      <c r="DZ261" s="36"/>
    </row>
    <row r="262" spans="1:130" s="372" customFormat="1" ht="15" customHeight="1">
      <c r="A262" s="2167"/>
      <c r="B262" s="2164"/>
      <c r="C262" s="1516" t="s">
        <v>10</v>
      </c>
      <c r="D262" s="1517">
        <v>0</v>
      </c>
      <c r="E262" s="1517">
        <v>0</v>
      </c>
      <c r="F262" s="1517">
        <v>0</v>
      </c>
      <c r="G262" s="1512">
        <f t="shared" si="19"/>
        <v>0</v>
      </c>
      <c r="H262" s="2127"/>
      <c r="I262" s="779" t="s">
        <v>269</v>
      </c>
      <c r="J262" s="780">
        <v>0</v>
      </c>
      <c r="K262" s="2066"/>
      <c r="L262" s="2066"/>
      <c r="M262" s="2067"/>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c r="CB262" s="36"/>
      <c r="CC262" s="36"/>
      <c r="CD262" s="36"/>
      <c r="CE262" s="36"/>
      <c r="CF262" s="36"/>
      <c r="CG262" s="36"/>
      <c r="CH262" s="36"/>
      <c r="CI262" s="36"/>
      <c r="CJ262" s="36"/>
      <c r="CK262" s="36"/>
      <c r="CL262" s="36"/>
      <c r="CM262" s="36"/>
      <c r="CN262" s="36"/>
      <c r="CO262" s="36"/>
      <c r="CP262" s="36"/>
      <c r="CQ262" s="36"/>
      <c r="CR262" s="36"/>
      <c r="CS262" s="36"/>
      <c r="CT262" s="36"/>
      <c r="CU262" s="36"/>
      <c r="CV262" s="36"/>
      <c r="CW262" s="36"/>
      <c r="CX262" s="36"/>
      <c r="CY262" s="36"/>
      <c r="CZ262" s="36"/>
      <c r="DA262" s="36"/>
      <c r="DB262" s="36"/>
      <c r="DC262" s="36"/>
      <c r="DD262" s="36"/>
      <c r="DE262" s="36"/>
      <c r="DF262" s="36"/>
      <c r="DG262" s="36"/>
      <c r="DH262" s="36"/>
      <c r="DI262" s="36"/>
      <c r="DJ262" s="36"/>
      <c r="DK262" s="36"/>
      <c r="DL262" s="36"/>
      <c r="DM262" s="36"/>
      <c r="DN262" s="36"/>
      <c r="DO262" s="36"/>
      <c r="DP262" s="36"/>
      <c r="DQ262" s="36"/>
      <c r="DR262" s="36"/>
      <c r="DS262" s="36"/>
      <c r="DT262" s="36"/>
      <c r="DU262" s="36"/>
      <c r="DV262" s="36"/>
      <c r="DW262" s="36"/>
      <c r="DX262" s="36"/>
      <c r="DY262" s="36"/>
      <c r="DZ262" s="36"/>
    </row>
    <row r="263" spans="1:130" s="372" customFormat="1" ht="15" customHeight="1">
      <c r="A263" s="2167"/>
      <c r="B263" s="2164"/>
      <c r="C263" s="1516" t="s">
        <v>11</v>
      </c>
      <c r="D263" s="1517">
        <f>SUM(D268,D273)</f>
        <v>290</v>
      </c>
      <c r="E263" s="1517">
        <f>SUM(E268+E273)</f>
        <v>290</v>
      </c>
      <c r="F263" s="1517">
        <v>0</v>
      </c>
      <c r="G263" s="1512">
        <f t="shared" si="19"/>
        <v>0</v>
      </c>
      <c r="H263" s="2127"/>
      <c r="I263" s="779" t="s">
        <v>270</v>
      </c>
      <c r="J263" s="780">
        <v>0</v>
      </c>
      <c r="K263" s="2066"/>
      <c r="L263" s="2066"/>
      <c r="M263" s="2067"/>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c r="CB263" s="36"/>
      <c r="CC263" s="36"/>
      <c r="CD263" s="36"/>
      <c r="CE263" s="36"/>
      <c r="CF263" s="36"/>
      <c r="CG263" s="36"/>
      <c r="CH263" s="36"/>
      <c r="CI263" s="36"/>
      <c r="CJ263" s="36"/>
      <c r="CK263" s="36"/>
      <c r="CL263" s="36"/>
      <c r="CM263" s="36"/>
      <c r="CN263" s="36"/>
      <c r="CO263" s="36"/>
      <c r="CP263" s="36"/>
      <c r="CQ263" s="36"/>
      <c r="CR263" s="36"/>
      <c r="CS263" s="36"/>
      <c r="CT263" s="36"/>
      <c r="CU263" s="36"/>
      <c r="CV263" s="36"/>
      <c r="CW263" s="36"/>
      <c r="CX263" s="36"/>
      <c r="CY263" s="36"/>
      <c r="CZ263" s="36"/>
      <c r="DA263" s="36"/>
      <c r="DB263" s="36"/>
      <c r="DC263" s="36"/>
      <c r="DD263" s="36"/>
      <c r="DE263" s="36"/>
      <c r="DF263" s="36"/>
      <c r="DG263" s="36"/>
      <c r="DH263" s="36"/>
      <c r="DI263" s="36"/>
      <c r="DJ263" s="36"/>
      <c r="DK263" s="36"/>
      <c r="DL263" s="36"/>
      <c r="DM263" s="36"/>
      <c r="DN263" s="36"/>
      <c r="DO263" s="36"/>
      <c r="DP263" s="36"/>
      <c r="DQ263" s="36"/>
      <c r="DR263" s="36"/>
      <c r="DS263" s="36"/>
      <c r="DT263" s="36"/>
      <c r="DU263" s="36"/>
      <c r="DV263" s="36"/>
      <c r="DW263" s="36"/>
      <c r="DX263" s="36"/>
      <c r="DY263" s="36"/>
      <c r="DZ263" s="36"/>
    </row>
    <row r="264" spans="1:130" s="372" customFormat="1" ht="15" customHeight="1">
      <c r="A264" s="2168"/>
      <c r="B264" s="2165"/>
      <c r="C264" s="1518" t="s">
        <v>12</v>
      </c>
      <c r="D264" s="1517">
        <v>0</v>
      </c>
      <c r="E264" s="1517">
        <v>0</v>
      </c>
      <c r="F264" s="1517">
        <v>0</v>
      </c>
      <c r="G264" s="1512">
        <f t="shared" si="19"/>
        <v>0</v>
      </c>
      <c r="H264" s="2128"/>
      <c r="I264" s="779" t="s">
        <v>271</v>
      </c>
      <c r="J264" s="1459">
        <f>(J261+0.5*J262)/J260</f>
        <v>1</v>
      </c>
      <c r="K264" s="2066"/>
      <c r="L264" s="2066"/>
      <c r="M264" s="2067"/>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c r="CB264" s="36"/>
      <c r="CC264" s="36"/>
      <c r="CD264" s="36"/>
      <c r="CE264" s="36"/>
      <c r="CF264" s="36"/>
      <c r="CG264" s="36"/>
      <c r="CH264" s="36"/>
      <c r="CI264" s="36"/>
      <c r="CJ264" s="36"/>
      <c r="CK264" s="36"/>
      <c r="CL264" s="36"/>
      <c r="CM264" s="36"/>
      <c r="CN264" s="36"/>
      <c r="CO264" s="36"/>
      <c r="CP264" s="36"/>
      <c r="CQ264" s="36"/>
      <c r="CR264" s="36"/>
      <c r="CS264" s="36"/>
      <c r="CT264" s="36"/>
      <c r="CU264" s="36"/>
      <c r="CV264" s="36"/>
      <c r="CW264" s="36"/>
      <c r="CX264" s="36"/>
      <c r="CY264" s="36"/>
      <c r="CZ264" s="36"/>
      <c r="DA264" s="36"/>
      <c r="DB264" s="36"/>
      <c r="DC264" s="36"/>
      <c r="DD264" s="36"/>
      <c r="DE264" s="36"/>
      <c r="DF264" s="36"/>
      <c r="DG264" s="36"/>
      <c r="DH264" s="36"/>
      <c r="DI264" s="36"/>
      <c r="DJ264" s="36"/>
      <c r="DK264" s="36"/>
      <c r="DL264" s="36"/>
      <c r="DM264" s="36"/>
      <c r="DN264" s="36"/>
      <c r="DO264" s="36"/>
      <c r="DP264" s="36"/>
      <c r="DQ264" s="36"/>
      <c r="DR264" s="36"/>
      <c r="DS264" s="36"/>
      <c r="DT264" s="36"/>
      <c r="DU264" s="36"/>
      <c r="DV264" s="36"/>
      <c r="DW264" s="36"/>
      <c r="DX264" s="36"/>
      <c r="DY264" s="36"/>
      <c r="DZ264" s="36"/>
    </row>
    <row r="265" spans="1:130" s="372" customFormat="1" ht="15" customHeight="1">
      <c r="A265" s="2082" t="s">
        <v>3630</v>
      </c>
      <c r="B265" s="2076" t="s">
        <v>3631</v>
      </c>
      <c r="C265" s="932" t="s">
        <v>8</v>
      </c>
      <c r="D265" s="1906">
        <f t="shared" ref="D265:E265" si="22">SUM(D266:D269)</f>
        <v>20666.5</v>
      </c>
      <c r="E265" s="1906">
        <f t="shared" si="22"/>
        <v>20666.5</v>
      </c>
      <c r="F265" s="1906">
        <f>SUM(F266:F269)</f>
        <v>20666.5</v>
      </c>
      <c r="G265" s="1907">
        <f t="shared" si="19"/>
        <v>1</v>
      </c>
      <c r="H265" s="2068" t="s">
        <v>3632</v>
      </c>
      <c r="I265" s="2071" t="s">
        <v>5450</v>
      </c>
      <c r="J265" s="2044" t="s">
        <v>3384</v>
      </c>
      <c r="K265" s="2055" t="s">
        <v>3638</v>
      </c>
      <c r="L265" s="2055"/>
      <c r="M265" s="2074">
        <v>807</v>
      </c>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c r="CB265" s="36"/>
      <c r="CC265" s="36"/>
      <c r="CD265" s="36"/>
      <c r="CE265" s="36"/>
      <c r="CF265" s="36"/>
      <c r="CG265" s="36"/>
      <c r="CH265" s="36"/>
      <c r="CI265" s="36"/>
      <c r="CJ265" s="36"/>
      <c r="CK265" s="36"/>
      <c r="CL265" s="36"/>
      <c r="CM265" s="36"/>
      <c r="CN265" s="36"/>
      <c r="CO265" s="36"/>
      <c r="CP265" s="36"/>
      <c r="CQ265" s="36"/>
      <c r="CR265" s="36"/>
      <c r="CS265" s="36"/>
      <c r="CT265" s="36"/>
      <c r="CU265" s="36"/>
      <c r="CV265" s="36"/>
      <c r="CW265" s="36"/>
      <c r="CX265" s="36"/>
      <c r="CY265" s="36"/>
      <c r="CZ265" s="36"/>
      <c r="DA265" s="36"/>
      <c r="DB265" s="36"/>
      <c r="DC265" s="36"/>
      <c r="DD265" s="36"/>
      <c r="DE265" s="36"/>
      <c r="DF265" s="36"/>
      <c r="DG265" s="36"/>
      <c r="DH265" s="36"/>
      <c r="DI265" s="36"/>
      <c r="DJ265" s="36"/>
      <c r="DK265" s="36"/>
      <c r="DL265" s="36"/>
      <c r="DM265" s="36"/>
      <c r="DN265" s="36"/>
      <c r="DO265" s="36"/>
      <c r="DP265" s="36"/>
      <c r="DQ265" s="36"/>
      <c r="DR265" s="36"/>
      <c r="DS265" s="36"/>
      <c r="DT265" s="36"/>
      <c r="DU265" s="36"/>
      <c r="DV265" s="36"/>
      <c r="DW265" s="36"/>
      <c r="DX265" s="36"/>
      <c r="DY265" s="36"/>
      <c r="DZ265" s="36"/>
    </row>
    <row r="266" spans="1:130" s="372" customFormat="1" ht="15" customHeight="1">
      <c r="A266" s="2012"/>
      <c r="B266" s="2015"/>
      <c r="C266" s="932" t="s">
        <v>9</v>
      </c>
      <c r="D266" s="1906">
        <f>'668-ПП'!F722</f>
        <v>20452.7</v>
      </c>
      <c r="E266" s="1906">
        <v>20452.7</v>
      </c>
      <c r="F266" s="1906">
        <v>20452.7</v>
      </c>
      <c r="G266" s="1907">
        <f t="shared" si="19"/>
        <v>1</v>
      </c>
      <c r="H266" s="2069"/>
      <c r="I266" s="2072"/>
      <c r="J266" s="2027"/>
      <c r="K266" s="2055"/>
      <c r="L266" s="2055"/>
      <c r="M266" s="2074"/>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c r="CB266" s="36"/>
      <c r="CC266" s="36"/>
      <c r="CD266" s="36"/>
      <c r="CE266" s="36"/>
      <c r="CF266" s="36"/>
      <c r="CG266" s="36"/>
      <c r="CH266" s="36"/>
      <c r="CI266" s="36"/>
      <c r="CJ266" s="36"/>
      <c r="CK266" s="36"/>
      <c r="CL266" s="36"/>
      <c r="CM266" s="36"/>
      <c r="CN266" s="36"/>
      <c r="CO266" s="36"/>
      <c r="CP266" s="36"/>
      <c r="CQ266" s="36"/>
      <c r="CR266" s="36"/>
      <c r="CS266" s="36"/>
      <c r="CT266" s="36"/>
      <c r="CU266" s="36"/>
      <c r="CV266" s="36"/>
      <c r="CW266" s="36"/>
      <c r="CX266" s="36"/>
      <c r="CY266" s="36"/>
      <c r="CZ266" s="36"/>
      <c r="DA266" s="36"/>
      <c r="DB266" s="36"/>
      <c r="DC266" s="36"/>
      <c r="DD266" s="36"/>
      <c r="DE266" s="36"/>
      <c r="DF266" s="36"/>
      <c r="DG266" s="36"/>
      <c r="DH266" s="36"/>
      <c r="DI266" s="36"/>
      <c r="DJ266" s="36"/>
      <c r="DK266" s="36"/>
      <c r="DL266" s="36"/>
      <c r="DM266" s="36"/>
      <c r="DN266" s="36"/>
      <c r="DO266" s="36"/>
      <c r="DP266" s="36"/>
      <c r="DQ266" s="36"/>
      <c r="DR266" s="36"/>
      <c r="DS266" s="36"/>
      <c r="DT266" s="36"/>
      <c r="DU266" s="36"/>
      <c r="DV266" s="36"/>
      <c r="DW266" s="36"/>
      <c r="DX266" s="36"/>
      <c r="DY266" s="36"/>
      <c r="DZ266" s="36"/>
    </row>
    <row r="267" spans="1:130" s="372" customFormat="1" ht="15" customHeight="1">
      <c r="A267" s="2012"/>
      <c r="B267" s="2015"/>
      <c r="C267" s="932" t="s">
        <v>10</v>
      </c>
      <c r="D267" s="1906">
        <v>0</v>
      </c>
      <c r="E267" s="1906">
        <v>0</v>
      </c>
      <c r="F267" s="1906">
        <v>0</v>
      </c>
      <c r="G267" s="1907">
        <f t="shared" si="19"/>
        <v>0</v>
      </c>
      <c r="H267" s="2069"/>
      <c r="I267" s="2072"/>
      <c r="J267" s="2027"/>
      <c r="K267" s="2055"/>
      <c r="L267" s="2055"/>
      <c r="M267" s="2074"/>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c r="CB267" s="36"/>
      <c r="CC267" s="36"/>
      <c r="CD267" s="36"/>
      <c r="CE267" s="36"/>
      <c r="CF267" s="36"/>
      <c r="CG267" s="36"/>
      <c r="CH267" s="36"/>
      <c r="CI267" s="36"/>
      <c r="CJ267" s="36"/>
      <c r="CK267" s="36"/>
      <c r="CL267" s="36"/>
      <c r="CM267" s="36"/>
      <c r="CN267" s="36"/>
      <c r="CO267" s="36"/>
      <c r="CP267" s="36"/>
      <c r="CQ267" s="36"/>
      <c r="CR267" s="36"/>
      <c r="CS267" s="36"/>
      <c r="CT267" s="36"/>
      <c r="CU267" s="36"/>
      <c r="CV267" s="36"/>
      <c r="CW267" s="36"/>
      <c r="CX267" s="36"/>
      <c r="CY267" s="36"/>
      <c r="CZ267" s="36"/>
      <c r="DA267" s="36"/>
      <c r="DB267" s="36"/>
      <c r="DC267" s="36"/>
      <c r="DD267" s="36"/>
      <c r="DE267" s="36"/>
      <c r="DF267" s="36"/>
      <c r="DG267" s="36"/>
      <c r="DH267" s="36"/>
      <c r="DI267" s="36"/>
      <c r="DJ267" s="36"/>
      <c r="DK267" s="36"/>
      <c r="DL267" s="36"/>
      <c r="DM267" s="36"/>
      <c r="DN267" s="36"/>
      <c r="DO267" s="36"/>
      <c r="DP267" s="36"/>
      <c r="DQ267" s="36"/>
      <c r="DR267" s="36"/>
      <c r="DS267" s="36"/>
      <c r="DT267" s="36"/>
      <c r="DU267" s="36"/>
      <c r="DV267" s="36"/>
      <c r="DW267" s="36"/>
      <c r="DX267" s="36"/>
      <c r="DY267" s="36"/>
      <c r="DZ267" s="36"/>
    </row>
    <row r="268" spans="1:130" s="372" customFormat="1" ht="15" customHeight="1">
      <c r="A268" s="2012"/>
      <c r="B268" s="2015"/>
      <c r="C268" s="932" t="s">
        <v>11</v>
      </c>
      <c r="D268" s="1906">
        <f>'668-ПП'!H722</f>
        <v>213.8</v>
      </c>
      <c r="E268" s="1906">
        <v>213.8</v>
      </c>
      <c r="F268" s="1906">
        <v>213.8</v>
      </c>
      <c r="G268" s="1907">
        <f t="shared" si="19"/>
        <v>1</v>
      </c>
      <c r="H268" s="2069"/>
      <c r="I268" s="2072"/>
      <c r="J268" s="2027"/>
      <c r="K268" s="2055"/>
      <c r="L268" s="2055"/>
      <c r="M268" s="2074"/>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c r="CB268" s="36"/>
      <c r="CC268" s="36"/>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c r="DL268" s="36"/>
      <c r="DM268" s="36"/>
      <c r="DN268" s="36"/>
      <c r="DO268" s="36"/>
      <c r="DP268" s="36"/>
      <c r="DQ268" s="36"/>
      <c r="DR268" s="36"/>
      <c r="DS268" s="36"/>
      <c r="DT268" s="36"/>
      <c r="DU268" s="36"/>
      <c r="DV268" s="36"/>
      <c r="DW268" s="36"/>
      <c r="DX268" s="36"/>
      <c r="DY268" s="36"/>
      <c r="DZ268" s="36"/>
    </row>
    <row r="269" spans="1:130" s="372" customFormat="1" ht="15" customHeight="1">
      <c r="A269" s="2013"/>
      <c r="B269" s="2016"/>
      <c r="C269" s="1901" t="s">
        <v>12</v>
      </c>
      <c r="D269" s="1906">
        <v>0</v>
      </c>
      <c r="E269" s="1906">
        <v>0</v>
      </c>
      <c r="F269" s="1906">
        <v>0</v>
      </c>
      <c r="G269" s="1907">
        <f t="shared" si="19"/>
        <v>0</v>
      </c>
      <c r="H269" s="2070"/>
      <c r="I269" s="2073"/>
      <c r="J269" s="2028"/>
      <c r="K269" s="2055"/>
      <c r="L269" s="2055"/>
      <c r="M269" s="2074"/>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c r="CB269" s="36"/>
      <c r="CC269" s="36"/>
      <c r="CD269" s="36"/>
      <c r="CE269" s="36"/>
      <c r="CF269" s="36"/>
      <c r="CG269" s="36"/>
      <c r="CH269" s="36"/>
      <c r="CI269" s="36"/>
      <c r="CJ269" s="36"/>
      <c r="CK269" s="36"/>
      <c r="CL269" s="36"/>
      <c r="CM269" s="36"/>
      <c r="CN269" s="36"/>
      <c r="CO269" s="36"/>
      <c r="CP269" s="36"/>
      <c r="CQ269" s="36"/>
      <c r="CR269" s="36"/>
      <c r="CS269" s="36"/>
      <c r="CT269" s="36"/>
      <c r="CU269" s="36"/>
      <c r="CV269" s="36"/>
      <c r="CW269" s="36"/>
      <c r="CX269" s="36"/>
      <c r="CY269" s="36"/>
      <c r="CZ269" s="36"/>
      <c r="DA269" s="36"/>
      <c r="DB269" s="36"/>
      <c r="DC269" s="36"/>
      <c r="DD269" s="36"/>
      <c r="DE269" s="36"/>
      <c r="DF269" s="36"/>
      <c r="DG269" s="36"/>
      <c r="DH269" s="36"/>
      <c r="DI269" s="36"/>
      <c r="DJ269" s="36"/>
      <c r="DK269" s="36"/>
      <c r="DL269" s="36"/>
      <c r="DM269" s="36"/>
      <c r="DN269" s="36"/>
      <c r="DO269" s="36"/>
      <c r="DP269" s="36"/>
      <c r="DQ269" s="36"/>
      <c r="DR269" s="36"/>
      <c r="DS269" s="36"/>
      <c r="DT269" s="36"/>
      <c r="DU269" s="36"/>
      <c r="DV269" s="36"/>
      <c r="DW269" s="36"/>
      <c r="DX269" s="36"/>
      <c r="DY269" s="36"/>
      <c r="DZ269" s="36"/>
    </row>
    <row r="270" spans="1:130" s="372" customFormat="1" ht="15" customHeight="1">
      <c r="A270" s="2082" t="s">
        <v>3634</v>
      </c>
      <c r="B270" s="2076" t="s">
        <v>3635</v>
      </c>
      <c r="C270" s="932" t="s">
        <v>8</v>
      </c>
      <c r="D270" s="1906">
        <f t="shared" ref="D270:E270" si="23">SUM(D271:D274)</f>
        <v>7623.5</v>
      </c>
      <c r="E270" s="1906">
        <f t="shared" si="23"/>
        <v>7623.5</v>
      </c>
      <c r="F270" s="1906">
        <f>SUM(F271:F274)</f>
        <v>7623.5</v>
      </c>
      <c r="G270" s="1907">
        <f t="shared" si="19"/>
        <v>1</v>
      </c>
      <c r="H270" s="2068" t="s">
        <v>3632</v>
      </c>
      <c r="I270" s="2071" t="s">
        <v>5451</v>
      </c>
      <c r="J270" s="2044" t="s">
        <v>3384</v>
      </c>
      <c r="K270" s="2055" t="s">
        <v>3638</v>
      </c>
      <c r="L270" s="2055"/>
      <c r="M270" s="2074">
        <v>807</v>
      </c>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36"/>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c r="DL270" s="36"/>
      <c r="DM270" s="36"/>
      <c r="DN270" s="36"/>
      <c r="DO270" s="36"/>
      <c r="DP270" s="36"/>
      <c r="DQ270" s="36"/>
      <c r="DR270" s="36"/>
      <c r="DS270" s="36"/>
      <c r="DT270" s="36"/>
      <c r="DU270" s="36"/>
      <c r="DV270" s="36"/>
      <c r="DW270" s="36"/>
      <c r="DX270" s="36"/>
      <c r="DY270" s="36"/>
      <c r="DZ270" s="36"/>
    </row>
    <row r="271" spans="1:130" s="372" customFormat="1" ht="15" customHeight="1">
      <c r="A271" s="2012"/>
      <c r="B271" s="2015"/>
      <c r="C271" s="932" t="s">
        <v>9</v>
      </c>
      <c r="D271" s="1906">
        <f>'668-ПП'!F728</f>
        <v>7547.3</v>
      </c>
      <c r="E271" s="1906">
        <v>7547.3</v>
      </c>
      <c r="F271" s="1906">
        <v>7547.3</v>
      </c>
      <c r="G271" s="1907">
        <f t="shared" si="19"/>
        <v>1</v>
      </c>
      <c r="H271" s="2069"/>
      <c r="I271" s="2072"/>
      <c r="J271" s="2027"/>
      <c r="K271" s="2055"/>
      <c r="L271" s="2055"/>
      <c r="M271" s="2074"/>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c r="CB271" s="36"/>
      <c r="CC271" s="36"/>
      <c r="CD271" s="36"/>
      <c r="CE271" s="36"/>
      <c r="CF271" s="36"/>
      <c r="CG271" s="36"/>
      <c r="CH271" s="36"/>
      <c r="CI271" s="36"/>
      <c r="CJ271" s="36"/>
      <c r="CK271" s="36"/>
      <c r="CL271" s="36"/>
      <c r="CM271" s="36"/>
      <c r="CN271" s="36"/>
      <c r="CO271" s="36"/>
      <c r="CP271" s="36"/>
      <c r="CQ271" s="36"/>
      <c r="CR271" s="36"/>
      <c r="CS271" s="36"/>
      <c r="CT271" s="36"/>
      <c r="CU271" s="36"/>
      <c r="CV271" s="36"/>
      <c r="CW271" s="36"/>
      <c r="CX271" s="36"/>
      <c r="CY271" s="36"/>
      <c r="CZ271" s="36"/>
      <c r="DA271" s="36"/>
      <c r="DB271" s="36"/>
      <c r="DC271" s="36"/>
      <c r="DD271" s="36"/>
      <c r="DE271" s="36"/>
      <c r="DF271" s="36"/>
      <c r="DG271" s="36"/>
      <c r="DH271" s="36"/>
      <c r="DI271" s="36"/>
      <c r="DJ271" s="36"/>
      <c r="DK271" s="36"/>
      <c r="DL271" s="36"/>
      <c r="DM271" s="36"/>
      <c r="DN271" s="36"/>
      <c r="DO271" s="36"/>
      <c r="DP271" s="36"/>
      <c r="DQ271" s="36"/>
      <c r="DR271" s="36"/>
      <c r="DS271" s="36"/>
      <c r="DT271" s="36"/>
      <c r="DU271" s="36"/>
      <c r="DV271" s="36"/>
      <c r="DW271" s="36"/>
      <c r="DX271" s="36"/>
      <c r="DY271" s="36"/>
      <c r="DZ271" s="36"/>
    </row>
    <row r="272" spans="1:130" s="372" customFormat="1" ht="15" customHeight="1">
      <c r="A272" s="2012"/>
      <c r="B272" s="2015"/>
      <c r="C272" s="932" t="s">
        <v>10</v>
      </c>
      <c r="D272" s="1906">
        <v>0</v>
      </c>
      <c r="E272" s="1906">
        <v>0</v>
      </c>
      <c r="F272" s="1906">
        <v>0</v>
      </c>
      <c r="G272" s="1907">
        <f t="shared" si="19"/>
        <v>0</v>
      </c>
      <c r="H272" s="2069"/>
      <c r="I272" s="2072"/>
      <c r="J272" s="2027"/>
      <c r="K272" s="2055"/>
      <c r="L272" s="2055"/>
      <c r="M272" s="2074"/>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c r="CB272" s="36"/>
      <c r="CC272" s="36"/>
      <c r="CD272" s="36"/>
      <c r="CE272" s="36"/>
      <c r="CF272" s="36"/>
      <c r="CG272" s="36"/>
      <c r="CH272" s="36"/>
      <c r="CI272" s="36"/>
      <c r="CJ272" s="36"/>
      <c r="CK272" s="36"/>
      <c r="CL272" s="36"/>
      <c r="CM272" s="36"/>
      <c r="CN272" s="36"/>
      <c r="CO272" s="36"/>
      <c r="CP272" s="36"/>
      <c r="CQ272" s="36"/>
      <c r="CR272" s="36"/>
      <c r="CS272" s="36"/>
      <c r="CT272" s="36"/>
      <c r="CU272" s="36"/>
      <c r="CV272" s="36"/>
      <c r="CW272" s="36"/>
      <c r="CX272" s="36"/>
      <c r="CY272" s="36"/>
      <c r="CZ272" s="36"/>
      <c r="DA272" s="36"/>
      <c r="DB272" s="36"/>
      <c r="DC272" s="36"/>
      <c r="DD272" s="36"/>
      <c r="DE272" s="36"/>
      <c r="DF272" s="36"/>
      <c r="DG272" s="36"/>
      <c r="DH272" s="36"/>
      <c r="DI272" s="36"/>
      <c r="DJ272" s="36"/>
      <c r="DK272" s="36"/>
      <c r="DL272" s="36"/>
      <c r="DM272" s="36"/>
      <c r="DN272" s="36"/>
      <c r="DO272" s="36"/>
      <c r="DP272" s="36"/>
      <c r="DQ272" s="36"/>
      <c r="DR272" s="36"/>
      <c r="DS272" s="36"/>
      <c r="DT272" s="36"/>
      <c r="DU272" s="36"/>
      <c r="DV272" s="36"/>
      <c r="DW272" s="36"/>
      <c r="DX272" s="36"/>
      <c r="DY272" s="36"/>
      <c r="DZ272" s="36"/>
    </row>
    <row r="273" spans="1:130" s="372" customFormat="1" ht="15" customHeight="1">
      <c r="A273" s="2012"/>
      <c r="B273" s="2015"/>
      <c r="C273" s="932" t="s">
        <v>11</v>
      </c>
      <c r="D273" s="1906">
        <f>'668-ПП'!H728</f>
        <v>76.2</v>
      </c>
      <c r="E273" s="1906">
        <v>76.2</v>
      </c>
      <c r="F273" s="1906">
        <v>76.2</v>
      </c>
      <c r="G273" s="1907">
        <f t="shared" si="19"/>
        <v>1</v>
      </c>
      <c r="H273" s="2069"/>
      <c r="I273" s="2072"/>
      <c r="J273" s="2027"/>
      <c r="K273" s="2055"/>
      <c r="L273" s="2055"/>
      <c r="M273" s="2074"/>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c r="CB273" s="36"/>
      <c r="CC273" s="36"/>
      <c r="CD273" s="36"/>
      <c r="CE273" s="36"/>
      <c r="CF273" s="36"/>
      <c r="CG273" s="36"/>
      <c r="CH273" s="36"/>
      <c r="CI273" s="36"/>
      <c r="CJ273" s="36"/>
      <c r="CK273" s="36"/>
      <c r="CL273" s="36"/>
      <c r="CM273" s="36"/>
      <c r="CN273" s="36"/>
      <c r="CO273" s="36"/>
      <c r="CP273" s="36"/>
      <c r="CQ273" s="36"/>
      <c r="CR273" s="36"/>
      <c r="CS273" s="36"/>
      <c r="CT273" s="36"/>
      <c r="CU273" s="36"/>
      <c r="CV273" s="36"/>
      <c r="CW273" s="36"/>
      <c r="CX273" s="36"/>
      <c r="CY273" s="36"/>
      <c r="CZ273" s="36"/>
      <c r="DA273" s="36"/>
      <c r="DB273" s="36"/>
      <c r="DC273" s="36"/>
      <c r="DD273" s="36"/>
      <c r="DE273" s="36"/>
      <c r="DF273" s="36"/>
      <c r="DG273" s="36"/>
      <c r="DH273" s="36"/>
      <c r="DI273" s="36"/>
      <c r="DJ273" s="36"/>
      <c r="DK273" s="36"/>
      <c r="DL273" s="36"/>
      <c r="DM273" s="36"/>
      <c r="DN273" s="36"/>
      <c r="DO273" s="36"/>
      <c r="DP273" s="36"/>
      <c r="DQ273" s="36"/>
      <c r="DR273" s="36"/>
      <c r="DS273" s="36"/>
      <c r="DT273" s="36"/>
      <c r="DU273" s="36"/>
      <c r="DV273" s="36"/>
      <c r="DW273" s="36"/>
      <c r="DX273" s="36"/>
      <c r="DY273" s="36"/>
      <c r="DZ273" s="36"/>
    </row>
    <row r="274" spans="1:130" s="372" customFormat="1" ht="15" customHeight="1">
      <c r="A274" s="2013"/>
      <c r="B274" s="2016"/>
      <c r="C274" s="1901" t="s">
        <v>12</v>
      </c>
      <c r="D274" s="1906">
        <v>0</v>
      </c>
      <c r="E274" s="1906">
        <v>0</v>
      </c>
      <c r="F274" s="1906">
        <v>0</v>
      </c>
      <c r="G274" s="1907">
        <f t="shared" si="19"/>
        <v>0</v>
      </c>
      <c r="H274" s="2070"/>
      <c r="I274" s="2073"/>
      <c r="J274" s="2028"/>
      <c r="K274" s="2055"/>
      <c r="L274" s="2055"/>
      <c r="M274" s="2074"/>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c r="CB274" s="36"/>
      <c r="CC274" s="36"/>
      <c r="CD274" s="36"/>
      <c r="CE274" s="36"/>
      <c r="CF274" s="36"/>
      <c r="CG274" s="36"/>
      <c r="CH274" s="36"/>
      <c r="CI274" s="36"/>
      <c r="CJ274" s="36"/>
      <c r="CK274" s="36"/>
      <c r="CL274" s="36"/>
      <c r="CM274" s="36"/>
      <c r="CN274" s="36"/>
      <c r="CO274" s="36"/>
      <c r="CP274" s="36"/>
      <c r="CQ274" s="36"/>
      <c r="CR274" s="36"/>
      <c r="CS274" s="36"/>
      <c r="CT274" s="36"/>
      <c r="CU274" s="36"/>
      <c r="CV274" s="36"/>
      <c r="CW274" s="36"/>
      <c r="CX274" s="36"/>
      <c r="CY274" s="36"/>
      <c r="CZ274" s="36"/>
      <c r="DA274" s="36"/>
      <c r="DB274" s="36"/>
      <c r="DC274" s="36"/>
      <c r="DD274" s="36"/>
      <c r="DE274" s="36"/>
      <c r="DF274" s="36"/>
      <c r="DG274" s="36"/>
      <c r="DH274" s="36"/>
      <c r="DI274" s="36"/>
      <c r="DJ274" s="36"/>
      <c r="DK274" s="36"/>
      <c r="DL274" s="36"/>
      <c r="DM274" s="36"/>
      <c r="DN274" s="36"/>
      <c r="DO274" s="36"/>
      <c r="DP274" s="36"/>
      <c r="DQ274" s="36"/>
      <c r="DR274" s="36"/>
      <c r="DS274" s="36"/>
      <c r="DT274" s="36"/>
      <c r="DU274" s="36"/>
      <c r="DV274" s="36"/>
      <c r="DW274" s="36"/>
      <c r="DX274" s="36"/>
      <c r="DY274" s="36"/>
      <c r="DZ274" s="36"/>
    </row>
    <row r="275" spans="1:130" s="372" customFormat="1">
      <c r="A275" s="2123" t="s">
        <v>2884</v>
      </c>
      <c r="B275" s="2157" t="s">
        <v>631</v>
      </c>
      <c r="C275" s="776" t="s">
        <v>8</v>
      </c>
      <c r="D275" s="1503">
        <f>SUM(D276:D279)</f>
        <v>139473.16488999996</v>
      </c>
      <c r="E275" s="1503">
        <f>SUM(E276:E279)</f>
        <v>139473.17000000001</v>
      </c>
      <c r="F275" s="1503">
        <f>SUM(F276:F279)</f>
        <v>139473.17000000001</v>
      </c>
      <c r="G275" s="1512">
        <f t="shared" si="19"/>
        <v>1.0000000366378727</v>
      </c>
      <c r="H275" s="2160" t="s">
        <v>2822</v>
      </c>
      <c r="I275" s="779" t="s">
        <v>267</v>
      </c>
      <c r="J275" s="780">
        <f>SUM(J276:J278)</f>
        <v>2</v>
      </c>
      <c r="K275" s="2060" t="s">
        <v>2804</v>
      </c>
      <c r="L275" s="2060"/>
      <c r="M275" s="2041" t="s">
        <v>150</v>
      </c>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c r="CB275" s="36"/>
      <c r="CC275" s="36"/>
      <c r="CD275" s="36"/>
      <c r="CE275" s="36"/>
      <c r="CF275" s="36"/>
      <c r="CG275" s="36"/>
      <c r="CH275" s="36"/>
      <c r="CI275" s="36"/>
      <c r="CJ275" s="36"/>
      <c r="CK275" s="36"/>
      <c r="CL275" s="36"/>
      <c r="CM275" s="36"/>
      <c r="CN275" s="36"/>
      <c r="CO275" s="36"/>
      <c r="CP275" s="36"/>
      <c r="CQ275" s="36"/>
      <c r="CR275" s="36"/>
      <c r="CS275" s="36"/>
      <c r="CT275" s="36"/>
      <c r="CU275" s="36"/>
      <c r="CV275" s="36"/>
      <c r="CW275" s="36"/>
      <c r="CX275" s="36"/>
      <c r="CY275" s="36"/>
      <c r="CZ275" s="36"/>
      <c r="DA275" s="36"/>
      <c r="DB275" s="36"/>
      <c r="DC275" s="36"/>
      <c r="DD275" s="36"/>
      <c r="DE275" s="36"/>
      <c r="DF275" s="36"/>
      <c r="DG275" s="36"/>
      <c r="DH275" s="36"/>
      <c r="DI275" s="36"/>
      <c r="DJ275" s="36"/>
      <c r="DK275" s="36"/>
      <c r="DL275" s="36"/>
      <c r="DM275" s="36"/>
      <c r="DN275" s="36"/>
      <c r="DO275" s="36"/>
      <c r="DP275" s="36"/>
      <c r="DQ275" s="36"/>
      <c r="DR275" s="36"/>
      <c r="DS275" s="36"/>
      <c r="DT275" s="36"/>
      <c r="DU275" s="36"/>
      <c r="DV275" s="36"/>
      <c r="DW275" s="36"/>
      <c r="DX275" s="36"/>
      <c r="DY275" s="36"/>
      <c r="DZ275" s="36"/>
    </row>
    <row r="276" spans="1:130" s="372" customFormat="1">
      <c r="A276" s="2124"/>
      <c r="B276" s="2158"/>
      <c r="C276" s="776" t="s">
        <v>9</v>
      </c>
      <c r="D276" s="1513">
        <f t="shared" ref="D276:F277" si="24">SUM(D281,D286)</f>
        <v>11675.569150000007</v>
      </c>
      <c r="E276" s="1513">
        <f t="shared" si="24"/>
        <v>11675.57</v>
      </c>
      <c r="F276" s="1513">
        <f t="shared" si="24"/>
        <v>11675.57</v>
      </c>
      <c r="G276" s="1512">
        <f t="shared" si="19"/>
        <v>1.0000000728015896</v>
      </c>
      <c r="H276" s="2161"/>
      <c r="I276" s="779" t="s">
        <v>268</v>
      </c>
      <c r="J276" s="1505">
        <f>COUNTIF($J$280:$J$289,"Да")</f>
        <v>2</v>
      </c>
      <c r="K276" s="2061"/>
      <c r="L276" s="2061"/>
      <c r="M276" s="2042"/>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c r="CB276" s="36"/>
      <c r="CC276" s="36"/>
      <c r="CD276" s="36"/>
      <c r="CE276" s="36"/>
      <c r="CF276" s="36"/>
      <c r="CG276" s="36"/>
      <c r="CH276" s="36"/>
      <c r="CI276" s="36"/>
      <c r="CJ276" s="36"/>
      <c r="CK276" s="36"/>
      <c r="CL276" s="36"/>
      <c r="CM276" s="36"/>
      <c r="CN276" s="36"/>
      <c r="CO276" s="36"/>
      <c r="CP276" s="36"/>
      <c r="CQ276" s="36"/>
      <c r="CR276" s="36"/>
      <c r="CS276" s="36"/>
      <c r="CT276" s="36"/>
      <c r="CU276" s="36"/>
      <c r="CV276" s="36"/>
      <c r="CW276" s="36"/>
      <c r="CX276" s="36"/>
      <c r="CY276" s="36"/>
      <c r="CZ276" s="36"/>
      <c r="DA276" s="36"/>
      <c r="DB276" s="36"/>
      <c r="DC276" s="36"/>
      <c r="DD276" s="36"/>
      <c r="DE276" s="36"/>
      <c r="DF276" s="36"/>
      <c r="DG276" s="36"/>
      <c r="DH276" s="36"/>
      <c r="DI276" s="36"/>
      <c r="DJ276" s="36"/>
      <c r="DK276" s="36"/>
      <c r="DL276" s="36"/>
      <c r="DM276" s="36"/>
      <c r="DN276" s="36"/>
      <c r="DO276" s="36"/>
      <c r="DP276" s="36"/>
      <c r="DQ276" s="36"/>
      <c r="DR276" s="36"/>
      <c r="DS276" s="36"/>
      <c r="DT276" s="36"/>
      <c r="DU276" s="36"/>
      <c r="DV276" s="36"/>
      <c r="DW276" s="36"/>
      <c r="DX276" s="36"/>
      <c r="DY276" s="36"/>
      <c r="DZ276" s="36"/>
    </row>
    <row r="277" spans="1:130" s="372" customFormat="1">
      <c r="A277" s="2124"/>
      <c r="B277" s="2158"/>
      <c r="C277" s="776" t="s">
        <v>10</v>
      </c>
      <c r="D277" s="1513">
        <f t="shared" si="24"/>
        <v>127391</v>
      </c>
      <c r="E277" s="1514">
        <f t="shared" si="24"/>
        <v>127391</v>
      </c>
      <c r="F277" s="1514">
        <f t="shared" si="24"/>
        <v>127391</v>
      </c>
      <c r="G277" s="1512">
        <f t="shared" si="19"/>
        <v>1</v>
      </c>
      <c r="H277" s="2161"/>
      <c r="I277" s="779" t="s">
        <v>269</v>
      </c>
      <c r="J277" s="1505">
        <f>COUNTIF($J$280:$J$289,"Частично")</f>
        <v>0</v>
      </c>
      <c r="K277" s="2061"/>
      <c r="L277" s="2061"/>
      <c r="M277" s="2042"/>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c r="CB277" s="36"/>
      <c r="CC277" s="36"/>
      <c r="CD277" s="36"/>
      <c r="CE277" s="36"/>
      <c r="CF277" s="36"/>
      <c r="CG277" s="36"/>
      <c r="CH277" s="36"/>
      <c r="CI277" s="36"/>
      <c r="CJ277" s="36"/>
      <c r="CK277" s="36"/>
      <c r="CL277" s="36"/>
      <c r="CM277" s="36"/>
      <c r="CN277" s="36"/>
      <c r="CO277" s="36"/>
      <c r="CP277" s="36"/>
      <c r="CQ277" s="36"/>
      <c r="CR277" s="36"/>
      <c r="CS277" s="36"/>
      <c r="CT277" s="36"/>
      <c r="CU277" s="36"/>
      <c r="CV277" s="36"/>
      <c r="CW277" s="36"/>
      <c r="CX277" s="36"/>
      <c r="CY277" s="36"/>
      <c r="CZ277" s="36"/>
      <c r="DA277" s="36"/>
      <c r="DB277" s="36"/>
      <c r="DC277" s="36"/>
      <c r="DD277" s="36"/>
      <c r="DE277" s="36"/>
      <c r="DF277" s="36"/>
      <c r="DG277" s="36"/>
      <c r="DH277" s="36"/>
      <c r="DI277" s="36"/>
      <c r="DJ277" s="36"/>
      <c r="DK277" s="36"/>
      <c r="DL277" s="36"/>
      <c r="DM277" s="36"/>
      <c r="DN277" s="36"/>
      <c r="DO277" s="36"/>
      <c r="DP277" s="36"/>
      <c r="DQ277" s="36"/>
      <c r="DR277" s="36"/>
      <c r="DS277" s="36"/>
      <c r="DT277" s="36"/>
      <c r="DU277" s="36"/>
      <c r="DV277" s="36"/>
      <c r="DW277" s="36"/>
      <c r="DX277" s="36"/>
      <c r="DY277" s="36"/>
      <c r="DZ277" s="36"/>
    </row>
    <row r="278" spans="1:130" s="372" customFormat="1">
      <c r="A278" s="2124"/>
      <c r="B278" s="2158"/>
      <c r="C278" s="776" t="s">
        <v>11</v>
      </c>
      <c r="D278" s="1513">
        <f>SUM(D288,D283)</f>
        <v>406.59573999997519</v>
      </c>
      <c r="E278" s="1513">
        <f>SUM(E283,E288)</f>
        <v>406.6</v>
      </c>
      <c r="F278" s="1513">
        <f>SUM(F288,F283)</f>
        <v>406.6</v>
      </c>
      <c r="G278" s="1512">
        <f t="shared" si="19"/>
        <v>1.0000104772372302</v>
      </c>
      <c r="H278" s="2161"/>
      <c r="I278" s="779" t="s">
        <v>270</v>
      </c>
      <c r="J278" s="1505">
        <f>COUNTIF($J$280:$J$289,"Нет")</f>
        <v>0</v>
      </c>
      <c r="K278" s="2061"/>
      <c r="L278" s="2061"/>
      <c r="M278" s="2042"/>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c r="CB278" s="36"/>
      <c r="CC278" s="36"/>
      <c r="CD278" s="36"/>
      <c r="CE278" s="36"/>
      <c r="CF278" s="36"/>
      <c r="CG278" s="36"/>
      <c r="CH278" s="36"/>
      <c r="CI278" s="36"/>
      <c r="CJ278" s="36"/>
      <c r="CK278" s="36"/>
      <c r="CL278" s="36"/>
      <c r="CM278" s="36"/>
      <c r="CN278" s="36"/>
      <c r="CO278" s="36"/>
      <c r="CP278" s="36"/>
      <c r="CQ278" s="36"/>
      <c r="CR278" s="36"/>
      <c r="CS278" s="36"/>
      <c r="CT278" s="36"/>
      <c r="CU278" s="36"/>
      <c r="CV278" s="36"/>
      <c r="CW278" s="36"/>
      <c r="CX278" s="36"/>
      <c r="CY278" s="36"/>
      <c r="CZ278" s="36"/>
      <c r="DA278" s="36"/>
      <c r="DB278" s="36"/>
      <c r="DC278" s="36"/>
      <c r="DD278" s="36"/>
      <c r="DE278" s="36"/>
      <c r="DF278" s="36"/>
      <c r="DG278" s="36"/>
      <c r="DH278" s="36"/>
      <c r="DI278" s="36"/>
      <c r="DJ278" s="36"/>
      <c r="DK278" s="36"/>
      <c r="DL278" s="36"/>
      <c r="DM278" s="36"/>
      <c r="DN278" s="36"/>
      <c r="DO278" s="36"/>
      <c r="DP278" s="36"/>
      <c r="DQ278" s="36"/>
      <c r="DR278" s="36"/>
      <c r="DS278" s="36"/>
      <c r="DT278" s="36"/>
      <c r="DU278" s="36"/>
      <c r="DV278" s="36"/>
      <c r="DW278" s="36"/>
      <c r="DX278" s="36"/>
      <c r="DY278" s="36"/>
      <c r="DZ278" s="36"/>
    </row>
    <row r="279" spans="1:130" s="372" customFormat="1">
      <c r="A279" s="2125"/>
      <c r="B279" s="2159"/>
      <c r="C279" s="1515" t="s">
        <v>12</v>
      </c>
      <c r="D279" s="1513">
        <v>0</v>
      </c>
      <c r="E279" s="1513">
        <f>SUM(E284,E289)</f>
        <v>0</v>
      </c>
      <c r="F279" s="1513">
        <f>SUM(F284,F289)</f>
        <v>0</v>
      </c>
      <c r="G279" s="1512">
        <f t="shared" si="19"/>
        <v>0</v>
      </c>
      <c r="H279" s="2162"/>
      <c r="I279" s="779" t="s">
        <v>271</v>
      </c>
      <c r="J279" s="1459">
        <f>(J276+0.5*J277)/J275</f>
        <v>1</v>
      </c>
      <c r="K279" s="2061"/>
      <c r="L279" s="2062"/>
      <c r="M279" s="2043"/>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c r="CB279" s="36"/>
      <c r="CC279" s="36"/>
      <c r="CD279" s="36"/>
      <c r="CE279" s="36"/>
      <c r="CF279" s="36"/>
      <c r="CG279" s="36"/>
      <c r="CH279" s="36"/>
      <c r="CI279" s="36"/>
      <c r="CJ279" s="36"/>
      <c r="CK279" s="36"/>
      <c r="CL279" s="36"/>
      <c r="CM279" s="36"/>
      <c r="CN279" s="36"/>
      <c r="CO279" s="36"/>
      <c r="CP279" s="36"/>
      <c r="CQ279" s="36"/>
      <c r="CR279" s="36"/>
      <c r="CS279" s="36"/>
      <c r="CT279" s="36"/>
      <c r="CU279" s="36"/>
      <c r="CV279" s="36"/>
      <c r="CW279" s="36"/>
      <c r="CX279" s="36"/>
      <c r="CY279" s="36"/>
      <c r="CZ279" s="36"/>
      <c r="DA279" s="36"/>
      <c r="DB279" s="36"/>
      <c r="DC279" s="36"/>
      <c r="DD279" s="36"/>
      <c r="DE279" s="36"/>
      <c r="DF279" s="36"/>
      <c r="DG279" s="36"/>
      <c r="DH279" s="36"/>
      <c r="DI279" s="36"/>
      <c r="DJ279" s="36"/>
      <c r="DK279" s="36"/>
      <c r="DL279" s="36"/>
      <c r="DM279" s="36"/>
      <c r="DN279" s="36"/>
      <c r="DO279" s="36"/>
      <c r="DP279" s="36"/>
      <c r="DQ279" s="36"/>
      <c r="DR279" s="36"/>
      <c r="DS279" s="36"/>
      <c r="DT279" s="36"/>
      <c r="DU279" s="36"/>
      <c r="DV279" s="36"/>
      <c r="DW279" s="36"/>
      <c r="DX279" s="36"/>
      <c r="DY279" s="36"/>
      <c r="DZ279" s="36"/>
    </row>
    <row r="280" spans="1:130" s="372" customFormat="1" ht="15" customHeight="1">
      <c r="A280" s="2029" t="s">
        <v>2885</v>
      </c>
      <c r="B280" s="2032" t="s">
        <v>215</v>
      </c>
      <c r="C280" s="931" t="s">
        <v>8</v>
      </c>
      <c r="D280" s="937">
        <f>SUM(D281:D284)</f>
        <v>3950.25</v>
      </c>
      <c r="E280" s="107">
        <f>SUM(E281:E284)</f>
        <v>3950.25</v>
      </c>
      <c r="F280" s="107">
        <f>SUM(F281:F284)</f>
        <v>3950.25</v>
      </c>
      <c r="G280" s="1907">
        <f t="shared" si="19"/>
        <v>1</v>
      </c>
      <c r="H280" s="2154" t="s">
        <v>5431</v>
      </c>
      <c r="I280" s="2045" t="s">
        <v>5318</v>
      </c>
      <c r="J280" s="2044" t="s">
        <v>3384</v>
      </c>
      <c r="K280" s="2146" t="s">
        <v>2799</v>
      </c>
      <c r="L280" s="2052"/>
      <c r="M280" s="2023">
        <v>823</v>
      </c>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c r="CB280" s="36"/>
      <c r="CC280" s="36"/>
      <c r="CD280" s="36"/>
      <c r="CE280" s="36"/>
      <c r="CF280" s="36"/>
      <c r="CG280" s="36"/>
      <c r="CH280" s="36"/>
      <c r="CI280" s="36"/>
      <c r="CJ280" s="36"/>
      <c r="CK280" s="36"/>
      <c r="CL280" s="36"/>
      <c r="CM280" s="36"/>
      <c r="CN280" s="36"/>
      <c r="CO280" s="36"/>
      <c r="CP280" s="36"/>
      <c r="CQ280" s="36"/>
      <c r="CR280" s="36"/>
      <c r="CS280" s="36"/>
      <c r="CT280" s="36"/>
      <c r="CU280" s="36"/>
      <c r="CV280" s="36"/>
      <c r="CW280" s="36"/>
      <c r="CX280" s="36"/>
      <c r="CY280" s="36"/>
      <c r="CZ280" s="36"/>
      <c r="DA280" s="36"/>
      <c r="DB280" s="36"/>
      <c r="DC280" s="36"/>
      <c r="DD280" s="36"/>
      <c r="DE280" s="36"/>
      <c r="DF280" s="36"/>
      <c r="DG280" s="36"/>
      <c r="DH280" s="36"/>
      <c r="DI280" s="36"/>
      <c r="DJ280" s="36"/>
      <c r="DK280" s="36"/>
      <c r="DL280" s="36"/>
      <c r="DM280" s="36"/>
      <c r="DN280" s="36"/>
      <c r="DO280" s="36"/>
      <c r="DP280" s="36"/>
      <c r="DQ280" s="36"/>
      <c r="DR280" s="36"/>
      <c r="DS280" s="36"/>
      <c r="DT280" s="36"/>
      <c r="DU280" s="36"/>
      <c r="DV280" s="36"/>
      <c r="DW280" s="36"/>
      <c r="DX280" s="36"/>
      <c r="DY280" s="36"/>
      <c r="DZ280" s="36"/>
    </row>
    <row r="281" spans="1:130" s="372" customFormat="1" ht="15" customHeight="1">
      <c r="A281" s="2030"/>
      <c r="B281" s="2033"/>
      <c r="C281" s="931" t="s">
        <v>9</v>
      </c>
      <c r="D281" s="110">
        <f>'475ПП'!F721</f>
        <v>3950.25</v>
      </c>
      <c r="E281" s="655">
        <f>НП!P92</f>
        <v>3950.25</v>
      </c>
      <c r="F281" s="655">
        <f>E281</f>
        <v>3950.25</v>
      </c>
      <c r="G281" s="1907">
        <f t="shared" si="19"/>
        <v>1</v>
      </c>
      <c r="H281" s="2155"/>
      <c r="I281" s="2021"/>
      <c r="J281" s="2027"/>
      <c r="K281" s="2147"/>
      <c r="L281" s="2053"/>
      <c r="M281" s="2024"/>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c r="CB281" s="36"/>
      <c r="CC281" s="36"/>
      <c r="CD281" s="36"/>
      <c r="CE281" s="36"/>
      <c r="CF281" s="36"/>
      <c r="CG281" s="36"/>
      <c r="CH281" s="36"/>
      <c r="CI281" s="36"/>
      <c r="CJ281" s="36"/>
      <c r="CK281" s="36"/>
      <c r="CL281" s="36"/>
      <c r="CM281" s="36"/>
      <c r="CN281" s="36"/>
      <c r="CO281" s="36"/>
      <c r="CP281" s="36"/>
      <c r="CQ281" s="36"/>
      <c r="CR281" s="36"/>
      <c r="CS281" s="36"/>
      <c r="CT281" s="36"/>
      <c r="CU281" s="36"/>
      <c r="CV281" s="36"/>
      <c r="CW281" s="36"/>
      <c r="CX281" s="36"/>
      <c r="CY281" s="36"/>
      <c r="CZ281" s="36"/>
      <c r="DA281" s="36"/>
      <c r="DB281" s="36"/>
      <c r="DC281" s="36"/>
      <c r="DD281" s="36"/>
      <c r="DE281" s="36"/>
      <c r="DF281" s="36"/>
      <c r="DG281" s="36"/>
      <c r="DH281" s="36"/>
      <c r="DI281" s="36"/>
      <c r="DJ281" s="36"/>
      <c r="DK281" s="36"/>
      <c r="DL281" s="36"/>
      <c r="DM281" s="36"/>
      <c r="DN281" s="36"/>
      <c r="DO281" s="36"/>
      <c r="DP281" s="36"/>
      <c r="DQ281" s="36"/>
      <c r="DR281" s="36"/>
      <c r="DS281" s="36"/>
      <c r="DT281" s="36"/>
      <c r="DU281" s="36"/>
      <c r="DV281" s="36"/>
      <c r="DW281" s="36"/>
      <c r="DX281" s="36"/>
      <c r="DY281" s="36"/>
      <c r="DZ281" s="36"/>
    </row>
    <row r="282" spans="1:130" s="372" customFormat="1" ht="15" customHeight="1">
      <c r="A282" s="2030"/>
      <c r="B282" s="2033"/>
      <c r="C282" s="931" t="s">
        <v>10</v>
      </c>
      <c r="D282" s="938">
        <f>'475ПП'!G721</f>
        <v>0</v>
      </c>
      <c r="E282" s="655">
        <v>0</v>
      </c>
      <c r="F282" s="655">
        <v>0</v>
      </c>
      <c r="G282" s="1907">
        <f t="shared" si="19"/>
        <v>0</v>
      </c>
      <c r="H282" s="2155"/>
      <c r="I282" s="2021"/>
      <c r="J282" s="2027"/>
      <c r="K282" s="2147"/>
      <c r="L282" s="2053"/>
      <c r="M282" s="2024"/>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c r="CB282" s="36"/>
      <c r="CC282" s="36"/>
      <c r="CD282" s="36"/>
      <c r="CE282" s="36"/>
      <c r="CF282" s="36"/>
      <c r="CG282" s="36"/>
      <c r="CH282" s="36"/>
      <c r="CI282" s="36"/>
      <c r="CJ282" s="36"/>
      <c r="CK282" s="36"/>
      <c r="CL282" s="36"/>
      <c r="CM282" s="36"/>
      <c r="CN282" s="36"/>
      <c r="CO282" s="36"/>
      <c r="CP282" s="36"/>
      <c r="CQ282" s="36"/>
      <c r="CR282" s="36"/>
      <c r="CS282" s="36"/>
      <c r="CT282" s="36"/>
      <c r="CU282" s="36"/>
      <c r="CV282" s="36"/>
      <c r="CW282" s="36"/>
      <c r="CX282" s="36"/>
      <c r="CY282" s="36"/>
      <c r="CZ282" s="36"/>
      <c r="DA282" s="36"/>
      <c r="DB282" s="36"/>
      <c r="DC282" s="36"/>
      <c r="DD282" s="36"/>
      <c r="DE282" s="36"/>
      <c r="DF282" s="36"/>
      <c r="DG282" s="36"/>
      <c r="DH282" s="36"/>
      <c r="DI282" s="36"/>
      <c r="DJ282" s="36"/>
      <c r="DK282" s="36"/>
      <c r="DL282" s="36"/>
      <c r="DM282" s="36"/>
      <c r="DN282" s="36"/>
      <c r="DO282" s="36"/>
      <c r="DP282" s="36"/>
      <c r="DQ282" s="36"/>
      <c r="DR282" s="36"/>
      <c r="DS282" s="36"/>
      <c r="DT282" s="36"/>
      <c r="DU282" s="36"/>
      <c r="DV282" s="36"/>
      <c r="DW282" s="36"/>
      <c r="DX282" s="36"/>
      <c r="DY282" s="36"/>
      <c r="DZ282" s="36"/>
    </row>
    <row r="283" spans="1:130" s="372" customFormat="1" ht="15" customHeight="1">
      <c r="A283" s="2030"/>
      <c r="B283" s="2033"/>
      <c r="C283" s="931" t="s">
        <v>11</v>
      </c>
      <c r="D283" s="110">
        <f>'475ПП'!H721</f>
        <v>0</v>
      </c>
      <c r="E283" s="108">
        <v>0</v>
      </c>
      <c r="F283" s="108">
        <v>0</v>
      </c>
      <c r="G283" s="1907">
        <f t="shared" si="19"/>
        <v>0</v>
      </c>
      <c r="H283" s="2155"/>
      <c r="I283" s="2021"/>
      <c r="J283" s="2027"/>
      <c r="K283" s="2147"/>
      <c r="L283" s="2053"/>
      <c r="M283" s="2024"/>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c r="CB283" s="36"/>
      <c r="CC283" s="36"/>
      <c r="CD283" s="36"/>
      <c r="CE283" s="36"/>
      <c r="CF283" s="36"/>
      <c r="CG283" s="36"/>
      <c r="CH283" s="36"/>
      <c r="CI283" s="36"/>
      <c r="CJ283" s="36"/>
      <c r="CK283" s="36"/>
      <c r="CL283" s="36"/>
      <c r="CM283" s="36"/>
      <c r="CN283" s="36"/>
      <c r="CO283" s="36"/>
      <c r="CP283" s="36"/>
      <c r="CQ283" s="36"/>
      <c r="CR283" s="36"/>
      <c r="CS283" s="36"/>
      <c r="CT283" s="36"/>
      <c r="CU283" s="36"/>
      <c r="CV283" s="36"/>
      <c r="CW283" s="36"/>
      <c r="CX283" s="36"/>
      <c r="CY283" s="36"/>
      <c r="CZ283" s="36"/>
      <c r="DA283" s="36"/>
      <c r="DB283" s="36"/>
      <c r="DC283" s="36"/>
      <c r="DD283" s="36"/>
      <c r="DE283" s="36"/>
      <c r="DF283" s="36"/>
      <c r="DG283" s="36"/>
      <c r="DH283" s="36"/>
      <c r="DI283" s="36"/>
      <c r="DJ283" s="36"/>
      <c r="DK283" s="36"/>
      <c r="DL283" s="36"/>
      <c r="DM283" s="36"/>
      <c r="DN283" s="36"/>
      <c r="DO283" s="36"/>
      <c r="DP283" s="36"/>
      <c r="DQ283" s="36"/>
      <c r="DR283" s="36"/>
      <c r="DS283" s="36"/>
      <c r="DT283" s="36"/>
      <c r="DU283" s="36"/>
      <c r="DV283" s="36"/>
      <c r="DW283" s="36"/>
      <c r="DX283" s="36"/>
      <c r="DY283" s="36"/>
      <c r="DZ283" s="36"/>
    </row>
    <row r="284" spans="1:130" s="372" customFormat="1" ht="15" customHeight="1">
      <c r="A284" s="2031"/>
      <c r="B284" s="2034"/>
      <c r="C284" s="939" t="s">
        <v>12</v>
      </c>
      <c r="D284" s="940">
        <f>'475ПП'!I721</f>
        <v>0</v>
      </c>
      <c r="E284" s="108">
        <v>0</v>
      </c>
      <c r="F284" s="108">
        <v>0</v>
      </c>
      <c r="G284" s="1907">
        <f t="shared" si="19"/>
        <v>0</v>
      </c>
      <c r="H284" s="2156"/>
      <c r="I284" s="2022"/>
      <c r="J284" s="2028"/>
      <c r="K284" s="2147"/>
      <c r="L284" s="2054"/>
      <c r="M284" s="2025"/>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c r="CB284" s="36"/>
      <c r="CC284" s="36"/>
      <c r="CD284" s="36"/>
      <c r="CE284" s="36"/>
      <c r="CF284" s="36"/>
      <c r="CG284" s="36"/>
      <c r="CH284" s="36"/>
      <c r="CI284" s="36"/>
      <c r="CJ284" s="36"/>
      <c r="CK284" s="36"/>
      <c r="CL284" s="36"/>
      <c r="CM284" s="36"/>
      <c r="CN284" s="36"/>
      <c r="CO284" s="36"/>
      <c r="CP284" s="36"/>
      <c r="CQ284" s="36"/>
      <c r="CR284" s="36"/>
      <c r="CS284" s="36"/>
      <c r="CT284" s="36"/>
      <c r="CU284" s="36"/>
      <c r="CV284" s="36"/>
      <c r="CW284" s="36"/>
      <c r="CX284" s="36"/>
      <c r="CY284" s="36"/>
      <c r="CZ284" s="36"/>
      <c r="DA284" s="36"/>
      <c r="DB284" s="36"/>
      <c r="DC284" s="36"/>
      <c r="DD284" s="36"/>
      <c r="DE284" s="36"/>
      <c r="DF284" s="36"/>
      <c r="DG284" s="36"/>
      <c r="DH284" s="36"/>
      <c r="DI284" s="36"/>
      <c r="DJ284" s="36"/>
      <c r="DK284" s="36"/>
      <c r="DL284" s="36"/>
      <c r="DM284" s="36"/>
      <c r="DN284" s="36"/>
      <c r="DO284" s="36"/>
      <c r="DP284" s="36"/>
      <c r="DQ284" s="36"/>
      <c r="DR284" s="36"/>
      <c r="DS284" s="36"/>
      <c r="DT284" s="36"/>
      <c r="DU284" s="36"/>
      <c r="DV284" s="36"/>
      <c r="DW284" s="36"/>
      <c r="DX284" s="36"/>
      <c r="DY284" s="36"/>
      <c r="DZ284" s="36"/>
    </row>
    <row r="285" spans="1:130" s="372" customFormat="1" ht="15.75" customHeight="1">
      <c r="A285" s="2076" t="s">
        <v>2888</v>
      </c>
      <c r="B285" s="2076" t="s">
        <v>2996</v>
      </c>
      <c r="C285" s="931" t="s">
        <v>8</v>
      </c>
      <c r="D285" s="1900">
        <f>SUM(D286:D289)</f>
        <v>135522.91488999996</v>
      </c>
      <c r="E285" s="1900">
        <f>SUM(E286:E289)</f>
        <v>135522.92000000001</v>
      </c>
      <c r="F285" s="1900">
        <f>SUM(F286:F289)</f>
        <v>135522.92000000001</v>
      </c>
      <c r="G285" s="1907">
        <f t="shared" si="19"/>
        <v>1.0000000377058009</v>
      </c>
      <c r="H285" s="2068" t="s">
        <v>2994</v>
      </c>
      <c r="I285" s="2151" t="s">
        <v>5452</v>
      </c>
      <c r="J285" s="2046" t="s">
        <v>3384</v>
      </c>
      <c r="K285" s="2175" t="s">
        <v>2863</v>
      </c>
      <c r="L285" s="2148"/>
      <c r="M285" s="2023">
        <v>807</v>
      </c>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c r="CB285" s="36"/>
      <c r="CC285" s="36"/>
      <c r="CD285" s="36"/>
      <c r="CE285" s="36"/>
      <c r="CF285" s="36"/>
      <c r="CG285" s="36"/>
      <c r="CH285" s="36"/>
      <c r="CI285" s="36"/>
      <c r="CJ285" s="36"/>
      <c r="CK285" s="36"/>
      <c r="CL285" s="36"/>
      <c r="CM285" s="36"/>
      <c r="CN285" s="36"/>
      <c r="CO285" s="36"/>
      <c r="CP285" s="36"/>
      <c r="CQ285" s="36"/>
      <c r="CR285" s="36"/>
      <c r="CS285" s="36"/>
      <c r="CT285" s="36"/>
      <c r="CU285" s="36"/>
      <c r="CV285" s="36"/>
      <c r="CW285" s="36"/>
      <c r="CX285" s="36"/>
      <c r="CY285" s="36"/>
      <c r="CZ285" s="36"/>
      <c r="DA285" s="36"/>
      <c r="DB285" s="36"/>
      <c r="DC285" s="36"/>
      <c r="DD285" s="36"/>
      <c r="DE285" s="36"/>
      <c r="DF285" s="36"/>
      <c r="DG285" s="36"/>
      <c r="DH285" s="36"/>
      <c r="DI285" s="36"/>
      <c r="DJ285" s="36"/>
      <c r="DK285" s="36"/>
      <c r="DL285" s="36"/>
      <c r="DM285" s="36"/>
      <c r="DN285" s="36"/>
      <c r="DO285" s="36"/>
      <c r="DP285" s="36"/>
      <c r="DQ285" s="36"/>
      <c r="DR285" s="36"/>
      <c r="DS285" s="36"/>
      <c r="DT285" s="36"/>
      <c r="DU285" s="36"/>
      <c r="DV285" s="36"/>
      <c r="DW285" s="36"/>
      <c r="DX285" s="36"/>
      <c r="DY285" s="36"/>
      <c r="DZ285" s="36"/>
    </row>
    <row r="286" spans="1:130" s="372" customFormat="1" ht="15.75" customHeight="1">
      <c r="A286" s="2015"/>
      <c r="B286" s="2015"/>
      <c r="C286" s="931" t="s">
        <v>9</v>
      </c>
      <c r="D286" s="655">
        <f>'475ПП'!F739</f>
        <v>7725.3191500000057</v>
      </c>
      <c r="E286" s="107">
        <f>'2023'!E118</f>
        <v>7725.32</v>
      </c>
      <c r="F286" s="107">
        <f>E286</f>
        <v>7725.32</v>
      </c>
      <c r="G286" s="1907">
        <f t="shared" si="19"/>
        <v>1.000000110027816</v>
      </c>
      <c r="H286" s="2069"/>
      <c r="I286" s="2152"/>
      <c r="J286" s="2047"/>
      <c r="K286" s="2175"/>
      <c r="L286" s="2149"/>
      <c r="M286" s="2024"/>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c r="CB286" s="36"/>
      <c r="CC286" s="36"/>
      <c r="CD286" s="36"/>
      <c r="CE286" s="36"/>
      <c r="CF286" s="36"/>
      <c r="CG286" s="36"/>
      <c r="CH286" s="36"/>
      <c r="CI286" s="36"/>
      <c r="CJ286" s="36"/>
      <c r="CK286" s="36"/>
      <c r="CL286" s="36"/>
      <c r="CM286" s="36"/>
      <c r="CN286" s="36"/>
      <c r="CO286" s="36"/>
      <c r="CP286" s="36"/>
      <c r="CQ286" s="36"/>
      <c r="CR286" s="36"/>
      <c r="CS286" s="36"/>
      <c r="CT286" s="36"/>
      <c r="CU286" s="36"/>
      <c r="CV286" s="36"/>
      <c r="CW286" s="36"/>
      <c r="CX286" s="36"/>
      <c r="CY286" s="36"/>
      <c r="CZ286" s="36"/>
      <c r="DA286" s="36"/>
      <c r="DB286" s="36"/>
      <c r="DC286" s="36"/>
      <c r="DD286" s="36"/>
      <c r="DE286" s="36"/>
      <c r="DF286" s="36"/>
      <c r="DG286" s="36"/>
      <c r="DH286" s="36"/>
      <c r="DI286" s="36"/>
      <c r="DJ286" s="36"/>
      <c r="DK286" s="36"/>
      <c r="DL286" s="36"/>
      <c r="DM286" s="36"/>
      <c r="DN286" s="36"/>
      <c r="DO286" s="36"/>
      <c r="DP286" s="36"/>
      <c r="DQ286" s="36"/>
      <c r="DR286" s="36"/>
      <c r="DS286" s="36"/>
      <c r="DT286" s="36"/>
      <c r="DU286" s="36"/>
      <c r="DV286" s="36"/>
      <c r="DW286" s="36"/>
      <c r="DX286" s="36"/>
      <c r="DY286" s="36"/>
      <c r="DZ286" s="36"/>
    </row>
    <row r="287" spans="1:130" s="372" customFormat="1" ht="15.75" customHeight="1">
      <c r="A287" s="2015"/>
      <c r="B287" s="2015"/>
      <c r="C287" s="931" t="s">
        <v>10</v>
      </c>
      <c r="D287" s="655">
        <f>'475ПП'!G739</f>
        <v>127391</v>
      </c>
      <c r="E287" s="107">
        <f>'2023'!E119</f>
        <v>127391</v>
      </c>
      <c r="F287" s="107">
        <f>E287</f>
        <v>127391</v>
      </c>
      <c r="G287" s="1907">
        <f t="shared" si="19"/>
        <v>1</v>
      </c>
      <c r="H287" s="2069"/>
      <c r="I287" s="2152"/>
      <c r="J287" s="2047"/>
      <c r="K287" s="2175"/>
      <c r="L287" s="2149"/>
      <c r="M287" s="2024"/>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c r="CB287" s="36"/>
      <c r="CC287" s="36"/>
      <c r="CD287" s="36"/>
      <c r="CE287" s="36"/>
      <c r="CF287" s="36"/>
      <c r="CG287" s="36"/>
      <c r="CH287" s="36"/>
      <c r="CI287" s="36"/>
      <c r="CJ287" s="36"/>
      <c r="CK287" s="36"/>
      <c r="CL287" s="36"/>
      <c r="CM287" s="36"/>
      <c r="CN287" s="36"/>
      <c r="CO287" s="36"/>
      <c r="CP287" s="36"/>
      <c r="CQ287" s="36"/>
      <c r="CR287" s="36"/>
      <c r="CS287" s="36"/>
      <c r="CT287" s="36"/>
      <c r="CU287" s="36"/>
      <c r="CV287" s="36"/>
      <c r="CW287" s="36"/>
      <c r="CX287" s="36"/>
      <c r="CY287" s="36"/>
      <c r="CZ287" s="36"/>
      <c r="DA287" s="36"/>
      <c r="DB287" s="36"/>
      <c r="DC287" s="36"/>
      <c r="DD287" s="36"/>
      <c r="DE287" s="36"/>
      <c r="DF287" s="36"/>
      <c r="DG287" s="36"/>
      <c r="DH287" s="36"/>
      <c r="DI287" s="36"/>
      <c r="DJ287" s="36"/>
      <c r="DK287" s="36"/>
      <c r="DL287" s="36"/>
      <c r="DM287" s="36"/>
      <c r="DN287" s="36"/>
      <c r="DO287" s="36"/>
      <c r="DP287" s="36"/>
      <c r="DQ287" s="36"/>
      <c r="DR287" s="36"/>
      <c r="DS287" s="36"/>
      <c r="DT287" s="36"/>
      <c r="DU287" s="36"/>
      <c r="DV287" s="36"/>
      <c r="DW287" s="36"/>
      <c r="DX287" s="36"/>
      <c r="DY287" s="36"/>
      <c r="DZ287" s="36"/>
    </row>
    <row r="288" spans="1:130" s="372" customFormat="1" ht="15.75" customHeight="1">
      <c r="A288" s="2015"/>
      <c r="B288" s="2015"/>
      <c r="C288" s="931" t="s">
        <v>11</v>
      </c>
      <c r="D288" s="655">
        <f>'475ПП'!H739</f>
        <v>406.59573999997519</v>
      </c>
      <c r="E288" s="107">
        <f>'2023'!E121</f>
        <v>406.6</v>
      </c>
      <c r="F288" s="107">
        <f>E288</f>
        <v>406.6</v>
      </c>
      <c r="G288" s="1907">
        <f t="shared" si="19"/>
        <v>1.0000104772372302</v>
      </c>
      <c r="H288" s="2069"/>
      <c r="I288" s="2152"/>
      <c r="J288" s="2047"/>
      <c r="K288" s="2175"/>
      <c r="L288" s="2149"/>
      <c r="M288" s="2024"/>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c r="CB288" s="36"/>
      <c r="CC288" s="36"/>
      <c r="CD288" s="36"/>
      <c r="CE288" s="36"/>
      <c r="CF288" s="36"/>
      <c r="CG288" s="36"/>
      <c r="CH288" s="36"/>
      <c r="CI288" s="36"/>
      <c r="CJ288" s="36"/>
      <c r="CK288" s="36"/>
      <c r="CL288" s="36"/>
      <c r="CM288" s="36"/>
      <c r="CN288" s="36"/>
      <c r="CO288" s="36"/>
      <c r="CP288" s="36"/>
      <c r="CQ288" s="36"/>
      <c r="CR288" s="36"/>
      <c r="CS288" s="36"/>
      <c r="CT288" s="36"/>
      <c r="CU288" s="36"/>
      <c r="CV288" s="36"/>
      <c r="CW288" s="36"/>
      <c r="CX288" s="36"/>
      <c r="CY288" s="36"/>
      <c r="CZ288" s="36"/>
      <c r="DA288" s="36"/>
      <c r="DB288" s="36"/>
      <c r="DC288" s="36"/>
      <c r="DD288" s="36"/>
      <c r="DE288" s="36"/>
      <c r="DF288" s="36"/>
      <c r="DG288" s="36"/>
      <c r="DH288" s="36"/>
      <c r="DI288" s="36"/>
      <c r="DJ288" s="36"/>
      <c r="DK288" s="36"/>
      <c r="DL288" s="36"/>
      <c r="DM288" s="36"/>
      <c r="DN288" s="36"/>
      <c r="DO288" s="36"/>
      <c r="DP288" s="36"/>
      <c r="DQ288" s="36"/>
      <c r="DR288" s="36"/>
      <c r="DS288" s="36"/>
      <c r="DT288" s="36"/>
      <c r="DU288" s="36"/>
      <c r="DV288" s="36"/>
      <c r="DW288" s="36"/>
      <c r="DX288" s="36"/>
      <c r="DY288" s="36"/>
      <c r="DZ288" s="36"/>
    </row>
    <row r="289" spans="1:130" s="372" customFormat="1" ht="48.75" customHeight="1">
      <c r="A289" s="2016"/>
      <c r="B289" s="2016"/>
      <c r="C289" s="1908" t="s">
        <v>12</v>
      </c>
      <c r="D289" s="107">
        <v>0</v>
      </c>
      <c r="E289" s="107">
        <v>0</v>
      </c>
      <c r="F289" s="107">
        <v>0</v>
      </c>
      <c r="G289" s="1907">
        <f t="shared" si="19"/>
        <v>0</v>
      </c>
      <c r="H289" s="2070"/>
      <c r="I289" s="2153"/>
      <c r="J289" s="2048"/>
      <c r="K289" s="2175"/>
      <c r="L289" s="2150"/>
      <c r="M289" s="2025"/>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c r="CB289" s="36"/>
      <c r="CC289" s="36"/>
      <c r="CD289" s="36"/>
      <c r="CE289" s="36"/>
      <c r="CF289" s="36"/>
      <c r="CG289" s="36"/>
      <c r="CH289" s="36"/>
      <c r="CI289" s="36"/>
      <c r="CJ289" s="36"/>
      <c r="CK289" s="36"/>
      <c r="CL289" s="36"/>
      <c r="CM289" s="36"/>
      <c r="CN289" s="36"/>
      <c r="CO289" s="36"/>
      <c r="CP289" s="36"/>
      <c r="CQ289" s="36"/>
      <c r="CR289" s="36"/>
      <c r="CS289" s="36"/>
      <c r="CT289" s="36"/>
      <c r="CU289" s="36"/>
      <c r="CV289" s="36"/>
      <c r="CW289" s="36"/>
      <c r="CX289" s="36"/>
      <c r="CY289" s="36"/>
      <c r="CZ289" s="36"/>
      <c r="DA289" s="36"/>
      <c r="DB289" s="36"/>
      <c r="DC289" s="36"/>
      <c r="DD289" s="36"/>
      <c r="DE289" s="36"/>
      <c r="DF289" s="36"/>
      <c r="DG289" s="36"/>
      <c r="DH289" s="36"/>
      <c r="DI289" s="36"/>
      <c r="DJ289" s="36"/>
      <c r="DK289" s="36"/>
      <c r="DL289" s="36"/>
      <c r="DM289" s="36"/>
      <c r="DN289" s="36"/>
      <c r="DO289" s="36"/>
      <c r="DP289" s="36"/>
      <c r="DQ289" s="36"/>
      <c r="DR289" s="36"/>
      <c r="DS289" s="36"/>
      <c r="DT289" s="36"/>
      <c r="DU289" s="36"/>
      <c r="DV289" s="36"/>
      <c r="DW289" s="36"/>
      <c r="DX289" s="36"/>
      <c r="DY289" s="36"/>
      <c r="DZ289" s="36"/>
    </row>
    <row r="290" spans="1:130" s="372" customFormat="1">
      <c r="A290" s="2253" t="s">
        <v>129</v>
      </c>
      <c r="B290" s="2111" t="s">
        <v>130</v>
      </c>
      <c r="C290" s="1506" t="s">
        <v>8</v>
      </c>
      <c r="D290" s="1507">
        <f>SUM(D291:D294)</f>
        <v>54796</v>
      </c>
      <c r="E290" s="1508">
        <f>SUM(E291:E294)</f>
        <v>53144.217329999999</v>
      </c>
      <c r="F290" s="1508">
        <f>SUM(F291:F294)</f>
        <v>53144.217329999999</v>
      </c>
      <c r="G290" s="1509">
        <f t="shared" si="19"/>
        <v>0.96985578016643548</v>
      </c>
      <c r="H290" s="2256"/>
      <c r="I290" s="673" t="s">
        <v>267</v>
      </c>
      <c r="J290" s="674">
        <f>J295</f>
        <v>1</v>
      </c>
      <c r="K290" s="2244" t="s">
        <v>2799</v>
      </c>
      <c r="L290" s="2057"/>
      <c r="M290" s="2234">
        <v>823</v>
      </c>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c r="CB290" s="36"/>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6"/>
      <c r="DB290" s="36"/>
      <c r="DC290" s="36"/>
      <c r="DD290" s="36"/>
      <c r="DE290" s="36"/>
      <c r="DF290" s="36"/>
      <c r="DG290" s="36"/>
      <c r="DH290" s="36"/>
      <c r="DI290" s="36"/>
      <c r="DJ290" s="36"/>
      <c r="DK290" s="36"/>
      <c r="DL290" s="36"/>
      <c r="DM290" s="36"/>
      <c r="DN290" s="36"/>
      <c r="DO290" s="36"/>
      <c r="DP290" s="36"/>
      <c r="DQ290" s="36"/>
      <c r="DR290" s="36"/>
      <c r="DS290" s="36"/>
      <c r="DT290" s="36"/>
      <c r="DU290" s="36"/>
      <c r="DV290" s="36"/>
      <c r="DW290" s="36"/>
      <c r="DX290" s="36"/>
      <c r="DY290" s="36"/>
      <c r="DZ290" s="36"/>
    </row>
    <row r="291" spans="1:130" s="372" customFormat="1">
      <c r="A291" s="2254"/>
      <c r="B291" s="2112"/>
      <c r="C291" s="1506" t="s">
        <v>9</v>
      </c>
      <c r="D291" s="1510">
        <f>D296</f>
        <v>54796</v>
      </c>
      <c r="E291" s="1511">
        <f>E296</f>
        <v>53144.217329999999</v>
      </c>
      <c r="F291" s="1511">
        <f>F296</f>
        <v>53144.217329999999</v>
      </c>
      <c r="G291" s="1509">
        <f t="shared" si="19"/>
        <v>0.96985578016643548</v>
      </c>
      <c r="H291" s="2257"/>
      <c r="I291" s="673" t="s">
        <v>268</v>
      </c>
      <c r="J291" s="675">
        <f>J296</f>
        <v>1</v>
      </c>
      <c r="K291" s="2245"/>
      <c r="L291" s="2058"/>
      <c r="M291" s="2235"/>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c r="CB291" s="36"/>
      <c r="CC291" s="36"/>
      <c r="CD291" s="36"/>
      <c r="CE291" s="36"/>
      <c r="CF291" s="36"/>
      <c r="CG291" s="36"/>
      <c r="CH291" s="36"/>
      <c r="CI291" s="36"/>
      <c r="CJ291" s="36"/>
      <c r="CK291" s="36"/>
      <c r="CL291" s="36"/>
      <c r="CM291" s="36"/>
      <c r="CN291" s="36"/>
      <c r="CO291" s="36"/>
      <c r="CP291" s="36"/>
      <c r="CQ291" s="36"/>
      <c r="CR291" s="36"/>
      <c r="CS291" s="36"/>
      <c r="CT291" s="36"/>
      <c r="CU291" s="36"/>
      <c r="CV291" s="36"/>
      <c r="CW291" s="36"/>
      <c r="CX291" s="36"/>
      <c r="CY291" s="36"/>
      <c r="CZ291" s="36"/>
      <c r="DA291" s="36"/>
      <c r="DB291" s="36"/>
      <c r="DC291" s="36"/>
      <c r="DD291" s="36"/>
      <c r="DE291" s="36"/>
      <c r="DF291" s="36"/>
      <c r="DG291" s="36"/>
      <c r="DH291" s="36"/>
      <c r="DI291" s="36"/>
      <c r="DJ291" s="36"/>
      <c r="DK291" s="36"/>
      <c r="DL291" s="36"/>
      <c r="DM291" s="36"/>
      <c r="DN291" s="36"/>
      <c r="DO291" s="36"/>
      <c r="DP291" s="36"/>
      <c r="DQ291" s="36"/>
      <c r="DR291" s="36"/>
      <c r="DS291" s="36"/>
      <c r="DT291" s="36"/>
      <c r="DU291" s="36"/>
      <c r="DV291" s="36"/>
      <c r="DW291" s="36"/>
      <c r="DX291" s="36"/>
      <c r="DY291" s="36"/>
      <c r="DZ291" s="36"/>
    </row>
    <row r="292" spans="1:130" s="372" customFormat="1">
      <c r="A292" s="2254"/>
      <c r="B292" s="2112"/>
      <c r="C292" s="1506" t="s">
        <v>10</v>
      </c>
      <c r="D292" s="1510">
        <v>0</v>
      </c>
      <c r="E292" s="1510">
        <v>0</v>
      </c>
      <c r="F292" s="1510">
        <v>0</v>
      </c>
      <c r="G292" s="1509">
        <f t="shared" si="19"/>
        <v>0</v>
      </c>
      <c r="H292" s="2257"/>
      <c r="I292" s="673" t="s">
        <v>269</v>
      </c>
      <c r="J292" s="675">
        <f t="shared" ref="J292:J293" si="25">J297</f>
        <v>0</v>
      </c>
      <c r="K292" s="2245"/>
      <c r="L292" s="2058"/>
      <c r="M292" s="2235"/>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c r="CB292" s="36"/>
      <c r="CC292" s="36"/>
      <c r="CD292" s="36"/>
      <c r="CE292" s="36"/>
      <c r="CF292" s="36"/>
      <c r="CG292" s="36"/>
      <c r="CH292" s="36"/>
      <c r="CI292" s="36"/>
      <c r="CJ292" s="36"/>
      <c r="CK292" s="36"/>
      <c r="CL292" s="36"/>
      <c r="CM292" s="36"/>
      <c r="CN292" s="36"/>
      <c r="CO292" s="36"/>
      <c r="CP292" s="36"/>
      <c r="CQ292" s="36"/>
      <c r="CR292" s="36"/>
      <c r="CS292" s="36"/>
      <c r="CT292" s="36"/>
      <c r="CU292" s="36"/>
      <c r="CV292" s="36"/>
      <c r="CW292" s="36"/>
      <c r="CX292" s="36"/>
      <c r="CY292" s="36"/>
      <c r="CZ292" s="36"/>
      <c r="DA292" s="36"/>
      <c r="DB292" s="36"/>
      <c r="DC292" s="36"/>
      <c r="DD292" s="36"/>
      <c r="DE292" s="36"/>
      <c r="DF292" s="36"/>
      <c r="DG292" s="36"/>
      <c r="DH292" s="36"/>
      <c r="DI292" s="36"/>
      <c r="DJ292" s="36"/>
      <c r="DK292" s="36"/>
      <c r="DL292" s="36"/>
      <c r="DM292" s="36"/>
      <c r="DN292" s="36"/>
      <c r="DO292" s="36"/>
      <c r="DP292" s="36"/>
      <c r="DQ292" s="36"/>
      <c r="DR292" s="36"/>
      <c r="DS292" s="36"/>
      <c r="DT292" s="36"/>
      <c r="DU292" s="36"/>
      <c r="DV292" s="36"/>
      <c r="DW292" s="36"/>
      <c r="DX292" s="36"/>
      <c r="DY292" s="36"/>
      <c r="DZ292" s="36"/>
    </row>
    <row r="293" spans="1:130" s="372" customFormat="1">
      <c r="A293" s="2254"/>
      <c r="B293" s="2112"/>
      <c r="C293" s="1506" t="s">
        <v>11</v>
      </c>
      <c r="D293" s="1510">
        <v>0</v>
      </c>
      <c r="E293" s="1510">
        <v>0</v>
      </c>
      <c r="F293" s="1510">
        <v>0</v>
      </c>
      <c r="G293" s="1509">
        <f t="shared" si="19"/>
        <v>0</v>
      </c>
      <c r="H293" s="2257"/>
      <c r="I293" s="673" t="s">
        <v>270</v>
      </c>
      <c r="J293" s="675">
        <f t="shared" si="25"/>
        <v>0</v>
      </c>
      <c r="K293" s="2245"/>
      <c r="L293" s="2058"/>
      <c r="M293" s="2235"/>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c r="CB293" s="36"/>
      <c r="CC293" s="36"/>
      <c r="CD293" s="36"/>
      <c r="CE293" s="36"/>
      <c r="CF293" s="36"/>
      <c r="CG293" s="36"/>
      <c r="CH293" s="36"/>
      <c r="CI293" s="36"/>
      <c r="CJ293" s="36"/>
      <c r="CK293" s="36"/>
      <c r="CL293" s="36"/>
      <c r="CM293" s="36"/>
      <c r="CN293" s="36"/>
      <c r="CO293" s="36"/>
      <c r="CP293" s="36"/>
      <c r="CQ293" s="36"/>
      <c r="CR293" s="36"/>
      <c r="CS293" s="36"/>
      <c r="CT293" s="36"/>
      <c r="CU293" s="36"/>
      <c r="CV293" s="36"/>
      <c r="CW293" s="36"/>
      <c r="CX293" s="36"/>
      <c r="CY293" s="36"/>
      <c r="CZ293" s="36"/>
      <c r="DA293" s="36"/>
      <c r="DB293" s="36"/>
      <c r="DC293" s="36"/>
      <c r="DD293" s="36"/>
      <c r="DE293" s="36"/>
      <c r="DF293" s="36"/>
      <c r="DG293" s="36"/>
      <c r="DH293" s="36"/>
      <c r="DI293" s="36"/>
      <c r="DJ293" s="36"/>
      <c r="DK293" s="36"/>
      <c r="DL293" s="36"/>
      <c r="DM293" s="36"/>
      <c r="DN293" s="36"/>
      <c r="DO293" s="36"/>
      <c r="DP293" s="36"/>
      <c r="DQ293" s="36"/>
      <c r="DR293" s="36"/>
      <c r="DS293" s="36"/>
      <c r="DT293" s="36"/>
      <c r="DU293" s="36"/>
      <c r="DV293" s="36"/>
      <c r="DW293" s="36"/>
      <c r="DX293" s="36"/>
      <c r="DY293" s="36"/>
      <c r="DZ293" s="36"/>
    </row>
    <row r="294" spans="1:130" s="372" customFormat="1">
      <c r="A294" s="2255"/>
      <c r="B294" s="2113"/>
      <c r="C294" s="1506" t="s">
        <v>12</v>
      </c>
      <c r="D294" s="1510">
        <v>0</v>
      </c>
      <c r="E294" s="1510">
        <v>0</v>
      </c>
      <c r="F294" s="1510">
        <v>0</v>
      </c>
      <c r="G294" s="1509">
        <f t="shared" si="19"/>
        <v>0</v>
      </c>
      <c r="H294" s="2258"/>
      <c r="I294" s="673" t="s">
        <v>271</v>
      </c>
      <c r="J294" s="676">
        <f>(J291+0.5*J292)/J290</f>
        <v>1</v>
      </c>
      <c r="K294" s="2246"/>
      <c r="L294" s="2059"/>
      <c r="M294" s="2242"/>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c r="CB294" s="36"/>
      <c r="CC294" s="36"/>
      <c r="CD294" s="36"/>
      <c r="CE294" s="36"/>
      <c r="CF294" s="36"/>
      <c r="CG294" s="36"/>
      <c r="CH294" s="36"/>
      <c r="CI294" s="36"/>
      <c r="CJ294" s="36"/>
      <c r="CK294" s="36"/>
      <c r="CL294" s="36"/>
      <c r="CM294" s="36"/>
      <c r="CN294" s="36"/>
      <c r="CO294" s="36"/>
      <c r="CP294" s="36"/>
      <c r="CQ294" s="36"/>
      <c r="CR294" s="36"/>
      <c r="CS294" s="36"/>
      <c r="CT294" s="36"/>
      <c r="CU294" s="36"/>
      <c r="CV294" s="36"/>
      <c r="CW294" s="36"/>
      <c r="CX294" s="36"/>
      <c r="CY294" s="36"/>
      <c r="CZ294" s="36"/>
      <c r="DA294" s="36"/>
      <c r="DB294" s="36"/>
      <c r="DC294" s="36"/>
      <c r="DD294" s="36"/>
      <c r="DE294" s="36"/>
      <c r="DF294" s="36"/>
      <c r="DG294" s="36"/>
      <c r="DH294" s="36"/>
      <c r="DI294" s="36"/>
      <c r="DJ294" s="36"/>
      <c r="DK294" s="36"/>
      <c r="DL294" s="36"/>
      <c r="DM294" s="36"/>
      <c r="DN294" s="36"/>
      <c r="DO294" s="36"/>
      <c r="DP294" s="36"/>
      <c r="DQ294" s="36"/>
      <c r="DR294" s="36"/>
      <c r="DS294" s="36"/>
      <c r="DT294" s="36"/>
      <c r="DU294" s="36"/>
      <c r="DV294" s="36"/>
      <c r="DW294" s="36"/>
      <c r="DX294" s="36"/>
      <c r="DY294" s="36"/>
      <c r="DZ294" s="36"/>
    </row>
    <row r="295" spans="1:130" s="372" customFormat="1" ht="21" customHeight="1">
      <c r="A295" s="2157" t="s">
        <v>131</v>
      </c>
      <c r="B295" s="2108" t="s">
        <v>672</v>
      </c>
      <c r="C295" s="1502" t="s">
        <v>8</v>
      </c>
      <c r="D295" s="1503">
        <f>SUM(D296:D299)</f>
        <v>54796</v>
      </c>
      <c r="E295" s="1504">
        <f>SUM(E296:E299)</f>
        <v>53144.217329999999</v>
      </c>
      <c r="F295" s="1504">
        <f>SUM(F296:F299)</f>
        <v>53144.217329999999</v>
      </c>
      <c r="G295" s="778">
        <f t="shared" si="19"/>
        <v>0.96985578016643548</v>
      </c>
      <c r="H295" s="2252" t="s">
        <v>2991</v>
      </c>
      <c r="I295" s="779" t="s">
        <v>267</v>
      </c>
      <c r="J295" s="1458">
        <f>SUM(J296:J298)</f>
        <v>1</v>
      </c>
      <c r="K295" s="2060" t="s">
        <v>2799</v>
      </c>
      <c r="L295" s="2060"/>
      <c r="M295" s="2041">
        <v>823</v>
      </c>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c r="CB295" s="36"/>
      <c r="CC295" s="36"/>
      <c r="CD295" s="36"/>
      <c r="CE295" s="36"/>
      <c r="CF295" s="36"/>
      <c r="CG295" s="36"/>
      <c r="CH295" s="36"/>
      <c r="CI295" s="36"/>
      <c r="CJ295" s="36"/>
      <c r="CK295" s="36"/>
      <c r="CL295" s="36"/>
      <c r="CM295" s="36"/>
      <c r="CN295" s="36"/>
      <c r="CO295" s="36"/>
      <c r="CP295" s="36"/>
      <c r="CQ295" s="36"/>
      <c r="CR295" s="36"/>
      <c r="CS295" s="36"/>
      <c r="CT295" s="36"/>
      <c r="CU295" s="36"/>
      <c r="CV295" s="36"/>
      <c r="CW295" s="36"/>
      <c r="CX295" s="36"/>
      <c r="CY295" s="36"/>
      <c r="CZ295" s="36"/>
      <c r="DA295" s="36"/>
      <c r="DB295" s="36"/>
      <c r="DC295" s="36"/>
      <c r="DD295" s="36"/>
      <c r="DE295" s="36"/>
      <c r="DF295" s="36"/>
      <c r="DG295" s="36"/>
      <c r="DH295" s="36"/>
      <c r="DI295" s="36"/>
      <c r="DJ295" s="36"/>
      <c r="DK295" s="36"/>
      <c r="DL295" s="36"/>
      <c r="DM295" s="36"/>
      <c r="DN295" s="36"/>
      <c r="DO295" s="36"/>
      <c r="DP295" s="36"/>
      <c r="DQ295" s="36"/>
      <c r="DR295" s="36"/>
      <c r="DS295" s="36"/>
      <c r="DT295" s="36"/>
      <c r="DU295" s="36"/>
      <c r="DV295" s="36"/>
      <c r="DW295" s="36"/>
      <c r="DX295" s="36"/>
      <c r="DY295" s="36"/>
      <c r="DZ295" s="36"/>
    </row>
    <row r="296" spans="1:130" s="372" customFormat="1">
      <c r="A296" s="2158"/>
      <c r="B296" s="2109"/>
      <c r="C296" s="776" t="s">
        <v>9</v>
      </c>
      <c r="D296" s="781">
        <f>D301</f>
        <v>54796</v>
      </c>
      <c r="E296" s="1504">
        <f>E301</f>
        <v>53144.217329999999</v>
      </c>
      <c r="F296" s="1504">
        <f>F301</f>
        <v>53144.217329999999</v>
      </c>
      <c r="G296" s="778">
        <f t="shared" si="19"/>
        <v>0.96985578016643548</v>
      </c>
      <c r="H296" s="2161"/>
      <c r="I296" s="779" t="s">
        <v>268</v>
      </c>
      <c r="J296" s="1505">
        <f>COUNTIF($J$300,"Да")</f>
        <v>1</v>
      </c>
      <c r="K296" s="2061"/>
      <c r="L296" s="2061"/>
      <c r="M296" s="2042"/>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c r="CB296" s="36"/>
      <c r="CC296" s="36"/>
      <c r="CD296" s="36"/>
      <c r="CE296" s="36"/>
      <c r="CF296" s="36"/>
      <c r="CG296" s="36"/>
      <c r="CH296" s="36"/>
      <c r="CI296" s="36"/>
      <c r="CJ296" s="36"/>
      <c r="CK296" s="36"/>
      <c r="CL296" s="36"/>
      <c r="CM296" s="36"/>
      <c r="CN296" s="36"/>
      <c r="CO296" s="36"/>
      <c r="CP296" s="36"/>
      <c r="CQ296" s="36"/>
      <c r="CR296" s="36"/>
      <c r="CS296" s="36"/>
      <c r="CT296" s="36"/>
      <c r="CU296" s="36"/>
      <c r="CV296" s="36"/>
      <c r="CW296" s="36"/>
      <c r="CX296" s="36"/>
      <c r="CY296" s="36"/>
      <c r="CZ296" s="36"/>
      <c r="DA296" s="36"/>
      <c r="DB296" s="36"/>
      <c r="DC296" s="36"/>
      <c r="DD296" s="36"/>
      <c r="DE296" s="36"/>
      <c r="DF296" s="36"/>
      <c r="DG296" s="36"/>
      <c r="DH296" s="36"/>
      <c r="DI296" s="36"/>
      <c r="DJ296" s="36"/>
      <c r="DK296" s="36"/>
      <c r="DL296" s="36"/>
      <c r="DM296" s="36"/>
      <c r="DN296" s="36"/>
      <c r="DO296" s="36"/>
      <c r="DP296" s="36"/>
      <c r="DQ296" s="36"/>
      <c r="DR296" s="36"/>
      <c r="DS296" s="36"/>
      <c r="DT296" s="36"/>
      <c r="DU296" s="36"/>
      <c r="DV296" s="36"/>
      <c r="DW296" s="36"/>
      <c r="DX296" s="36"/>
      <c r="DY296" s="36"/>
      <c r="DZ296" s="36"/>
    </row>
    <row r="297" spans="1:130" s="372" customFormat="1">
      <c r="A297" s="2158"/>
      <c r="B297" s="2109"/>
      <c r="C297" s="776" t="s">
        <v>10</v>
      </c>
      <c r="D297" s="781">
        <v>0</v>
      </c>
      <c r="E297" s="781">
        <v>0</v>
      </c>
      <c r="F297" s="781">
        <v>0</v>
      </c>
      <c r="G297" s="778">
        <f t="shared" si="19"/>
        <v>0</v>
      </c>
      <c r="H297" s="2161"/>
      <c r="I297" s="779" t="s">
        <v>269</v>
      </c>
      <c r="J297" s="1505">
        <f>COUNTIF($J$300,"Частично")</f>
        <v>0</v>
      </c>
      <c r="K297" s="2061"/>
      <c r="L297" s="2061"/>
      <c r="M297" s="2042"/>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c r="CB297" s="36"/>
      <c r="CC297" s="36"/>
      <c r="CD297" s="36"/>
      <c r="CE297" s="36"/>
      <c r="CF297" s="36"/>
      <c r="CG297" s="36"/>
      <c r="CH297" s="36"/>
      <c r="CI297" s="36"/>
      <c r="CJ297" s="36"/>
      <c r="CK297" s="36"/>
      <c r="CL297" s="36"/>
      <c r="CM297" s="36"/>
      <c r="CN297" s="36"/>
      <c r="CO297" s="36"/>
      <c r="CP297" s="36"/>
      <c r="CQ297" s="36"/>
      <c r="CR297" s="36"/>
      <c r="CS297" s="36"/>
      <c r="CT297" s="36"/>
      <c r="CU297" s="36"/>
      <c r="CV297" s="36"/>
      <c r="CW297" s="36"/>
      <c r="CX297" s="36"/>
      <c r="CY297" s="36"/>
      <c r="CZ297" s="36"/>
      <c r="DA297" s="36"/>
      <c r="DB297" s="36"/>
      <c r="DC297" s="36"/>
      <c r="DD297" s="36"/>
      <c r="DE297" s="36"/>
      <c r="DF297" s="36"/>
      <c r="DG297" s="36"/>
      <c r="DH297" s="36"/>
      <c r="DI297" s="36"/>
      <c r="DJ297" s="36"/>
      <c r="DK297" s="36"/>
      <c r="DL297" s="36"/>
      <c r="DM297" s="36"/>
      <c r="DN297" s="36"/>
      <c r="DO297" s="36"/>
      <c r="DP297" s="36"/>
      <c r="DQ297" s="36"/>
      <c r="DR297" s="36"/>
      <c r="DS297" s="36"/>
      <c r="DT297" s="36"/>
      <c r="DU297" s="36"/>
      <c r="DV297" s="36"/>
      <c r="DW297" s="36"/>
      <c r="DX297" s="36"/>
      <c r="DY297" s="36"/>
      <c r="DZ297" s="36"/>
    </row>
    <row r="298" spans="1:130" s="372" customFormat="1">
      <c r="A298" s="2158"/>
      <c r="B298" s="2109"/>
      <c r="C298" s="776" t="s">
        <v>11</v>
      </c>
      <c r="D298" s="781">
        <v>0</v>
      </c>
      <c r="E298" s="781">
        <v>0</v>
      </c>
      <c r="F298" s="781">
        <v>0</v>
      </c>
      <c r="G298" s="778">
        <f t="shared" si="19"/>
        <v>0</v>
      </c>
      <c r="H298" s="2161"/>
      <c r="I298" s="779" t="s">
        <v>270</v>
      </c>
      <c r="J298" s="1505">
        <f>COUNTIF($J$300,"Нет")</f>
        <v>0</v>
      </c>
      <c r="K298" s="2061"/>
      <c r="L298" s="2061"/>
      <c r="M298" s="2042"/>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c r="CB298" s="36"/>
      <c r="CC298" s="36"/>
      <c r="CD298" s="36"/>
      <c r="CE298" s="36"/>
      <c r="CF298" s="36"/>
      <c r="CG298" s="36"/>
      <c r="CH298" s="36"/>
      <c r="CI298" s="36"/>
      <c r="CJ298" s="36"/>
      <c r="CK298" s="36"/>
      <c r="CL298" s="36"/>
      <c r="CM298" s="36"/>
      <c r="CN298" s="36"/>
      <c r="CO298" s="36"/>
      <c r="CP298" s="36"/>
      <c r="CQ298" s="36"/>
      <c r="CR298" s="36"/>
      <c r="CS298" s="36"/>
      <c r="CT298" s="36"/>
      <c r="CU298" s="36"/>
      <c r="CV298" s="36"/>
      <c r="CW298" s="36"/>
      <c r="CX298" s="36"/>
      <c r="CY298" s="36"/>
      <c r="CZ298" s="36"/>
      <c r="DA298" s="36"/>
      <c r="DB298" s="36"/>
      <c r="DC298" s="36"/>
      <c r="DD298" s="36"/>
      <c r="DE298" s="36"/>
      <c r="DF298" s="36"/>
      <c r="DG298" s="36"/>
      <c r="DH298" s="36"/>
      <c r="DI298" s="36"/>
      <c r="DJ298" s="36"/>
      <c r="DK298" s="36"/>
      <c r="DL298" s="36"/>
      <c r="DM298" s="36"/>
      <c r="DN298" s="36"/>
      <c r="DO298" s="36"/>
      <c r="DP298" s="36"/>
      <c r="DQ298" s="36"/>
      <c r="DR298" s="36"/>
      <c r="DS298" s="36"/>
      <c r="DT298" s="36"/>
      <c r="DU298" s="36"/>
      <c r="DV298" s="36"/>
      <c r="DW298" s="36"/>
      <c r="DX298" s="36"/>
      <c r="DY298" s="36"/>
      <c r="DZ298" s="36"/>
    </row>
    <row r="299" spans="1:130" s="372" customFormat="1">
      <c r="A299" s="2159"/>
      <c r="B299" s="2110"/>
      <c r="C299" s="776" t="s">
        <v>12</v>
      </c>
      <c r="D299" s="781">
        <v>0</v>
      </c>
      <c r="E299" s="781">
        <v>0</v>
      </c>
      <c r="F299" s="781">
        <v>0</v>
      </c>
      <c r="G299" s="778">
        <f t="shared" si="19"/>
        <v>0</v>
      </c>
      <c r="H299" s="2162"/>
      <c r="I299" s="779" t="s">
        <v>271</v>
      </c>
      <c r="J299" s="1459">
        <f>(J296+0.5*J297)/J295</f>
        <v>1</v>
      </c>
      <c r="K299" s="2062"/>
      <c r="L299" s="2062"/>
      <c r="M299" s="2043"/>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c r="CB299" s="36"/>
      <c r="CC299" s="36"/>
      <c r="CD299" s="36"/>
      <c r="CE299" s="36"/>
      <c r="CF299" s="36"/>
      <c r="CG299" s="36"/>
      <c r="CH299" s="36"/>
      <c r="CI299" s="36"/>
      <c r="CJ299" s="36"/>
      <c r="CK299" s="36"/>
      <c r="CL299" s="36"/>
      <c r="CM299" s="36"/>
      <c r="CN299" s="36"/>
      <c r="CO299" s="36"/>
      <c r="CP299" s="36"/>
      <c r="CQ299" s="36"/>
      <c r="CR299" s="36"/>
      <c r="CS299" s="36"/>
      <c r="CT299" s="36"/>
      <c r="CU299" s="36"/>
      <c r="CV299" s="36"/>
      <c r="CW299" s="36"/>
      <c r="CX299" s="36"/>
      <c r="CY299" s="36"/>
      <c r="CZ299" s="36"/>
      <c r="DA299" s="36"/>
      <c r="DB299" s="36"/>
      <c r="DC299" s="36"/>
      <c r="DD299" s="36"/>
      <c r="DE299" s="36"/>
      <c r="DF299" s="36"/>
      <c r="DG299" s="36"/>
      <c r="DH299" s="36"/>
      <c r="DI299" s="36"/>
      <c r="DJ299" s="36"/>
      <c r="DK299" s="36"/>
      <c r="DL299" s="36"/>
      <c r="DM299" s="36"/>
      <c r="DN299" s="36"/>
      <c r="DO299" s="36"/>
      <c r="DP299" s="36"/>
      <c r="DQ299" s="36"/>
      <c r="DR299" s="36"/>
      <c r="DS299" s="36"/>
      <c r="DT299" s="36"/>
      <c r="DU299" s="36"/>
      <c r="DV299" s="36"/>
      <c r="DW299" s="36"/>
      <c r="DX299" s="36"/>
      <c r="DY299" s="36"/>
      <c r="DZ299" s="36"/>
    </row>
    <row r="300" spans="1:130" s="372" customFormat="1" ht="15" customHeight="1">
      <c r="A300" s="2032" t="s">
        <v>134</v>
      </c>
      <c r="B300" s="2104" t="s">
        <v>2843</v>
      </c>
      <c r="C300" s="931" t="s">
        <v>8</v>
      </c>
      <c r="D300" s="107">
        <f>SUM(D301:D304)</f>
        <v>54796</v>
      </c>
      <c r="E300" s="706">
        <f>SUM(E301:E304)</f>
        <v>53144.217329999999</v>
      </c>
      <c r="F300" s="706">
        <f>SUM(F301:F304)</f>
        <v>53144.217329999999</v>
      </c>
      <c r="G300" s="67">
        <f t="shared" si="19"/>
        <v>0.96985578016643548</v>
      </c>
      <c r="H300" s="2049" t="s">
        <v>2842</v>
      </c>
      <c r="I300" s="2052" t="s">
        <v>3519</v>
      </c>
      <c r="J300" s="2046" t="s">
        <v>3384</v>
      </c>
      <c r="K300" s="2146" t="s">
        <v>2803</v>
      </c>
      <c r="L300" s="2259" t="s">
        <v>3520</v>
      </c>
      <c r="M300" s="2023">
        <v>823</v>
      </c>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c r="CB300" s="36"/>
      <c r="CC300" s="36"/>
      <c r="CD300" s="36"/>
      <c r="CE300" s="36"/>
      <c r="CF300" s="36"/>
      <c r="CG300" s="36"/>
      <c r="CH300" s="36"/>
      <c r="CI300" s="36"/>
      <c r="CJ300" s="36"/>
      <c r="CK300" s="36"/>
      <c r="CL300" s="36"/>
      <c r="CM300" s="36"/>
      <c r="CN300" s="36"/>
      <c r="CO300" s="36"/>
      <c r="CP300" s="36"/>
      <c r="CQ300" s="36"/>
      <c r="CR300" s="36"/>
      <c r="CS300" s="36"/>
      <c r="CT300" s="36"/>
      <c r="CU300" s="36"/>
      <c r="CV300" s="36"/>
      <c r="CW300" s="36"/>
      <c r="CX300" s="36"/>
      <c r="CY300" s="36"/>
      <c r="CZ300" s="36"/>
      <c r="DA300" s="36"/>
      <c r="DB300" s="36"/>
      <c r="DC300" s="36"/>
      <c r="DD300" s="36"/>
      <c r="DE300" s="36"/>
      <c r="DF300" s="36"/>
      <c r="DG300" s="36"/>
      <c r="DH300" s="36"/>
      <c r="DI300" s="36"/>
      <c r="DJ300" s="36"/>
      <c r="DK300" s="36"/>
      <c r="DL300" s="36"/>
      <c r="DM300" s="36"/>
      <c r="DN300" s="36"/>
      <c r="DO300" s="36"/>
      <c r="DP300" s="36"/>
      <c r="DQ300" s="36"/>
      <c r="DR300" s="36"/>
      <c r="DS300" s="36"/>
      <c r="DT300" s="36"/>
      <c r="DU300" s="36"/>
      <c r="DV300" s="36"/>
      <c r="DW300" s="36"/>
      <c r="DX300" s="36"/>
      <c r="DY300" s="36"/>
      <c r="DZ300" s="36"/>
    </row>
    <row r="301" spans="1:130" s="372" customFormat="1" ht="15" customHeight="1">
      <c r="A301" s="2033"/>
      <c r="B301" s="2105"/>
      <c r="C301" s="931" t="s">
        <v>9</v>
      </c>
      <c r="D301" s="655">
        <v>54796</v>
      </c>
      <c r="E301" s="706">
        <f>'2023'!H107</f>
        <v>53144.217329999999</v>
      </c>
      <c r="F301" s="706">
        <f>E301</f>
        <v>53144.217329999999</v>
      </c>
      <c r="G301" s="67">
        <f t="shared" si="19"/>
        <v>0.96985578016643548</v>
      </c>
      <c r="H301" s="2050"/>
      <c r="I301" s="2053"/>
      <c r="J301" s="2047"/>
      <c r="K301" s="2147"/>
      <c r="L301" s="2260"/>
      <c r="M301" s="2024"/>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36"/>
      <c r="BD301" s="36"/>
      <c r="BE301" s="36"/>
      <c r="BF301" s="36"/>
      <c r="BG301" s="36"/>
      <c r="BH301" s="36"/>
      <c r="BI301" s="36"/>
      <c r="BJ301" s="36"/>
      <c r="BK301" s="36"/>
      <c r="BL301" s="36"/>
      <c r="BM301" s="36"/>
      <c r="BN301" s="36"/>
      <c r="BO301" s="36"/>
      <c r="BP301" s="36"/>
      <c r="BQ301" s="36"/>
      <c r="BR301" s="36"/>
      <c r="BS301" s="36"/>
      <c r="BT301" s="36"/>
      <c r="BU301" s="36"/>
      <c r="BV301" s="36"/>
      <c r="BW301" s="36"/>
      <c r="BX301" s="36"/>
      <c r="BY301" s="36"/>
      <c r="BZ301" s="36"/>
      <c r="CA301" s="36"/>
      <c r="CB301" s="36"/>
      <c r="CC301" s="36"/>
      <c r="CD301" s="36"/>
      <c r="CE301" s="36"/>
      <c r="CF301" s="36"/>
      <c r="CG301" s="36"/>
      <c r="CH301" s="36"/>
      <c r="CI301" s="36"/>
      <c r="CJ301" s="36"/>
      <c r="CK301" s="36"/>
      <c r="CL301" s="36"/>
      <c r="CM301" s="36"/>
      <c r="CN301" s="36"/>
      <c r="CO301" s="36"/>
      <c r="CP301" s="36"/>
      <c r="CQ301" s="36"/>
      <c r="CR301" s="36"/>
      <c r="CS301" s="36"/>
      <c r="CT301" s="36"/>
      <c r="CU301" s="36"/>
      <c r="CV301" s="36"/>
      <c r="CW301" s="36"/>
      <c r="CX301" s="36"/>
      <c r="CY301" s="36"/>
      <c r="CZ301" s="36"/>
      <c r="DA301" s="36"/>
      <c r="DB301" s="36"/>
      <c r="DC301" s="36"/>
      <c r="DD301" s="36"/>
      <c r="DE301" s="36"/>
      <c r="DF301" s="36"/>
      <c r="DG301" s="36"/>
      <c r="DH301" s="36"/>
      <c r="DI301" s="36"/>
      <c r="DJ301" s="36"/>
      <c r="DK301" s="36"/>
      <c r="DL301" s="36"/>
      <c r="DM301" s="36"/>
      <c r="DN301" s="36"/>
      <c r="DO301" s="36"/>
      <c r="DP301" s="36"/>
      <c r="DQ301" s="36"/>
      <c r="DR301" s="36"/>
      <c r="DS301" s="36"/>
      <c r="DT301" s="36"/>
      <c r="DU301" s="36"/>
      <c r="DV301" s="36"/>
      <c r="DW301" s="36"/>
      <c r="DX301" s="36"/>
      <c r="DY301" s="36"/>
      <c r="DZ301" s="36"/>
    </row>
    <row r="302" spans="1:130" s="372" customFormat="1" ht="15" customHeight="1">
      <c r="A302" s="2033"/>
      <c r="B302" s="2105"/>
      <c r="C302" s="931" t="s">
        <v>10</v>
      </c>
      <c r="D302" s="655">
        <f>'475ПП'!G757</f>
        <v>0</v>
      </c>
      <c r="E302" s="108">
        <v>0</v>
      </c>
      <c r="F302" s="108">
        <v>0</v>
      </c>
      <c r="G302" s="67">
        <f t="shared" si="19"/>
        <v>0</v>
      </c>
      <c r="H302" s="2050"/>
      <c r="I302" s="2053"/>
      <c r="J302" s="2047"/>
      <c r="K302" s="2147"/>
      <c r="L302" s="2260"/>
      <c r="M302" s="2024"/>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36"/>
      <c r="BD302" s="36"/>
      <c r="BE302" s="36"/>
      <c r="BF302" s="36"/>
      <c r="BG302" s="36"/>
      <c r="BH302" s="36"/>
      <c r="BI302" s="36"/>
      <c r="BJ302" s="36"/>
      <c r="BK302" s="36"/>
      <c r="BL302" s="36"/>
      <c r="BM302" s="36"/>
      <c r="BN302" s="36"/>
      <c r="BO302" s="36"/>
      <c r="BP302" s="36"/>
      <c r="BQ302" s="36"/>
      <c r="BR302" s="36"/>
      <c r="BS302" s="36"/>
      <c r="BT302" s="36"/>
      <c r="BU302" s="36"/>
      <c r="BV302" s="36"/>
      <c r="BW302" s="36"/>
      <c r="BX302" s="36"/>
      <c r="BY302" s="36"/>
      <c r="BZ302" s="36"/>
      <c r="CA302" s="36"/>
      <c r="CB302" s="36"/>
      <c r="CC302" s="36"/>
      <c r="CD302" s="36"/>
      <c r="CE302" s="36"/>
      <c r="CF302" s="36"/>
      <c r="CG302" s="36"/>
      <c r="CH302" s="36"/>
      <c r="CI302" s="36"/>
      <c r="CJ302" s="36"/>
      <c r="CK302" s="36"/>
      <c r="CL302" s="36"/>
      <c r="CM302" s="36"/>
      <c r="CN302" s="36"/>
      <c r="CO302" s="36"/>
      <c r="CP302" s="36"/>
      <c r="CQ302" s="36"/>
      <c r="CR302" s="36"/>
      <c r="CS302" s="36"/>
      <c r="CT302" s="36"/>
      <c r="CU302" s="36"/>
      <c r="CV302" s="36"/>
      <c r="CW302" s="36"/>
      <c r="CX302" s="36"/>
      <c r="CY302" s="36"/>
      <c r="CZ302" s="36"/>
      <c r="DA302" s="36"/>
      <c r="DB302" s="36"/>
      <c r="DC302" s="36"/>
      <c r="DD302" s="36"/>
      <c r="DE302" s="36"/>
      <c r="DF302" s="36"/>
      <c r="DG302" s="36"/>
      <c r="DH302" s="36"/>
      <c r="DI302" s="36"/>
      <c r="DJ302" s="36"/>
      <c r="DK302" s="36"/>
      <c r="DL302" s="36"/>
      <c r="DM302" s="36"/>
      <c r="DN302" s="36"/>
      <c r="DO302" s="36"/>
      <c r="DP302" s="36"/>
      <c r="DQ302" s="36"/>
      <c r="DR302" s="36"/>
      <c r="DS302" s="36"/>
      <c r="DT302" s="36"/>
      <c r="DU302" s="36"/>
      <c r="DV302" s="36"/>
      <c r="DW302" s="36"/>
      <c r="DX302" s="36"/>
      <c r="DY302" s="36"/>
      <c r="DZ302" s="36"/>
    </row>
    <row r="303" spans="1:130" s="372" customFormat="1" ht="15" customHeight="1">
      <c r="A303" s="2033"/>
      <c r="B303" s="2105"/>
      <c r="C303" s="931" t="s">
        <v>11</v>
      </c>
      <c r="D303" s="655">
        <f>'475ПП'!H757</f>
        <v>0</v>
      </c>
      <c r="E303" s="108">
        <v>0</v>
      </c>
      <c r="F303" s="108">
        <v>0</v>
      </c>
      <c r="G303" s="67">
        <f t="shared" si="19"/>
        <v>0</v>
      </c>
      <c r="H303" s="2050"/>
      <c r="I303" s="2053"/>
      <c r="J303" s="2047"/>
      <c r="K303" s="2147"/>
      <c r="L303" s="2260"/>
      <c r="M303" s="2024"/>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6"/>
      <c r="BM303" s="36"/>
      <c r="BN303" s="36"/>
      <c r="BO303" s="36"/>
      <c r="BP303" s="36"/>
      <c r="BQ303" s="36"/>
      <c r="BR303" s="36"/>
      <c r="BS303" s="36"/>
      <c r="BT303" s="36"/>
      <c r="BU303" s="36"/>
      <c r="BV303" s="36"/>
      <c r="BW303" s="36"/>
      <c r="BX303" s="36"/>
      <c r="BY303" s="36"/>
      <c r="BZ303" s="36"/>
      <c r="CA303" s="36"/>
      <c r="CB303" s="36"/>
      <c r="CC303" s="36"/>
      <c r="CD303" s="36"/>
      <c r="CE303" s="36"/>
      <c r="CF303" s="36"/>
      <c r="CG303" s="36"/>
      <c r="CH303" s="36"/>
      <c r="CI303" s="36"/>
      <c r="CJ303" s="36"/>
      <c r="CK303" s="36"/>
      <c r="CL303" s="36"/>
      <c r="CM303" s="36"/>
      <c r="CN303" s="36"/>
      <c r="CO303" s="36"/>
      <c r="CP303" s="36"/>
      <c r="CQ303" s="36"/>
      <c r="CR303" s="36"/>
      <c r="CS303" s="36"/>
      <c r="CT303" s="36"/>
      <c r="CU303" s="36"/>
      <c r="CV303" s="36"/>
      <c r="CW303" s="36"/>
      <c r="CX303" s="36"/>
      <c r="CY303" s="36"/>
      <c r="CZ303" s="36"/>
      <c r="DA303" s="36"/>
      <c r="DB303" s="36"/>
      <c r="DC303" s="36"/>
      <c r="DD303" s="36"/>
      <c r="DE303" s="36"/>
      <c r="DF303" s="36"/>
      <c r="DG303" s="36"/>
      <c r="DH303" s="36"/>
      <c r="DI303" s="36"/>
      <c r="DJ303" s="36"/>
      <c r="DK303" s="36"/>
      <c r="DL303" s="36"/>
      <c r="DM303" s="36"/>
      <c r="DN303" s="36"/>
      <c r="DO303" s="36"/>
      <c r="DP303" s="36"/>
      <c r="DQ303" s="36"/>
      <c r="DR303" s="36"/>
      <c r="DS303" s="36"/>
      <c r="DT303" s="36"/>
      <c r="DU303" s="36"/>
      <c r="DV303" s="36"/>
      <c r="DW303" s="36"/>
      <c r="DX303" s="36"/>
      <c r="DY303" s="36"/>
      <c r="DZ303" s="36"/>
    </row>
    <row r="304" spans="1:130" s="372" customFormat="1" ht="15" customHeight="1">
      <c r="A304" s="2034"/>
      <c r="B304" s="2106"/>
      <c r="C304" s="931" t="s">
        <v>12</v>
      </c>
      <c r="D304" s="655">
        <f>'475ПП'!I757</f>
        <v>0</v>
      </c>
      <c r="E304" s="108">
        <v>0</v>
      </c>
      <c r="F304" s="108">
        <v>0</v>
      </c>
      <c r="G304" s="67">
        <f t="shared" si="19"/>
        <v>0</v>
      </c>
      <c r="H304" s="2051"/>
      <c r="I304" s="2054"/>
      <c r="J304" s="2048"/>
      <c r="K304" s="2223"/>
      <c r="L304" s="2261"/>
      <c r="M304" s="2025"/>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c r="BB304" s="36"/>
      <c r="BC304" s="36"/>
      <c r="BD304" s="36"/>
      <c r="BE304" s="36"/>
      <c r="BF304" s="36"/>
      <c r="BG304" s="36"/>
      <c r="BH304" s="36"/>
      <c r="BI304" s="36"/>
      <c r="BJ304" s="36"/>
      <c r="BK304" s="36"/>
      <c r="BL304" s="36"/>
      <c r="BM304" s="36"/>
      <c r="BN304" s="36"/>
      <c r="BO304" s="36"/>
      <c r="BP304" s="36"/>
      <c r="BQ304" s="36"/>
      <c r="BR304" s="36"/>
      <c r="BS304" s="36"/>
      <c r="BT304" s="36"/>
      <c r="BU304" s="36"/>
      <c r="BV304" s="36"/>
      <c r="BW304" s="36"/>
      <c r="BX304" s="36"/>
      <c r="BY304" s="36"/>
      <c r="BZ304" s="36"/>
      <c r="CA304" s="36"/>
      <c r="CB304" s="36"/>
      <c r="CC304" s="36"/>
      <c r="CD304" s="36"/>
      <c r="CE304" s="36"/>
      <c r="CF304" s="36"/>
      <c r="CG304" s="36"/>
      <c r="CH304" s="36"/>
      <c r="CI304" s="36"/>
      <c r="CJ304" s="36"/>
      <c r="CK304" s="36"/>
      <c r="CL304" s="36"/>
      <c r="CM304" s="36"/>
      <c r="CN304" s="36"/>
      <c r="CO304" s="36"/>
      <c r="CP304" s="36"/>
      <c r="CQ304" s="36"/>
      <c r="CR304" s="36"/>
      <c r="CS304" s="36"/>
      <c r="CT304" s="36"/>
      <c r="CU304" s="36"/>
      <c r="CV304" s="36"/>
      <c r="CW304" s="36"/>
      <c r="CX304" s="36"/>
      <c r="CY304" s="36"/>
      <c r="CZ304" s="36"/>
      <c r="DA304" s="36"/>
      <c r="DB304" s="36"/>
      <c r="DC304" s="36"/>
      <c r="DD304" s="36"/>
      <c r="DE304" s="36"/>
      <c r="DF304" s="36"/>
      <c r="DG304" s="36"/>
      <c r="DH304" s="36"/>
      <c r="DI304" s="36"/>
      <c r="DJ304" s="36"/>
      <c r="DK304" s="36"/>
      <c r="DL304" s="36"/>
      <c r="DM304" s="36"/>
      <c r="DN304" s="36"/>
      <c r="DO304" s="36"/>
      <c r="DP304" s="36"/>
      <c r="DQ304" s="36"/>
      <c r="DR304" s="36"/>
      <c r="DS304" s="36"/>
      <c r="DT304" s="36"/>
      <c r="DU304" s="36"/>
      <c r="DV304" s="36"/>
      <c r="DW304" s="36"/>
      <c r="DX304" s="36"/>
      <c r="DY304" s="36"/>
      <c r="DZ304" s="36"/>
    </row>
    <row r="305" spans="1:13" s="64" customFormat="1">
      <c r="A305" s="10"/>
      <c r="B305" s="111"/>
      <c r="C305" s="68"/>
      <c r="D305" s="669"/>
      <c r="E305" s="112"/>
      <c r="F305" s="670"/>
      <c r="G305" s="671"/>
      <c r="H305" s="603"/>
      <c r="I305" s="882"/>
      <c r="J305" s="883"/>
      <c r="K305" s="884"/>
      <c r="L305" s="884"/>
      <c r="M305" s="68"/>
    </row>
    <row r="306" spans="1:13" s="64" customFormat="1">
      <c r="A306" s="10"/>
      <c r="B306" s="111"/>
      <c r="C306" s="68"/>
      <c r="D306" s="669"/>
      <c r="E306" s="112"/>
      <c r="F306" s="670"/>
      <c r="G306" s="671"/>
      <c r="H306" s="603"/>
      <c r="I306" s="882"/>
      <c r="J306" s="883"/>
      <c r="K306" s="884"/>
      <c r="L306" s="884"/>
      <c r="M306" s="68"/>
    </row>
    <row r="307" spans="1:13" s="64" customFormat="1">
      <c r="A307" s="10"/>
      <c r="B307" s="111"/>
      <c r="C307" s="68"/>
      <c r="D307" s="669"/>
      <c r="E307" s="112"/>
      <c r="F307" s="670"/>
      <c r="G307" s="671"/>
      <c r="H307" s="603"/>
      <c r="I307" s="882"/>
      <c r="J307" s="883"/>
      <c r="K307" s="884"/>
      <c r="L307" s="884"/>
      <c r="M307" s="68"/>
    </row>
    <row r="308" spans="1:13" s="64" customFormat="1">
      <c r="A308" s="10"/>
      <c r="B308" s="111"/>
      <c r="C308" s="68"/>
      <c r="D308" s="669"/>
      <c r="E308" s="112"/>
      <c r="F308" s="670"/>
      <c r="G308" s="671"/>
      <c r="H308" s="603"/>
      <c r="I308" s="882"/>
      <c r="J308" s="883"/>
      <c r="K308" s="884"/>
      <c r="L308" s="884"/>
      <c r="M308" s="68"/>
    </row>
    <row r="309" spans="1:13" s="64" customFormat="1">
      <c r="A309" s="10"/>
      <c r="B309" s="111"/>
      <c r="C309" s="68"/>
      <c r="D309" s="669"/>
      <c r="E309" s="112"/>
      <c r="F309" s="670"/>
      <c r="G309" s="671"/>
      <c r="H309" s="603"/>
      <c r="I309" s="882"/>
      <c r="J309" s="883"/>
      <c r="K309" s="884"/>
      <c r="L309" s="884"/>
      <c r="M309" s="68"/>
    </row>
    <row r="310" spans="1:13" s="64" customFormat="1">
      <c r="A310" s="10"/>
      <c r="B310" s="111"/>
      <c r="C310" s="68"/>
      <c r="D310" s="669"/>
      <c r="E310" s="112"/>
      <c r="F310" s="670"/>
      <c r="G310" s="671"/>
      <c r="H310" s="603"/>
      <c r="I310" s="882"/>
      <c r="J310" s="883"/>
      <c r="K310" s="884"/>
      <c r="L310" s="884"/>
      <c r="M310" s="68"/>
    </row>
    <row r="311" spans="1:13" s="64" customFormat="1">
      <c r="A311" s="10"/>
      <c r="B311" s="111"/>
      <c r="C311" s="68"/>
      <c r="D311" s="669"/>
      <c r="E311" s="112"/>
      <c r="F311" s="670"/>
      <c r="G311" s="671"/>
      <c r="H311" s="603"/>
      <c r="I311" s="882"/>
      <c r="J311" s="883"/>
      <c r="K311" s="884"/>
      <c r="L311" s="884"/>
      <c r="M311" s="68"/>
    </row>
    <row r="312" spans="1:13" s="64" customFormat="1">
      <c r="A312" s="10"/>
      <c r="B312" s="111"/>
      <c r="C312" s="68"/>
      <c r="D312" s="669"/>
      <c r="E312" s="112"/>
      <c r="F312" s="670"/>
      <c r="G312" s="671"/>
      <c r="H312" s="603"/>
      <c r="I312" s="882"/>
      <c r="J312" s="883"/>
      <c r="K312" s="884"/>
      <c r="L312" s="884"/>
      <c r="M312" s="68"/>
    </row>
    <row r="313" spans="1:13" s="64" customFormat="1">
      <c r="A313" s="10"/>
      <c r="B313" s="111"/>
      <c r="C313" s="68"/>
      <c r="D313" s="669"/>
      <c r="E313" s="112"/>
      <c r="F313" s="670"/>
      <c r="G313" s="671"/>
      <c r="H313" s="603"/>
      <c r="I313" s="882"/>
      <c r="J313" s="883"/>
      <c r="K313" s="884"/>
      <c r="L313" s="884"/>
      <c r="M313" s="68"/>
    </row>
    <row r="314" spans="1:13" s="64" customFormat="1">
      <c r="A314" s="10"/>
      <c r="B314" s="111"/>
      <c r="C314" s="68"/>
      <c r="D314" s="669"/>
      <c r="E314" s="112"/>
      <c r="F314" s="670"/>
      <c r="G314" s="671"/>
      <c r="H314" s="603"/>
      <c r="I314" s="882"/>
      <c r="J314" s="883"/>
      <c r="K314" s="884"/>
      <c r="L314" s="884"/>
      <c r="M314" s="68"/>
    </row>
    <row r="315" spans="1:13" s="64" customFormat="1">
      <c r="A315" s="10"/>
      <c r="B315" s="111"/>
      <c r="C315" s="68"/>
      <c r="D315" s="669"/>
      <c r="E315" s="112"/>
      <c r="F315" s="670"/>
      <c r="G315" s="671"/>
      <c r="H315" s="603"/>
      <c r="I315" s="882"/>
      <c r="J315" s="883"/>
      <c r="K315" s="884"/>
      <c r="L315" s="884"/>
      <c r="M315" s="68"/>
    </row>
    <row r="316" spans="1:13" s="64" customFormat="1">
      <c r="A316" s="10"/>
      <c r="B316" s="111"/>
      <c r="C316" s="68"/>
      <c r="D316" s="669"/>
      <c r="E316" s="112"/>
      <c r="F316" s="670"/>
      <c r="G316" s="671"/>
      <c r="H316" s="603"/>
      <c r="I316" s="882"/>
      <c r="J316" s="883"/>
      <c r="K316" s="884"/>
      <c r="L316" s="884"/>
      <c r="M316" s="68"/>
    </row>
    <row r="317" spans="1:13" s="64" customFormat="1">
      <c r="A317" s="10"/>
      <c r="B317" s="111"/>
      <c r="C317" s="68"/>
      <c r="D317" s="669"/>
      <c r="E317" s="112"/>
      <c r="F317" s="670"/>
      <c r="G317" s="671"/>
      <c r="H317" s="603"/>
      <c r="I317" s="882"/>
      <c r="J317" s="883"/>
      <c r="K317" s="884"/>
      <c r="L317" s="884"/>
      <c r="M317" s="68"/>
    </row>
    <row r="318" spans="1:13" s="64" customFormat="1">
      <c r="A318" s="10"/>
      <c r="B318" s="111"/>
      <c r="C318" s="68"/>
      <c r="D318" s="669"/>
      <c r="E318" s="112"/>
      <c r="F318" s="670"/>
      <c r="G318" s="671"/>
      <c r="H318" s="603"/>
      <c r="I318" s="882"/>
      <c r="J318" s="883"/>
      <c r="K318" s="884"/>
      <c r="L318" s="884"/>
      <c r="M318" s="68"/>
    </row>
    <row r="319" spans="1:13" s="64" customFormat="1">
      <c r="A319" s="10"/>
      <c r="B319" s="111"/>
      <c r="C319" s="68"/>
      <c r="D319" s="669"/>
      <c r="E319" s="112"/>
      <c r="F319" s="670"/>
      <c r="G319" s="671"/>
      <c r="H319" s="603"/>
      <c r="I319" s="882"/>
      <c r="J319" s="883"/>
      <c r="K319" s="884"/>
      <c r="L319" s="884"/>
      <c r="M319" s="68"/>
    </row>
    <row r="320" spans="1:13" s="64" customFormat="1">
      <c r="A320" s="10"/>
      <c r="B320" s="111"/>
      <c r="C320" s="68"/>
      <c r="D320" s="669"/>
      <c r="E320" s="112"/>
      <c r="F320" s="670"/>
      <c r="G320" s="671"/>
      <c r="H320" s="603"/>
      <c r="I320" s="882"/>
      <c r="J320" s="883"/>
      <c r="K320" s="884"/>
      <c r="L320" s="884"/>
      <c r="M320" s="68"/>
    </row>
    <row r="321" spans="1:13" s="64" customFormat="1">
      <c r="A321" s="10"/>
      <c r="B321" s="111"/>
      <c r="C321" s="68"/>
      <c r="D321" s="669"/>
      <c r="E321" s="112"/>
      <c r="F321" s="670"/>
      <c r="G321" s="671"/>
      <c r="H321" s="603"/>
      <c r="I321" s="882"/>
      <c r="J321" s="883"/>
      <c r="K321" s="884"/>
      <c r="L321" s="884"/>
      <c r="M321" s="68"/>
    </row>
    <row r="322" spans="1:13" s="64" customFormat="1">
      <c r="A322" s="10"/>
      <c r="B322" s="111"/>
      <c r="C322" s="68"/>
      <c r="D322" s="669"/>
      <c r="E322" s="112"/>
      <c r="F322" s="670"/>
      <c r="G322" s="671"/>
      <c r="H322" s="603"/>
      <c r="I322" s="882"/>
      <c r="J322" s="883"/>
      <c r="K322" s="884"/>
      <c r="L322" s="884"/>
      <c r="M322" s="68"/>
    </row>
    <row r="323" spans="1:13" s="64" customFormat="1">
      <c r="A323" s="10"/>
      <c r="B323" s="111"/>
      <c r="C323" s="68"/>
      <c r="D323" s="669"/>
      <c r="E323" s="112"/>
      <c r="F323" s="670"/>
      <c r="G323" s="671"/>
      <c r="H323" s="603"/>
      <c r="I323" s="882"/>
      <c r="J323" s="883"/>
      <c r="K323" s="884"/>
      <c r="L323" s="884"/>
      <c r="M323" s="68"/>
    </row>
    <row r="324" spans="1:13" s="64" customFormat="1">
      <c r="A324" s="10"/>
      <c r="B324" s="111"/>
      <c r="C324" s="68"/>
      <c r="D324" s="669"/>
      <c r="E324" s="112"/>
      <c r="F324" s="670"/>
      <c r="G324" s="671"/>
      <c r="H324" s="603"/>
      <c r="I324" s="882"/>
      <c r="J324" s="883"/>
      <c r="K324" s="884"/>
      <c r="L324" s="884"/>
      <c r="M324" s="68"/>
    </row>
    <row r="325" spans="1:13" s="64" customFormat="1">
      <c r="A325" s="10"/>
      <c r="B325" s="111"/>
      <c r="C325" s="68"/>
      <c r="D325" s="669"/>
      <c r="E325" s="112"/>
      <c r="F325" s="670"/>
      <c r="G325" s="671"/>
      <c r="H325" s="603"/>
      <c r="I325" s="882"/>
      <c r="J325" s="883"/>
      <c r="K325" s="884"/>
      <c r="L325" s="884"/>
      <c r="M325" s="68"/>
    </row>
    <row r="326" spans="1:13" s="64" customFormat="1">
      <c r="A326" s="10"/>
      <c r="B326" s="111"/>
      <c r="C326" s="68"/>
      <c r="D326" s="669"/>
      <c r="E326" s="112"/>
      <c r="F326" s="670"/>
      <c r="G326" s="671"/>
      <c r="H326" s="603"/>
      <c r="I326" s="882"/>
      <c r="J326" s="883"/>
      <c r="K326" s="884"/>
      <c r="L326" s="884"/>
      <c r="M326" s="68"/>
    </row>
    <row r="327" spans="1:13" s="64" customFormat="1">
      <c r="A327" s="10"/>
      <c r="B327" s="111"/>
      <c r="C327" s="68"/>
      <c r="D327" s="669"/>
      <c r="E327" s="112"/>
      <c r="F327" s="670"/>
      <c r="G327" s="671"/>
      <c r="H327" s="603"/>
      <c r="I327" s="882"/>
      <c r="J327" s="883"/>
      <c r="K327" s="884"/>
      <c r="L327" s="884"/>
      <c r="M327" s="68"/>
    </row>
    <row r="328" spans="1:13" s="64" customFormat="1">
      <c r="A328" s="10"/>
      <c r="B328" s="111"/>
      <c r="C328" s="68"/>
      <c r="D328" s="669"/>
      <c r="E328" s="112"/>
      <c r="F328" s="670"/>
      <c r="G328" s="671"/>
      <c r="H328" s="603"/>
      <c r="I328" s="882"/>
      <c r="J328" s="883"/>
      <c r="K328" s="884"/>
      <c r="L328" s="884"/>
      <c r="M328" s="68"/>
    </row>
    <row r="329" spans="1:13" s="64" customFormat="1">
      <c r="A329" s="10"/>
      <c r="B329" s="111"/>
      <c r="C329" s="68"/>
      <c r="D329" s="669"/>
      <c r="E329" s="112"/>
      <c r="F329" s="670"/>
      <c r="G329" s="671"/>
      <c r="H329" s="603"/>
      <c r="I329" s="882"/>
      <c r="J329" s="883"/>
      <c r="K329" s="884"/>
      <c r="L329" s="884"/>
      <c r="M329" s="68"/>
    </row>
    <row r="330" spans="1:13" s="64" customFormat="1">
      <c r="A330" s="10"/>
      <c r="B330" s="111"/>
      <c r="C330" s="68"/>
      <c r="D330" s="669"/>
      <c r="E330" s="112"/>
      <c r="F330" s="670"/>
      <c r="G330" s="671"/>
      <c r="H330" s="603"/>
      <c r="I330" s="882"/>
      <c r="J330" s="883"/>
      <c r="K330" s="884"/>
      <c r="L330" s="884"/>
      <c r="M330" s="68"/>
    </row>
    <row r="331" spans="1:13" s="64" customFormat="1">
      <c r="A331" s="10"/>
      <c r="B331" s="111"/>
      <c r="C331" s="68"/>
      <c r="D331" s="669"/>
      <c r="E331" s="112"/>
      <c r="F331" s="670"/>
      <c r="G331" s="671"/>
      <c r="H331" s="603"/>
      <c r="I331" s="882"/>
      <c r="J331" s="883"/>
      <c r="K331" s="884"/>
      <c r="L331" s="884"/>
      <c r="M331" s="68"/>
    </row>
    <row r="332" spans="1:13" s="64" customFormat="1">
      <c r="A332" s="10"/>
      <c r="B332" s="111"/>
      <c r="C332" s="68"/>
      <c r="D332" s="669"/>
      <c r="E332" s="112"/>
      <c r="F332" s="670"/>
      <c r="G332" s="671"/>
      <c r="H332" s="603"/>
      <c r="I332" s="882"/>
      <c r="J332" s="883"/>
      <c r="K332" s="884"/>
      <c r="L332" s="884"/>
      <c r="M332" s="68"/>
    </row>
    <row r="333" spans="1:13" s="64" customFormat="1">
      <c r="A333" s="10"/>
      <c r="B333" s="111"/>
      <c r="C333" s="68"/>
      <c r="D333" s="669"/>
      <c r="E333" s="112"/>
      <c r="F333" s="670"/>
      <c r="G333" s="671"/>
      <c r="H333" s="603"/>
      <c r="I333" s="882"/>
      <c r="J333" s="883"/>
      <c r="K333" s="884"/>
      <c r="L333" s="884"/>
      <c r="M333" s="68"/>
    </row>
    <row r="334" spans="1:13" s="64" customFormat="1">
      <c r="A334" s="10"/>
      <c r="B334" s="111"/>
      <c r="C334" s="68"/>
      <c r="D334" s="669"/>
      <c r="E334" s="112"/>
      <c r="F334" s="670"/>
      <c r="G334" s="671"/>
      <c r="H334" s="603"/>
      <c r="I334" s="882"/>
      <c r="J334" s="883"/>
      <c r="K334" s="884"/>
      <c r="L334" s="884"/>
      <c r="M334" s="68"/>
    </row>
    <row r="335" spans="1:13" s="64" customFormat="1">
      <c r="A335" s="10"/>
      <c r="B335" s="111"/>
      <c r="C335" s="68"/>
      <c r="D335" s="669"/>
      <c r="E335" s="112"/>
      <c r="F335" s="670"/>
      <c r="G335" s="671"/>
      <c r="H335" s="603"/>
      <c r="I335" s="882"/>
      <c r="J335" s="883"/>
      <c r="K335" s="884"/>
      <c r="L335" s="884"/>
      <c r="M335" s="68"/>
    </row>
    <row r="336" spans="1:13" s="64" customFormat="1">
      <c r="A336" s="10"/>
      <c r="B336" s="111"/>
      <c r="C336" s="68"/>
      <c r="D336" s="669"/>
      <c r="E336" s="112"/>
      <c r="F336" s="670"/>
      <c r="G336" s="671"/>
      <c r="H336" s="603"/>
      <c r="I336" s="882"/>
      <c r="J336" s="883"/>
      <c r="K336" s="884"/>
      <c r="L336" s="884"/>
      <c r="M336" s="68"/>
    </row>
    <row r="337" spans="1:13" s="64" customFormat="1">
      <c r="A337" s="10"/>
      <c r="B337" s="111"/>
      <c r="C337" s="68"/>
      <c r="D337" s="669"/>
      <c r="E337" s="112"/>
      <c r="F337" s="670"/>
      <c r="G337" s="671"/>
      <c r="H337" s="603"/>
      <c r="I337" s="882"/>
      <c r="J337" s="883"/>
      <c r="K337" s="884"/>
      <c r="L337" s="884"/>
      <c r="M337" s="68"/>
    </row>
    <row r="338" spans="1:13" s="64" customFormat="1">
      <c r="A338" s="10"/>
      <c r="B338" s="111"/>
      <c r="C338" s="68"/>
      <c r="D338" s="669"/>
      <c r="E338" s="112"/>
      <c r="F338" s="670"/>
      <c r="G338" s="671"/>
      <c r="H338" s="603"/>
      <c r="I338" s="882"/>
      <c r="J338" s="883"/>
      <c r="K338" s="884"/>
      <c r="L338" s="884"/>
      <c r="M338" s="68"/>
    </row>
    <row r="339" spans="1:13" s="64" customFormat="1">
      <c r="A339" s="10"/>
      <c r="B339" s="111"/>
      <c r="C339" s="68"/>
      <c r="D339" s="669"/>
      <c r="E339" s="112"/>
      <c r="F339" s="670"/>
      <c r="G339" s="671"/>
      <c r="H339" s="603"/>
      <c r="I339" s="882"/>
      <c r="J339" s="883"/>
      <c r="K339" s="884"/>
      <c r="L339" s="884"/>
      <c r="M339" s="68"/>
    </row>
    <row r="340" spans="1:13" s="64" customFormat="1">
      <c r="A340" s="10"/>
      <c r="B340" s="111"/>
      <c r="C340" s="68"/>
      <c r="D340" s="669"/>
      <c r="E340" s="112"/>
      <c r="F340" s="670"/>
      <c r="G340" s="671"/>
      <c r="H340" s="603"/>
      <c r="I340" s="882"/>
      <c r="J340" s="883"/>
      <c r="K340" s="884"/>
      <c r="L340" s="884"/>
      <c r="M340" s="68"/>
    </row>
    <row r="341" spans="1:13" s="64" customFormat="1">
      <c r="A341" s="10"/>
      <c r="B341" s="111"/>
      <c r="C341" s="68"/>
      <c r="D341" s="669"/>
      <c r="E341" s="112"/>
      <c r="F341" s="670"/>
      <c r="G341" s="671"/>
      <c r="H341" s="603"/>
      <c r="I341" s="882"/>
      <c r="J341" s="883"/>
      <c r="K341" s="884"/>
      <c r="L341" s="884"/>
      <c r="M341" s="68"/>
    </row>
    <row r="342" spans="1:13" s="64" customFormat="1">
      <c r="A342" s="10"/>
      <c r="B342" s="111"/>
      <c r="C342" s="68"/>
      <c r="D342" s="374"/>
      <c r="E342" s="112"/>
      <c r="F342" s="112"/>
      <c r="G342" s="68"/>
      <c r="H342" s="603"/>
      <c r="I342" s="882"/>
      <c r="J342" s="883"/>
      <c r="K342" s="884"/>
      <c r="L342" s="884"/>
      <c r="M342" s="68"/>
    </row>
    <row r="343" spans="1:13" s="64" customFormat="1">
      <c r="A343" s="10"/>
      <c r="B343" s="111"/>
      <c r="C343" s="68"/>
      <c r="D343" s="374"/>
      <c r="E343" s="112"/>
      <c r="F343" s="112"/>
      <c r="G343" s="68"/>
      <c r="H343" s="603"/>
      <c r="I343" s="882"/>
      <c r="J343" s="883"/>
      <c r="K343" s="884"/>
      <c r="L343" s="884"/>
      <c r="M343" s="68"/>
    </row>
    <row r="344" spans="1:13" s="64" customFormat="1">
      <c r="A344" s="10"/>
      <c r="B344" s="111"/>
      <c r="C344" s="68"/>
      <c r="D344" s="374"/>
      <c r="E344" s="112"/>
      <c r="F344" s="112"/>
      <c r="G344" s="68"/>
      <c r="H344" s="603"/>
      <c r="I344" s="882"/>
      <c r="J344" s="883"/>
      <c r="K344" s="884"/>
      <c r="L344" s="884"/>
      <c r="M344" s="68"/>
    </row>
    <row r="345" spans="1:13" s="64" customFormat="1">
      <c r="A345" s="10"/>
      <c r="B345" s="111"/>
      <c r="C345" s="68"/>
      <c r="D345" s="374"/>
      <c r="E345" s="112"/>
      <c r="F345" s="112"/>
      <c r="G345" s="68"/>
      <c r="H345" s="603"/>
      <c r="I345" s="882"/>
      <c r="J345" s="883"/>
      <c r="K345" s="884"/>
      <c r="L345" s="884"/>
      <c r="M345" s="68"/>
    </row>
    <row r="346" spans="1:13" s="64" customFormat="1">
      <c r="A346" s="10"/>
      <c r="B346" s="111"/>
      <c r="C346" s="68"/>
      <c r="D346" s="374"/>
      <c r="E346" s="112"/>
      <c r="F346" s="112"/>
      <c r="G346" s="68"/>
      <c r="H346" s="603"/>
      <c r="I346" s="882"/>
      <c r="J346" s="883"/>
      <c r="K346" s="884"/>
      <c r="L346" s="884"/>
      <c r="M346" s="68"/>
    </row>
    <row r="347" spans="1:13" s="64" customFormat="1">
      <c r="A347" s="10"/>
      <c r="B347" s="111"/>
      <c r="C347" s="68"/>
      <c r="D347" s="374"/>
      <c r="E347" s="112"/>
      <c r="F347" s="112"/>
      <c r="G347" s="68"/>
      <c r="H347" s="603"/>
      <c r="I347" s="882"/>
      <c r="J347" s="883"/>
      <c r="K347" s="884"/>
      <c r="L347" s="884"/>
      <c r="M347" s="68"/>
    </row>
    <row r="348" spans="1:13" s="64" customFormat="1">
      <c r="A348" s="10"/>
      <c r="B348" s="111"/>
      <c r="C348" s="68"/>
      <c r="D348" s="374"/>
      <c r="E348" s="112"/>
      <c r="F348" s="112"/>
      <c r="G348" s="68"/>
      <c r="H348" s="603"/>
      <c r="I348" s="882"/>
      <c r="J348" s="883"/>
      <c r="K348" s="884"/>
      <c r="L348" s="884"/>
      <c r="M348" s="68"/>
    </row>
    <row r="349" spans="1:13" s="64" customFormat="1">
      <c r="A349" s="10"/>
      <c r="B349" s="111"/>
      <c r="C349" s="68"/>
      <c r="D349" s="374"/>
      <c r="E349" s="112"/>
      <c r="F349" s="112"/>
      <c r="G349" s="68"/>
      <c r="H349" s="603"/>
      <c r="I349" s="882"/>
      <c r="J349" s="883"/>
      <c r="K349" s="884"/>
      <c r="L349" s="884"/>
      <c r="M349" s="68"/>
    </row>
    <row r="350" spans="1:13" s="64" customFormat="1">
      <c r="A350" s="10"/>
      <c r="B350" s="111"/>
      <c r="C350" s="68"/>
      <c r="D350" s="374"/>
      <c r="E350" s="112"/>
      <c r="F350" s="112"/>
      <c r="G350" s="68"/>
      <c r="H350" s="603"/>
      <c r="I350" s="882"/>
      <c r="J350" s="883"/>
      <c r="K350" s="884"/>
      <c r="L350" s="884"/>
      <c r="M350" s="68"/>
    </row>
    <row r="351" spans="1:13" s="64" customFormat="1">
      <c r="A351" s="10"/>
      <c r="B351" s="111"/>
      <c r="C351" s="68"/>
      <c r="D351" s="374"/>
      <c r="E351" s="112"/>
      <c r="F351" s="112"/>
      <c r="G351" s="68"/>
      <c r="H351" s="603"/>
      <c r="I351" s="882"/>
      <c r="J351" s="883"/>
      <c r="K351" s="884"/>
      <c r="L351" s="884"/>
      <c r="M351" s="68"/>
    </row>
    <row r="352" spans="1:13" s="64" customFormat="1">
      <c r="A352" s="10"/>
      <c r="B352" s="111"/>
      <c r="C352" s="68"/>
      <c r="D352" s="374"/>
      <c r="E352" s="112"/>
      <c r="F352" s="112"/>
      <c r="G352" s="68"/>
      <c r="H352" s="603"/>
      <c r="I352" s="882"/>
      <c r="J352" s="883"/>
      <c r="K352" s="884"/>
      <c r="L352" s="884"/>
      <c r="M352" s="68"/>
    </row>
    <row r="353" spans="1:13" s="64" customFormat="1">
      <c r="A353" s="10"/>
      <c r="B353" s="111"/>
      <c r="C353" s="68"/>
      <c r="D353" s="374"/>
      <c r="E353" s="112"/>
      <c r="F353" s="112"/>
      <c r="G353" s="68"/>
      <c r="H353" s="603"/>
      <c r="I353" s="882"/>
      <c r="J353" s="883"/>
      <c r="K353" s="884"/>
      <c r="L353" s="884"/>
      <c r="M353" s="68"/>
    </row>
    <row r="354" spans="1:13" s="64" customFormat="1">
      <c r="A354" s="10"/>
      <c r="B354" s="111"/>
      <c r="C354" s="68"/>
      <c r="D354" s="374"/>
      <c r="E354" s="112"/>
      <c r="F354" s="112"/>
      <c r="G354" s="68"/>
      <c r="H354" s="603"/>
      <c r="I354" s="882"/>
      <c r="J354" s="883"/>
      <c r="K354" s="884"/>
      <c r="L354" s="884"/>
      <c r="M354" s="68"/>
    </row>
    <row r="355" spans="1:13" s="64" customFormat="1">
      <c r="A355" s="10"/>
      <c r="B355" s="111"/>
      <c r="C355" s="68"/>
      <c r="D355" s="374"/>
      <c r="E355" s="112"/>
      <c r="F355" s="112"/>
      <c r="G355" s="68"/>
      <c r="H355" s="603"/>
      <c r="I355" s="882"/>
      <c r="J355" s="883"/>
      <c r="K355" s="884"/>
      <c r="L355" s="884"/>
      <c r="M355" s="68"/>
    </row>
    <row r="356" spans="1:13" s="64" customFormat="1">
      <c r="A356" s="10"/>
      <c r="B356" s="111"/>
      <c r="C356" s="68"/>
      <c r="D356" s="374"/>
      <c r="E356" s="112"/>
      <c r="F356" s="112"/>
      <c r="G356" s="68"/>
      <c r="H356" s="603"/>
      <c r="I356" s="882"/>
      <c r="J356" s="883"/>
      <c r="K356" s="884"/>
      <c r="L356" s="884"/>
      <c r="M356" s="68"/>
    </row>
    <row r="357" spans="1:13" s="64" customFormat="1">
      <c r="A357" s="10"/>
      <c r="B357" s="111"/>
      <c r="C357" s="68"/>
      <c r="D357" s="374"/>
      <c r="E357" s="112"/>
      <c r="F357" s="112"/>
      <c r="G357" s="68"/>
      <c r="H357" s="603"/>
      <c r="I357" s="882"/>
      <c r="J357" s="883"/>
      <c r="K357" s="884"/>
      <c r="L357" s="884"/>
      <c r="M357" s="68"/>
    </row>
    <row r="358" spans="1:13" s="64" customFormat="1">
      <c r="A358" s="10"/>
      <c r="B358" s="111"/>
      <c r="C358" s="68"/>
      <c r="D358" s="374"/>
      <c r="E358" s="112"/>
      <c r="F358" s="112"/>
      <c r="G358" s="68"/>
      <c r="H358" s="603"/>
      <c r="I358" s="882"/>
      <c r="J358" s="883"/>
      <c r="K358" s="884"/>
      <c r="L358" s="884"/>
      <c r="M358" s="68"/>
    </row>
    <row r="359" spans="1:13" s="64" customFormat="1">
      <c r="A359" s="10"/>
      <c r="B359" s="111"/>
      <c r="C359" s="68"/>
      <c r="D359" s="374"/>
      <c r="E359" s="112"/>
      <c r="F359" s="112"/>
      <c r="G359" s="68"/>
      <c r="H359" s="603"/>
      <c r="I359" s="882"/>
      <c r="J359" s="883"/>
      <c r="K359" s="884"/>
      <c r="L359" s="884"/>
      <c r="M359" s="68"/>
    </row>
    <row r="360" spans="1:13" s="64" customFormat="1">
      <c r="A360" s="10"/>
      <c r="B360" s="111"/>
      <c r="C360" s="68"/>
      <c r="D360" s="374"/>
      <c r="E360" s="112"/>
      <c r="F360" s="112"/>
      <c r="G360" s="68"/>
      <c r="H360" s="603"/>
      <c r="I360" s="882"/>
      <c r="J360" s="883"/>
      <c r="K360" s="884"/>
      <c r="L360" s="884"/>
      <c r="M360" s="68"/>
    </row>
    <row r="361" spans="1:13" s="64" customFormat="1">
      <c r="A361" s="10"/>
      <c r="B361" s="111"/>
      <c r="C361" s="68"/>
      <c r="D361" s="374"/>
      <c r="E361" s="112"/>
      <c r="F361" s="112"/>
      <c r="G361" s="68"/>
      <c r="H361" s="603"/>
      <c r="I361" s="882"/>
      <c r="J361" s="883"/>
      <c r="K361" s="884"/>
      <c r="L361" s="884"/>
      <c r="M361" s="68"/>
    </row>
    <row r="362" spans="1:13" s="64" customFormat="1">
      <c r="A362" s="10"/>
      <c r="B362" s="111"/>
      <c r="C362" s="68"/>
      <c r="D362" s="374"/>
      <c r="E362" s="112"/>
      <c r="F362" s="112"/>
      <c r="G362" s="68"/>
      <c r="H362" s="603"/>
      <c r="I362" s="882"/>
      <c r="J362" s="883"/>
      <c r="K362" s="884"/>
      <c r="L362" s="884"/>
      <c r="M362" s="68"/>
    </row>
    <row r="363" spans="1:13" s="64" customFormat="1">
      <c r="A363" s="10"/>
      <c r="B363" s="111"/>
      <c r="C363" s="68"/>
      <c r="D363" s="374"/>
      <c r="E363" s="112"/>
      <c r="F363" s="112"/>
      <c r="G363" s="68"/>
      <c r="H363" s="603"/>
      <c r="I363" s="882"/>
      <c r="J363" s="883"/>
      <c r="K363" s="884"/>
      <c r="L363" s="884"/>
      <c r="M363" s="68"/>
    </row>
    <row r="364" spans="1:13" s="64" customFormat="1">
      <c r="A364" s="10"/>
      <c r="B364" s="111"/>
      <c r="C364" s="68"/>
      <c r="D364" s="374"/>
      <c r="E364" s="112"/>
      <c r="F364" s="112"/>
      <c r="G364" s="68"/>
      <c r="H364" s="603"/>
      <c r="I364" s="882"/>
      <c r="J364" s="883"/>
      <c r="K364" s="884"/>
      <c r="L364" s="884"/>
      <c r="M364" s="68"/>
    </row>
    <row r="365" spans="1:13" s="64" customFormat="1">
      <c r="A365" s="10"/>
      <c r="B365" s="111"/>
      <c r="C365" s="68"/>
      <c r="D365" s="374"/>
      <c r="E365" s="112"/>
      <c r="F365" s="112"/>
      <c r="G365" s="68"/>
      <c r="H365" s="603"/>
      <c r="I365" s="882"/>
      <c r="J365" s="883"/>
      <c r="K365" s="884"/>
      <c r="L365" s="884"/>
      <c r="M365" s="68"/>
    </row>
    <row r="366" spans="1:13" s="64" customFormat="1">
      <c r="A366" s="10"/>
      <c r="B366" s="111"/>
      <c r="C366" s="68"/>
      <c r="D366" s="374"/>
      <c r="E366" s="112"/>
      <c r="F366" s="112"/>
      <c r="G366" s="68"/>
      <c r="H366" s="603"/>
      <c r="I366" s="882"/>
      <c r="J366" s="883"/>
      <c r="K366" s="884"/>
      <c r="L366" s="884"/>
      <c r="M366" s="68"/>
    </row>
    <row r="367" spans="1:13" s="64" customFormat="1">
      <c r="A367" s="10"/>
      <c r="B367" s="111"/>
      <c r="C367" s="68"/>
      <c r="D367" s="374"/>
      <c r="E367" s="112"/>
      <c r="F367" s="112"/>
      <c r="G367" s="68"/>
      <c r="H367" s="603"/>
      <c r="I367" s="882"/>
      <c r="J367" s="883"/>
      <c r="K367" s="884"/>
      <c r="L367" s="884"/>
      <c r="M367" s="68"/>
    </row>
    <row r="368" spans="1:13" s="64" customFormat="1">
      <c r="A368" s="10"/>
      <c r="B368" s="111"/>
      <c r="C368" s="68"/>
      <c r="D368" s="374"/>
      <c r="E368" s="112"/>
      <c r="F368" s="112"/>
      <c r="G368" s="68"/>
      <c r="H368" s="603"/>
      <c r="I368" s="882"/>
      <c r="J368" s="883"/>
      <c r="K368" s="884"/>
      <c r="L368" s="884"/>
      <c r="M368" s="68"/>
    </row>
    <row r="369" spans="1:13" s="64" customFormat="1">
      <c r="A369" s="10"/>
      <c r="B369" s="111"/>
      <c r="C369" s="68"/>
      <c r="D369" s="374"/>
      <c r="E369" s="112"/>
      <c r="F369" s="112"/>
      <c r="G369" s="68"/>
      <c r="H369" s="603"/>
      <c r="I369" s="882"/>
      <c r="J369" s="883"/>
      <c r="K369" s="884"/>
      <c r="L369" s="884"/>
      <c r="M369" s="68"/>
    </row>
    <row r="370" spans="1:13" s="64" customFormat="1">
      <c r="A370" s="10"/>
      <c r="B370" s="111"/>
      <c r="C370" s="68"/>
      <c r="D370" s="374"/>
      <c r="E370" s="112"/>
      <c r="F370" s="112"/>
      <c r="G370" s="68"/>
      <c r="H370" s="603"/>
      <c r="I370" s="882"/>
      <c r="J370" s="883"/>
      <c r="K370" s="884"/>
      <c r="L370" s="884"/>
      <c r="M370" s="68"/>
    </row>
    <row r="371" spans="1:13" s="64" customFormat="1">
      <c r="A371" s="10"/>
      <c r="B371" s="111"/>
      <c r="C371" s="68"/>
      <c r="D371" s="374"/>
      <c r="E371" s="112"/>
      <c r="F371" s="112"/>
      <c r="G371" s="68"/>
      <c r="H371" s="603"/>
      <c r="I371" s="882"/>
      <c r="J371" s="883"/>
      <c r="K371" s="884"/>
      <c r="L371" s="884"/>
      <c r="M371" s="68"/>
    </row>
    <row r="372" spans="1:13" s="64" customFormat="1">
      <c r="A372" s="10"/>
      <c r="B372" s="111"/>
      <c r="C372" s="68"/>
      <c r="D372" s="374"/>
      <c r="E372" s="112"/>
      <c r="F372" s="112"/>
      <c r="G372" s="68"/>
      <c r="H372" s="603"/>
      <c r="I372" s="882"/>
      <c r="J372" s="883"/>
      <c r="K372" s="884"/>
      <c r="L372" s="884"/>
      <c r="M372" s="68"/>
    </row>
    <row r="373" spans="1:13" s="64" customFormat="1">
      <c r="A373" s="10"/>
      <c r="B373" s="111"/>
      <c r="C373" s="68"/>
      <c r="D373" s="374"/>
      <c r="E373" s="112"/>
      <c r="F373" s="112"/>
      <c r="G373" s="68"/>
      <c r="H373" s="603"/>
      <c r="I373" s="882"/>
      <c r="J373" s="883"/>
      <c r="K373" s="884"/>
      <c r="L373" s="884"/>
      <c r="M373" s="68"/>
    </row>
    <row r="374" spans="1:13" s="64" customFormat="1">
      <c r="A374" s="10"/>
      <c r="B374" s="111"/>
      <c r="C374" s="68"/>
      <c r="D374" s="374"/>
      <c r="E374" s="112"/>
      <c r="F374" s="112"/>
      <c r="G374" s="68"/>
      <c r="H374" s="603"/>
      <c r="I374" s="882"/>
      <c r="J374" s="883"/>
      <c r="K374" s="884"/>
      <c r="L374" s="884"/>
      <c r="M374" s="68"/>
    </row>
    <row r="375" spans="1:13" s="64" customFormat="1">
      <c r="A375" s="10"/>
      <c r="B375" s="111"/>
      <c r="C375" s="68"/>
      <c r="D375" s="374"/>
      <c r="E375" s="112"/>
      <c r="F375" s="112"/>
      <c r="G375" s="68"/>
      <c r="H375" s="603"/>
      <c r="I375" s="882"/>
      <c r="J375" s="883"/>
      <c r="K375" s="884"/>
      <c r="L375" s="884"/>
      <c r="M375" s="68"/>
    </row>
    <row r="376" spans="1:13" s="64" customFormat="1">
      <c r="A376" s="10"/>
      <c r="B376" s="111"/>
      <c r="C376" s="68"/>
      <c r="D376" s="374"/>
      <c r="E376" s="112"/>
      <c r="F376" s="112"/>
      <c r="G376" s="68"/>
      <c r="H376" s="603"/>
      <c r="I376" s="882"/>
      <c r="J376" s="883"/>
      <c r="K376" s="884"/>
      <c r="L376" s="884"/>
      <c r="M376" s="68"/>
    </row>
    <row r="377" spans="1:13" s="64" customFormat="1">
      <c r="A377" s="10"/>
      <c r="B377" s="111"/>
      <c r="C377" s="68"/>
      <c r="D377" s="374"/>
      <c r="E377" s="112"/>
      <c r="F377" s="112"/>
      <c r="G377" s="68"/>
      <c r="H377" s="603"/>
      <c r="I377" s="882"/>
      <c r="J377" s="883"/>
      <c r="K377" s="884"/>
      <c r="L377" s="884"/>
      <c r="M377" s="68"/>
    </row>
    <row r="378" spans="1:13" s="64" customFormat="1">
      <c r="A378" s="10"/>
      <c r="B378" s="111"/>
      <c r="C378" s="68"/>
      <c r="D378" s="374"/>
      <c r="E378" s="112"/>
      <c r="F378" s="112"/>
      <c r="G378" s="68"/>
      <c r="H378" s="603"/>
      <c r="I378" s="882"/>
      <c r="J378" s="883"/>
      <c r="K378" s="884"/>
      <c r="L378" s="884"/>
      <c r="M378" s="68"/>
    </row>
    <row r="379" spans="1:13" s="64" customFormat="1">
      <c r="A379" s="10"/>
      <c r="B379" s="111"/>
      <c r="C379" s="68"/>
      <c r="D379" s="374"/>
      <c r="E379" s="112"/>
      <c r="F379" s="112"/>
      <c r="G379" s="68"/>
      <c r="H379" s="603"/>
      <c r="I379" s="882"/>
      <c r="J379" s="883"/>
      <c r="K379" s="884"/>
      <c r="L379" s="884"/>
      <c r="M379" s="68"/>
    </row>
    <row r="380" spans="1:13" s="64" customFormat="1">
      <c r="A380" s="10"/>
      <c r="B380" s="111"/>
      <c r="C380" s="68"/>
      <c r="D380" s="374"/>
      <c r="E380" s="112"/>
      <c r="F380" s="112"/>
      <c r="G380" s="68"/>
      <c r="H380" s="603"/>
      <c r="I380" s="882"/>
      <c r="J380" s="883"/>
      <c r="K380" s="884"/>
      <c r="L380" s="884"/>
      <c r="M380" s="68"/>
    </row>
    <row r="381" spans="1:13" s="64" customFormat="1">
      <c r="A381" s="10"/>
      <c r="B381" s="111"/>
      <c r="C381" s="68"/>
      <c r="D381" s="374"/>
      <c r="E381" s="112"/>
      <c r="F381" s="112"/>
      <c r="G381" s="68"/>
      <c r="H381" s="603"/>
      <c r="I381" s="882"/>
      <c r="J381" s="883"/>
      <c r="K381" s="884"/>
      <c r="L381" s="884"/>
      <c r="M381" s="68"/>
    </row>
    <row r="382" spans="1:13" s="64" customFormat="1">
      <c r="A382" s="10"/>
      <c r="B382" s="111"/>
      <c r="C382" s="68"/>
      <c r="D382" s="374"/>
      <c r="E382" s="112"/>
      <c r="F382" s="112"/>
      <c r="G382" s="68"/>
      <c r="H382" s="603"/>
      <c r="I382" s="882"/>
      <c r="J382" s="883"/>
      <c r="K382" s="884"/>
      <c r="L382" s="884"/>
      <c r="M382" s="68"/>
    </row>
    <row r="383" spans="1:13" s="64" customFormat="1">
      <c r="A383" s="10"/>
      <c r="B383" s="111"/>
      <c r="C383" s="68"/>
      <c r="D383" s="374"/>
      <c r="E383" s="112"/>
      <c r="F383" s="112"/>
      <c r="G383" s="68"/>
      <c r="H383" s="603"/>
      <c r="I383" s="882"/>
      <c r="J383" s="883"/>
      <c r="K383" s="884"/>
      <c r="L383" s="884"/>
      <c r="M383" s="68"/>
    </row>
    <row r="384" spans="1:13" s="64" customFormat="1">
      <c r="A384" s="10"/>
      <c r="B384" s="111"/>
      <c r="C384" s="68"/>
      <c r="D384" s="374"/>
      <c r="E384" s="112"/>
      <c r="F384" s="112"/>
      <c r="G384" s="68"/>
      <c r="H384" s="603"/>
      <c r="I384" s="882"/>
      <c r="J384" s="883"/>
      <c r="K384" s="884"/>
      <c r="L384" s="884"/>
      <c r="M384" s="68"/>
    </row>
    <row r="385" spans="1:13" s="64" customFormat="1">
      <c r="A385" s="10"/>
      <c r="B385" s="111"/>
      <c r="C385" s="68"/>
      <c r="D385" s="374"/>
      <c r="E385" s="112"/>
      <c r="F385" s="112"/>
      <c r="G385" s="68"/>
      <c r="H385" s="603"/>
      <c r="I385" s="882"/>
      <c r="J385" s="883"/>
      <c r="K385" s="884"/>
      <c r="L385" s="884"/>
      <c r="M385" s="68"/>
    </row>
    <row r="386" spans="1:13" s="64" customFormat="1">
      <c r="A386" s="10"/>
      <c r="B386" s="111"/>
      <c r="C386" s="68"/>
      <c r="D386" s="374"/>
      <c r="E386" s="112"/>
      <c r="F386" s="112"/>
      <c r="G386" s="68"/>
      <c r="H386" s="603"/>
      <c r="I386" s="882"/>
      <c r="J386" s="883"/>
      <c r="K386" s="884"/>
      <c r="L386" s="884"/>
      <c r="M386" s="68"/>
    </row>
    <row r="387" spans="1:13" s="64" customFormat="1">
      <c r="A387" s="10"/>
      <c r="B387" s="111"/>
      <c r="C387" s="68"/>
      <c r="D387" s="374"/>
      <c r="E387" s="112"/>
      <c r="F387" s="112"/>
      <c r="G387" s="68"/>
      <c r="H387" s="603"/>
      <c r="I387" s="882"/>
      <c r="J387" s="883"/>
      <c r="K387" s="884"/>
      <c r="L387" s="884"/>
      <c r="M387" s="68"/>
    </row>
    <row r="388" spans="1:13" s="64" customFormat="1">
      <c r="A388" s="10"/>
      <c r="B388" s="111"/>
      <c r="C388" s="68"/>
      <c r="D388" s="374"/>
      <c r="E388" s="112"/>
      <c r="F388" s="112"/>
      <c r="G388" s="68"/>
      <c r="H388" s="603"/>
      <c r="I388" s="882"/>
      <c r="J388" s="883"/>
      <c r="K388" s="884"/>
      <c r="L388" s="884"/>
      <c r="M388" s="68"/>
    </row>
    <row r="389" spans="1:13" s="64" customFormat="1">
      <c r="A389" s="10"/>
      <c r="B389" s="111"/>
      <c r="C389" s="68"/>
      <c r="D389" s="374"/>
      <c r="E389" s="112"/>
      <c r="F389" s="112"/>
      <c r="G389" s="68"/>
      <c r="H389" s="603"/>
      <c r="I389" s="882"/>
      <c r="J389" s="883"/>
      <c r="K389" s="884"/>
      <c r="L389" s="884"/>
      <c r="M389" s="68"/>
    </row>
    <row r="390" spans="1:13" s="64" customFormat="1">
      <c r="A390" s="10"/>
      <c r="B390" s="111"/>
      <c r="C390" s="68"/>
      <c r="D390" s="374"/>
      <c r="E390" s="112"/>
      <c r="F390" s="112"/>
      <c r="G390" s="68"/>
      <c r="H390" s="603"/>
      <c r="I390" s="882"/>
      <c r="J390" s="883"/>
      <c r="K390" s="884"/>
      <c r="L390" s="884"/>
      <c r="M390" s="68"/>
    </row>
    <row r="391" spans="1:13" s="64" customFormat="1">
      <c r="A391" s="10"/>
      <c r="B391" s="111"/>
      <c r="C391" s="68"/>
      <c r="D391" s="374"/>
      <c r="E391" s="112"/>
      <c r="F391" s="112"/>
      <c r="G391" s="68"/>
      <c r="H391" s="603"/>
      <c r="I391" s="882"/>
      <c r="J391" s="883"/>
      <c r="K391" s="884"/>
      <c r="L391" s="884"/>
      <c r="M391" s="68"/>
    </row>
    <row r="392" spans="1:13" s="64" customFormat="1">
      <c r="A392" s="10"/>
      <c r="B392" s="111"/>
      <c r="C392" s="68"/>
      <c r="D392" s="374"/>
      <c r="E392" s="112"/>
      <c r="F392" s="112"/>
      <c r="G392" s="68"/>
      <c r="H392" s="603"/>
      <c r="I392" s="882"/>
      <c r="J392" s="883"/>
      <c r="K392" s="884"/>
      <c r="L392" s="884"/>
      <c r="M392" s="68"/>
    </row>
    <row r="393" spans="1:13" s="64" customFormat="1">
      <c r="A393" s="10"/>
      <c r="B393" s="111"/>
      <c r="C393" s="68"/>
      <c r="D393" s="374"/>
      <c r="E393" s="112"/>
      <c r="F393" s="112"/>
      <c r="G393" s="68"/>
      <c r="H393" s="603"/>
      <c r="I393" s="882"/>
      <c r="J393" s="883"/>
      <c r="K393" s="884"/>
      <c r="L393" s="884"/>
      <c r="M393" s="68"/>
    </row>
    <row r="394" spans="1:13" s="64" customFormat="1">
      <c r="A394" s="10"/>
      <c r="B394" s="111"/>
      <c r="C394" s="68"/>
      <c r="D394" s="374"/>
      <c r="E394" s="112"/>
      <c r="F394" s="112"/>
      <c r="G394" s="68"/>
      <c r="H394" s="603"/>
      <c r="I394" s="882"/>
      <c r="J394" s="883"/>
      <c r="K394" s="884"/>
      <c r="L394" s="884"/>
      <c r="M394" s="68"/>
    </row>
    <row r="395" spans="1:13" s="64" customFormat="1">
      <c r="A395" s="10"/>
      <c r="B395" s="111"/>
      <c r="C395" s="68"/>
      <c r="D395" s="374"/>
      <c r="E395" s="112"/>
      <c r="F395" s="112"/>
      <c r="G395" s="68"/>
      <c r="H395" s="603"/>
      <c r="I395" s="882"/>
      <c r="J395" s="883"/>
      <c r="K395" s="884"/>
      <c r="L395" s="884"/>
      <c r="M395" s="68"/>
    </row>
    <row r="396" spans="1:13" s="64" customFormat="1">
      <c r="A396" s="10"/>
      <c r="B396" s="111"/>
      <c r="C396" s="68"/>
      <c r="D396" s="374"/>
      <c r="E396" s="112"/>
      <c r="F396" s="112"/>
      <c r="G396" s="68"/>
      <c r="H396" s="603"/>
      <c r="I396" s="882"/>
      <c r="J396" s="883"/>
      <c r="K396" s="884"/>
      <c r="L396" s="884"/>
      <c r="M396" s="68"/>
    </row>
    <row r="397" spans="1:13" s="64" customFormat="1">
      <c r="A397" s="10"/>
      <c r="B397" s="111"/>
      <c r="C397" s="68"/>
      <c r="D397" s="374"/>
      <c r="E397" s="112"/>
      <c r="F397" s="112"/>
      <c r="G397" s="68"/>
      <c r="H397" s="603"/>
      <c r="I397" s="882"/>
      <c r="J397" s="883"/>
      <c r="K397" s="884"/>
      <c r="L397" s="884"/>
      <c r="M397" s="68"/>
    </row>
    <row r="398" spans="1:13" s="64" customFormat="1">
      <c r="A398" s="10"/>
      <c r="B398" s="111"/>
      <c r="C398" s="68"/>
      <c r="D398" s="374"/>
      <c r="E398" s="112"/>
      <c r="F398" s="112"/>
      <c r="G398" s="68"/>
      <c r="H398" s="603"/>
      <c r="I398" s="882"/>
      <c r="J398" s="883"/>
      <c r="K398" s="884"/>
      <c r="L398" s="884"/>
      <c r="M398" s="68"/>
    </row>
    <row r="399" spans="1:13" s="64" customFormat="1">
      <c r="A399" s="10"/>
      <c r="B399" s="111"/>
      <c r="C399" s="68"/>
      <c r="D399" s="374"/>
      <c r="E399" s="112"/>
      <c r="F399" s="112"/>
      <c r="G399" s="68"/>
      <c r="H399" s="603"/>
      <c r="I399" s="882"/>
      <c r="J399" s="883"/>
      <c r="K399" s="884"/>
      <c r="L399" s="884"/>
      <c r="M399" s="68"/>
    </row>
    <row r="400" spans="1:13" s="64" customFormat="1">
      <c r="A400" s="10"/>
      <c r="B400" s="111"/>
      <c r="C400" s="68"/>
      <c r="D400" s="374"/>
      <c r="E400" s="112"/>
      <c r="F400" s="112"/>
      <c r="G400" s="68"/>
      <c r="H400" s="603"/>
      <c r="I400" s="882"/>
      <c r="J400" s="883"/>
      <c r="K400" s="884"/>
      <c r="L400" s="884"/>
      <c r="M400" s="68"/>
    </row>
    <row r="401" spans="1:13" s="64" customFormat="1">
      <c r="A401" s="10"/>
      <c r="B401" s="111"/>
      <c r="C401" s="68"/>
      <c r="D401" s="374"/>
      <c r="E401" s="112"/>
      <c r="F401" s="112"/>
      <c r="G401" s="68"/>
      <c r="H401" s="603"/>
      <c r="I401" s="882"/>
      <c r="J401" s="883"/>
      <c r="K401" s="884"/>
      <c r="L401" s="884"/>
      <c r="M401" s="68"/>
    </row>
    <row r="402" spans="1:13" s="64" customFormat="1">
      <c r="A402" s="10"/>
      <c r="B402" s="111"/>
      <c r="C402" s="68"/>
      <c r="D402" s="374"/>
      <c r="E402" s="112"/>
      <c r="F402" s="112"/>
      <c r="G402" s="68"/>
      <c r="H402" s="603"/>
      <c r="I402" s="882"/>
      <c r="J402" s="883"/>
      <c r="K402" s="884"/>
      <c r="L402" s="884"/>
      <c r="M402" s="68"/>
    </row>
    <row r="403" spans="1:13" s="64" customFormat="1">
      <c r="A403" s="10"/>
      <c r="B403" s="111"/>
      <c r="C403" s="68"/>
      <c r="D403" s="374"/>
      <c r="E403" s="112"/>
      <c r="F403" s="112"/>
      <c r="G403" s="68"/>
      <c r="H403" s="603"/>
      <c r="I403" s="882"/>
      <c r="J403" s="883"/>
      <c r="K403" s="884"/>
      <c r="L403" s="884"/>
      <c r="M403" s="68"/>
    </row>
    <row r="404" spans="1:13" s="64" customFormat="1">
      <c r="A404" s="10"/>
      <c r="B404" s="111"/>
      <c r="C404" s="68"/>
      <c r="D404" s="374"/>
      <c r="E404" s="112"/>
      <c r="F404" s="112"/>
      <c r="G404" s="68"/>
      <c r="H404" s="603"/>
      <c r="I404" s="882"/>
      <c r="J404" s="883"/>
      <c r="K404" s="884"/>
      <c r="L404" s="884"/>
      <c r="M404" s="68"/>
    </row>
    <row r="405" spans="1:13" s="64" customFormat="1">
      <c r="A405" s="10"/>
      <c r="B405" s="111"/>
      <c r="C405" s="68"/>
      <c r="D405" s="374"/>
      <c r="E405" s="112"/>
      <c r="F405" s="112"/>
      <c r="G405" s="68"/>
      <c r="H405" s="603"/>
      <c r="I405" s="882"/>
      <c r="J405" s="883"/>
      <c r="K405" s="884"/>
      <c r="L405" s="884"/>
      <c r="M405" s="68"/>
    </row>
    <row r="406" spans="1:13" s="64" customFormat="1">
      <c r="A406" s="10"/>
      <c r="B406" s="111"/>
      <c r="C406" s="68"/>
      <c r="D406" s="374"/>
      <c r="E406" s="112"/>
      <c r="F406" s="112"/>
      <c r="G406" s="68"/>
      <c r="H406" s="603"/>
      <c r="I406" s="882"/>
      <c r="J406" s="883"/>
      <c r="K406" s="884"/>
      <c r="L406" s="884"/>
      <c r="M406" s="68"/>
    </row>
    <row r="407" spans="1:13" s="64" customFormat="1">
      <c r="A407" s="10"/>
      <c r="B407" s="111"/>
      <c r="C407" s="68"/>
      <c r="D407" s="374"/>
      <c r="E407" s="112"/>
      <c r="F407" s="112"/>
      <c r="G407" s="68"/>
      <c r="H407" s="603"/>
      <c r="I407" s="882"/>
      <c r="J407" s="883"/>
      <c r="K407" s="884"/>
      <c r="L407" s="884"/>
      <c r="M407" s="68"/>
    </row>
    <row r="408" spans="1:13" s="64" customFormat="1">
      <c r="A408" s="10"/>
      <c r="B408" s="111"/>
      <c r="C408" s="68"/>
      <c r="D408" s="374"/>
      <c r="E408" s="112"/>
      <c r="F408" s="112"/>
      <c r="G408" s="68"/>
      <c r="H408" s="603"/>
      <c r="I408" s="882"/>
      <c r="J408" s="883"/>
      <c r="K408" s="884"/>
      <c r="L408" s="884"/>
      <c r="M408" s="68"/>
    </row>
    <row r="409" spans="1:13" s="64" customFormat="1">
      <c r="A409" s="10"/>
      <c r="B409" s="111"/>
      <c r="C409" s="68"/>
      <c r="D409" s="374"/>
      <c r="E409" s="112"/>
      <c r="F409" s="112"/>
      <c r="G409" s="68"/>
      <c r="H409" s="603"/>
      <c r="I409" s="882"/>
      <c r="J409" s="883"/>
      <c r="K409" s="884"/>
      <c r="L409" s="884"/>
      <c r="M409" s="68"/>
    </row>
    <row r="410" spans="1:13" s="64" customFormat="1">
      <c r="A410" s="10"/>
      <c r="B410" s="111"/>
      <c r="C410" s="68"/>
      <c r="D410" s="374"/>
      <c r="E410" s="112"/>
      <c r="F410" s="112"/>
      <c r="G410" s="68"/>
      <c r="H410" s="603"/>
      <c r="I410" s="882"/>
      <c r="J410" s="883"/>
      <c r="K410" s="884"/>
      <c r="L410" s="884"/>
      <c r="M410" s="68"/>
    </row>
    <row r="411" spans="1:13" s="64" customFormat="1">
      <c r="A411" s="10"/>
      <c r="B411" s="111"/>
      <c r="C411" s="68"/>
      <c r="D411" s="374"/>
      <c r="E411" s="112"/>
      <c r="F411" s="112"/>
      <c r="G411" s="68"/>
      <c r="H411" s="603"/>
      <c r="I411" s="882"/>
      <c r="J411" s="883"/>
      <c r="K411" s="884"/>
      <c r="L411" s="884"/>
      <c r="M411" s="68"/>
    </row>
    <row r="412" spans="1:13" s="64" customFormat="1">
      <c r="A412" s="10"/>
      <c r="B412" s="111"/>
      <c r="C412" s="68"/>
      <c r="D412" s="374"/>
      <c r="E412" s="112"/>
      <c r="F412" s="112"/>
      <c r="G412" s="68"/>
      <c r="H412" s="603"/>
      <c r="I412" s="882"/>
      <c r="J412" s="883"/>
      <c r="K412" s="884"/>
      <c r="L412" s="884"/>
      <c r="M412" s="68"/>
    </row>
    <row r="413" spans="1:13" s="64" customFormat="1">
      <c r="A413" s="10"/>
      <c r="B413" s="111"/>
      <c r="C413" s="68"/>
      <c r="D413" s="374"/>
      <c r="E413" s="112"/>
      <c r="F413" s="112"/>
      <c r="G413" s="68"/>
      <c r="H413" s="603"/>
      <c r="I413" s="882"/>
      <c r="J413" s="883"/>
      <c r="K413" s="884"/>
      <c r="L413" s="884"/>
      <c r="M413" s="68"/>
    </row>
    <row r="414" spans="1:13" s="64" customFormat="1">
      <c r="A414" s="10"/>
      <c r="B414" s="111"/>
      <c r="C414" s="68"/>
      <c r="D414" s="374"/>
      <c r="E414" s="112"/>
      <c r="F414" s="112"/>
      <c r="G414" s="68"/>
      <c r="H414" s="603"/>
      <c r="I414" s="882"/>
      <c r="J414" s="883"/>
      <c r="K414" s="884"/>
      <c r="L414" s="884"/>
      <c r="M414" s="68"/>
    </row>
    <row r="415" spans="1:13" s="64" customFormat="1">
      <c r="A415" s="10"/>
      <c r="B415" s="111"/>
      <c r="C415" s="68"/>
      <c r="D415" s="374"/>
      <c r="E415" s="112"/>
      <c r="F415" s="112"/>
      <c r="G415" s="68"/>
      <c r="H415" s="603"/>
      <c r="I415" s="882"/>
      <c r="J415" s="883"/>
      <c r="K415" s="884"/>
      <c r="L415" s="884"/>
      <c r="M415" s="68"/>
    </row>
    <row r="416" spans="1:13" s="64" customFormat="1">
      <c r="A416" s="10"/>
      <c r="B416" s="111"/>
      <c r="C416" s="68"/>
      <c r="D416" s="374"/>
      <c r="E416" s="112"/>
      <c r="F416" s="112"/>
      <c r="G416" s="68"/>
      <c r="H416" s="603"/>
      <c r="I416" s="882"/>
      <c r="J416" s="883"/>
      <c r="K416" s="884"/>
      <c r="L416" s="884"/>
      <c r="M416" s="68"/>
    </row>
    <row r="417" spans="1:13" s="64" customFormat="1">
      <c r="A417" s="10"/>
      <c r="B417" s="111"/>
      <c r="C417" s="68"/>
      <c r="D417" s="374"/>
      <c r="E417" s="112"/>
      <c r="F417" s="112"/>
      <c r="G417" s="68"/>
      <c r="H417" s="603"/>
      <c r="I417" s="882"/>
      <c r="J417" s="883"/>
      <c r="K417" s="884"/>
      <c r="L417" s="884"/>
      <c r="M417" s="68"/>
    </row>
    <row r="418" spans="1:13" s="64" customFormat="1">
      <c r="A418" s="10"/>
      <c r="B418" s="111"/>
      <c r="C418" s="68"/>
      <c r="D418" s="374"/>
      <c r="E418" s="112"/>
      <c r="F418" s="112"/>
      <c r="G418" s="68"/>
      <c r="H418" s="603"/>
      <c r="I418" s="882"/>
      <c r="J418" s="883"/>
      <c r="K418" s="884"/>
      <c r="L418" s="884"/>
      <c r="M418" s="68"/>
    </row>
    <row r="419" spans="1:13" s="64" customFormat="1">
      <c r="A419" s="10"/>
      <c r="B419" s="111"/>
      <c r="C419" s="68"/>
      <c r="D419" s="374"/>
      <c r="E419" s="112"/>
      <c r="F419" s="112"/>
      <c r="G419" s="68"/>
      <c r="H419" s="603"/>
      <c r="I419" s="882"/>
      <c r="J419" s="883"/>
      <c r="K419" s="884"/>
      <c r="L419" s="884"/>
      <c r="M419" s="68"/>
    </row>
    <row r="420" spans="1:13" s="64" customFormat="1">
      <c r="A420" s="10"/>
      <c r="B420" s="111"/>
      <c r="C420" s="68"/>
      <c r="D420" s="374"/>
      <c r="E420" s="112"/>
      <c r="F420" s="112"/>
      <c r="G420" s="68"/>
      <c r="H420" s="603"/>
      <c r="I420" s="882"/>
      <c r="J420" s="883"/>
      <c r="K420" s="884"/>
      <c r="L420" s="884"/>
      <c r="M420" s="68"/>
    </row>
    <row r="421" spans="1:13" s="64" customFormat="1">
      <c r="A421" s="10"/>
      <c r="B421" s="111"/>
      <c r="C421" s="68"/>
      <c r="D421" s="374"/>
      <c r="E421" s="112"/>
      <c r="F421" s="112"/>
      <c r="G421" s="68"/>
      <c r="H421" s="603"/>
      <c r="I421" s="882"/>
      <c r="J421" s="883"/>
      <c r="K421" s="884"/>
      <c r="L421" s="884"/>
      <c r="M421" s="68"/>
    </row>
    <row r="422" spans="1:13" s="64" customFormat="1">
      <c r="A422" s="10"/>
      <c r="B422" s="111"/>
      <c r="C422" s="68"/>
      <c r="D422" s="374"/>
      <c r="E422" s="112"/>
      <c r="F422" s="112"/>
      <c r="G422" s="68"/>
      <c r="H422" s="603"/>
      <c r="I422" s="882"/>
      <c r="J422" s="883"/>
      <c r="K422" s="884"/>
      <c r="L422" s="884"/>
      <c r="M422" s="68"/>
    </row>
    <row r="423" spans="1:13" s="64" customFormat="1">
      <c r="A423" s="10"/>
      <c r="B423" s="111"/>
      <c r="C423" s="68"/>
      <c r="D423" s="374"/>
      <c r="E423" s="112"/>
      <c r="F423" s="112"/>
      <c r="G423" s="68"/>
      <c r="H423" s="603"/>
      <c r="I423" s="882"/>
      <c r="J423" s="883"/>
      <c r="K423" s="884"/>
      <c r="L423" s="884"/>
      <c r="M423" s="68"/>
    </row>
    <row r="424" spans="1:13" s="64" customFormat="1">
      <c r="A424" s="10"/>
      <c r="B424" s="111"/>
      <c r="C424" s="68"/>
      <c r="D424" s="374"/>
      <c r="E424" s="112"/>
      <c r="F424" s="112"/>
      <c r="G424" s="68"/>
      <c r="H424" s="603"/>
      <c r="I424" s="882"/>
      <c r="J424" s="883"/>
      <c r="K424" s="884"/>
      <c r="L424" s="884"/>
      <c r="M424" s="68"/>
    </row>
    <row r="425" spans="1:13" s="64" customFormat="1">
      <c r="A425" s="10"/>
      <c r="B425" s="111"/>
      <c r="C425" s="68"/>
      <c r="D425" s="374"/>
      <c r="E425" s="112"/>
      <c r="F425" s="112"/>
      <c r="G425" s="68"/>
      <c r="H425" s="603"/>
      <c r="I425" s="882"/>
      <c r="J425" s="883"/>
      <c r="K425" s="884"/>
      <c r="L425" s="884"/>
      <c r="M425" s="68"/>
    </row>
    <row r="426" spans="1:13" s="64" customFormat="1">
      <c r="A426" s="10"/>
      <c r="B426" s="111"/>
      <c r="C426" s="68"/>
      <c r="D426" s="374"/>
      <c r="E426" s="112"/>
      <c r="F426" s="112"/>
      <c r="G426" s="68"/>
      <c r="H426" s="603"/>
      <c r="I426" s="882"/>
      <c r="J426" s="883"/>
      <c r="K426" s="884"/>
      <c r="L426" s="884"/>
      <c r="M426" s="68"/>
    </row>
    <row r="427" spans="1:13" s="64" customFormat="1">
      <c r="A427" s="10"/>
      <c r="B427" s="111"/>
      <c r="C427" s="68"/>
      <c r="D427" s="374"/>
      <c r="E427" s="112"/>
      <c r="F427" s="112"/>
      <c r="G427" s="68"/>
      <c r="H427" s="603"/>
      <c r="I427" s="882"/>
      <c r="J427" s="883"/>
      <c r="K427" s="884"/>
      <c r="L427" s="884"/>
      <c r="M427" s="68"/>
    </row>
    <row r="428" spans="1:13" s="64" customFormat="1">
      <c r="A428" s="10"/>
      <c r="B428" s="111"/>
      <c r="C428" s="68"/>
      <c r="D428" s="374"/>
      <c r="E428" s="112"/>
      <c r="F428" s="112"/>
      <c r="G428" s="68"/>
      <c r="H428" s="603"/>
      <c r="I428" s="882"/>
      <c r="J428" s="883"/>
      <c r="K428" s="884"/>
      <c r="L428" s="884"/>
      <c r="M428" s="68"/>
    </row>
    <row r="429" spans="1:13" s="64" customFormat="1">
      <c r="A429" s="10"/>
      <c r="B429" s="111"/>
      <c r="C429" s="68"/>
      <c r="D429" s="374"/>
      <c r="E429" s="112"/>
      <c r="F429" s="112"/>
      <c r="G429" s="68"/>
      <c r="H429" s="603"/>
      <c r="I429" s="882"/>
      <c r="J429" s="883"/>
      <c r="K429" s="884"/>
      <c r="L429" s="884"/>
      <c r="M429" s="68"/>
    </row>
    <row r="430" spans="1:13" s="64" customFormat="1">
      <c r="A430" s="10"/>
      <c r="B430" s="111"/>
      <c r="C430" s="68"/>
      <c r="D430" s="374"/>
      <c r="E430" s="112"/>
      <c r="F430" s="112"/>
      <c r="G430" s="68"/>
      <c r="H430" s="603"/>
      <c r="I430" s="882"/>
      <c r="J430" s="883"/>
      <c r="K430" s="884"/>
      <c r="L430" s="884"/>
      <c r="M430" s="68"/>
    </row>
    <row r="431" spans="1:13" s="64" customFormat="1">
      <c r="A431" s="10"/>
      <c r="B431" s="111"/>
      <c r="C431" s="68"/>
      <c r="D431" s="374"/>
      <c r="E431" s="112"/>
      <c r="F431" s="112"/>
      <c r="G431" s="68"/>
      <c r="H431" s="603"/>
      <c r="I431" s="882"/>
      <c r="J431" s="883"/>
      <c r="K431" s="884"/>
      <c r="L431" s="884"/>
      <c r="M431" s="68"/>
    </row>
    <row r="432" spans="1:13" s="64" customFormat="1">
      <c r="A432" s="10"/>
      <c r="B432" s="111"/>
      <c r="C432" s="68"/>
      <c r="D432" s="374"/>
      <c r="E432" s="112"/>
      <c r="F432" s="112"/>
      <c r="G432" s="68"/>
      <c r="H432" s="603"/>
      <c r="I432" s="882"/>
      <c r="J432" s="883"/>
      <c r="K432" s="884"/>
      <c r="L432" s="884"/>
      <c r="M432" s="68"/>
    </row>
    <row r="433" spans="1:13" s="64" customFormat="1">
      <c r="A433" s="10"/>
      <c r="B433" s="111"/>
      <c r="C433" s="68"/>
      <c r="D433" s="374"/>
      <c r="E433" s="112"/>
      <c r="F433" s="112"/>
      <c r="G433" s="68"/>
      <c r="H433" s="603"/>
      <c r="I433" s="882"/>
      <c r="J433" s="883"/>
      <c r="K433" s="884"/>
      <c r="L433" s="884"/>
      <c r="M433" s="68"/>
    </row>
    <row r="434" spans="1:13" s="64" customFormat="1">
      <c r="A434" s="10"/>
      <c r="B434" s="111"/>
      <c r="C434" s="68"/>
      <c r="D434" s="374"/>
      <c r="E434" s="112"/>
      <c r="F434" s="112"/>
      <c r="G434" s="68"/>
      <c r="H434" s="603"/>
      <c r="I434" s="882"/>
      <c r="J434" s="883"/>
      <c r="K434" s="884"/>
      <c r="L434" s="884"/>
      <c r="M434" s="68"/>
    </row>
    <row r="435" spans="1:13" s="64" customFormat="1">
      <c r="A435" s="10"/>
      <c r="B435" s="111"/>
      <c r="C435" s="68"/>
      <c r="D435" s="374"/>
      <c r="E435" s="112"/>
      <c r="F435" s="112"/>
      <c r="G435" s="68"/>
      <c r="H435" s="603"/>
      <c r="I435" s="882"/>
      <c r="J435" s="883"/>
      <c r="K435" s="884"/>
      <c r="L435" s="884"/>
      <c r="M435" s="68"/>
    </row>
    <row r="436" spans="1:13" s="64" customFormat="1">
      <c r="A436" s="10"/>
      <c r="B436" s="111"/>
      <c r="C436" s="68"/>
      <c r="D436" s="374"/>
      <c r="E436" s="112"/>
      <c r="F436" s="112"/>
      <c r="G436" s="68"/>
      <c r="H436" s="603"/>
      <c r="I436" s="882"/>
      <c r="J436" s="883"/>
      <c r="K436" s="884"/>
      <c r="L436" s="884"/>
      <c r="M436" s="68"/>
    </row>
    <row r="437" spans="1:13" s="64" customFormat="1">
      <c r="A437" s="10"/>
      <c r="B437" s="111"/>
      <c r="C437" s="68"/>
      <c r="D437" s="374"/>
      <c r="E437" s="112"/>
      <c r="F437" s="112"/>
      <c r="G437" s="68"/>
      <c r="H437" s="603"/>
      <c r="I437" s="882"/>
      <c r="J437" s="883"/>
      <c r="K437" s="884"/>
      <c r="L437" s="884"/>
      <c r="M437" s="68"/>
    </row>
    <row r="438" spans="1:13" s="64" customFormat="1">
      <c r="A438" s="10"/>
      <c r="B438" s="111"/>
      <c r="C438" s="68"/>
      <c r="D438" s="374"/>
      <c r="E438" s="112"/>
      <c r="F438" s="112"/>
      <c r="G438" s="68"/>
      <c r="H438" s="603"/>
      <c r="I438" s="882"/>
      <c r="J438" s="883"/>
      <c r="K438" s="884"/>
      <c r="L438" s="884"/>
      <c r="M438" s="68"/>
    </row>
    <row r="439" spans="1:13" s="64" customFormat="1">
      <c r="A439" s="10"/>
      <c r="B439" s="111"/>
      <c r="C439" s="68"/>
      <c r="D439" s="374"/>
      <c r="E439" s="112"/>
      <c r="F439" s="112"/>
      <c r="G439" s="68"/>
      <c r="H439" s="603"/>
      <c r="I439" s="882"/>
      <c r="J439" s="883"/>
      <c r="K439" s="884"/>
      <c r="L439" s="884"/>
      <c r="M439" s="68"/>
    </row>
    <row r="440" spans="1:13" s="64" customFormat="1">
      <c r="A440" s="10"/>
      <c r="B440" s="111"/>
      <c r="C440" s="68"/>
      <c r="D440" s="374"/>
      <c r="E440" s="112"/>
      <c r="F440" s="112"/>
      <c r="G440" s="68"/>
      <c r="H440" s="603"/>
      <c r="I440" s="882"/>
      <c r="J440" s="883"/>
      <c r="K440" s="884"/>
      <c r="L440" s="884"/>
      <c r="M440" s="68"/>
    </row>
    <row r="441" spans="1:13" s="64" customFormat="1">
      <c r="A441" s="10"/>
      <c r="B441" s="111"/>
      <c r="C441" s="68"/>
      <c r="D441" s="374"/>
      <c r="E441" s="112"/>
      <c r="F441" s="112"/>
      <c r="G441" s="68"/>
      <c r="H441" s="603"/>
      <c r="I441" s="882"/>
      <c r="J441" s="883"/>
      <c r="K441" s="884"/>
      <c r="L441" s="884"/>
      <c r="M441" s="68"/>
    </row>
    <row r="442" spans="1:13" s="64" customFormat="1">
      <c r="A442" s="10"/>
      <c r="B442" s="111"/>
      <c r="C442" s="68"/>
      <c r="D442" s="374"/>
      <c r="E442" s="112"/>
      <c r="F442" s="112"/>
      <c r="G442" s="68"/>
      <c r="H442" s="603"/>
      <c r="I442" s="882"/>
      <c r="J442" s="883"/>
      <c r="K442" s="884"/>
      <c r="L442" s="884"/>
      <c r="M442" s="68"/>
    </row>
    <row r="443" spans="1:13" s="64" customFormat="1">
      <c r="A443" s="10"/>
      <c r="B443" s="111"/>
      <c r="C443" s="68"/>
      <c r="D443" s="374"/>
      <c r="E443" s="112"/>
      <c r="F443" s="112"/>
      <c r="G443" s="68"/>
      <c r="H443" s="603"/>
      <c r="I443" s="882"/>
      <c r="J443" s="883"/>
      <c r="K443" s="884"/>
      <c r="L443" s="884"/>
      <c r="M443" s="68"/>
    </row>
    <row r="444" spans="1:13" s="64" customFormat="1">
      <c r="A444" s="10"/>
      <c r="B444" s="111"/>
      <c r="C444" s="68"/>
      <c r="D444" s="374"/>
      <c r="E444" s="112"/>
      <c r="F444" s="112"/>
      <c r="G444" s="68"/>
      <c r="H444" s="603"/>
      <c r="I444" s="882"/>
      <c r="J444" s="883"/>
      <c r="K444" s="884"/>
      <c r="L444" s="884"/>
      <c r="M444" s="68"/>
    </row>
    <row r="445" spans="1:13" s="64" customFormat="1">
      <c r="A445" s="10"/>
      <c r="B445" s="111"/>
      <c r="C445" s="68"/>
      <c r="D445" s="374"/>
      <c r="E445" s="112"/>
      <c r="F445" s="112"/>
      <c r="G445" s="68"/>
      <c r="H445" s="603"/>
      <c r="I445" s="882"/>
      <c r="J445" s="883"/>
      <c r="K445" s="884"/>
      <c r="L445" s="884"/>
      <c r="M445" s="68"/>
    </row>
    <row r="446" spans="1:13" s="64" customFormat="1">
      <c r="A446" s="10"/>
      <c r="B446" s="111"/>
      <c r="C446" s="68"/>
      <c r="D446" s="374"/>
      <c r="E446" s="112"/>
      <c r="F446" s="112"/>
      <c r="G446" s="68"/>
      <c r="H446" s="603"/>
      <c r="I446" s="882"/>
      <c r="J446" s="883"/>
      <c r="K446" s="884"/>
      <c r="L446" s="884"/>
      <c r="M446" s="68"/>
    </row>
    <row r="447" spans="1:13" s="64" customFormat="1">
      <c r="A447" s="10"/>
      <c r="B447" s="111"/>
      <c r="C447" s="68"/>
      <c r="D447" s="374"/>
      <c r="E447" s="112"/>
      <c r="F447" s="112"/>
      <c r="G447" s="68"/>
      <c r="H447" s="603"/>
      <c r="I447" s="882"/>
      <c r="J447" s="883"/>
      <c r="K447" s="884"/>
      <c r="L447" s="884"/>
      <c r="M447" s="68"/>
    </row>
    <row r="448" spans="1:13" s="64" customFormat="1">
      <c r="A448" s="10"/>
      <c r="B448" s="111"/>
      <c r="C448" s="68"/>
      <c r="D448" s="374"/>
      <c r="E448" s="112"/>
      <c r="F448" s="112"/>
      <c r="G448" s="68"/>
      <c r="H448" s="603"/>
      <c r="I448" s="882"/>
      <c r="J448" s="883"/>
      <c r="K448" s="884"/>
      <c r="L448" s="884"/>
      <c r="M448" s="68"/>
    </row>
    <row r="449" spans="1:13" s="64" customFormat="1">
      <c r="A449" s="10"/>
      <c r="B449" s="111"/>
      <c r="C449" s="68"/>
      <c r="D449" s="374"/>
      <c r="E449" s="112"/>
      <c r="F449" s="112"/>
      <c r="G449" s="68"/>
      <c r="H449" s="603"/>
      <c r="I449" s="882"/>
      <c r="J449" s="883"/>
      <c r="K449" s="884"/>
      <c r="L449" s="884"/>
      <c r="M449" s="68"/>
    </row>
    <row r="450" spans="1:13" s="64" customFormat="1">
      <c r="A450" s="10"/>
      <c r="B450" s="111"/>
      <c r="C450" s="68"/>
      <c r="D450" s="374"/>
      <c r="E450" s="112"/>
      <c r="F450" s="112"/>
      <c r="G450" s="68"/>
      <c r="H450" s="603"/>
      <c r="I450" s="882"/>
      <c r="J450" s="883"/>
      <c r="K450" s="884"/>
      <c r="L450" s="884"/>
      <c r="M450" s="68"/>
    </row>
    <row r="451" spans="1:13" s="64" customFormat="1">
      <c r="A451" s="10"/>
      <c r="B451" s="111"/>
      <c r="C451" s="68"/>
      <c r="D451" s="374"/>
      <c r="E451" s="112"/>
      <c r="F451" s="112"/>
      <c r="G451" s="68"/>
      <c r="H451" s="603"/>
      <c r="I451" s="882"/>
      <c r="J451" s="883"/>
      <c r="K451" s="884"/>
      <c r="L451" s="884"/>
      <c r="M451" s="68"/>
    </row>
    <row r="452" spans="1:13" s="64" customFormat="1">
      <c r="A452" s="10"/>
      <c r="B452" s="111"/>
      <c r="C452" s="68"/>
      <c r="D452" s="374"/>
      <c r="E452" s="112"/>
      <c r="F452" s="112"/>
      <c r="G452" s="68"/>
      <c r="H452" s="603"/>
      <c r="I452" s="882"/>
      <c r="J452" s="883"/>
      <c r="K452" s="884"/>
      <c r="L452" s="884"/>
      <c r="M452" s="68"/>
    </row>
    <row r="453" spans="1:13" s="64" customFormat="1">
      <c r="A453" s="10"/>
      <c r="B453" s="111"/>
      <c r="C453" s="68"/>
      <c r="D453" s="374"/>
      <c r="E453" s="112"/>
      <c r="F453" s="112"/>
      <c r="G453" s="68"/>
      <c r="H453" s="603"/>
      <c r="I453" s="882"/>
      <c r="J453" s="883"/>
      <c r="K453" s="884"/>
      <c r="L453" s="884"/>
      <c r="M453" s="68"/>
    </row>
    <row r="454" spans="1:13" s="64" customFormat="1">
      <c r="A454" s="10"/>
      <c r="B454" s="111"/>
      <c r="C454" s="68"/>
      <c r="D454" s="374"/>
      <c r="E454" s="112"/>
      <c r="F454" s="112"/>
      <c r="G454" s="68"/>
      <c r="H454" s="603"/>
      <c r="I454" s="882"/>
      <c r="J454" s="883"/>
      <c r="K454" s="884"/>
      <c r="L454" s="884"/>
      <c r="M454" s="68"/>
    </row>
    <row r="455" spans="1:13" s="64" customFormat="1">
      <c r="A455" s="10"/>
      <c r="B455" s="111"/>
      <c r="C455" s="68"/>
      <c r="D455" s="374"/>
      <c r="E455" s="112"/>
      <c r="F455" s="112"/>
      <c r="G455" s="68"/>
      <c r="H455" s="603"/>
      <c r="I455" s="882"/>
      <c r="J455" s="883"/>
      <c r="K455" s="884"/>
      <c r="L455" s="884"/>
      <c r="M455" s="68"/>
    </row>
    <row r="456" spans="1:13" s="64" customFormat="1">
      <c r="A456" s="10"/>
      <c r="B456" s="111"/>
      <c r="C456" s="68"/>
      <c r="D456" s="374"/>
      <c r="E456" s="112"/>
      <c r="F456" s="112"/>
      <c r="G456" s="68"/>
      <c r="H456" s="603"/>
      <c r="I456" s="882"/>
      <c r="J456" s="883"/>
      <c r="K456" s="884"/>
      <c r="L456" s="884"/>
      <c r="M456" s="68"/>
    </row>
    <row r="457" spans="1:13" s="64" customFormat="1">
      <c r="A457" s="10"/>
      <c r="B457" s="111"/>
      <c r="C457" s="68"/>
      <c r="D457" s="374"/>
      <c r="E457" s="112"/>
      <c r="F457" s="112"/>
      <c r="G457" s="68"/>
      <c r="H457" s="603"/>
      <c r="I457" s="882"/>
      <c r="J457" s="883"/>
      <c r="K457" s="884"/>
      <c r="L457" s="884"/>
      <c r="M457" s="68"/>
    </row>
    <row r="458" spans="1:13" s="64" customFormat="1">
      <c r="A458" s="10"/>
      <c r="B458" s="111"/>
      <c r="C458" s="68"/>
      <c r="D458" s="374"/>
      <c r="E458" s="112"/>
      <c r="F458" s="112"/>
      <c r="G458" s="68"/>
      <c r="H458" s="603"/>
      <c r="I458" s="882"/>
      <c r="J458" s="883"/>
      <c r="K458" s="884"/>
      <c r="L458" s="884"/>
      <c r="M458" s="68"/>
    </row>
    <row r="459" spans="1:13" s="64" customFormat="1">
      <c r="A459" s="10"/>
      <c r="B459" s="111"/>
      <c r="C459" s="68"/>
      <c r="D459" s="374"/>
      <c r="E459" s="112"/>
      <c r="F459" s="112"/>
      <c r="G459" s="68"/>
      <c r="H459" s="603"/>
      <c r="I459" s="882"/>
      <c r="J459" s="883"/>
      <c r="K459" s="884"/>
      <c r="L459" s="884"/>
      <c r="M459" s="68"/>
    </row>
    <row r="460" spans="1:13" s="64" customFormat="1">
      <c r="A460" s="10"/>
      <c r="B460" s="111"/>
      <c r="C460" s="68"/>
      <c r="D460" s="374"/>
      <c r="E460" s="112"/>
      <c r="F460" s="112"/>
      <c r="G460" s="68"/>
      <c r="H460" s="603"/>
      <c r="I460" s="882"/>
      <c r="J460" s="883"/>
      <c r="K460" s="884"/>
      <c r="L460" s="884"/>
      <c r="M460" s="68"/>
    </row>
    <row r="461" spans="1:13" s="64" customFormat="1">
      <c r="A461" s="10"/>
      <c r="B461" s="111"/>
      <c r="C461" s="68"/>
      <c r="D461" s="374"/>
      <c r="E461" s="112"/>
      <c r="F461" s="112"/>
      <c r="G461" s="68"/>
      <c r="H461" s="603"/>
      <c r="I461" s="882"/>
      <c r="J461" s="883"/>
      <c r="K461" s="884"/>
      <c r="L461" s="884"/>
      <c r="M461" s="68"/>
    </row>
    <row r="462" spans="1:13" s="64" customFormat="1">
      <c r="A462" s="10"/>
      <c r="B462" s="111"/>
      <c r="C462" s="68"/>
      <c r="D462" s="374"/>
      <c r="E462" s="112"/>
      <c r="F462" s="112"/>
      <c r="G462" s="68"/>
      <c r="H462" s="603"/>
      <c r="I462" s="882"/>
      <c r="J462" s="883"/>
      <c r="K462" s="884"/>
      <c r="L462" s="884"/>
      <c r="M462" s="68"/>
    </row>
    <row r="463" spans="1:13" s="64" customFormat="1">
      <c r="A463" s="10"/>
      <c r="B463" s="111"/>
      <c r="C463" s="68"/>
      <c r="D463" s="374"/>
      <c r="E463" s="112"/>
      <c r="F463" s="112"/>
      <c r="G463" s="68"/>
      <c r="H463" s="603"/>
      <c r="I463" s="882"/>
      <c r="J463" s="883"/>
      <c r="K463" s="884"/>
      <c r="L463" s="884"/>
      <c r="M463" s="68"/>
    </row>
    <row r="464" spans="1:13" s="64" customFormat="1">
      <c r="A464" s="10"/>
      <c r="B464" s="111"/>
      <c r="C464" s="68"/>
      <c r="D464" s="374"/>
      <c r="E464" s="112"/>
      <c r="F464" s="112"/>
      <c r="G464" s="68"/>
      <c r="H464" s="603"/>
      <c r="I464" s="882"/>
      <c r="J464" s="883"/>
      <c r="K464" s="884"/>
      <c r="L464" s="884"/>
      <c r="M464" s="68"/>
    </row>
    <row r="465" spans="1:13" s="64" customFormat="1">
      <c r="A465" s="10"/>
      <c r="B465" s="111"/>
      <c r="C465" s="68"/>
      <c r="D465" s="374"/>
      <c r="E465" s="112"/>
      <c r="F465" s="112"/>
      <c r="G465" s="68"/>
      <c r="H465" s="603"/>
      <c r="I465" s="882"/>
      <c r="J465" s="883"/>
      <c r="K465" s="884"/>
      <c r="L465" s="884"/>
      <c r="M465" s="68"/>
    </row>
    <row r="466" spans="1:13" s="64" customFormat="1">
      <c r="A466" s="10"/>
      <c r="B466" s="111"/>
      <c r="C466" s="68"/>
      <c r="D466" s="374"/>
      <c r="E466" s="112"/>
      <c r="F466" s="112"/>
      <c r="G466" s="68"/>
      <c r="H466" s="603"/>
      <c r="I466" s="882"/>
      <c r="J466" s="883"/>
      <c r="K466" s="884"/>
      <c r="L466" s="884"/>
      <c r="M466" s="68"/>
    </row>
    <row r="467" spans="1:13" s="64" customFormat="1">
      <c r="A467" s="10"/>
      <c r="B467" s="111"/>
      <c r="C467" s="68"/>
      <c r="D467" s="374"/>
      <c r="E467" s="112"/>
      <c r="F467" s="112"/>
      <c r="G467" s="68"/>
      <c r="H467" s="603"/>
      <c r="I467" s="882"/>
      <c r="J467" s="883"/>
      <c r="K467" s="884"/>
      <c r="L467" s="884"/>
      <c r="M467" s="68"/>
    </row>
    <row r="468" spans="1:13" s="64" customFormat="1">
      <c r="A468" s="10"/>
      <c r="B468" s="111"/>
      <c r="C468" s="68"/>
      <c r="D468" s="374"/>
      <c r="E468" s="112"/>
      <c r="F468" s="112"/>
      <c r="G468" s="68"/>
      <c r="H468" s="603"/>
      <c r="I468" s="882"/>
      <c r="J468" s="883"/>
      <c r="K468" s="884"/>
      <c r="L468" s="884"/>
      <c r="M468" s="68"/>
    </row>
    <row r="469" spans="1:13" s="64" customFormat="1">
      <c r="A469" s="10"/>
      <c r="B469" s="111"/>
      <c r="C469" s="68"/>
      <c r="D469" s="374"/>
      <c r="E469" s="112"/>
      <c r="F469" s="112"/>
      <c r="G469" s="68"/>
      <c r="H469" s="603"/>
      <c r="I469" s="882"/>
      <c r="J469" s="883"/>
      <c r="K469" s="884"/>
      <c r="L469" s="884"/>
      <c r="M469" s="68"/>
    </row>
    <row r="470" spans="1:13" s="64" customFormat="1">
      <c r="A470" s="10"/>
      <c r="B470" s="111"/>
      <c r="C470" s="68"/>
      <c r="D470" s="374"/>
      <c r="E470" s="112"/>
      <c r="F470" s="112"/>
      <c r="G470" s="68"/>
      <c r="H470" s="603"/>
      <c r="I470" s="882"/>
      <c r="J470" s="883"/>
      <c r="K470" s="884"/>
      <c r="L470" s="884"/>
      <c r="M470" s="68"/>
    </row>
    <row r="471" spans="1:13" s="64" customFormat="1">
      <c r="A471" s="10"/>
      <c r="B471" s="111"/>
      <c r="C471" s="68"/>
      <c r="D471" s="374"/>
      <c r="E471" s="112"/>
      <c r="F471" s="112"/>
      <c r="G471" s="68"/>
      <c r="H471" s="603"/>
      <c r="I471" s="882"/>
      <c r="J471" s="883"/>
      <c r="K471" s="884"/>
      <c r="L471" s="884"/>
      <c r="M471" s="68"/>
    </row>
    <row r="472" spans="1:13" s="64" customFormat="1">
      <c r="A472" s="10"/>
      <c r="B472" s="111"/>
      <c r="C472" s="68"/>
      <c r="D472" s="374"/>
      <c r="E472" s="112"/>
      <c r="F472" s="112"/>
      <c r="G472" s="68"/>
      <c r="H472" s="603"/>
      <c r="I472" s="882"/>
      <c r="J472" s="883"/>
      <c r="K472" s="884"/>
      <c r="L472" s="884"/>
      <c r="M472" s="68"/>
    </row>
    <row r="473" spans="1:13" s="64" customFormat="1">
      <c r="A473" s="10"/>
      <c r="B473" s="111"/>
      <c r="C473" s="68"/>
      <c r="D473" s="374"/>
      <c r="E473" s="112"/>
      <c r="F473" s="112"/>
      <c r="G473" s="68"/>
      <c r="H473" s="603"/>
      <c r="I473" s="882"/>
      <c r="J473" s="883"/>
      <c r="K473" s="884"/>
      <c r="L473" s="884"/>
      <c r="M473" s="68"/>
    </row>
    <row r="474" spans="1:13" s="64" customFormat="1">
      <c r="A474" s="10"/>
      <c r="B474" s="111"/>
      <c r="C474" s="68"/>
      <c r="D474" s="374"/>
      <c r="E474" s="112"/>
      <c r="F474" s="112"/>
      <c r="G474" s="68"/>
      <c r="H474" s="603"/>
      <c r="I474" s="882"/>
      <c r="J474" s="883"/>
      <c r="K474" s="884"/>
      <c r="L474" s="884"/>
      <c r="M474" s="68"/>
    </row>
    <row r="475" spans="1:13" s="64" customFormat="1">
      <c r="A475" s="10"/>
      <c r="B475" s="111"/>
      <c r="C475" s="68"/>
      <c r="D475" s="374"/>
      <c r="E475" s="112"/>
      <c r="F475" s="112"/>
      <c r="G475" s="68"/>
      <c r="H475" s="603"/>
      <c r="I475" s="882"/>
      <c r="J475" s="883"/>
      <c r="K475" s="884"/>
      <c r="L475" s="884"/>
      <c r="M475" s="68"/>
    </row>
    <row r="476" spans="1:13" s="64" customFormat="1">
      <c r="A476" s="10"/>
      <c r="B476" s="111"/>
      <c r="C476" s="68"/>
      <c r="D476" s="374"/>
      <c r="E476" s="112"/>
      <c r="F476" s="112"/>
      <c r="G476" s="68"/>
      <c r="H476" s="603"/>
      <c r="I476" s="882"/>
      <c r="J476" s="883"/>
      <c r="K476" s="884"/>
      <c r="L476" s="884"/>
      <c r="M476" s="68"/>
    </row>
    <row r="477" spans="1:13" s="64" customFormat="1">
      <c r="A477" s="10"/>
      <c r="B477" s="111"/>
      <c r="C477" s="68"/>
      <c r="D477" s="374"/>
      <c r="E477" s="112"/>
      <c r="F477" s="112"/>
      <c r="G477" s="68"/>
      <c r="H477" s="603"/>
      <c r="I477" s="882"/>
      <c r="J477" s="883"/>
      <c r="K477" s="884"/>
      <c r="L477" s="884"/>
      <c r="M477" s="68"/>
    </row>
    <row r="478" spans="1:13" s="64" customFormat="1">
      <c r="A478" s="10"/>
      <c r="B478" s="111"/>
      <c r="C478" s="68"/>
      <c r="D478" s="374"/>
      <c r="E478" s="112"/>
      <c r="F478" s="112"/>
      <c r="G478" s="68"/>
      <c r="H478" s="603"/>
      <c r="I478" s="882"/>
      <c r="J478" s="883"/>
      <c r="K478" s="884"/>
      <c r="L478" s="884"/>
      <c r="M478" s="68"/>
    </row>
    <row r="479" spans="1:13" s="64" customFormat="1">
      <c r="A479" s="10"/>
      <c r="B479" s="111"/>
      <c r="C479" s="68"/>
      <c r="D479" s="374"/>
      <c r="E479" s="112"/>
      <c r="F479" s="112"/>
      <c r="G479" s="68"/>
      <c r="H479" s="603"/>
      <c r="I479" s="882"/>
      <c r="J479" s="883"/>
      <c r="K479" s="884"/>
      <c r="L479" s="884"/>
      <c r="M479" s="68"/>
    </row>
    <row r="480" spans="1:13" s="64" customFormat="1">
      <c r="A480" s="10"/>
      <c r="B480" s="111"/>
      <c r="C480" s="68"/>
      <c r="D480" s="374"/>
      <c r="E480" s="112"/>
      <c r="F480" s="112"/>
      <c r="G480" s="68"/>
      <c r="H480" s="603"/>
      <c r="I480" s="882"/>
      <c r="J480" s="883"/>
      <c r="K480" s="884"/>
      <c r="L480" s="884"/>
      <c r="M480" s="68"/>
    </row>
    <row r="481" spans="1:13" s="64" customFormat="1">
      <c r="A481" s="10"/>
      <c r="B481" s="111"/>
      <c r="C481" s="68"/>
      <c r="D481" s="374"/>
      <c r="E481" s="112"/>
      <c r="F481" s="112"/>
      <c r="G481" s="68"/>
      <c r="H481" s="603"/>
      <c r="I481" s="882"/>
      <c r="J481" s="883"/>
      <c r="K481" s="884"/>
      <c r="L481" s="884"/>
      <c r="M481" s="68"/>
    </row>
    <row r="482" spans="1:13" s="64" customFormat="1">
      <c r="A482" s="10"/>
      <c r="B482" s="111"/>
      <c r="C482" s="68"/>
      <c r="D482" s="374"/>
      <c r="E482" s="112"/>
      <c r="F482" s="112"/>
      <c r="G482" s="68"/>
      <c r="H482" s="603"/>
      <c r="I482" s="882"/>
      <c r="J482" s="883"/>
      <c r="K482" s="884"/>
      <c r="L482" s="884"/>
      <c r="M482" s="68"/>
    </row>
    <row r="483" spans="1:13" s="64" customFormat="1">
      <c r="A483" s="10"/>
      <c r="B483" s="111"/>
      <c r="C483" s="68"/>
      <c r="D483" s="374"/>
      <c r="E483" s="112"/>
      <c r="F483" s="112"/>
      <c r="G483" s="68"/>
      <c r="H483" s="603"/>
      <c r="I483" s="882"/>
      <c r="J483" s="883"/>
      <c r="K483" s="884"/>
      <c r="L483" s="884"/>
      <c r="M483" s="68"/>
    </row>
    <row r="484" spans="1:13" s="64" customFormat="1">
      <c r="A484" s="10"/>
      <c r="B484" s="111"/>
      <c r="C484" s="68"/>
      <c r="D484" s="374"/>
      <c r="E484" s="112"/>
      <c r="F484" s="112"/>
      <c r="G484" s="68"/>
      <c r="H484" s="603"/>
      <c r="I484" s="882"/>
      <c r="J484" s="883"/>
      <c r="K484" s="884"/>
      <c r="L484" s="884"/>
      <c r="M484" s="68"/>
    </row>
    <row r="485" spans="1:13" s="64" customFormat="1">
      <c r="A485" s="10"/>
      <c r="B485" s="111"/>
      <c r="C485" s="68"/>
      <c r="D485" s="374"/>
      <c r="E485" s="112"/>
      <c r="F485" s="112"/>
      <c r="G485" s="68"/>
      <c r="H485" s="603"/>
      <c r="I485" s="882"/>
      <c r="J485" s="883"/>
      <c r="K485" s="884"/>
      <c r="L485" s="884"/>
      <c r="M485" s="68"/>
    </row>
    <row r="486" spans="1:13" s="64" customFormat="1">
      <c r="A486" s="10"/>
      <c r="B486" s="111"/>
      <c r="C486" s="68"/>
      <c r="D486" s="374"/>
      <c r="E486" s="112"/>
      <c r="F486" s="112"/>
      <c r="G486" s="68"/>
      <c r="H486" s="603"/>
      <c r="I486" s="882"/>
      <c r="J486" s="883"/>
      <c r="K486" s="884"/>
      <c r="L486" s="884"/>
      <c r="M486" s="68"/>
    </row>
    <row r="487" spans="1:13" s="64" customFormat="1">
      <c r="A487" s="10"/>
      <c r="B487" s="111"/>
      <c r="C487" s="68"/>
      <c r="D487" s="374"/>
      <c r="E487" s="112"/>
      <c r="F487" s="112"/>
      <c r="G487" s="68"/>
      <c r="H487" s="603"/>
      <c r="I487" s="882"/>
      <c r="J487" s="883"/>
      <c r="K487" s="884"/>
      <c r="L487" s="884"/>
      <c r="M487" s="68"/>
    </row>
    <row r="488" spans="1:13" s="64" customFormat="1">
      <c r="A488" s="10"/>
      <c r="B488" s="111"/>
      <c r="C488" s="68"/>
      <c r="D488" s="374"/>
      <c r="E488" s="112"/>
      <c r="F488" s="112"/>
      <c r="G488" s="68"/>
      <c r="H488" s="603"/>
      <c r="I488" s="882"/>
      <c r="J488" s="883"/>
      <c r="K488" s="884"/>
      <c r="L488" s="884"/>
      <c r="M488" s="68"/>
    </row>
    <row r="489" spans="1:13" s="64" customFormat="1">
      <c r="A489" s="10"/>
      <c r="B489" s="111"/>
      <c r="C489" s="68"/>
      <c r="D489" s="374"/>
      <c r="E489" s="112"/>
      <c r="F489" s="112"/>
      <c r="G489" s="68"/>
      <c r="H489" s="603"/>
      <c r="I489" s="882"/>
      <c r="J489" s="883"/>
      <c r="K489" s="884"/>
      <c r="L489" s="884"/>
      <c r="M489" s="68"/>
    </row>
    <row r="490" spans="1:13" s="64" customFormat="1">
      <c r="A490" s="10"/>
      <c r="B490" s="111"/>
      <c r="C490" s="68"/>
      <c r="D490" s="374"/>
      <c r="E490" s="112"/>
      <c r="F490" s="112"/>
      <c r="G490" s="68"/>
      <c r="H490" s="603"/>
      <c r="I490" s="882"/>
      <c r="J490" s="883"/>
      <c r="K490" s="884"/>
      <c r="L490" s="884"/>
      <c r="M490" s="68"/>
    </row>
    <row r="491" spans="1:13" s="64" customFormat="1">
      <c r="A491" s="10"/>
      <c r="B491" s="111"/>
      <c r="C491" s="68"/>
      <c r="D491" s="374"/>
      <c r="E491" s="112"/>
      <c r="F491" s="112"/>
      <c r="G491" s="68"/>
      <c r="H491" s="603"/>
      <c r="I491" s="882"/>
      <c r="J491" s="883"/>
      <c r="K491" s="884"/>
      <c r="L491" s="884"/>
      <c r="M491" s="68"/>
    </row>
    <row r="492" spans="1:13" s="64" customFormat="1">
      <c r="A492" s="10"/>
      <c r="B492" s="111"/>
      <c r="C492" s="68"/>
      <c r="D492" s="374"/>
      <c r="E492" s="112"/>
      <c r="F492" s="112"/>
      <c r="G492" s="68"/>
      <c r="H492" s="603"/>
      <c r="I492" s="882"/>
      <c r="J492" s="883"/>
      <c r="K492" s="884"/>
      <c r="L492" s="884"/>
      <c r="M492" s="68"/>
    </row>
    <row r="493" spans="1:13" s="64" customFormat="1">
      <c r="A493" s="10"/>
      <c r="B493" s="111"/>
      <c r="C493" s="68"/>
      <c r="D493" s="374"/>
      <c r="E493" s="112"/>
      <c r="F493" s="112"/>
      <c r="G493" s="68"/>
      <c r="H493" s="603"/>
      <c r="I493" s="882"/>
      <c r="J493" s="883"/>
      <c r="K493" s="884"/>
      <c r="L493" s="884"/>
      <c r="M493" s="68"/>
    </row>
    <row r="494" spans="1:13" s="64" customFormat="1">
      <c r="A494" s="10"/>
      <c r="B494" s="111"/>
      <c r="C494" s="68"/>
      <c r="D494" s="374"/>
      <c r="E494" s="112"/>
      <c r="F494" s="112"/>
      <c r="G494" s="68"/>
      <c r="H494" s="603"/>
      <c r="I494" s="882"/>
      <c r="J494" s="883"/>
      <c r="K494" s="884"/>
      <c r="L494" s="884"/>
      <c r="M494" s="68"/>
    </row>
    <row r="495" spans="1:13" s="64" customFormat="1">
      <c r="A495" s="10"/>
      <c r="B495" s="111"/>
      <c r="C495" s="68"/>
      <c r="D495" s="374"/>
      <c r="E495" s="112"/>
      <c r="F495" s="112"/>
      <c r="G495" s="68"/>
      <c r="H495" s="603"/>
      <c r="I495" s="882"/>
      <c r="J495" s="883"/>
      <c r="K495" s="884"/>
      <c r="L495" s="884"/>
      <c r="M495" s="68"/>
    </row>
    <row r="496" spans="1:13" s="64" customFormat="1">
      <c r="A496" s="10"/>
      <c r="B496" s="111"/>
      <c r="C496" s="68"/>
      <c r="D496" s="374"/>
      <c r="E496" s="112"/>
      <c r="F496" s="112"/>
      <c r="G496" s="68"/>
      <c r="H496" s="603"/>
      <c r="I496" s="882"/>
      <c r="J496" s="883"/>
      <c r="K496" s="884"/>
      <c r="L496" s="884"/>
      <c r="M496" s="68"/>
    </row>
    <row r="497" spans="1:13" s="64" customFormat="1">
      <c r="A497" s="10"/>
      <c r="B497" s="111"/>
      <c r="C497" s="68"/>
      <c r="D497" s="374"/>
      <c r="E497" s="112"/>
      <c r="F497" s="112"/>
      <c r="G497" s="68"/>
      <c r="H497" s="603"/>
      <c r="I497" s="882"/>
      <c r="J497" s="883"/>
      <c r="K497" s="884"/>
      <c r="L497" s="884"/>
      <c r="M497" s="68"/>
    </row>
    <row r="498" spans="1:13" s="64" customFormat="1">
      <c r="A498" s="10"/>
      <c r="B498" s="111"/>
      <c r="C498" s="68"/>
      <c r="D498" s="374"/>
      <c r="E498" s="112"/>
      <c r="F498" s="112"/>
      <c r="G498" s="68"/>
      <c r="H498" s="603"/>
      <c r="I498" s="882"/>
      <c r="J498" s="883"/>
      <c r="K498" s="884"/>
      <c r="L498" s="884"/>
      <c r="M498" s="68"/>
    </row>
    <row r="499" spans="1:13" s="64" customFormat="1">
      <c r="A499" s="10"/>
      <c r="B499" s="111"/>
      <c r="C499" s="68"/>
      <c r="D499" s="374"/>
      <c r="E499" s="112"/>
      <c r="F499" s="112"/>
      <c r="G499" s="68"/>
      <c r="H499" s="603"/>
      <c r="I499" s="882"/>
      <c r="J499" s="883"/>
      <c r="K499" s="884"/>
      <c r="L499" s="884"/>
      <c r="M499" s="68"/>
    </row>
    <row r="500" spans="1:13" s="64" customFormat="1">
      <c r="A500" s="10"/>
      <c r="B500" s="111"/>
      <c r="C500" s="68"/>
      <c r="D500" s="374"/>
      <c r="E500" s="112"/>
      <c r="F500" s="112"/>
      <c r="G500" s="68"/>
      <c r="H500" s="603"/>
      <c r="I500" s="882"/>
      <c r="J500" s="883"/>
      <c r="K500" s="884"/>
      <c r="L500" s="884"/>
      <c r="M500" s="68"/>
    </row>
    <row r="501" spans="1:13" s="64" customFormat="1">
      <c r="A501" s="10"/>
      <c r="B501" s="111"/>
      <c r="C501" s="68"/>
      <c r="D501" s="374"/>
      <c r="E501" s="112"/>
      <c r="F501" s="112"/>
      <c r="G501" s="68"/>
      <c r="H501" s="603"/>
      <c r="I501" s="882"/>
      <c r="J501" s="883"/>
      <c r="K501" s="884"/>
      <c r="L501" s="884"/>
      <c r="M501" s="68"/>
    </row>
    <row r="502" spans="1:13" s="64" customFormat="1">
      <c r="A502" s="10"/>
      <c r="B502" s="111"/>
      <c r="C502" s="68"/>
      <c r="D502" s="374"/>
      <c r="E502" s="112"/>
      <c r="F502" s="112"/>
      <c r="G502" s="68"/>
      <c r="H502" s="603"/>
      <c r="I502" s="882"/>
      <c r="J502" s="883"/>
      <c r="K502" s="884"/>
      <c r="L502" s="884"/>
      <c r="M502" s="68"/>
    </row>
    <row r="503" spans="1:13" s="64" customFormat="1">
      <c r="A503" s="10"/>
      <c r="B503" s="111"/>
      <c r="C503" s="68"/>
      <c r="D503" s="374"/>
      <c r="E503" s="112"/>
      <c r="F503" s="112"/>
      <c r="G503" s="68"/>
      <c r="H503" s="603"/>
      <c r="I503" s="882"/>
      <c r="J503" s="883"/>
      <c r="K503" s="884"/>
      <c r="L503" s="884"/>
      <c r="M503" s="68"/>
    </row>
    <row r="504" spans="1:13" s="64" customFormat="1">
      <c r="A504" s="10"/>
      <c r="B504" s="111"/>
      <c r="C504" s="68"/>
      <c r="D504" s="374"/>
      <c r="E504" s="112"/>
      <c r="F504" s="112"/>
      <c r="G504" s="68"/>
      <c r="H504" s="603"/>
      <c r="I504" s="882"/>
      <c r="J504" s="883"/>
      <c r="K504" s="884"/>
      <c r="L504" s="884"/>
      <c r="M504" s="68"/>
    </row>
    <row r="505" spans="1:13" s="64" customFormat="1">
      <c r="A505" s="10"/>
      <c r="B505" s="111"/>
      <c r="C505" s="68"/>
      <c r="D505" s="374"/>
      <c r="E505" s="112"/>
      <c r="F505" s="112"/>
      <c r="G505" s="68"/>
      <c r="H505" s="603"/>
      <c r="I505" s="882"/>
      <c r="J505" s="883"/>
      <c r="K505" s="884"/>
      <c r="L505" s="884"/>
      <c r="M505" s="68"/>
    </row>
    <row r="506" spans="1:13" s="64" customFormat="1">
      <c r="A506" s="10"/>
      <c r="B506" s="111"/>
      <c r="C506" s="68"/>
      <c r="D506" s="374"/>
      <c r="E506" s="112"/>
      <c r="F506" s="112"/>
      <c r="G506" s="68"/>
      <c r="H506" s="603"/>
      <c r="I506" s="882"/>
      <c r="J506" s="883"/>
      <c r="K506" s="884"/>
      <c r="L506" s="884"/>
      <c r="M506" s="68"/>
    </row>
    <row r="507" spans="1:13" s="64" customFormat="1">
      <c r="A507" s="10"/>
      <c r="B507" s="111"/>
      <c r="C507" s="68"/>
      <c r="D507" s="374"/>
      <c r="E507" s="112"/>
      <c r="F507" s="112"/>
      <c r="G507" s="68"/>
      <c r="H507" s="603"/>
      <c r="I507" s="882"/>
      <c r="J507" s="883"/>
      <c r="K507" s="884"/>
      <c r="L507" s="884"/>
      <c r="M507" s="68"/>
    </row>
    <row r="508" spans="1:13" s="64" customFormat="1">
      <c r="A508" s="10"/>
      <c r="B508" s="111"/>
      <c r="C508" s="68"/>
      <c r="D508" s="374"/>
      <c r="E508" s="112"/>
      <c r="F508" s="112"/>
      <c r="G508" s="68"/>
      <c r="H508" s="603"/>
      <c r="I508" s="882"/>
      <c r="J508" s="883"/>
      <c r="K508" s="884"/>
      <c r="L508" s="884"/>
      <c r="M508" s="68"/>
    </row>
    <row r="509" spans="1:13" s="64" customFormat="1">
      <c r="A509" s="10"/>
      <c r="B509" s="111"/>
      <c r="C509" s="68"/>
      <c r="D509" s="374"/>
      <c r="E509" s="112"/>
      <c r="F509" s="112"/>
      <c r="G509" s="68"/>
      <c r="H509" s="603"/>
      <c r="I509" s="882"/>
      <c r="J509" s="883"/>
      <c r="K509" s="884"/>
      <c r="L509" s="884"/>
      <c r="M509" s="68"/>
    </row>
    <row r="510" spans="1:13" s="64" customFormat="1">
      <c r="A510" s="10"/>
      <c r="B510" s="111"/>
      <c r="C510" s="68"/>
      <c r="D510" s="374"/>
      <c r="E510" s="112"/>
      <c r="F510" s="112"/>
      <c r="G510" s="68"/>
      <c r="H510" s="603"/>
      <c r="I510" s="882"/>
      <c r="J510" s="883"/>
      <c r="K510" s="884"/>
      <c r="L510" s="884"/>
      <c r="M510" s="68"/>
    </row>
    <row r="511" spans="1:13" s="64" customFormat="1">
      <c r="A511" s="10"/>
      <c r="B511" s="111"/>
      <c r="C511" s="68"/>
      <c r="D511" s="374"/>
      <c r="E511" s="112"/>
      <c r="F511" s="112"/>
      <c r="G511" s="68"/>
      <c r="H511" s="603"/>
      <c r="I511" s="882"/>
      <c r="J511" s="883"/>
      <c r="K511" s="884"/>
      <c r="L511" s="884"/>
      <c r="M511" s="68"/>
    </row>
    <row r="512" spans="1:13" s="64" customFormat="1">
      <c r="A512" s="10"/>
      <c r="B512" s="111"/>
      <c r="C512" s="68"/>
      <c r="D512" s="374"/>
      <c r="E512" s="112"/>
      <c r="F512" s="112"/>
      <c r="G512" s="68"/>
      <c r="H512" s="603"/>
      <c r="I512" s="882"/>
      <c r="J512" s="883"/>
      <c r="K512" s="884"/>
      <c r="L512" s="884"/>
      <c r="M512" s="68"/>
    </row>
    <row r="513" spans="1:13" s="64" customFormat="1">
      <c r="A513" s="10"/>
      <c r="B513" s="111"/>
      <c r="C513" s="68"/>
      <c r="D513" s="374"/>
      <c r="E513" s="112"/>
      <c r="F513" s="112"/>
      <c r="G513" s="68"/>
      <c r="H513" s="603"/>
      <c r="I513" s="882"/>
      <c r="J513" s="883"/>
      <c r="K513" s="884"/>
      <c r="L513" s="884"/>
      <c r="M513" s="68"/>
    </row>
    <row r="514" spans="1:13" s="64" customFormat="1">
      <c r="A514" s="10"/>
      <c r="B514" s="111"/>
      <c r="C514" s="68"/>
      <c r="D514" s="374"/>
      <c r="E514" s="112"/>
      <c r="F514" s="112"/>
      <c r="G514" s="68"/>
      <c r="H514" s="603"/>
      <c r="I514" s="882"/>
      <c r="J514" s="883"/>
      <c r="K514" s="884"/>
      <c r="L514" s="884"/>
      <c r="M514" s="68"/>
    </row>
    <row r="515" spans="1:13" s="64" customFormat="1">
      <c r="A515" s="10"/>
      <c r="B515" s="111"/>
      <c r="C515" s="68"/>
      <c r="D515" s="374"/>
      <c r="E515" s="112"/>
      <c r="F515" s="112"/>
      <c r="G515" s="68"/>
      <c r="H515" s="603"/>
      <c r="I515" s="882"/>
      <c r="J515" s="883"/>
      <c r="K515" s="884"/>
      <c r="L515" s="884"/>
      <c r="M515" s="68"/>
    </row>
    <row r="516" spans="1:13" s="64" customFormat="1">
      <c r="A516" s="10"/>
      <c r="B516" s="111"/>
      <c r="C516" s="68"/>
      <c r="D516" s="374"/>
      <c r="E516" s="112"/>
      <c r="F516" s="112"/>
      <c r="G516" s="68"/>
      <c r="H516" s="603"/>
      <c r="I516" s="882"/>
      <c r="J516" s="883"/>
      <c r="K516" s="884"/>
      <c r="L516" s="884"/>
      <c r="M516" s="68"/>
    </row>
    <row r="517" spans="1:13" s="64" customFormat="1">
      <c r="A517" s="10"/>
      <c r="B517" s="111"/>
      <c r="C517" s="68"/>
      <c r="D517" s="374"/>
      <c r="E517" s="112"/>
      <c r="F517" s="112"/>
      <c r="G517" s="68"/>
      <c r="H517" s="603"/>
      <c r="I517" s="882"/>
      <c r="J517" s="883"/>
      <c r="K517" s="884"/>
      <c r="L517" s="884"/>
      <c r="M517" s="68"/>
    </row>
    <row r="518" spans="1:13" s="64" customFormat="1">
      <c r="A518" s="10"/>
      <c r="B518" s="111"/>
      <c r="C518" s="68"/>
      <c r="D518" s="374"/>
      <c r="E518" s="112"/>
      <c r="F518" s="112"/>
      <c r="G518" s="68"/>
      <c r="H518" s="603"/>
      <c r="I518" s="882"/>
      <c r="J518" s="883"/>
      <c r="K518" s="884"/>
      <c r="L518" s="884"/>
      <c r="M518" s="68"/>
    </row>
    <row r="519" spans="1:13" s="64" customFormat="1">
      <c r="A519" s="10"/>
      <c r="B519" s="111"/>
      <c r="C519" s="68"/>
      <c r="D519" s="374"/>
      <c r="E519" s="112"/>
      <c r="F519" s="112"/>
      <c r="G519" s="68"/>
      <c r="H519" s="603"/>
      <c r="I519" s="882"/>
      <c r="J519" s="883"/>
      <c r="K519" s="884"/>
      <c r="L519" s="884"/>
      <c r="M519" s="68"/>
    </row>
    <row r="520" spans="1:13" s="64" customFormat="1">
      <c r="A520" s="10"/>
      <c r="B520" s="111"/>
      <c r="C520" s="68"/>
      <c r="D520" s="374"/>
      <c r="E520" s="112"/>
      <c r="F520" s="112"/>
      <c r="G520" s="68"/>
      <c r="H520" s="603"/>
      <c r="I520" s="882"/>
      <c r="J520" s="883"/>
      <c r="K520" s="884"/>
      <c r="L520" s="884"/>
      <c r="M520" s="68"/>
    </row>
    <row r="521" spans="1:13" s="64" customFormat="1">
      <c r="A521" s="10"/>
      <c r="B521" s="111"/>
      <c r="C521" s="68"/>
      <c r="D521" s="374"/>
      <c r="E521" s="112"/>
      <c r="F521" s="112"/>
      <c r="G521" s="68"/>
      <c r="H521" s="603"/>
      <c r="I521" s="882"/>
      <c r="J521" s="883"/>
      <c r="K521" s="884"/>
      <c r="L521" s="884"/>
      <c r="M521" s="68"/>
    </row>
    <row r="522" spans="1:13" s="64" customFormat="1">
      <c r="A522" s="10"/>
      <c r="B522" s="111"/>
      <c r="C522" s="68"/>
      <c r="D522" s="374"/>
      <c r="E522" s="112"/>
      <c r="F522" s="112"/>
      <c r="G522" s="68"/>
      <c r="H522" s="603"/>
      <c r="I522" s="882"/>
      <c r="J522" s="883"/>
      <c r="K522" s="884"/>
      <c r="L522" s="884"/>
      <c r="M522" s="68"/>
    </row>
    <row r="523" spans="1:13" s="64" customFormat="1">
      <c r="A523" s="10"/>
      <c r="B523" s="111"/>
      <c r="C523" s="68"/>
      <c r="D523" s="374"/>
      <c r="E523" s="112"/>
      <c r="F523" s="112"/>
      <c r="G523" s="68"/>
      <c r="H523" s="603"/>
      <c r="I523" s="882"/>
      <c r="J523" s="883"/>
      <c r="K523" s="884"/>
      <c r="L523" s="884"/>
      <c r="M523" s="68"/>
    </row>
    <row r="524" spans="1:13" s="64" customFormat="1">
      <c r="A524" s="10"/>
      <c r="B524" s="111"/>
      <c r="C524" s="68"/>
      <c r="D524" s="374"/>
      <c r="E524" s="112"/>
      <c r="F524" s="112"/>
      <c r="G524" s="68"/>
      <c r="H524" s="603"/>
      <c r="I524" s="882"/>
      <c r="J524" s="883"/>
      <c r="K524" s="884"/>
      <c r="L524" s="884"/>
      <c r="M524" s="68"/>
    </row>
    <row r="525" spans="1:13" s="64" customFormat="1">
      <c r="A525" s="10"/>
      <c r="B525" s="111"/>
      <c r="C525" s="68"/>
      <c r="D525" s="374"/>
      <c r="E525" s="112"/>
      <c r="F525" s="112"/>
      <c r="G525" s="68"/>
      <c r="H525" s="603"/>
      <c r="I525" s="882"/>
      <c r="J525" s="883"/>
      <c r="K525" s="884"/>
      <c r="L525" s="884"/>
      <c r="M525" s="68"/>
    </row>
    <row r="526" spans="1:13" s="64" customFormat="1">
      <c r="A526" s="10"/>
      <c r="B526" s="111"/>
      <c r="C526" s="68"/>
      <c r="D526" s="374"/>
      <c r="E526" s="112"/>
      <c r="F526" s="112"/>
      <c r="G526" s="68"/>
      <c r="H526" s="603"/>
      <c r="I526" s="882"/>
      <c r="J526" s="883"/>
      <c r="K526" s="884"/>
      <c r="L526" s="884"/>
      <c r="M526" s="68"/>
    </row>
    <row r="527" spans="1:13" s="64" customFormat="1">
      <c r="A527" s="10"/>
      <c r="B527" s="111"/>
      <c r="C527" s="68"/>
      <c r="D527" s="374"/>
      <c r="E527" s="112"/>
      <c r="F527" s="112"/>
      <c r="G527" s="68"/>
      <c r="H527" s="603"/>
      <c r="I527" s="882"/>
      <c r="J527" s="883"/>
      <c r="K527" s="884"/>
      <c r="L527" s="884"/>
      <c r="M527" s="68"/>
    </row>
    <row r="528" spans="1:13" s="64" customFormat="1">
      <c r="A528" s="10"/>
      <c r="B528" s="111"/>
      <c r="C528" s="68"/>
      <c r="D528" s="374"/>
      <c r="E528" s="112"/>
      <c r="F528" s="112"/>
      <c r="G528" s="68"/>
      <c r="H528" s="603"/>
      <c r="I528" s="882"/>
      <c r="J528" s="883"/>
      <c r="K528" s="884"/>
      <c r="L528" s="884"/>
      <c r="M528" s="68"/>
    </row>
    <row r="529" spans="1:13" s="64" customFormat="1">
      <c r="A529" s="10"/>
      <c r="B529" s="111"/>
      <c r="C529" s="68"/>
      <c r="D529" s="374"/>
      <c r="E529" s="112"/>
      <c r="F529" s="112"/>
      <c r="G529" s="68"/>
      <c r="H529" s="603"/>
      <c r="I529" s="882"/>
      <c r="J529" s="883"/>
      <c r="K529" s="884"/>
      <c r="L529" s="884"/>
      <c r="M529" s="68"/>
    </row>
    <row r="530" spans="1:13" s="64" customFormat="1">
      <c r="A530" s="10"/>
      <c r="B530" s="111"/>
      <c r="C530" s="68"/>
      <c r="D530" s="374"/>
      <c r="E530" s="112"/>
      <c r="F530" s="112"/>
      <c r="G530" s="68"/>
      <c r="H530" s="603"/>
      <c r="I530" s="882"/>
      <c r="J530" s="883"/>
      <c r="K530" s="884"/>
      <c r="L530" s="884"/>
      <c r="M530" s="68"/>
    </row>
    <row r="531" spans="1:13" s="64" customFormat="1">
      <c r="A531" s="10"/>
      <c r="B531" s="111"/>
      <c r="C531" s="68"/>
      <c r="D531" s="374"/>
      <c r="E531" s="112"/>
      <c r="F531" s="112"/>
      <c r="G531" s="68"/>
      <c r="H531" s="603"/>
      <c r="I531" s="882"/>
      <c r="J531" s="883"/>
      <c r="K531" s="884"/>
      <c r="L531" s="884"/>
      <c r="M531" s="68"/>
    </row>
    <row r="532" spans="1:13" s="64" customFormat="1">
      <c r="A532" s="10"/>
      <c r="B532" s="111"/>
      <c r="C532" s="68"/>
      <c r="D532" s="374"/>
      <c r="E532" s="112"/>
      <c r="F532" s="112"/>
      <c r="G532" s="68"/>
      <c r="H532" s="603"/>
      <c r="I532" s="882"/>
      <c r="J532" s="883"/>
      <c r="K532" s="884"/>
      <c r="L532" s="884"/>
      <c r="M532" s="68"/>
    </row>
    <row r="533" spans="1:13" s="64" customFormat="1">
      <c r="A533" s="10"/>
      <c r="B533" s="111"/>
      <c r="C533" s="68"/>
      <c r="D533" s="374"/>
      <c r="E533" s="112"/>
      <c r="F533" s="112"/>
      <c r="G533" s="68"/>
      <c r="H533" s="603"/>
      <c r="I533" s="882"/>
      <c r="J533" s="883"/>
      <c r="K533" s="884"/>
      <c r="L533" s="884"/>
      <c r="M533" s="68"/>
    </row>
    <row r="534" spans="1:13" s="64" customFormat="1">
      <c r="A534" s="10"/>
      <c r="B534" s="111"/>
      <c r="C534" s="68"/>
      <c r="D534" s="374"/>
      <c r="E534" s="112"/>
      <c r="F534" s="112"/>
      <c r="G534" s="68"/>
      <c r="H534" s="603"/>
      <c r="I534" s="882"/>
      <c r="J534" s="883"/>
      <c r="K534" s="884"/>
      <c r="L534" s="884"/>
      <c r="M534" s="68"/>
    </row>
    <row r="535" spans="1:13" s="64" customFormat="1">
      <c r="A535" s="10"/>
      <c r="B535" s="111"/>
      <c r="C535" s="68"/>
      <c r="D535" s="374"/>
      <c r="E535" s="112"/>
      <c r="F535" s="112"/>
      <c r="G535" s="68"/>
      <c r="H535" s="603"/>
      <c r="I535" s="882"/>
      <c r="J535" s="883"/>
      <c r="K535" s="884"/>
      <c r="L535" s="884"/>
      <c r="M535" s="68"/>
    </row>
    <row r="536" spans="1:13" s="64" customFormat="1">
      <c r="A536" s="10"/>
      <c r="B536" s="111"/>
      <c r="C536" s="68"/>
      <c r="D536" s="374"/>
      <c r="E536" s="112"/>
      <c r="F536" s="112"/>
      <c r="G536" s="68"/>
      <c r="H536" s="603"/>
      <c r="I536" s="882"/>
      <c r="J536" s="883"/>
      <c r="K536" s="884"/>
      <c r="L536" s="884"/>
      <c r="M536" s="68"/>
    </row>
    <row r="537" spans="1:13" s="64" customFormat="1">
      <c r="A537" s="10"/>
      <c r="B537" s="111"/>
      <c r="C537" s="68"/>
      <c r="D537" s="374"/>
      <c r="E537" s="112"/>
      <c r="F537" s="112"/>
      <c r="G537" s="68"/>
      <c r="H537" s="603"/>
      <c r="I537" s="882"/>
      <c r="J537" s="883"/>
      <c r="K537" s="884"/>
      <c r="L537" s="884"/>
      <c r="M537" s="68"/>
    </row>
    <row r="538" spans="1:13" s="64" customFormat="1">
      <c r="A538" s="10"/>
      <c r="B538" s="111"/>
      <c r="C538" s="68"/>
      <c r="D538" s="374"/>
      <c r="E538" s="112"/>
      <c r="F538" s="112"/>
      <c r="G538" s="68"/>
      <c r="H538" s="603"/>
      <c r="I538" s="882"/>
      <c r="J538" s="883"/>
      <c r="K538" s="884"/>
      <c r="L538" s="884"/>
      <c r="M538" s="68"/>
    </row>
    <row r="539" spans="1:13" s="64" customFormat="1">
      <c r="A539" s="10"/>
      <c r="B539" s="111"/>
      <c r="C539" s="68"/>
      <c r="D539" s="374"/>
      <c r="E539" s="112"/>
      <c r="F539" s="112"/>
      <c r="G539" s="68"/>
      <c r="H539" s="603"/>
      <c r="I539" s="882"/>
      <c r="J539" s="883"/>
      <c r="K539" s="884"/>
      <c r="L539" s="884"/>
      <c r="M539" s="68"/>
    </row>
    <row r="540" spans="1:13" s="64" customFormat="1">
      <c r="A540" s="10"/>
      <c r="B540" s="111"/>
      <c r="C540" s="68"/>
      <c r="D540" s="374"/>
      <c r="E540" s="112"/>
      <c r="F540" s="112"/>
      <c r="G540" s="68"/>
      <c r="H540" s="603"/>
      <c r="I540" s="882"/>
      <c r="J540" s="883"/>
      <c r="K540" s="884"/>
      <c r="L540" s="884"/>
      <c r="M540" s="68"/>
    </row>
    <row r="541" spans="1:13" s="64" customFormat="1">
      <c r="A541" s="10"/>
      <c r="B541" s="111"/>
      <c r="C541" s="68"/>
      <c r="D541" s="374"/>
      <c r="E541" s="112"/>
      <c r="F541" s="112"/>
      <c r="G541" s="68"/>
      <c r="H541" s="603"/>
      <c r="I541" s="882"/>
      <c r="J541" s="883"/>
      <c r="K541" s="884"/>
      <c r="L541" s="884"/>
      <c r="M541" s="68"/>
    </row>
    <row r="542" spans="1:13" s="64" customFormat="1">
      <c r="A542" s="10"/>
      <c r="B542" s="111"/>
      <c r="C542" s="68"/>
      <c r="D542" s="374"/>
      <c r="E542" s="112"/>
      <c r="F542" s="112"/>
      <c r="G542" s="68"/>
      <c r="H542" s="603"/>
      <c r="I542" s="882"/>
      <c r="J542" s="883"/>
      <c r="K542" s="884"/>
      <c r="L542" s="884"/>
      <c r="M542" s="68"/>
    </row>
    <row r="543" spans="1:13" s="64" customFormat="1">
      <c r="A543" s="10"/>
      <c r="B543" s="111"/>
      <c r="C543" s="68"/>
      <c r="D543" s="374"/>
      <c r="E543" s="112"/>
      <c r="F543" s="112"/>
      <c r="G543" s="68"/>
      <c r="H543" s="603"/>
      <c r="I543" s="882"/>
      <c r="J543" s="883"/>
      <c r="K543" s="884"/>
      <c r="L543" s="884"/>
      <c r="M543" s="68"/>
    </row>
    <row r="544" spans="1:13" s="64" customFormat="1">
      <c r="A544" s="10"/>
      <c r="B544" s="111"/>
      <c r="C544" s="68"/>
      <c r="D544" s="374"/>
      <c r="E544" s="112"/>
      <c r="F544" s="112"/>
      <c r="G544" s="68"/>
      <c r="H544" s="603"/>
      <c r="I544" s="882"/>
      <c r="J544" s="883"/>
      <c r="K544" s="884"/>
      <c r="L544" s="884"/>
      <c r="M544" s="68"/>
    </row>
    <row r="545" spans="1:13" s="64" customFormat="1">
      <c r="A545" s="10"/>
      <c r="B545" s="111"/>
      <c r="C545" s="68"/>
      <c r="D545" s="374"/>
      <c r="E545" s="112"/>
      <c r="F545" s="112"/>
      <c r="G545" s="68"/>
      <c r="H545" s="603"/>
      <c r="I545" s="882"/>
      <c r="J545" s="883"/>
      <c r="K545" s="884"/>
      <c r="L545" s="884"/>
      <c r="M545" s="68"/>
    </row>
    <row r="546" spans="1:13" s="64" customFormat="1">
      <c r="A546" s="10"/>
      <c r="B546" s="111"/>
      <c r="C546" s="68"/>
      <c r="D546" s="374"/>
      <c r="E546" s="112"/>
      <c r="F546" s="112"/>
      <c r="G546" s="68"/>
      <c r="H546" s="603"/>
      <c r="I546" s="882"/>
      <c r="J546" s="883"/>
      <c r="K546" s="884"/>
      <c r="L546" s="884"/>
      <c r="M546" s="68"/>
    </row>
    <row r="547" spans="1:13" s="64" customFormat="1">
      <c r="A547" s="10"/>
      <c r="B547" s="111"/>
      <c r="C547" s="68"/>
      <c r="D547" s="374"/>
      <c r="E547" s="112"/>
      <c r="F547" s="112"/>
      <c r="G547" s="68"/>
      <c r="H547" s="603"/>
      <c r="I547" s="882"/>
      <c r="J547" s="883"/>
      <c r="K547" s="884"/>
      <c r="L547" s="884"/>
      <c r="M547" s="68"/>
    </row>
    <row r="548" spans="1:13" s="64" customFormat="1">
      <c r="A548" s="10"/>
      <c r="B548" s="111"/>
      <c r="C548" s="68"/>
      <c r="D548" s="374"/>
      <c r="E548" s="112"/>
      <c r="F548" s="112"/>
      <c r="G548" s="68"/>
      <c r="H548" s="603"/>
      <c r="I548" s="882"/>
      <c r="J548" s="883"/>
      <c r="K548" s="884"/>
      <c r="L548" s="884"/>
      <c r="M548" s="68"/>
    </row>
    <row r="549" spans="1:13" s="64" customFormat="1">
      <c r="A549" s="10"/>
      <c r="B549" s="111"/>
      <c r="C549" s="68"/>
      <c r="D549" s="374"/>
      <c r="E549" s="112"/>
      <c r="F549" s="112"/>
      <c r="G549" s="68"/>
      <c r="H549" s="603"/>
      <c r="I549" s="882"/>
      <c r="J549" s="883"/>
      <c r="K549" s="884"/>
      <c r="L549" s="884"/>
      <c r="M549" s="68"/>
    </row>
    <row r="550" spans="1:13" s="64" customFormat="1">
      <c r="A550" s="10"/>
      <c r="B550" s="111"/>
      <c r="C550" s="68"/>
      <c r="D550" s="374"/>
      <c r="E550" s="112"/>
      <c r="F550" s="112"/>
      <c r="G550" s="68"/>
      <c r="H550" s="603"/>
      <c r="I550" s="882"/>
      <c r="J550" s="883"/>
      <c r="K550" s="884"/>
      <c r="L550" s="884"/>
      <c r="M550" s="68"/>
    </row>
    <row r="551" spans="1:13" s="64" customFormat="1">
      <c r="A551" s="10"/>
      <c r="B551" s="111"/>
      <c r="C551" s="68"/>
      <c r="D551" s="374"/>
      <c r="E551" s="112"/>
      <c r="F551" s="112"/>
      <c r="G551" s="68"/>
      <c r="H551" s="603"/>
      <c r="I551" s="882"/>
      <c r="J551" s="883"/>
      <c r="K551" s="884"/>
      <c r="L551" s="884"/>
      <c r="M551" s="68"/>
    </row>
    <row r="552" spans="1:13" s="64" customFormat="1">
      <c r="A552" s="10"/>
      <c r="B552" s="111"/>
      <c r="C552" s="68"/>
      <c r="D552" s="374"/>
      <c r="E552" s="112"/>
      <c r="F552" s="112"/>
      <c r="G552" s="68"/>
      <c r="H552" s="603"/>
      <c r="I552" s="882"/>
      <c r="J552" s="883"/>
      <c r="K552" s="884"/>
      <c r="L552" s="884"/>
      <c r="M552" s="68"/>
    </row>
    <row r="553" spans="1:13" s="64" customFormat="1">
      <c r="A553" s="10"/>
      <c r="B553" s="111"/>
      <c r="C553" s="68"/>
      <c r="D553" s="374"/>
      <c r="E553" s="112"/>
      <c r="F553" s="112"/>
      <c r="G553" s="68"/>
      <c r="H553" s="603"/>
      <c r="I553" s="882"/>
      <c r="J553" s="883"/>
      <c r="K553" s="884"/>
      <c r="L553" s="884"/>
      <c r="M553" s="68"/>
    </row>
    <row r="554" spans="1:13" s="64" customFormat="1">
      <c r="A554" s="10"/>
      <c r="B554" s="111"/>
      <c r="C554" s="68"/>
      <c r="D554" s="374"/>
      <c r="E554" s="112"/>
      <c r="F554" s="112"/>
      <c r="G554" s="68"/>
      <c r="H554" s="603"/>
      <c r="I554" s="882"/>
      <c r="J554" s="883"/>
      <c r="K554" s="884"/>
      <c r="L554" s="884"/>
      <c r="M554" s="68"/>
    </row>
    <row r="555" spans="1:13" s="64" customFormat="1">
      <c r="A555" s="10"/>
      <c r="B555" s="111"/>
      <c r="C555" s="68"/>
      <c r="D555" s="374"/>
      <c r="E555" s="112"/>
      <c r="F555" s="112"/>
      <c r="G555" s="68"/>
      <c r="H555" s="603"/>
      <c r="I555" s="882"/>
      <c r="J555" s="883"/>
      <c r="K555" s="884"/>
      <c r="L555" s="884"/>
      <c r="M555" s="68"/>
    </row>
    <row r="556" spans="1:13" s="64" customFormat="1">
      <c r="A556" s="10"/>
      <c r="B556" s="111"/>
      <c r="C556" s="68"/>
      <c r="D556" s="374"/>
      <c r="E556" s="112"/>
      <c r="F556" s="112"/>
      <c r="G556" s="68"/>
      <c r="H556" s="603"/>
      <c r="I556" s="882"/>
      <c r="J556" s="883"/>
      <c r="K556" s="884"/>
      <c r="L556" s="884"/>
      <c r="M556" s="68"/>
    </row>
    <row r="557" spans="1:13" s="64" customFormat="1">
      <c r="A557" s="10"/>
      <c r="B557" s="111"/>
      <c r="C557" s="68"/>
      <c r="D557" s="374"/>
      <c r="E557" s="112"/>
      <c r="F557" s="112"/>
      <c r="G557" s="68"/>
      <c r="H557" s="603"/>
      <c r="I557" s="882"/>
      <c r="J557" s="883"/>
      <c r="K557" s="884"/>
      <c r="L557" s="884"/>
      <c r="M557" s="68"/>
    </row>
    <row r="558" spans="1:13" s="64" customFormat="1">
      <c r="A558" s="10"/>
      <c r="B558" s="111"/>
      <c r="C558" s="68"/>
      <c r="D558" s="374"/>
      <c r="E558" s="112"/>
      <c r="F558" s="112"/>
      <c r="G558" s="68"/>
      <c r="H558" s="603"/>
      <c r="I558" s="882"/>
      <c r="J558" s="883"/>
      <c r="K558" s="884"/>
      <c r="L558" s="884"/>
      <c r="M558" s="68"/>
    </row>
    <row r="559" spans="1:13" s="64" customFormat="1">
      <c r="A559" s="10"/>
      <c r="B559" s="111"/>
      <c r="C559" s="68"/>
      <c r="D559" s="374"/>
      <c r="E559" s="112"/>
      <c r="F559" s="112"/>
      <c r="G559" s="68"/>
      <c r="H559" s="603"/>
      <c r="I559" s="882"/>
      <c r="J559" s="883"/>
      <c r="K559" s="884"/>
      <c r="L559" s="884"/>
      <c r="M559" s="68"/>
    </row>
    <row r="560" spans="1:13" s="64" customFormat="1">
      <c r="A560" s="10"/>
      <c r="B560" s="111"/>
      <c r="C560" s="68"/>
      <c r="D560" s="374"/>
      <c r="E560" s="112"/>
      <c r="F560" s="112"/>
      <c r="G560" s="68"/>
      <c r="H560" s="603"/>
      <c r="I560" s="882"/>
      <c r="J560" s="883"/>
      <c r="K560" s="884"/>
      <c r="L560" s="884"/>
      <c r="M560" s="68"/>
    </row>
    <row r="561" spans="1:13" s="64" customFormat="1">
      <c r="A561" s="10"/>
      <c r="B561" s="111"/>
      <c r="C561" s="68"/>
      <c r="D561" s="374"/>
      <c r="E561" s="112"/>
      <c r="F561" s="112"/>
      <c r="G561" s="68"/>
      <c r="H561" s="603"/>
      <c r="I561" s="882"/>
      <c r="J561" s="883"/>
      <c r="K561" s="884"/>
      <c r="L561" s="884"/>
      <c r="M561" s="68"/>
    </row>
    <row r="562" spans="1:13" s="64" customFormat="1">
      <c r="A562" s="10"/>
      <c r="B562" s="111"/>
      <c r="C562" s="68"/>
      <c r="D562" s="374"/>
      <c r="E562" s="112"/>
      <c r="F562" s="112"/>
      <c r="G562" s="68"/>
      <c r="H562" s="603"/>
      <c r="I562" s="882"/>
      <c r="J562" s="883"/>
      <c r="K562" s="884"/>
      <c r="L562" s="884"/>
      <c r="M562" s="68"/>
    </row>
    <row r="563" spans="1:13" s="64" customFormat="1">
      <c r="A563" s="10"/>
      <c r="B563" s="111"/>
      <c r="C563" s="68"/>
      <c r="D563" s="374"/>
      <c r="E563" s="112"/>
      <c r="F563" s="112"/>
      <c r="G563" s="68"/>
      <c r="H563" s="603"/>
      <c r="I563" s="882"/>
      <c r="J563" s="883"/>
      <c r="K563" s="884"/>
      <c r="L563" s="884"/>
      <c r="M563" s="68"/>
    </row>
    <row r="564" spans="1:13" s="64" customFormat="1">
      <c r="A564" s="10"/>
      <c r="B564" s="111"/>
      <c r="C564" s="68"/>
      <c r="D564" s="374"/>
      <c r="E564" s="112"/>
      <c r="F564" s="112"/>
      <c r="G564" s="68"/>
      <c r="H564" s="603"/>
      <c r="I564" s="882"/>
      <c r="J564" s="883"/>
      <c r="K564" s="884"/>
      <c r="L564" s="884"/>
      <c r="M564" s="68"/>
    </row>
    <row r="565" spans="1:13" s="64" customFormat="1">
      <c r="A565" s="10"/>
      <c r="B565" s="111"/>
      <c r="C565" s="68"/>
      <c r="D565" s="374"/>
      <c r="E565" s="112"/>
      <c r="F565" s="112"/>
      <c r="G565" s="68"/>
      <c r="H565" s="603"/>
      <c r="I565" s="882"/>
      <c r="J565" s="883"/>
      <c r="K565" s="884"/>
      <c r="L565" s="884"/>
      <c r="M565" s="68"/>
    </row>
    <row r="566" spans="1:13" s="64" customFormat="1">
      <c r="A566" s="10"/>
      <c r="B566" s="111"/>
      <c r="C566" s="68"/>
      <c r="D566" s="374"/>
      <c r="E566" s="112"/>
      <c r="F566" s="112"/>
      <c r="G566" s="68"/>
      <c r="H566" s="603"/>
      <c r="I566" s="882"/>
      <c r="J566" s="883"/>
      <c r="K566" s="884"/>
      <c r="L566" s="884"/>
      <c r="M566" s="68"/>
    </row>
    <row r="567" spans="1:13" s="64" customFormat="1">
      <c r="A567" s="10"/>
      <c r="B567" s="111"/>
      <c r="C567" s="68"/>
      <c r="D567" s="374"/>
      <c r="E567" s="112"/>
      <c r="F567" s="112"/>
      <c r="G567" s="68"/>
      <c r="H567" s="603"/>
      <c r="I567" s="882"/>
      <c r="J567" s="883"/>
      <c r="K567" s="884"/>
      <c r="L567" s="884"/>
      <c r="M567" s="68"/>
    </row>
    <row r="568" spans="1:13" s="64" customFormat="1">
      <c r="A568" s="10"/>
      <c r="B568" s="111"/>
      <c r="C568" s="68"/>
      <c r="D568" s="374"/>
      <c r="E568" s="112"/>
      <c r="F568" s="112"/>
      <c r="G568" s="68"/>
      <c r="H568" s="603"/>
      <c r="I568" s="882"/>
      <c r="J568" s="883"/>
      <c r="K568" s="884"/>
      <c r="L568" s="884"/>
      <c r="M568" s="68"/>
    </row>
    <row r="569" spans="1:13" s="64" customFormat="1">
      <c r="A569" s="10"/>
      <c r="B569" s="111"/>
      <c r="C569" s="68"/>
      <c r="D569" s="374"/>
      <c r="E569" s="112"/>
      <c r="F569" s="112"/>
      <c r="G569" s="68"/>
      <c r="H569" s="603"/>
      <c r="I569" s="882"/>
      <c r="J569" s="883"/>
      <c r="K569" s="884"/>
      <c r="L569" s="884"/>
      <c r="M569" s="68"/>
    </row>
    <row r="570" spans="1:13" s="64" customFormat="1">
      <c r="A570" s="10"/>
      <c r="B570" s="111"/>
      <c r="C570" s="68"/>
      <c r="D570" s="374"/>
      <c r="E570" s="112"/>
      <c r="F570" s="112"/>
      <c r="G570" s="68"/>
      <c r="H570" s="603"/>
      <c r="I570" s="882"/>
      <c r="J570" s="883"/>
      <c r="K570" s="884"/>
      <c r="L570" s="884"/>
      <c r="M570" s="68"/>
    </row>
    <row r="571" spans="1:13" s="64" customFormat="1">
      <c r="A571" s="10"/>
      <c r="B571" s="111"/>
      <c r="C571" s="68"/>
      <c r="D571" s="374"/>
      <c r="E571" s="112"/>
      <c r="F571" s="112"/>
      <c r="G571" s="68"/>
      <c r="H571" s="603"/>
      <c r="I571" s="882"/>
      <c r="J571" s="883"/>
      <c r="K571" s="884"/>
      <c r="L571" s="884"/>
      <c r="M571" s="68"/>
    </row>
    <row r="572" spans="1:13" s="64" customFormat="1">
      <c r="A572" s="10"/>
      <c r="B572" s="111"/>
      <c r="C572" s="68"/>
      <c r="D572" s="374"/>
      <c r="E572" s="112"/>
      <c r="F572" s="112"/>
      <c r="G572" s="68"/>
      <c r="H572" s="603"/>
      <c r="I572" s="882"/>
      <c r="J572" s="883"/>
      <c r="K572" s="884"/>
      <c r="L572" s="884"/>
      <c r="M572" s="68"/>
    </row>
    <row r="573" spans="1:13" s="64" customFormat="1">
      <c r="A573" s="10"/>
      <c r="B573" s="111"/>
      <c r="C573" s="68"/>
      <c r="D573" s="374"/>
      <c r="E573" s="112"/>
      <c r="F573" s="112"/>
      <c r="G573" s="68"/>
      <c r="H573" s="603"/>
      <c r="I573" s="882"/>
      <c r="J573" s="883"/>
      <c r="K573" s="884"/>
      <c r="L573" s="884"/>
      <c r="M573" s="68"/>
    </row>
    <row r="574" spans="1:13" s="64" customFormat="1">
      <c r="A574" s="10"/>
      <c r="B574" s="111"/>
      <c r="C574" s="68"/>
      <c r="D574" s="374"/>
      <c r="E574" s="112"/>
      <c r="F574" s="112"/>
      <c r="G574" s="68"/>
      <c r="H574" s="603"/>
      <c r="I574" s="882"/>
      <c r="J574" s="883"/>
      <c r="K574" s="884"/>
      <c r="L574" s="884"/>
      <c r="M574" s="68"/>
    </row>
    <row r="575" spans="1:13" s="64" customFormat="1">
      <c r="A575" s="10"/>
      <c r="B575" s="111"/>
      <c r="C575" s="68"/>
      <c r="D575" s="374"/>
      <c r="E575" s="112"/>
      <c r="F575" s="112"/>
      <c r="G575" s="68"/>
      <c r="H575" s="603"/>
      <c r="I575" s="882"/>
      <c r="J575" s="883"/>
      <c r="K575" s="884"/>
      <c r="L575" s="884"/>
      <c r="M575" s="68"/>
    </row>
    <row r="576" spans="1:13" s="64" customFormat="1">
      <c r="A576" s="10"/>
      <c r="B576" s="111"/>
      <c r="C576" s="68"/>
      <c r="D576" s="374"/>
      <c r="E576" s="112"/>
      <c r="F576" s="112"/>
      <c r="G576" s="68"/>
      <c r="H576" s="603"/>
      <c r="I576" s="882"/>
      <c r="J576" s="883"/>
      <c r="K576" s="884"/>
      <c r="L576" s="884"/>
      <c r="M576" s="68"/>
    </row>
    <row r="577" spans="1:13" s="64" customFormat="1">
      <c r="A577" s="10"/>
      <c r="B577" s="111"/>
      <c r="C577" s="68"/>
      <c r="D577" s="374"/>
      <c r="E577" s="112"/>
      <c r="F577" s="112"/>
      <c r="G577" s="68"/>
      <c r="H577" s="603"/>
      <c r="I577" s="882"/>
      <c r="J577" s="883"/>
      <c r="K577" s="884"/>
      <c r="L577" s="884"/>
      <c r="M577" s="68"/>
    </row>
    <row r="578" spans="1:13" s="64" customFormat="1">
      <c r="A578" s="10"/>
      <c r="B578" s="111"/>
      <c r="C578" s="68"/>
      <c r="D578" s="374"/>
      <c r="E578" s="112"/>
      <c r="F578" s="112"/>
      <c r="G578" s="68"/>
      <c r="H578" s="603"/>
      <c r="I578" s="882"/>
      <c r="J578" s="883"/>
      <c r="K578" s="884"/>
      <c r="L578" s="884"/>
      <c r="M578" s="68"/>
    </row>
    <row r="579" spans="1:13" s="64" customFormat="1">
      <c r="A579" s="10"/>
      <c r="B579" s="111"/>
      <c r="C579" s="68"/>
      <c r="D579" s="374"/>
      <c r="E579" s="112"/>
      <c r="F579" s="112"/>
      <c r="G579" s="68"/>
      <c r="H579" s="603"/>
      <c r="I579" s="882"/>
      <c r="J579" s="883"/>
      <c r="K579" s="884"/>
      <c r="L579" s="884"/>
      <c r="M579" s="68"/>
    </row>
    <row r="580" spans="1:13" s="64" customFormat="1">
      <c r="A580" s="10"/>
      <c r="B580" s="111"/>
      <c r="C580" s="68"/>
      <c r="D580" s="374"/>
      <c r="E580" s="112"/>
      <c r="F580" s="112"/>
      <c r="G580" s="68"/>
      <c r="H580" s="603"/>
      <c r="I580" s="882"/>
      <c r="J580" s="883"/>
      <c r="K580" s="884"/>
      <c r="L580" s="884"/>
      <c r="M580" s="68"/>
    </row>
    <row r="581" spans="1:13" s="64" customFormat="1">
      <c r="A581" s="10"/>
      <c r="B581" s="111"/>
      <c r="C581" s="68"/>
      <c r="D581" s="374"/>
      <c r="E581" s="112"/>
      <c r="F581" s="112"/>
      <c r="G581" s="68"/>
      <c r="H581" s="603"/>
      <c r="I581" s="882"/>
      <c r="J581" s="883"/>
      <c r="K581" s="884"/>
      <c r="L581" s="884"/>
      <c r="M581" s="68"/>
    </row>
    <row r="582" spans="1:13" s="64" customFormat="1">
      <c r="A582" s="10"/>
      <c r="B582" s="111"/>
      <c r="C582" s="68"/>
      <c r="D582" s="374"/>
      <c r="E582" s="112"/>
      <c r="F582" s="112"/>
      <c r="G582" s="68"/>
      <c r="H582" s="603"/>
      <c r="I582" s="882"/>
      <c r="J582" s="883"/>
      <c r="K582" s="884"/>
      <c r="L582" s="884"/>
      <c r="M582" s="68"/>
    </row>
    <row r="583" spans="1:13" s="64" customFormat="1">
      <c r="A583" s="10"/>
      <c r="B583" s="111"/>
      <c r="C583" s="68"/>
      <c r="D583" s="374"/>
      <c r="E583" s="112"/>
      <c r="F583" s="112"/>
      <c r="G583" s="68"/>
      <c r="H583" s="603"/>
      <c r="I583" s="882"/>
      <c r="J583" s="883"/>
      <c r="K583" s="884"/>
      <c r="L583" s="884"/>
      <c r="M583" s="68"/>
    </row>
    <row r="584" spans="1:13" s="64" customFormat="1">
      <c r="A584" s="10"/>
      <c r="B584" s="111"/>
      <c r="C584" s="68"/>
      <c r="D584" s="374"/>
      <c r="E584" s="112"/>
      <c r="F584" s="112"/>
      <c r="G584" s="68"/>
      <c r="H584" s="603"/>
      <c r="I584" s="882"/>
      <c r="J584" s="883"/>
      <c r="K584" s="884"/>
      <c r="L584" s="884"/>
      <c r="M584" s="68"/>
    </row>
    <row r="585" spans="1:13" s="64" customFormat="1">
      <c r="A585" s="10"/>
      <c r="B585" s="111"/>
      <c r="C585" s="68"/>
      <c r="D585" s="374"/>
      <c r="E585" s="112"/>
      <c r="F585" s="112"/>
      <c r="G585" s="68"/>
      <c r="H585" s="603"/>
      <c r="I585" s="882"/>
      <c r="J585" s="883"/>
      <c r="K585" s="884"/>
      <c r="L585" s="884"/>
      <c r="M585" s="68"/>
    </row>
    <row r="586" spans="1:13" s="64" customFormat="1">
      <c r="A586" s="10"/>
      <c r="B586" s="111"/>
      <c r="C586" s="68"/>
      <c r="D586" s="374"/>
      <c r="E586" s="112"/>
      <c r="F586" s="112"/>
      <c r="G586" s="68"/>
      <c r="H586" s="603"/>
      <c r="I586" s="882"/>
      <c r="J586" s="883"/>
      <c r="K586" s="884"/>
      <c r="L586" s="884"/>
      <c r="M586" s="68"/>
    </row>
    <row r="587" spans="1:13" s="64" customFormat="1">
      <c r="A587" s="10"/>
      <c r="B587" s="111"/>
      <c r="C587" s="68"/>
      <c r="D587" s="374"/>
      <c r="E587" s="112"/>
      <c r="F587" s="112"/>
      <c r="G587" s="68"/>
      <c r="H587" s="603"/>
      <c r="I587" s="882"/>
      <c r="J587" s="883"/>
      <c r="K587" s="884"/>
      <c r="L587" s="884"/>
      <c r="M587" s="68"/>
    </row>
    <row r="588" spans="1:13" s="64" customFormat="1">
      <c r="A588" s="10"/>
      <c r="B588" s="111"/>
      <c r="C588" s="68"/>
      <c r="D588" s="374"/>
      <c r="E588" s="112"/>
      <c r="F588" s="112"/>
      <c r="G588" s="68"/>
      <c r="H588" s="603"/>
      <c r="I588" s="882"/>
      <c r="J588" s="883"/>
      <c r="K588" s="884"/>
      <c r="L588" s="884"/>
      <c r="M588" s="68"/>
    </row>
    <row r="589" spans="1:13" s="64" customFormat="1">
      <c r="A589" s="10"/>
      <c r="B589" s="111"/>
      <c r="C589" s="68"/>
      <c r="D589" s="374"/>
      <c r="E589" s="112"/>
      <c r="F589" s="112"/>
      <c r="G589" s="68"/>
      <c r="H589" s="603"/>
      <c r="I589" s="882"/>
      <c r="J589" s="883"/>
      <c r="K589" s="884"/>
      <c r="L589" s="884"/>
      <c r="M589" s="68"/>
    </row>
    <row r="590" spans="1:13" s="64" customFormat="1">
      <c r="A590" s="10"/>
      <c r="B590" s="111"/>
      <c r="C590" s="68"/>
      <c r="D590" s="374"/>
      <c r="E590" s="112"/>
      <c r="F590" s="112"/>
      <c r="G590" s="68"/>
      <c r="H590" s="603"/>
      <c r="I590" s="882"/>
      <c r="J590" s="883"/>
      <c r="K590" s="884"/>
      <c r="L590" s="884"/>
      <c r="M590" s="68"/>
    </row>
    <row r="591" spans="1:13" s="64" customFormat="1">
      <c r="A591" s="10"/>
      <c r="B591" s="111"/>
      <c r="C591" s="68"/>
      <c r="D591" s="374"/>
      <c r="E591" s="112"/>
      <c r="F591" s="112"/>
      <c r="G591" s="68"/>
      <c r="H591" s="603"/>
      <c r="I591" s="882"/>
      <c r="J591" s="883"/>
      <c r="K591" s="884"/>
      <c r="L591" s="884"/>
      <c r="M591" s="68"/>
    </row>
    <row r="592" spans="1:13" s="64" customFormat="1">
      <c r="A592" s="10"/>
      <c r="B592" s="111"/>
      <c r="C592" s="68"/>
      <c r="D592" s="374"/>
      <c r="E592" s="112"/>
      <c r="F592" s="112"/>
      <c r="G592" s="68"/>
      <c r="H592" s="603"/>
      <c r="I592" s="882"/>
      <c r="J592" s="883"/>
      <c r="K592" s="884"/>
      <c r="L592" s="884"/>
      <c r="M592" s="68"/>
    </row>
    <row r="593" spans="1:13" s="64" customFormat="1">
      <c r="A593" s="10"/>
      <c r="B593" s="111"/>
      <c r="C593" s="68"/>
      <c r="D593" s="374"/>
      <c r="E593" s="112"/>
      <c r="F593" s="112"/>
      <c r="G593" s="68"/>
      <c r="H593" s="603"/>
      <c r="I593" s="882"/>
      <c r="J593" s="883"/>
      <c r="K593" s="884"/>
      <c r="L593" s="884"/>
      <c r="M593" s="68"/>
    </row>
    <row r="594" spans="1:13" s="64" customFormat="1">
      <c r="A594" s="10"/>
      <c r="B594" s="111"/>
      <c r="C594" s="68"/>
      <c r="D594" s="374"/>
      <c r="E594" s="112"/>
      <c r="F594" s="112"/>
      <c r="G594" s="68"/>
      <c r="H594" s="603"/>
      <c r="I594" s="882"/>
      <c r="J594" s="883"/>
      <c r="K594" s="884"/>
      <c r="L594" s="884"/>
      <c r="M594" s="68"/>
    </row>
    <row r="595" spans="1:13" s="64" customFormat="1">
      <c r="A595" s="10"/>
      <c r="B595" s="111"/>
      <c r="C595" s="68"/>
      <c r="D595" s="374"/>
      <c r="E595" s="112"/>
      <c r="F595" s="112"/>
      <c r="G595" s="68"/>
      <c r="H595" s="603"/>
      <c r="I595" s="882"/>
      <c r="J595" s="883"/>
      <c r="K595" s="884"/>
      <c r="L595" s="884"/>
      <c r="M595" s="68"/>
    </row>
    <row r="596" spans="1:13" s="64" customFormat="1">
      <c r="A596" s="10"/>
      <c r="B596" s="111"/>
      <c r="C596" s="68"/>
      <c r="D596" s="374"/>
      <c r="E596" s="112"/>
      <c r="F596" s="112"/>
      <c r="G596" s="68"/>
      <c r="H596" s="603"/>
      <c r="I596" s="882"/>
      <c r="J596" s="883"/>
      <c r="K596" s="884"/>
      <c r="L596" s="884"/>
      <c r="M596" s="68"/>
    </row>
    <row r="597" spans="1:13" s="64" customFormat="1">
      <c r="A597" s="10"/>
      <c r="B597" s="111"/>
      <c r="C597" s="68"/>
      <c r="D597" s="374"/>
      <c r="E597" s="112"/>
      <c r="F597" s="112"/>
      <c r="G597" s="68"/>
      <c r="H597" s="603"/>
      <c r="I597" s="882"/>
      <c r="J597" s="883"/>
      <c r="K597" s="884"/>
      <c r="L597" s="884"/>
      <c r="M597" s="68"/>
    </row>
    <row r="598" spans="1:13" s="64" customFormat="1">
      <c r="A598" s="10"/>
      <c r="B598" s="111"/>
      <c r="C598" s="68"/>
      <c r="D598" s="374"/>
      <c r="E598" s="112"/>
      <c r="F598" s="112"/>
      <c r="G598" s="68"/>
      <c r="H598" s="603"/>
      <c r="I598" s="882"/>
      <c r="J598" s="883"/>
      <c r="K598" s="884"/>
      <c r="L598" s="884"/>
      <c r="M598" s="68"/>
    </row>
    <row r="599" spans="1:13" s="64" customFormat="1">
      <c r="A599" s="10"/>
      <c r="B599" s="111"/>
      <c r="C599" s="68"/>
      <c r="D599" s="374"/>
      <c r="E599" s="112"/>
      <c r="F599" s="112"/>
      <c r="G599" s="68"/>
      <c r="H599" s="603"/>
      <c r="I599" s="882"/>
      <c r="J599" s="883"/>
      <c r="K599" s="884"/>
      <c r="L599" s="884"/>
      <c r="M599" s="68"/>
    </row>
    <row r="600" spans="1:13" s="64" customFormat="1">
      <c r="A600" s="10"/>
      <c r="B600" s="111"/>
      <c r="C600" s="68"/>
      <c r="D600" s="374"/>
      <c r="E600" s="112"/>
      <c r="F600" s="112"/>
      <c r="G600" s="68"/>
      <c r="H600" s="603"/>
      <c r="I600" s="882"/>
      <c r="J600" s="883"/>
      <c r="K600" s="884"/>
      <c r="L600" s="884"/>
      <c r="M600" s="68"/>
    </row>
    <row r="601" spans="1:13" s="64" customFormat="1">
      <c r="A601" s="10"/>
      <c r="B601" s="111"/>
      <c r="C601" s="68"/>
      <c r="D601" s="374"/>
      <c r="E601" s="112"/>
      <c r="F601" s="112"/>
      <c r="G601" s="68"/>
      <c r="H601" s="603"/>
      <c r="I601" s="882"/>
      <c r="J601" s="883"/>
      <c r="K601" s="884"/>
      <c r="L601" s="884"/>
      <c r="M601" s="68"/>
    </row>
    <row r="602" spans="1:13" s="64" customFormat="1">
      <c r="A602" s="10"/>
      <c r="B602" s="111"/>
      <c r="C602" s="68"/>
      <c r="D602" s="374"/>
      <c r="E602" s="112"/>
      <c r="F602" s="112"/>
      <c r="G602" s="68"/>
      <c r="H602" s="603"/>
      <c r="I602" s="882"/>
      <c r="J602" s="883"/>
      <c r="K602" s="884"/>
      <c r="L602" s="884"/>
      <c r="M602" s="68"/>
    </row>
    <row r="603" spans="1:13" s="64" customFormat="1">
      <c r="A603" s="10"/>
      <c r="B603" s="111"/>
      <c r="C603" s="68"/>
      <c r="D603" s="374"/>
      <c r="E603" s="112"/>
      <c r="F603" s="112"/>
      <c r="G603" s="68"/>
      <c r="H603" s="603"/>
      <c r="I603" s="882"/>
      <c r="J603" s="883"/>
      <c r="K603" s="884"/>
      <c r="L603" s="884"/>
      <c r="M603" s="68"/>
    </row>
    <row r="604" spans="1:13" s="64" customFormat="1">
      <c r="A604" s="10"/>
      <c r="B604" s="111"/>
      <c r="C604" s="68"/>
      <c r="D604" s="374"/>
      <c r="E604" s="112"/>
      <c r="F604" s="112"/>
      <c r="G604" s="68"/>
      <c r="H604" s="603"/>
      <c r="I604" s="882"/>
      <c r="J604" s="883"/>
      <c r="K604" s="884"/>
      <c r="L604" s="884"/>
      <c r="M604" s="68"/>
    </row>
    <row r="605" spans="1:13" s="64" customFormat="1">
      <c r="A605" s="10"/>
      <c r="B605" s="111"/>
      <c r="C605" s="68"/>
      <c r="D605" s="374"/>
      <c r="E605" s="112"/>
      <c r="F605" s="112"/>
      <c r="G605" s="68"/>
      <c r="H605" s="603"/>
      <c r="I605" s="882"/>
      <c r="J605" s="883"/>
      <c r="K605" s="884"/>
      <c r="L605" s="884"/>
      <c r="M605" s="68"/>
    </row>
    <row r="606" spans="1:13" s="64" customFormat="1">
      <c r="A606" s="10"/>
      <c r="B606" s="111"/>
      <c r="C606" s="68"/>
      <c r="D606" s="374"/>
      <c r="E606" s="112"/>
      <c r="F606" s="112"/>
      <c r="G606" s="68"/>
      <c r="H606" s="603"/>
      <c r="I606" s="882"/>
      <c r="J606" s="883"/>
      <c r="K606" s="884"/>
      <c r="L606" s="884"/>
      <c r="M606" s="68"/>
    </row>
    <row r="607" spans="1:13" s="64" customFormat="1">
      <c r="A607" s="10"/>
      <c r="B607" s="111"/>
      <c r="C607" s="68"/>
      <c r="D607" s="374"/>
      <c r="E607" s="112"/>
      <c r="F607" s="112"/>
      <c r="G607" s="68"/>
      <c r="H607" s="603"/>
      <c r="I607" s="882"/>
      <c r="J607" s="883"/>
      <c r="K607" s="884"/>
      <c r="L607" s="884"/>
      <c r="M607" s="68"/>
    </row>
    <row r="608" spans="1:13" s="64" customFormat="1">
      <c r="A608" s="10"/>
      <c r="B608" s="111"/>
      <c r="C608" s="68"/>
      <c r="D608" s="374"/>
      <c r="E608" s="112"/>
      <c r="F608" s="112"/>
      <c r="G608" s="68"/>
      <c r="H608" s="603"/>
      <c r="I608" s="882"/>
      <c r="J608" s="883"/>
      <c r="K608" s="884"/>
      <c r="L608" s="884"/>
      <c r="M608" s="68"/>
    </row>
    <row r="609" spans="1:13" s="64" customFormat="1">
      <c r="A609" s="10"/>
      <c r="B609" s="111"/>
      <c r="C609" s="68"/>
      <c r="D609" s="374"/>
      <c r="E609" s="112"/>
      <c r="F609" s="112"/>
      <c r="G609" s="68"/>
      <c r="H609" s="603"/>
      <c r="I609" s="882"/>
      <c r="J609" s="883"/>
      <c r="K609" s="884"/>
      <c r="L609" s="884"/>
      <c r="M609" s="68"/>
    </row>
    <row r="610" spans="1:13" s="64" customFormat="1">
      <c r="A610" s="10"/>
      <c r="B610" s="111"/>
      <c r="C610" s="68"/>
      <c r="D610" s="374"/>
      <c r="E610" s="112"/>
      <c r="F610" s="112"/>
      <c r="G610" s="68"/>
      <c r="H610" s="603"/>
      <c r="I610" s="882"/>
      <c r="J610" s="883"/>
      <c r="K610" s="884"/>
      <c r="L610" s="884"/>
      <c r="M610" s="68"/>
    </row>
    <row r="611" spans="1:13" s="64" customFormat="1">
      <c r="A611" s="10"/>
      <c r="B611" s="111"/>
      <c r="C611" s="68"/>
      <c r="D611" s="374"/>
      <c r="E611" s="112"/>
      <c r="F611" s="112"/>
      <c r="G611" s="68"/>
      <c r="H611" s="603"/>
      <c r="I611" s="882"/>
      <c r="J611" s="883"/>
      <c r="K611" s="884"/>
      <c r="L611" s="884"/>
      <c r="M611" s="68"/>
    </row>
    <row r="612" spans="1:13" s="64" customFormat="1">
      <c r="A612" s="10"/>
      <c r="B612" s="111"/>
      <c r="C612" s="68"/>
      <c r="D612" s="374"/>
      <c r="E612" s="112"/>
      <c r="F612" s="112"/>
      <c r="G612" s="68"/>
      <c r="H612" s="603"/>
      <c r="I612" s="882"/>
      <c r="J612" s="883"/>
      <c r="K612" s="884"/>
      <c r="L612" s="884"/>
      <c r="M612" s="68"/>
    </row>
    <row r="613" spans="1:13" s="64" customFormat="1">
      <c r="A613" s="10"/>
      <c r="B613" s="111"/>
      <c r="C613" s="68"/>
      <c r="D613" s="374"/>
      <c r="E613" s="112"/>
      <c r="F613" s="112"/>
      <c r="G613" s="68"/>
      <c r="H613" s="603"/>
      <c r="I613" s="882"/>
      <c r="J613" s="883"/>
      <c r="K613" s="884"/>
      <c r="L613" s="884"/>
      <c r="M613" s="68"/>
    </row>
    <row r="614" spans="1:13" s="64" customFormat="1">
      <c r="A614" s="10"/>
      <c r="B614" s="111"/>
      <c r="C614" s="68"/>
      <c r="D614" s="374"/>
      <c r="E614" s="112"/>
      <c r="F614" s="112"/>
      <c r="G614" s="68"/>
      <c r="H614" s="603"/>
      <c r="I614" s="882"/>
      <c r="J614" s="883"/>
      <c r="K614" s="884"/>
      <c r="L614" s="884"/>
      <c r="M614" s="68"/>
    </row>
    <row r="615" spans="1:13" s="64" customFormat="1">
      <c r="A615" s="10"/>
      <c r="B615" s="111"/>
      <c r="C615" s="68"/>
      <c r="D615" s="374"/>
      <c r="E615" s="112"/>
      <c r="F615" s="112"/>
      <c r="G615" s="68"/>
      <c r="H615" s="603"/>
      <c r="I615" s="882"/>
      <c r="J615" s="883"/>
      <c r="K615" s="884"/>
      <c r="L615" s="884"/>
      <c r="M615" s="68"/>
    </row>
    <row r="616" spans="1:13" s="64" customFormat="1">
      <c r="A616" s="10"/>
      <c r="B616" s="111"/>
      <c r="C616" s="68"/>
      <c r="D616" s="374"/>
      <c r="E616" s="112"/>
      <c r="F616" s="112"/>
      <c r="G616" s="68"/>
      <c r="H616" s="603"/>
      <c r="I616" s="882"/>
      <c r="J616" s="883"/>
      <c r="K616" s="884"/>
      <c r="L616" s="884"/>
      <c r="M616" s="68"/>
    </row>
    <row r="617" spans="1:13" s="64" customFormat="1">
      <c r="A617" s="10"/>
      <c r="B617" s="111"/>
      <c r="C617" s="68"/>
      <c r="D617" s="374"/>
      <c r="E617" s="112"/>
      <c r="F617" s="112"/>
      <c r="G617" s="68"/>
      <c r="H617" s="603"/>
      <c r="I617" s="882"/>
      <c r="J617" s="883"/>
      <c r="K617" s="884"/>
      <c r="L617" s="884"/>
      <c r="M617" s="68"/>
    </row>
    <row r="618" spans="1:13" s="64" customFormat="1">
      <c r="A618" s="10"/>
      <c r="B618" s="111"/>
      <c r="C618" s="68"/>
      <c r="D618" s="374"/>
      <c r="E618" s="112"/>
      <c r="F618" s="112"/>
      <c r="G618" s="68"/>
      <c r="H618" s="603"/>
      <c r="I618" s="882"/>
      <c r="J618" s="883"/>
      <c r="K618" s="884"/>
      <c r="L618" s="884"/>
      <c r="M618" s="68"/>
    </row>
    <row r="619" spans="1:13" s="64" customFormat="1">
      <c r="A619" s="10"/>
      <c r="B619" s="111"/>
      <c r="C619" s="68"/>
      <c r="D619" s="374"/>
      <c r="E619" s="112"/>
      <c r="F619" s="112"/>
      <c r="G619" s="68"/>
      <c r="H619" s="603"/>
      <c r="I619" s="882"/>
      <c r="J619" s="883"/>
      <c r="K619" s="884"/>
      <c r="L619" s="884"/>
      <c r="M619" s="68"/>
    </row>
    <row r="620" spans="1:13" s="64" customFormat="1">
      <c r="A620" s="10"/>
      <c r="B620" s="111"/>
      <c r="C620" s="68"/>
      <c r="D620" s="374"/>
      <c r="E620" s="112"/>
      <c r="F620" s="112"/>
      <c r="G620" s="68"/>
      <c r="H620" s="603"/>
      <c r="I620" s="882"/>
      <c r="J620" s="883"/>
      <c r="K620" s="884"/>
      <c r="L620" s="884"/>
      <c r="M620" s="68"/>
    </row>
    <row r="621" spans="1:13" s="64" customFormat="1">
      <c r="A621" s="10"/>
      <c r="B621" s="111"/>
      <c r="C621" s="68"/>
      <c r="D621" s="374"/>
      <c r="E621" s="112"/>
      <c r="F621" s="112"/>
      <c r="G621" s="68"/>
      <c r="H621" s="603"/>
      <c r="I621" s="882"/>
      <c r="J621" s="883"/>
      <c r="K621" s="884"/>
      <c r="L621" s="884"/>
      <c r="M621" s="68"/>
    </row>
    <row r="622" spans="1:13" s="64" customFormat="1">
      <c r="A622" s="10"/>
      <c r="B622" s="111"/>
      <c r="C622" s="68"/>
      <c r="D622" s="374"/>
      <c r="E622" s="112"/>
      <c r="F622" s="112"/>
      <c r="G622" s="68"/>
      <c r="H622" s="603"/>
      <c r="I622" s="882"/>
      <c r="J622" s="883"/>
      <c r="K622" s="884"/>
      <c r="L622" s="884"/>
      <c r="M622" s="68"/>
    </row>
    <row r="623" spans="1:13" s="64" customFormat="1">
      <c r="A623" s="10"/>
      <c r="B623" s="111"/>
      <c r="C623" s="68"/>
      <c r="D623" s="374"/>
      <c r="E623" s="112"/>
      <c r="F623" s="112"/>
      <c r="G623" s="68"/>
      <c r="H623" s="603"/>
      <c r="I623" s="882"/>
      <c r="J623" s="883"/>
      <c r="K623" s="884"/>
      <c r="L623" s="884"/>
      <c r="M623" s="68"/>
    </row>
    <row r="624" spans="1:13" s="64" customFormat="1">
      <c r="A624" s="10"/>
      <c r="B624" s="111"/>
      <c r="C624" s="68"/>
      <c r="D624" s="374"/>
      <c r="E624" s="112"/>
      <c r="F624" s="112"/>
      <c r="G624" s="68"/>
      <c r="H624" s="603"/>
      <c r="I624" s="882"/>
      <c r="J624" s="883"/>
      <c r="K624" s="884"/>
      <c r="L624" s="884"/>
      <c r="M624" s="68"/>
    </row>
    <row r="625" spans="1:13" s="64" customFormat="1">
      <c r="A625" s="10"/>
      <c r="B625" s="111"/>
      <c r="C625" s="68"/>
      <c r="D625" s="374"/>
      <c r="E625" s="112"/>
      <c r="F625" s="112"/>
      <c r="G625" s="68"/>
      <c r="H625" s="603"/>
      <c r="I625" s="882"/>
      <c r="J625" s="883"/>
      <c r="K625" s="884"/>
      <c r="L625" s="884"/>
      <c r="M625" s="68"/>
    </row>
    <row r="626" spans="1:13" s="64" customFormat="1">
      <c r="A626" s="10"/>
      <c r="B626" s="111"/>
      <c r="C626" s="68"/>
      <c r="D626" s="374"/>
      <c r="E626" s="112"/>
      <c r="F626" s="112"/>
      <c r="G626" s="68"/>
      <c r="H626" s="603"/>
      <c r="I626" s="882"/>
      <c r="J626" s="883"/>
      <c r="K626" s="884"/>
      <c r="L626" s="884"/>
      <c r="M626" s="68"/>
    </row>
    <row r="627" spans="1:13" s="64" customFormat="1">
      <c r="A627" s="10"/>
      <c r="B627" s="111"/>
      <c r="C627" s="68"/>
      <c r="D627" s="374"/>
      <c r="E627" s="112"/>
      <c r="F627" s="112"/>
      <c r="G627" s="68"/>
      <c r="H627" s="603"/>
      <c r="I627" s="882"/>
      <c r="J627" s="883"/>
      <c r="K627" s="884"/>
      <c r="L627" s="884"/>
      <c r="M627" s="68"/>
    </row>
    <row r="628" spans="1:13" s="64" customFormat="1">
      <c r="A628" s="10"/>
      <c r="B628" s="111"/>
      <c r="C628" s="68"/>
      <c r="D628" s="374"/>
      <c r="E628" s="112"/>
      <c r="F628" s="112"/>
      <c r="G628" s="68"/>
      <c r="H628" s="603"/>
      <c r="I628" s="882"/>
      <c r="J628" s="883"/>
      <c r="K628" s="884"/>
      <c r="L628" s="884"/>
      <c r="M628" s="68"/>
    </row>
    <row r="629" spans="1:13" s="64" customFormat="1">
      <c r="A629" s="10"/>
      <c r="B629" s="111"/>
      <c r="C629" s="68"/>
      <c r="D629" s="374"/>
      <c r="E629" s="112"/>
      <c r="F629" s="112"/>
      <c r="G629" s="68"/>
      <c r="H629" s="603"/>
      <c r="I629" s="882"/>
      <c r="J629" s="883"/>
      <c r="K629" s="884"/>
      <c r="L629" s="884"/>
      <c r="M629" s="68"/>
    </row>
    <row r="630" spans="1:13" s="64" customFormat="1">
      <c r="A630" s="10"/>
      <c r="B630" s="111"/>
      <c r="C630" s="68"/>
      <c r="D630" s="374"/>
      <c r="E630" s="112"/>
      <c r="F630" s="112"/>
      <c r="G630" s="68"/>
      <c r="H630" s="603"/>
      <c r="I630" s="882"/>
      <c r="J630" s="883"/>
      <c r="K630" s="884"/>
      <c r="L630" s="884"/>
      <c r="M630" s="68"/>
    </row>
    <row r="631" spans="1:13" s="64" customFormat="1">
      <c r="A631" s="10"/>
      <c r="B631" s="111"/>
      <c r="C631" s="68"/>
      <c r="D631" s="374"/>
      <c r="E631" s="112"/>
      <c r="F631" s="112"/>
      <c r="G631" s="68"/>
      <c r="H631" s="603"/>
      <c r="I631" s="882"/>
      <c r="J631" s="883"/>
      <c r="K631" s="884"/>
      <c r="L631" s="884"/>
      <c r="M631" s="68"/>
    </row>
    <row r="632" spans="1:13" s="64" customFormat="1">
      <c r="A632" s="10"/>
      <c r="B632" s="111"/>
      <c r="C632" s="68"/>
      <c r="D632" s="374"/>
      <c r="E632" s="112"/>
      <c r="F632" s="112"/>
      <c r="G632" s="68"/>
      <c r="H632" s="603"/>
      <c r="I632" s="882"/>
      <c r="J632" s="883"/>
      <c r="K632" s="884"/>
      <c r="L632" s="884"/>
      <c r="M632" s="68"/>
    </row>
    <row r="633" spans="1:13" s="64" customFormat="1">
      <c r="A633" s="10"/>
      <c r="B633" s="111"/>
      <c r="C633" s="68"/>
      <c r="D633" s="374"/>
      <c r="E633" s="112"/>
      <c r="F633" s="112"/>
      <c r="G633" s="68"/>
      <c r="H633" s="603"/>
      <c r="I633" s="882"/>
      <c r="J633" s="883"/>
      <c r="K633" s="884"/>
      <c r="L633" s="884"/>
      <c r="M633" s="68"/>
    </row>
    <row r="634" spans="1:13" s="64" customFormat="1">
      <c r="A634" s="10"/>
      <c r="B634" s="111"/>
      <c r="C634" s="68"/>
      <c r="D634" s="374"/>
      <c r="E634" s="112"/>
      <c r="F634" s="112"/>
      <c r="G634" s="68"/>
      <c r="H634" s="603"/>
      <c r="I634" s="882"/>
      <c r="J634" s="883"/>
      <c r="K634" s="884"/>
      <c r="L634" s="884"/>
      <c r="M634" s="68"/>
    </row>
    <row r="635" spans="1:13" s="64" customFormat="1">
      <c r="A635" s="10"/>
      <c r="B635" s="111"/>
      <c r="C635" s="68"/>
      <c r="D635" s="374"/>
      <c r="E635" s="112"/>
      <c r="F635" s="112"/>
      <c r="G635" s="68"/>
      <c r="H635" s="603"/>
      <c r="I635" s="882"/>
      <c r="J635" s="883"/>
      <c r="K635" s="884"/>
      <c r="L635" s="884"/>
      <c r="M635" s="68"/>
    </row>
    <row r="636" spans="1:13" s="64" customFormat="1">
      <c r="A636" s="10"/>
      <c r="B636" s="111"/>
      <c r="C636" s="68"/>
      <c r="D636" s="374"/>
      <c r="E636" s="112"/>
      <c r="F636" s="112"/>
      <c r="G636" s="68"/>
      <c r="H636" s="603"/>
      <c r="I636" s="882"/>
      <c r="J636" s="883"/>
      <c r="K636" s="884"/>
      <c r="L636" s="884"/>
      <c r="M636" s="68"/>
    </row>
    <row r="637" spans="1:13" s="64" customFormat="1">
      <c r="A637" s="10"/>
      <c r="B637" s="111"/>
      <c r="C637" s="68"/>
      <c r="D637" s="374"/>
      <c r="E637" s="112"/>
      <c r="F637" s="112"/>
      <c r="G637" s="68"/>
      <c r="H637" s="603"/>
      <c r="I637" s="882"/>
      <c r="J637" s="883"/>
      <c r="K637" s="884"/>
      <c r="L637" s="884"/>
      <c r="M637" s="68"/>
    </row>
    <row r="638" spans="1:13" s="64" customFormat="1">
      <c r="A638" s="10"/>
      <c r="B638" s="111"/>
      <c r="C638" s="68"/>
      <c r="D638" s="374"/>
      <c r="E638" s="112"/>
      <c r="F638" s="112"/>
      <c r="G638" s="68"/>
      <c r="H638" s="603"/>
      <c r="I638" s="882"/>
      <c r="J638" s="883"/>
      <c r="K638" s="884"/>
      <c r="L638" s="884"/>
      <c r="M638" s="68"/>
    </row>
    <row r="639" spans="1:13" s="64" customFormat="1">
      <c r="A639" s="10"/>
      <c r="B639" s="111"/>
      <c r="C639" s="68"/>
      <c r="D639" s="374"/>
      <c r="E639" s="112"/>
      <c r="F639" s="112"/>
      <c r="G639" s="68"/>
      <c r="H639" s="603"/>
      <c r="I639" s="882"/>
      <c r="J639" s="883"/>
      <c r="K639" s="884"/>
      <c r="L639" s="884"/>
      <c r="M639" s="68"/>
    </row>
    <row r="640" spans="1:13" s="64" customFormat="1">
      <c r="A640" s="10"/>
      <c r="B640" s="111"/>
      <c r="C640" s="68"/>
      <c r="D640" s="374"/>
      <c r="E640" s="112"/>
      <c r="F640" s="112"/>
      <c r="G640" s="68"/>
      <c r="H640" s="603"/>
      <c r="I640" s="882"/>
      <c r="J640" s="883"/>
      <c r="K640" s="884"/>
      <c r="L640" s="884"/>
      <c r="M640" s="68"/>
    </row>
    <row r="641" spans="1:13" s="64" customFormat="1">
      <c r="A641" s="10"/>
      <c r="B641" s="111"/>
      <c r="C641" s="68"/>
      <c r="D641" s="374"/>
      <c r="E641" s="112"/>
      <c r="F641" s="112"/>
      <c r="G641" s="68"/>
      <c r="H641" s="603"/>
      <c r="I641" s="882"/>
      <c r="J641" s="883"/>
      <c r="K641" s="884"/>
      <c r="L641" s="884"/>
      <c r="M641" s="68"/>
    </row>
    <row r="642" spans="1:13" s="64" customFormat="1">
      <c r="A642" s="10"/>
      <c r="B642" s="111"/>
      <c r="C642" s="68"/>
      <c r="D642" s="374"/>
      <c r="E642" s="112"/>
      <c r="F642" s="112"/>
      <c r="G642" s="68"/>
      <c r="H642" s="603"/>
      <c r="I642" s="882"/>
      <c r="J642" s="883"/>
      <c r="K642" s="884"/>
      <c r="L642" s="884"/>
      <c r="M642" s="68"/>
    </row>
    <row r="643" spans="1:13" s="64" customFormat="1">
      <c r="A643" s="10"/>
      <c r="B643" s="111"/>
      <c r="C643" s="68"/>
      <c r="D643" s="374"/>
      <c r="E643" s="112"/>
      <c r="F643" s="112"/>
      <c r="G643" s="68"/>
      <c r="H643" s="603"/>
      <c r="I643" s="882"/>
      <c r="J643" s="883"/>
      <c r="K643" s="884"/>
      <c r="L643" s="884"/>
      <c r="M643" s="68"/>
    </row>
    <row r="644" spans="1:13" s="64" customFormat="1">
      <c r="A644" s="10"/>
      <c r="B644" s="111"/>
      <c r="C644" s="68"/>
      <c r="D644" s="374"/>
      <c r="E644" s="112"/>
      <c r="F644" s="112"/>
      <c r="G644" s="68"/>
      <c r="H644" s="603"/>
      <c r="I644" s="882"/>
      <c r="J644" s="883"/>
      <c r="K644" s="884"/>
      <c r="L644" s="884"/>
      <c r="M644" s="68"/>
    </row>
    <row r="645" spans="1:13" s="64" customFormat="1">
      <c r="A645" s="10"/>
      <c r="B645" s="111"/>
      <c r="C645" s="68"/>
      <c r="D645" s="374"/>
      <c r="E645" s="112"/>
      <c r="F645" s="112"/>
      <c r="G645" s="68"/>
      <c r="H645" s="603"/>
      <c r="I645" s="882"/>
      <c r="J645" s="883"/>
      <c r="K645" s="884"/>
      <c r="L645" s="884"/>
      <c r="M645" s="68"/>
    </row>
    <row r="646" spans="1:13" s="64" customFormat="1">
      <c r="A646" s="10"/>
      <c r="B646" s="111"/>
      <c r="C646" s="68"/>
      <c r="D646" s="374"/>
      <c r="E646" s="112"/>
      <c r="F646" s="112"/>
      <c r="G646" s="68"/>
      <c r="H646" s="603"/>
      <c r="I646" s="882"/>
      <c r="J646" s="883"/>
      <c r="K646" s="884"/>
      <c r="L646" s="884"/>
      <c r="M646" s="68"/>
    </row>
    <row r="647" spans="1:13" s="64" customFormat="1">
      <c r="A647" s="10"/>
      <c r="B647" s="111"/>
      <c r="C647" s="68"/>
      <c r="D647" s="374"/>
      <c r="E647" s="112"/>
      <c r="F647" s="112"/>
      <c r="G647" s="68"/>
      <c r="H647" s="603"/>
      <c r="I647" s="882"/>
      <c r="J647" s="883"/>
      <c r="K647" s="884"/>
      <c r="L647" s="884"/>
      <c r="M647" s="68"/>
    </row>
    <row r="648" spans="1:13" s="64" customFormat="1">
      <c r="A648" s="10"/>
      <c r="B648" s="111"/>
      <c r="C648" s="68"/>
      <c r="D648" s="374"/>
      <c r="E648" s="112"/>
      <c r="F648" s="112"/>
      <c r="G648" s="68"/>
      <c r="H648" s="603"/>
      <c r="I648" s="882"/>
      <c r="J648" s="883"/>
      <c r="K648" s="884"/>
      <c r="L648" s="884"/>
      <c r="M648" s="68"/>
    </row>
    <row r="649" spans="1:13" s="64" customFormat="1">
      <c r="A649" s="10"/>
      <c r="B649" s="111"/>
      <c r="C649" s="68"/>
      <c r="D649" s="374"/>
      <c r="E649" s="112"/>
      <c r="F649" s="112"/>
      <c r="G649" s="68"/>
      <c r="H649" s="603"/>
      <c r="I649" s="882"/>
      <c r="J649" s="883"/>
      <c r="K649" s="884"/>
      <c r="L649" s="884"/>
      <c r="M649" s="68"/>
    </row>
    <row r="650" spans="1:13" s="64" customFormat="1">
      <c r="A650" s="10"/>
      <c r="B650" s="111"/>
      <c r="C650" s="68"/>
      <c r="D650" s="374"/>
      <c r="E650" s="112"/>
      <c r="F650" s="112"/>
      <c r="G650" s="68"/>
      <c r="H650" s="603"/>
      <c r="I650" s="882"/>
      <c r="J650" s="883"/>
      <c r="K650" s="884"/>
      <c r="L650" s="884"/>
      <c r="M650" s="68"/>
    </row>
    <row r="651" spans="1:13" s="64" customFormat="1">
      <c r="A651" s="10"/>
      <c r="B651" s="111"/>
      <c r="C651" s="68"/>
      <c r="D651" s="374"/>
      <c r="E651" s="112"/>
      <c r="F651" s="112"/>
      <c r="G651" s="68"/>
      <c r="H651" s="603"/>
      <c r="I651" s="882"/>
      <c r="J651" s="883"/>
      <c r="K651" s="884"/>
      <c r="L651" s="884"/>
      <c r="M651" s="68"/>
    </row>
    <row r="652" spans="1:13" s="64" customFormat="1">
      <c r="A652" s="10"/>
      <c r="B652" s="111"/>
      <c r="C652" s="68"/>
      <c r="D652" s="374"/>
      <c r="E652" s="112"/>
      <c r="F652" s="112"/>
      <c r="G652" s="68"/>
      <c r="H652" s="603"/>
      <c r="I652" s="882"/>
      <c r="J652" s="883"/>
      <c r="K652" s="884"/>
      <c r="L652" s="884"/>
      <c r="M652" s="68"/>
    </row>
    <row r="653" spans="1:13" s="64" customFormat="1">
      <c r="A653" s="10"/>
      <c r="B653" s="111"/>
      <c r="C653" s="68"/>
      <c r="D653" s="374"/>
      <c r="E653" s="112"/>
      <c r="F653" s="112"/>
      <c r="G653" s="68"/>
      <c r="H653" s="603"/>
      <c r="I653" s="882"/>
      <c r="J653" s="883"/>
      <c r="K653" s="884"/>
      <c r="L653" s="884"/>
      <c r="M653" s="68"/>
    </row>
    <row r="654" spans="1:13" s="64" customFormat="1">
      <c r="A654" s="10"/>
      <c r="B654" s="111"/>
      <c r="C654" s="68"/>
      <c r="D654" s="374"/>
      <c r="E654" s="112"/>
      <c r="F654" s="112"/>
      <c r="G654" s="68"/>
      <c r="H654" s="603"/>
      <c r="I654" s="882"/>
      <c r="J654" s="883"/>
      <c r="K654" s="884"/>
      <c r="L654" s="884"/>
      <c r="M654" s="68"/>
    </row>
    <row r="655" spans="1:13" s="64" customFormat="1">
      <c r="A655" s="10"/>
      <c r="B655" s="111"/>
      <c r="C655" s="68"/>
      <c r="D655" s="374"/>
      <c r="E655" s="112"/>
      <c r="F655" s="112"/>
      <c r="G655" s="68"/>
      <c r="H655" s="603"/>
      <c r="I655" s="882"/>
      <c r="J655" s="883"/>
      <c r="K655" s="884"/>
      <c r="L655" s="884"/>
      <c r="M655" s="68"/>
    </row>
    <row r="656" spans="1:13" s="64" customFormat="1">
      <c r="A656" s="10"/>
      <c r="B656" s="111"/>
      <c r="C656" s="68"/>
      <c r="D656" s="374"/>
      <c r="E656" s="112"/>
      <c r="F656" s="112"/>
      <c r="G656" s="68"/>
      <c r="H656" s="603"/>
      <c r="I656" s="882"/>
      <c r="J656" s="883"/>
      <c r="K656" s="884"/>
      <c r="L656" s="884"/>
      <c r="M656" s="68"/>
    </row>
    <row r="657" spans="1:13" s="64" customFormat="1">
      <c r="A657" s="10"/>
      <c r="B657" s="111"/>
      <c r="C657" s="68"/>
      <c r="D657" s="374"/>
      <c r="E657" s="112"/>
      <c r="F657" s="112"/>
      <c r="G657" s="68"/>
      <c r="H657" s="603"/>
      <c r="I657" s="882"/>
      <c r="J657" s="883"/>
      <c r="K657" s="884"/>
      <c r="L657" s="884"/>
      <c r="M657" s="68"/>
    </row>
    <row r="658" spans="1:13" s="64" customFormat="1">
      <c r="A658" s="10"/>
      <c r="B658" s="111"/>
      <c r="C658" s="68"/>
      <c r="D658" s="374"/>
      <c r="E658" s="112"/>
      <c r="F658" s="112"/>
      <c r="G658" s="68"/>
      <c r="H658" s="603"/>
      <c r="I658" s="882"/>
      <c r="J658" s="883"/>
      <c r="K658" s="884"/>
      <c r="L658" s="884"/>
      <c r="M658" s="68"/>
    </row>
    <row r="659" spans="1:13" s="64" customFormat="1">
      <c r="A659" s="10"/>
      <c r="B659" s="111"/>
      <c r="C659" s="68"/>
      <c r="D659" s="374"/>
      <c r="E659" s="112"/>
      <c r="F659" s="112"/>
      <c r="G659" s="68"/>
      <c r="H659" s="603"/>
      <c r="I659" s="882"/>
      <c r="J659" s="883"/>
      <c r="K659" s="884"/>
      <c r="L659" s="884"/>
      <c r="M659" s="68"/>
    </row>
    <row r="660" spans="1:13" s="64" customFormat="1">
      <c r="A660" s="10"/>
      <c r="B660" s="111"/>
      <c r="C660" s="68"/>
      <c r="D660" s="374"/>
      <c r="E660" s="112"/>
      <c r="F660" s="112"/>
      <c r="G660" s="68"/>
      <c r="H660" s="603"/>
      <c r="I660" s="882"/>
      <c r="J660" s="883"/>
      <c r="K660" s="884"/>
      <c r="L660" s="884"/>
      <c r="M660" s="68"/>
    </row>
    <row r="661" spans="1:13" s="64" customFormat="1">
      <c r="A661" s="10"/>
      <c r="B661" s="111"/>
      <c r="C661" s="68"/>
      <c r="D661" s="374"/>
      <c r="E661" s="112"/>
      <c r="F661" s="112"/>
      <c r="G661" s="68"/>
      <c r="H661" s="603"/>
      <c r="I661" s="882"/>
      <c r="J661" s="883"/>
      <c r="K661" s="884"/>
      <c r="L661" s="884"/>
      <c r="M661" s="68"/>
    </row>
    <row r="662" spans="1:13" s="64" customFormat="1">
      <c r="A662" s="10"/>
      <c r="B662" s="111"/>
      <c r="C662" s="68"/>
      <c r="D662" s="374"/>
      <c r="E662" s="112"/>
      <c r="F662" s="112"/>
      <c r="G662" s="68"/>
      <c r="H662" s="603"/>
      <c r="I662" s="882"/>
      <c r="J662" s="883"/>
      <c r="K662" s="884"/>
      <c r="L662" s="884"/>
      <c r="M662" s="68"/>
    </row>
    <row r="663" spans="1:13" s="64" customFormat="1">
      <c r="A663" s="10"/>
      <c r="B663" s="111"/>
      <c r="C663" s="68"/>
      <c r="D663" s="374"/>
      <c r="E663" s="112"/>
      <c r="F663" s="112"/>
      <c r="G663" s="68"/>
      <c r="H663" s="603"/>
      <c r="I663" s="882"/>
      <c r="J663" s="883"/>
      <c r="K663" s="884"/>
      <c r="L663" s="884"/>
      <c r="M663" s="68"/>
    </row>
    <row r="664" spans="1:13" s="64" customFormat="1">
      <c r="A664" s="10"/>
      <c r="B664" s="111"/>
      <c r="C664" s="68"/>
      <c r="D664" s="374"/>
      <c r="E664" s="112"/>
      <c r="F664" s="112"/>
      <c r="G664" s="68"/>
      <c r="H664" s="603"/>
      <c r="I664" s="882"/>
      <c r="J664" s="883"/>
      <c r="K664" s="884"/>
      <c r="L664" s="884"/>
      <c r="M664" s="68"/>
    </row>
    <row r="665" spans="1:13" s="64" customFormat="1">
      <c r="A665" s="10"/>
      <c r="B665" s="111"/>
      <c r="C665" s="68"/>
      <c r="D665" s="374"/>
      <c r="E665" s="112"/>
      <c r="F665" s="112"/>
      <c r="G665" s="68"/>
      <c r="H665" s="603"/>
      <c r="I665" s="882"/>
      <c r="J665" s="883"/>
      <c r="K665" s="884"/>
      <c r="L665" s="884"/>
      <c r="M665" s="68"/>
    </row>
    <row r="666" spans="1:13" s="64" customFormat="1">
      <c r="A666" s="10"/>
      <c r="B666" s="111"/>
      <c r="C666" s="68"/>
      <c r="D666" s="374"/>
      <c r="E666" s="112"/>
      <c r="F666" s="112"/>
      <c r="G666" s="68"/>
      <c r="H666" s="603"/>
      <c r="I666" s="882"/>
      <c r="J666" s="883"/>
      <c r="K666" s="884"/>
      <c r="L666" s="884"/>
      <c r="M666" s="68"/>
    </row>
    <row r="667" spans="1:13" s="64" customFormat="1">
      <c r="A667" s="10"/>
      <c r="B667" s="111"/>
      <c r="C667" s="68"/>
      <c r="D667" s="374"/>
      <c r="E667" s="112"/>
      <c r="F667" s="112"/>
      <c r="G667" s="68"/>
      <c r="H667" s="603"/>
      <c r="I667" s="882"/>
      <c r="J667" s="883"/>
      <c r="K667" s="884"/>
      <c r="L667" s="884"/>
      <c r="M667" s="68"/>
    </row>
    <row r="668" spans="1:13" s="64" customFormat="1">
      <c r="A668" s="10"/>
      <c r="B668" s="111"/>
      <c r="C668" s="68"/>
      <c r="D668" s="374"/>
      <c r="E668" s="112"/>
      <c r="F668" s="112"/>
      <c r="G668" s="68"/>
      <c r="H668" s="603"/>
      <c r="I668" s="882"/>
      <c r="J668" s="883"/>
      <c r="K668" s="884"/>
      <c r="L668" s="884"/>
      <c r="M668" s="68"/>
    </row>
    <row r="669" spans="1:13" s="64" customFormat="1">
      <c r="A669" s="10"/>
      <c r="B669" s="111"/>
      <c r="C669" s="68"/>
      <c r="D669" s="374"/>
      <c r="E669" s="112"/>
      <c r="F669" s="112"/>
      <c r="G669" s="68"/>
      <c r="H669" s="603"/>
      <c r="I669" s="882"/>
      <c r="J669" s="883"/>
      <c r="K669" s="884"/>
      <c r="L669" s="884"/>
      <c r="M669" s="68"/>
    </row>
    <row r="670" spans="1:13" s="64" customFormat="1">
      <c r="A670" s="10"/>
      <c r="B670" s="111"/>
      <c r="C670" s="68"/>
      <c r="D670" s="374"/>
      <c r="E670" s="112"/>
      <c r="F670" s="112"/>
      <c r="G670" s="68"/>
      <c r="H670" s="603"/>
      <c r="I670" s="882"/>
      <c r="J670" s="883"/>
      <c r="K670" s="884"/>
      <c r="L670" s="884"/>
      <c r="M670" s="68"/>
    </row>
    <row r="671" spans="1:13" s="64" customFormat="1">
      <c r="A671" s="10"/>
      <c r="B671" s="111"/>
      <c r="C671" s="68"/>
      <c r="D671" s="374"/>
      <c r="E671" s="112"/>
      <c r="F671" s="112"/>
      <c r="G671" s="68"/>
      <c r="H671" s="603"/>
      <c r="I671" s="882"/>
      <c r="J671" s="883"/>
      <c r="K671" s="884"/>
      <c r="L671" s="884"/>
      <c r="M671" s="68"/>
    </row>
    <row r="672" spans="1:13" s="64" customFormat="1">
      <c r="A672" s="10"/>
      <c r="B672" s="111"/>
      <c r="C672" s="68"/>
      <c r="D672" s="374"/>
      <c r="E672" s="112"/>
      <c r="F672" s="112"/>
      <c r="G672" s="68"/>
      <c r="H672" s="603"/>
      <c r="I672" s="882"/>
      <c r="J672" s="883"/>
      <c r="K672" s="884"/>
      <c r="L672" s="884"/>
      <c r="M672" s="68"/>
    </row>
    <row r="673" spans="1:13" s="64" customFormat="1">
      <c r="A673" s="10"/>
      <c r="B673" s="111"/>
      <c r="C673" s="68"/>
      <c r="D673" s="374"/>
      <c r="E673" s="112"/>
      <c r="F673" s="112"/>
      <c r="G673" s="68"/>
      <c r="H673" s="603"/>
      <c r="I673" s="882"/>
      <c r="J673" s="883"/>
      <c r="K673" s="884"/>
      <c r="L673" s="884"/>
      <c r="M673" s="68"/>
    </row>
    <row r="674" spans="1:13" s="64" customFormat="1">
      <c r="A674" s="10"/>
      <c r="B674" s="111"/>
      <c r="C674" s="68"/>
      <c r="D674" s="374"/>
      <c r="E674" s="112"/>
      <c r="F674" s="112"/>
      <c r="G674" s="68"/>
      <c r="H674" s="603"/>
      <c r="I674" s="882"/>
      <c r="J674" s="883"/>
      <c r="K674" s="884"/>
      <c r="L674" s="884"/>
      <c r="M674" s="68"/>
    </row>
    <row r="675" spans="1:13" s="64" customFormat="1">
      <c r="A675" s="10"/>
      <c r="B675" s="111"/>
      <c r="C675" s="68"/>
      <c r="D675" s="374"/>
      <c r="E675" s="112"/>
      <c r="F675" s="112"/>
      <c r="G675" s="68"/>
      <c r="H675" s="603"/>
      <c r="I675" s="882"/>
      <c r="J675" s="883"/>
      <c r="K675" s="884"/>
      <c r="L675" s="884"/>
      <c r="M675" s="68"/>
    </row>
    <row r="676" spans="1:13" s="64" customFormat="1">
      <c r="A676" s="10"/>
      <c r="B676" s="111"/>
      <c r="C676" s="68"/>
      <c r="D676" s="374"/>
      <c r="E676" s="112"/>
      <c r="F676" s="112"/>
      <c r="G676" s="68"/>
      <c r="H676" s="603"/>
      <c r="I676" s="882"/>
      <c r="J676" s="883"/>
      <c r="K676" s="884"/>
      <c r="L676" s="884"/>
      <c r="M676" s="68"/>
    </row>
    <row r="677" spans="1:13" s="64" customFormat="1">
      <c r="A677" s="10"/>
      <c r="B677" s="111"/>
      <c r="C677" s="68"/>
      <c r="D677" s="374"/>
      <c r="E677" s="112"/>
      <c r="F677" s="112"/>
      <c r="G677" s="68"/>
      <c r="H677" s="603"/>
      <c r="I677" s="882"/>
      <c r="J677" s="883"/>
      <c r="K677" s="884"/>
      <c r="L677" s="884"/>
      <c r="M677" s="68"/>
    </row>
    <row r="678" spans="1:13" s="64" customFormat="1">
      <c r="A678" s="10"/>
      <c r="B678" s="111"/>
      <c r="C678" s="68"/>
      <c r="D678" s="374"/>
      <c r="E678" s="112"/>
      <c r="F678" s="112"/>
      <c r="G678" s="68"/>
      <c r="H678" s="603"/>
      <c r="I678" s="882"/>
      <c r="J678" s="883"/>
      <c r="K678" s="884"/>
      <c r="L678" s="884"/>
      <c r="M678" s="68"/>
    </row>
    <row r="679" spans="1:13" s="64" customFormat="1">
      <c r="A679" s="10"/>
      <c r="B679" s="111"/>
      <c r="C679" s="68"/>
      <c r="D679" s="374"/>
      <c r="E679" s="112"/>
      <c r="F679" s="112"/>
      <c r="G679" s="68"/>
      <c r="H679" s="603"/>
      <c r="I679" s="882"/>
      <c r="J679" s="883"/>
      <c r="K679" s="884"/>
      <c r="L679" s="884"/>
      <c r="M679" s="68"/>
    </row>
    <row r="680" spans="1:13" s="64" customFormat="1">
      <c r="A680" s="10"/>
      <c r="B680" s="111"/>
      <c r="C680" s="68"/>
      <c r="D680" s="374"/>
      <c r="E680" s="112"/>
      <c r="F680" s="112"/>
      <c r="G680" s="68"/>
      <c r="H680" s="603"/>
      <c r="I680" s="882"/>
      <c r="J680" s="883"/>
      <c r="K680" s="884"/>
      <c r="L680" s="884"/>
      <c r="M680" s="68"/>
    </row>
    <row r="681" spans="1:13" s="64" customFormat="1">
      <c r="A681" s="10"/>
      <c r="B681" s="111"/>
      <c r="C681" s="68"/>
      <c r="D681" s="374"/>
      <c r="E681" s="112"/>
      <c r="F681" s="112"/>
      <c r="G681" s="68"/>
      <c r="H681" s="603"/>
      <c r="I681" s="882"/>
      <c r="J681" s="883"/>
      <c r="K681" s="884"/>
      <c r="L681" s="884"/>
      <c r="M681" s="68"/>
    </row>
    <row r="682" spans="1:13" s="64" customFormat="1">
      <c r="A682" s="10"/>
      <c r="B682" s="111"/>
      <c r="C682" s="68"/>
      <c r="D682" s="374"/>
      <c r="E682" s="112"/>
      <c r="F682" s="112"/>
      <c r="G682" s="68"/>
      <c r="H682" s="603"/>
      <c r="I682" s="882"/>
      <c r="J682" s="883"/>
      <c r="K682" s="884"/>
      <c r="L682" s="884"/>
      <c r="M682" s="68"/>
    </row>
    <row r="683" spans="1:13" s="64" customFormat="1">
      <c r="A683" s="10"/>
      <c r="B683" s="111"/>
      <c r="C683" s="68"/>
      <c r="D683" s="374"/>
      <c r="E683" s="112"/>
      <c r="F683" s="112"/>
      <c r="G683" s="68"/>
      <c r="H683" s="603"/>
      <c r="I683" s="882"/>
      <c r="J683" s="883"/>
      <c r="K683" s="884"/>
      <c r="L683" s="884"/>
      <c r="M683" s="68"/>
    </row>
    <row r="684" spans="1:13" s="64" customFormat="1">
      <c r="A684" s="10"/>
      <c r="B684" s="111"/>
      <c r="C684" s="68"/>
      <c r="D684" s="374"/>
      <c r="E684" s="112"/>
      <c r="F684" s="112"/>
      <c r="G684" s="68"/>
      <c r="H684" s="603"/>
      <c r="I684" s="882"/>
      <c r="J684" s="883"/>
      <c r="K684" s="884"/>
      <c r="L684" s="884"/>
      <c r="M684" s="68"/>
    </row>
    <row r="685" spans="1:13" s="64" customFormat="1">
      <c r="A685" s="10"/>
      <c r="B685" s="111"/>
      <c r="C685" s="68"/>
      <c r="D685" s="374"/>
      <c r="E685" s="112"/>
      <c r="F685" s="112"/>
      <c r="G685" s="68"/>
      <c r="H685" s="603"/>
      <c r="I685" s="882"/>
      <c r="J685" s="883"/>
      <c r="K685" s="884"/>
      <c r="L685" s="884"/>
      <c r="M685" s="68"/>
    </row>
    <row r="686" spans="1:13" s="64" customFormat="1">
      <c r="A686" s="10"/>
      <c r="B686" s="111"/>
      <c r="C686" s="68"/>
      <c r="D686" s="374"/>
      <c r="E686" s="112"/>
      <c r="F686" s="112"/>
      <c r="G686" s="68"/>
      <c r="H686" s="603"/>
      <c r="I686" s="882"/>
      <c r="J686" s="883"/>
      <c r="K686" s="884"/>
      <c r="L686" s="884"/>
      <c r="M686" s="68"/>
    </row>
    <row r="687" spans="1:13" s="64" customFormat="1">
      <c r="A687" s="10"/>
      <c r="B687" s="111"/>
      <c r="C687" s="68"/>
      <c r="D687" s="374"/>
      <c r="E687" s="112"/>
      <c r="F687" s="112"/>
      <c r="G687" s="68"/>
      <c r="H687" s="603"/>
      <c r="I687" s="882"/>
      <c r="J687" s="883"/>
      <c r="K687" s="884"/>
      <c r="L687" s="884"/>
      <c r="M687" s="68"/>
    </row>
    <row r="688" spans="1:13" s="64" customFormat="1">
      <c r="A688" s="10"/>
      <c r="B688" s="111"/>
      <c r="C688" s="68"/>
      <c r="D688" s="374"/>
      <c r="E688" s="112"/>
      <c r="F688" s="112"/>
      <c r="G688" s="68"/>
      <c r="H688" s="603"/>
      <c r="I688" s="882"/>
      <c r="J688" s="883"/>
      <c r="K688" s="884"/>
      <c r="L688" s="884"/>
      <c r="M688" s="68"/>
    </row>
    <row r="689" spans="1:13" s="64" customFormat="1">
      <c r="A689" s="10"/>
      <c r="B689" s="111"/>
      <c r="C689" s="68"/>
      <c r="D689" s="374"/>
      <c r="E689" s="112"/>
      <c r="F689" s="112"/>
      <c r="G689" s="68"/>
      <c r="H689" s="603"/>
      <c r="I689" s="882"/>
      <c r="J689" s="883"/>
      <c r="K689" s="884"/>
      <c r="L689" s="884"/>
      <c r="M689" s="68"/>
    </row>
    <row r="690" spans="1:13" s="64" customFormat="1">
      <c r="A690" s="10"/>
      <c r="B690" s="111"/>
      <c r="C690" s="68"/>
      <c r="D690" s="374"/>
      <c r="E690" s="112"/>
      <c r="F690" s="112"/>
      <c r="G690" s="68"/>
      <c r="H690" s="603"/>
      <c r="I690" s="882"/>
      <c r="J690" s="883"/>
      <c r="K690" s="884"/>
      <c r="L690" s="884"/>
      <c r="M690" s="68"/>
    </row>
    <row r="691" spans="1:13" s="64" customFormat="1">
      <c r="A691" s="10"/>
      <c r="B691" s="111"/>
      <c r="C691" s="68"/>
      <c r="D691" s="374"/>
      <c r="E691" s="112"/>
      <c r="F691" s="112"/>
      <c r="G691" s="68"/>
      <c r="H691" s="603"/>
      <c r="I691" s="882"/>
      <c r="J691" s="883"/>
      <c r="K691" s="884"/>
      <c r="L691" s="884"/>
      <c r="M691" s="68"/>
    </row>
    <row r="692" spans="1:13" s="64" customFormat="1">
      <c r="A692" s="10"/>
      <c r="B692" s="111"/>
      <c r="C692" s="68"/>
      <c r="D692" s="374"/>
      <c r="E692" s="112"/>
      <c r="F692" s="112"/>
      <c r="G692" s="68"/>
      <c r="H692" s="603"/>
      <c r="I692" s="882"/>
      <c r="J692" s="883"/>
      <c r="K692" s="884"/>
      <c r="L692" s="884"/>
      <c r="M692" s="68"/>
    </row>
    <row r="693" spans="1:13" s="64" customFormat="1">
      <c r="A693" s="10"/>
      <c r="B693" s="111"/>
      <c r="C693" s="68"/>
      <c r="D693" s="374"/>
      <c r="E693" s="112"/>
      <c r="F693" s="112"/>
      <c r="G693" s="68"/>
      <c r="H693" s="603"/>
      <c r="I693" s="882"/>
      <c r="J693" s="883"/>
      <c r="K693" s="884"/>
      <c r="L693" s="884"/>
      <c r="M693" s="68"/>
    </row>
    <row r="694" spans="1:13" s="64" customFormat="1">
      <c r="A694" s="10"/>
      <c r="B694" s="111"/>
      <c r="C694" s="68"/>
      <c r="D694" s="374"/>
      <c r="E694" s="112"/>
      <c r="F694" s="112"/>
      <c r="G694" s="68"/>
      <c r="H694" s="603"/>
      <c r="I694" s="882"/>
      <c r="J694" s="883"/>
      <c r="K694" s="884"/>
      <c r="L694" s="884"/>
      <c r="M694" s="68"/>
    </row>
    <row r="695" spans="1:13" s="64" customFormat="1">
      <c r="A695" s="10"/>
      <c r="B695" s="111"/>
      <c r="C695" s="68"/>
      <c r="D695" s="374"/>
      <c r="E695" s="112"/>
      <c r="F695" s="112"/>
      <c r="G695" s="68"/>
      <c r="H695" s="603"/>
      <c r="I695" s="882"/>
      <c r="J695" s="883"/>
      <c r="K695" s="884"/>
      <c r="L695" s="884"/>
      <c r="M695" s="68"/>
    </row>
    <row r="696" spans="1:13" s="64" customFormat="1">
      <c r="A696" s="10"/>
      <c r="B696" s="111"/>
      <c r="C696" s="68"/>
      <c r="D696" s="374"/>
      <c r="E696" s="112"/>
      <c r="F696" s="112"/>
      <c r="G696" s="68"/>
      <c r="H696" s="603"/>
      <c r="I696" s="882"/>
      <c r="J696" s="883"/>
      <c r="K696" s="884"/>
      <c r="L696" s="884"/>
      <c r="M696" s="68"/>
    </row>
    <row r="697" spans="1:13" s="64" customFormat="1">
      <c r="A697" s="10"/>
      <c r="B697" s="111"/>
      <c r="C697" s="68"/>
      <c r="D697" s="374"/>
      <c r="E697" s="112"/>
      <c r="F697" s="112"/>
      <c r="G697" s="68"/>
      <c r="H697" s="603"/>
      <c r="I697" s="882"/>
      <c r="J697" s="883"/>
      <c r="K697" s="884"/>
      <c r="L697" s="884"/>
      <c r="M697" s="68"/>
    </row>
    <row r="698" spans="1:13" s="64" customFormat="1">
      <c r="A698" s="10"/>
      <c r="B698" s="111"/>
      <c r="C698" s="68"/>
      <c r="D698" s="374"/>
      <c r="E698" s="112"/>
      <c r="F698" s="112"/>
      <c r="G698" s="68"/>
      <c r="H698" s="603"/>
      <c r="I698" s="882"/>
      <c r="J698" s="883"/>
      <c r="K698" s="884"/>
      <c r="L698" s="884"/>
      <c r="M698" s="68"/>
    </row>
    <row r="699" spans="1:13" s="64" customFormat="1">
      <c r="A699" s="10"/>
      <c r="B699" s="111"/>
      <c r="C699" s="68"/>
      <c r="D699" s="374"/>
      <c r="E699" s="112"/>
      <c r="F699" s="112"/>
      <c r="G699" s="68"/>
      <c r="H699" s="603"/>
      <c r="I699" s="882"/>
      <c r="J699" s="883"/>
      <c r="K699" s="884"/>
      <c r="L699" s="884"/>
      <c r="M699" s="68"/>
    </row>
    <row r="700" spans="1:13" s="64" customFormat="1">
      <c r="A700" s="10"/>
      <c r="B700" s="111"/>
      <c r="C700" s="68"/>
      <c r="D700" s="374"/>
      <c r="E700" s="112"/>
      <c r="F700" s="112"/>
      <c r="G700" s="68"/>
      <c r="H700" s="603"/>
      <c r="I700" s="882"/>
      <c r="J700" s="883"/>
      <c r="K700" s="884"/>
      <c r="L700" s="884"/>
      <c r="M700" s="68"/>
    </row>
    <row r="701" spans="1:13" s="64" customFormat="1">
      <c r="A701" s="10"/>
      <c r="B701" s="111"/>
      <c r="C701" s="68"/>
      <c r="D701" s="374"/>
      <c r="E701" s="112"/>
      <c r="F701" s="112"/>
      <c r="G701" s="68"/>
      <c r="H701" s="603"/>
      <c r="I701" s="882"/>
      <c r="J701" s="883"/>
      <c r="K701" s="884"/>
      <c r="L701" s="884"/>
      <c r="M701" s="68"/>
    </row>
    <row r="702" spans="1:13" s="64" customFormat="1">
      <c r="A702" s="10"/>
      <c r="B702" s="111"/>
      <c r="C702" s="68"/>
      <c r="D702" s="374"/>
      <c r="E702" s="112"/>
      <c r="F702" s="112"/>
      <c r="G702" s="68"/>
      <c r="H702" s="603"/>
      <c r="I702" s="882"/>
      <c r="J702" s="883"/>
      <c r="K702" s="884"/>
      <c r="L702" s="884"/>
      <c r="M702" s="68"/>
    </row>
    <row r="703" spans="1:13" s="64" customFormat="1">
      <c r="A703" s="10"/>
      <c r="B703" s="111"/>
      <c r="C703" s="68"/>
      <c r="D703" s="374"/>
      <c r="E703" s="112"/>
      <c r="F703" s="112"/>
      <c r="G703" s="68"/>
      <c r="H703" s="603"/>
      <c r="I703" s="882"/>
      <c r="J703" s="883"/>
      <c r="K703" s="884"/>
      <c r="L703" s="884"/>
      <c r="M703" s="68"/>
    </row>
    <row r="704" spans="1:13" s="64" customFormat="1">
      <c r="A704" s="10"/>
      <c r="B704" s="111"/>
      <c r="C704" s="68"/>
      <c r="D704" s="374"/>
      <c r="E704" s="112"/>
      <c r="F704" s="112"/>
      <c r="G704" s="68"/>
      <c r="H704" s="603"/>
      <c r="I704" s="882"/>
      <c r="J704" s="883"/>
      <c r="K704" s="884"/>
      <c r="L704" s="884"/>
      <c r="M704" s="68"/>
    </row>
    <row r="705" spans="1:13" s="64" customFormat="1">
      <c r="A705" s="10"/>
      <c r="B705" s="111"/>
      <c r="C705" s="68"/>
      <c r="D705" s="374"/>
      <c r="E705" s="112"/>
      <c r="F705" s="112"/>
      <c r="G705" s="68"/>
      <c r="H705" s="603"/>
      <c r="I705" s="882"/>
      <c r="J705" s="883"/>
      <c r="K705" s="884"/>
      <c r="L705" s="884"/>
      <c r="M705" s="68"/>
    </row>
    <row r="706" spans="1:13" s="64" customFormat="1">
      <c r="A706" s="10"/>
      <c r="B706" s="111"/>
      <c r="C706" s="68"/>
      <c r="D706" s="374"/>
      <c r="E706" s="112"/>
      <c r="F706" s="112"/>
      <c r="G706" s="68"/>
      <c r="H706" s="603"/>
      <c r="I706" s="882"/>
      <c r="J706" s="883"/>
      <c r="K706" s="884"/>
      <c r="L706" s="884"/>
      <c r="M706" s="68"/>
    </row>
    <row r="707" spans="1:13" s="64" customFormat="1">
      <c r="A707" s="10"/>
      <c r="B707" s="111"/>
      <c r="C707" s="68"/>
      <c r="D707" s="374"/>
      <c r="E707" s="112"/>
      <c r="F707" s="112"/>
      <c r="G707" s="68"/>
      <c r="H707" s="603"/>
      <c r="I707" s="882"/>
      <c r="J707" s="883"/>
      <c r="K707" s="884"/>
      <c r="L707" s="884"/>
      <c r="M707" s="68"/>
    </row>
    <row r="708" spans="1:13" s="64" customFormat="1">
      <c r="A708" s="10"/>
      <c r="B708" s="111"/>
      <c r="C708" s="68"/>
      <c r="D708" s="374"/>
      <c r="E708" s="112"/>
      <c r="F708" s="112"/>
      <c r="G708" s="68"/>
      <c r="H708" s="603"/>
      <c r="I708" s="882"/>
      <c r="J708" s="883"/>
      <c r="K708" s="884"/>
      <c r="L708" s="884"/>
      <c r="M708" s="68"/>
    </row>
    <row r="709" spans="1:13" s="64" customFormat="1">
      <c r="A709" s="10"/>
      <c r="B709" s="111"/>
      <c r="C709" s="68"/>
      <c r="D709" s="374"/>
      <c r="E709" s="112"/>
      <c r="F709" s="112"/>
      <c r="G709" s="68"/>
      <c r="H709" s="603"/>
      <c r="I709" s="882"/>
      <c r="J709" s="883"/>
      <c r="K709" s="884"/>
      <c r="L709" s="884"/>
      <c r="M709" s="68"/>
    </row>
    <row r="710" spans="1:13" s="64" customFormat="1">
      <c r="A710" s="10"/>
      <c r="B710" s="111"/>
      <c r="C710" s="68"/>
      <c r="D710" s="374"/>
      <c r="E710" s="112"/>
      <c r="F710" s="112"/>
      <c r="G710" s="68"/>
      <c r="H710" s="603"/>
      <c r="I710" s="882"/>
      <c r="J710" s="883"/>
      <c r="K710" s="884"/>
      <c r="L710" s="884"/>
      <c r="M710" s="68"/>
    </row>
    <row r="711" spans="1:13" s="64" customFormat="1">
      <c r="A711" s="10"/>
      <c r="B711" s="111"/>
      <c r="C711" s="68"/>
      <c r="D711" s="374"/>
      <c r="E711" s="112"/>
      <c r="F711" s="112"/>
      <c r="G711" s="68"/>
      <c r="H711" s="603"/>
      <c r="I711" s="882"/>
      <c r="J711" s="883"/>
      <c r="K711" s="884"/>
      <c r="L711" s="884"/>
      <c r="M711" s="68"/>
    </row>
    <row r="712" spans="1:13" s="64" customFormat="1">
      <c r="A712" s="10"/>
      <c r="B712" s="111"/>
      <c r="C712" s="68"/>
      <c r="D712" s="374"/>
      <c r="E712" s="112"/>
      <c r="F712" s="112"/>
      <c r="G712" s="68"/>
      <c r="H712" s="603"/>
      <c r="I712" s="882"/>
      <c r="J712" s="883"/>
      <c r="K712" s="884"/>
      <c r="L712" s="884"/>
      <c r="M712" s="68"/>
    </row>
    <row r="713" spans="1:13" s="64" customFormat="1">
      <c r="A713" s="10"/>
      <c r="B713" s="111"/>
      <c r="C713" s="68"/>
      <c r="D713" s="374"/>
      <c r="E713" s="112"/>
      <c r="F713" s="112"/>
      <c r="G713" s="68"/>
      <c r="H713" s="603"/>
      <c r="I713" s="882"/>
      <c r="J713" s="883"/>
      <c r="K713" s="884"/>
      <c r="L713" s="884"/>
      <c r="M713" s="68"/>
    </row>
    <row r="714" spans="1:13" s="64" customFormat="1">
      <c r="A714" s="10"/>
      <c r="B714" s="111"/>
      <c r="C714" s="68"/>
      <c r="D714" s="374"/>
      <c r="E714" s="112"/>
      <c r="F714" s="112"/>
      <c r="G714" s="68"/>
      <c r="H714" s="603"/>
      <c r="I714" s="882"/>
      <c r="J714" s="883"/>
      <c r="K714" s="884"/>
      <c r="L714" s="884"/>
      <c r="M714" s="68"/>
    </row>
    <row r="715" spans="1:13" s="64" customFormat="1">
      <c r="A715" s="10"/>
      <c r="B715" s="111"/>
      <c r="C715" s="68"/>
      <c r="D715" s="374"/>
      <c r="E715" s="112"/>
      <c r="F715" s="112"/>
      <c r="G715" s="68"/>
      <c r="H715" s="603"/>
      <c r="I715" s="882"/>
      <c r="J715" s="883"/>
      <c r="K715" s="884"/>
      <c r="L715" s="884"/>
      <c r="M715" s="68"/>
    </row>
    <row r="716" spans="1:13" s="64" customFormat="1">
      <c r="A716" s="10"/>
      <c r="B716" s="111"/>
      <c r="C716" s="68"/>
      <c r="D716" s="374"/>
      <c r="E716" s="112"/>
      <c r="F716" s="112"/>
      <c r="G716" s="68"/>
      <c r="H716" s="603"/>
      <c r="I716" s="882"/>
      <c r="J716" s="883"/>
      <c r="K716" s="884"/>
      <c r="L716" s="884"/>
      <c r="M716" s="68"/>
    </row>
    <row r="717" spans="1:13" s="64" customFormat="1">
      <c r="A717" s="10"/>
      <c r="B717" s="111"/>
      <c r="C717" s="68"/>
      <c r="D717" s="374"/>
      <c r="E717" s="112"/>
      <c r="F717" s="112"/>
      <c r="G717" s="68"/>
      <c r="H717" s="603"/>
      <c r="I717" s="882"/>
      <c r="J717" s="883"/>
      <c r="K717" s="884"/>
      <c r="L717" s="884"/>
      <c r="M717" s="68"/>
    </row>
    <row r="718" spans="1:13" s="64" customFormat="1">
      <c r="A718" s="10"/>
      <c r="B718" s="111"/>
      <c r="C718" s="68"/>
      <c r="D718" s="374"/>
      <c r="E718" s="112"/>
      <c r="F718" s="112"/>
      <c r="G718" s="68"/>
      <c r="H718" s="603"/>
      <c r="I718" s="882"/>
      <c r="J718" s="883"/>
      <c r="K718" s="884"/>
      <c r="L718" s="884"/>
      <c r="M718" s="68"/>
    </row>
    <row r="719" spans="1:13" s="64" customFormat="1">
      <c r="A719" s="10"/>
      <c r="B719" s="111"/>
      <c r="C719" s="68"/>
      <c r="D719" s="374"/>
      <c r="E719" s="112"/>
      <c r="F719" s="112"/>
      <c r="G719" s="68"/>
      <c r="H719" s="603"/>
      <c r="I719" s="882"/>
      <c r="J719" s="883"/>
      <c r="K719" s="884"/>
      <c r="L719" s="884"/>
      <c r="M719" s="68"/>
    </row>
    <row r="720" spans="1:13" s="64" customFormat="1">
      <c r="A720" s="10"/>
      <c r="B720" s="111"/>
      <c r="C720" s="68"/>
      <c r="D720" s="374"/>
      <c r="E720" s="112"/>
      <c r="F720" s="112"/>
      <c r="G720" s="68"/>
      <c r="H720" s="603"/>
      <c r="I720" s="882"/>
      <c r="J720" s="883"/>
      <c r="K720" s="884"/>
      <c r="L720" s="884"/>
      <c r="M720" s="68"/>
    </row>
    <row r="721" spans="1:13" s="64" customFormat="1">
      <c r="A721" s="10"/>
      <c r="B721" s="111"/>
      <c r="C721" s="68"/>
      <c r="D721" s="374"/>
      <c r="E721" s="112"/>
      <c r="F721" s="112"/>
      <c r="G721" s="68"/>
      <c r="H721" s="603"/>
      <c r="I721" s="882"/>
      <c r="J721" s="883"/>
      <c r="K721" s="884"/>
      <c r="L721" s="884"/>
      <c r="M721" s="68"/>
    </row>
    <row r="722" spans="1:13" s="64" customFormat="1">
      <c r="A722" s="10"/>
      <c r="B722" s="111"/>
      <c r="C722" s="68"/>
      <c r="D722" s="374"/>
      <c r="E722" s="112"/>
      <c r="F722" s="112"/>
      <c r="G722" s="68"/>
      <c r="H722" s="603"/>
      <c r="I722" s="882"/>
      <c r="J722" s="883"/>
      <c r="K722" s="884"/>
      <c r="L722" s="884"/>
      <c r="M722" s="68"/>
    </row>
    <row r="723" spans="1:13" s="64" customFormat="1">
      <c r="A723" s="10"/>
      <c r="B723" s="111"/>
      <c r="C723" s="68"/>
      <c r="D723" s="374"/>
      <c r="E723" s="112"/>
      <c r="F723" s="112"/>
      <c r="G723" s="68"/>
      <c r="H723" s="603"/>
      <c r="I723" s="882"/>
      <c r="J723" s="883"/>
      <c r="K723" s="884"/>
      <c r="L723" s="884"/>
      <c r="M723" s="68"/>
    </row>
    <row r="724" spans="1:13" s="64" customFormat="1">
      <c r="A724" s="10"/>
      <c r="B724" s="111"/>
      <c r="C724" s="68"/>
      <c r="D724" s="374"/>
      <c r="E724" s="112"/>
      <c r="F724" s="112"/>
      <c r="G724" s="68"/>
      <c r="H724" s="603"/>
      <c r="I724" s="882"/>
      <c r="J724" s="883"/>
      <c r="K724" s="884"/>
      <c r="L724" s="884"/>
      <c r="M724" s="68"/>
    </row>
    <row r="725" spans="1:13" s="64" customFormat="1">
      <c r="A725" s="10"/>
      <c r="B725" s="111"/>
      <c r="C725" s="68"/>
      <c r="D725" s="374"/>
      <c r="E725" s="112"/>
      <c r="F725" s="112"/>
      <c r="G725" s="68"/>
      <c r="H725" s="603"/>
      <c r="I725" s="882"/>
      <c r="J725" s="883"/>
      <c r="K725" s="884"/>
      <c r="L725" s="884"/>
      <c r="M725" s="68"/>
    </row>
    <row r="726" spans="1:13" s="64" customFormat="1">
      <c r="A726" s="10"/>
      <c r="B726" s="111"/>
      <c r="C726" s="68"/>
      <c r="D726" s="374"/>
      <c r="E726" s="112"/>
      <c r="F726" s="112"/>
      <c r="G726" s="68"/>
      <c r="H726" s="603"/>
      <c r="I726" s="882"/>
      <c r="J726" s="883"/>
      <c r="K726" s="884"/>
      <c r="L726" s="884"/>
      <c r="M726" s="68"/>
    </row>
    <row r="727" spans="1:13" s="64" customFormat="1">
      <c r="A727" s="10"/>
      <c r="B727" s="111"/>
      <c r="C727" s="68"/>
      <c r="D727" s="374"/>
      <c r="E727" s="112"/>
      <c r="F727" s="112"/>
      <c r="G727" s="68"/>
      <c r="H727" s="603"/>
      <c r="I727" s="882"/>
      <c r="J727" s="883"/>
      <c r="K727" s="884"/>
      <c r="L727" s="884"/>
      <c r="M727" s="68"/>
    </row>
    <row r="728" spans="1:13" s="64" customFormat="1">
      <c r="A728" s="10"/>
      <c r="B728" s="111"/>
      <c r="C728" s="68"/>
      <c r="D728" s="374"/>
      <c r="E728" s="112"/>
      <c r="F728" s="112"/>
      <c r="G728" s="68"/>
      <c r="H728" s="603"/>
      <c r="I728" s="882"/>
      <c r="J728" s="883"/>
      <c r="K728" s="884"/>
      <c r="L728" s="884"/>
      <c r="M728" s="68"/>
    </row>
    <row r="729" spans="1:13" s="64" customFormat="1">
      <c r="A729" s="10"/>
      <c r="B729" s="111"/>
      <c r="C729" s="68"/>
      <c r="D729" s="374"/>
      <c r="E729" s="112"/>
      <c r="F729" s="112"/>
      <c r="G729" s="68"/>
      <c r="H729" s="603"/>
      <c r="I729" s="882"/>
      <c r="J729" s="883"/>
      <c r="K729" s="884"/>
      <c r="L729" s="884"/>
      <c r="M729" s="68"/>
    </row>
    <row r="730" spans="1:13" s="64" customFormat="1">
      <c r="A730" s="10"/>
      <c r="B730" s="111"/>
      <c r="C730" s="68"/>
      <c r="D730" s="374"/>
      <c r="E730" s="112"/>
      <c r="F730" s="112"/>
      <c r="G730" s="68"/>
      <c r="H730" s="603"/>
      <c r="I730" s="882"/>
      <c r="J730" s="883"/>
      <c r="K730" s="884"/>
      <c r="L730" s="884"/>
      <c r="M730" s="68"/>
    </row>
    <row r="731" spans="1:13" s="64" customFormat="1">
      <c r="A731" s="10"/>
      <c r="B731" s="111"/>
      <c r="C731" s="68"/>
      <c r="D731" s="374"/>
      <c r="E731" s="112"/>
      <c r="F731" s="112"/>
      <c r="G731" s="68"/>
      <c r="H731" s="603"/>
      <c r="I731" s="882"/>
      <c r="J731" s="883"/>
      <c r="K731" s="884"/>
      <c r="L731" s="884"/>
      <c r="M731" s="68"/>
    </row>
    <row r="732" spans="1:13" s="64" customFormat="1">
      <c r="A732" s="10"/>
      <c r="B732" s="111"/>
      <c r="C732" s="68"/>
      <c r="D732" s="374"/>
      <c r="E732" s="112"/>
      <c r="F732" s="112"/>
      <c r="G732" s="68"/>
      <c r="H732" s="603"/>
      <c r="I732" s="882"/>
      <c r="J732" s="883"/>
      <c r="K732" s="884"/>
      <c r="L732" s="884"/>
      <c r="M732" s="68"/>
    </row>
    <row r="733" spans="1:13" s="64" customFormat="1">
      <c r="A733" s="10"/>
      <c r="B733" s="111"/>
      <c r="C733" s="68"/>
      <c r="D733" s="374"/>
      <c r="E733" s="112"/>
      <c r="F733" s="112"/>
      <c r="G733" s="68"/>
      <c r="H733" s="603"/>
      <c r="I733" s="882"/>
      <c r="J733" s="883"/>
      <c r="K733" s="884"/>
      <c r="L733" s="884"/>
      <c r="M733" s="68"/>
    </row>
    <row r="734" spans="1:13" s="64" customFormat="1">
      <c r="A734" s="10"/>
      <c r="B734" s="111"/>
      <c r="C734" s="68"/>
      <c r="D734" s="374"/>
      <c r="E734" s="112"/>
      <c r="F734" s="112"/>
      <c r="G734" s="68"/>
      <c r="H734" s="603"/>
      <c r="I734" s="882"/>
      <c r="J734" s="883"/>
      <c r="K734" s="884"/>
      <c r="L734" s="884"/>
      <c r="M734" s="68"/>
    </row>
    <row r="735" spans="1:13" s="64" customFormat="1">
      <c r="A735" s="10"/>
      <c r="B735" s="111"/>
      <c r="C735" s="68"/>
      <c r="D735" s="374"/>
      <c r="E735" s="112"/>
      <c r="F735" s="112"/>
      <c r="G735" s="68"/>
      <c r="H735" s="603"/>
      <c r="I735" s="882"/>
      <c r="J735" s="883"/>
      <c r="K735" s="884"/>
      <c r="L735" s="884"/>
      <c r="M735" s="68"/>
    </row>
    <row r="736" spans="1:13" s="64" customFormat="1">
      <c r="A736" s="10"/>
      <c r="B736" s="111"/>
      <c r="C736" s="68"/>
      <c r="D736" s="374"/>
      <c r="E736" s="112"/>
      <c r="F736" s="112"/>
      <c r="G736" s="68"/>
      <c r="H736" s="603"/>
      <c r="I736" s="882"/>
      <c r="J736" s="883"/>
      <c r="K736" s="884"/>
      <c r="L736" s="884"/>
      <c r="M736" s="68"/>
    </row>
    <row r="737" spans="1:13" s="64" customFormat="1">
      <c r="A737" s="10"/>
      <c r="B737" s="111"/>
      <c r="C737" s="68"/>
      <c r="D737" s="374"/>
      <c r="E737" s="112"/>
      <c r="F737" s="112"/>
      <c r="G737" s="68"/>
      <c r="H737" s="603"/>
      <c r="I737" s="882"/>
      <c r="J737" s="883"/>
      <c r="K737" s="884"/>
      <c r="L737" s="884"/>
      <c r="M737" s="68"/>
    </row>
    <row r="738" spans="1:13" s="64" customFormat="1">
      <c r="A738" s="10"/>
      <c r="B738" s="111"/>
      <c r="C738" s="68"/>
      <c r="D738" s="374"/>
      <c r="E738" s="112"/>
      <c r="F738" s="112"/>
      <c r="G738" s="68"/>
      <c r="H738" s="603"/>
      <c r="I738" s="882"/>
      <c r="J738" s="883"/>
      <c r="K738" s="884"/>
      <c r="L738" s="884"/>
      <c r="M738" s="68"/>
    </row>
    <row r="739" spans="1:13" s="64" customFormat="1">
      <c r="A739" s="10"/>
      <c r="B739" s="111"/>
      <c r="C739" s="68"/>
      <c r="D739" s="374"/>
      <c r="E739" s="112"/>
      <c r="F739" s="112"/>
      <c r="G739" s="68"/>
      <c r="H739" s="603"/>
      <c r="I739" s="882"/>
      <c r="J739" s="883"/>
      <c r="K739" s="884"/>
      <c r="L739" s="884"/>
      <c r="M739" s="68"/>
    </row>
    <row r="740" spans="1:13" s="64" customFormat="1">
      <c r="A740" s="10"/>
      <c r="B740" s="111"/>
      <c r="C740" s="68"/>
      <c r="D740" s="374"/>
      <c r="E740" s="112"/>
      <c r="F740" s="112"/>
      <c r="G740" s="68"/>
      <c r="H740" s="603"/>
      <c r="I740" s="882"/>
      <c r="J740" s="883"/>
      <c r="K740" s="884"/>
      <c r="L740" s="884"/>
      <c r="M740" s="68"/>
    </row>
    <row r="741" spans="1:13" s="64" customFormat="1">
      <c r="A741" s="10"/>
      <c r="B741" s="111"/>
      <c r="C741" s="68"/>
      <c r="D741" s="374"/>
      <c r="E741" s="112"/>
      <c r="F741" s="112"/>
      <c r="G741" s="68"/>
      <c r="H741" s="603"/>
      <c r="I741" s="882"/>
      <c r="J741" s="883"/>
      <c r="K741" s="884"/>
      <c r="L741" s="884"/>
      <c r="M741" s="68"/>
    </row>
    <row r="742" spans="1:13" s="64" customFormat="1">
      <c r="A742" s="10"/>
      <c r="B742" s="111"/>
      <c r="C742" s="68"/>
      <c r="D742" s="374"/>
      <c r="E742" s="112"/>
      <c r="F742" s="112"/>
      <c r="G742" s="68"/>
      <c r="H742" s="603"/>
      <c r="I742" s="882"/>
      <c r="J742" s="883"/>
      <c r="K742" s="884"/>
      <c r="L742" s="884"/>
      <c r="M742" s="68"/>
    </row>
    <row r="743" spans="1:13" s="64" customFormat="1">
      <c r="A743" s="10"/>
      <c r="B743" s="111"/>
      <c r="C743" s="68"/>
      <c r="D743" s="374"/>
      <c r="E743" s="112"/>
      <c r="F743" s="112"/>
      <c r="G743" s="68"/>
      <c r="H743" s="603"/>
      <c r="I743" s="882"/>
      <c r="J743" s="883"/>
      <c r="K743" s="884"/>
      <c r="L743" s="884"/>
      <c r="M743" s="68"/>
    </row>
    <row r="744" spans="1:13" s="64" customFormat="1">
      <c r="A744" s="10"/>
      <c r="B744" s="111"/>
      <c r="C744" s="68"/>
      <c r="D744" s="374"/>
      <c r="E744" s="112"/>
      <c r="F744" s="112"/>
      <c r="G744" s="68"/>
      <c r="H744" s="603"/>
      <c r="I744" s="882"/>
      <c r="J744" s="883"/>
      <c r="K744" s="884"/>
      <c r="L744" s="884"/>
      <c r="M744" s="68"/>
    </row>
    <row r="745" spans="1:13" s="64" customFormat="1">
      <c r="A745" s="10"/>
      <c r="B745" s="111"/>
      <c r="C745" s="68"/>
      <c r="D745" s="374"/>
      <c r="E745" s="112"/>
      <c r="F745" s="112"/>
      <c r="G745" s="68"/>
      <c r="H745" s="603"/>
      <c r="I745" s="882"/>
      <c r="J745" s="883"/>
      <c r="K745" s="884"/>
      <c r="L745" s="884"/>
      <c r="M745" s="68"/>
    </row>
    <row r="746" spans="1:13" s="64" customFormat="1">
      <c r="A746" s="10"/>
      <c r="B746" s="111"/>
      <c r="C746" s="68"/>
      <c r="D746" s="374"/>
      <c r="E746" s="112"/>
      <c r="F746" s="112"/>
      <c r="G746" s="68"/>
      <c r="H746" s="603"/>
      <c r="I746" s="882"/>
      <c r="J746" s="883"/>
      <c r="K746" s="884"/>
      <c r="L746" s="884"/>
      <c r="M746" s="68"/>
    </row>
    <row r="747" spans="1:13" s="64" customFormat="1">
      <c r="A747" s="10"/>
      <c r="B747" s="111"/>
      <c r="C747" s="68"/>
      <c r="D747" s="374"/>
      <c r="E747" s="112"/>
      <c r="F747" s="112"/>
      <c r="G747" s="68"/>
      <c r="H747" s="603"/>
      <c r="I747" s="882"/>
      <c r="J747" s="883"/>
      <c r="K747" s="884"/>
      <c r="L747" s="884"/>
      <c r="M747" s="68"/>
    </row>
    <row r="748" spans="1:13" s="64" customFormat="1">
      <c r="A748" s="10"/>
      <c r="B748" s="111"/>
      <c r="C748" s="68"/>
      <c r="D748" s="374"/>
      <c r="E748" s="112"/>
      <c r="F748" s="112"/>
      <c r="G748" s="68"/>
      <c r="H748" s="603"/>
      <c r="I748" s="882"/>
      <c r="J748" s="883"/>
      <c r="K748" s="884"/>
      <c r="L748" s="884"/>
      <c r="M748" s="68"/>
    </row>
    <row r="749" spans="1:13" s="64" customFormat="1">
      <c r="A749" s="10"/>
      <c r="B749" s="111"/>
      <c r="C749" s="68"/>
      <c r="D749" s="374"/>
      <c r="E749" s="112"/>
      <c r="F749" s="112"/>
      <c r="G749" s="68"/>
      <c r="H749" s="603"/>
      <c r="I749" s="882"/>
      <c r="J749" s="883"/>
      <c r="K749" s="884"/>
      <c r="L749" s="884"/>
      <c r="M749" s="68"/>
    </row>
    <row r="750" spans="1:13" s="64" customFormat="1">
      <c r="A750" s="10"/>
      <c r="B750" s="111"/>
      <c r="C750" s="68"/>
      <c r="D750" s="374"/>
      <c r="E750" s="112"/>
      <c r="F750" s="112"/>
      <c r="G750" s="68"/>
      <c r="H750" s="603"/>
      <c r="I750" s="882"/>
      <c r="J750" s="883"/>
      <c r="K750" s="884"/>
      <c r="L750" s="884"/>
      <c r="M750" s="68"/>
    </row>
    <row r="751" spans="1:13" s="64" customFormat="1">
      <c r="A751" s="10"/>
      <c r="B751" s="111"/>
      <c r="C751" s="68"/>
      <c r="D751" s="374"/>
      <c r="E751" s="112"/>
      <c r="F751" s="112"/>
      <c r="G751" s="68"/>
      <c r="H751" s="603"/>
      <c r="I751" s="882"/>
      <c r="J751" s="883"/>
      <c r="K751" s="884"/>
      <c r="L751" s="884"/>
      <c r="M751" s="68"/>
    </row>
    <row r="752" spans="1:13" s="64" customFormat="1">
      <c r="A752" s="10"/>
      <c r="B752" s="111"/>
      <c r="C752" s="68"/>
      <c r="D752" s="374"/>
      <c r="E752" s="112"/>
      <c r="F752" s="112"/>
      <c r="G752" s="68"/>
      <c r="H752" s="603"/>
      <c r="I752" s="882"/>
      <c r="J752" s="883"/>
      <c r="K752" s="884"/>
      <c r="L752" s="884"/>
      <c r="M752" s="68"/>
    </row>
    <row r="753" spans="1:13" s="64" customFormat="1">
      <c r="A753" s="10"/>
      <c r="B753" s="111"/>
      <c r="C753" s="68"/>
      <c r="D753" s="374"/>
      <c r="E753" s="112"/>
      <c r="F753" s="112"/>
      <c r="G753" s="68"/>
      <c r="H753" s="603"/>
      <c r="I753" s="882"/>
      <c r="J753" s="883"/>
      <c r="K753" s="884"/>
      <c r="L753" s="884"/>
      <c r="M753" s="68"/>
    </row>
    <row r="754" spans="1:13" s="64" customFormat="1">
      <c r="A754" s="10"/>
      <c r="B754" s="111"/>
      <c r="C754" s="68"/>
      <c r="D754" s="374"/>
      <c r="E754" s="112"/>
      <c r="F754" s="112"/>
      <c r="G754" s="68"/>
      <c r="H754" s="603"/>
      <c r="I754" s="882"/>
      <c r="J754" s="883"/>
      <c r="K754" s="884"/>
      <c r="L754" s="884"/>
      <c r="M754" s="68"/>
    </row>
    <row r="755" spans="1:13" s="64" customFormat="1">
      <c r="A755" s="10"/>
      <c r="B755" s="111"/>
      <c r="C755" s="68"/>
      <c r="D755" s="374"/>
      <c r="E755" s="112"/>
      <c r="F755" s="112"/>
      <c r="G755" s="68"/>
      <c r="H755" s="603"/>
      <c r="I755" s="882"/>
      <c r="J755" s="883"/>
      <c r="K755" s="884"/>
      <c r="L755" s="884"/>
      <c r="M755" s="68"/>
    </row>
    <row r="756" spans="1:13" s="64" customFormat="1">
      <c r="A756" s="10"/>
      <c r="B756" s="111"/>
      <c r="C756" s="68"/>
      <c r="D756" s="374"/>
      <c r="E756" s="112"/>
      <c r="F756" s="112"/>
      <c r="G756" s="68"/>
      <c r="H756" s="603"/>
      <c r="I756" s="882"/>
      <c r="J756" s="883"/>
      <c r="K756" s="884"/>
      <c r="L756" s="884"/>
      <c r="M756" s="68"/>
    </row>
    <row r="757" spans="1:13" s="64" customFormat="1">
      <c r="A757" s="10"/>
      <c r="B757" s="111"/>
      <c r="C757" s="68"/>
      <c r="D757" s="374"/>
      <c r="E757" s="112"/>
      <c r="F757" s="112"/>
      <c r="G757" s="68"/>
      <c r="H757" s="603"/>
      <c r="I757" s="882"/>
      <c r="J757" s="883"/>
      <c r="K757" s="884"/>
      <c r="L757" s="884"/>
      <c r="M757" s="68"/>
    </row>
    <row r="758" spans="1:13" s="64" customFormat="1">
      <c r="A758" s="10"/>
      <c r="B758" s="111"/>
      <c r="C758" s="68"/>
      <c r="D758" s="374"/>
      <c r="E758" s="112"/>
      <c r="F758" s="112"/>
      <c r="G758" s="68"/>
      <c r="H758" s="603"/>
      <c r="I758" s="882"/>
      <c r="J758" s="883"/>
      <c r="K758" s="884"/>
      <c r="L758" s="884"/>
      <c r="M758" s="68"/>
    </row>
    <row r="759" spans="1:13" s="64" customFormat="1">
      <c r="A759" s="10"/>
      <c r="B759" s="111"/>
      <c r="C759" s="68"/>
      <c r="D759" s="374"/>
      <c r="E759" s="112"/>
      <c r="F759" s="112"/>
      <c r="G759" s="68"/>
      <c r="H759" s="603"/>
      <c r="I759" s="882"/>
      <c r="J759" s="883"/>
      <c r="K759" s="884"/>
      <c r="L759" s="884"/>
      <c r="M759" s="68"/>
    </row>
    <row r="760" spans="1:13" s="64" customFormat="1">
      <c r="A760" s="10"/>
      <c r="B760" s="111"/>
      <c r="C760" s="68"/>
      <c r="D760" s="374"/>
      <c r="E760" s="112"/>
      <c r="F760" s="112"/>
      <c r="G760" s="68"/>
      <c r="H760" s="603"/>
      <c r="I760" s="882"/>
      <c r="J760" s="883"/>
      <c r="K760" s="884"/>
      <c r="L760" s="884"/>
      <c r="M760" s="68"/>
    </row>
    <row r="761" spans="1:13" s="64" customFormat="1">
      <c r="A761" s="10"/>
      <c r="B761" s="111"/>
      <c r="C761" s="68"/>
      <c r="D761" s="374"/>
      <c r="E761" s="112"/>
      <c r="F761" s="112"/>
      <c r="G761" s="68"/>
      <c r="H761" s="603"/>
      <c r="I761" s="882"/>
      <c r="J761" s="883"/>
      <c r="K761" s="884"/>
      <c r="L761" s="884"/>
      <c r="M761" s="68"/>
    </row>
    <row r="762" spans="1:13" s="64" customFormat="1">
      <c r="A762" s="10"/>
      <c r="B762" s="111"/>
      <c r="C762" s="68"/>
      <c r="D762" s="374"/>
      <c r="E762" s="112"/>
      <c r="F762" s="112"/>
      <c r="G762" s="68"/>
      <c r="H762" s="603"/>
      <c r="I762" s="882"/>
      <c r="J762" s="883"/>
      <c r="K762" s="884"/>
      <c r="L762" s="884"/>
      <c r="M762" s="68"/>
    </row>
    <row r="763" spans="1:13" s="64" customFormat="1">
      <c r="A763" s="10"/>
      <c r="B763" s="111"/>
      <c r="C763" s="68"/>
      <c r="D763" s="374"/>
      <c r="E763" s="112"/>
      <c r="F763" s="112"/>
      <c r="G763" s="68"/>
      <c r="H763" s="603"/>
      <c r="I763" s="882"/>
      <c r="J763" s="883"/>
      <c r="K763" s="884"/>
      <c r="L763" s="884"/>
      <c r="M763" s="68"/>
    </row>
    <row r="764" spans="1:13" s="64" customFormat="1">
      <c r="A764" s="10"/>
      <c r="B764" s="111"/>
      <c r="C764" s="68"/>
      <c r="D764" s="374"/>
      <c r="E764" s="112"/>
      <c r="F764" s="112"/>
      <c r="G764" s="68"/>
      <c r="H764" s="603"/>
      <c r="I764" s="882"/>
      <c r="J764" s="883"/>
      <c r="K764" s="884"/>
      <c r="L764" s="884"/>
      <c r="M764" s="68"/>
    </row>
    <row r="765" spans="1:13" s="64" customFormat="1">
      <c r="A765" s="10"/>
      <c r="B765" s="111"/>
      <c r="C765" s="68"/>
      <c r="D765" s="374"/>
      <c r="E765" s="112"/>
      <c r="F765" s="112"/>
      <c r="G765" s="68"/>
      <c r="H765" s="603"/>
      <c r="I765" s="882"/>
      <c r="J765" s="883"/>
      <c r="K765" s="884"/>
      <c r="L765" s="884"/>
      <c r="M765" s="68"/>
    </row>
    <row r="766" spans="1:13" s="64" customFormat="1">
      <c r="A766" s="10"/>
      <c r="B766" s="111"/>
      <c r="C766" s="68"/>
      <c r="D766" s="374"/>
      <c r="E766" s="112"/>
      <c r="F766" s="112"/>
      <c r="G766" s="68"/>
      <c r="H766" s="603"/>
      <c r="I766" s="882"/>
      <c r="J766" s="883"/>
      <c r="K766" s="884"/>
      <c r="L766" s="884"/>
      <c r="M766" s="68"/>
    </row>
    <row r="767" spans="1:13" s="64" customFormat="1">
      <c r="A767" s="10"/>
      <c r="B767" s="111"/>
      <c r="C767" s="68"/>
      <c r="D767" s="374"/>
      <c r="E767" s="112"/>
      <c r="F767" s="112"/>
      <c r="G767" s="68"/>
      <c r="H767" s="603"/>
      <c r="I767" s="882"/>
      <c r="J767" s="883"/>
      <c r="K767" s="884"/>
      <c r="L767" s="884"/>
      <c r="M767" s="68"/>
    </row>
    <row r="768" spans="1:13" s="64" customFormat="1">
      <c r="A768" s="10"/>
      <c r="B768" s="111"/>
      <c r="C768" s="68"/>
      <c r="D768" s="374"/>
      <c r="E768" s="112"/>
      <c r="F768" s="112"/>
      <c r="G768" s="68"/>
      <c r="H768" s="603"/>
      <c r="I768" s="882"/>
      <c r="J768" s="883"/>
      <c r="K768" s="884"/>
      <c r="L768" s="884"/>
      <c r="M768" s="68"/>
    </row>
    <row r="769" spans="1:13" s="64" customFormat="1">
      <c r="A769" s="10"/>
      <c r="B769" s="111"/>
      <c r="C769" s="68"/>
      <c r="D769" s="374"/>
      <c r="E769" s="112"/>
      <c r="F769" s="112"/>
      <c r="G769" s="68"/>
      <c r="H769" s="603"/>
      <c r="I769" s="882"/>
      <c r="J769" s="883"/>
      <c r="K769" s="884"/>
      <c r="L769" s="884"/>
      <c r="M769" s="68"/>
    </row>
    <row r="770" spans="1:13" s="64" customFormat="1">
      <c r="A770" s="10"/>
      <c r="B770" s="111"/>
      <c r="C770" s="68"/>
      <c r="D770" s="374"/>
      <c r="E770" s="112"/>
      <c r="F770" s="112"/>
      <c r="G770" s="68"/>
      <c r="H770" s="603"/>
      <c r="I770" s="882"/>
      <c r="J770" s="883"/>
      <c r="K770" s="884"/>
      <c r="L770" s="884"/>
      <c r="M770" s="68"/>
    </row>
    <row r="771" spans="1:13" s="64" customFormat="1">
      <c r="A771" s="10"/>
      <c r="B771" s="111"/>
      <c r="C771" s="68"/>
      <c r="D771" s="374"/>
      <c r="E771" s="112"/>
      <c r="F771" s="112"/>
      <c r="G771" s="68"/>
      <c r="H771" s="603"/>
      <c r="I771" s="882"/>
      <c r="J771" s="883"/>
      <c r="K771" s="884"/>
      <c r="L771" s="884"/>
      <c r="M771" s="68"/>
    </row>
    <row r="772" spans="1:13" s="64" customFormat="1">
      <c r="A772" s="10"/>
      <c r="B772" s="111"/>
      <c r="C772" s="68"/>
      <c r="D772" s="374"/>
      <c r="E772" s="112"/>
      <c r="F772" s="112"/>
      <c r="G772" s="68"/>
      <c r="H772" s="603"/>
      <c r="I772" s="882"/>
      <c r="J772" s="883"/>
      <c r="K772" s="884"/>
      <c r="L772" s="884"/>
      <c r="M772" s="68"/>
    </row>
    <row r="773" spans="1:13" s="64" customFormat="1">
      <c r="A773" s="10"/>
      <c r="B773" s="111"/>
      <c r="C773" s="68"/>
      <c r="D773" s="374"/>
      <c r="E773" s="112"/>
      <c r="F773" s="112"/>
      <c r="G773" s="68"/>
      <c r="H773" s="603"/>
      <c r="I773" s="882"/>
      <c r="J773" s="883"/>
      <c r="K773" s="884"/>
      <c r="L773" s="884"/>
      <c r="M773" s="68"/>
    </row>
    <row r="774" spans="1:13" s="64" customFormat="1">
      <c r="A774" s="10"/>
      <c r="B774" s="111"/>
      <c r="C774" s="68"/>
      <c r="D774" s="374"/>
      <c r="E774" s="112"/>
      <c r="F774" s="112"/>
      <c r="G774" s="68"/>
      <c r="H774" s="603"/>
      <c r="I774" s="882"/>
      <c r="J774" s="883"/>
      <c r="K774" s="884"/>
      <c r="L774" s="884"/>
      <c r="M774" s="68"/>
    </row>
    <row r="775" spans="1:13" s="64" customFormat="1">
      <c r="A775" s="10"/>
      <c r="B775" s="111"/>
      <c r="C775" s="68"/>
      <c r="D775" s="374"/>
      <c r="E775" s="112"/>
      <c r="F775" s="112"/>
      <c r="G775" s="68"/>
      <c r="H775" s="603"/>
      <c r="I775" s="882"/>
      <c r="J775" s="883"/>
      <c r="K775" s="884"/>
      <c r="L775" s="884"/>
      <c r="M775" s="68"/>
    </row>
    <row r="776" spans="1:13" s="64" customFormat="1">
      <c r="A776" s="10"/>
      <c r="B776" s="111"/>
      <c r="C776" s="68"/>
      <c r="D776" s="374"/>
      <c r="E776" s="112"/>
      <c r="F776" s="112"/>
      <c r="G776" s="68"/>
      <c r="H776" s="603"/>
      <c r="I776" s="882"/>
      <c r="J776" s="883"/>
      <c r="K776" s="884"/>
      <c r="L776" s="884"/>
      <c r="M776" s="68"/>
    </row>
    <row r="777" spans="1:13" s="64" customFormat="1">
      <c r="A777" s="10"/>
      <c r="B777" s="111"/>
      <c r="C777" s="68"/>
      <c r="D777" s="374"/>
      <c r="E777" s="112"/>
      <c r="F777" s="112"/>
      <c r="G777" s="68"/>
      <c r="H777" s="603"/>
      <c r="I777" s="882"/>
      <c r="J777" s="883"/>
      <c r="K777" s="884"/>
      <c r="L777" s="884"/>
      <c r="M777" s="68"/>
    </row>
    <row r="778" spans="1:13" s="64" customFormat="1">
      <c r="A778" s="10"/>
      <c r="B778" s="111"/>
      <c r="C778" s="68"/>
      <c r="D778" s="374"/>
      <c r="E778" s="112"/>
      <c r="F778" s="112"/>
      <c r="G778" s="68"/>
      <c r="H778" s="603"/>
      <c r="I778" s="882"/>
      <c r="J778" s="883"/>
      <c r="K778" s="884"/>
      <c r="L778" s="884"/>
      <c r="M778" s="68"/>
    </row>
    <row r="779" spans="1:13" s="64" customFormat="1">
      <c r="A779" s="10"/>
      <c r="B779" s="111"/>
      <c r="C779" s="68"/>
      <c r="D779" s="374"/>
      <c r="E779" s="112"/>
      <c r="F779" s="112"/>
      <c r="G779" s="68"/>
      <c r="H779" s="603"/>
      <c r="I779" s="882"/>
      <c r="J779" s="883"/>
      <c r="K779" s="884"/>
      <c r="L779" s="884"/>
      <c r="M779" s="68"/>
    </row>
    <row r="780" spans="1:13" s="64" customFormat="1">
      <c r="A780" s="10"/>
      <c r="B780" s="111"/>
      <c r="C780" s="68"/>
      <c r="D780" s="374"/>
      <c r="E780" s="112"/>
      <c r="F780" s="112"/>
      <c r="G780" s="68"/>
      <c r="H780" s="603"/>
      <c r="I780" s="882"/>
      <c r="J780" s="883"/>
      <c r="K780" s="884"/>
      <c r="L780" s="884"/>
      <c r="M780" s="68"/>
    </row>
    <row r="781" spans="1:13" s="64" customFormat="1">
      <c r="A781" s="10"/>
      <c r="B781" s="111"/>
      <c r="C781" s="68"/>
      <c r="D781" s="374"/>
      <c r="E781" s="112"/>
      <c r="F781" s="112"/>
      <c r="G781" s="68"/>
      <c r="H781" s="603"/>
      <c r="I781" s="882"/>
      <c r="J781" s="883"/>
      <c r="K781" s="884"/>
      <c r="L781" s="884"/>
      <c r="M781" s="68"/>
    </row>
    <row r="782" spans="1:13" s="64" customFormat="1">
      <c r="A782" s="10"/>
      <c r="B782" s="111"/>
      <c r="C782" s="68"/>
      <c r="D782" s="374"/>
      <c r="E782" s="112"/>
      <c r="F782" s="112"/>
      <c r="G782" s="68"/>
      <c r="H782" s="603"/>
      <c r="I782" s="882"/>
      <c r="J782" s="883"/>
      <c r="K782" s="884"/>
      <c r="L782" s="884"/>
      <c r="M782" s="68"/>
    </row>
    <row r="783" spans="1:13" s="64" customFormat="1">
      <c r="A783" s="10"/>
      <c r="B783" s="111"/>
      <c r="C783" s="68"/>
      <c r="D783" s="374"/>
      <c r="E783" s="112"/>
      <c r="F783" s="112"/>
      <c r="G783" s="68"/>
      <c r="H783" s="603"/>
      <c r="I783" s="882"/>
      <c r="J783" s="883"/>
      <c r="K783" s="884"/>
      <c r="L783" s="884"/>
      <c r="M783" s="68"/>
    </row>
    <row r="784" spans="1:13" s="64" customFormat="1">
      <c r="A784" s="10"/>
      <c r="B784" s="111"/>
      <c r="C784" s="68"/>
      <c r="D784" s="374"/>
      <c r="E784" s="112"/>
      <c r="F784" s="112"/>
      <c r="G784" s="68"/>
      <c r="H784" s="603"/>
      <c r="I784" s="882"/>
      <c r="J784" s="883"/>
      <c r="K784" s="884"/>
      <c r="L784" s="884"/>
      <c r="M784" s="68"/>
    </row>
    <row r="785" spans="1:13" s="64" customFormat="1">
      <c r="A785" s="10"/>
      <c r="B785" s="111"/>
      <c r="C785" s="68"/>
      <c r="D785" s="374"/>
      <c r="E785" s="112"/>
      <c r="F785" s="112"/>
      <c r="G785" s="68"/>
      <c r="H785" s="603"/>
      <c r="I785" s="882"/>
      <c r="J785" s="883"/>
      <c r="K785" s="884"/>
      <c r="L785" s="884"/>
      <c r="M785" s="68"/>
    </row>
    <row r="786" spans="1:13" s="64" customFormat="1">
      <c r="A786" s="10"/>
      <c r="B786" s="111"/>
      <c r="C786" s="68"/>
      <c r="D786" s="374"/>
      <c r="E786" s="112"/>
      <c r="F786" s="112"/>
      <c r="G786" s="68"/>
      <c r="H786" s="603"/>
      <c r="I786" s="882"/>
      <c r="J786" s="883"/>
      <c r="K786" s="884"/>
      <c r="L786" s="884"/>
      <c r="M786" s="68"/>
    </row>
    <row r="787" spans="1:13" s="64" customFormat="1">
      <c r="A787" s="10"/>
      <c r="B787" s="111"/>
      <c r="C787" s="68"/>
      <c r="D787" s="374"/>
      <c r="E787" s="112"/>
      <c r="F787" s="112"/>
      <c r="G787" s="68"/>
      <c r="H787" s="603"/>
      <c r="I787" s="882"/>
      <c r="J787" s="883"/>
      <c r="K787" s="884"/>
      <c r="L787" s="884"/>
      <c r="M787" s="68"/>
    </row>
    <row r="788" spans="1:13" s="64" customFormat="1">
      <c r="A788" s="10"/>
      <c r="B788" s="111"/>
      <c r="C788" s="68"/>
      <c r="D788" s="374"/>
      <c r="E788" s="112"/>
      <c r="F788" s="112"/>
      <c r="G788" s="68"/>
      <c r="H788" s="603"/>
      <c r="I788" s="882"/>
      <c r="J788" s="883"/>
      <c r="K788" s="884"/>
      <c r="L788" s="884"/>
      <c r="M788" s="68"/>
    </row>
    <row r="789" spans="1:13" s="64" customFormat="1">
      <c r="A789" s="10"/>
      <c r="B789" s="111"/>
      <c r="C789" s="68"/>
      <c r="D789" s="374"/>
      <c r="E789" s="112"/>
      <c r="F789" s="112"/>
      <c r="G789" s="68"/>
      <c r="H789" s="603"/>
      <c r="I789" s="882"/>
      <c r="J789" s="883"/>
      <c r="K789" s="884"/>
      <c r="L789" s="884"/>
      <c r="M789" s="68"/>
    </row>
    <row r="790" spans="1:13" s="64" customFormat="1">
      <c r="A790" s="10"/>
      <c r="B790" s="111"/>
      <c r="C790" s="68"/>
      <c r="D790" s="374"/>
      <c r="E790" s="112"/>
      <c r="F790" s="112"/>
      <c r="G790" s="68"/>
      <c r="H790" s="603"/>
      <c r="I790" s="882"/>
      <c r="J790" s="883"/>
      <c r="K790" s="884"/>
      <c r="L790" s="884"/>
      <c r="M790" s="68"/>
    </row>
    <row r="791" spans="1:13" s="64" customFormat="1">
      <c r="A791" s="10"/>
      <c r="B791" s="111"/>
      <c r="C791" s="68"/>
      <c r="D791" s="374"/>
      <c r="E791" s="112"/>
      <c r="F791" s="112"/>
      <c r="G791" s="68"/>
      <c r="H791" s="603"/>
      <c r="I791" s="882"/>
      <c r="J791" s="883"/>
      <c r="K791" s="884"/>
      <c r="L791" s="884"/>
      <c r="M791" s="68"/>
    </row>
    <row r="792" spans="1:13" s="64" customFormat="1">
      <c r="A792" s="10"/>
      <c r="B792" s="111"/>
      <c r="C792" s="68"/>
      <c r="D792" s="374"/>
      <c r="E792" s="112"/>
      <c r="F792" s="112"/>
      <c r="G792" s="68"/>
      <c r="H792" s="603"/>
      <c r="I792" s="882"/>
      <c r="J792" s="883"/>
      <c r="K792" s="884"/>
      <c r="L792" s="884"/>
      <c r="M792" s="68"/>
    </row>
    <row r="793" spans="1:13" s="64" customFormat="1">
      <c r="A793" s="10"/>
      <c r="B793" s="111"/>
      <c r="C793" s="68"/>
      <c r="D793" s="374"/>
      <c r="E793" s="112"/>
      <c r="F793" s="112"/>
      <c r="G793" s="68"/>
      <c r="H793" s="603"/>
      <c r="I793" s="882"/>
      <c r="J793" s="883"/>
      <c r="K793" s="884"/>
      <c r="L793" s="884"/>
      <c r="M793" s="68"/>
    </row>
    <row r="794" spans="1:13" s="64" customFormat="1">
      <c r="A794" s="10"/>
      <c r="B794" s="111"/>
      <c r="C794" s="68"/>
      <c r="D794" s="374"/>
      <c r="E794" s="112"/>
      <c r="F794" s="112"/>
      <c r="G794" s="68"/>
      <c r="H794" s="603"/>
      <c r="I794" s="882"/>
      <c r="J794" s="883"/>
      <c r="K794" s="884"/>
      <c r="L794" s="884"/>
      <c r="M794" s="68"/>
    </row>
    <row r="795" spans="1:13" s="64" customFormat="1">
      <c r="A795" s="10"/>
      <c r="B795" s="111"/>
      <c r="C795" s="68"/>
      <c r="D795" s="374"/>
      <c r="E795" s="112"/>
      <c r="F795" s="112"/>
      <c r="G795" s="68"/>
      <c r="H795" s="603"/>
      <c r="I795" s="882"/>
      <c r="J795" s="883"/>
      <c r="K795" s="884"/>
      <c r="L795" s="884"/>
      <c r="M795" s="68"/>
    </row>
    <row r="796" spans="1:13" s="64" customFormat="1">
      <c r="A796" s="10"/>
      <c r="B796" s="111"/>
      <c r="C796" s="68"/>
      <c r="D796" s="374"/>
      <c r="E796" s="112"/>
      <c r="F796" s="112"/>
      <c r="G796" s="68"/>
      <c r="H796" s="603"/>
      <c r="I796" s="882"/>
      <c r="J796" s="883"/>
      <c r="K796" s="884"/>
      <c r="L796" s="884"/>
      <c r="M796" s="68"/>
    </row>
    <row r="797" spans="1:13" s="64" customFormat="1">
      <c r="A797" s="10"/>
      <c r="B797" s="111"/>
      <c r="C797" s="68"/>
      <c r="D797" s="374"/>
      <c r="E797" s="112"/>
      <c r="F797" s="112"/>
      <c r="G797" s="68"/>
      <c r="H797" s="603"/>
      <c r="I797" s="882"/>
      <c r="J797" s="883"/>
      <c r="K797" s="884"/>
      <c r="L797" s="884"/>
      <c r="M797" s="68"/>
    </row>
    <row r="798" spans="1:13" s="64" customFormat="1">
      <c r="A798" s="10"/>
      <c r="B798" s="111"/>
      <c r="C798" s="68"/>
      <c r="D798" s="374"/>
      <c r="E798" s="112"/>
      <c r="F798" s="112"/>
      <c r="G798" s="68"/>
      <c r="H798" s="603"/>
      <c r="I798" s="882"/>
      <c r="J798" s="883"/>
      <c r="K798" s="884"/>
      <c r="L798" s="884"/>
      <c r="M798" s="68"/>
    </row>
    <row r="799" spans="1:13" s="64" customFormat="1">
      <c r="A799" s="10"/>
      <c r="B799" s="111"/>
      <c r="C799" s="68"/>
      <c r="D799" s="374"/>
      <c r="E799" s="112"/>
      <c r="F799" s="112"/>
      <c r="G799" s="68"/>
      <c r="H799" s="603"/>
      <c r="I799" s="882"/>
      <c r="J799" s="883"/>
      <c r="K799" s="884"/>
      <c r="L799" s="884"/>
      <c r="M799" s="68"/>
    </row>
    <row r="800" spans="1:13" s="64" customFormat="1">
      <c r="A800" s="10"/>
      <c r="B800" s="111"/>
      <c r="C800" s="68"/>
      <c r="D800" s="374"/>
      <c r="E800" s="112"/>
      <c r="F800" s="112"/>
      <c r="G800" s="68"/>
      <c r="H800" s="603"/>
      <c r="I800" s="882"/>
      <c r="J800" s="883"/>
      <c r="K800" s="884"/>
      <c r="L800" s="884"/>
      <c r="M800" s="68"/>
    </row>
    <row r="801" spans="1:13" s="64" customFormat="1">
      <c r="A801" s="10"/>
      <c r="B801" s="111"/>
      <c r="C801" s="68"/>
      <c r="D801" s="374"/>
      <c r="E801" s="112"/>
      <c r="F801" s="112"/>
      <c r="G801" s="68"/>
      <c r="H801" s="603"/>
      <c r="I801" s="882"/>
      <c r="J801" s="883"/>
      <c r="K801" s="884"/>
      <c r="L801" s="884"/>
      <c r="M801" s="68"/>
    </row>
    <row r="802" spans="1:13" s="64" customFormat="1">
      <c r="A802" s="10"/>
      <c r="B802" s="111"/>
      <c r="C802" s="68"/>
      <c r="D802" s="374"/>
      <c r="E802" s="112"/>
      <c r="F802" s="112"/>
      <c r="G802" s="68"/>
      <c r="H802" s="603"/>
      <c r="I802" s="882"/>
      <c r="J802" s="883"/>
      <c r="K802" s="884"/>
      <c r="L802" s="884"/>
      <c r="M802" s="68"/>
    </row>
    <row r="803" spans="1:13" s="64" customFormat="1">
      <c r="A803" s="10"/>
      <c r="B803" s="111"/>
      <c r="C803" s="68"/>
      <c r="D803" s="374"/>
      <c r="E803" s="112"/>
      <c r="F803" s="112"/>
      <c r="G803" s="68"/>
      <c r="H803" s="603"/>
      <c r="I803" s="882"/>
      <c r="J803" s="883"/>
      <c r="K803" s="884"/>
      <c r="L803" s="884"/>
      <c r="M803" s="68"/>
    </row>
    <row r="804" spans="1:13" s="64" customFormat="1">
      <c r="A804" s="10"/>
      <c r="B804" s="111"/>
      <c r="C804" s="68"/>
      <c r="D804" s="374"/>
      <c r="E804" s="112"/>
      <c r="F804" s="112"/>
      <c r="G804" s="68"/>
      <c r="H804" s="603"/>
      <c r="I804" s="882"/>
      <c r="J804" s="883"/>
      <c r="K804" s="884"/>
      <c r="L804" s="884"/>
      <c r="M804" s="68"/>
    </row>
    <row r="805" spans="1:13" s="64" customFormat="1">
      <c r="A805" s="10"/>
      <c r="B805" s="111"/>
      <c r="C805" s="68"/>
      <c r="D805" s="374"/>
      <c r="E805" s="112"/>
      <c r="F805" s="112"/>
      <c r="G805" s="68"/>
      <c r="H805" s="603"/>
      <c r="I805" s="882"/>
      <c r="J805" s="883"/>
      <c r="K805" s="884"/>
      <c r="L805" s="884"/>
      <c r="M805" s="68"/>
    </row>
    <row r="806" spans="1:13" s="64" customFormat="1">
      <c r="A806" s="10"/>
      <c r="B806" s="111"/>
      <c r="C806" s="68"/>
      <c r="D806" s="374"/>
      <c r="E806" s="112"/>
      <c r="F806" s="112"/>
      <c r="G806" s="68"/>
      <c r="H806" s="603"/>
      <c r="I806" s="882"/>
      <c r="J806" s="883"/>
      <c r="K806" s="884"/>
      <c r="L806" s="884"/>
      <c r="M806" s="68"/>
    </row>
    <row r="807" spans="1:13" s="64" customFormat="1">
      <c r="A807" s="10"/>
      <c r="B807" s="111"/>
      <c r="C807" s="68"/>
      <c r="D807" s="374"/>
      <c r="E807" s="112"/>
      <c r="F807" s="112"/>
      <c r="G807" s="68"/>
      <c r="H807" s="603"/>
      <c r="I807" s="882"/>
      <c r="J807" s="883"/>
      <c r="K807" s="884"/>
      <c r="L807" s="884"/>
      <c r="M807" s="68"/>
    </row>
    <row r="808" spans="1:13" s="64" customFormat="1">
      <c r="A808" s="10"/>
      <c r="B808" s="111"/>
      <c r="C808" s="68"/>
      <c r="D808" s="374"/>
      <c r="E808" s="112"/>
      <c r="F808" s="112"/>
      <c r="G808" s="68"/>
      <c r="H808" s="603"/>
      <c r="I808" s="882"/>
      <c r="J808" s="883"/>
      <c r="K808" s="884"/>
      <c r="L808" s="884"/>
      <c r="M808" s="68"/>
    </row>
    <row r="809" spans="1:13" s="64" customFormat="1">
      <c r="A809" s="10"/>
      <c r="B809" s="111"/>
      <c r="C809" s="68"/>
      <c r="D809" s="374"/>
      <c r="E809" s="112"/>
      <c r="F809" s="112"/>
      <c r="G809" s="68"/>
      <c r="H809" s="603"/>
      <c r="I809" s="882"/>
      <c r="J809" s="883"/>
      <c r="K809" s="884"/>
      <c r="L809" s="884"/>
      <c r="M809" s="68"/>
    </row>
    <row r="810" spans="1:13" s="64" customFormat="1">
      <c r="A810" s="10"/>
      <c r="B810" s="111"/>
      <c r="C810" s="68"/>
      <c r="D810" s="374"/>
      <c r="E810" s="112"/>
      <c r="F810" s="112"/>
      <c r="G810" s="68"/>
      <c r="H810" s="603"/>
      <c r="I810" s="882"/>
      <c r="J810" s="883"/>
      <c r="K810" s="884"/>
      <c r="L810" s="884"/>
      <c r="M810" s="68"/>
    </row>
    <row r="811" spans="1:13" s="64" customFormat="1">
      <c r="A811" s="10"/>
      <c r="B811" s="111"/>
      <c r="C811" s="68"/>
      <c r="D811" s="374"/>
      <c r="E811" s="112"/>
      <c r="F811" s="112"/>
      <c r="G811" s="68"/>
      <c r="H811" s="603"/>
      <c r="I811" s="882"/>
      <c r="J811" s="883"/>
      <c r="K811" s="884"/>
      <c r="L811" s="884"/>
      <c r="M811" s="68"/>
    </row>
    <row r="812" spans="1:13" s="64" customFormat="1">
      <c r="A812" s="10"/>
      <c r="B812" s="111"/>
      <c r="C812" s="68"/>
      <c r="D812" s="374"/>
      <c r="E812" s="112"/>
      <c r="F812" s="112"/>
      <c r="G812" s="68"/>
      <c r="H812" s="603"/>
      <c r="I812" s="882"/>
      <c r="J812" s="883"/>
      <c r="K812" s="884"/>
      <c r="L812" s="884"/>
      <c r="M812" s="68"/>
    </row>
    <row r="813" spans="1:13" s="64" customFormat="1">
      <c r="A813" s="10"/>
      <c r="B813" s="111"/>
      <c r="C813" s="68"/>
      <c r="D813" s="374"/>
      <c r="E813" s="112"/>
      <c r="F813" s="112"/>
      <c r="G813" s="68"/>
      <c r="H813" s="603"/>
      <c r="I813" s="882"/>
      <c r="J813" s="883"/>
      <c r="K813" s="884"/>
      <c r="L813" s="884"/>
      <c r="M813" s="68"/>
    </row>
    <row r="814" spans="1:13" s="64" customFormat="1">
      <c r="A814" s="10"/>
      <c r="B814" s="111"/>
      <c r="C814" s="68"/>
      <c r="D814" s="374"/>
      <c r="E814" s="112"/>
      <c r="F814" s="112"/>
      <c r="G814" s="68"/>
      <c r="H814" s="603"/>
      <c r="I814" s="882"/>
      <c r="J814" s="883"/>
      <c r="K814" s="884"/>
      <c r="L814" s="884"/>
      <c r="M814" s="68"/>
    </row>
    <row r="815" spans="1:13" s="64" customFormat="1">
      <c r="A815" s="10"/>
      <c r="B815" s="111"/>
      <c r="C815" s="68"/>
      <c r="D815" s="374"/>
      <c r="E815" s="112"/>
      <c r="F815" s="112"/>
      <c r="G815" s="68"/>
      <c r="H815" s="603"/>
      <c r="I815" s="882"/>
      <c r="J815" s="883"/>
      <c r="K815" s="884"/>
      <c r="L815" s="884"/>
      <c r="M815" s="68"/>
    </row>
    <row r="816" spans="1:13" s="64" customFormat="1">
      <c r="A816" s="10"/>
      <c r="B816" s="111"/>
      <c r="C816" s="68"/>
      <c r="D816" s="374"/>
      <c r="E816" s="112"/>
      <c r="F816" s="112"/>
      <c r="G816" s="68"/>
      <c r="H816" s="603"/>
      <c r="I816" s="882"/>
      <c r="J816" s="883"/>
      <c r="K816" s="884"/>
      <c r="L816" s="884"/>
      <c r="M816" s="68"/>
    </row>
    <row r="817" spans="1:13" s="64" customFormat="1">
      <c r="A817" s="10"/>
      <c r="B817" s="111"/>
      <c r="C817" s="68"/>
      <c r="D817" s="374"/>
      <c r="E817" s="112"/>
      <c r="F817" s="112"/>
      <c r="G817" s="68"/>
      <c r="H817" s="603"/>
      <c r="I817" s="882"/>
      <c r="J817" s="883"/>
      <c r="K817" s="884"/>
      <c r="L817" s="884"/>
      <c r="M817" s="68"/>
    </row>
    <row r="818" spans="1:13" s="64" customFormat="1">
      <c r="A818" s="10"/>
      <c r="B818" s="111"/>
      <c r="C818" s="68"/>
      <c r="D818" s="374"/>
      <c r="E818" s="112"/>
      <c r="F818" s="112"/>
      <c r="G818" s="68"/>
      <c r="H818" s="603"/>
      <c r="I818" s="882"/>
      <c r="J818" s="883"/>
      <c r="K818" s="884"/>
      <c r="L818" s="884"/>
      <c r="M818" s="68"/>
    </row>
    <row r="819" spans="1:13" s="64" customFormat="1">
      <c r="A819" s="10"/>
      <c r="B819" s="111"/>
      <c r="C819" s="68"/>
      <c r="D819" s="374"/>
      <c r="E819" s="112"/>
      <c r="F819" s="112"/>
      <c r="G819" s="68"/>
      <c r="H819" s="603"/>
      <c r="I819" s="882"/>
      <c r="J819" s="883"/>
      <c r="K819" s="884"/>
      <c r="L819" s="884"/>
      <c r="M819" s="68"/>
    </row>
    <row r="820" spans="1:13" s="64" customFormat="1">
      <c r="A820" s="10"/>
      <c r="B820" s="111"/>
      <c r="C820" s="68"/>
      <c r="D820" s="374"/>
      <c r="E820" s="112"/>
      <c r="F820" s="112"/>
      <c r="G820" s="68"/>
      <c r="H820" s="603"/>
      <c r="I820" s="882"/>
      <c r="J820" s="883"/>
      <c r="K820" s="884"/>
      <c r="L820" s="884"/>
      <c r="M820" s="68"/>
    </row>
    <row r="821" spans="1:13" s="64" customFormat="1">
      <c r="A821" s="10"/>
      <c r="B821" s="111"/>
      <c r="C821" s="68"/>
      <c r="D821" s="374"/>
      <c r="E821" s="112"/>
      <c r="F821" s="112"/>
      <c r="G821" s="68"/>
      <c r="H821" s="603"/>
      <c r="I821" s="882"/>
      <c r="J821" s="883"/>
      <c r="K821" s="884"/>
      <c r="L821" s="884"/>
      <c r="M821" s="68"/>
    </row>
    <row r="822" spans="1:13" s="64" customFormat="1">
      <c r="A822" s="10"/>
      <c r="B822" s="111"/>
      <c r="C822" s="68"/>
      <c r="D822" s="374"/>
      <c r="E822" s="112"/>
      <c r="F822" s="112"/>
      <c r="G822" s="68"/>
      <c r="H822" s="603"/>
      <c r="I822" s="882"/>
      <c r="J822" s="883"/>
      <c r="K822" s="884"/>
      <c r="L822" s="884"/>
      <c r="M822" s="68"/>
    </row>
    <row r="823" spans="1:13" s="64" customFormat="1">
      <c r="A823" s="10"/>
      <c r="B823" s="111"/>
      <c r="C823" s="68"/>
      <c r="D823" s="374"/>
      <c r="E823" s="112"/>
      <c r="F823" s="112"/>
      <c r="G823" s="68"/>
      <c r="H823" s="603"/>
      <c r="I823" s="882"/>
      <c r="J823" s="883"/>
      <c r="K823" s="884"/>
      <c r="L823" s="884"/>
      <c r="M823" s="68"/>
    </row>
    <row r="824" spans="1:13" s="64" customFormat="1">
      <c r="A824" s="10"/>
      <c r="B824" s="111"/>
      <c r="C824" s="68"/>
      <c r="D824" s="374"/>
      <c r="E824" s="112"/>
      <c r="F824" s="112"/>
      <c r="G824" s="68"/>
      <c r="H824" s="603"/>
      <c r="I824" s="882"/>
      <c r="J824" s="883"/>
      <c r="K824" s="884"/>
      <c r="L824" s="884"/>
      <c r="M824" s="68"/>
    </row>
    <row r="825" spans="1:13" s="64" customFormat="1">
      <c r="A825" s="10"/>
      <c r="B825" s="111"/>
      <c r="C825" s="68"/>
      <c r="D825" s="374"/>
      <c r="E825" s="112"/>
      <c r="F825" s="112"/>
      <c r="G825" s="68"/>
      <c r="H825" s="603"/>
      <c r="I825" s="882"/>
      <c r="J825" s="883"/>
      <c r="K825" s="884"/>
      <c r="L825" s="884"/>
      <c r="M825" s="68"/>
    </row>
    <row r="826" spans="1:13" s="64" customFormat="1">
      <c r="A826" s="10"/>
      <c r="B826" s="111"/>
      <c r="C826" s="68"/>
      <c r="D826" s="374"/>
      <c r="E826" s="112"/>
      <c r="F826" s="112"/>
      <c r="G826" s="68"/>
      <c r="H826" s="603"/>
      <c r="I826" s="882"/>
      <c r="J826" s="883"/>
      <c r="K826" s="884"/>
      <c r="L826" s="884"/>
      <c r="M826" s="68"/>
    </row>
    <row r="827" spans="1:13" s="64" customFormat="1">
      <c r="A827" s="10"/>
      <c r="B827" s="111"/>
      <c r="C827" s="68"/>
      <c r="D827" s="374"/>
      <c r="E827" s="112"/>
      <c r="F827" s="112"/>
      <c r="G827" s="68"/>
      <c r="H827" s="603"/>
      <c r="I827" s="882"/>
      <c r="J827" s="883"/>
      <c r="K827" s="884"/>
      <c r="L827" s="884"/>
      <c r="M827" s="68"/>
    </row>
    <row r="828" spans="1:13" s="64" customFormat="1">
      <c r="A828" s="10"/>
      <c r="B828" s="111"/>
      <c r="C828" s="68"/>
      <c r="D828" s="374"/>
      <c r="E828" s="112"/>
      <c r="F828" s="112"/>
      <c r="G828" s="68"/>
      <c r="H828" s="603"/>
      <c r="I828" s="882"/>
      <c r="J828" s="883"/>
      <c r="K828" s="884"/>
      <c r="L828" s="884"/>
      <c r="M828" s="68"/>
    </row>
    <row r="829" spans="1:13" s="64" customFormat="1">
      <c r="A829" s="10"/>
      <c r="B829" s="111"/>
      <c r="C829" s="68"/>
      <c r="D829" s="374"/>
      <c r="E829" s="112"/>
      <c r="F829" s="112"/>
      <c r="G829" s="68"/>
      <c r="H829" s="603"/>
      <c r="I829" s="882"/>
      <c r="J829" s="883"/>
      <c r="K829" s="884"/>
      <c r="L829" s="884"/>
      <c r="M829" s="68"/>
    </row>
    <row r="830" spans="1:13" s="64" customFormat="1">
      <c r="A830" s="10"/>
      <c r="B830" s="111"/>
      <c r="C830" s="68"/>
      <c r="D830" s="374"/>
      <c r="E830" s="112"/>
      <c r="F830" s="112"/>
      <c r="G830" s="68"/>
      <c r="H830" s="603"/>
      <c r="I830" s="882"/>
      <c r="J830" s="883"/>
      <c r="K830" s="884"/>
      <c r="L830" s="884"/>
      <c r="M830" s="68"/>
    </row>
    <row r="831" spans="1:13" s="64" customFormat="1">
      <c r="A831" s="10"/>
      <c r="B831" s="111"/>
      <c r="C831" s="68"/>
      <c r="D831" s="374"/>
      <c r="E831" s="112"/>
      <c r="F831" s="112"/>
      <c r="G831" s="68"/>
      <c r="H831" s="603"/>
      <c r="I831" s="882"/>
      <c r="J831" s="883"/>
      <c r="K831" s="884"/>
      <c r="L831" s="884"/>
      <c r="M831" s="68"/>
    </row>
    <row r="832" spans="1:13" s="64" customFormat="1">
      <c r="A832" s="10"/>
      <c r="B832" s="111"/>
      <c r="C832" s="68"/>
      <c r="D832" s="374"/>
      <c r="E832" s="112"/>
      <c r="F832" s="112"/>
      <c r="G832" s="68"/>
      <c r="H832" s="603"/>
      <c r="I832" s="882"/>
      <c r="J832" s="883"/>
      <c r="K832" s="884"/>
      <c r="L832" s="884"/>
      <c r="M832" s="68"/>
    </row>
    <row r="833" spans="1:13" s="64" customFormat="1">
      <c r="A833" s="10"/>
      <c r="B833" s="111"/>
      <c r="C833" s="68"/>
      <c r="D833" s="374"/>
      <c r="E833" s="112"/>
      <c r="F833" s="112"/>
      <c r="G833" s="68"/>
      <c r="H833" s="603"/>
      <c r="I833" s="882"/>
      <c r="J833" s="883"/>
      <c r="K833" s="884"/>
      <c r="L833" s="884"/>
      <c r="M833" s="68"/>
    </row>
    <row r="834" spans="1:13" s="64" customFormat="1">
      <c r="A834" s="10"/>
      <c r="B834" s="111"/>
      <c r="C834" s="68"/>
      <c r="D834" s="374"/>
      <c r="E834" s="112"/>
      <c r="F834" s="112"/>
      <c r="G834" s="68"/>
      <c r="H834" s="603"/>
      <c r="I834" s="882"/>
      <c r="J834" s="883"/>
      <c r="K834" s="884"/>
      <c r="L834" s="884"/>
      <c r="M834" s="68"/>
    </row>
    <row r="835" spans="1:13" s="64" customFormat="1">
      <c r="A835" s="10"/>
      <c r="B835" s="111"/>
      <c r="C835" s="68"/>
      <c r="D835" s="374"/>
      <c r="E835" s="112"/>
      <c r="F835" s="112"/>
      <c r="G835" s="68"/>
      <c r="H835" s="603"/>
      <c r="I835" s="882"/>
      <c r="J835" s="883"/>
      <c r="K835" s="884"/>
      <c r="L835" s="884"/>
      <c r="M835" s="68"/>
    </row>
    <row r="836" spans="1:13" s="64" customFormat="1">
      <c r="A836" s="10"/>
      <c r="B836" s="111"/>
      <c r="C836" s="68"/>
      <c r="D836" s="374"/>
      <c r="E836" s="112"/>
      <c r="F836" s="112"/>
      <c r="G836" s="68"/>
      <c r="H836" s="603"/>
      <c r="I836" s="882"/>
      <c r="J836" s="883"/>
      <c r="K836" s="884"/>
      <c r="L836" s="884"/>
      <c r="M836" s="68"/>
    </row>
    <row r="837" spans="1:13" s="64" customFormat="1">
      <c r="A837" s="10"/>
      <c r="B837" s="111"/>
      <c r="C837" s="68"/>
      <c r="D837" s="374"/>
      <c r="E837" s="112"/>
      <c r="F837" s="112"/>
      <c r="G837" s="68"/>
      <c r="H837" s="603"/>
      <c r="I837" s="882"/>
      <c r="J837" s="883"/>
      <c r="K837" s="884"/>
      <c r="L837" s="884"/>
      <c r="M837" s="68"/>
    </row>
    <row r="838" spans="1:13" s="64" customFormat="1">
      <c r="A838" s="10"/>
      <c r="B838" s="111"/>
      <c r="C838" s="68"/>
      <c r="D838" s="374"/>
      <c r="E838" s="112"/>
      <c r="F838" s="112"/>
      <c r="G838" s="68"/>
      <c r="H838" s="603"/>
      <c r="I838" s="882"/>
      <c r="J838" s="883"/>
      <c r="K838" s="884"/>
      <c r="L838" s="884"/>
      <c r="M838" s="68"/>
    </row>
    <row r="839" spans="1:13" s="64" customFormat="1">
      <c r="A839" s="10"/>
      <c r="B839" s="111"/>
      <c r="C839" s="68"/>
      <c r="D839" s="374"/>
      <c r="E839" s="112"/>
      <c r="F839" s="112"/>
      <c r="G839" s="68"/>
      <c r="H839" s="603"/>
      <c r="I839" s="882"/>
      <c r="J839" s="883"/>
      <c r="K839" s="884"/>
      <c r="L839" s="884"/>
      <c r="M839" s="68"/>
    </row>
    <row r="840" spans="1:13" s="64" customFormat="1">
      <c r="A840" s="10"/>
      <c r="B840" s="111"/>
      <c r="C840" s="68"/>
      <c r="D840" s="374"/>
      <c r="E840" s="112"/>
      <c r="F840" s="112"/>
      <c r="G840" s="68"/>
      <c r="H840" s="603"/>
      <c r="I840" s="882"/>
      <c r="J840" s="883"/>
      <c r="K840" s="884"/>
      <c r="L840" s="884"/>
      <c r="M840" s="68"/>
    </row>
    <row r="841" spans="1:13" s="64" customFormat="1">
      <c r="A841" s="10"/>
      <c r="B841" s="111"/>
      <c r="C841" s="68"/>
      <c r="D841" s="374"/>
      <c r="E841" s="112"/>
      <c r="F841" s="112"/>
      <c r="G841" s="68"/>
      <c r="H841" s="603"/>
      <c r="I841" s="882"/>
      <c r="J841" s="883"/>
      <c r="K841" s="884"/>
      <c r="L841" s="884"/>
      <c r="M841" s="68"/>
    </row>
    <row r="842" spans="1:13" s="64" customFormat="1">
      <c r="A842" s="10"/>
      <c r="B842" s="111"/>
      <c r="C842" s="68"/>
      <c r="D842" s="374"/>
      <c r="E842" s="112"/>
      <c r="F842" s="112"/>
      <c r="G842" s="68"/>
      <c r="H842" s="603"/>
      <c r="I842" s="882"/>
      <c r="J842" s="883"/>
      <c r="K842" s="884"/>
      <c r="L842" s="884"/>
      <c r="M842" s="68"/>
    </row>
    <row r="843" spans="1:13" s="64" customFormat="1">
      <c r="A843" s="10"/>
      <c r="B843" s="111"/>
      <c r="C843" s="68"/>
      <c r="D843" s="374"/>
      <c r="E843" s="112"/>
      <c r="F843" s="112"/>
      <c r="G843" s="68"/>
      <c r="H843" s="603"/>
      <c r="I843" s="882"/>
      <c r="J843" s="883"/>
      <c r="K843" s="884"/>
      <c r="L843" s="884"/>
      <c r="M843" s="68"/>
    </row>
    <row r="844" spans="1:13" s="64" customFormat="1">
      <c r="A844" s="10"/>
      <c r="B844" s="111"/>
      <c r="C844" s="68"/>
      <c r="D844" s="374"/>
      <c r="E844" s="112"/>
      <c r="F844" s="112"/>
      <c r="G844" s="68"/>
      <c r="H844" s="603"/>
      <c r="I844" s="882"/>
      <c r="J844" s="883"/>
      <c r="K844" s="884"/>
      <c r="L844" s="884"/>
      <c r="M844" s="68"/>
    </row>
    <row r="845" spans="1:13" s="64" customFormat="1">
      <c r="A845" s="10"/>
      <c r="B845" s="111"/>
      <c r="C845" s="68"/>
      <c r="D845" s="374"/>
      <c r="E845" s="112"/>
      <c r="F845" s="112"/>
      <c r="G845" s="68"/>
      <c r="H845" s="603"/>
      <c r="I845" s="882"/>
      <c r="J845" s="883"/>
      <c r="K845" s="884"/>
      <c r="L845" s="884"/>
      <c r="M845" s="68"/>
    </row>
    <row r="846" spans="1:13" s="64" customFormat="1">
      <c r="A846" s="10"/>
      <c r="B846" s="111"/>
      <c r="C846" s="68"/>
      <c r="D846" s="374"/>
      <c r="E846" s="112"/>
      <c r="F846" s="112"/>
      <c r="G846" s="68"/>
      <c r="H846" s="603"/>
      <c r="I846" s="882"/>
      <c r="J846" s="883"/>
      <c r="K846" s="884"/>
      <c r="L846" s="884"/>
      <c r="M846" s="68"/>
    </row>
    <row r="847" spans="1:13" s="64" customFormat="1">
      <c r="A847" s="10"/>
      <c r="B847" s="111"/>
      <c r="C847" s="68"/>
      <c r="D847" s="374"/>
      <c r="E847" s="112"/>
      <c r="F847" s="112"/>
      <c r="G847" s="68"/>
      <c r="H847" s="603"/>
      <c r="I847" s="882"/>
      <c r="J847" s="883"/>
      <c r="K847" s="884"/>
      <c r="L847" s="884"/>
      <c r="M847" s="68"/>
    </row>
    <row r="848" spans="1:13" s="64" customFormat="1">
      <c r="A848" s="10"/>
      <c r="B848" s="111"/>
      <c r="C848" s="68"/>
      <c r="D848" s="374"/>
      <c r="E848" s="112"/>
      <c r="F848" s="112"/>
      <c r="G848" s="68"/>
      <c r="H848" s="603"/>
      <c r="I848" s="882"/>
      <c r="J848" s="883"/>
      <c r="K848" s="884"/>
      <c r="L848" s="884"/>
      <c r="M848" s="68"/>
    </row>
    <row r="849" spans="1:13" s="64" customFormat="1">
      <c r="A849" s="10"/>
      <c r="B849" s="111"/>
      <c r="C849" s="68"/>
      <c r="D849" s="374"/>
      <c r="E849" s="112"/>
      <c r="F849" s="112"/>
      <c r="G849" s="68"/>
      <c r="H849" s="603"/>
      <c r="I849" s="882"/>
      <c r="J849" s="883"/>
      <c r="K849" s="884"/>
      <c r="L849" s="884"/>
      <c r="M849" s="68"/>
    </row>
    <row r="850" spans="1:13" s="64" customFormat="1">
      <c r="A850" s="10"/>
      <c r="B850" s="111"/>
      <c r="C850" s="68"/>
      <c r="D850" s="374"/>
      <c r="E850" s="112"/>
      <c r="F850" s="112"/>
      <c r="G850" s="68"/>
      <c r="H850" s="603"/>
      <c r="I850" s="882"/>
      <c r="J850" s="883"/>
      <c r="K850" s="884"/>
      <c r="L850" s="884"/>
      <c r="M850" s="68"/>
    </row>
    <row r="851" spans="1:13" s="64" customFormat="1">
      <c r="A851" s="10"/>
      <c r="B851" s="111"/>
      <c r="C851" s="68"/>
      <c r="D851" s="374"/>
      <c r="E851" s="112"/>
      <c r="F851" s="112"/>
      <c r="G851" s="68"/>
      <c r="H851" s="603"/>
      <c r="I851" s="882"/>
      <c r="J851" s="883"/>
      <c r="K851" s="884"/>
      <c r="L851" s="884"/>
      <c r="M851" s="68"/>
    </row>
    <row r="852" spans="1:13" s="64" customFormat="1">
      <c r="A852" s="10"/>
      <c r="B852" s="111"/>
      <c r="C852" s="68"/>
      <c r="D852" s="374"/>
      <c r="E852" s="112"/>
      <c r="F852" s="112"/>
      <c r="G852" s="68"/>
      <c r="H852" s="603"/>
      <c r="I852" s="882"/>
      <c r="J852" s="883"/>
      <c r="K852" s="884"/>
      <c r="L852" s="884"/>
      <c r="M852" s="68"/>
    </row>
    <row r="853" spans="1:13" s="64" customFormat="1">
      <c r="A853" s="10"/>
      <c r="B853" s="111"/>
      <c r="C853" s="68"/>
      <c r="D853" s="374"/>
      <c r="E853" s="112"/>
      <c r="F853" s="112"/>
      <c r="G853" s="68"/>
      <c r="H853" s="603"/>
      <c r="I853" s="882"/>
      <c r="J853" s="883"/>
      <c r="K853" s="884"/>
      <c r="L853" s="884"/>
      <c r="M853" s="68"/>
    </row>
    <row r="854" spans="1:13" s="64" customFormat="1">
      <c r="A854" s="10"/>
      <c r="B854" s="111"/>
      <c r="C854" s="68"/>
      <c r="D854" s="374"/>
      <c r="E854" s="112"/>
      <c r="F854" s="112"/>
      <c r="G854" s="68"/>
      <c r="H854" s="603"/>
      <c r="I854" s="882"/>
      <c r="J854" s="883"/>
      <c r="K854" s="884"/>
      <c r="L854" s="884"/>
      <c r="M854" s="68"/>
    </row>
    <row r="855" spans="1:13" s="64" customFormat="1">
      <c r="A855" s="10"/>
      <c r="B855" s="111"/>
      <c r="C855" s="68"/>
      <c r="D855" s="374"/>
      <c r="E855" s="112"/>
      <c r="F855" s="112"/>
      <c r="G855" s="68"/>
      <c r="H855" s="603"/>
      <c r="I855" s="882"/>
      <c r="J855" s="883"/>
      <c r="K855" s="884"/>
      <c r="L855" s="884"/>
      <c r="M855" s="68"/>
    </row>
    <row r="856" spans="1:13" s="64" customFormat="1">
      <c r="A856" s="10"/>
      <c r="B856" s="111"/>
      <c r="C856" s="68"/>
      <c r="D856" s="374"/>
      <c r="E856" s="112"/>
      <c r="F856" s="112"/>
      <c r="G856" s="68"/>
      <c r="H856" s="603"/>
      <c r="I856" s="882"/>
      <c r="J856" s="883"/>
      <c r="K856" s="884"/>
      <c r="L856" s="884"/>
      <c r="M856" s="68"/>
    </row>
    <row r="857" spans="1:13" s="64" customFormat="1">
      <c r="A857" s="10"/>
      <c r="B857" s="111"/>
      <c r="C857" s="68"/>
      <c r="D857" s="374"/>
      <c r="E857" s="112"/>
      <c r="F857" s="112"/>
      <c r="G857" s="68"/>
      <c r="H857" s="603"/>
      <c r="I857" s="882"/>
      <c r="J857" s="883"/>
      <c r="K857" s="884"/>
      <c r="L857" s="884"/>
      <c r="M857" s="68"/>
    </row>
    <row r="858" spans="1:13" s="64" customFormat="1">
      <c r="A858" s="10"/>
      <c r="B858" s="111"/>
      <c r="C858" s="68"/>
      <c r="D858" s="374"/>
      <c r="E858" s="112"/>
      <c r="F858" s="112"/>
      <c r="G858" s="68"/>
      <c r="H858" s="603"/>
      <c r="I858" s="882"/>
      <c r="J858" s="883"/>
      <c r="K858" s="884"/>
      <c r="L858" s="884"/>
      <c r="M858" s="68"/>
    </row>
    <row r="859" spans="1:13" s="64" customFormat="1">
      <c r="A859" s="10"/>
      <c r="B859" s="111"/>
      <c r="C859" s="68"/>
      <c r="D859" s="374"/>
      <c r="E859" s="112"/>
      <c r="F859" s="112"/>
      <c r="G859" s="68"/>
      <c r="H859" s="603"/>
      <c r="I859" s="882"/>
      <c r="J859" s="883"/>
      <c r="K859" s="884"/>
      <c r="L859" s="884"/>
      <c r="M859" s="68"/>
    </row>
    <row r="860" spans="1:13" s="64" customFormat="1">
      <c r="A860" s="10"/>
      <c r="B860" s="111"/>
      <c r="C860" s="68"/>
      <c r="D860" s="374"/>
      <c r="E860" s="112"/>
      <c r="F860" s="112"/>
      <c r="G860" s="68"/>
      <c r="H860" s="603"/>
      <c r="I860" s="882"/>
      <c r="J860" s="883"/>
      <c r="K860" s="884"/>
      <c r="L860" s="884"/>
      <c r="M860" s="68"/>
    </row>
    <row r="861" spans="1:13" s="64" customFormat="1">
      <c r="A861" s="10"/>
      <c r="B861" s="111"/>
      <c r="C861" s="68"/>
      <c r="D861" s="374"/>
      <c r="E861" s="112"/>
      <c r="F861" s="112"/>
      <c r="G861" s="68"/>
      <c r="H861" s="603"/>
      <c r="I861" s="882"/>
      <c r="J861" s="883"/>
      <c r="K861" s="884"/>
      <c r="L861" s="884"/>
      <c r="M861" s="68"/>
    </row>
    <row r="862" spans="1:13" s="64" customFormat="1">
      <c r="A862" s="10"/>
      <c r="B862" s="111"/>
      <c r="C862" s="68"/>
      <c r="D862" s="374"/>
      <c r="E862" s="112"/>
      <c r="F862" s="112"/>
      <c r="G862" s="68"/>
      <c r="H862" s="603"/>
      <c r="I862" s="882"/>
      <c r="J862" s="883"/>
      <c r="K862" s="884"/>
      <c r="L862" s="884"/>
      <c r="M862" s="68"/>
    </row>
    <row r="863" spans="1:13" s="64" customFormat="1">
      <c r="A863" s="10"/>
      <c r="B863" s="111"/>
      <c r="C863" s="68"/>
      <c r="D863" s="374"/>
      <c r="E863" s="112"/>
      <c r="F863" s="112"/>
      <c r="G863" s="68"/>
      <c r="H863" s="603"/>
      <c r="I863" s="882"/>
      <c r="J863" s="883"/>
      <c r="K863" s="884"/>
      <c r="L863" s="884"/>
      <c r="M863" s="68"/>
    </row>
    <row r="864" spans="1:13" s="64" customFormat="1">
      <c r="A864" s="10"/>
      <c r="B864" s="111"/>
      <c r="C864" s="68"/>
      <c r="D864" s="374"/>
      <c r="E864" s="112"/>
      <c r="F864" s="112"/>
      <c r="G864" s="68"/>
      <c r="H864" s="603"/>
      <c r="I864" s="882"/>
      <c r="J864" s="883"/>
      <c r="K864" s="884"/>
      <c r="L864" s="884"/>
      <c r="M864" s="68"/>
    </row>
    <row r="865" spans="1:13" s="64" customFormat="1">
      <c r="A865" s="10"/>
      <c r="B865" s="111"/>
      <c r="C865" s="68"/>
      <c r="D865" s="374"/>
      <c r="E865" s="112"/>
      <c r="F865" s="112"/>
      <c r="G865" s="68"/>
      <c r="H865" s="603"/>
      <c r="I865" s="882"/>
      <c r="J865" s="883"/>
      <c r="K865" s="884"/>
      <c r="L865" s="884"/>
      <c r="M865" s="68"/>
    </row>
    <row r="866" spans="1:13" s="64" customFormat="1">
      <c r="A866" s="10"/>
      <c r="B866" s="111"/>
      <c r="C866" s="68"/>
      <c r="D866" s="374"/>
      <c r="E866" s="112"/>
      <c r="F866" s="112"/>
      <c r="G866" s="68"/>
      <c r="H866" s="603"/>
      <c r="I866" s="882"/>
      <c r="J866" s="883"/>
      <c r="K866" s="884"/>
      <c r="L866" s="884"/>
      <c r="M866" s="68"/>
    </row>
    <row r="867" spans="1:13" s="64" customFormat="1">
      <c r="A867" s="10"/>
      <c r="B867" s="111"/>
      <c r="C867" s="68"/>
      <c r="D867" s="374"/>
      <c r="E867" s="112"/>
      <c r="F867" s="112"/>
      <c r="G867" s="68"/>
      <c r="H867" s="603"/>
      <c r="I867" s="882"/>
      <c r="J867" s="883"/>
      <c r="K867" s="884"/>
      <c r="L867" s="884"/>
      <c r="M867" s="68"/>
    </row>
    <row r="868" spans="1:13" s="64" customFormat="1">
      <c r="A868" s="10"/>
      <c r="B868" s="111"/>
      <c r="C868" s="68"/>
      <c r="D868" s="374"/>
      <c r="E868" s="112"/>
      <c r="F868" s="112"/>
      <c r="G868" s="68"/>
      <c r="H868" s="603"/>
      <c r="I868" s="882"/>
      <c r="J868" s="883"/>
      <c r="K868" s="884"/>
      <c r="L868" s="884"/>
      <c r="M868" s="68"/>
    </row>
    <row r="869" spans="1:13" s="64" customFormat="1">
      <c r="A869" s="10"/>
      <c r="B869" s="111"/>
      <c r="C869" s="68"/>
      <c r="D869" s="374"/>
      <c r="E869" s="112"/>
      <c r="F869" s="112"/>
      <c r="G869" s="68"/>
      <c r="H869" s="603"/>
      <c r="I869" s="882"/>
      <c r="J869" s="883"/>
      <c r="K869" s="884"/>
      <c r="L869" s="884"/>
      <c r="M869" s="68"/>
    </row>
    <row r="870" spans="1:13" s="64" customFormat="1">
      <c r="A870" s="10"/>
      <c r="B870" s="111"/>
      <c r="C870" s="68"/>
      <c r="D870" s="374"/>
      <c r="E870" s="112"/>
      <c r="F870" s="112"/>
      <c r="G870" s="68"/>
      <c r="H870" s="603"/>
      <c r="I870" s="882"/>
      <c r="J870" s="883"/>
      <c r="K870" s="884"/>
      <c r="L870" s="884"/>
      <c r="M870" s="68"/>
    </row>
    <row r="871" spans="1:13" s="64" customFormat="1">
      <c r="A871" s="10"/>
      <c r="B871" s="111"/>
      <c r="C871" s="68"/>
      <c r="D871" s="374"/>
      <c r="E871" s="112"/>
      <c r="F871" s="112"/>
      <c r="G871" s="68"/>
      <c r="H871" s="603"/>
      <c r="I871" s="882"/>
      <c r="J871" s="883"/>
      <c r="K871" s="884"/>
      <c r="L871" s="884"/>
      <c r="M871" s="68"/>
    </row>
    <row r="872" spans="1:13" s="64" customFormat="1">
      <c r="A872" s="10"/>
      <c r="B872" s="111"/>
      <c r="C872" s="68"/>
      <c r="D872" s="374"/>
      <c r="E872" s="112"/>
      <c r="F872" s="112"/>
      <c r="G872" s="68"/>
      <c r="H872" s="603"/>
      <c r="I872" s="882"/>
      <c r="J872" s="883"/>
      <c r="K872" s="884"/>
      <c r="L872" s="884"/>
      <c r="M872" s="68"/>
    </row>
    <row r="873" spans="1:13" s="64" customFormat="1">
      <c r="A873" s="10"/>
      <c r="B873" s="111"/>
      <c r="C873" s="68"/>
      <c r="D873" s="374"/>
      <c r="E873" s="112"/>
      <c r="F873" s="112"/>
      <c r="G873" s="68"/>
      <c r="H873" s="603"/>
      <c r="I873" s="882"/>
      <c r="J873" s="883"/>
      <c r="K873" s="884"/>
      <c r="L873" s="884"/>
      <c r="M873" s="68"/>
    </row>
    <row r="874" spans="1:13" s="64" customFormat="1">
      <c r="A874" s="10"/>
      <c r="B874" s="111"/>
      <c r="C874" s="68"/>
      <c r="D874" s="374"/>
      <c r="E874" s="112"/>
      <c r="F874" s="112"/>
      <c r="G874" s="68"/>
      <c r="H874" s="603"/>
      <c r="I874" s="882"/>
      <c r="J874" s="883"/>
      <c r="K874" s="884"/>
      <c r="L874" s="884"/>
      <c r="M874" s="68"/>
    </row>
    <row r="875" spans="1:13" s="64" customFormat="1">
      <c r="A875" s="10"/>
      <c r="B875" s="111"/>
      <c r="C875" s="68"/>
      <c r="D875" s="374"/>
      <c r="E875" s="112"/>
      <c r="F875" s="112"/>
      <c r="G875" s="68"/>
      <c r="H875" s="603"/>
      <c r="I875" s="882"/>
      <c r="J875" s="883"/>
      <c r="K875" s="884"/>
      <c r="L875" s="884"/>
      <c r="M875" s="68"/>
    </row>
    <row r="876" spans="1:13" s="64" customFormat="1">
      <c r="A876" s="10"/>
      <c r="B876" s="111"/>
      <c r="C876" s="68"/>
      <c r="D876" s="374"/>
      <c r="E876" s="112"/>
      <c r="F876" s="112"/>
      <c r="G876" s="68"/>
      <c r="H876" s="603"/>
      <c r="I876" s="882"/>
      <c r="J876" s="883"/>
      <c r="K876" s="884"/>
      <c r="L876" s="884"/>
      <c r="M876" s="68"/>
    </row>
    <row r="877" spans="1:13" s="64" customFormat="1">
      <c r="A877" s="10"/>
      <c r="B877" s="111"/>
      <c r="C877" s="68"/>
      <c r="D877" s="374"/>
      <c r="E877" s="112"/>
      <c r="F877" s="112"/>
      <c r="G877" s="68"/>
      <c r="H877" s="603"/>
      <c r="I877" s="882"/>
      <c r="J877" s="883"/>
      <c r="K877" s="884"/>
      <c r="L877" s="884"/>
      <c r="M877" s="68"/>
    </row>
    <row r="878" spans="1:13" s="64" customFormat="1">
      <c r="A878" s="10"/>
      <c r="B878" s="111"/>
      <c r="C878" s="68"/>
      <c r="D878" s="374"/>
      <c r="E878" s="112"/>
      <c r="F878" s="112"/>
      <c r="G878" s="68"/>
      <c r="H878" s="603"/>
      <c r="I878" s="882"/>
      <c r="J878" s="883"/>
      <c r="K878" s="884"/>
      <c r="L878" s="884"/>
      <c r="M878" s="68"/>
    </row>
    <row r="879" spans="1:13" s="64" customFormat="1">
      <c r="A879" s="10"/>
      <c r="B879" s="111"/>
      <c r="C879" s="68"/>
      <c r="D879" s="374"/>
      <c r="E879" s="112"/>
      <c r="F879" s="112"/>
      <c r="G879" s="68"/>
      <c r="H879" s="603"/>
      <c r="I879" s="882"/>
      <c r="J879" s="883"/>
      <c r="K879" s="884"/>
      <c r="L879" s="884"/>
      <c r="M879" s="68"/>
    </row>
    <row r="880" spans="1:13" s="64" customFormat="1">
      <c r="A880" s="10"/>
      <c r="B880" s="111"/>
      <c r="C880" s="68"/>
      <c r="D880" s="374"/>
      <c r="E880" s="112"/>
      <c r="F880" s="112"/>
      <c r="G880" s="68"/>
      <c r="H880" s="603"/>
      <c r="I880" s="882"/>
      <c r="J880" s="883"/>
      <c r="K880" s="884"/>
      <c r="L880" s="884"/>
      <c r="M880" s="68"/>
    </row>
    <row r="881" spans="1:13" s="64" customFormat="1">
      <c r="A881" s="10"/>
      <c r="B881" s="111"/>
      <c r="C881" s="68"/>
      <c r="D881" s="374"/>
      <c r="E881" s="112"/>
      <c r="F881" s="112"/>
      <c r="G881" s="68"/>
      <c r="H881" s="603"/>
      <c r="I881" s="882"/>
      <c r="J881" s="883"/>
      <c r="K881" s="884"/>
      <c r="L881" s="884"/>
      <c r="M881" s="68"/>
    </row>
    <row r="882" spans="1:13" s="64" customFormat="1">
      <c r="A882" s="10"/>
      <c r="B882" s="111"/>
      <c r="C882" s="68"/>
      <c r="D882" s="374"/>
      <c r="E882" s="112"/>
      <c r="F882" s="112"/>
      <c r="G882" s="68"/>
      <c r="H882" s="603"/>
      <c r="I882" s="882"/>
      <c r="J882" s="883"/>
      <c r="K882" s="884"/>
      <c r="L882" s="884"/>
      <c r="M882" s="68"/>
    </row>
    <row r="883" spans="1:13" s="64" customFormat="1">
      <c r="A883" s="10"/>
      <c r="B883" s="111"/>
      <c r="C883" s="68"/>
      <c r="D883" s="374"/>
      <c r="E883" s="112"/>
      <c r="F883" s="112"/>
      <c r="G883" s="68"/>
      <c r="H883" s="603"/>
      <c r="I883" s="882"/>
      <c r="J883" s="883"/>
      <c r="K883" s="884"/>
      <c r="L883" s="884"/>
      <c r="M883" s="68"/>
    </row>
    <row r="884" spans="1:13" s="64" customFormat="1">
      <c r="A884" s="10"/>
      <c r="B884" s="111"/>
      <c r="C884" s="68"/>
      <c r="D884" s="374"/>
      <c r="E884" s="112"/>
      <c r="F884" s="112"/>
      <c r="G884" s="68"/>
      <c r="H884" s="603"/>
      <c r="I884" s="882"/>
      <c r="J884" s="883"/>
      <c r="K884" s="884"/>
      <c r="L884" s="884"/>
      <c r="M884" s="68"/>
    </row>
    <row r="885" spans="1:13" s="64" customFormat="1">
      <c r="A885" s="10"/>
      <c r="B885" s="111"/>
      <c r="C885" s="68"/>
      <c r="D885" s="374"/>
      <c r="E885" s="112"/>
      <c r="F885" s="112"/>
      <c r="G885" s="68"/>
      <c r="H885" s="603"/>
      <c r="I885" s="882"/>
      <c r="J885" s="883"/>
      <c r="K885" s="884"/>
      <c r="L885" s="884"/>
      <c r="M885" s="68"/>
    </row>
    <row r="886" spans="1:13" s="64" customFormat="1">
      <c r="A886" s="10"/>
      <c r="B886" s="111"/>
      <c r="C886" s="68"/>
      <c r="D886" s="374"/>
      <c r="E886" s="112"/>
      <c r="F886" s="112"/>
      <c r="G886" s="68"/>
      <c r="H886" s="603"/>
      <c r="I886" s="882"/>
      <c r="J886" s="883"/>
      <c r="K886" s="884"/>
      <c r="L886" s="884"/>
      <c r="M886" s="68"/>
    </row>
    <row r="887" spans="1:13" s="64" customFormat="1">
      <c r="A887" s="10"/>
      <c r="B887" s="111"/>
      <c r="C887" s="68"/>
      <c r="D887" s="374"/>
      <c r="E887" s="112"/>
      <c r="F887" s="112"/>
      <c r="G887" s="68"/>
      <c r="H887" s="603"/>
      <c r="I887" s="882"/>
      <c r="J887" s="883"/>
      <c r="K887" s="884"/>
      <c r="L887" s="884"/>
      <c r="M887" s="68"/>
    </row>
    <row r="888" spans="1:13" s="64" customFormat="1">
      <c r="A888" s="10"/>
      <c r="B888" s="111"/>
      <c r="C888" s="68"/>
      <c r="D888" s="374"/>
      <c r="E888" s="112"/>
      <c r="F888" s="112"/>
      <c r="G888" s="68"/>
      <c r="H888" s="603"/>
      <c r="I888" s="882"/>
      <c r="J888" s="883"/>
      <c r="K888" s="884"/>
      <c r="L888" s="884"/>
      <c r="M888" s="68"/>
    </row>
    <row r="889" spans="1:13" s="64" customFormat="1">
      <c r="A889" s="10"/>
      <c r="B889" s="111"/>
      <c r="C889" s="68"/>
      <c r="D889" s="374"/>
      <c r="E889" s="112"/>
      <c r="F889" s="112"/>
      <c r="G889" s="68"/>
      <c r="H889" s="603"/>
      <c r="I889" s="882"/>
      <c r="J889" s="883"/>
      <c r="K889" s="884"/>
      <c r="L889" s="884"/>
      <c r="M889" s="68"/>
    </row>
    <row r="890" spans="1:13" s="64" customFormat="1">
      <c r="A890" s="10"/>
      <c r="B890" s="111"/>
      <c r="C890" s="68"/>
      <c r="D890" s="374"/>
      <c r="E890" s="112"/>
      <c r="F890" s="112"/>
      <c r="G890" s="68"/>
      <c r="H890" s="603"/>
      <c r="I890" s="882"/>
      <c r="J890" s="883"/>
      <c r="K890" s="884"/>
      <c r="L890" s="884"/>
      <c r="M890" s="68"/>
    </row>
    <row r="891" spans="1:13" s="64" customFormat="1">
      <c r="A891" s="10"/>
      <c r="B891" s="111"/>
      <c r="C891" s="68"/>
      <c r="D891" s="374"/>
      <c r="E891" s="112"/>
      <c r="F891" s="112"/>
      <c r="G891" s="68"/>
      <c r="H891" s="603"/>
      <c r="I891" s="882"/>
      <c r="J891" s="883"/>
      <c r="K891" s="884"/>
      <c r="L891" s="884"/>
      <c r="M891" s="68"/>
    </row>
    <row r="892" spans="1:13" s="64" customFormat="1">
      <c r="A892" s="10"/>
      <c r="B892" s="111"/>
      <c r="C892" s="68"/>
      <c r="D892" s="374"/>
      <c r="E892" s="112"/>
      <c r="F892" s="112"/>
      <c r="G892" s="68"/>
      <c r="H892" s="603"/>
      <c r="I892" s="882"/>
      <c r="J892" s="883"/>
      <c r="K892" s="884"/>
      <c r="L892" s="884"/>
      <c r="M892" s="68"/>
    </row>
    <row r="893" spans="1:13" s="64" customFormat="1">
      <c r="A893" s="10"/>
      <c r="B893" s="111"/>
      <c r="C893" s="68"/>
      <c r="D893" s="374"/>
      <c r="E893" s="112"/>
      <c r="F893" s="112"/>
      <c r="G893" s="68"/>
      <c r="H893" s="603"/>
      <c r="I893" s="882"/>
      <c r="J893" s="883"/>
      <c r="K893" s="884"/>
      <c r="L893" s="884"/>
      <c r="M893" s="68"/>
    </row>
    <row r="894" spans="1:13" s="64" customFormat="1">
      <c r="A894" s="10"/>
      <c r="B894" s="111"/>
      <c r="C894" s="68"/>
      <c r="D894" s="374"/>
      <c r="E894" s="112"/>
      <c r="F894" s="112"/>
      <c r="G894" s="68"/>
      <c r="H894" s="603"/>
      <c r="I894" s="882"/>
      <c r="J894" s="883"/>
      <c r="K894" s="884"/>
      <c r="L894" s="884"/>
      <c r="M894" s="68"/>
    </row>
    <row r="895" spans="1:13" s="64" customFormat="1">
      <c r="A895" s="10"/>
      <c r="B895" s="111"/>
      <c r="C895" s="68"/>
      <c r="D895" s="374"/>
      <c r="E895" s="112"/>
      <c r="F895" s="112"/>
      <c r="G895" s="68"/>
      <c r="H895" s="603"/>
      <c r="I895" s="882"/>
      <c r="J895" s="883"/>
      <c r="K895" s="884"/>
      <c r="L895" s="884"/>
      <c r="M895" s="68"/>
    </row>
    <row r="896" spans="1:13" s="64" customFormat="1">
      <c r="A896" s="10"/>
      <c r="B896" s="111"/>
      <c r="C896" s="68"/>
      <c r="D896" s="374"/>
      <c r="E896" s="112"/>
      <c r="F896" s="112"/>
      <c r="G896" s="68"/>
      <c r="H896" s="603"/>
      <c r="I896" s="882"/>
      <c r="J896" s="883"/>
      <c r="K896" s="884"/>
      <c r="L896" s="884"/>
      <c r="M896" s="68"/>
    </row>
    <row r="897" spans="1:13" s="64" customFormat="1">
      <c r="A897" s="10"/>
      <c r="B897" s="111"/>
      <c r="C897" s="68"/>
      <c r="D897" s="374"/>
      <c r="E897" s="112"/>
      <c r="F897" s="112"/>
      <c r="G897" s="68"/>
      <c r="H897" s="603"/>
      <c r="I897" s="882"/>
      <c r="J897" s="883"/>
      <c r="K897" s="884"/>
      <c r="L897" s="884"/>
      <c r="M897" s="68"/>
    </row>
    <row r="898" spans="1:13" s="64" customFormat="1">
      <c r="A898" s="10"/>
      <c r="B898" s="111"/>
      <c r="C898" s="68"/>
      <c r="D898" s="374"/>
      <c r="E898" s="112"/>
      <c r="F898" s="112"/>
      <c r="G898" s="68"/>
      <c r="H898" s="603"/>
      <c r="I898" s="882"/>
      <c r="J898" s="883"/>
      <c r="K898" s="884"/>
      <c r="L898" s="884"/>
      <c r="M898" s="68"/>
    </row>
    <row r="899" spans="1:13" s="64" customFormat="1">
      <c r="A899" s="10"/>
      <c r="B899" s="111"/>
      <c r="C899" s="68"/>
      <c r="D899" s="374"/>
      <c r="E899" s="112"/>
      <c r="F899" s="112"/>
      <c r="G899" s="68"/>
      <c r="H899" s="603"/>
      <c r="I899" s="882"/>
      <c r="J899" s="883"/>
      <c r="K899" s="884"/>
      <c r="L899" s="884"/>
      <c r="M899" s="68"/>
    </row>
    <row r="900" spans="1:13" s="64" customFormat="1">
      <c r="A900" s="10"/>
      <c r="B900" s="111"/>
      <c r="C900" s="68"/>
      <c r="D900" s="374"/>
      <c r="E900" s="112"/>
      <c r="F900" s="112"/>
      <c r="G900" s="68"/>
      <c r="H900" s="603"/>
      <c r="I900" s="882"/>
      <c r="J900" s="883"/>
      <c r="K900" s="884"/>
      <c r="L900" s="884"/>
      <c r="M900" s="68"/>
    </row>
    <row r="901" spans="1:13" s="64" customFormat="1">
      <c r="A901" s="10"/>
      <c r="B901" s="111"/>
      <c r="C901" s="68"/>
      <c r="D901" s="374"/>
      <c r="E901" s="112"/>
      <c r="F901" s="112"/>
      <c r="G901" s="68"/>
      <c r="H901" s="603"/>
      <c r="I901" s="882"/>
      <c r="J901" s="883"/>
      <c r="K901" s="884"/>
      <c r="L901" s="884"/>
      <c r="M901" s="68"/>
    </row>
    <row r="902" spans="1:13" s="64" customFormat="1">
      <c r="A902" s="10"/>
      <c r="B902" s="111"/>
      <c r="C902" s="68"/>
      <c r="D902" s="374"/>
      <c r="E902" s="112"/>
      <c r="F902" s="112"/>
      <c r="G902" s="68"/>
      <c r="H902" s="603"/>
      <c r="I902" s="882"/>
      <c r="J902" s="883"/>
      <c r="K902" s="884"/>
      <c r="L902" s="884"/>
      <c r="M902" s="68"/>
    </row>
    <row r="903" spans="1:13" s="64" customFormat="1">
      <c r="A903" s="10"/>
      <c r="B903" s="111"/>
      <c r="C903" s="68"/>
      <c r="D903" s="374"/>
      <c r="E903" s="112"/>
      <c r="F903" s="112"/>
      <c r="G903" s="68"/>
      <c r="H903" s="603"/>
      <c r="I903" s="882"/>
      <c r="J903" s="883"/>
      <c r="K903" s="884"/>
      <c r="L903" s="884"/>
      <c r="M903" s="68"/>
    </row>
    <row r="904" spans="1:13" s="64" customFormat="1">
      <c r="A904" s="10"/>
      <c r="B904" s="111"/>
      <c r="C904" s="68"/>
      <c r="D904" s="374"/>
      <c r="E904" s="112"/>
      <c r="F904" s="112"/>
      <c r="G904" s="68"/>
      <c r="H904" s="603"/>
      <c r="I904" s="882"/>
      <c r="J904" s="883"/>
      <c r="K904" s="884"/>
      <c r="L904" s="884"/>
      <c r="M904" s="68"/>
    </row>
    <row r="905" spans="1:13" s="64" customFormat="1">
      <c r="A905" s="10"/>
      <c r="B905" s="111"/>
      <c r="C905" s="68"/>
      <c r="D905" s="374"/>
      <c r="E905" s="112"/>
      <c r="F905" s="112"/>
      <c r="G905" s="68"/>
      <c r="H905" s="603"/>
      <c r="I905" s="882"/>
      <c r="J905" s="883"/>
      <c r="K905" s="884"/>
      <c r="L905" s="884"/>
      <c r="M905" s="68"/>
    </row>
    <row r="906" spans="1:13" s="64" customFormat="1">
      <c r="A906" s="10"/>
      <c r="B906" s="111"/>
      <c r="C906" s="68"/>
      <c r="D906" s="374"/>
      <c r="E906" s="112"/>
      <c r="F906" s="112"/>
      <c r="G906" s="68"/>
      <c r="H906" s="603"/>
      <c r="I906" s="882"/>
      <c r="J906" s="883"/>
      <c r="K906" s="884"/>
      <c r="L906" s="884"/>
      <c r="M906" s="68"/>
    </row>
    <row r="907" spans="1:13" s="64" customFormat="1">
      <c r="A907" s="10"/>
      <c r="B907" s="111"/>
      <c r="C907" s="68"/>
      <c r="D907" s="374"/>
      <c r="E907" s="112"/>
      <c r="F907" s="112"/>
      <c r="G907" s="68"/>
      <c r="H907" s="603"/>
      <c r="I907" s="882"/>
      <c r="J907" s="883"/>
      <c r="K907" s="884"/>
      <c r="L907" s="884"/>
      <c r="M907" s="68"/>
    </row>
    <row r="908" spans="1:13" s="64" customFormat="1">
      <c r="A908" s="10"/>
      <c r="B908" s="111"/>
      <c r="C908" s="68"/>
      <c r="D908" s="374"/>
      <c r="E908" s="112"/>
      <c r="F908" s="112"/>
      <c r="G908" s="68"/>
      <c r="H908" s="603"/>
      <c r="I908" s="882"/>
      <c r="J908" s="883"/>
      <c r="K908" s="884"/>
      <c r="L908" s="884"/>
      <c r="M908" s="68"/>
    </row>
    <row r="909" spans="1:13" s="64" customFormat="1">
      <c r="A909" s="10"/>
      <c r="B909" s="111"/>
      <c r="C909" s="68"/>
      <c r="D909" s="374"/>
      <c r="E909" s="112"/>
      <c r="F909" s="112"/>
      <c r="G909" s="68"/>
      <c r="H909" s="603"/>
      <c r="I909" s="882"/>
      <c r="J909" s="883"/>
      <c r="K909" s="884"/>
      <c r="L909" s="884"/>
      <c r="M909" s="68"/>
    </row>
    <row r="910" spans="1:13" s="64" customFormat="1">
      <c r="A910" s="10"/>
      <c r="B910" s="111"/>
      <c r="C910" s="68"/>
      <c r="D910" s="374"/>
      <c r="E910" s="112"/>
      <c r="F910" s="112"/>
      <c r="G910" s="68"/>
      <c r="H910" s="603"/>
      <c r="I910" s="882"/>
      <c r="J910" s="883"/>
      <c r="K910" s="884"/>
      <c r="L910" s="884"/>
      <c r="M910" s="68"/>
    </row>
    <row r="911" spans="1:13" s="64" customFormat="1">
      <c r="A911" s="10"/>
      <c r="B911" s="111"/>
      <c r="C911" s="68"/>
      <c r="D911" s="374"/>
      <c r="E911" s="112"/>
      <c r="F911" s="112"/>
      <c r="G911" s="68"/>
      <c r="H911" s="603"/>
      <c r="I911" s="882"/>
      <c r="J911" s="883"/>
      <c r="K911" s="884"/>
      <c r="L911" s="884"/>
      <c r="M911" s="68"/>
    </row>
    <row r="912" spans="1:13" s="64" customFormat="1">
      <c r="A912" s="10"/>
      <c r="B912" s="111"/>
      <c r="C912" s="68"/>
      <c r="D912" s="374"/>
      <c r="E912" s="112"/>
      <c r="F912" s="112"/>
      <c r="G912" s="68"/>
      <c r="H912" s="603"/>
      <c r="I912" s="882"/>
      <c r="J912" s="883"/>
      <c r="K912" s="884"/>
      <c r="L912" s="884"/>
      <c r="M912" s="68"/>
    </row>
    <row r="913" spans="1:13" s="64" customFormat="1">
      <c r="A913" s="10"/>
      <c r="B913" s="111"/>
      <c r="C913" s="68"/>
      <c r="D913" s="374"/>
      <c r="E913" s="112"/>
      <c r="F913" s="112"/>
      <c r="G913" s="68"/>
      <c r="H913" s="603"/>
      <c r="I913" s="882"/>
      <c r="J913" s="883"/>
      <c r="K913" s="884"/>
      <c r="L913" s="884"/>
      <c r="M913" s="68"/>
    </row>
    <row r="914" spans="1:13" s="64" customFormat="1">
      <c r="A914" s="10"/>
      <c r="B914" s="111"/>
      <c r="C914" s="68"/>
      <c r="D914" s="374"/>
      <c r="E914" s="112"/>
      <c r="F914" s="112"/>
      <c r="G914" s="68"/>
      <c r="H914" s="603"/>
      <c r="I914" s="882"/>
      <c r="J914" s="883"/>
      <c r="K914" s="884"/>
      <c r="L914" s="884"/>
      <c r="M914" s="68"/>
    </row>
    <row r="915" spans="1:13" s="64" customFormat="1">
      <c r="A915" s="10"/>
      <c r="B915" s="111"/>
      <c r="C915" s="68"/>
      <c r="D915" s="374"/>
      <c r="E915" s="112"/>
      <c r="F915" s="112"/>
      <c r="G915" s="68"/>
      <c r="H915" s="603"/>
      <c r="I915" s="882"/>
      <c r="J915" s="883"/>
      <c r="K915" s="884"/>
      <c r="L915" s="884"/>
      <c r="M915" s="68"/>
    </row>
    <row r="916" spans="1:13" s="64" customFormat="1">
      <c r="A916" s="10"/>
      <c r="B916" s="111"/>
      <c r="C916" s="68"/>
      <c r="D916" s="374"/>
      <c r="E916" s="112"/>
      <c r="F916" s="112"/>
      <c r="G916" s="68"/>
      <c r="H916" s="603"/>
      <c r="I916" s="882"/>
      <c r="J916" s="883"/>
      <c r="K916" s="884"/>
      <c r="L916" s="884"/>
      <c r="M916" s="68"/>
    </row>
    <row r="917" spans="1:13" s="64" customFormat="1">
      <c r="A917" s="10"/>
      <c r="B917" s="111"/>
      <c r="C917" s="68"/>
      <c r="D917" s="374"/>
      <c r="E917" s="112"/>
      <c r="F917" s="112"/>
      <c r="G917" s="68"/>
      <c r="H917" s="603"/>
      <c r="I917" s="882"/>
      <c r="J917" s="883"/>
      <c r="K917" s="884"/>
      <c r="L917" s="884"/>
      <c r="M917" s="68"/>
    </row>
    <row r="918" spans="1:13" s="64" customFormat="1">
      <c r="A918" s="10"/>
      <c r="B918" s="111"/>
      <c r="C918" s="68"/>
      <c r="D918" s="374"/>
      <c r="E918" s="112"/>
      <c r="F918" s="112"/>
      <c r="G918" s="68"/>
      <c r="H918" s="603"/>
      <c r="I918" s="882"/>
      <c r="J918" s="883"/>
      <c r="K918" s="884"/>
      <c r="L918" s="884"/>
      <c r="M918" s="68"/>
    </row>
    <row r="919" spans="1:13" s="64" customFormat="1">
      <c r="A919" s="10"/>
      <c r="B919" s="111"/>
      <c r="C919" s="68"/>
      <c r="D919" s="374"/>
      <c r="E919" s="112"/>
      <c r="F919" s="112"/>
      <c r="G919" s="68"/>
      <c r="H919" s="603"/>
      <c r="I919" s="882"/>
      <c r="J919" s="883"/>
      <c r="K919" s="884"/>
      <c r="L919" s="884"/>
      <c r="M919" s="68"/>
    </row>
    <row r="920" spans="1:13" s="64" customFormat="1">
      <c r="A920" s="10"/>
      <c r="B920" s="111"/>
      <c r="C920" s="68"/>
      <c r="D920" s="374"/>
      <c r="E920" s="112"/>
      <c r="F920" s="112"/>
      <c r="G920" s="68"/>
      <c r="H920" s="603"/>
      <c r="I920" s="882"/>
      <c r="J920" s="883"/>
      <c r="K920" s="884"/>
      <c r="L920" s="884"/>
      <c r="M920" s="68"/>
    </row>
    <row r="921" spans="1:13" s="64" customFormat="1">
      <c r="A921" s="10"/>
      <c r="B921" s="111"/>
      <c r="C921" s="68"/>
      <c r="D921" s="374"/>
      <c r="E921" s="112"/>
      <c r="F921" s="112"/>
      <c r="G921" s="68"/>
      <c r="H921" s="603"/>
      <c r="I921" s="882"/>
      <c r="J921" s="883"/>
      <c r="K921" s="884"/>
      <c r="L921" s="884"/>
      <c r="M921" s="68"/>
    </row>
    <row r="922" spans="1:13" s="64" customFormat="1">
      <c r="A922" s="10"/>
      <c r="B922" s="111"/>
      <c r="C922" s="68"/>
      <c r="D922" s="374"/>
      <c r="E922" s="112"/>
      <c r="F922" s="112"/>
      <c r="G922" s="68"/>
      <c r="H922" s="603"/>
      <c r="I922" s="882"/>
      <c r="J922" s="883"/>
      <c r="K922" s="884"/>
      <c r="L922" s="884"/>
      <c r="M922" s="68"/>
    </row>
    <row r="923" spans="1:13" s="64" customFormat="1">
      <c r="A923" s="10"/>
      <c r="B923" s="111"/>
      <c r="C923" s="68"/>
      <c r="D923" s="374"/>
      <c r="E923" s="112"/>
      <c r="F923" s="112"/>
      <c r="G923" s="68"/>
      <c r="H923" s="603"/>
      <c r="I923" s="882"/>
      <c r="J923" s="883"/>
      <c r="K923" s="884"/>
      <c r="L923" s="884"/>
      <c r="M923" s="68"/>
    </row>
    <row r="924" spans="1:13" s="64" customFormat="1">
      <c r="A924" s="10"/>
      <c r="B924" s="111"/>
      <c r="C924" s="68"/>
      <c r="D924" s="374"/>
      <c r="E924" s="112"/>
      <c r="F924" s="112"/>
      <c r="G924" s="68"/>
      <c r="H924" s="603"/>
      <c r="I924" s="882"/>
      <c r="J924" s="883"/>
      <c r="K924" s="884"/>
      <c r="L924" s="884"/>
      <c r="M924" s="68"/>
    </row>
    <row r="925" spans="1:13" s="64" customFormat="1">
      <c r="A925" s="10"/>
      <c r="B925" s="111"/>
      <c r="C925" s="68"/>
      <c r="D925" s="374"/>
      <c r="E925" s="112"/>
      <c r="F925" s="112"/>
      <c r="G925" s="68"/>
      <c r="H925" s="603"/>
      <c r="I925" s="882"/>
      <c r="J925" s="883"/>
      <c r="K925" s="884"/>
      <c r="L925" s="884"/>
      <c r="M925" s="68"/>
    </row>
    <row r="926" spans="1:13" s="64" customFormat="1">
      <c r="A926" s="10"/>
      <c r="B926" s="111"/>
      <c r="C926" s="68"/>
      <c r="D926" s="374"/>
      <c r="E926" s="112"/>
      <c r="F926" s="112"/>
      <c r="G926" s="68"/>
      <c r="H926" s="603"/>
      <c r="I926" s="882"/>
      <c r="J926" s="883"/>
      <c r="K926" s="884"/>
      <c r="L926" s="884"/>
      <c r="M926" s="68"/>
    </row>
    <row r="927" spans="1:13" s="64" customFormat="1">
      <c r="A927" s="10"/>
      <c r="B927" s="111"/>
      <c r="C927" s="68"/>
      <c r="D927" s="374"/>
      <c r="E927" s="112"/>
      <c r="F927" s="112"/>
      <c r="G927" s="68"/>
      <c r="H927" s="603"/>
      <c r="I927" s="882"/>
      <c r="J927" s="883"/>
      <c r="K927" s="884"/>
      <c r="L927" s="884"/>
      <c r="M927" s="68"/>
    </row>
    <row r="928" spans="1:13" s="64" customFormat="1">
      <c r="A928" s="10"/>
      <c r="B928" s="111"/>
      <c r="C928" s="68"/>
      <c r="D928" s="374"/>
      <c r="E928" s="112"/>
      <c r="F928" s="112"/>
      <c r="G928" s="68"/>
      <c r="H928" s="603"/>
      <c r="I928" s="882"/>
      <c r="J928" s="883"/>
      <c r="K928" s="884"/>
      <c r="L928" s="884"/>
      <c r="M928" s="68"/>
    </row>
    <row r="929" spans="1:13" s="64" customFormat="1">
      <c r="A929" s="10"/>
      <c r="B929" s="111"/>
      <c r="C929" s="68"/>
      <c r="D929" s="374"/>
      <c r="E929" s="112"/>
      <c r="F929" s="112"/>
      <c r="G929" s="68"/>
      <c r="H929" s="603"/>
      <c r="I929" s="882"/>
      <c r="J929" s="883"/>
      <c r="K929" s="884"/>
      <c r="L929" s="884"/>
      <c r="M929" s="68"/>
    </row>
    <row r="930" spans="1:13" s="64" customFormat="1">
      <c r="A930" s="10"/>
      <c r="B930" s="111"/>
      <c r="C930" s="68"/>
      <c r="D930" s="374"/>
      <c r="E930" s="112"/>
      <c r="F930" s="112"/>
      <c r="G930" s="68"/>
      <c r="H930" s="603"/>
      <c r="I930" s="882"/>
      <c r="J930" s="883"/>
      <c r="K930" s="884"/>
      <c r="L930" s="884"/>
      <c r="M930" s="68"/>
    </row>
    <row r="931" spans="1:13" s="64" customFormat="1">
      <c r="A931" s="10"/>
      <c r="B931" s="111"/>
      <c r="C931" s="68"/>
      <c r="D931" s="374"/>
      <c r="E931" s="112"/>
      <c r="F931" s="112"/>
      <c r="G931" s="68"/>
      <c r="H931" s="603"/>
      <c r="I931" s="882"/>
      <c r="J931" s="883"/>
      <c r="K931" s="884"/>
      <c r="L931" s="884"/>
      <c r="M931" s="68"/>
    </row>
    <row r="932" spans="1:13" s="64" customFormat="1">
      <c r="A932" s="10"/>
      <c r="B932" s="111"/>
      <c r="C932" s="68"/>
      <c r="D932" s="374"/>
      <c r="E932" s="112"/>
      <c r="F932" s="112"/>
      <c r="G932" s="68"/>
      <c r="H932" s="603"/>
      <c r="I932" s="882"/>
      <c r="J932" s="883"/>
      <c r="K932" s="884"/>
      <c r="L932" s="884"/>
      <c r="M932" s="68"/>
    </row>
    <row r="933" spans="1:13" s="64" customFormat="1">
      <c r="A933" s="10"/>
      <c r="B933" s="111"/>
      <c r="C933" s="68"/>
      <c r="D933" s="374"/>
      <c r="E933" s="112"/>
      <c r="F933" s="112"/>
      <c r="G933" s="68"/>
      <c r="H933" s="603"/>
      <c r="I933" s="882"/>
      <c r="J933" s="883"/>
      <c r="K933" s="884"/>
      <c r="L933" s="884"/>
      <c r="M933" s="68"/>
    </row>
    <row r="934" spans="1:13" s="64" customFormat="1">
      <c r="A934" s="10"/>
      <c r="B934" s="111"/>
      <c r="C934" s="68"/>
      <c r="D934" s="374"/>
      <c r="E934" s="112"/>
      <c r="F934" s="112"/>
      <c r="G934" s="68"/>
      <c r="H934" s="603"/>
      <c r="I934" s="882"/>
      <c r="J934" s="883"/>
      <c r="K934" s="884"/>
      <c r="L934" s="884"/>
      <c r="M934" s="68"/>
    </row>
    <row r="935" spans="1:13" s="64" customFormat="1">
      <c r="A935" s="10"/>
      <c r="B935" s="111"/>
      <c r="C935" s="68"/>
      <c r="D935" s="374"/>
      <c r="E935" s="112"/>
      <c r="F935" s="112"/>
      <c r="G935" s="68"/>
      <c r="H935" s="603"/>
      <c r="I935" s="882"/>
      <c r="J935" s="883"/>
      <c r="K935" s="884"/>
      <c r="L935" s="884"/>
      <c r="M935" s="68"/>
    </row>
    <row r="936" spans="1:13" s="64" customFormat="1">
      <c r="A936" s="10"/>
      <c r="B936" s="111"/>
      <c r="C936" s="68"/>
      <c r="D936" s="374"/>
      <c r="E936" s="112"/>
      <c r="F936" s="112"/>
      <c r="G936" s="68"/>
      <c r="H936" s="603"/>
      <c r="I936" s="882"/>
      <c r="J936" s="883"/>
      <c r="K936" s="884"/>
      <c r="L936" s="884"/>
      <c r="M936" s="68"/>
    </row>
    <row r="937" spans="1:13" s="64" customFormat="1">
      <c r="A937" s="10"/>
      <c r="B937" s="111"/>
      <c r="C937" s="68"/>
      <c r="D937" s="374"/>
      <c r="E937" s="112"/>
      <c r="F937" s="112"/>
      <c r="G937" s="68"/>
      <c r="H937" s="603"/>
      <c r="I937" s="882"/>
      <c r="J937" s="883"/>
      <c r="K937" s="884"/>
      <c r="L937" s="884"/>
      <c r="M937" s="68"/>
    </row>
    <row r="938" spans="1:13" s="64" customFormat="1">
      <c r="A938" s="10"/>
      <c r="B938" s="111"/>
      <c r="C938" s="68"/>
      <c r="D938" s="374"/>
      <c r="E938" s="112"/>
      <c r="F938" s="112"/>
      <c r="G938" s="68"/>
      <c r="H938" s="603"/>
      <c r="I938" s="882"/>
      <c r="J938" s="883"/>
      <c r="K938" s="884"/>
      <c r="L938" s="884"/>
      <c r="M938" s="68"/>
    </row>
    <row r="939" spans="1:13" s="64" customFormat="1">
      <c r="A939" s="10"/>
      <c r="B939" s="111"/>
      <c r="C939" s="68"/>
      <c r="D939" s="374"/>
      <c r="E939" s="112"/>
      <c r="F939" s="112"/>
      <c r="G939" s="68"/>
      <c r="H939" s="603"/>
      <c r="I939" s="882"/>
      <c r="J939" s="883"/>
      <c r="K939" s="884"/>
      <c r="L939" s="884"/>
      <c r="M939" s="68"/>
    </row>
    <row r="940" spans="1:13" s="64" customFormat="1">
      <c r="A940" s="10"/>
      <c r="B940" s="111"/>
      <c r="C940" s="68"/>
      <c r="D940" s="374"/>
      <c r="E940" s="112"/>
      <c r="F940" s="112"/>
      <c r="G940" s="68"/>
      <c r="H940" s="603"/>
      <c r="I940" s="882"/>
      <c r="J940" s="883"/>
      <c r="K940" s="884"/>
      <c r="L940" s="884"/>
      <c r="M940" s="68"/>
    </row>
    <row r="941" spans="1:13" s="64" customFormat="1">
      <c r="A941" s="10"/>
      <c r="B941" s="111"/>
      <c r="C941" s="68"/>
      <c r="D941" s="374"/>
      <c r="E941" s="112"/>
      <c r="F941" s="112"/>
      <c r="G941" s="68"/>
      <c r="H941" s="603"/>
      <c r="I941" s="882"/>
      <c r="J941" s="883"/>
      <c r="K941" s="884"/>
      <c r="L941" s="884"/>
      <c r="M941" s="68"/>
    </row>
    <row r="942" spans="1:13" s="64" customFormat="1">
      <c r="A942" s="10"/>
      <c r="B942" s="111"/>
      <c r="C942" s="68"/>
      <c r="D942" s="374"/>
      <c r="E942" s="112"/>
      <c r="F942" s="112"/>
      <c r="G942" s="68"/>
      <c r="H942" s="603"/>
      <c r="I942" s="882"/>
      <c r="J942" s="883"/>
      <c r="K942" s="884"/>
      <c r="L942" s="884"/>
      <c r="M942" s="68"/>
    </row>
    <row r="943" spans="1:13" s="64" customFormat="1">
      <c r="A943" s="10"/>
      <c r="B943" s="111"/>
      <c r="C943" s="68"/>
      <c r="D943" s="374"/>
      <c r="E943" s="112"/>
      <c r="F943" s="112"/>
      <c r="G943" s="68"/>
      <c r="H943" s="603"/>
      <c r="I943" s="882"/>
      <c r="J943" s="883"/>
      <c r="K943" s="884"/>
      <c r="L943" s="884"/>
      <c r="M943" s="68"/>
    </row>
    <row r="944" spans="1:13" s="64" customFormat="1">
      <c r="A944" s="10"/>
      <c r="B944" s="111"/>
      <c r="C944" s="68"/>
      <c r="D944" s="374"/>
      <c r="E944" s="112"/>
      <c r="F944" s="112"/>
      <c r="G944" s="68"/>
      <c r="H944" s="603"/>
      <c r="I944" s="882"/>
      <c r="J944" s="883"/>
      <c r="K944" s="884"/>
      <c r="L944" s="884"/>
      <c r="M944" s="68"/>
    </row>
    <row r="945" spans="1:13" s="64" customFormat="1">
      <c r="A945" s="10"/>
      <c r="B945" s="111"/>
      <c r="C945" s="68"/>
      <c r="D945" s="374"/>
      <c r="E945" s="112"/>
      <c r="F945" s="112"/>
      <c r="G945" s="68"/>
      <c r="H945" s="603"/>
      <c r="I945" s="882"/>
      <c r="J945" s="883"/>
      <c r="K945" s="884"/>
      <c r="L945" s="884"/>
      <c r="M945" s="68"/>
    </row>
    <row r="946" spans="1:13" s="64" customFormat="1">
      <c r="A946" s="10"/>
      <c r="B946" s="111"/>
      <c r="C946" s="68"/>
      <c r="D946" s="374"/>
      <c r="E946" s="112"/>
      <c r="F946" s="112"/>
      <c r="G946" s="68"/>
      <c r="H946" s="603"/>
      <c r="I946" s="882"/>
      <c r="J946" s="883"/>
      <c r="K946" s="884"/>
      <c r="L946" s="884"/>
      <c r="M946" s="68"/>
    </row>
    <row r="947" spans="1:13" s="64" customFormat="1">
      <c r="A947" s="10"/>
      <c r="B947" s="111"/>
      <c r="C947" s="68"/>
      <c r="D947" s="374"/>
      <c r="E947" s="112"/>
      <c r="F947" s="112"/>
      <c r="G947" s="68"/>
      <c r="H947" s="603"/>
      <c r="I947" s="882"/>
      <c r="J947" s="883"/>
      <c r="K947" s="884"/>
      <c r="L947" s="884"/>
      <c r="M947" s="68"/>
    </row>
    <row r="948" spans="1:13" s="64" customFormat="1">
      <c r="A948" s="10"/>
      <c r="B948" s="111"/>
      <c r="C948" s="68"/>
      <c r="D948" s="374"/>
      <c r="E948" s="112"/>
      <c r="F948" s="112"/>
      <c r="G948" s="68"/>
      <c r="H948" s="603"/>
      <c r="I948" s="882"/>
      <c r="J948" s="883"/>
      <c r="K948" s="884"/>
      <c r="L948" s="884"/>
      <c r="M948" s="68"/>
    </row>
    <row r="949" spans="1:13" s="64" customFormat="1">
      <c r="A949" s="10"/>
      <c r="B949" s="111"/>
      <c r="C949" s="68"/>
      <c r="D949" s="374"/>
      <c r="E949" s="112"/>
      <c r="F949" s="112"/>
      <c r="G949" s="68"/>
      <c r="H949" s="603"/>
      <c r="I949" s="882"/>
      <c r="J949" s="883"/>
      <c r="K949" s="884"/>
      <c r="L949" s="884"/>
      <c r="M949" s="68"/>
    </row>
    <row r="950" spans="1:13" s="64" customFormat="1">
      <c r="A950" s="10"/>
      <c r="B950" s="111"/>
      <c r="C950" s="68"/>
      <c r="D950" s="374"/>
      <c r="E950" s="112"/>
      <c r="F950" s="112"/>
      <c r="G950" s="68"/>
      <c r="H950" s="603"/>
      <c r="I950" s="882"/>
      <c r="J950" s="883"/>
      <c r="K950" s="884"/>
      <c r="L950" s="884"/>
      <c r="M950" s="68"/>
    </row>
    <row r="951" spans="1:13" s="64" customFormat="1">
      <c r="A951" s="10"/>
      <c r="B951" s="111"/>
      <c r="C951" s="68"/>
      <c r="D951" s="374"/>
      <c r="E951" s="112"/>
      <c r="F951" s="112"/>
      <c r="G951" s="68"/>
      <c r="H951" s="603"/>
      <c r="I951" s="882"/>
      <c r="J951" s="883"/>
      <c r="K951" s="884"/>
      <c r="L951" s="884"/>
      <c r="M951" s="68"/>
    </row>
    <row r="952" spans="1:13" s="64" customFormat="1">
      <c r="A952" s="10"/>
      <c r="B952" s="111"/>
      <c r="C952" s="68"/>
      <c r="D952" s="374"/>
      <c r="E952" s="112"/>
      <c r="F952" s="112"/>
      <c r="G952" s="68"/>
      <c r="H952" s="603"/>
      <c r="I952" s="882"/>
      <c r="J952" s="883"/>
      <c r="K952" s="884"/>
      <c r="L952" s="884"/>
      <c r="M952" s="68"/>
    </row>
    <row r="953" spans="1:13" s="64" customFormat="1">
      <c r="A953" s="10"/>
      <c r="B953" s="111"/>
      <c r="C953" s="68"/>
      <c r="D953" s="374"/>
      <c r="E953" s="112"/>
      <c r="F953" s="112"/>
      <c r="G953" s="68"/>
      <c r="H953" s="603"/>
      <c r="I953" s="882"/>
      <c r="J953" s="883"/>
      <c r="K953" s="884"/>
      <c r="L953" s="884"/>
      <c r="M953" s="68"/>
    </row>
    <row r="954" spans="1:13" s="64" customFormat="1">
      <c r="A954" s="10"/>
      <c r="B954" s="111"/>
      <c r="C954" s="68"/>
      <c r="D954" s="374"/>
      <c r="E954" s="112"/>
      <c r="F954" s="112"/>
      <c r="G954" s="68"/>
      <c r="H954" s="603"/>
      <c r="I954" s="882"/>
      <c r="J954" s="883"/>
      <c r="K954" s="884"/>
      <c r="L954" s="884"/>
      <c r="M954" s="68"/>
    </row>
    <row r="955" spans="1:13" s="64" customFormat="1">
      <c r="A955" s="10"/>
      <c r="B955" s="111"/>
      <c r="C955" s="68"/>
      <c r="D955" s="374"/>
      <c r="E955" s="112"/>
      <c r="F955" s="112"/>
      <c r="G955" s="68"/>
      <c r="H955" s="603"/>
      <c r="I955" s="882"/>
      <c r="J955" s="883"/>
      <c r="K955" s="884"/>
      <c r="L955" s="884"/>
      <c r="M955" s="68"/>
    </row>
    <row r="956" spans="1:13" s="64" customFormat="1">
      <c r="A956" s="10"/>
      <c r="B956" s="111"/>
      <c r="C956" s="68"/>
      <c r="D956" s="374"/>
      <c r="E956" s="112"/>
      <c r="F956" s="112"/>
      <c r="G956" s="68"/>
      <c r="H956" s="603"/>
      <c r="I956" s="882"/>
      <c r="J956" s="883"/>
      <c r="K956" s="884"/>
      <c r="L956" s="884"/>
      <c r="M956" s="68"/>
    </row>
    <row r="957" spans="1:13" s="64" customFormat="1">
      <c r="A957" s="10"/>
      <c r="B957" s="111"/>
      <c r="C957" s="68"/>
      <c r="D957" s="374"/>
      <c r="E957" s="112"/>
      <c r="F957" s="112"/>
      <c r="G957" s="68"/>
      <c r="H957" s="603"/>
      <c r="I957" s="882"/>
      <c r="J957" s="883"/>
      <c r="K957" s="884"/>
      <c r="L957" s="884"/>
      <c r="M957" s="68"/>
    </row>
    <row r="958" spans="1:13" s="64" customFormat="1">
      <c r="A958" s="10"/>
      <c r="B958" s="111"/>
      <c r="C958" s="68"/>
      <c r="D958" s="374"/>
      <c r="E958" s="112"/>
      <c r="F958" s="112"/>
      <c r="G958" s="68"/>
      <c r="H958" s="603"/>
      <c r="I958" s="882"/>
      <c r="J958" s="883"/>
      <c r="K958" s="884"/>
      <c r="L958" s="884"/>
      <c r="M958" s="68"/>
    </row>
    <row r="959" spans="1:13" s="64" customFormat="1">
      <c r="A959" s="10"/>
      <c r="B959" s="111"/>
      <c r="C959" s="68"/>
      <c r="D959" s="374"/>
      <c r="E959" s="112"/>
      <c r="F959" s="112"/>
      <c r="G959" s="68"/>
      <c r="H959" s="603"/>
      <c r="I959" s="882"/>
      <c r="J959" s="883"/>
      <c r="K959" s="884"/>
      <c r="L959" s="884"/>
      <c r="M959" s="68"/>
    </row>
    <row r="960" spans="1:13" s="64" customFormat="1">
      <c r="A960" s="10"/>
      <c r="B960" s="111"/>
      <c r="C960" s="68"/>
      <c r="D960" s="374"/>
      <c r="E960" s="112"/>
      <c r="F960" s="112"/>
      <c r="G960" s="68"/>
      <c r="H960" s="603"/>
      <c r="I960" s="882"/>
      <c r="J960" s="883"/>
      <c r="K960" s="884"/>
      <c r="L960" s="884"/>
      <c r="M960" s="68"/>
    </row>
    <row r="961" spans="1:13" s="64" customFormat="1">
      <c r="A961" s="10"/>
      <c r="B961" s="111"/>
      <c r="C961" s="68"/>
      <c r="D961" s="374"/>
      <c r="E961" s="112"/>
      <c r="F961" s="112"/>
      <c r="G961" s="68"/>
      <c r="H961" s="603"/>
      <c r="I961" s="882"/>
      <c r="J961" s="883"/>
      <c r="K961" s="884"/>
      <c r="L961" s="884"/>
      <c r="M961" s="68"/>
    </row>
    <row r="962" spans="1:13" s="64" customFormat="1">
      <c r="A962" s="10"/>
      <c r="B962" s="111"/>
      <c r="C962" s="68"/>
      <c r="D962" s="374"/>
      <c r="E962" s="112"/>
      <c r="F962" s="112"/>
      <c r="G962" s="68"/>
      <c r="H962" s="603"/>
      <c r="I962" s="882"/>
      <c r="J962" s="883"/>
      <c r="K962" s="884"/>
      <c r="L962" s="884"/>
      <c r="M962" s="68"/>
    </row>
    <row r="963" spans="1:13" s="64" customFormat="1">
      <c r="A963" s="10"/>
      <c r="B963" s="111"/>
      <c r="C963" s="68"/>
      <c r="D963" s="374"/>
      <c r="E963" s="112"/>
      <c r="F963" s="112"/>
      <c r="G963" s="68"/>
      <c r="H963" s="603"/>
      <c r="I963" s="882"/>
      <c r="J963" s="883"/>
      <c r="K963" s="884"/>
      <c r="L963" s="884"/>
      <c r="M963" s="68"/>
    </row>
    <row r="964" spans="1:13" s="64" customFormat="1">
      <c r="A964" s="10"/>
      <c r="B964" s="111"/>
      <c r="C964" s="68"/>
      <c r="D964" s="374"/>
      <c r="E964" s="112"/>
      <c r="F964" s="112"/>
      <c r="G964" s="68"/>
      <c r="H964" s="603"/>
      <c r="I964" s="882"/>
      <c r="J964" s="883"/>
      <c r="K964" s="884"/>
      <c r="L964" s="884"/>
      <c r="M964" s="68"/>
    </row>
    <row r="965" spans="1:13" s="64" customFormat="1">
      <c r="A965" s="10"/>
      <c r="B965" s="111"/>
      <c r="C965" s="68"/>
      <c r="D965" s="374"/>
      <c r="E965" s="112"/>
      <c r="F965" s="112"/>
      <c r="G965" s="68"/>
      <c r="H965" s="603"/>
      <c r="I965" s="882"/>
      <c r="J965" s="883"/>
      <c r="K965" s="884"/>
      <c r="L965" s="884"/>
      <c r="M965" s="68"/>
    </row>
    <row r="966" spans="1:13" s="64" customFormat="1">
      <c r="A966" s="10"/>
      <c r="B966" s="111"/>
      <c r="C966" s="68"/>
      <c r="D966" s="374"/>
      <c r="E966" s="112"/>
      <c r="F966" s="112"/>
      <c r="G966" s="68"/>
      <c r="H966" s="603"/>
      <c r="I966" s="882"/>
      <c r="J966" s="883"/>
      <c r="K966" s="884"/>
      <c r="L966" s="884"/>
      <c r="M966" s="68"/>
    </row>
    <row r="967" spans="1:13" s="64" customFormat="1">
      <c r="A967" s="10"/>
      <c r="B967" s="111"/>
      <c r="C967" s="68"/>
      <c r="D967" s="374"/>
      <c r="E967" s="112"/>
      <c r="F967" s="112"/>
      <c r="G967" s="68"/>
      <c r="H967" s="603"/>
      <c r="I967" s="882"/>
      <c r="J967" s="883"/>
      <c r="K967" s="884"/>
      <c r="L967" s="884"/>
      <c r="M967" s="68"/>
    </row>
    <row r="968" spans="1:13" s="64" customFormat="1">
      <c r="A968" s="10"/>
      <c r="B968" s="111"/>
      <c r="C968" s="68"/>
      <c r="D968" s="374"/>
      <c r="E968" s="112"/>
      <c r="F968" s="112"/>
      <c r="G968" s="68"/>
      <c r="H968" s="603"/>
      <c r="I968" s="882"/>
      <c r="J968" s="883"/>
      <c r="K968" s="884"/>
      <c r="L968" s="884"/>
      <c r="M968" s="68"/>
    </row>
    <row r="969" spans="1:13" s="64" customFormat="1">
      <c r="A969" s="10"/>
      <c r="B969" s="111"/>
      <c r="C969" s="68"/>
      <c r="D969" s="374"/>
      <c r="E969" s="112"/>
      <c r="F969" s="112"/>
      <c r="G969" s="68"/>
      <c r="H969" s="603"/>
      <c r="I969" s="882"/>
      <c r="J969" s="883"/>
      <c r="K969" s="884"/>
      <c r="L969" s="884"/>
      <c r="M969" s="68"/>
    </row>
    <row r="970" spans="1:13" s="64" customFormat="1">
      <c r="A970" s="10"/>
      <c r="B970" s="111"/>
      <c r="C970" s="68"/>
      <c r="D970" s="374"/>
      <c r="E970" s="112"/>
      <c r="F970" s="112"/>
      <c r="G970" s="68"/>
      <c r="H970" s="603"/>
      <c r="I970" s="882"/>
      <c r="J970" s="883"/>
      <c r="K970" s="884"/>
      <c r="L970" s="884"/>
      <c r="M970" s="68"/>
    </row>
    <row r="971" spans="1:13" s="64" customFormat="1">
      <c r="A971" s="10"/>
      <c r="B971" s="111"/>
      <c r="C971" s="68"/>
      <c r="D971" s="374"/>
      <c r="E971" s="112"/>
      <c r="F971" s="112"/>
      <c r="G971" s="68"/>
      <c r="H971" s="603"/>
      <c r="I971" s="882"/>
      <c r="J971" s="883"/>
      <c r="K971" s="884"/>
      <c r="L971" s="884"/>
      <c r="M971" s="68"/>
    </row>
    <row r="972" spans="1:13" s="64" customFormat="1">
      <c r="A972" s="10"/>
      <c r="B972" s="111"/>
      <c r="C972" s="68"/>
      <c r="D972" s="374"/>
      <c r="E972" s="112"/>
      <c r="F972" s="112"/>
      <c r="G972" s="68"/>
      <c r="H972" s="603"/>
      <c r="I972" s="882"/>
      <c r="J972" s="883"/>
      <c r="K972" s="884"/>
      <c r="L972" s="884"/>
      <c r="M972" s="68"/>
    </row>
    <row r="973" spans="1:13" s="64" customFormat="1">
      <c r="A973" s="10"/>
      <c r="B973" s="111"/>
      <c r="C973" s="68"/>
      <c r="D973" s="374"/>
      <c r="E973" s="112"/>
      <c r="F973" s="112"/>
      <c r="G973" s="68"/>
      <c r="H973" s="603"/>
      <c r="I973" s="882"/>
      <c r="J973" s="883"/>
      <c r="K973" s="884"/>
      <c r="L973" s="884"/>
      <c r="M973" s="68"/>
    </row>
    <row r="974" spans="1:13" s="64" customFormat="1">
      <c r="A974" s="10"/>
      <c r="B974" s="111"/>
      <c r="C974" s="68"/>
      <c r="D974" s="374"/>
      <c r="E974" s="112"/>
      <c r="F974" s="112"/>
      <c r="G974" s="68"/>
      <c r="H974" s="603"/>
      <c r="I974" s="882"/>
      <c r="J974" s="883"/>
      <c r="K974" s="884"/>
      <c r="L974" s="884"/>
      <c r="M974" s="68"/>
    </row>
    <row r="975" spans="1:13" s="64" customFormat="1">
      <c r="A975" s="10"/>
      <c r="B975" s="111"/>
      <c r="C975" s="68"/>
      <c r="D975" s="374"/>
      <c r="E975" s="112"/>
      <c r="F975" s="112"/>
      <c r="G975" s="68"/>
      <c r="H975" s="603"/>
      <c r="I975" s="882"/>
      <c r="J975" s="883"/>
      <c r="K975" s="884"/>
      <c r="L975" s="884"/>
      <c r="M975" s="68"/>
    </row>
    <row r="976" spans="1:13" s="64" customFormat="1">
      <c r="A976" s="10"/>
      <c r="B976" s="111"/>
      <c r="C976" s="68"/>
      <c r="D976" s="374"/>
      <c r="E976" s="112"/>
      <c r="F976" s="112"/>
      <c r="G976" s="68"/>
      <c r="H976" s="603"/>
      <c r="I976" s="882"/>
      <c r="J976" s="883"/>
      <c r="K976" s="884"/>
      <c r="L976" s="884"/>
      <c r="M976" s="68"/>
    </row>
    <row r="977" spans="1:13" s="64" customFormat="1">
      <c r="A977" s="10"/>
      <c r="B977" s="111"/>
      <c r="C977" s="68"/>
      <c r="D977" s="374"/>
      <c r="E977" s="112"/>
      <c r="F977" s="112"/>
      <c r="G977" s="68"/>
      <c r="H977" s="603"/>
      <c r="I977" s="882"/>
      <c r="J977" s="883"/>
      <c r="K977" s="884"/>
      <c r="L977" s="884"/>
      <c r="M977" s="68"/>
    </row>
    <row r="978" spans="1:13" s="64" customFormat="1">
      <c r="A978" s="10"/>
      <c r="B978" s="111"/>
      <c r="C978" s="68"/>
      <c r="D978" s="374"/>
      <c r="E978" s="112"/>
      <c r="F978" s="112"/>
      <c r="G978" s="68"/>
      <c r="H978" s="603"/>
      <c r="I978" s="882"/>
      <c r="J978" s="883"/>
      <c r="K978" s="884"/>
      <c r="L978" s="884"/>
      <c r="M978" s="68"/>
    </row>
    <row r="979" spans="1:13" s="64" customFormat="1">
      <c r="A979" s="10"/>
      <c r="B979" s="111"/>
      <c r="C979" s="68"/>
      <c r="D979" s="374"/>
      <c r="E979" s="112"/>
      <c r="F979" s="112"/>
      <c r="G979" s="68"/>
      <c r="H979" s="603"/>
      <c r="I979" s="882"/>
      <c r="J979" s="883"/>
      <c r="K979" s="884"/>
      <c r="L979" s="884"/>
      <c r="M979" s="68"/>
    </row>
    <row r="980" spans="1:13" s="64" customFormat="1">
      <c r="A980" s="10"/>
      <c r="B980" s="111"/>
      <c r="C980" s="68"/>
      <c r="D980" s="374"/>
      <c r="E980" s="112"/>
      <c r="F980" s="112"/>
      <c r="G980" s="68"/>
      <c r="H980" s="603"/>
      <c r="I980" s="882"/>
      <c r="J980" s="883"/>
      <c r="K980" s="884"/>
      <c r="L980" s="884"/>
      <c r="M980" s="68"/>
    </row>
    <row r="981" spans="1:13" s="64" customFormat="1">
      <c r="A981" s="10"/>
      <c r="B981" s="111"/>
      <c r="C981" s="68"/>
      <c r="D981" s="374"/>
      <c r="E981" s="112"/>
      <c r="F981" s="112"/>
      <c r="G981" s="68"/>
      <c r="H981" s="603"/>
      <c r="I981" s="882"/>
      <c r="J981" s="883"/>
      <c r="K981" s="884"/>
      <c r="L981" s="884"/>
      <c r="M981" s="68"/>
    </row>
    <row r="982" spans="1:13" s="64" customFormat="1">
      <c r="A982" s="10"/>
      <c r="B982" s="111"/>
      <c r="C982" s="68"/>
      <c r="D982" s="374"/>
      <c r="E982" s="112"/>
      <c r="F982" s="112"/>
      <c r="G982" s="68"/>
      <c r="H982" s="603"/>
      <c r="I982" s="882"/>
      <c r="J982" s="883"/>
      <c r="K982" s="884"/>
      <c r="L982" s="884"/>
      <c r="M982" s="68"/>
    </row>
    <row r="983" spans="1:13" s="64" customFormat="1">
      <c r="A983" s="10"/>
      <c r="B983" s="111"/>
      <c r="C983" s="68"/>
      <c r="D983" s="374"/>
      <c r="E983" s="112"/>
      <c r="F983" s="112"/>
      <c r="G983" s="68"/>
      <c r="H983" s="603"/>
      <c r="I983" s="882"/>
      <c r="J983" s="883"/>
      <c r="K983" s="884"/>
      <c r="L983" s="884"/>
      <c r="M983" s="68"/>
    </row>
    <row r="984" spans="1:13" s="64" customFormat="1">
      <c r="A984" s="10"/>
      <c r="B984" s="111"/>
      <c r="C984" s="68"/>
      <c r="D984" s="374"/>
      <c r="E984" s="112"/>
      <c r="F984" s="112"/>
      <c r="G984" s="68"/>
      <c r="H984" s="603"/>
      <c r="I984" s="882"/>
      <c r="J984" s="883"/>
      <c r="K984" s="884"/>
      <c r="L984" s="884"/>
      <c r="M984" s="68"/>
    </row>
    <row r="985" spans="1:13" s="64" customFormat="1">
      <c r="A985" s="10"/>
      <c r="B985" s="111"/>
      <c r="C985" s="68"/>
      <c r="D985" s="374"/>
      <c r="E985" s="112"/>
      <c r="F985" s="112"/>
      <c r="G985" s="68"/>
      <c r="H985" s="603"/>
      <c r="I985" s="882"/>
      <c r="J985" s="883"/>
      <c r="K985" s="884"/>
      <c r="L985" s="884"/>
      <c r="M985" s="68"/>
    </row>
    <row r="986" spans="1:13" s="64" customFormat="1">
      <c r="A986" s="10"/>
      <c r="B986" s="111"/>
      <c r="C986" s="68"/>
      <c r="D986" s="374"/>
      <c r="E986" s="112"/>
      <c r="F986" s="112"/>
      <c r="G986" s="68"/>
      <c r="H986" s="603"/>
      <c r="I986" s="882"/>
      <c r="J986" s="883"/>
      <c r="K986" s="884"/>
      <c r="L986" s="884"/>
      <c r="M986" s="68"/>
    </row>
    <row r="987" spans="1:13" s="64" customFormat="1">
      <c r="A987" s="10"/>
      <c r="B987" s="111"/>
      <c r="C987" s="68"/>
      <c r="D987" s="374"/>
      <c r="E987" s="112"/>
      <c r="F987" s="112"/>
      <c r="G987" s="68"/>
      <c r="H987" s="603"/>
      <c r="I987" s="882"/>
      <c r="J987" s="883"/>
      <c r="K987" s="884"/>
      <c r="L987" s="884"/>
      <c r="M987" s="68"/>
    </row>
    <row r="988" spans="1:13" s="64" customFormat="1">
      <c r="A988" s="10"/>
      <c r="B988" s="111"/>
      <c r="C988" s="68"/>
      <c r="D988" s="374"/>
      <c r="E988" s="112"/>
      <c r="F988" s="112"/>
      <c r="G988" s="68"/>
      <c r="H988" s="603"/>
      <c r="I988" s="882"/>
      <c r="J988" s="883"/>
      <c r="K988" s="884"/>
      <c r="L988" s="884"/>
      <c r="M988" s="68"/>
    </row>
    <row r="989" spans="1:13" s="64" customFormat="1">
      <c r="A989" s="10"/>
      <c r="B989" s="111"/>
      <c r="C989" s="68"/>
      <c r="D989" s="374"/>
      <c r="E989" s="112"/>
      <c r="F989" s="112"/>
      <c r="G989" s="68"/>
      <c r="H989" s="603"/>
      <c r="I989" s="882"/>
      <c r="J989" s="883"/>
      <c r="K989" s="884"/>
      <c r="L989" s="884"/>
      <c r="M989" s="68"/>
    </row>
    <row r="990" spans="1:13" s="64" customFormat="1">
      <c r="A990" s="10"/>
      <c r="B990" s="111"/>
      <c r="C990" s="68"/>
      <c r="D990" s="374"/>
      <c r="E990" s="112"/>
      <c r="F990" s="112"/>
      <c r="G990" s="68"/>
      <c r="H990" s="603"/>
      <c r="I990" s="882"/>
      <c r="J990" s="883"/>
      <c r="K990" s="884"/>
      <c r="L990" s="884"/>
      <c r="M990" s="68"/>
    </row>
    <row r="991" spans="1:13" s="64" customFormat="1">
      <c r="A991" s="10"/>
      <c r="B991" s="111"/>
      <c r="C991" s="68"/>
      <c r="D991" s="374"/>
      <c r="E991" s="112"/>
      <c r="F991" s="112"/>
      <c r="G991" s="68"/>
      <c r="H991" s="603"/>
      <c r="I991" s="882"/>
      <c r="J991" s="883"/>
      <c r="K991" s="884"/>
      <c r="L991" s="884"/>
      <c r="M991" s="68"/>
    </row>
    <row r="992" spans="1:13" s="64" customFormat="1">
      <c r="A992" s="10"/>
      <c r="B992" s="111"/>
      <c r="C992" s="68"/>
      <c r="D992" s="374"/>
      <c r="E992" s="112"/>
      <c r="F992" s="112"/>
      <c r="G992" s="68"/>
      <c r="H992" s="603"/>
      <c r="I992" s="882"/>
      <c r="J992" s="883"/>
      <c r="K992" s="884"/>
      <c r="L992" s="884"/>
      <c r="M992" s="68"/>
    </row>
    <row r="993" spans="1:13" s="64" customFormat="1">
      <c r="A993" s="10"/>
      <c r="B993" s="111"/>
      <c r="C993" s="68"/>
      <c r="D993" s="374"/>
      <c r="E993" s="112"/>
      <c r="F993" s="112"/>
      <c r="G993" s="68"/>
      <c r="H993" s="603"/>
      <c r="I993" s="882"/>
      <c r="J993" s="883"/>
      <c r="K993" s="884"/>
      <c r="L993" s="884"/>
      <c r="M993" s="68"/>
    </row>
    <row r="994" spans="1:13" s="64" customFormat="1">
      <c r="A994" s="10"/>
      <c r="B994" s="111"/>
      <c r="C994" s="68"/>
      <c r="D994" s="374"/>
      <c r="E994" s="112"/>
      <c r="F994" s="112"/>
      <c r="G994" s="68"/>
      <c r="H994" s="603"/>
      <c r="I994" s="882"/>
      <c r="J994" s="883"/>
      <c r="K994" s="884"/>
      <c r="L994" s="884"/>
      <c r="M994" s="68"/>
    </row>
    <row r="995" spans="1:13" s="64" customFormat="1">
      <c r="A995" s="10"/>
      <c r="B995" s="111"/>
      <c r="C995" s="68"/>
      <c r="D995" s="374"/>
      <c r="E995" s="112"/>
      <c r="F995" s="112"/>
      <c r="G995" s="68"/>
      <c r="H995" s="603"/>
      <c r="I995" s="882"/>
      <c r="J995" s="883"/>
      <c r="K995" s="884"/>
      <c r="L995" s="884"/>
      <c r="M995" s="68"/>
    </row>
    <row r="996" spans="1:13" s="64" customFormat="1">
      <c r="A996" s="10"/>
      <c r="B996" s="111"/>
      <c r="C996" s="68"/>
      <c r="D996" s="374"/>
      <c r="E996" s="112"/>
      <c r="F996" s="112"/>
      <c r="G996" s="68"/>
      <c r="H996" s="603"/>
      <c r="I996" s="882"/>
      <c r="J996" s="883"/>
      <c r="K996" s="884"/>
      <c r="L996" s="884"/>
      <c r="M996" s="68"/>
    </row>
    <row r="997" spans="1:13" s="64" customFormat="1">
      <c r="A997" s="10"/>
      <c r="B997" s="111"/>
      <c r="C997" s="68"/>
      <c r="D997" s="374"/>
      <c r="E997" s="112"/>
      <c r="F997" s="112"/>
      <c r="G997" s="68"/>
      <c r="H997" s="603"/>
      <c r="I997" s="882"/>
      <c r="J997" s="883"/>
      <c r="K997" s="884"/>
      <c r="L997" s="884"/>
      <c r="M997" s="68"/>
    </row>
    <row r="998" spans="1:13" s="64" customFormat="1">
      <c r="A998" s="10"/>
      <c r="B998" s="111"/>
      <c r="C998" s="68"/>
      <c r="D998" s="374"/>
      <c r="E998" s="112"/>
      <c r="F998" s="112"/>
      <c r="G998" s="68"/>
      <c r="H998" s="603"/>
      <c r="I998" s="882"/>
      <c r="J998" s="883"/>
      <c r="K998" s="884"/>
      <c r="L998" s="884"/>
      <c r="M998" s="68"/>
    </row>
    <row r="999" spans="1:13" s="64" customFormat="1">
      <c r="A999" s="10"/>
      <c r="B999" s="111"/>
      <c r="C999" s="68"/>
      <c r="D999" s="374"/>
      <c r="E999" s="112"/>
      <c r="F999" s="112"/>
      <c r="G999" s="68"/>
      <c r="H999" s="603"/>
      <c r="I999" s="882"/>
      <c r="J999" s="883"/>
      <c r="K999" s="884"/>
      <c r="L999" s="884"/>
      <c r="M999" s="68"/>
    </row>
    <row r="1000" spans="1:13" s="64" customFormat="1">
      <c r="A1000" s="10"/>
      <c r="B1000" s="111"/>
      <c r="C1000" s="68"/>
      <c r="D1000" s="374"/>
      <c r="E1000" s="112"/>
      <c r="F1000" s="112"/>
      <c r="G1000" s="68"/>
      <c r="H1000" s="603"/>
      <c r="I1000" s="882"/>
      <c r="J1000" s="883"/>
      <c r="K1000" s="884"/>
      <c r="L1000" s="884"/>
      <c r="M1000" s="68"/>
    </row>
    <row r="1001" spans="1:13" s="64" customFormat="1">
      <c r="A1001" s="10"/>
      <c r="B1001" s="111"/>
      <c r="C1001" s="68"/>
      <c r="D1001" s="374"/>
      <c r="E1001" s="112"/>
      <c r="F1001" s="112"/>
      <c r="G1001" s="68"/>
      <c r="H1001" s="603"/>
      <c r="I1001" s="882"/>
      <c r="J1001" s="883"/>
      <c r="K1001" s="884"/>
      <c r="L1001" s="884"/>
      <c r="M1001" s="68"/>
    </row>
    <row r="1002" spans="1:13" s="64" customFormat="1">
      <c r="A1002" s="10"/>
      <c r="B1002" s="111"/>
      <c r="C1002" s="68"/>
      <c r="D1002" s="374"/>
      <c r="E1002" s="112"/>
      <c r="F1002" s="112"/>
      <c r="G1002" s="68"/>
      <c r="H1002" s="603"/>
      <c r="I1002" s="882"/>
      <c r="J1002" s="883"/>
      <c r="K1002" s="884"/>
      <c r="L1002" s="884"/>
      <c r="M1002" s="68"/>
    </row>
    <row r="1003" spans="1:13" s="64" customFormat="1">
      <c r="A1003" s="10"/>
      <c r="B1003" s="111"/>
      <c r="C1003" s="68"/>
      <c r="D1003" s="374"/>
      <c r="E1003" s="112"/>
      <c r="F1003" s="112"/>
      <c r="G1003" s="68"/>
      <c r="H1003" s="603"/>
      <c r="I1003" s="882"/>
      <c r="J1003" s="883"/>
      <c r="K1003" s="884"/>
      <c r="L1003" s="884"/>
      <c r="M1003" s="68"/>
    </row>
    <row r="1004" spans="1:13" s="64" customFormat="1">
      <c r="A1004" s="10"/>
      <c r="B1004" s="111"/>
      <c r="C1004" s="68"/>
      <c r="D1004" s="374"/>
      <c r="E1004" s="112"/>
      <c r="F1004" s="112"/>
      <c r="G1004" s="68"/>
      <c r="H1004" s="603"/>
      <c r="I1004" s="882"/>
      <c r="J1004" s="883"/>
      <c r="K1004" s="884"/>
      <c r="L1004" s="884"/>
      <c r="M1004" s="68"/>
    </row>
    <row r="1005" spans="1:13" s="64" customFormat="1">
      <c r="A1005" s="10"/>
      <c r="B1005" s="111"/>
      <c r="C1005" s="68"/>
      <c r="D1005" s="374"/>
      <c r="E1005" s="112"/>
      <c r="F1005" s="112"/>
      <c r="G1005" s="68"/>
      <c r="H1005" s="603"/>
      <c r="I1005" s="882"/>
      <c r="J1005" s="883"/>
      <c r="K1005" s="884"/>
      <c r="L1005" s="884"/>
      <c r="M1005" s="68"/>
    </row>
    <row r="1006" spans="1:13" s="64" customFormat="1">
      <c r="A1006" s="10"/>
      <c r="B1006" s="111"/>
      <c r="C1006" s="68"/>
      <c r="D1006" s="374"/>
      <c r="E1006" s="112"/>
      <c r="F1006" s="112"/>
      <c r="G1006" s="68"/>
      <c r="H1006" s="603"/>
      <c r="I1006" s="882"/>
      <c r="J1006" s="883"/>
      <c r="K1006" s="884"/>
      <c r="L1006" s="884"/>
      <c r="M1006" s="68"/>
    </row>
    <row r="1007" spans="1:13" s="64" customFormat="1">
      <c r="A1007" s="10"/>
      <c r="B1007" s="111"/>
      <c r="C1007" s="68"/>
      <c r="D1007" s="374"/>
      <c r="E1007" s="112"/>
      <c r="F1007" s="112"/>
      <c r="G1007" s="68"/>
      <c r="H1007" s="603"/>
      <c r="I1007" s="882"/>
      <c r="J1007" s="883"/>
      <c r="K1007" s="884"/>
      <c r="L1007" s="884"/>
      <c r="M1007" s="68"/>
    </row>
    <row r="1008" spans="1:13" s="64" customFormat="1">
      <c r="A1008" s="10"/>
      <c r="B1008" s="111"/>
      <c r="C1008" s="68"/>
      <c r="D1008" s="374"/>
      <c r="E1008" s="112"/>
      <c r="F1008" s="112"/>
      <c r="G1008" s="68"/>
      <c r="H1008" s="603"/>
      <c r="I1008" s="882"/>
      <c r="J1008" s="883"/>
      <c r="K1008" s="884"/>
      <c r="L1008" s="884"/>
      <c r="M1008" s="68"/>
    </row>
    <row r="1009" spans="1:13" s="64" customFormat="1">
      <c r="A1009" s="10"/>
      <c r="B1009" s="111"/>
      <c r="C1009" s="68"/>
      <c r="D1009" s="374"/>
      <c r="E1009" s="112"/>
      <c r="F1009" s="112"/>
      <c r="G1009" s="68"/>
      <c r="H1009" s="603"/>
      <c r="I1009" s="882"/>
      <c r="J1009" s="883"/>
      <c r="K1009" s="884"/>
      <c r="L1009" s="884"/>
      <c r="M1009" s="68"/>
    </row>
    <row r="1010" spans="1:13" s="64" customFormat="1">
      <c r="A1010" s="10"/>
      <c r="B1010" s="111"/>
      <c r="C1010" s="68"/>
      <c r="D1010" s="374"/>
      <c r="E1010" s="112"/>
      <c r="F1010" s="112"/>
      <c r="G1010" s="68"/>
      <c r="H1010" s="603"/>
      <c r="I1010" s="882"/>
      <c r="J1010" s="883"/>
      <c r="K1010" s="884"/>
      <c r="L1010" s="884"/>
      <c r="M1010" s="68"/>
    </row>
    <row r="1011" spans="1:13" s="64" customFormat="1">
      <c r="A1011" s="10"/>
      <c r="B1011" s="111"/>
      <c r="C1011" s="68"/>
      <c r="D1011" s="374"/>
      <c r="E1011" s="112"/>
      <c r="F1011" s="112"/>
      <c r="G1011" s="68"/>
      <c r="H1011" s="603"/>
      <c r="I1011" s="882"/>
      <c r="J1011" s="883"/>
      <c r="K1011" s="884"/>
      <c r="L1011" s="884"/>
      <c r="M1011" s="68"/>
    </row>
    <row r="1012" spans="1:13" s="64" customFormat="1">
      <c r="A1012" s="10"/>
      <c r="B1012" s="111"/>
      <c r="C1012" s="68"/>
      <c r="D1012" s="374"/>
      <c r="E1012" s="112"/>
      <c r="F1012" s="112"/>
      <c r="G1012" s="68"/>
      <c r="H1012" s="603"/>
      <c r="I1012" s="882"/>
      <c r="J1012" s="883"/>
      <c r="K1012" s="884"/>
      <c r="L1012" s="884"/>
      <c r="M1012" s="68"/>
    </row>
    <row r="1013" spans="1:13" s="64" customFormat="1">
      <c r="A1013" s="10"/>
      <c r="B1013" s="111"/>
      <c r="C1013" s="68"/>
      <c r="D1013" s="374"/>
      <c r="E1013" s="112"/>
      <c r="F1013" s="112"/>
      <c r="G1013" s="68"/>
      <c r="H1013" s="603"/>
      <c r="I1013" s="882"/>
      <c r="J1013" s="883"/>
      <c r="K1013" s="884"/>
      <c r="L1013" s="884"/>
      <c r="M1013" s="68"/>
    </row>
    <row r="1014" spans="1:13" s="64" customFormat="1">
      <c r="A1014" s="10"/>
      <c r="B1014" s="111"/>
      <c r="C1014" s="68"/>
      <c r="D1014" s="374"/>
      <c r="E1014" s="112"/>
      <c r="F1014" s="112"/>
      <c r="G1014" s="68"/>
      <c r="H1014" s="603"/>
      <c r="I1014" s="882"/>
      <c r="J1014" s="883"/>
      <c r="K1014" s="884"/>
      <c r="L1014" s="884"/>
      <c r="M1014" s="68"/>
    </row>
    <row r="1015" spans="1:13" s="64" customFormat="1">
      <c r="A1015" s="10"/>
      <c r="B1015" s="111"/>
      <c r="C1015" s="68"/>
      <c r="D1015" s="374"/>
      <c r="E1015" s="112"/>
      <c r="F1015" s="112"/>
      <c r="G1015" s="68"/>
      <c r="H1015" s="603"/>
      <c r="I1015" s="882"/>
      <c r="J1015" s="883"/>
      <c r="K1015" s="884"/>
      <c r="L1015" s="884"/>
      <c r="M1015" s="68"/>
    </row>
    <row r="1016" spans="1:13" s="64" customFormat="1">
      <c r="A1016" s="10"/>
      <c r="B1016" s="111"/>
      <c r="C1016" s="68"/>
      <c r="D1016" s="374"/>
      <c r="E1016" s="112"/>
      <c r="F1016" s="112"/>
      <c r="G1016" s="68"/>
      <c r="H1016" s="603"/>
      <c r="I1016" s="882"/>
      <c r="J1016" s="883"/>
      <c r="K1016" s="884"/>
      <c r="L1016" s="884"/>
      <c r="M1016" s="68"/>
    </row>
    <row r="1017" spans="1:13" s="64" customFormat="1">
      <c r="A1017" s="10"/>
      <c r="B1017" s="111"/>
      <c r="C1017" s="68"/>
      <c r="D1017" s="374"/>
      <c r="E1017" s="112"/>
      <c r="F1017" s="112"/>
      <c r="G1017" s="68"/>
      <c r="H1017" s="603"/>
      <c r="I1017" s="882"/>
      <c r="J1017" s="883"/>
      <c r="K1017" s="884"/>
      <c r="L1017" s="884"/>
      <c r="M1017" s="68"/>
    </row>
    <row r="1018" spans="1:13" s="64" customFormat="1">
      <c r="A1018" s="10"/>
      <c r="B1018" s="111"/>
      <c r="C1018" s="68"/>
      <c r="D1018" s="374"/>
      <c r="E1018" s="112"/>
      <c r="F1018" s="112"/>
      <c r="G1018" s="68"/>
      <c r="H1018" s="603"/>
      <c r="I1018" s="882"/>
      <c r="J1018" s="883"/>
      <c r="K1018" s="884"/>
      <c r="L1018" s="884"/>
      <c r="M1018" s="68"/>
    </row>
    <row r="1019" spans="1:13" s="64" customFormat="1">
      <c r="A1019" s="10"/>
      <c r="B1019" s="111"/>
      <c r="C1019" s="68"/>
      <c r="D1019" s="374"/>
      <c r="E1019" s="112"/>
      <c r="F1019" s="112"/>
      <c r="G1019" s="68"/>
      <c r="H1019" s="603"/>
      <c r="I1019" s="882"/>
      <c r="J1019" s="883"/>
      <c r="K1019" s="884"/>
      <c r="L1019" s="884"/>
      <c r="M1019" s="68"/>
    </row>
    <row r="1020" spans="1:13" s="64" customFormat="1">
      <c r="A1020" s="10"/>
      <c r="B1020" s="111"/>
      <c r="C1020" s="68"/>
      <c r="D1020" s="374"/>
      <c r="E1020" s="112"/>
      <c r="F1020" s="112"/>
      <c r="G1020" s="68"/>
      <c r="H1020" s="603"/>
      <c r="I1020" s="882"/>
      <c r="J1020" s="883"/>
      <c r="K1020" s="884"/>
      <c r="L1020" s="884"/>
      <c r="M1020" s="68"/>
    </row>
    <row r="1021" spans="1:13" s="64" customFormat="1">
      <c r="A1021" s="10"/>
      <c r="B1021" s="111"/>
      <c r="C1021" s="68"/>
      <c r="D1021" s="374"/>
      <c r="E1021" s="112"/>
      <c r="F1021" s="112"/>
      <c r="G1021" s="68"/>
      <c r="H1021" s="603"/>
      <c r="I1021" s="882"/>
      <c r="J1021" s="883"/>
      <c r="K1021" s="884"/>
      <c r="L1021" s="884"/>
      <c r="M1021" s="68"/>
    </row>
    <row r="1022" spans="1:13" s="64" customFormat="1">
      <c r="A1022" s="10"/>
      <c r="B1022" s="111"/>
      <c r="C1022" s="68"/>
      <c r="D1022" s="374"/>
      <c r="E1022" s="112"/>
      <c r="F1022" s="112"/>
      <c r="G1022" s="68"/>
      <c r="H1022" s="603"/>
      <c r="I1022" s="882"/>
      <c r="J1022" s="883"/>
      <c r="K1022" s="884"/>
      <c r="L1022" s="884"/>
      <c r="M1022" s="68"/>
    </row>
    <row r="1023" spans="1:13" s="64" customFormat="1">
      <c r="A1023" s="10"/>
      <c r="B1023" s="111"/>
      <c r="C1023" s="68"/>
      <c r="D1023" s="374"/>
      <c r="E1023" s="112"/>
      <c r="F1023" s="112"/>
      <c r="G1023" s="68"/>
      <c r="H1023" s="603"/>
      <c r="I1023" s="882"/>
      <c r="J1023" s="883"/>
      <c r="K1023" s="884"/>
      <c r="L1023" s="884"/>
      <c r="M1023" s="68"/>
    </row>
    <row r="1024" spans="1:13" s="64" customFormat="1">
      <c r="A1024" s="10"/>
      <c r="B1024" s="111"/>
      <c r="C1024" s="68"/>
      <c r="D1024" s="374"/>
      <c r="E1024" s="112"/>
      <c r="F1024" s="112"/>
      <c r="G1024" s="68"/>
      <c r="H1024" s="603"/>
      <c r="I1024" s="882"/>
      <c r="J1024" s="883"/>
      <c r="K1024" s="884"/>
      <c r="L1024" s="884"/>
      <c r="M1024" s="68"/>
    </row>
    <row r="1025" spans="1:13" s="64" customFormat="1">
      <c r="A1025" s="10"/>
      <c r="B1025" s="111"/>
      <c r="C1025" s="68"/>
      <c r="D1025" s="374"/>
      <c r="E1025" s="112"/>
      <c r="F1025" s="112"/>
      <c r="G1025" s="68"/>
      <c r="H1025" s="603"/>
      <c r="I1025" s="882"/>
      <c r="J1025" s="883"/>
      <c r="K1025" s="884"/>
      <c r="L1025" s="884"/>
      <c r="M1025" s="68"/>
    </row>
    <row r="1026" spans="1:13" s="64" customFormat="1">
      <c r="A1026" s="10"/>
      <c r="B1026" s="111"/>
      <c r="C1026" s="68"/>
      <c r="D1026" s="374"/>
      <c r="E1026" s="112"/>
      <c r="F1026" s="112"/>
      <c r="G1026" s="68"/>
      <c r="H1026" s="603"/>
      <c r="I1026" s="882"/>
      <c r="J1026" s="883"/>
      <c r="K1026" s="884"/>
      <c r="L1026" s="884"/>
      <c r="M1026" s="68"/>
    </row>
    <row r="1027" spans="1:13" s="64" customFormat="1">
      <c r="A1027" s="10"/>
      <c r="B1027" s="111"/>
      <c r="C1027" s="68"/>
      <c r="D1027" s="374"/>
      <c r="E1027" s="112"/>
      <c r="F1027" s="112"/>
      <c r="G1027" s="68"/>
      <c r="H1027" s="603"/>
      <c r="I1027" s="882"/>
      <c r="J1027" s="883"/>
      <c r="K1027" s="884"/>
      <c r="L1027" s="884"/>
      <c r="M1027" s="68"/>
    </row>
    <row r="1028" spans="1:13" s="64" customFormat="1">
      <c r="A1028" s="10"/>
      <c r="B1028" s="111"/>
      <c r="C1028" s="68"/>
      <c r="D1028" s="374"/>
      <c r="E1028" s="112"/>
      <c r="F1028" s="112"/>
      <c r="G1028" s="68"/>
      <c r="H1028" s="603"/>
      <c r="I1028" s="882"/>
      <c r="J1028" s="883"/>
      <c r="K1028" s="884"/>
      <c r="L1028" s="884"/>
      <c r="M1028" s="68"/>
    </row>
    <row r="1029" spans="1:13" s="64" customFormat="1">
      <c r="A1029" s="10"/>
      <c r="B1029" s="111"/>
      <c r="C1029" s="68"/>
      <c r="D1029" s="374"/>
      <c r="E1029" s="112"/>
      <c r="F1029" s="112"/>
      <c r="G1029" s="68"/>
      <c r="H1029" s="603"/>
      <c r="I1029" s="882"/>
      <c r="J1029" s="883"/>
      <c r="K1029" s="884"/>
      <c r="L1029" s="884"/>
      <c r="M1029" s="68"/>
    </row>
    <row r="1030" spans="1:13" s="64" customFormat="1">
      <c r="A1030" s="10"/>
      <c r="B1030" s="111"/>
      <c r="C1030" s="68"/>
      <c r="D1030" s="374"/>
      <c r="E1030" s="112"/>
      <c r="F1030" s="112"/>
      <c r="G1030" s="68"/>
      <c r="H1030" s="603"/>
      <c r="I1030" s="882"/>
      <c r="J1030" s="883"/>
      <c r="K1030" s="884"/>
      <c r="L1030" s="884"/>
      <c r="M1030" s="68"/>
    </row>
    <row r="1031" spans="1:13" s="64" customFormat="1">
      <c r="A1031" s="10"/>
      <c r="B1031" s="111"/>
      <c r="C1031" s="68"/>
      <c r="D1031" s="374"/>
      <c r="E1031" s="660"/>
      <c r="F1031" s="112"/>
      <c r="G1031" s="68"/>
      <c r="H1031" s="603"/>
      <c r="I1031" s="882"/>
      <c r="J1031" s="883"/>
      <c r="K1031" s="884"/>
      <c r="L1031" s="884"/>
      <c r="M1031" s="68"/>
    </row>
    <row r="1032" spans="1:13" s="64" customFormat="1">
      <c r="A1032" s="10"/>
      <c r="B1032" s="111"/>
      <c r="C1032" s="68"/>
      <c r="D1032" s="374"/>
      <c r="E1032" s="660"/>
      <c r="F1032" s="112"/>
      <c r="G1032" s="68"/>
      <c r="H1032" s="603"/>
      <c r="I1032" s="882"/>
      <c r="J1032" s="883"/>
      <c r="K1032" s="884"/>
      <c r="L1032" s="884"/>
      <c r="M1032" s="68"/>
    </row>
    <row r="1033" spans="1:13" s="64" customFormat="1">
      <c r="A1033" s="10"/>
      <c r="B1033" s="111"/>
      <c r="C1033" s="68"/>
      <c r="D1033" s="374"/>
      <c r="E1033" s="660"/>
      <c r="F1033" s="112"/>
      <c r="G1033" s="68"/>
      <c r="H1033" s="603"/>
      <c r="I1033" s="882"/>
      <c r="J1033" s="883"/>
      <c r="K1033" s="884"/>
      <c r="L1033" s="884"/>
      <c r="M1033" s="68"/>
    </row>
    <row r="1034" spans="1:13" s="64" customFormat="1">
      <c r="A1034" s="10"/>
      <c r="B1034" s="111"/>
      <c r="C1034" s="68"/>
      <c r="D1034" s="374"/>
      <c r="E1034" s="660"/>
      <c r="F1034" s="112"/>
      <c r="G1034" s="68"/>
      <c r="H1034" s="603"/>
      <c r="I1034" s="882"/>
      <c r="J1034" s="883"/>
      <c r="K1034" s="884"/>
      <c r="L1034" s="884"/>
      <c r="M1034" s="68"/>
    </row>
    <row r="1035" spans="1:13" s="64" customFormat="1">
      <c r="A1035" s="10"/>
      <c r="B1035" s="111"/>
      <c r="C1035" s="68"/>
      <c r="D1035" s="374"/>
      <c r="E1035" s="660"/>
      <c r="F1035" s="112"/>
      <c r="G1035" s="68"/>
      <c r="H1035" s="603"/>
      <c r="I1035" s="882"/>
      <c r="J1035" s="883"/>
      <c r="K1035" s="884"/>
      <c r="L1035" s="884"/>
      <c r="M1035" s="68"/>
    </row>
    <row r="1036" spans="1:13" s="64" customFormat="1">
      <c r="A1036" s="10"/>
      <c r="B1036" s="111"/>
      <c r="C1036" s="68"/>
      <c r="D1036" s="374"/>
      <c r="E1036" s="660"/>
      <c r="F1036" s="112"/>
      <c r="G1036" s="68"/>
      <c r="H1036" s="603"/>
      <c r="I1036" s="882"/>
      <c r="J1036" s="883"/>
      <c r="K1036" s="884"/>
      <c r="L1036" s="884"/>
      <c r="M1036" s="68"/>
    </row>
    <row r="1037" spans="1:13" s="64" customFormat="1">
      <c r="A1037" s="10"/>
      <c r="B1037" s="111"/>
      <c r="C1037" s="68"/>
      <c r="D1037" s="374"/>
      <c r="E1037" s="660"/>
      <c r="F1037" s="112"/>
      <c r="G1037" s="68"/>
      <c r="H1037" s="603"/>
      <c r="I1037" s="882"/>
      <c r="J1037" s="883"/>
      <c r="K1037" s="884"/>
      <c r="L1037" s="884"/>
      <c r="M1037" s="68"/>
    </row>
    <row r="1038" spans="1:13" s="64" customFormat="1">
      <c r="A1038" s="10"/>
      <c r="B1038" s="111"/>
      <c r="C1038" s="68"/>
      <c r="D1038" s="374"/>
      <c r="E1038" s="660"/>
      <c r="F1038" s="112"/>
      <c r="G1038" s="68"/>
      <c r="H1038" s="603"/>
      <c r="I1038" s="882"/>
      <c r="J1038" s="883"/>
      <c r="K1038" s="884"/>
      <c r="L1038" s="884"/>
      <c r="M1038" s="68"/>
    </row>
    <row r="1039" spans="1:13" s="64" customFormat="1">
      <c r="A1039" s="10"/>
      <c r="B1039" s="111"/>
      <c r="C1039" s="68"/>
      <c r="D1039" s="374"/>
      <c r="E1039" s="660"/>
      <c r="F1039" s="112"/>
      <c r="G1039" s="68"/>
      <c r="H1039" s="603"/>
      <c r="I1039" s="882"/>
      <c r="J1039" s="883"/>
      <c r="K1039" s="884"/>
      <c r="L1039" s="884"/>
      <c r="M1039" s="68"/>
    </row>
    <row r="1040" spans="1:13" s="64" customFormat="1">
      <c r="A1040" s="10"/>
      <c r="B1040" s="111"/>
      <c r="C1040" s="68"/>
      <c r="D1040" s="374"/>
      <c r="E1040" s="660"/>
      <c r="F1040" s="112"/>
      <c r="G1040" s="68"/>
      <c r="H1040" s="603"/>
      <c r="I1040" s="882"/>
      <c r="J1040" s="883"/>
      <c r="K1040" s="884"/>
      <c r="L1040" s="884"/>
      <c r="M1040" s="68"/>
    </row>
    <row r="1041" spans="1:13" s="64" customFormat="1">
      <c r="A1041" s="10"/>
      <c r="B1041" s="111"/>
      <c r="C1041" s="68"/>
      <c r="D1041" s="374"/>
      <c r="E1041" s="660"/>
      <c r="F1041" s="112"/>
      <c r="G1041" s="68"/>
      <c r="H1041" s="603"/>
      <c r="I1041" s="882"/>
      <c r="J1041" s="883"/>
      <c r="K1041" s="884"/>
      <c r="L1041" s="884"/>
      <c r="M1041" s="68"/>
    </row>
    <row r="1042" spans="1:13" s="64" customFormat="1">
      <c r="A1042" s="10"/>
      <c r="B1042" s="111"/>
      <c r="C1042" s="68"/>
      <c r="D1042" s="374"/>
      <c r="E1042" s="660"/>
      <c r="F1042" s="112"/>
      <c r="G1042" s="68"/>
      <c r="H1042" s="603"/>
      <c r="I1042" s="882"/>
      <c r="J1042" s="883"/>
      <c r="K1042" s="884"/>
      <c r="L1042" s="884"/>
      <c r="M1042" s="68"/>
    </row>
    <row r="1043" spans="1:13" s="64" customFormat="1">
      <c r="A1043" s="10"/>
      <c r="B1043" s="111"/>
      <c r="C1043" s="68"/>
      <c r="D1043" s="374"/>
      <c r="E1043" s="660"/>
      <c r="F1043" s="112"/>
      <c r="G1043" s="68"/>
      <c r="H1043" s="603"/>
      <c r="I1043" s="882"/>
      <c r="J1043" s="883"/>
      <c r="K1043" s="884"/>
      <c r="L1043" s="884"/>
      <c r="M1043" s="68"/>
    </row>
    <row r="1044" spans="1:13" s="64" customFormat="1">
      <c r="A1044" s="10"/>
      <c r="B1044" s="111"/>
      <c r="C1044" s="68"/>
      <c r="D1044" s="374"/>
      <c r="E1044" s="660"/>
      <c r="F1044" s="112"/>
      <c r="G1044" s="68"/>
      <c r="H1044" s="603"/>
      <c r="I1044" s="882"/>
      <c r="J1044" s="883"/>
      <c r="K1044" s="884"/>
      <c r="L1044" s="884"/>
      <c r="M1044" s="68"/>
    </row>
    <row r="1045" spans="1:13" s="64" customFormat="1">
      <c r="A1045" s="10"/>
      <c r="B1045" s="111"/>
      <c r="C1045" s="68"/>
      <c r="D1045" s="374"/>
      <c r="E1045" s="660"/>
      <c r="F1045" s="112"/>
      <c r="G1045" s="68"/>
      <c r="H1045" s="603"/>
      <c r="I1045" s="882"/>
      <c r="J1045" s="883"/>
      <c r="K1045" s="884"/>
      <c r="L1045" s="884"/>
      <c r="M1045" s="68"/>
    </row>
    <row r="1046" spans="1:13" s="64" customFormat="1">
      <c r="A1046" s="10"/>
      <c r="B1046" s="111"/>
      <c r="C1046" s="68"/>
      <c r="D1046" s="374"/>
      <c r="E1046" s="660"/>
      <c r="F1046" s="112"/>
      <c r="G1046" s="68"/>
      <c r="H1046" s="603"/>
      <c r="I1046" s="882"/>
      <c r="J1046" s="883"/>
      <c r="K1046" s="884"/>
      <c r="L1046" s="884"/>
      <c r="M1046" s="68"/>
    </row>
    <row r="1047" spans="1:13" s="64" customFormat="1">
      <c r="A1047" s="10"/>
      <c r="B1047" s="111"/>
      <c r="C1047" s="68"/>
      <c r="D1047" s="374"/>
      <c r="E1047" s="660"/>
      <c r="F1047" s="112"/>
      <c r="G1047" s="68"/>
      <c r="H1047" s="603"/>
      <c r="I1047" s="882"/>
      <c r="J1047" s="883"/>
      <c r="K1047" s="884"/>
      <c r="L1047" s="884"/>
      <c r="M1047" s="68"/>
    </row>
    <row r="1048" spans="1:13" s="64" customFormat="1">
      <c r="A1048" s="10"/>
      <c r="B1048" s="111"/>
      <c r="C1048" s="68"/>
      <c r="D1048" s="374"/>
      <c r="E1048" s="660"/>
      <c r="F1048" s="112"/>
      <c r="G1048" s="68"/>
      <c r="H1048" s="603"/>
      <c r="I1048" s="882"/>
      <c r="J1048" s="883"/>
      <c r="K1048" s="884"/>
      <c r="L1048" s="884"/>
      <c r="M1048" s="68"/>
    </row>
    <row r="1049" spans="1:13" s="64" customFormat="1">
      <c r="A1049" s="10"/>
      <c r="B1049" s="111"/>
      <c r="C1049" s="68"/>
      <c r="D1049" s="374"/>
      <c r="E1049" s="660"/>
      <c r="F1049" s="112"/>
      <c r="G1049" s="68"/>
      <c r="H1049" s="603"/>
      <c r="I1049" s="882"/>
      <c r="J1049" s="883"/>
      <c r="K1049" s="884"/>
      <c r="L1049" s="884"/>
      <c r="M1049" s="68"/>
    </row>
    <row r="1050" spans="1:13" s="64" customFormat="1">
      <c r="A1050" s="10"/>
      <c r="B1050" s="111"/>
      <c r="C1050" s="68"/>
      <c r="D1050" s="374"/>
      <c r="E1050" s="660"/>
      <c r="F1050" s="112"/>
      <c r="G1050" s="68"/>
      <c r="H1050" s="603"/>
      <c r="I1050" s="882"/>
      <c r="J1050" s="883"/>
      <c r="K1050" s="884"/>
      <c r="L1050" s="884"/>
      <c r="M1050" s="68"/>
    </row>
    <row r="1051" spans="1:13" s="64" customFormat="1">
      <c r="A1051" s="10"/>
      <c r="B1051" s="111"/>
      <c r="C1051" s="68"/>
      <c r="D1051" s="374"/>
      <c r="E1051" s="660"/>
      <c r="F1051" s="112"/>
      <c r="G1051" s="68"/>
      <c r="H1051" s="603"/>
      <c r="I1051" s="882"/>
      <c r="J1051" s="883"/>
      <c r="K1051" s="884"/>
      <c r="L1051" s="884"/>
      <c r="M1051" s="68"/>
    </row>
    <row r="1052" spans="1:13" s="64" customFormat="1">
      <c r="A1052" s="10"/>
      <c r="B1052" s="111"/>
      <c r="C1052" s="68"/>
      <c r="D1052" s="374"/>
      <c r="E1052" s="660"/>
      <c r="F1052" s="112"/>
      <c r="G1052" s="68"/>
      <c r="H1052" s="603"/>
      <c r="I1052" s="882"/>
      <c r="J1052" s="883"/>
      <c r="K1052" s="884"/>
      <c r="L1052" s="884"/>
      <c r="M1052" s="68"/>
    </row>
    <row r="1053" spans="1:13" s="64" customFormat="1">
      <c r="A1053" s="10"/>
      <c r="B1053" s="111"/>
      <c r="C1053" s="68"/>
      <c r="D1053" s="374"/>
      <c r="E1053" s="660"/>
      <c r="F1053" s="112"/>
      <c r="G1053" s="68"/>
      <c r="H1053" s="603"/>
      <c r="I1053" s="882"/>
      <c r="J1053" s="883"/>
      <c r="K1053" s="884"/>
      <c r="L1053" s="884"/>
      <c r="M1053" s="68"/>
    </row>
    <row r="1054" spans="1:13" s="64" customFormat="1">
      <c r="A1054" s="10"/>
      <c r="B1054" s="111"/>
      <c r="C1054" s="68"/>
      <c r="D1054" s="374"/>
      <c r="E1054" s="660"/>
      <c r="F1054" s="112"/>
      <c r="G1054" s="68"/>
      <c r="H1054" s="603"/>
      <c r="I1054" s="882"/>
      <c r="J1054" s="883"/>
      <c r="K1054" s="884"/>
      <c r="L1054" s="884"/>
      <c r="M1054" s="68"/>
    </row>
    <row r="1055" spans="1:13" s="64" customFormat="1">
      <c r="A1055" s="10"/>
      <c r="B1055" s="111"/>
      <c r="C1055" s="68"/>
      <c r="D1055" s="374"/>
      <c r="E1055" s="660"/>
      <c r="F1055" s="112"/>
      <c r="G1055" s="68"/>
      <c r="H1055" s="603"/>
      <c r="I1055" s="882"/>
      <c r="J1055" s="883"/>
      <c r="K1055" s="884"/>
      <c r="L1055" s="884"/>
      <c r="M1055" s="68"/>
    </row>
    <row r="1056" spans="1:13" s="64" customFormat="1">
      <c r="A1056" s="10"/>
      <c r="B1056" s="111"/>
      <c r="C1056" s="68"/>
      <c r="D1056" s="374"/>
      <c r="E1056" s="660"/>
      <c r="F1056" s="112"/>
      <c r="G1056" s="68"/>
      <c r="H1056" s="603"/>
      <c r="I1056" s="882"/>
      <c r="J1056" s="883"/>
      <c r="K1056" s="884"/>
      <c r="L1056" s="884"/>
      <c r="M1056" s="68"/>
    </row>
    <row r="1057" spans="1:13" s="64" customFormat="1">
      <c r="A1057" s="10"/>
      <c r="B1057" s="111"/>
      <c r="C1057" s="68"/>
      <c r="D1057" s="374"/>
      <c r="E1057" s="660"/>
      <c r="F1057" s="112"/>
      <c r="G1057" s="68"/>
      <c r="H1057" s="603"/>
      <c r="I1057" s="882"/>
      <c r="J1057" s="883"/>
      <c r="K1057" s="884"/>
      <c r="L1057" s="884"/>
      <c r="M1057" s="68"/>
    </row>
    <row r="1058" spans="1:13" s="64" customFormat="1">
      <c r="A1058" s="10"/>
      <c r="B1058" s="111"/>
      <c r="C1058" s="68"/>
      <c r="D1058" s="374"/>
      <c r="E1058" s="660"/>
      <c r="F1058" s="112"/>
      <c r="G1058" s="68"/>
      <c r="H1058" s="603"/>
      <c r="I1058" s="882"/>
      <c r="J1058" s="883"/>
      <c r="K1058" s="884"/>
      <c r="L1058" s="884"/>
      <c r="M1058" s="68"/>
    </row>
    <row r="1059" spans="1:13" s="64" customFormat="1">
      <c r="A1059" s="10"/>
      <c r="B1059" s="111"/>
      <c r="C1059" s="68"/>
      <c r="D1059" s="374"/>
      <c r="E1059" s="660"/>
      <c r="F1059" s="112"/>
      <c r="G1059" s="68"/>
      <c r="H1059" s="603"/>
      <c r="I1059" s="882"/>
      <c r="J1059" s="883"/>
      <c r="K1059" s="884"/>
      <c r="L1059" s="884"/>
      <c r="M1059" s="68"/>
    </row>
    <row r="1060" spans="1:13" s="64" customFormat="1">
      <c r="A1060" s="10"/>
      <c r="B1060" s="111"/>
      <c r="C1060" s="68"/>
      <c r="D1060" s="374"/>
      <c r="E1060" s="660"/>
      <c r="F1060" s="112"/>
      <c r="G1060" s="68"/>
      <c r="H1060" s="603"/>
      <c r="I1060" s="882"/>
      <c r="J1060" s="883"/>
      <c r="K1060" s="884"/>
      <c r="L1060" s="884"/>
      <c r="M1060" s="68"/>
    </row>
    <row r="1061" spans="1:13" s="64" customFormat="1">
      <c r="A1061" s="10"/>
      <c r="B1061" s="111"/>
      <c r="C1061" s="68"/>
      <c r="D1061" s="374"/>
      <c r="E1061" s="660"/>
      <c r="F1061" s="112"/>
      <c r="G1061" s="68"/>
      <c r="H1061" s="603"/>
      <c r="I1061" s="882"/>
      <c r="J1061" s="883"/>
      <c r="K1061" s="884"/>
      <c r="L1061" s="884"/>
      <c r="M1061" s="68"/>
    </row>
    <row r="1062" spans="1:13" s="64" customFormat="1">
      <c r="A1062" s="10"/>
      <c r="B1062" s="111"/>
      <c r="C1062" s="68"/>
      <c r="D1062" s="374"/>
      <c r="E1062" s="660"/>
      <c r="F1062" s="112"/>
      <c r="G1062" s="68"/>
      <c r="H1062" s="603"/>
      <c r="I1062" s="882"/>
      <c r="J1062" s="883"/>
      <c r="K1062" s="884"/>
      <c r="L1062" s="884"/>
      <c r="M1062" s="68"/>
    </row>
    <row r="1063" spans="1:13" s="64" customFormat="1">
      <c r="A1063" s="10"/>
      <c r="B1063" s="111"/>
      <c r="C1063" s="68"/>
      <c r="D1063" s="374"/>
      <c r="E1063" s="660"/>
      <c r="F1063" s="112"/>
      <c r="G1063" s="68"/>
      <c r="H1063" s="603"/>
      <c r="I1063" s="882"/>
      <c r="J1063" s="883"/>
      <c r="K1063" s="884"/>
      <c r="L1063" s="884"/>
      <c r="M1063" s="68"/>
    </row>
    <row r="1064" spans="1:13" s="64" customFormat="1">
      <c r="A1064" s="10"/>
      <c r="B1064" s="111"/>
      <c r="C1064" s="68"/>
      <c r="D1064" s="374"/>
      <c r="E1064" s="660"/>
      <c r="F1064" s="112"/>
      <c r="G1064" s="68"/>
      <c r="H1064" s="603"/>
      <c r="I1064" s="882"/>
      <c r="J1064" s="883"/>
      <c r="K1064" s="884"/>
      <c r="L1064" s="884"/>
      <c r="M1064" s="68"/>
    </row>
    <row r="1065" spans="1:13" s="64" customFormat="1">
      <c r="A1065" s="10"/>
      <c r="B1065" s="111"/>
      <c r="C1065" s="68"/>
      <c r="D1065" s="374"/>
      <c r="E1065" s="660"/>
      <c r="F1065" s="112"/>
      <c r="G1065" s="68"/>
      <c r="H1065" s="603"/>
      <c r="I1065" s="882"/>
      <c r="J1065" s="883"/>
      <c r="K1065" s="884"/>
      <c r="L1065" s="884"/>
      <c r="M1065" s="68"/>
    </row>
    <row r="1066" spans="1:13" s="64" customFormat="1">
      <c r="A1066" s="10"/>
      <c r="B1066" s="111"/>
      <c r="C1066" s="68"/>
      <c r="D1066" s="374"/>
      <c r="E1066" s="660"/>
      <c r="F1066" s="112"/>
      <c r="G1066" s="68"/>
      <c r="H1066" s="603"/>
      <c r="I1066" s="882"/>
      <c r="J1066" s="883"/>
      <c r="K1066" s="884"/>
      <c r="L1066" s="884"/>
      <c r="M1066" s="68"/>
    </row>
    <row r="1067" spans="1:13" s="64" customFormat="1">
      <c r="A1067" s="10"/>
      <c r="B1067" s="111"/>
      <c r="C1067" s="68"/>
      <c r="D1067" s="374"/>
      <c r="E1067" s="660"/>
      <c r="F1067" s="112"/>
      <c r="G1067" s="68"/>
      <c r="H1067" s="603"/>
      <c r="I1067" s="882"/>
      <c r="J1067" s="883"/>
      <c r="K1067" s="884"/>
      <c r="L1067" s="884"/>
      <c r="M1067" s="68"/>
    </row>
    <row r="1068" spans="1:13" s="64" customFormat="1">
      <c r="A1068" s="10"/>
      <c r="B1068" s="111"/>
      <c r="C1068" s="68"/>
      <c r="D1068" s="374"/>
      <c r="E1068" s="660"/>
      <c r="F1068" s="112"/>
      <c r="G1068" s="68"/>
      <c r="H1068" s="603"/>
      <c r="I1068" s="882"/>
      <c r="J1068" s="883"/>
      <c r="K1068" s="884"/>
      <c r="L1068" s="884"/>
      <c r="M1068" s="68"/>
    </row>
    <row r="1069" spans="1:13" s="64" customFormat="1">
      <c r="A1069" s="10"/>
      <c r="B1069" s="111"/>
      <c r="C1069" s="68"/>
      <c r="D1069" s="374"/>
      <c r="E1069" s="660"/>
      <c r="F1069" s="112"/>
      <c r="G1069" s="68"/>
      <c r="H1069" s="603"/>
      <c r="I1069" s="882"/>
      <c r="J1069" s="883"/>
      <c r="K1069" s="884"/>
      <c r="L1069" s="884"/>
      <c r="M1069" s="68"/>
    </row>
    <row r="1070" spans="1:13" s="64" customFormat="1">
      <c r="A1070" s="10"/>
      <c r="B1070" s="111"/>
      <c r="C1070" s="68"/>
      <c r="D1070" s="374"/>
      <c r="E1070" s="660"/>
      <c r="F1070" s="112"/>
      <c r="G1070" s="68"/>
      <c r="H1070" s="603"/>
      <c r="I1070" s="882"/>
      <c r="J1070" s="883"/>
      <c r="K1070" s="884"/>
      <c r="L1070" s="884"/>
      <c r="M1070" s="68"/>
    </row>
    <row r="1071" spans="1:13" s="64" customFormat="1">
      <c r="A1071" s="10"/>
      <c r="B1071" s="111"/>
      <c r="C1071" s="68"/>
      <c r="D1071" s="374"/>
      <c r="E1071" s="660"/>
      <c r="F1071" s="112"/>
      <c r="G1071" s="68"/>
      <c r="H1071" s="603"/>
      <c r="I1071" s="882"/>
      <c r="J1071" s="883"/>
      <c r="K1071" s="884"/>
      <c r="L1071" s="884"/>
      <c r="M1071" s="68"/>
    </row>
    <row r="1072" spans="1:13" s="64" customFormat="1">
      <c r="A1072" s="10"/>
      <c r="B1072" s="111"/>
      <c r="C1072" s="68"/>
      <c r="D1072" s="374"/>
      <c r="E1072" s="660"/>
      <c r="F1072" s="112"/>
      <c r="G1072" s="68"/>
      <c r="H1072" s="603"/>
      <c r="I1072" s="882"/>
      <c r="J1072" s="883"/>
      <c r="K1072" s="884"/>
      <c r="L1072" s="884"/>
      <c r="M1072" s="68"/>
    </row>
    <row r="1073" spans="1:13" s="64" customFormat="1">
      <c r="A1073" s="10"/>
      <c r="B1073" s="111"/>
      <c r="C1073" s="68"/>
      <c r="D1073" s="374"/>
      <c r="E1073" s="660"/>
      <c r="F1073" s="112"/>
      <c r="G1073" s="68"/>
      <c r="H1073" s="603"/>
      <c r="I1073" s="882"/>
      <c r="J1073" s="883"/>
      <c r="K1073" s="884"/>
      <c r="L1073" s="884"/>
      <c r="M1073" s="68"/>
    </row>
    <row r="1074" spans="1:13" s="64" customFormat="1">
      <c r="A1074" s="10"/>
      <c r="B1074" s="111"/>
      <c r="C1074" s="68"/>
      <c r="D1074" s="374"/>
      <c r="E1074" s="660"/>
      <c r="F1074" s="112"/>
      <c r="G1074" s="68"/>
      <c r="H1074" s="603"/>
      <c r="I1074" s="882"/>
      <c r="J1074" s="883"/>
      <c r="K1074" s="884"/>
      <c r="L1074" s="884"/>
      <c r="M1074" s="68"/>
    </row>
    <row r="1075" spans="1:13" s="64" customFormat="1">
      <c r="A1075" s="10"/>
      <c r="B1075" s="111"/>
      <c r="C1075" s="68"/>
      <c r="D1075" s="374"/>
      <c r="E1075" s="660"/>
      <c r="F1075" s="112"/>
      <c r="G1075" s="68"/>
      <c r="H1075" s="603"/>
      <c r="I1075" s="882"/>
      <c r="J1075" s="883"/>
      <c r="K1075" s="884"/>
      <c r="L1075" s="884"/>
      <c r="M1075" s="68"/>
    </row>
    <row r="1076" spans="1:13" s="64" customFormat="1">
      <c r="A1076" s="10"/>
      <c r="B1076" s="111"/>
      <c r="C1076" s="68"/>
      <c r="D1076" s="374"/>
      <c r="E1076" s="660"/>
      <c r="F1076" s="112"/>
      <c r="G1076" s="68"/>
      <c r="H1076" s="603"/>
      <c r="I1076" s="882"/>
      <c r="J1076" s="883"/>
      <c r="K1076" s="884"/>
      <c r="L1076" s="884"/>
      <c r="M1076" s="68"/>
    </row>
    <row r="1077" spans="1:13" s="64" customFormat="1">
      <c r="A1077" s="10"/>
      <c r="B1077" s="111"/>
      <c r="C1077" s="68"/>
      <c r="D1077" s="374"/>
      <c r="E1077" s="660"/>
      <c r="F1077" s="112"/>
      <c r="G1077" s="68"/>
      <c r="H1077" s="603"/>
      <c r="I1077" s="882"/>
      <c r="J1077" s="883"/>
      <c r="K1077" s="884"/>
      <c r="L1077" s="884"/>
      <c r="M1077" s="68"/>
    </row>
    <row r="1078" spans="1:13" s="64" customFormat="1">
      <c r="A1078" s="10"/>
      <c r="B1078" s="111"/>
      <c r="C1078" s="68"/>
      <c r="D1078" s="374"/>
      <c r="E1078" s="660"/>
      <c r="F1078" s="112"/>
      <c r="G1078" s="68"/>
      <c r="H1078" s="603"/>
      <c r="I1078" s="882"/>
      <c r="J1078" s="883"/>
      <c r="K1078" s="884"/>
      <c r="L1078" s="884"/>
      <c r="M1078" s="68"/>
    </row>
    <row r="1079" spans="1:13" s="64" customFormat="1">
      <c r="A1079" s="10"/>
      <c r="B1079" s="111"/>
      <c r="C1079" s="68"/>
      <c r="D1079" s="374"/>
      <c r="E1079" s="660"/>
      <c r="F1079" s="112"/>
      <c r="G1079" s="68"/>
      <c r="H1079" s="603"/>
      <c r="I1079" s="882"/>
      <c r="J1079" s="883"/>
      <c r="K1079" s="884"/>
      <c r="L1079" s="884"/>
      <c r="M1079" s="68"/>
    </row>
    <row r="1080" spans="1:13" s="64" customFormat="1">
      <c r="A1080" s="10"/>
      <c r="B1080" s="111"/>
      <c r="C1080" s="68"/>
      <c r="D1080" s="374"/>
      <c r="E1080" s="660"/>
      <c r="F1080" s="112"/>
      <c r="G1080" s="68"/>
      <c r="H1080" s="603"/>
      <c r="I1080" s="882"/>
      <c r="J1080" s="883"/>
      <c r="K1080" s="884"/>
      <c r="L1080" s="884"/>
      <c r="M1080" s="68"/>
    </row>
    <row r="1081" spans="1:13" s="64" customFormat="1">
      <c r="A1081" s="10"/>
      <c r="B1081" s="111"/>
      <c r="C1081" s="68"/>
      <c r="D1081" s="374"/>
      <c r="E1081" s="660"/>
      <c r="F1081" s="112"/>
      <c r="G1081" s="68"/>
      <c r="H1081" s="603"/>
      <c r="I1081" s="882"/>
      <c r="J1081" s="883"/>
      <c r="K1081" s="884"/>
      <c r="L1081" s="884"/>
      <c r="M1081" s="68"/>
    </row>
    <row r="1082" spans="1:13" s="64" customFormat="1">
      <c r="A1082" s="10"/>
      <c r="B1082" s="111"/>
      <c r="C1082" s="68"/>
      <c r="D1082" s="374"/>
      <c r="E1082" s="660"/>
      <c r="F1082" s="112"/>
      <c r="G1082" s="68"/>
      <c r="H1082" s="603"/>
      <c r="I1082" s="882"/>
      <c r="J1082" s="883"/>
      <c r="K1082" s="884"/>
      <c r="L1082" s="884"/>
      <c r="M1082" s="68"/>
    </row>
    <row r="1083" spans="1:13" s="64" customFormat="1">
      <c r="A1083" s="10"/>
      <c r="B1083" s="111"/>
      <c r="C1083" s="68"/>
      <c r="D1083" s="374"/>
      <c r="E1083" s="660"/>
      <c r="F1083" s="112"/>
      <c r="G1083" s="68"/>
      <c r="H1083" s="603"/>
      <c r="I1083" s="882"/>
      <c r="J1083" s="883"/>
      <c r="K1083" s="884"/>
      <c r="L1083" s="884"/>
      <c r="M1083" s="68"/>
    </row>
    <row r="1084" spans="1:13" s="64" customFormat="1">
      <c r="A1084" s="10"/>
      <c r="B1084" s="111"/>
      <c r="C1084" s="68"/>
      <c r="D1084" s="374"/>
      <c r="E1084" s="660"/>
      <c r="F1084" s="112"/>
      <c r="G1084" s="68"/>
      <c r="H1084" s="603"/>
      <c r="I1084" s="882"/>
      <c r="J1084" s="883"/>
      <c r="K1084" s="884"/>
      <c r="L1084" s="884"/>
      <c r="M1084" s="68"/>
    </row>
    <row r="1085" spans="1:13" s="64" customFormat="1">
      <c r="A1085" s="10"/>
      <c r="B1085" s="111"/>
      <c r="C1085" s="68"/>
      <c r="D1085" s="374"/>
      <c r="E1085" s="660"/>
      <c r="F1085" s="112"/>
      <c r="G1085" s="68"/>
      <c r="H1085" s="603"/>
      <c r="I1085" s="882"/>
      <c r="J1085" s="883"/>
      <c r="K1085" s="884"/>
      <c r="L1085" s="884"/>
      <c r="M1085" s="68"/>
    </row>
    <row r="1086" spans="1:13" s="64" customFormat="1">
      <c r="A1086" s="10"/>
      <c r="B1086" s="111"/>
      <c r="C1086" s="68"/>
      <c r="D1086" s="374"/>
      <c r="E1086" s="660"/>
      <c r="F1086" s="112"/>
      <c r="G1086" s="68"/>
      <c r="H1086" s="603"/>
      <c r="I1086" s="882"/>
      <c r="J1086" s="883"/>
      <c r="K1086" s="884"/>
      <c r="L1086" s="884"/>
      <c r="M1086" s="68"/>
    </row>
    <row r="1087" spans="1:13" s="64" customFormat="1">
      <c r="A1087" s="10"/>
      <c r="B1087" s="111"/>
      <c r="C1087" s="68"/>
      <c r="D1087" s="374"/>
      <c r="E1087" s="660"/>
      <c r="F1087" s="112"/>
      <c r="G1087" s="68"/>
      <c r="H1087" s="603"/>
      <c r="I1087" s="882"/>
      <c r="J1087" s="883"/>
      <c r="K1087" s="884"/>
      <c r="L1087" s="884"/>
      <c r="M1087" s="68"/>
    </row>
    <row r="1088" spans="1:13" s="64" customFormat="1">
      <c r="A1088" s="10"/>
      <c r="B1088" s="111"/>
      <c r="C1088" s="68"/>
      <c r="D1088" s="374"/>
      <c r="E1088" s="660"/>
      <c r="F1088" s="112"/>
      <c r="G1088" s="68"/>
      <c r="H1088" s="603"/>
      <c r="I1088" s="882"/>
      <c r="J1088" s="883"/>
      <c r="K1088" s="884"/>
      <c r="L1088" s="884"/>
      <c r="M1088" s="68"/>
    </row>
    <row r="1089" spans="1:13" s="64" customFormat="1">
      <c r="A1089" s="10"/>
      <c r="B1089" s="111"/>
      <c r="C1089" s="68"/>
      <c r="D1089" s="374"/>
      <c r="E1089" s="660"/>
      <c r="F1089" s="112"/>
      <c r="G1089" s="68"/>
      <c r="H1089" s="603"/>
      <c r="I1089" s="882"/>
      <c r="J1089" s="883"/>
      <c r="K1089" s="884"/>
      <c r="L1089" s="884"/>
      <c r="M1089" s="68"/>
    </row>
    <row r="1090" spans="1:13" s="64" customFormat="1">
      <c r="A1090" s="10"/>
      <c r="B1090" s="111"/>
      <c r="C1090" s="68"/>
      <c r="D1090" s="374"/>
      <c r="E1090" s="660"/>
      <c r="F1090" s="112"/>
      <c r="G1090" s="68"/>
      <c r="H1090" s="603"/>
      <c r="I1090" s="882"/>
      <c r="J1090" s="883"/>
      <c r="K1090" s="884"/>
      <c r="L1090" s="884"/>
      <c r="M1090" s="68"/>
    </row>
    <row r="1091" spans="1:13" s="64" customFormat="1">
      <c r="A1091" s="10"/>
      <c r="B1091" s="111"/>
      <c r="C1091" s="68"/>
      <c r="D1091" s="374"/>
      <c r="E1091" s="660"/>
      <c r="F1091" s="112"/>
      <c r="G1091" s="68"/>
      <c r="H1091" s="603"/>
      <c r="I1091" s="882"/>
      <c r="J1091" s="883"/>
      <c r="K1091" s="884"/>
      <c r="L1091" s="884"/>
      <c r="M1091" s="68"/>
    </row>
    <row r="1092" spans="1:13" s="64" customFormat="1">
      <c r="A1092" s="10"/>
      <c r="B1092" s="111"/>
      <c r="C1092" s="68"/>
      <c r="D1092" s="374"/>
      <c r="E1092" s="660"/>
      <c r="F1092" s="112"/>
      <c r="G1092" s="68"/>
      <c r="H1092" s="603"/>
      <c r="I1092" s="882"/>
      <c r="J1092" s="883"/>
      <c r="K1092" s="884"/>
      <c r="L1092" s="884"/>
      <c r="M1092" s="68"/>
    </row>
    <row r="1093" spans="1:13" s="64" customFormat="1">
      <c r="A1093" s="10"/>
      <c r="B1093" s="111"/>
      <c r="C1093" s="68"/>
      <c r="D1093" s="374"/>
      <c r="E1093" s="660"/>
      <c r="F1093" s="112"/>
      <c r="G1093" s="68"/>
      <c r="H1093" s="603"/>
      <c r="I1093" s="882"/>
      <c r="J1093" s="883"/>
      <c r="K1093" s="884"/>
      <c r="L1093" s="884"/>
      <c r="M1093" s="68"/>
    </row>
    <row r="1094" spans="1:13" s="64" customFormat="1">
      <c r="A1094" s="10"/>
      <c r="B1094" s="111"/>
      <c r="C1094" s="68"/>
      <c r="D1094" s="374"/>
      <c r="E1094" s="660"/>
      <c r="F1094" s="112"/>
      <c r="G1094" s="68"/>
      <c r="H1094" s="603"/>
      <c r="I1094" s="882"/>
      <c r="J1094" s="883"/>
      <c r="K1094" s="884"/>
      <c r="L1094" s="884"/>
      <c r="M1094" s="68"/>
    </row>
    <row r="1095" spans="1:13" s="64" customFormat="1">
      <c r="A1095" s="10"/>
      <c r="B1095" s="111"/>
      <c r="C1095" s="68"/>
      <c r="D1095" s="374"/>
      <c r="E1095" s="660"/>
      <c r="F1095" s="112"/>
      <c r="G1095" s="68"/>
      <c r="H1095" s="603"/>
      <c r="I1095" s="882"/>
      <c r="J1095" s="883"/>
      <c r="K1095" s="884"/>
      <c r="L1095" s="884"/>
      <c r="M1095" s="68"/>
    </row>
    <row r="1096" spans="1:13" s="64" customFormat="1">
      <c r="A1096" s="10"/>
      <c r="B1096" s="111"/>
      <c r="C1096" s="68"/>
      <c r="D1096" s="374"/>
      <c r="E1096" s="660"/>
      <c r="F1096" s="112"/>
      <c r="G1096" s="68"/>
      <c r="H1096" s="603"/>
      <c r="I1096" s="882"/>
      <c r="J1096" s="883"/>
      <c r="K1096" s="884"/>
      <c r="L1096" s="884"/>
      <c r="M1096" s="68"/>
    </row>
    <row r="1097" spans="1:13" s="64" customFormat="1">
      <c r="A1097" s="10"/>
      <c r="B1097" s="111"/>
      <c r="C1097" s="68"/>
      <c r="D1097" s="374"/>
      <c r="E1097" s="660"/>
      <c r="F1097" s="112"/>
      <c r="G1097" s="68"/>
      <c r="H1097" s="603"/>
      <c r="I1097" s="882"/>
      <c r="J1097" s="883"/>
      <c r="K1097" s="884"/>
      <c r="L1097" s="884"/>
      <c r="M1097" s="68"/>
    </row>
    <row r="1098" spans="1:13" s="64" customFormat="1">
      <c r="A1098" s="10"/>
      <c r="B1098" s="111"/>
      <c r="C1098" s="68"/>
      <c r="D1098" s="374"/>
      <c r="E1098" s="660"/>
      <c r="F1098" s="112"/>
      <c r="G1098" s="68"/>
      <c r="H1098" s="603"/>
      <c r="I1098" s="882"/>
      <c r="J1098" s="883"/>
      <c r="K1098" s="884"/>
      <c r="L1098" s="884"/>
      <c r="M1098" s="68"/>
    </row>
    <row r="1099" spans="1:13" s="64" customFormat="1">
      <c r="A1099" s="10"/>
      <c r="B1099" s="111"/>
      <c r="C1099" s="68"/>
      <c r="D1099" s="374"/>
      <c r="E1099" s="660"/>
      <c r="F1099" s="112"/>
      <c r="G1099" s="68"/>
      <c r="H1099" s="603"/>
      <c r="I1099" s="882"/>
      <c r="J1099" s="883"/>
      <c r="K1099" s="884"/>
      <c r="L1099" s="884"/>
      <c r="M1099" s="68"/>
    </row>
    <row r="1100" spans="1:13" s="64" customFormat="1">
      <c r="A1100" s="10"/>
      <c r="B1100" s="111"/>
      <c r="C1100" s="68"/>
      <c r="D1100" s="374"/>
      <c r="E1100" s="660"/>
      <c r="F1100" s="112"/>
      <c r="G1100" s="68"/>
      <c r="H1100" s="603"/>
      <c r="I1100" s="882"/>
      <c r="J1100" s="883"/>
      <c r="K1100" s="884"/>
      <c r="L1100" s="884"/>
      <c r="M1100" s="68"/>
    </row>
    <row r="1101" spans="1:13" s="64" customFormat="1">
      <c r="A1101" s="10"/>
      <c r="B1101" s="111"/>
      <c r="C1101" s="68"/>
      <c r="D1101" s="374"/>
      <c r="E1101" s="660"/>
      <c r="F1101" s="112"/>
      <c r="G1101" s="68"/>
      <c r="H1101" s="603"/>
      <c r="I1101" s="882"/>
      <c r="J1101" s="883"/>
      <c r="K1101" s="884"/>
      <c r="L1101" s="884"/>
      <c r="M1101" s="68"/>
    </row>
    <row r="1102" spans="1:13" s="64" customFormat="1">
      <c r="A1102" s="10"/>
      <c r="B1102" s="111"/>
      <c r="C1102" s="68"/>
      <c r="D1102" s="374"/>
      <c r="E1102" s="660"/>
      <c r="F1102" s="112"/>
      <c r="G1102" s="68"/>
      <c r="H1102" s="603"/>
      <c r="I1102" s="882"/>
      <c r="J1102" s="883"/>
      <c r="K1102" s="884"/>
      <c r="L1102" s="884"/>
      <c r="M1102" s="68"/>
    </row>
    <row r="1103" spans="1:13" s="64" customFormat="1">
      <c r="A1103" s="10"/>
      <c r="B1103" s="111"/>
      <c r="C1103" s="68"/>
      <c r="D1103" s="374"/>
      <c r="E1103" s="660"/>
      <c r="F1103" s="112"/>
      <c r="G1103" s="68"/>
      <c r="H1103" s="603"/>
      <c r="I1103" s="882"/>
      <c r="J1103" s="883"/>
      <c r="K1103" s="884"/>
      <c r="L1103" s="884"/>
      <c r="M1103" s="68"/>
    </row>
    <row r="1104" spans="1:13" s="64" customFormat="1">
      <c r="A1104" s="10"/>
      <c r="B1104" s="111"/>
      <c r="C1104" s="68"/>
      <c r="D1104" s="374"/>
      <c r="E1104" s="660"/>
      <c r="F1104" s="112"/>
      <c r="G1104" s="68"/>
      <c r="H1104" s="603"/>
      <c r="I1104" s="882"/>
      <c r="J1104" s="883"/>
      <c r="K1104" s="884"/>
      <c r="L1104" s="884"/>
      <c r="M1104" s="68"/>
    </row>
    <row r="1105" spans="1:13" s="64" customFormat="1">
      <c r="A1105" s="10"/>
      <c r="B1105" s="111"/>
      <c r="C1105" s="68"/>
      <c r="D1105" s="374"/>
      <c r="E1105" s="660"/>
      <c r="F1105" s="112"/>
      <c r="G1105" s="68"/>
      <c r="H1105" s="603"/>
      <c r="I1105" s="882"/>
      <c r="J1105" s="883"/>
      <c r="K1105" s="884"/>
      <c r="L1105" s="884"/>
      <c r="M1105" s="68"/>
    </row>
    <row r="1106" spans="1:13" s="64" customFormat="1">
      <c r="A1106" s="10"/>
      <c r="B1106" s="111"/>
      <c r="C1106" s="68"/>
      <c r="D1106" s="374"/>
      <c r="E1106" s="660"/>
      <c r="F1106" s="112"/>
      <c r="G1106" s="68"/>
      <c r="H1106" s="603"/>
      <c r="I1106" s="882"/>
      <c r="J1106" s="883"/>
      <c r="K1106" s="884"/>
      <c r="L1106" s="884"/>
      <c r="M1106" s="68"/>
    </row>
    <row r="1107" spans="1:13" s="64" customFormat="1">
      <c r="A1107" s="10"/>
      <c r="B1107" s="111"/>
      <c r="C1107" s="68"/>
      <c r="D1107" s="374"/>
      <c r="E1107" s="660"/>
      <c r="F1107" s="112"/>
      <c r="G1107" s="68"/>
      <c r="H1107" s="603"/>
      <c r="I1107" s="882"/>
      <c r="J1107" s="883"/>
      <c r="K1107" s="884"/>
      <c r="L1107" s="884"/>
      <c r="M1107" s="68"/>
    </row>
    <row r="1108" spans="1:13" s="64" customFormat="1">
      <c r="A1108" s="10"/>
      <c r="B1108" s="111"/>
      <c r="C1108" s="68"/>
      <c r="D1108" s="374"/>
      <c r="E1108" s="660"/>
      <c r="F1108" s="112"/>
      <c r="G1108" s="68"/>
      <c r="H1108" s="603"/>
      <c r="I1108" s="882"/>
      <c r="J1108" s="883"/>
      <c r="K1108" s="884"/>
      <c r="L1108" s="884"/>
      <c r="M1108" s="68"/>
    </row>
    <row r="1109" spans="1:13" s="64" customFormat="1">
      <c r="A1109" s="10"/>
      <c r="B1109" s="111"/>
      <c r="C1109" s="68"/>
      <c r="D1109" s="374"/>
      <c r="E1109" s="660"/>
      <c r="F1109" s="112"/>
      <c r="G1109" s="68"/>
      <c r="H1109" s="603"/>
      <c r="I1109" s="882"/>
      <c r="J1109" s="883"/>
      <c r="K1109" s="884"/>
      <c r="L1109" s="884"/>
      <c r="M1109" s="68"/>
    </row>
    <row r="1110" spans="1:13" s="64" customFormat="1">
      <c r="A1110" s="10"/>
      <c r="B1110" s="111"/>
      <c r="C1110" s="68"/>
      <c r="D1110" s="374"/>
      <c r="E1110" s="660"/>
      <c r="F1110" s="112"/>
      <c r="G1110" s="68"/>
      <c r="H1110" s="603"/>
      <c r="I1110" s="882"/>
      <c r="J1110" s="883"/>
      <c r="K1110" s="884"/>
      <c r="L1110" s="884"/>
      <c r="M1110" s="68"/>
    </row>
    <row r="1111" spans="1:13" s="64" customFormat="1">
      <c r="A1111" s="10"/>
      <c r="B1111" s="111"/>
      <c r="C1111" s="68"/>
      <c r="D1111" s="374"/>
      <c r="E1111" s="660"/>
      <c r="F1111" s="112"/>
      <c r="G1111" s="68"/>
      <c r="H1111" s="603"/>
      <c r="I1111" s="882"/>
      <c r="J1111" s="883"/>
      <c r="K1111" s="884"/>
      <c r="L1111" s="884"/>
      <c r="M1111" s="68"/>
    </row>
    <row r="1112" spans="1:13" s="64" customFormat="1">
      <c r="A1112" s="10"/>
      <c r="B1112" s="111"/>
      <c r="C1112" s="68"/>
      <c r="D1112" s="374"/>
      <c r="E1112" s="660"/>
      <c r="F1112" s="112"/>
      <c r="G1112" s="68"/>
      <c r="H1112" s="603"/>
      <c r="I1112" s="882"/>
      <c r="J1112" s="883"/>
      <c r="K1112" s="884"/>
      <c r="L1112" s="884"/>
      <c r="M1112" s="68"/>
    </row>
    <row r="1113" spans="1:13" s="64" customFormat="1">
      <c r="A1113" s="10"/>
      <c r="B1113" s="111"/>
      <c r="C1113" s="68"/>
      <c r="D1113" s="374"/>
      <c r="E1113" s="660"/>
      <c r="F1113" s="112"/>
      <c r="G1113" s="68"/>
      <c r="H1113" s="603"/>
      <c r="I1113" s="882"/>
      <c r="J1113" s="883"/>
      <c r="K1113" s="884"/>
      <c r="L1113" s="884"/>
      <c r="M1113" s="68"/>
    </row>
    <row r="1114" spans="1:13" s="64" customFormat="1">
      <c r="A1114" s="10"/>
      <c r="B1114" s="111"/>
      <c r="C1114" s="68"/>
      <c r="D1114" s="374"/>
      <c r="E1114" s="660"/>
      <c r="F1114" s="112"/>
      <c r="G1114" s="68"/>
      <c r="H1114" s="603"/>
      <c r="I1114" s="882"/>
      <c r="J1114" s="883"/>
      <c r="K1114" s="884"/>
      <c r="L1114" s="884"/>
      <c r="M1114" s="68"/>
    </row>
    <row r="1115" spans="1:13" s="64" customFormat="1">
      <c r="A1115" s="10"/>
      <c r="B1115" s="111"/>
      <c r="C1115" s="68"/>
      <c r="D1115" s="374"/>
      <c r="E1115" s="660"/>
      <c r="F1115" s="112"/>
      <c r="G1115" s="68"/>
      <c r="H1115" s="603"/>
      <c r="I1115" s="882"/>
      <c r="J1115" s="883"/>
      <c r="K1115" s="884"/>
      <c r="L1115" s="884"/>
      <c r="M1115" s="68"/>
    </row>
    <row r="1116" spans="1:13" s="64" customFormat="1">
      <c r="A1116" s="10"/>
      <c r="B1116" s="111"/>
      <c r="C1116" s="68"/>
      <c r="D1116" s="374"/>
      <c r="E1116" s="660"/>
      <c r="F1116" s="112"/>
      <c r="G1116" s="68"/>
      <c r="H1116" s="603"/>
      <c r="I1116" s="882"/>
      <c r="J1116" s="883"/>
      <c r="K1116" s="884"/>
      <c r="L1116" s="884"/>
      <c r="M1116" s="68"/>
    </row>
    <row r="1117" spans="1:13" s="64" customFormat="1">
      <c r="A1117" s="10"/>
      <c r="B1117" s="111"/>
      <c r="C1117" s="68"/>
      <c r="D1117" s="374"/>
      <c r="E1117" s="660"/>
      <c r="F1117" s="112"/>
      <c r="G1117" s="68"/>
      <c r="H1117" s="603"/>
      <c r="I1117" s="882"/>
      <c r="J1117" s="883"/>
      <c r="K1117" s="884"/>
      <c r="L1117" s="884"/>
      <c r="M1117" s="68"/>
    </row>
    <row r="1118" spans="1:13" s="64" customFormat="1">
      <c r="A1118" s="10"/>
      <c r="B1118" s="111"/>
      <c r="C1118" s="68"/>
      <c r="D1118" s="374"/>
      <c r="E1118" s="660"/>
      <c r="F1118" s="112"/>
      <c r="G1118" s="68"/>
      <c r="H1118" s="603"/>
      <c r="I1118" s="882"/>
      <c r="J1118" s="883"/>
      <c r="K1118" s="884"/>
      <c r="L1118" s="884"/>
      <c r="M1118" s="68"/>
    </row>
    <row r="1119" spans="1:13" s="64" customFormat="1">
      <c r="A1119" s="10"/>
      <c r="B1119" s="111"/>
      <c r="C1119" s="68"/>
      <c r="D1119" s="374"/>
      <c r="E1119" s="660"/>
      <c r="F1119" s="112"/>
      <c r="G1119" s="68"/>
      <c r="H1119" s="603"/>
      <c r="I1119" s="882"/>
      <c r="J1119" s="883"/>
      <c r="K1119" s="884"/>
      <c r="L1119" s="884"/>
      <c r="M1119" s="68"/>
    </row>
    <row r="1120" spans="1:13" s="64" customFormat="1">
      <c r="A1120" s="10"/>
      <c r="B1120" s="111"/>
      <c r="C1120" s="68"/>
      <c r="D1120" s="374"/>
      <c r="E1120" s="660"/>
      <c r="F1120" s="112"/>
      <c r="G1120" s="68"/>
      <c r="H1120" s="603"/>
      <c r="I1120" s="882"/>
      <c r="J1120" s="883"/>
      <c r="K1120" s="884"/>
      <c r="L1120" s="884"/>
      <c r="M1120" s="68"/>
    </row>
    <row r="1121" spans="1:13" s="64" customFormat="1">
      <c r="A1121" s="10"/>
      <c r="B1121" s="111"/>
      <c r="C1121" s="68"/>
      <c r="D1121" s="374"/>
      <c r="E1121" s="660"/>
      <c r="F1121" s="112"/>
      <c r="G1121" s="68"/>
      <c r="H1121" s="603"/>
      <c r="I1121" s="882"/>
      <c r="J1121" s="883"/>
      <c r="K1121" s="884"/>
      <c r="L1121" s="884"/>
      <c r="M1121" s="68"/>
    </row>
    <row r="1122" spans="1:13" s="64" customFormat="1">
      <c r="A1122" s="10"/>
      <c r="B1122" s="111"/>
      <c r="C1122" s="68"/>
      <c r="D1122" s="374"/>
      <c r="E1122" s="660"/>
      <c r="F1122" s="112"/>
      <c r="G1122" s="68"/>
      <c r="H1122" s="603"/>
      <c r="I1122" s="882"/>
      <c r="J1122" s="883"/>
      <c r="K1122" s="884"/>
      <c r="L1122" s="884"/>
      <c r="M1122" s="68"/>
    </row>
    <row r="1123" spans="1:13" s="64" customFormat="1">
      <c r="A1123" s="10"/>
      <c r="B1123" s="111"/>
      <c r="C1123" s="68"/>
      <c r="D1123" s="374"/>
      <c r="E1123" s="660"/>
      <c r="F1123" s="112"/>
      <c r="G1123" s="68"/>
      <c r="H1123" s="603"/>
      <c r="I1123" s="882"/>
      <c r="J1123" s="883"/>
      <c r="K1123" s="884"/>
      <c r="L1123" s="884"/>
      <c r="M1123" s="68"/>
    </row>
    <row r="1124" spans="1:13" s="64" customFormat="1">
      <c r="A1124" s="10"/>
      <c r="B1124" s="111"/>
      <c r="C1124" s="68"/>
      <c r="D1124" s="374"/>
      <c r="E1124" s="660"/>
      <c r="F1124" s="112"/>
      <c r="G1124" s="68"/>
      <c r="H1124" s="603"/>
      <c r="I1124" s="882"/>
      <c r="J1124" s="883"/>
      <c r="K1124" s="884"/>
      <c r="L1124" s="884"/>
      <c r="M1124" s="68"/>
    </row>
    <row r="1125" spans="1:13" s="64" customFormat="1">
      <c r="A1125" s="10"/>
      <c r="B1125" s="111"/>
      <c r="C1125" s="68"/>
      <c r="D1125" s="374"/>
      <c r="E1125" s="660"/>
      <c r="F1125" s="112"/>
      <c r="G1125" s="68"/>
      <c r="H1125" s="603"/>
      <c r="I1125" s="882"/>
      <c r="J1125" s="883"/>
      <c r="K1125" s="884"/>
      <c r="L1125" s="884"/>
      <c r="M1125" s="68"/>
    </row>
    <row r="1126" spans="1:13" s="64" customFormat="1">
      <c r="A1126" s="10"/>
      <c r="B1126" s="111"/>
      <c r="C1126" s="68"/>
      <c r="D1126" s="374"/>
      <c r="E1126" s="660"/>
      <c r="F1126" s="112"/>
      <c r="G1126" s="68"/>
      <c r="H1126" s="603"/>
      <c r="I1126" s="882"/>
      <c r="J1126" s="883"/>
      <c r="K1126" s="884"/>
      <c r="L1126" s="884"/>
      <c r="M1126" s="68"/>
    </row>
    <row r="1127" spans="1:13" s="64" customFormat="1">
      <c r="A1127" s="10"/>
      <c r="B1127" s="111"/>
      <c r="C1127" s="68"/>
      <c r="D1127" s="374"/>
      <c r="E1127" s="660"/>
      <c r="F1127" s="112"/>
      <c r="G1127" s="68"/>
      <c r="H1127" s="603"/>
      <c r="I1127" s="882"/>
      <c r="J1127" s="883"/>
      <c r="K1127" s="884"/>
      <c r="L1127" s="884"/>
      <c r="M1127" s="68"/>
    </row>
    <row r="1128" spans="1:13" s="64" customFormat="1">
      <c r="A1128" s="10"/>
      <c r="B1128" s="111"/>
      <c r="C1128" s="68"/>
      <c r="D1128" s="374"/>
      <c r="E1128" s="660"/>
      <c r="F1128" s="112"/>
      <c r="G1128" s="68"/>
      <c r="H1128" s="603"/>
      <c r="I1128" s="882"/>
      <c r="J1128" s="883"/>
      <c r="K1128" s="884"/>
      <c r="L1128" s="884"/>
      <c r="M1128" s="68"/>
    </row>
    <row r="1129" spans="1:13" s="64" customFormat="1">
      <c r="A1129" s="10"/>
      <c r="B1129" s="111"/>
      <c r="C1129" s="68"/>
      <c r="D1129" s="374"/>
      <c r="E1129" s="660"/>
      <c r="F1129" s="112"/>
      <c r="G1129" s="68"/>
      <c r="H1129" s="603"/>
      <c r="I1129" s="882"/>
      <c r="J1129" s="883"/>
      <c r="K1129" s="884"/>
      <c r="L1129" s="884"/>
      <c r="M1129" s="68"/>
    </row>
    <row r="1130" spans="1:13" s="64" customFormat="1">
      <c r="A1130" s="10"/>
      <c r="B1130" s="111"/>
      <c r="C1130" s="68"/>
      <c r="D1130" s="374"/>
      <c r="E1130" s="660"/>
      <c r="F1130" s="112"/>
      <c r="G1130" s="68"/>
      <c r="H1130" s="603"/>
      <c r="I1130" s="882"/>
      <c r="J1130" s="883"/>
      <c r="K1130" s="884"/>
      <c r="L1130" s="884"/>
      <c r="M1130" s="68"/>
    </row>
    <row r="1131" spans="1:13" s="64" customFormat="1">
      <c r="A1131" s="10"/>
      <c r="B1131" s="111"/>
      <c r="C1131" s="68"/>
      <c r="D1131" s="374"/>
      <c r="E1131" s="660"/>
      <c r="F1131" s="112"/>
      <c r="G1131" s="68"/>
      <c r="H1131" s="603"/>
      <c r="I1131" s="882"/>
      <c r="J1131" s="883"/>
      <c r="K1131" s="884"/>
      <c r="L1131" s="884"/>
      <c r="M1131" s="68"/>
    </row>
    <row r="1132" spans="1:13" s="64" customFormat="1">
      <c r="A1132" s="10"/>
      <c r="B1132" s="111"/>
      <c r="C1132" s="68"/>
      <c r="D1132" s="374"/>
      <c r="E1132" s="660"/>
      <c r="F1132" s="112"/>
      <c r="G1132" s="68"/>
      <c r="H1132" s="603"/>
      <c r="I1132" s="882"/>
      <c r="J1132" s="883"/>
      <c r="K1132" s="884"/>
      <c r="L1132" s="884"/>
      <c r="M1132" s="68"/>
    </row>
    <row r="1133" spans="1:13" s="64" customFormat="1">
      <c r="A1133" s="10"/>
      <c r="B1133" s="111"/>
      <c r="C1133" s="68"/>
      <c r="D1133" s="374"/>
      <c r="E1133" s="660"/>
      <c r="F1133" s="112"/>
      <c r="G1133" s="68"/>
      <c r="H1133" s="603"/>
      <c r="I1133" s="882"/>
      <c r="J1133" s="883"/>
      <c r="K1133" s="884"/>
      <c r="L1133" s="884"/>
      <c r="M1133" s="68"/>
    </row>
    <row r="1134" spans="1:13" s="64" customFormat="1">
      <c r="A1134" s="10"/>
      <c r="B1134" s="111"/>
      <c r="C1134" s="68"/>
      <c r="D1134" s="374"/>
      <c r="E1134" s="660"/>
      <c r="F1134" s="112"/>
      <c r="G1134" s="68"/>
      <c r="H1134" s="603"/>
      <c r="I1134" s="882"/>
      <c r="J1134" s="883"/>
      <c r="K1134" s="884"/>
      <c r="L1134" s="884"/>
      <c r="M1134" s="68"/>
    </row>
    <row r="1135" spans="1:13" s="64" customFormat="1">
      <c r="A1135" s="10"/>
      <c r="B1135" s="111"/>
      <c r="C1135" s="68"/>
      <c r="D1135" s="374"/>
      <c r="E1135" s="660"/>
      <c r="F1135" s="112"/>
      <c r="G1135" s="68"/>
      <c r="H1135" s="603"/>
      <c r="I1135" s="882"/>
      <c r="J1135" s="883"/>
      <c r="K1135" s="884"/>
      <c r="L1135" s="884"/>
      <c r="M1135" s="68"/>
    </row>
    <row r="1136" spans="1:13" s="64" customFormat="1">
      <c r="A1136" s="10"/>
      <c r="B1136" s="111"/>
      <c r="C1136" s="68"/>
      <c r="D1136" s="374"/>
      <c r="E1136" s="660"/>
      <c r="F1136" s="112"/>
      <c r="G1136" s="68"/>
      <c r="H1136" s="603"/>
      <c r="I1136" s="882"/>
      <c r="J1136" s="883"/>
      <c r="K1136" s="884"/>
      <c r="L1136" s="884"/>
      <c r="M1136" s="68"/>
    </row>
    <row r="1137" spans="1:13" s="64" customFormat="1">
      <c r="A1137" s="10"/>
      <c r="B1137" s="111"/>
      <c r="C1137" s="68"/>
      <c r="D1137" s="374"/>
      <c r="E1137" s="660"/>
      <c r="F1137" s="112"/>
      <c r="G1137" s="68"/>
      <c r="H1137" s="603"/>
      <c r="I1137" s="882"/>
      <c r="J1137" s="883"/>
      <c r="K1137" s="884"/>
      <c r="L1137" s="884"/>
      <c r="M1137" s="68"/>
    </row>
    <row r="1138" spans="1:13" s="64" customFormat="1">
      <c r="A1138" s="10"/>
      <c r="B1138" s="111"/>
      <c r="C1138" s="68"/>
      <c r="D1138" s="374"/>
      <c r="E1138" s="660"/>
      <c r="F1138" s="112"/>
      <c r="G1138" s="68"/>
      <c r="H1138" s="603"/>
      <c r="I1138" s="882"/>
      <c r="J1138" s="883"/>
      <c r="K1138" s="884"/>
      <c r="L1138" s="884"/>
      <c r="M1138" s="68"/>
    </row>
    <row r="1139" spans="1:13" s="64" customFormat="1">
      <c r="A1139" s="10"/>
      <c r="B1139" s="111"/>
      <c r="C1139" s="68"/>
      <c r="D1139" s="374"/>
      <c r="E1139" s="660"/>
      <c r="F1139" s="112"/>
      <c r="G1139" s="68"/>
      <c r="H1139" s="603"/>
      <c r="I1139" s="882"/>
      <c r="J1139" s="883"/>
      <c r="K1139" s="884"/>
      <c r="L1139" s="884"/>
      <c r="M1139" s="68"/>
    </row>
    <row r="1140" spans="1:13" s="64" customFormat="1">
      <c r="A1140" s="10"/>
      <c r="B1140" s="111"/>
      <c r="C1140" s="68"/>
      <c r="D1140" s="374"/>
      <c r="E1140" s="660"/>
      <c r="F1140" s="112"/>
      <c r="G1140" s="68"/>
      <c r="H1140" s="603"/>
      <c r="I1140" s="882"/>
      <c r="J1140" s="883"/>
      <c r="K1140" s="884"/>
      <c r="L1140" s="884"/>
      <c r="M1140" s="68"/>
    </row>
    <row r="1141" spans="1:13" s="64" customFormat="1">
      <c r="A1141" s="10"/>
      <c r="B1141" s="111"/>
      <c r="C1141" s="68"/>
      <c r="D1141" s="374"/>
      <c r="E1141" s="660"/>
      <c r="F1141" s="112"/>
      <c r="G1141" s="68"/>
      <c r="H1141" s="603"/>
      <c r="I1141" s="882"/>
      <c r="J1141" s="883"/>
      <c r="K1141" s="884"/>
      <c r="L1141" s="884"/>
      <c r="M1141" s="68"/>
    </row>
    <row r="1142" spans="1:13" s="64" customFormat="1">
      <c r="A1142" s="10"/>
      <c r="B1142" s="111"/>
      <c r="C1142" s="68"/>
      <c r="D1142" s="374"/>
      <c r="E1142" s="660"/>
      <c r="F1142" s="112"/>
      <c r="G1142" s="68"/>
      <c r="H1142" s="603"/>
      <c r="I1142" s="882"/>
      <c r="J1142" s="883"/>
      <c r="K1142" s="884"/>
      <c r="L1142" s="884"/>
      <c r="M1142" s="68"/>
    </row>
    <row r="1143" spans="1:13" s="64" customFormat="1">
      <c r="A1143" s="10"/>
      <c r="B1143" s="111"/>
      <c r="C1143" s="68"/>
      <c r="D1143" s="374"/>
      <c r="E1143" s="660"/>
      <c r="F1143" s="112"/>
      <c r="G1143" s="68"/>
      <c r="H1143" s="603"/>
      <c r="I1143" s="882"/>
      <c r="J1143" s="883"/>
      <c r="K1143" s="884"/>
      <c r="L1143" s="884"/>
      <c r="M1143" s="68"/>
    </row>
    <row r="1144" spans="1:13" s="64" customFormat="1">
      <c r="A1144" s="10"/>
      <c r="B1144" s="111"/>
      <c r="C1144" s="68"/>
      <c r="D1144" s="374"/>
      <c r="E1144" s="660"/>
      <c r="F1144" s="112"/>
      <c r="G1144" s="68"/>
      <c r="H1144" s="603"/>
      <c r="I1144" s="882"/>
      <c r="J1144" s="883"/>
      <c r="K1144" s="884"/>
      <c r="L1144" s="884"/>
      <c r="M1144" s="68"/>
    </row>
    <row r="1145" spans="1:13" s="64" customFormat="1">
      <c r="A1145" s="10"/>
      <c r="B1145" s="111"/>
      <c r="C1145" s="68"/>
      <c r="D1145" s="374"/>
      <c r="E1145" s="660"/>
      <c r="F1145" s="112"/>
      <c r="G1145" s="68"/>
      <c r="H1145" s="603"/>
      <c r="I1145" s="882"/>
      <c r="J1145" s="883"/>
      <c r="K1145" s="884"/>
      <c r="L1145" s="884"/>
      <c r="M1145" s="68"/>
    </row>
    <row r="1146" spans="1:13" s="64" customFormat="1">
      <c r="A1146" s="10"/>
      <c r="B1146" s="111"/>
      <c r="C1146" s="68"/>
      <c r="D1146" s="374"/>
      <c r="E1146" s="660"/>
      <c r="F1146" s="112"/>
      <c r="G1146" s="68"/>
      <c r="H1146" s="603"/>
      <c r="I1146" s="882"/>
      <c r="J1146" s="883"/>
      <c r="K1146" s="884"/>
      <c r="L1146" s="884"/>
      <c r="M1146" s="68"/>
    </row>
    <row r="1147" spans="1:13" s="64" customFormat="1">
      <c r="A1147" s="10"/>
      <c r="B1147" s="111"/>
      <c r="C1147" s="68"/>
      <c r="D1147" s="374"/>
      <c r="E1147" s="660"/>
      <c r="F1147" s="112"/>
      <c r="G1147" s="68"/>
      <c r="H1147" s="603"/>
      <c r="I1147" s="882"/>
      <c r="J1147" s="883"/>
      <c r="K1147" s="884"/>
      <c r="L1147" s="884"/>
      <c r="M1147" s="68"/>
    </row>
    <row r="1148" spans="1:13" s="64" customFormat="1">
      <c r="A1148" s="10"/>
      <c r="B1148" s="111"/>
      <c r="C1148" s="68"/>
      <c r="D1148" s="374"/>
      <c r="E1148" s="660"/>
      <c r="F1148" s="112"/>
      <c r="G1148" s="68"/>
      <c r="H1148" s="603"/>
      <c r="I1148" s="882"/>
      <c r="J1148" s="883"/>
      <c r="K1148" s="884"/>
      <c r="L1148" s="884"/>
      <c r="M1148" s="68"/>
    </row>
    <row r="1149" spans="1:13" s="64" customFormat="1">
      <c r="A1149" s="10"/>
      <c r="B1149" s="111"/>
      <c r="C1149" s="68"/>
      <c r="D1149" s="374"/>
      <c r="E1149" s="660"/>
      <c r="F1149" s="112"/>
      <c r="G1149" s="68"/>
      <c r="H1149" s="603"/>
      <c r="I1149" s="882"/>
      <c r="J1149" s="883"/>
      <c r="K1149" s="884"/>
      <c r="L1149" s="884"/>
      <c r="M1149" s="68"/>
    </row>
    <row r="1150" spans="1:13" s="64" customFormat="1">
      <c r="A1150" s="10"/>
      <c r="B1150" s="111"/>
      <c r="C1150" s="68"/>
      <c r="D1150" s="374"/>
      <c r="E1150" s="660"/>
      <c r="F1150" s="112"/>
      <c r="G1150" s="68"/>
      <c r="H1150" s="603"/>
      <c r="I1150" s="882"/>
      <c r="J1150" s="883"/>
      <c r="K1150" s="884"/>
      <c r="L1150" s="884"/>
      <c r="M1150" s="68"/>
    </row>
    <row r="1151" spans="1:13" s="64" customFormat="1">
      <c r="A1151" s="10"/>
      <c r="B1151" s="111"/>
      <c r="C1151" s="68"/>
      <c r="D1151" s="374"/>
      <c r="E1151" s="660"/>
      <c r="F1151" s="112"/>
      <c r="G1151" s="68"/>
      <c r="H1151" s="603"/>
      <c r="I1151" s="882"/>
      <c r="J1151" s="883"/>
      <c r="K1151" s="884"/>
      <c r="L1151" s="884"/>
      <c r="M1151" s="68"/>
    </row>
    <row r="1152" spans="1:13" s="64" customFormat="1">
      <c r="A1152" s="10"/>
      <c r="B1152" s="111"/>
      <c r="C1152" s="68"/>
      <c r="D1152" s="374"/>
      <c r="E1152" s="660"/>
      <c r="F1152" s="112"/>
      <c r="G1152" s="68"/>
      <c r="H1152" s="603"/>
      <c r="I1152" s="882"/>
      <c r="J1152" s="883"/>
      <c r="K1152" s="884"/>
      <c r="L1152" s="884"/>
      <c r="M1152" s="68"/>
    </row>
    <row r="1153" spans="1:13" s="64" customFormat="1">
      <c r="A1153" s="10"/>
      <c r="B1153" s="111"/>
      <c r="C1153" s="68"/>
      <c r="D1153" s="374"/>
      <c r="E1153" s="660"/>
      <c r="F1153" s="112"/>
      <c r="G1153" s="68"/>
      <c r="H1153" s="603"/>
      <c r="I1153" s="882"/>
      <c r="J1153" s="883"/>
      <c r="K1153" s="884"/>
      <c r="L1153" s="884"/>
      <c r="M1153" s="68"/>
    </row>
    <row r="1154" spans="1:13" s="64" customFormat="1">
      <c r="A1154" s="10"/>
      <c r="B1154" s="111"/>
      <c r="C1154" s="68"/>
      <c r="D1154" s="374"/>
      <c r="E1154" s="660"/>
      <c r="F1154" s="112"/>
      <c r="G1154" s="68"/>
      <c r="H1154" s="603"/>
      <c r="I1154" s="882"/>
      <c r="J1154" s="883"/>
      <c r="K1154" s="884"/>
      <c r="L1154" s="884"/>
      <c r="M1154" s="68"/>
    </row>
    <row r="1155" spans="1:13" s="64" customFormat="1">
      <c r="A1155" s="10"/>
      <c r="B1155" s="111"/>
      <c r="C1155" s="68"/>
      <c r="D1155" s="374"/>
      <c r="E1155" s="660"/>
      <c r="F1155" s="112"/>
      <c r="G1155" s="68"/>
      <c r="H1155" s="603"/>
      <c r="I1155" s="882"/>
      <c r="J1155" s="883"/>
      <c r="K1155" s="884"/>
      <c r="L1155" s="884"/>
      <c r="M1155" s="68"/>
    </row>
    <row r="1156" spans="1:13" s="64" customFormat="1">
      <c r="A1156" s="10"/>
      <c r="B1156" s="111"/>
      <c r="C1156" s="68"/>
      <c r="D1156" s="374"/>
      <c r="E1156" s="660"/>
      <c r="F1156" s="112"/>
      <c r="G1156" s="68"/>
      <c r="H1156" s="603"/>
      <c r="I1156" s="882"/>
      <c r="J1156" s="883"/>
      <c r="K1156" s="884"/>
      <c r="L1156" s="884"/>
      <c r="M1156" s="68"/>
    </row>
    <row r="1157" spans="1:13" s="64" customFormat="1">
      <c r="A1157" s="10"/>
      <c r="B1157" s="111"/>
      <c r="C1157" s="68"/>
      <c r="D1157" s="374"/>
      <c r="E1157" s="660"/>
      <c r="F1157" s="112"/>
      <c r="G1157" s="68"/>
      <c r="H1157" s="603"/>
      <c r="I1157" s="882"/>
      <c r="J1157" s="883"/>
      <c r="K1157" s="884"/>
      <c r="L1157" s="884"/>
      <c r="M1157" s="68"/>
    </row>
    <row r="1158" spans="1:13" s="64" customFormat="1">
      <c r="A1158" s="10"/>
      <c r="B1158" s="111"/>
      <c r="C1158" s="68"/>
      <c r="D1158" s="374"/>
      <c r="E1158" s="660"/>
      <c r="F1158" s="112"/>
      <c r="G1158" s="68"/>
      <c r="H1158" s="603"/>
      <c r="I1158" s="882"/>
      <c r="J1158" s="883"/>
      <c r="K1158" s="884"/>
      <c r="L1158" s="884"/>
      <c r="M1158" s="68"/>
    </row>
    <row r="1159" spans="1:13" s="64" customFormat="1">
      <c r="A1159" s="10"/>
      <c r="B1159" s="111"/>
      <c r="C1159" s="68"/>
      <c r="D1159" s="374"/>
      <c r="E1159" s="660"/>
      <c r="F1159" s="112"/>
      <c r="G1159" s="68"/>
      <c r="H1159" s="603"/>
      <c r="I1159" s="882"/>
      <c r="J1159" s="883"/>
      <c r="K1159" s="884"/>
      <c r="L1159" s="884"/>
      <c r="M1159" s="68"/>
    </row>
    <row r="1160" spans="1:13" s="64" customFormat="1">
      <c r="A1160" s="10"/>
      <c r="B1160" s="111"/>
      <c r="C1160" s="68"/>
      <c r="D1160" s="374"/>
      <c r="E1160" s="660"/>
      <c r="F1160" s="112"/>
      <c r="G1160" s="68"/>
      <c r="H1160" s="603"/>
      <c r="I1160" s="882"/>
      <c r="J1160" s="883"/>
      <c r="K1160" s="884"/>
      <c r="L1160" s="884"/>
      <c r="M1160" s="68"/>
    </row>
    <row r="1161" spans="1:13" s="64" customFormat="1">
      <c r="A1161" s="10"/>
      <c r="B1161" s="111"/>
      <c r="C1161" s="68"/>
      <c r="D1161" s="374"/>
      <c r="E1161" s="660"/>
      <c r="F1161" s="112"/>
      <c r="G1161" s="68"/>
      <c r="H1161" s="603"/>
      <c r="I1161" s="882"/>
      <c r="J1161" s="883"/>
      <c r="K1161" s="884"/>
      <c r="L1161" s="884"/>
      <c r="M1161" s="68"/>
    </row>
    <row r="1162" spans="1:13" s="64" customFormat="1">
      <c r="A1162" s="10"/>
      <c r="B1162" s="111"/>
      <c r="C1162" s="68"/>
      <c r="D1162" s="374"/>
      <c r="E1162" s="660"/>
      <c r="F1162" s="112"/>
      <c r="G1162" s="68"/>
      <c r="H1162" s="603"/>
      <c r="I1162" s="882"/>
      <c r="J1162" s="883"/>
      <c r="K1162" s="884"/>
      <c r="L1162" s="884"/>
      <c r="M1162" s="68"/>
    </row>
    <row r="1163" spans="1:13" s="64" customFormat="1">
      <c r="A1163" s="10"/>
      <c r="B1163" s="111"/>
      <c r="C1163" s="68"/>
      <c r="D1163" s="374"/>
      <c r="E1163" s="660"/>
      <c r="F1163" s="112"/>
      <c r="G1163" s="68"/>
      <c r="H1163" s="603"/>
      <c r="I1163" s="882"/>
      <c r="J1163" s="883"/>
      <c r="K1163" s="884"/>
      <c r="L1163" s="884"/>
      <c r="M1163" s="68"/>
    </row>
    <row r="1164" spans="1:13" s="64" customFormat="1">
      <c r="A1164" s="10"/>
      <c r="B1164" s="111"/>
      <c r="C1164" s="68"/>
      <c r="D1164" s="374"/>
      <c r="E1164" s="660"/>
      <c r="F1164" s="112"/>
      <c r="G1164" s="68"/>
      <c r="H1164" s="603"/>
      <c r="I1164" s="882"/>
      <c r="J1164" s="883"/>
      <c r="K1164" s="884"/>
      <c r="L1164" s="884"/>
      <c r="M1164" s="68"/>
    </row>
    <row r="1165" spans="1:13" s="64" customFormat="1">
      <c r="A1165" s="10"/>
      <c r="B1165" s="111"/>
      <c r="C1165" s="68"/>
      <c r="D1165" s="374"/>
      <c r="E1165" s="660"/>
      <c r="F1165" s="112"/>
      <c r="G1165" s="68"/>
      <c r="H1165" s="603"/>
      <c r="I1165" s="882"/>
      <c r="J1165" s="883"/>
      <c r="K1165" s="884"/>
      <c r="L1165" s="884"/>
      <c r="M1165" s="68"/>
    </row>
    <row r="1166" spans="1:13" s="64" customFormat="1">
      <c r="A1166" s="10"/>
      <c r="B1166" s="111"/>
      <c r="C1166" s="68"/>
      <c r="D1166" s="374"/>
      <c r="E1166" s="660"/>
      <c r="F1166" s="112"/>
      <c r="G1166" s="68"/>
      <c r="H1166" s="603"/>
      <c r="I1166" s="882"/>
      <c r="J1166" s="883"/>
      <c r="K1166" s="884"/>
      <c r="L1166" s="884"/>
      <c r="M1166" s="68"/>
    </row>
    <row r="1167" spans="1:13" s="64" customFormat="1">
      <c r="A1167" s="10"/>
      <c r="B1167" s="111"/>
      <c r="C1167" s="68"/>
      <c r="D1167" s="374"/>
      <c r="E1167" s="660"/>
      <c r="F1167" s="112"/>
      <c r="G1167" s="68"/>
      <c r="H1167" s="603"/>
      <c r="I1167" s="882"/>
      <c r="J1167" s="883"/>
      <c r="K1167" s="884"/>
      <c r="L1167" s="884"/>
      <c r="M1167" s="68"/>
    </row>
    <row r="1168" spans="1:13" s="64" customFormat="1">
      <c r="A1168" s="10"/>
      <c r="B1168" s="111"/>
      <c r="C1168" s="68"/>
      <c r="D1168" s="374"/>
      <c r="E1168" s="660"/>
      <c r="F1168" s="112"/>
      <c r="G1168" s="68"/>
      <c r="H1168" s="603"/>
      <c r="I1168" s="882"/>
      <c r="J1168" s="883"/>
      <c r="K1168" s="884"/>
      <c r="L1168" s="884"/>
      <c r="M1168" s="68"/>
    </row>
    <row r="1169" spans="1:13" s="64" customFormat="1">
      <c r="A1169" s="10"/>
      <c r="B1169" s="111"/>
      <c r="C1169" s="68"/>
      <c r="D1169" s="374"/>
      <c r="E1169" s="660"/>
      <c r="F1169" s="112"/>
      <c r="G1169" s="68"/>
      <c r="H1169" s="603"/>
      <c r="I1169" s="882"/>
      <c r="J1169" s="883"/>
      <c r="K1169" s="884"/>
      <c r="L1169" s="884"/>
      <c r="M1169" s="68"/>
    </row>
    <row r="1170" spans="1:13" s="64" customFormat="1">
      <c r="A1170" s="10"/>
      <c r="B1170" s="111"/>
      <c r="C1170" s="68"/>
      <c r="D1170" s="374"/>
      <c r="E1170" s="660"/>
      <c r="F1170" s="112"/>
      <c r="G1170" s="68"/>
      <c r="H1170" s="603"/>
      <c r="I1170" s="882"/>
      <c r="J1170" s="883"/>
      <c r="K1170" s="884"/>
      <c r="L1170" s="884"/>
      <c r="M1170" s="68"/>
    </row>
    <row r="1171" spans="1:13" s="64" customFormat="1">
      <c r="A1171" s="10"/>
      <c r="B1171" s="111"/>
      <c r="C1171" s="68"/>
      <c r="D1171" s="374"/>
      <c r="E1171" s="660"/>
      <c r="F1171" s="112"/>
      <c r="G1171" s="68"/>
      <c r="H1171" s="603"/>
      <c r="I1171" s="882"/>
      <c r="J1171" s="883"/>
      <c r="K1171" s="884"/>
      <c r="L1171" s="884"/>
      <c r="M1171" s="68"/>
    </row>
    <row r="1172" spans="1:13" s="64" customFormat="1">
      <c r="A1172" s="10"/>
      <c r="B1172" s="111"/>
      <c r="C1172" s="68"/>
      <c r="D1172" s="374"/>
      <c r="E1172" s="660"/>
      <c r="F1172" s="112"/>
      <c r="G1172" s="68"/>
      <c r="H1172" s="603"/>
      <c r="I1172" s="882"/>
      <c r="J1172" s="883"/>
      <c r="K1172" s="884"/>
      <c r="L1172" s="884"/>
      <c r="M1172" s="68"/>
    </row>
    <row r="1173" spans="1:13" s="64" customFormat="1">
      <c r="A1173" s="10"/>
      <c r="B1173" s="111"/>
      <c r="C1173" s="68"/>
      <c r="D1173" s="374"/>
      <c r="E1173" s="660"/>
      <c r="F1173" s="112"/>
      <c r="G1173" s="68"/>
      <c r="H1173" s="603"/>
      <c r="I1173" s="882"/>
      <c r="J1173" s="883"/>
      <c r="K1173" s="884"/>
      <c r="L1173" s="884"/>
      <c r="M1173" s="68"/>
    </row>
    <row r="1174" spans="1:13" s="64" customFormat="1">
      <c r="A1174" s="10"/>
      <c r="B1174" s="111"/>
      <c r="C1174" s="68"/>
      <c r="D1174" s="374"/>
      <c r="E1174" s="660"/>
      <c r="F1174" s="112"/>
      <c r="G1174" s="68"/>
      <c r="H1174" s="603"/>
      <c r="I1174" s="882"/>
      <c r="J1174" s="883"/>
      <c r="K1174" s="884"/>
      <c r="L1174" s="884"/>
      <c r="M1174" s="68"/>
    </row>
    <row r="1175" spans="1:13" s="64" customFormat="1">
      <c r="A1175" s="10"/>
      <c r="B1175" s="111"/>
      <c r="C1175" s="68"/>
      <c r="D1175" s="374"/>
      <c r="E1175" s="660"/>
      <c r="F1175" s="112"/>
      <c r="G1175" s="68"/>
      <c r="H1175" s="603"/>
      <c r="I1175" s="882"/>
      <c r="J1175" s="883"/>
      <c r="K1175" s="884"/>
      <c r="L1175" s="884"/>
      <c r="M1175" s="68"/>
    </row>
    <row r="1176" spans="1:13" s="64" customFormat="1">
      <c r="A1176" s="10"/>
      <c r="B1176" s="111"/>
      <c r="C1176" s="68"/>
      <c r="D1176" s="374"/>
      <c r="E1176" s="660"/>
      <c r="F1176" s="112"/>
      <c r="G1176" s="68"/>
      <c r="H1176" s="603"/>
      <c r="I1176" s="882"/>
      <c r="J1176" s="883"/>
      <c r="K1176" s="884"/>
      <c r="L1176" s="884"/>
      <c r="M1176" s="68"/>
    </row>
    <row r="1177" spans="1:13" s="64" customFormat="1">
      <c r="A1177" s="10"/>
      <c r="B1177" s="111"/>
      <c r="C1177" s="68"/>
      <c r="D1177" s="374"/>
      <c r="E1177" s="660"/>
      <c r="F1177" s="112"/>
      <c r="G1177" s="68"/>
      <c r="H1177" s="603"/>
      <c r="I1177" s="882"/>
      <c r="J1177" s="883"/>
      <c r="K1177" s="884"/>
      <c r="L1177" s="884"/>
      <c r="M1177" s="68"/>
    </row>
    <row r="1178" spans="1:13" s="64" customFormat="1">
      <c r="A1178" s="10"/>
      <c r="B1178" s="111"/>
      <c r="C1178" s="68"/>
      <c r="D1178" s="374"/>
      <c r="E1178" s="660"/>
      <c r="F1178" s="112"/>
      <c r="G1178" s="68"/>
      <c r="H1178" s="603"/>
      <c r="I1178" s="882"/>
      <c r="J1178" s="883"/>
      <c r="K1178" s="884"/>
      <c r="L1178" s="884"/>
      <c r="M1178" s="68"/>
    </row>
    <row r="1179" spans="1:13" s="64" customFormat="1">
      <c r="A1179" s="10"/>
      <c r="B1179" s="111"/>
      <c r="C1179" s="68"/>
      <c r="D1179" s="374"/>
      <c r="E1179" s="660"/>
      <c r="F1179" s="112"/>
      <c r="G1179" s="68"/>
      <c r="H1179" s="603"/>
      <c r="I1179" s="882"/>
      <c r="J1179" s="883"/>
      <c r="K1179" s="884"/>
      <c r="L1179" s="884"/>
      <c r="M1179" s="68"/>
    </row>
    <row r="1180" spans="1:13" s="64" customFormat="1">
      <c r="A1180" s="10"/>
      <c r="B1180" s="111"/>
      <c r="C1180" s="68"/>
      <c r="D1180" s="374"/>
      <c r="E1180" s="660"/>
      <c r="F1180" s="112"/>
      <c r="G1180" s="68"/>
      <c r="H1180" s="603"/>
      <c r="I1180" s="882"/>
      <c r="J1180" s="883"/>
      <c r="K1180" s="884"/>
      <c r="L1180" s="884"/>
      <c r="M1180" s="68"/>
    </row>
    <row r="1181" spans="1:13" s="64" customFormat="1">
      <c r="A1181" s="10"/>
      <c r="B1181" s="111"/>
      <c r="C1181" s="68"/>
      <c r="D1181" s="374"/>
      <c r="E1181" s="660"/>
      <c r="F1181" s="112"/>
      <c r="G1181" s="68"/>
      <c r="H1181" s="603"/>
      <c r="I1181" s="882"/>
      <c r="J1181" s="883"/>
      <c r="K1181" s="884"/>
      <c r="L1181" s="884"/>
      <c r="M1181" s="68"/>
    </row>
    <row r="1182" spans="1:13" s="64" customFormat="1">
      <c r="A1182" s="10"/>
      <c r="B1182" s="111"/>
      <c r="C1182" s="68"/>
      <c r="D1182" s="374"/>
      <c r="E1182" s="660"/>
      <c r="F1182" s="112"/>
      <c r="G1182" s="68"/>
      <c r="H1182" s="603"/>
      <c r="I1182" s="882"/>
      <c r="J1182" s="883"/>
      <c r="K1182" s="884"/>
      <c r="L1182" s="884"/>
      <c r="M1182" s="68"/>
    </row>
    <row r="1183" spans="1:13" s="64" customFormat="1">
      <c r="A1183" s="10"/>
      <c r="B1183" s="111"/>
      <c r="C1183" s="68"/>
      <c r="D1183" s="374"/>
      <c r="E1183" s="660"/>
      <c r="F1183" s="112"/>
      <c r="G1183" s="68"/>
      <c r="H1183" s="603"/>
      <c r="I1183" s="882"/>
      <c r="J1183" s="883"/>
      <c r="K1183" s="884"/>
      <c r="L1183" s="884"/>
      <c r="M1183" s="68"/>
    </row>
    <row r="1184" spans="1:13" s="64" customFormat="1">
      <c r="A1184" s="10"/>
      <c r="B1184" s="111"/>
      <c r="C1184" s="68"/>
      <c r="D1184" s="374"/>
      <c r="E1184" s="660"/>
      <c r="F1184" s="112"/>
      <c r="G1184" s="68"/>
      <c r="H1184" s="603"/>
      <c r="I1184" s="882"/>
      <c r="J1184" s="883"/>
      <c r="K1184" s="884"/>
      <c r="L1184" s="884"/>
      <c r="M1184" s="68"/>
    </row>
    <row r="1185" spans="1:13" s="64" customFormat="1">
      <c r="A1185" s="10"/>
      <c r="B1185" s="111"/>
      <c r="C1185" s="68"/>
      <c r="D1185" s="374"/>
      <c r="E1185" s="660"/>
      <c r="F1185" s="112"/>
      <c r="G1185" s="68"/>
      <c r="H1185" s="603"/>
      <c r="I1185" s="882"/>
      <c r="J1185" s="883"/>
      <c r="K1185" s="884"/>
      <c r="L1185" s="884"/>
      <c r="M1185" s="68"/>
    </row>
    <row r="1186" spans="1:13" s="64" customFormat="1">
      <c r="A1186" s="10"/>
      <c r="B1186" s="111"/>
      <c r="C1186" s="68"/>
      <c r="D1186" s="374"/>
      <c r="E1186" s="660"/>
      <c r="F1186" s="112"/>
      <c r="G1186" s="68"/>
      <c r="H1186" s="603"/>
      <c r="I1186" s="882"/>
      <c r="J1186" s="883"/>
      <c r="K1186" s="884"/>
      <c r="L1186" s="884"/>
      <c r="M1186" s="68"/>
    </row>
    <row r="1187" spans="1:13" s="64" customFormat="1">
      <c r="A1187" s="10"/>
      <c r="B1187" s="111"/>
      <c r="C1187" s="68"/>
      <c r="D1187" s="374"/>
      <c r="E1187" s="660"/>
      <c r="F1187" s="112"/>
      <c r="G1187" s="68"/>
      <c r="H1187" s="603"/>
      <c r="I1187" s="882"/>
      <c r="J1187" s="883"/>
      <c r="K1187" s="884"/>
      <c r="L1187" s="884"/>
      <c r="M1187" s="68"/>
    </row>
    <row r="1188" spans="1:13" s="64" customFormat="1">
      <c r="A1188" s="10"/>
      <c r="B1188" s="111"/>
      <c r="C1188" s="68"/>
      <c r="D1188" s="374"/>
      <c r="E1188" s="660"/>
      <c r="F1188" s="112"/>
      <c r="G1188" s="68"/>
      <c r="H1188" s="603"/>
      <c r="I1188" s="882"/>
      <c r="J1188" s="883"/>
      <c r="K1188" s="884"/>
      <c r="L1188" s="884"/>
      <c r="M1188" s="68"/>
    </row>
    <row r="1189" spans="1:13" s="64" customFormat="1">
      <c r="A1189" s="10"/>
      <c r="B1189" s="111"/>
      <c r="C1189" s="68"/>
      <c r="D1189" s="374"/>
      <c r="E1189" s="660"/>
      <c r="F1189" s="112"/>
      <c r="G1189" s="68"/>
      <c r="H1189" s="603"/>
      <c r="I1189" s="882"/>
      <c r="J1189" s="883"/>
      <c r="K1189" s="884"/>
      <c r="L1189" s="884"/>
      <c r="M1189" s="68"/>
    </row>
    <row r="1190" spans="1:13" s="64" customFormat="1">
      <c r="A1190" s="10"/>
      <c r="B1190" s="111"/>
      <c r="C1190" s="68"/>
      <c r="D1190" s="374"/>
      <c r="E1190" s="660"/>
      <c r="F1190" s="112"/>
      <c r="G1190" s="68"/>
      <c r="H1190" s="603"/>
      <c r="I1190" s="882"/>
      <c r="J1190" s="883"/>
      <c r="K1190" s="884"/>
      <c r="L1190" s="884"/>
      <c r="M1190" s="68"/>
    </row>
    <row r="1191" spans="1:13" s="64" customFormat="1">
      <c r="A1191" s="10"/>
      <c r="B1191" s="111"/>
      <c r="C1191" s="68"/>
      <c r="D1191" s="374"/>
      <c r="E1191" s="660"/>
      <c r="F1191" s="112"/>
      <c r="G1191" s="68"/>
      <c r="H1191" s="603"/>
      <c r="I1191" s="882"/>
      <c r="J1191" s="883"/>
      <c r="K1191" s="884"/>
      <c r="L1191" s="884"/>
      <c r="M1191" s="68"/>
    </row>
    <row r="1192" spans="1:13" s="64" customFormat="1">
      <c r="A1192" s="10"/>
      <c r="B1192" s="111"/>
      <c r="C1192" s="68"/>
      <c r="D1192" s="374"/>
      <c r="E1192" s="660"/>
      <c r="F1192" s="112"/>
      <c r="G1192" s="68"/>
      <c r="H1192" s="603"/>
      <c r="I1192" s="882"/>
      <c r="J1192" s="883"/>
      <c r="K1192" s="884"/>
      <c r="L1192" s="884"/>
      <c r="M1192" s="68"/>
    </row>
    <row r="1193" spans="1:13" s="64" customFormat="1">
      <c r="A1193" s="10"/>
      <c r="B1193" s="111"/>
      <c r="C1193" s="68"/>
      <c r="D1193" s="374"/>
      <c r="E1193" s="660"/>
      <c r="F1193" s="112"/>
      <c r="G1193" s="68"/>
      <c r="H1193" s="603"/>
      <c r="I1193" s="882"/>
      <c r="J1193" s="883"/>
      <c r="K1193" s="884"/>
      <c r="L1193" s="884"/>
      <c r="M1193" s="68"/>
    </row>
    <row r="1194" spans="1:13" s="64" customFormat="1">
      <c r="A1194" s="10"/>
      <c r="B1194" s="111"/>
      <c r="C1194" s="68"/>
      <c r="D1194" s="374"/>
      <c r="E1194" s="660"/>
      <c r="F1194" s="112"/>
      <c r="G1194" s="68"/>
      <c r="H1194" s="603"/>
      <c r="I1194" s="882"/>
      <c r="J1194" s="883"/>
      <c r="K1194" s="884"/>
      <c r="L1194" s="884"/>
      <c r="M1194" s="68"/>
    </row>
    <row r="1195" spans="1:13" s="64" customFormat="1">
      <c r="A1195" s="10"/>
      <c r="B1195" s="111"/>
      <c r="C1195" s="68"/>
      <c r="D1195" s="374"/>
      <c r="E1195" s="660"/>
      <c r="F1195" s="112"/>
      <c r="G1195" s="68"/>
      <c r="H1195" s="603"/>
      <c r="I1195" s="882"/>
      <c r="J1195" s="883"/>
      <c r="K1195" s="884"/>
      <c r="L1195" s="884"/>
      <c r="M1195" s="68"/>
    </row>
    <row r="1196" spans="1:13" s="64" customFormat="1">
      <c r="A1196" s="10"/>
      <c r="B1196" s="111"/>
      <c r="C1196" s="68"/>
      <c r="D1196" s="374"/>
      <c r="E1196" s="660"/>
      <c r="F1196" s="112"/>
      <c r="G1196" s="68"/>
      <c r="H1196" s="603"/>
      <c r="I1196" s="882"/>
      <c r="J1196" s="883"/>
      <c r="K1196" s="884"/>
      <c r="L1196" s="884"/>
      <c r="M1196" s="68"/>
    </row>
    <row r="1197" spans="1:13" s="64" customFormat="1">
      <c r="A1197" s="10"/>
      <c r="B1197" s="111"/>
      <c r="C1197" s="68"/>
      <c r="D1197" s="374"/>
      <c r="E1197" s="660"/>
      <c r="F1197" s="112"/>
      <c r="G1197" s="68"/>
      <c r="H1197" s="603"/>
      <c r="I1197" s="882"/>
      <c r="J1197" s="883"/>
      <c r="K1197" s="884"/>
      <c r="L1197" s="884"/>
      <c r="M1197" s="68"/>
    </row>
    <row r="1198" spans="1:13" s="64" customFormat="1">
      <c r="A1198" s="10"/>
      <c r="B1198" s="111"/>
      <c r="C1198" s="68"/>
      <c r="D1198" s="374"/>
      <c r="E1198" s="660"/>
      <c r="F1198" s="112"/>
      <c r="G1198" s="68"/>
      <c r="H1198" s="603"/>
      <c r="I1198" s="882"/>
      <c r="J1198" s="883"/>
      <c r="K1198" s="884"/>
      <c r="L1198" s="884"/>
      <c r="M1198" s="68"/>
    </row>
    <row r="1199" spans="1:13" s="64" customFormat="1">
      <c r="A1199" s="10"/>
      <c r="B1199" s="111"/>
      <c r="C1199" s="68"/>
      <c r="D1199" s="374"/>
      <c r="E1199" s="660"/>
      <c r="F1199" s="112"/>
      <c r="G1199" s="68"/>
      <c r="H1199" s="603"/>
      <c r="I1199" s="882"/>
      <c r="J1199" s="883"/>
      <c r="K1199" s="884"/>
      <c r="L1199" s="884"/>
      <c r="M1199" s="68"/>
    </row>
    <row r="1200" spans="1:13" s="64" customFormat="1">
      <c r="A1200" s="10"/>
      <c r="B1200" s="111"/>
      <c r="C1200" s="68"/>
      <c r="D1200" s="374"/>
      <c r="E1200" s="660"/>
      <c r="F1200" s="112"/>
      <c r="G1200" s="68"/>
      <c r="H1200" s="603"/>
      <c r="I1200" s="882"/>
      <c r="J1200" s="883"/>
      <c r="K1200" s="884"/>
      <c r="L1200" s="884"/>
      <c r="M1200" s="68"/>
    </row>
    <row r="1201" spans="1:13" s="64" customFormat="1">
      <c r="A1201" s="10"/>
      <c r="B1201" s="111"/>
      <c r="C1201" s="68"/>
      <c r="D1201" s="374"/>
      <c r="E1201" s="660"/>
      <c r="F1201" s="112"/>
      <c r="G1201" s="68"/>
      <c r="H1201" s="603"/>
      <c r="I1201" s="882"/>
      <c r="J1201" s="883"/>
      <c r="K1201" s="884"/>
      <c r="L1201" s="884"/>
      <c r="M1201" s="68"/>
    </row>
    <row r="1202" spans="1:13" s="64" customFormat="1">
      <c r="A1202" s="10"/>
      <c r="B1202" s="111"/>
      <c r="C1202" s="68"/>
      <c r="D1202" s="374"/>
      <c r="E1202" s="660"/>
      <c r="F1202" s="112"/>
      <c r="G1202" s="68"/>
      <c r="H1202" s="603"/>
      <c r="I1202" s="882"/>
      <c r="J1202" s="883"/>
      <c r="K1202" s="884"/>
      <c r="L1202" s="884"/>
      <c r="M1202" s="68"/>
    </row>
    <row r="1203" spans="1:13" s="64" customFormat="1">
      <c r="A1203" s="10"/>
      <c r="B1203" s="111"/>
      <c r="C1203" s="68"/>
      <c r="D1203" s="374"/>
      <c r="E1203" s="660"/>
      <c r="F1203" s="112"/>
      <c r="G1203" s="68"/>
      <c r="H1203" s="603"/>
      <c r="I1203" s="882"/>
      <c r="J1203" s="883"/>
      <c r="K1203" s="884"/>
      <c r="L1203" s="884"/>
      <c r="M1203" s="68"/>
    </row>
    <row r="1204" spans="1:13" s="64" customFormat="1">
      <c r="A1204" s="10"/>
      <c r="B1204" s="111"/>
      <c r="C1204" s="68"/>
      <c r="D1204" s="374"/>
      <c r="E1204" s="660"/>
      <c r="F1204" s="112"/>
      <c r="G1204" s="68"/>
      <c r="H1204" s="603"/>
      <c r="I1204" s="882"/>
      <c r="J1204" s="883"/>
      <c r="K1204" s="884"/>
      <c r="L1204" s="884"/>
      <c r="M1204" s="68"/>
    </row>
    <row r="1205" spans="1:13" s="64" customFormat="1">
      <c r="A1205" s="10"/>
      <c r="B1205" s="111"/>
      <c r="C1205" s="68"/>
      <c r="D1205" s="374"/>
      <c r="E1205" s="660"/>
      <c r="F1205" s="112"/>
      <c r="G1205" s="68"/>
      <c r="H1205" s="603"/>
      <c r="I1205" s="882"/>
      <c r="J1205" s="883"/>
      <c r="K1205" s="884"/>
      <c r="L1205" s="884"/>
      <c r="M1205" s="68"/>
    </row>
    <row r="1206" spans="1:13" s="64" customFormat="1">
      <c r="A1206" s="10"/>
      <c r="B1206" s="111"/>
      <c r="C1206" s="68"/>
      <c r="D1206" s="374"/>
      <c r="E1206" s="660"/>
      <c r="F1206" s="112"/>
      <c r="G1206" s="68"/>
      <c r="H1206" s="603"/>
      <c r="I1206" s="882"/>
      <c r="J1206" s="883"/>
      <c r="K1206" s="884"/>
      <c r="L1206" s="884"/>
      <c r="M1206" s="68"/>
    </row>
    <row r="1207" spans="1:13" s="64" customFormat="1">
      <c r="A1207" s="10"/>
      <c r="B1207" s="111"/>
      <c r="C1207" s="68"/>
      <c r="D1207" s="374"/>
      <c r="E1207" s="660"/>
      <c r="F1207" s="112"/>
      <c r="G1207" s="68"/>
      <c r="H1207" s="603"/>
      <c r="I1207" s="882"/>
      <c r="J1207" s="883"/>
      <c r="K1207" s="884"/>
      <c r="L1207" s="884"/>
      <c r="M1207" s="68"/>
    </row>
    <row r="1208" spans="1:13" s="64" customFormat="1">
      <c r="A1208" s="10"/>
      <c r="B1208" s="111"/>
      <c r="C1208" s="68"/>
      <c r="D1208" s="374"/>
      <c r="E1208" s="660"/>
      <c r="F1208" s="112"/>
      <c r="G1208" s="68"/>
      <c r="H1208" s="603"/>
      <c r="I1208" s="882"/>
      <c r="J1208" s="883"/>
      <c r="K1208" s="884"/>
      <c r="L1208" s="884"/>
      <c r="M1208" s="68"/>
    </row>
    <row r="1209" spans="1:13" s="64" customFormat="1">
      <c r="A1209" s="10"/>
      <c r="B1209" s="111"/>
      <c r="C1209" s="68"/>
      <c r="D1209" s="374"/>
      <c r="E1209" s="660"/>
      <c r="F1209" s="112"/>
      <c r="G1209" s="68"/>
      <c r="H1209" s="603"/>
      <c r="I1209" s="882"/>
      <c r="J1209" s="883"/>
      <c r="K1209" s="884"/>
      <c r="L1209" s="884"/>
      <c r="M1209" s="68"/>
    </row>
    <row r="1210" spans="1:13" s="64" customFormat="1">
      <c r="A1210" s="10"/>
      <c r="B1210" s="111"/>
      <c r="C1210" s="68"/>
      <c r="D1210" s="374"/>
      <c r="E1210" s="660"/>
      <c r="F1210" s="112"/>
      <c r="G1210" s="68"/>
      <c r="H1210" s="603"/>
      <c r="I1210" s="882"/>
      <c r="J1210" s="883"/>
      <c r="K1210" s="884"/>
      <c r="L1210" s="884"/>
      <c r="M1210" s="68"/>
    </row>
    <row r="1211" spans="1:13" s="64" customFormat="1">
      <c r="A1211" s="10"/>
      <c r="B1211" s="111"/>
      <c r="C1211" s="68"/>
      <c r="D1211" s="374"/>
      <c r="E1211" s="660"/>
      <c r="F1211" s="112"/>
      <c r="G1211" s="68"/>
      <c r="H1211" s="603"/>
      <c r="I1211" s="882"/>
      <c r="J1211" s="883"/>
      <c r="K1211" s="884"/>
      <c r="L1211" s="884"/>
      <c r="M1211" s="68"/>
    </row>
    <row r="1212" spans="1:13" s="64" customFormat="1">
      <c r="A1212" s="10"/>
      <c r="B1212" s="111"/>
      <c r="C1212" s="68"/>
      <c r="D1212" s="374"/>
      <c r="E1212" s="660"/>
      <c r="F1212" s="112"/>
      <c r="G1212" s="68"/>
      <c r="H1212" s="603"/>
      <c r="I1212" s="882"/>
      <c r="J1212" s="883"/>
      <c r="K1212" s="884"/>
      <c r="L1212" s="884"/>
      <c r="M1212" s="68"/>
    </row>
    <row r="1213" spans="1:13" s="64" customFormat="1">
      <c r="A1213" s="10"/>
      <c r="B1213" s="111"/>
      <c r="C1213" s="68"/>
      <c r="D1213" s="374"/>
      <c r="E1213" s="660"/>
      <c r="F1213" s="112"/>
      <c r="G1213" s="68"/>
      <c r="H1213" s="603"/>
      <c r="I1213" s="882"/>
      <c r="J1213" s="883"/>
      <c r="K1213" s="884"/>
      <c r="L1213" s="884"/>
      <c r="M1213" s="68"/>
    </row>
    <row r="1214" spans="1:13" s="64" customFormat="1">
      <c r="A1214" s="10"/>
      <c r="B1214" s="111"/>
      <c r="C1214" s="68"/>
      <c r="D1214" s="374"/>
      <c r="E1214" s="660"/>
      <c r="F1214" s="112"/>
      <c r="G1214" s="68"/>
      <c r="H1214" s="603"/>
      <c r="I1214" s="882"/>
      <c r="J1214" s="883"/>
      <c r="K1214" s="884"/>
      <c r="L1214" s="884"/>
      <c r="M1214" s="68"/>
    </row>
    <row r="1215" spans="1:13" s="64" customFormat="1">
      <c r="A1215" s="10"/>
      <c r="B1215" s="111"/>
      <c r="C1215" s="68"/>
      <c r="D1215" s="374"/>
      <c r="E1215" s="660"/>
      <c r="F1215" s="112"/>
      <c r="G1215" s="68"/>
      <c r="H1215" s="603"/>
      <c r="I1215" s="882"/>
      <c r="J1215" s="883"/>
      <c r="K1215" s="884"/>
      <c r="L1215" s="884"/>
      <c r="M1215" s="68"/>
    </row>
    <row r="1216" spans="1:13" s="64" customFormat="1">
      <c r="A1216" s="10"/>
      <c r="B1216" s="111"/>
      <c r="C1216" s="68"/>
      <c r="D1216" s="374"/>
      <c r="E1216" s="660"/>
      <c r="F1216" s="112"/>
      <c r="G1216" s="68"/>
      <c r="H1216" s="603"/>
      <c r="I1216" s="882"/>
      <c r="J1216" s="883"/>
      <c r="K1216" s="884"/>
      <c r="L1216" s="884"/>
      <c r="M1216" s="68"/>
    </row>
    <row r="1217" spans="1:13" s="64" customFormat="1">
      <c r="A1217" s="10"/>
      <c r="B1217" s="111"/>
      <c r="C1217" s="68"/>
      <c r="D1217" s="374"/>
      <c r="E1217" s="660"/>
      <c r="F1217" s="112"/>
      <c r="G1217" s="68"/>
      <c r="H1217" s="603"/>
      <c r="I1217" s="882"/>
      <c r="J1217" s="883"/>
      <c r="K1217" s="884"/>
      <c r="L1217" s="884"/>
      <c r="M1217" s="68"/>
    </row>
    <row r="1218" spans="1:13" s="64" customFormat="1">
      <c r="A1218" s="10"/>
      <c r="B1218" s="111"/>
      <c r="C1218" s="68"/>
      <c r="D1218" s="374"/>
      <c r="E1218" s="660"/>
      <c r="F1218" s="112"/>
      <c r="G1218" s="68"/>
      <c r="H1218" s="603"/>
      <c r="I1218" s="882"/>
      <c r="J1218" s="883"/>
      <c r="K1218" s="884"/>
      <c r="L1218" s="884"/>
      <c r="M1218" s="68"/>
    </row>
    <row r="1219" spans="1:13" s="64" customFormat="1">
      <c r="A1219" s="10"/>
      <c r="B1219" s="111"/>
      <c r="C1219" s="68"/>
      <c r="D1219" s="374"/>
      <c r="E1219" s="660"/>
      <c r="F1219" s="112"/>
      <c r="G1219" s="68"/>
      <c r="H1219" s="603"/>
      <c r="I1219" s="882"/>
      <c r="J1219" s="883"/>
      <c r="K1219" s="884"/>
      <c r="L1219" s="884"/>
      <c r="M1219" s="68"/>
    </row>
    <row r="1220" spans="1:13" s="64" customFormat="1">
      <c r="A1220" s="10"/>
      <c r="B1220" s="111"/>
      <c r="C1220" s="68"/>
      <c r="D1220" s="374"/>
      <c r="E1220" s="660"/>
      <c r="F1220" s="112"/>
      <c r="G1220" s="68"/>
      <c r="H1220" s="603"/>
      <c r="I1220" s="882"/>
      <c r="J1220" s="883"/>
      <c r="K1220" s="884"/>
      <c r="L1220" s="884"/>
      <c r="M1220" s="68"/>
    </row>
    <row r="1221" spans="1:13" s="64" customFormat="1">
      <c r="A1221" s="10"/>
      <c r="B1221" s="111"/>
      <c r="C1221" s="68"/>
      <c r="D1221" s="374"/>
      <c r="E1221" s="660"/>
      <c r="F1221" s="112"/>
      <c r="G1221" s="68"/>
      <c r="H1221" s="603"/>
      <c r="I1221" s="882"/>
      <c r="J1221" s="883"/>
      <c r="K1221" s="884"/>
      <c r="L1221" s="884"/>
      <c r="M1221" s="68"/>
    </row>
    <row r="1222" spans="1:13" s="64" customFormat="1">
      <c r="A1222" s="10"/>
      <c r="B1222" s="111"/>
      <c r="C1222" s="68"/>
      <c r="D1222" s="374"/>
      <c r="E1222" s="660"/>
      <c r="F1222" s="112"/>
      <c r="G1222" s="68"/>
      <c r="H1222" s="603"/>
      <c r="I1222" s="882"/>
      <c r="J1222" s="883"/>
      <c r="K1222" s="884"/>
      <c r="L1222" s="884"/>
      <c r="M1222" s="68"/>
    </row>
    <row r="1223" spans="1:13" s="64" customFormat="1">
      <c r="A1223" s="10"/>
      <c r="B1223" s="111"/>
      <c r="C1223" s="68"/>
      <c r="D1223" s="374"/>
      <c r="E1223" s="660"/>
      <c r="F1223" s="112"/>
      <c r="G1223" s="68"/>
      <c r="H1223" s="603"/>
      <c r="I1223" s="882"/>
      <c r="J1223" s="883"/>
      <c r="K1223" s="884"/>
      <c r="L1223" s="884"/>
      <c r="M1223" s="68"/>
    </row>
    <row r="1224" spans="1:13" s="64" customFormat="1">
      <c r="A1224" s="10"/>
      <c r="B1224" s="111"/>
      <c r="C1224" s="68"/>
      <c r="D1224" s="374"/>
      <c r="E1224" s="660"/>
      <c r="F1224" s="112"/>
      <c r="G1224" s="68"/>
      <c r="H1224" s="603"/>
      <c r="I1224" s="882"/>
      <c r="J1224" s="883"/>
      <c r="K1224" s="884"/>
      <c r="L1224" s="884"/>
      <c r="M1224" s="68"/>
    </row>
    <row r="1225" spans="1:13" s="64" customFormat="1">
      <c r="A1225" s="10"/>
      <c r="B1225" s="111"/>
      <c r="C1225" s="68"/>
      <c r="D1225" s="374"/>
      <c r="E1225" s="660"/>
      <c r="F1225" s="112"/>
      <c r="G1225" s="68"/>
      <c r="H1225" s="603"/>
      <c r="I1225" s="882"/>
      <c r="J1225" s="883"/>
      <c r="K1225" s="884"/>
      <c r="L1225" s="884"/>
      <c r="M1225" s="68"/>
    </row>
    <row r="1226" spans="1:13" s="64" customFormat="1">
      <c r="A1226" s="10"/>
      <c r="B1226" s="111"/>
      <c r="C1226" s="68"/>
      <c r="D1226" s="374"/>
      <c r="E1226" s="660"/>
      <c r="F1226" s="112"/>
      <c r="G1226" s="68"/>
      <c r="H1226" s="603"/>
      <c r="I1226" s="882"/>
      <c r="J1226" s="883"/>
      <c r="K1226" s="884"/>
      <c r="L1226" s="884"/>
      <c r="M1226" s="68"/>
    </row>
    <row r="1227" spans="1:13" s="64" customFormat="1">
      <c r="A1227" s="10"/>
      <c r="B1227" s="111"/>
      <c r="C1227" s="68"/>
      <c r="D1227" s="374"/>
      <c r="E1227" s="660"/>
      <c r="F1227" s="112"/>
      <c r="G1227" s="68"/>
      <c r="H1227" s="603"/>
      <c r="I1227" s="882"/>
      <c r="J1227" s="883"/>
      <c r="K1227" s="884"/>
      <c r="L1227" s="884"/>
      <c r="M1227" s="68"/>
    </row>
    <row r="1228" spans="1:13" s="64" customFormat="1">
      <c r="A1228" s="10"/>
      <c r="B1228" s="111"/>
      <c r="C1228" s="68"/>
      <c r="D1228" s="374"/>
      <c r="E1228" s="660"/>
      <c r="F1228" s="112"/>
      <c r="G1228" s="68"/>
      <c r="H1228" s="603"/>
      <c r="I1228" s="882"/>
      <c r="J1228" s="883"/>
      <c r="K1228" s="884"/>
      <c r="L1228" s="884"/>
      <c r="M1228" s="68"/>
    </row>
    <row r="1229" spans="1:13" s="64" customFormat="1">
      <c r="A1229" s="10"/>
      <c r="B1229" s="111"/>
      <c r="C1229" s="68"/>
      <c r="D1229" s="374"/>
      <c r="E1229" s="660"/>
      <c r="F1229" s="112"/>
      <c r="G1229" s="68"/>
      <c r="H1229" s="603"/>
      <c r="I1229" s="882"/>
      <c r="J1229" s="883"/>
      <c r="K1229" s="884"/>
      <c r="L1229" s="884"/>
      <c r="M1229" s="68"/>
    </row>
    <row r="1230" spans="1:13" s="64" customFormat="1">
      <c r="A1230" s="10"/>
      <c r="B1230" s="111"/>
      <c r="C1230" s="68"/>
      <c r="D1230" s="374"/>
      <c r="E1230" s="660"/>
      <c r="F1230" s="112"/>
      <c r="G1230" s="68"/>
      <c r="H1230" s="603"/>
      <c r="I1230" s="882"/>
      <c r="J1230" s="883"/>
      <c r="K1230" s="884"/>
      <c r="L1230" s="884"/>
      <c r="M1230" s="68"/>
    </row>
    <row r="1231" spans="1:13" s="64" customFormat="1">
      <c r="A1231" s="10"/>
      <c r="B1231" s="111"/>
      <c r="C1231" s="68"/>
      <c r="D1231" s="374"/>
      <c r="E1231" s="660"/>
      <c r="F1231" s="112"/>
      <c r="G1231" s="68"/>
      <c r="H1231" s="603"/>
      <c r="I1231" s="882"/>
      <c r="J1231" s="883"/>
      <c r="K1231" s="884"/>
      <c r="L1231" s="884"/>
      <c r="M1231" s="68"/>
    </row>
    <row r="1232" spans="1:13" s="64" customFormat="1">
      <c r="A1232" s="10"/>
      <c r="B1232" s="111"/>
      <c r="C1232" s="68"/>
      <c r="D1232" s="374"/>
      <c r="E1232" s="660"/>
      <c r="F1232" s="112"/>
      <c r="G1232" s="68"/>
      <c r="H1232" s="603"/>
      <c r="I1232" s="882"/>
      <c r="J1232" s="883"/>
      <c r="K1232" s="884"/>
      <c r="L1232" s="884"/>
      <c r="M1232" s="68"/>
    </row>
    <row r="1233" spans="1:13" s="64" customFormat="1">
      <c r="A1233" s="10"/>
      <c r="B1233" s="111"/>
      <c r="C1233" s="68"/>
      <c r="D1233" s="374"/>
      <c r="E1233" s="660"/>
      <c r="F1233" s="112"/>
      <c r="G1233" s="68"/>
      <c r="H1233" s="603"/>
      <c r="I1233" s="882"/>
      <c r="J1233" s="883"/>
      <c r="K1233" s="884"/>
      <c r="L1233" s="884"/>
      <c r="M1233" s="68"/>
    </row>
    <row r="1234" spans="1:13" s="64" customFormat="1">
      <c r="A1234" s="10"/>
      <c r="B1234" s="111"/>
      <c r="C1234" s="68"/>
      <c r="D1234" s="374"/>
      <c r="E1234" s="660"/>
      <c r="F1234" s="112"/>
      <c r="G1234" s="68"/>
      <c r="H1234" s="603"/>
      <c r="I1234" s="882"/>
      <c r="J1234" s="883"/>
      <c r="K1234" s="884"/>
      <c r="L1234" s="884"/>
      <c r="M1234" s="68"/>
    </row>
    <row r="1235" spans="1:13" s="64" customFormat="1">
      <c r="A1235" s="10"/>
      <c r="B1235" s="111"/>
      <c r="C1235" s="68"/>
      <c r="D1235" s="374"/>
      <c r="E1235" s="660"/>
      <c r="F1235" s="112"/>
      <c r="G1235" s="68"/>
      <c r="H1235" s="603"/>
      <c r="I1235" s="882"/>
      <c r="J1235" s="883"/>
      <c r="K1235" s="884"/>
      <c r="L1235" s="884"/>
      <c r="M1235" s="68"/>
    </row>
    <row r="1236" spans="1:13" s="64" customFormat="1">
      <c r="A1236" s="10"/>
      <c r="B1236" s="111"/>
      <c r="C1236" s="68"/>
      <c r="D1236" s="374"/>
      <c r="E1236" s="660"/>
      <c r="F1236" s="112"/>
      <c r="G1236" s="68"/>
      <c r="H1236" s="603"/>
      <c r="I1236" s="882"/>
      <c r="J1236" s="883"/>
      <c r="K1236" s="884"/>
      <c r="L1236" s="884"/>
      <c r="M1236" s="68"/>
    </row>
    <row r="1237" spans="1:13" s="64" customFormat="1">
      <c r="A1237" s="10"/>
      <c r="B1237" s="111"/>
      <c r="C1237" s="68"/>
      <c r="D1237" s="374"/>
      <c r="E1237" s="660"/>
      <c r="F1237" s="112"/>
      <c r="G1237" s="68"/>
      <c r="H1237" s="603"/>
      <c r="I1237" s="882"/>
      <c r="J1237" s="883"/>
      <c r="K1237" s="884"/>
      <c r="L1237" s="884"/>
      <c r="M1237" s="68"/>
    </row>
    <row r="1238" spans="1:13" s="64" customFormat="1">
      <c r="A1238" s="10"/>
      <c r="B1238" s="111"/>
      <c r="C1238" s="68"/>
      <c r="D1238" s="374"/>
      <c r="E1238" s="660"/>
      <c r="F1238" s="112"/>
      <c r="G1238" s="68"/>
      <c r="H1238" s="603"/>
      <c r="I1238" s="882"/>
      <c r="J1238" s="883"/>
      <c r="K1238" s="884"/>
      <c r="L1238" s="884"/>
      <c r="M1238" s="68"/>
    </row>
    <row r="1239" spans="1:13" s="64" customFormat="1">
      <c r="A1239" s="10"/>
      <c r="B1239" s="111"/>
      <c r="C1239" s="68"/>
      <c r="D1239" s="374"/>
      <c r="E1239" s="660"/>
      <c r="F1239" s="112"/>
      <c r="G1239" s="68"/>
      <c r="H1239" s="603"/>
      <c r="I1239" s="882"/>
      <c r="J1239" s="883"/>
      <c r="K1239" s="884"/>
      <c r="L1239" s="884"/>
      <c r="M1239" s="68"/>
    </row>
    <row r="1240" spans="1:13" s="64" customFormat="1">
      <c r="A1240" s="10"/>
      <c r="B1240" s="111"/>
      <c r="C1240" s="68"/>
      <c r="D1240" s="374"/>
      <c r="E1240" s="660"/>
      <c r="F1240" s="112"/>
      <c r="G1240" s="68"/>
      <c r="H1240" s="603"/>
      <c r="I1240" s="882"/>
      <c r="J1240" s="883"/>
      <c r="K1240" s="884"/>
      <c r="L1240" s="884"/>
      <c r="M1240" s="68"/>
    </row>
    <row r="1241" spans="1:13" s="64" customFormat="1">
      <c r="A1241" s="10"/>
      <c r="B1241" s="111"/>
      <c r="C1241" s="68"/>
      <c r="D1241" s="374"/>
      <c r="E1241" s="660"/>
      <c r="F1241" s="112"/>
      <c r="G1241" s="68"/>
      <c r="H1241" s="603"/>
      <c r="I1241" s="882"/>
      <c r="J1241" s="883"/>
      <c r="K1241" s="884"/>
      <c r="L1241" s="884"/>
      <c r="M1241" s="68"/>
    </row>
    <row r="1242" spans="1:13" s="64" customFormat="1">
      <c r="A1242" s="10"/>
      <c r="B1242" s="111"/>
      <c r="C1242" s="68"/>
      <c r="D1242" s="374"/>
      <c r="E1242" s="660"/>
      <c r="F1242" s="112"/>
      <c r="G1242" s="68"/>
      <c r="H1242" s="603"/>
      <c r="I1242" s="882"/>
      <c r="J1242" s="883"/>
      <c r="K1242" s="884"/>
      <c r="L1242" s="884"/>
      <c r="M1242" s="68"/>
    </row>
    <row r="1243" spans="1:13" s="64" customFormat="1">
      <c r="A1243" s="10"/>
      <c r="B1243" s="111"/>
      <c r="C1243" s="68"/>
      <c r="D1243" s="374"/>
      <c r="E1243" s="660"/>
      <c r="F1243" s="112"/>
      <c r="G1243" s="68"/>
      <c r="H1243" s="603"/>
      <c r="I1243" s="882"/>
      <c r="J1243" s="883"/>
      <c r="K1243" s="884"/>
      <c r="L1243" s="884"/>
      <c r="M1243" s="68"/>
    </row>
    <row r="1244" spans="1:13" s="64" customFormat="1">
      <c r="A1244" s="10"/>
      <c r="B1244" s="111"/>
      <c r="C1244" s="68"/>
      <c r="D1244" s="374"/>
      <c r="E1244" s="660"/>
      <c r="F1244" s="112"/>
      <c r="G1244" s="68"/>
      <c r="H1244" s="603"/>
      <c r="I1244" s="882"/>
      <c r="J1244" s="883"/>
      <c r="K1244" s="884"/>
      <c r="L1244" s="884"/>
      <c r="M1244" s="68"/>
    </row>
    <row r="1245" spans="1:13" s="64" customFormat="1">
      <c r="A1245" s="10"/>
      <c r="B1245" s="111"/>
      <c r="C1245" s="68"/>
      <c r="D1245" s="374"/>
      <c r="E1245" s="660"/>
      <c r="F1245" s="112"/>
      <c r="G1245" s="68"/>
      <c r="H1245" s="603"/>
      <c r="I1245" s="882"/>
      <c r="J1245" s="883"/>
      <c r="K1245" s="884"/>
      <c r="L1245" s="884"/>
      <c r="M1245" s="68"/>
    </row>
    <row r="1246" spans="1:13" s="64" customFormat="1">
      <c r="A1246" s="10"/>
      <c r="B1246" s="111"/>
      <c r="C1246" s="68"/>
      <c r="D1246" s="374"/>
      <c r="E1246" s="660"/>
      <c r="F1246" s="112"/>
      <c r="G1246" s="68"/>
      <c r="H1246" s="603"/>
      <c r="I1246" s="882"/>
      <c r="J1246" s="883"/>
      <c r="K1246" s="884"/>
      <c r="L1246" s="884"/>
      <c r="M1246" s="68"/>
    </row>
    <row r="1247" spans="1:13" s="64" customFormat="1">
      <c r="A1247" s="10"/>
      <c r="B1247" s="111"/>
      <c r="C1247" s="68"/>
      <c r="D1247" s="374"/>
      <c r="E1247" s="660"/>
      <c r="F1247" s="112"/>
      <c r="G1247" s="68"/>
      <c r="H1247" s="603"/>
      <c r="I1247" s="882"/>
      <c r="J1247" s="883"/>
      <c r="K1247" s="884"/>
      <c r="L1247" s="884"/>
      <c r="M1247" s="68"/>
    </row>
    <row r="1248" spans="1:13" s="64" customFormat="1">
      <c r="A1248" s="10"/>
      <c r="B1248" s="111"/>
      <c r="C1248" s="68"/>
      <c r="D1248" s="374"/>
      <c r="E1248" s="660"/>
      <c r="F1248" s="112"/>
      <c r="G1248" s="68"/>
      <c r="H1248" s="603"/>
      <c r="I1248" s="882"/>
      <c r="J1248" s="883"/>
      <c r="K1248" s="884"/>
      <c r="L1248" s="884"/>
      <c r="M1248" s="68"/>
    </row>
    <row r="1249" spans="1:13" s="64" customFormat="1">
      <c r="A1249" s="10"/>
      <c r="B1249" s="111"/>
      <c r="C1249" s="68"/>
      <c r="D1249" s="374"/>
      <c r="E1249" s="660"/>
      <c r="F1249" s="112"/>
      <c r="G1249" s="68"/>
      <c r="H1249" s="603"/>
      <c r="I1249" s="882"/>
      <c r="J1249" s="883"/>
      <c r="K1249" s="884"/>
      <c r="L1249" s="884"/>
      <c r="M1249" s="68"/>
    </row>
    <row r="1250" spans="1:13" s="64" customFormat="1">
      <c r="A1250" s="10"/>
      <c r="B1250" s="111"/>
      <c r="C1250" s="68"/>
      <c r="D1250" s="374"/>
      <c r="E1250" s="660"/>
      <c r="F1250" s="112"/>
      <c r="G1250" s="68"/>
      <c r="H1250" s="603"/>
      <c r="I1250" s="882"/>
      <c r="J1250" s="883"/>
      <c r="K1250" s="884"/>
      <c r="L1250" s="884"/>
      <c r="M1250" s="68"/>
    </row>
    <row r="1251" spans="1:13" s="64" customFormat="1">
      <c r="A1251" s="10"/>
      <c r="B1251" s="111"/>
      <c r="C1251" s="68"/>
      <c r="D1251" s="374"/>
      <c r="E1251" s="660"/>
      <c r="F1251" s="112"/>
      <c r="G1251" s="68"/>
      <c r="H1251" s="603"/>
      <c r="I1251" s="882"/>
      <c r="J1251" s="883"/>
      <c r="K1251" s="884"/>
      <c r="L1251" s="884"/>
      <c r="M1251" s="68"/>
    </row>
    <row r="1252" spans="1:13" s="64" customFormat="1">
      <c r="A1252" s="10"/>
      <c r="B1252" s="111"/>
      <c r="C1252" s="68"/>
      <c r="D1252" s="374"/>
      <c r="E1252" s="660"/>
      <c r="F1252" s="112"/>
      <c r="G1252" s="68"/>
      <c r="H1252" s="603"/>
      <c r="I1252" s="882"/>
      <c r="J1252" s="883"/>
      <c r="K1252" s="884"/>
      <c r="L1252" s="884"/>
      <c r="M1252" s="68"/>
    </row>
    <row r="1253" spans="1:13" s="64" customFormat="1">
      <c r="A1253" s="10"/>
      <c r="B1253" s="111"/>
      <c r="C1253" s="68"/>
      <c r="D1253" s="374"/>
      <c r="E1253" s="660"/>
      <c r="F1253" s="112"/>
      <c r="G1253" s="68"/>
      <c r="H1253" s="603"/>
      <c r="I1253" s="882"/>
      <c r="J1253" s="883"/>
      <c r="K1253" s="884"/>
      <c r="L1253" s="884"/>
      <c r="M1253" s="68"/>
    </row>
    <row r="1254" spans="1:13" s="64" customFormat="1">
      <c r="A1254" s="10"/>
      <c r="B1254" s="111"/>
      <c r="C1254" s="68"/>
      <c r="D1254" s="374"/>
      <c r="E1254" s="660"/>
      <c r="F1254" s="112"/>
      <c r="G1254" s="68"/>
      <c r="H1254" s="603"/>
      <c r="I1254" s="882"/>
      <c r="J1254" s="883"/>
      <c r="K1254" s="884"/>
      <c r="L1254" s="884"/>
      <c r="M1254" s="68"/>
    </row>
    <row r="1255" spans="1:13" s="64" customFormat="1">
      <c r="A1255" s="10"/>
      <c r="B1255" s="111"/>
      <c r="C1255" s="68"/>
      <c r="D1255" s="374"/>
      <c r="E1255" s="660"/>
      <c r="F1255" s="112"/>
      <c r="G1255" s="68"/>
      <c r="H1255" s="603"/>
      <c r="I1255" s="882"/>
      <c r="J1255" s="883"/>
      <c r="K1255" s="884"/>
      <c r="L1255" s="884"/>
      <c r="M1255" s="68"/>
    </row>
    <row r="1256" spans="1:13" s="64" customFormat="1">
      <c r="A1256" s="10"/>
      <c r="B1256" s="111"/>
      <c r="C1256" s="68"/>
      <c r="D1256" s="374"/>
      <c r="E1256" s="660"/>
      <c r="F1256" s="112"/>
      <c r="G1256" s="68"/>
      <c r="H1256" s="603"/>
      <c r="I1256" s="882"/>
      <c r="J1256" s="883"/>
      <c r="K1256" s="884"/>
      <c r="L1256" s="884"/>
      <c r="M1256" s="68"/>
    </row>
    <row r="1257" spans="1:13" s="64" customFormat="1">
      <c r="A1257" s="10"/>
      <c r="B1257" s="111"/>
      <c r="C1257" s="68"/>
      <c r="D1257" s="374"/>
      <c r="E1257" s="660"/>
      <c r="F1257" s="112"/>
      <c r="G1257" s="68"/>
      <c r="H1257" s="603"/>
      <c r="I1257" s="882"/>
      <c r="J1257" s="883"/>
      <c r="K1257" s="884"/>
      <c r="L1257" s="884"/>
      <c r="M1257" s="68"/>
    </row>
    <row r="1258" spans="1:13" s="64" customFormat="1">
      <c r="A1258" s="10"/>
      <c r="B1258" s="111"/>
      <c r="C1258" s="68"/>
      <c r="D1258" s="374"/>
      <c r="E1258" s="660"/>
      <c r="F1258" s="112"/>
      <c r="G1258" s="68"/>
      <c r="H1258" s="603"/>
      <c r="I1258" s="882"/>
      <c r="J1258" s="883"/>
      <c r="K1258" s="884"/>
      <c r="L1258" s="884"/>
      <c r="M1258" s="68"/>
    </row>
    <row r="1259" spans="1:13" s="64" customFormat="1">
      <c r="A1259" s="10"/>
      <c r="B1259" s="111"/>
      <c r="C1259" s="68"/>
      <c r="D1259" s="374"/>
      <c r="E1259" s="660"/>
      <c r="F1259" s="112"/>
      <c r="G1259" s="68"/>
      <c r="H1259" s="603"/>
      <c r="I1259" s="882"/>
      <c r="J1259" s="883"/>
      <c r="K1259" s="884"/>
      <c r="L1259" s="884"/>
      <c r="M1259" s="68"/>
    </row>
    <row r="1260" spans="1:13" s="64" customFormat="1">
      <c r="A1260" s="10"/>
      <c r="B1260" s="111"/>
      <c r="C1260" s="68"/>
      <c r="D1260" s="374"/>
      <c r="E1260" s="660"/>
      <c r="F1260" s="112"/>
      <c r="G1260" s="68"/>
      <c r="H1260" s="603"/>
      <c r="I1260" s="882"/>
      <c r="J1260" s="883"/>
      <c r="K1260" s="884"/>
      <c r="L1260" s="884"/>
      <c r="M1260" s="68"/>
    </row>
    <row r="1261" spans="1:13" s="64" customFormat="1">
      <c r="A1261" s="10"/>
      <c r="B1261" s="111"/>
      <c r="C1261" s="68"/>
      <c r="D1261" s="374"/>
      <c r="E1261" s="660"/>
      <c r="F1261" s="112"/>
      <c r="G1261" s="68"/>
      <c r="H1261" s="603"/>
      <c r="I1261" s="882"/>
      <c r="J1261" s="883"/>
      <c r="K1261" s="884"/>
      <c r="L1261" s="884"/>
      <c r="M1261" s="68"/>
    </row>
    <row r="1262" spans="1:13" s="64" customFormat="1">
      <c r="A1262" s="10"/>
      <c r="B1262" s="111"/>
      <c r="C1262" s="68"/>
      <c r="D1262" s="374"/>
      <c r="E1262" s="660"/>
      <c r="F1262" s="112"/>
      <c r="G1262" s="68"/>
      <c r="H1262" s="603"/>
      <c r="I1262" s="882"/>
      <c r="J1262" s="883"/>
      <c r="K1262" s="884"/>
      <c r="L1262" s="884"/>
      <c r="M1262" s="68"/>
    </row>
    <row r="1263" spans="1:13" s="64" customFormat="1">
      <c r="A1263" s="10"/>
      <c r="B1263" s="111"/>
      <c r="C1263" s="68"/>
      <c r="D1263" s="374"/>
      <c r="E1263" s="660"/>
      <c r="F1263" s="112"/>
      <c r="G1263" s="68"/>
      <c r="H1263" s="603"/>
      <c r="I1263" s="882"/>
      <c r="J1263" s="883"/>
      <c r="K1263" s="884"/>
      <c r="L1263" s="884"/>
      <c r="M1263" s="68"/>
    </row>
    <row r="1264" spans="1:13" s="64" customFormat="1">
      <c r="A1264" s="10"/>
      <c r="B1264" s="111"/>
      <c r="C1264" s="68"/>
      <c r="D1264" s="374"/>
      <c r="E1264" s="660"/>
      <c r="F1264" s="112"/>
      <c r="G1264" s="68"/>
      <c r="H1264" s="603"/>
      <c r="I1264" s="882"/>
      <c r="J1264" s="883"/>
      <c r="K1264" s="884"/>
      <c r="L1264" s="884"/>
      <c r="M1264" s="68"/>
    </row>
    <row r="1265" spans="1:13" s="64" customFormat="1">
      <c r="A1265" s="10"/>
      <c r="B1265" s="111"/>
      <c r="C1265" s="68"/>
      <c r="D1265" s="374"/>
      <c r="E1265" s="660"/>
      <c r="F1265" s="112"/>
      <c r="G1265" s="68"/>
      <c r="H1265" s="603"/>
      <c r="I1265" s="882"/>
      <c r="J1265" s="883"/>
      <c r="K1265" s="884"/>
      <c r="L1265" s="884"/>
      <c r="M1265" s="68"/>
    </row>
    <row r="1266" spans="1:13" s="64" customFormat="1">
      <c r="A1266" s="10"/>
      <c r="B1266" s="111"/>
      <c r="C1266" s="68"/>
      <c r="D1266" s="374"/>
      <c r="E1266" s="660"/>
      <c r="F1266" s="112"/>
      <c r="G1266" s="68"/>
      <c r="H1266" s="603"/>
      <c r="I1266" s="882"/>
      <c r="J1266" s="883"/>
      <c r="K1266" s="884"/>
      <c r="L1266" s="884"/>
      <c r="M1266" s="68"/>
    </row>
    <row r="1267" spans="1:13" s="64" customFormat="1">
      <c r="A1267" s="10"/>
      <c r="B1267" s="111"/>
      <c r="C1267" s="68"/>
      <c r="D1267" s="374"/>
      <c r="E1267" s="660"/>
      <c r="F1267" s="112"/>
      <c r="G1267" s="68"/>
      <c r="H1267" s="603"/>
      <c r="I1267" s="882"/>
      <c r="J1267" s="883"/>
      <c r="K1267" s="884"/>
      <c r="L1267" s="884"/>
      <c r="M1267" s="68"/>
    </row>
    <row r="1268" spans="1:13" s="64" customFormat="1">
      <c r="A1268" s="10"/>
      <c r="B1268" s="111"/>
      <c r="C1268" s="68"/>
      <c r="D1268" s="374"/>
      <c r="E1268" s="660"/>
      <c r="F1268" s="112"/>
      <c r="G1268" s="68"/>
      <c r="H1268" s="603"/>
      <c r="I1268" s="882"/>
      <c r="J1268" s="883"/>
      <c r="K1268" s="884"/>
      <c r="L1268" s="884"/>
      <c r="M1268" s="68"/>
    </row>
    <row r="1269" spans="1:13" s="64" customFormat="1">
      <c r="A1269" s="10"/>
      <c r="B1269" s="111"/>
      <c r="C1269" s="68"/>
      <c r="D1269" s="374"/>
      <c r="E1269" s="660"/>
      <c r="F1269" s="112"/>
      <c r="G1269" s="68"/>
      <c r="H1269" s="603"/>
      <c r="I1269" s="882"/>
      <c r="J1269" s="883"/>
      <c r="K1269" s="884"/>
      <c r="L1269" s="884"/>
      <c r="M1269" s="68"/>
    </row>
    <row r="1270" spans="1:13" s="64" customFormat="1">
      <c r="A1270" s="10"/>
      <c r="B1270" s="111"/>
      <c r="C1270" s="68"/>
      <c r="D1270" s="374"/>
      <c r="E1270" s="660"/>
      <c r="F1270" s="112"/>
      <c r="G1270" s="68"/>
      <c r="H1270" s="603"/>
      <c r="I1270" s="882"/>
      <c r="J1270" s="883"/>
      <c r="K1270" s="884"/>
      <c r="L1270" s="884"/>
      <c r="M1270" s="68"/>
    </row>
    <row r="1271" spans="1:13" s="64" customFormat="1">
      <c r="A1271" s="10"/>
      <c r="B1271" s="111"/>
      <c r="C1271" s="68"/>
      <c r="D1271" s="374"/>
      <c r="E1271" s="660"/>
      <c r="F1271" s="112"/>
      <c r="G1271" s="68"/>
      <c r="H1271" s="603"/>
      <c r="I1271" s="882"/>
      <c r="J1271" s="883"/>
      <c r="K1271" s="884"/>
      <c r="L1271" s="884"/>
      <c r="M1271" s="68"/>
    </row>
    <row r="1272" spans="1:13" s="64" customFormat="1">
      <c r="A1272" s="10"/>
      <c r="B1272" s="111"/>
      <c r="C1272" s="68"/>
      <c r="D1272" s="374"/>
      <c r="E1272" s="660"/>
      <c r="F1272" s="112"/>
      <c r="G1272" s="68"/>
      <c r="H1272" s="603"/>
      <c r="I1272" s="882"/>
      <c r="J1272" s="883"/>
      <c r="K1272" s="884"/>
      <c r="L1272" s="884"/>
      <c r="M1272" s="68"/>
    </row>
    <row r="1273" spans="1:13" s="64" customFormat="1">
      <c r="A1273" s="10"/>
      <c r="B1273" s="111"/>
      <c r="C1273" s="68"/>
      <c r="D1273" s="374"/>
      <c r="E1273" s="660"/>
      <c r="F1273" s="112"/>
      <c r="G1273" s="68"/>
      <c r="H1273" s="603"/>
      <c r="I1273" s="882"/>
      <c r="J1273" s="883"/>
      <c r="K1273" s="884"/>
      <c r="L1273" s="884"/>
      <c r="M1273" s="68"/>
    </row>
    <row r="1274" spans="1:13" s="64" customFormat="1">
      <c r="A1274" s="10"/>
      <c r="B1274" s="111"/>
      <c r="C1274" s="68"/>
      <c r="D1274" s="374"/>
      <c r="E1274" s="660"/>
      <c r="F1274" s="112"/>
      <c r="G1274" s="68"/>
      <c r="H1274" s="603"/>
      <c r="I1274" s="882"/>
      <c r="J1274" s="883"/>
      <c r="K1274" s="884"/>
      <c r="L1274" s="884"/>
      <c r="M1274" s="68"/>
    </row>
    <row r="1275" spans="1:13" s="64" customFormat="1">
      <c r="A1275" s="10"/>
      <c r="B1275" s="111"/>
      <c r="C1275" s="68"/>
      <c r="D1275" s="374"/>
      <c r="E1275" s="660"/>
      <c r="F1275" s="112"/>
      <c r="G1275" s="68"/>
      <c r="H1275" s="603"/>
      <c r="I1275" s="882"/>
      <c r="J1275" s="883"/>
      <c r="K1275" s="884"/>
      <c r="L1275" s="884"/>
      <c r="M1275" s="68"/>
    </row>
    <row r="1276" spans="1:13" s="64" customFormat="1">
      <c r="A1276" s="10"/>
      <c r="B1276" s="111"/>
      <c r="C1276" s="68"/>
      <c r="D1276" s="374"/>
      <c r="E1276" s="660"/>
      <c r="F1276" s="112"/>
      <c r="G1276" s="68"/>
      <c r="H1276" s="603"/>
      <c r="I1276" s="882"/>
      <c r="J1276" s="883"/>
      <c r="K1276" s="884"/>
      <c r="L1276" s="884"/>
      <c r="M1276" s="68"/>
    </row>
    <row r="1277" spans="1:13" s="64" customFormat="1">
      <c r="A1277" s="10"/>
      <c r="B1277" s="111"/>
      <c r="C1277" s="68"/>
      <c r="D1277" s="374"/>
      <c r="E1277" s="660"/>
      <c r="F1277" s="112"/>
      <c r="G1277" s="68"/>
      <c r="H1277" s="603"/>
      <c r="I1277" s="882"/>
      <c r="J1277" s="883"/>
      <c r="K1277" s="884"/>
      <c r="L1277" s="884"/>
      <c r="M1277" s="68"/>
    </row>
    <row r="1278" spans="1:13" s="64" customFormat="1">
      <c r="A1278" s="10"/>
      <c r="B1278" s="111"/>
      <c r="C1278" s="68"/>
      <c r="D1278" s="374"/>
      <c r="E1278" s="660"/>
      <c r="F1278" s="112"/>
      <c r="G1278" s="68"/>
      <c r="H1278" s="603"/>
      <c r="I1278" s="882"/>
      <c r="J1278" s="883"/>
      <c r="K1278" s="884"/>
      <c r="L1278" s="884"/>
      <c r="M1278" s="68"/>
    </row>
    <row r="1279" spans="1:13" s="64" customFormat="1">
      <c r="A1279" s="10"/>
      <c r="B1279" s="111"/>
      <c r="C1279" s="68"/>
      <c r="D1279" s="374"/>
      <c r="E1279" s="660"/>
      <c r="F1279" s="112"/>
      <c r="G1279" s="68"/>
      <c r="H1279" s="603"/>
      <c r="I1279" s="882"/>
      <c r="J1279" s="883"/>
      <c r="K1279" s="884"/>
      <c r="L1279" s="884"/>
      <c r="M1279" s="68"/>
    </row>
    <row r="1280" spans="1:13" s="64" customFormat="1">
      <c r="A1280" s="10"/>
      <c r="B1280" s="111"/>
      <c r="C1280" s="68"/>
      <c r="D1280" s="374"/>
      <c r="E1280" s="660"/>
      <c r="F1280" s="112"/>
      <c r="G1280" s="68"/>
      <c r="H1280" s="603"/>
      <c r="I1280" s="882"/>
      <c r="J1280" s="883"/>
      <c r="K1280" s="884"/>
      <c r="L1280" s="884"/>
      <c r="M1280" s="68"/>
    </row>
    <row r="1281" spans="1:13" s="64" customFormat="1">
      <c r="A1281" s="10"/>
      <c r="B1281" s="111"/>
      <c r="C1281" s="68"/>
      <c r="D1281" s="374"/>
      <c r="E1281" s="660"/>
      <c r="F1281" s="112"/>
      <c r="G1281" s="68"/>
      <c r="H1281" s="603"/>
      <c r="I1281" s="882"/>
      <c r="J1281" s="883"/>
      <c r="K1281" s="884"/>
      <c r="L1281" s="884"/>
      <c r="M1281" s="68"/>
    </row>
    <row r="1282" spans="1:13" s="64" customFormat="1">
      <c r="A1282" s="10"/>
      <c r="B1282" s="111"/>
      <c r="C1282" s="68"/>
      <c r="D1282" s="374"/>
      <c r="E1282" s="660"/>
      <c r="F1282" s="112"/>
      <c r="G1282" s="68"/>
      <c r="H1282" s="603"/>
      <c r="I1282" s="882"/>
      <c r="J1282" s="883"/>
      <c r="K1282" s="884"/>
      <c r="L1282" s="884"/>
      <c r="M1282" s="68"/>
    </row>
    <row r="1283" spans="1:13" s="64" customFormat="1">
      <c r="A1283" s="10"/>
      <c r="B1283" s="111"/>
      <c r="C1283" s="68"/>
      <c r="D1283" s="374"/>
      <c r="E1283" s="660"/>
      <c r="F1283" s="112"/>
      <c r="G1283" s="68"/>
      <c r="H1283" s="603"/>
      <c r="I1283" s="882"/>
      <c r="J1283" s="883"/>
      <c r="K1283" s="884"/>
      <c r="L1283" s="884"/>
      <c r="M1283" s="68"/>
    </row>
    <row r="1284" spans="1:13" s="64" customFormat="1">
      <c r="A1284" s="10"/>
      <c r="B1284" s="111"/>
      <c r="C1284" s="68"/>
      <c r="D1284" s="374"/>
      <c r="E1284" s="660"/>
      <c r="F1284" s="112"/>
      <c r="G1284" s="68"/>
      <c r="H1284" s="603"/>
      <c r="I1284" s="882"/>
      <c r="J1284" s="883"/>
      <c r="K1284" s="884"/>
      <c r="L1284" s="884"/>
      <c r="M1284" s="68"/>
    </row>
    <row r="1285" spans="1:13" s="64" customFormat="1">
      <c r="A1285" s="10"/>
      <c r="B1285" s="111"/>
      <c r="C1285" s="68"/>
      <c r="D1285" s="374"/>
      <c r="E1285" s="660"/>
      <c r="F1285" s="112"/>
      <c r="G1285" s="68"/>
      <c r="H1285" s="603"/>
      <c r="I1285" s="882"/>
      <c r="J1285" s="883"/>
      <c r="K1285" s="884"/>
      <c r="L1285" s="884"/>
      <c r="M1285" s="68"/>
    </row>
    <row r="1286" spans="1:13" s="64" customFormat="1">
      <c r="A1286" s="10"/>
      <c r="B1286" s="111"/>
      <c r="C1286" s="68"/>
      <c r="D1286" s="374"/>
      <c r="E1286" s="660"/>
      <c r="F1286" s="112"/>
      <c r="G1286" s="68"/>
      <c r="H1286" s="603"/>
      <c r="I1286" s="882"/>
      <c r="J1286" s="883"/>
      <c r="K1286" s="884"/>
      <c r="L1286" s="884"/>
      <c r="M1286" s="68"/>
    </row>
    <row r="1287" spans="1:13" s="64" customFormat="1">
      <c r="A1287" s="10"/>
      <c r="B1287" s="111"/>
      <c r="C1287" s="68"/>
      <c r="D1287" s="374"/>
      <c r="E1287" s="660"/>
      <c r="F1287" s="112"/>
      <c r="G1287" s="68"/>
      <c r="H1287" s="603"/>
      <c r="I1287" s="882"/>
      <c r="J1287" s="883"/>
      <c r="K1287" s="884"/>
      <c r="L1287" s="884"/>
      <c r="M1287" s="68"/>
    </row>
    <row r="1288" spans="1:13" s="64" customFormat="1">
      <c r="A1288" s="10"/>
      <c r="B1288" s="111"/>
      <c r="C1288" s="68"/>
      <c r="D1288" s="374"/>
      <c r="E1288" s="660"/>
      <c r="F1288" s="112"/>
      <c r="G1288" s="68"/>
      <c r="H1288" s="603"/>
      <c r="I1288" s="882"/>
      <c r="J1288" s="883"/>
      <c r="K1288" s="884"/>
      <c r="L1288" s="884"/>
      <c r="M1288" s="68"/>
    </row>
    <row r="1289" spans="1:13" s="64" customFormat="1">
      <c r="A1289" s="10"/>
      <c r="B1289" s="111"/>
      <c r="C1289" s="68"/>
      <c r="D1289" s="374"/>
      <c r="E1289" s="660"/>
      <c r="F1289" s="112"/>
      <c r="G1289" s="68"/>
      <c r="H1289" s="603"/>
      <c r="I1289" s="882"/>
      <c r="J1289" s="883"/>
      <c r="K1289" s="884"/>
      <c r="L1289" s="884"/>
      <c r="M1289" s="68"/>
    </row>
    <row r="1290" spans="1:13" s="64" customFormat="1">
      <c r="A1290" s="10"/>
      <c r="B1290" s="111"/>
      <c r="C1290" s="68"/>
      <c r="D1290" s="374"/>
      <c r="E1290" s="660"/>
      <c r="F1290" s="112"/>
      <c r="G1290" s="68"/>
      <c r="H1290" s="603"/>
      <c r="I1290" s="882"/>
      <c r="J1290" s="883"/>
      <c r="K1290" s="884"/>
      <c r="L1290" s="884"/>
      <c r="M1290" s="68"/>
    </row>
    <row r="1291" spans="1:13" s="64" customFormat="1">
      <c r="A1291" s="10"/>
      <c r="B1291" s="111"/>
      <c r="C1291" s="68"/>
      <c r="D1291" s="374"/>
      <c r="E1291" s="660"/>
      <c r="F1291" s="112"/>
      <c r="G1291" s="68"/>
      <c r="H1291" s="603"/>
      <c r="I1291" s="882"/>
      <c r="J1291" s="883"/>
      <c r="K1291" s="884"/>
      <c r="L1291" s="884"/>
      <c r="M1291" s="68"/>
    </row>
    <row r="1292" spans="1:13" s="64" customFormat="1">
      <c r="A1292" s="10"/>
      <c r="B1292" s="111"/>
      <c r="C1292" s="68"/>
      <c r="D1292" s="374"/>
      <c r="E1292" s="660"/>
      <c r="F1292" s="112"/>
      <c r="G1292" s="68"/>
      <c r="H1292" s="603"/>
      <c r="I1292" s="882"/>
      <c r="J1292" s="883"/>
      <c r="K1292" s="884"/>
      <c r="L1292" s="884"/>
      <c r="M1292" s="68"/>
    </row>
    <row r="1293" spans="1:13" s="64" customFormat="1">
      <c r="A1293" s="10"/>
      <c r="B1293" s="111"/>
      <c r="C1293" s="68"/>
      <c r="D1293" s="374"/>
      <c r="E1293" s="660"/>
      <c r="F1293" s="112"/>
      <c r="G1293" s="68"/>
      <c r="H1293" s="603"/>
      <c r="I1293" s="882"/>
      <c r="J1293" s="883"/>
      <c r="K1293" s="884"/>
      <c r="L1293" s="884"/>
      <c r="M1293" s="68"/>
    </row>
    <row r="1294" spans="1:13" s="64" customFormat="1">
      <c r="A1294" s="10"/>
      <c r="B1294" s="111"/>
      <c r="C1294" s="68"/>
      <c r="D1294" s="374"/>
      <c r="E1294" s="660"/>
      <c r="F1294" s="112"/>
      <c r="G1294" s="68"/>
      <c r="H1294" s="603"/>
      <c r="I1294" s="882"/>
      <c r="J1294" s="883"/>
      <c r="K1294" s="884"/>
      <c r="L1294" s="884"/>
      <c r="M1294" s="68"/>
    </row>
    <row r="1295" spans="1:13" s="64" customFormat="1">
      <c r="A1295" s="10"/>
      <c r="B1295" s="111"/>
      <c r="C1295" s="68"/>
      <c r="D1295" s="374"/>
      <c r="E1295" s="660"/>
      <c r="F1295" s="112"/>
      <c r="G1295" s="68"/>
      <c r="H1295" s="603"/>
      <c r="I1295" s="882"/>
      <c r="J1295" s="883"/>
      <c r="K1295" s="884"/>
      <c r="L1295" s="884"/>
      <c r="M1295" s="68"/>
    </row>
    <row r="1296" spans="1:13" s="64" customFormat="1">
      <c r="A1296" s="10"/>
      <c r="B1296" s="111"/>
      <c r="C1296" s="68"/>
      <c r="D1296" s="374"/>
      <c r="E1296" s="660"/>
      <c r="F1296" s="112"/>
      <c r="G1296" s="68"/>
      <c r="H1296" s="603"/>
      <c r="I1296" s="882"/>
      <c r="J1296" s="883"/>
      <c r="K1296" s="884"/>
      <c r="L1296" s="884"/>
      <c r="M1296" s="68"/>
    </row>
    <row r="1297" spans="1:13" s="64" customFormat="1">
      <c r="A1297" s="10"/>
      <c r="B1297" s="111"/>
      <c r="C1297" s="68"/>
      <c r="D1297" s="374"/>
      <c r="E1297" s="660"/>
      <c r="F1297" s="112"/>
      <c r="G1297" s="68"/>
      <c r="H1297" s="603"/>
      <c r="I1297" s="882"/>
      <c r="J1297" s="883"/>
      <c r="K1297" s="884"/>
      <c r="L1297" s="884"/>
      <c r="M1297" s="68"/>
    </row>
    <row r="1298" spans="1:13" s="64" customFormat="1">
      <c r="A1298" s="10"/>
      <c r="B1298" s="111"/>
      <c r="C1298" s="68"/>
      <c r="D1298" s="374"/>
      <c r="E1298" s="660"/>
      <c r="F1298" s="112"/>
      <c r="G1298" s="68"/>
      <c r="H1298" s="603"/>
      <c r="I1298" s="882"/>
      <c r="J1298" s="883"/>
      <c r="K1298" s="884"/>
      <c r="L1298" s="884"/>
      <c r="M1298" s="68"/>
    </row>
    <row r="1299" spans="1:13" s="64" customFormat="1">
      <c r="A1299" s="10"/>
      <c r="B1299" s="111"/>
      <c r="C1299" s="68"/>
      <c r="D1299" s="374"/>
      <c r="E1299" s="660"/>
      <c r="F1299" s="112"/>
      <c r="G1299" s="68"/>
      <c r="H1299" s="603"/>
      <c r="I1299" s="882"/>
      <c r="J1299" s="883"/>
      <c r="K1299" s="884"/>
      <c r="L1299" s="884"/>
      <c r="M1299" s="68"/>
    </row>
    <row r="1300" spans="1:13" s="64" customFormat="1">
      <c r="A1300" s="10"/>
      <c r="B1300" s="111"/>
      <c r="C1300" s="68"/>
      <c r="D1300" s="374"/>
      <c r="E1300" s="660"/>
      <c r="F1300" s="112"/>
      <c r="G1300" s="68"/>
      <c r="H1300" s="603"/>
      <c r="I1300" s="882"/>
      <c r="J1300" s="883"/>
      <c r="K1300" s="884"/>
      <c r="L1300" s="884"/>
      <c r="M1300" s="68"/>
    </row>
    <row r="1301" spans="1:13" s="64" customFormat="1">
      <c r="A1301" s="10"/>
      <c r="B1301" s="111"/>
      <c r="C1301" s="68"/>
      <c r="D1301" s="374"/>
      <c r="E1301" s="660"/>
      <c r="F1301" s="112"/>
      <c r="G1301" s="68"/>
      <c r="H1301" s="603"/>
      <c r="I1301" s="882"/>
      <c r="J1301" s="883"/>
      <c r="K1301" s="884"/>
      <c r="L1301" s="884"/>
      <c r="M1301" s="68"/>
    </row>
    <row r="1302" spans="1:13" s="64" customFormat="1">
      <c r="A1302" s="10"/>
      <c r="B1302" s="111"/>
      <c r="C1302" s="68"/>
      <c r="D1302" s="374"/>
      <c r="E1302" s="660"/>
      <c r="F1302" s="112"/>
      <c r="G1302" s="68"/>
      <c r="H1302" s="603"/>
      <c r="I1302" s="882"/>
      <c r="J1302" s="883"/>
      <c r="K1302" s="884"/>
      <c r="L1302" s="884"/>
      <c r="M1302" s="68"/>
    </row>
    <row r="1303" spans="1:13" s="64" customFormat="1">
      <c r="A1303" s="10"/>
      <c r="B1303" s="111"/>
      <c r="C1303" s="68"/>
      <c r="D1303" s="374"/>
      <c r="E1303" s="660"/>
      <c r="F1303" s="112"/>
      <c r="G1303" s="68"/>
      <c r="H1303" s="603"/>
      <c r="I1303" s="882"/>
      <c r="J1303" s="883"/>
      <c r="K1303" s="884"/>
      <c r="L1303" s="884"/>
      <c r="M1303" s="68"/>
    </row>
    <row r="1304" spans="1:13" s="64" customFormat="1">
      <c r="A1304" s="10"/>
      <c r="B1304" s="111"/>
      <c r="C1304" s="68"/>
      <c r="D1304" s="374"/>
      <c r="E1304" s="660"/>
      <c r="F1304" s="112"/>
      <c r="G1304" s="68"/>
      <c r="H1304" s="603"/>
      <c r="I1304" s="882"/>
      <c r="J1304" s="883"/>
      <c r="K1304" s="884"/>
      <c r="L1304" s="884"/>
      <c r="M1304" s="68"/>
    </row>
    <row r="1305" spans="1:13" s="64" customFormat="1">
      <c r="A1305" s="10"/>
      <c r="B1305" s="111"/>
      <c r="C1305" s="68"/>
      <c r="D1305" s="374"/>
      <c r="E1305" s="660"/>
      <c r="F1305" s="112"/>
      <c r="G1305" s="68"/>
      <c r="H1305" s="603"/>
      <c r="I1305" s="882"/>
      <c r="J1305" s="883"/>
      <c r="K1305" s="884"/>
      <c r="L1305" s="884"/>
      <c r="M1305" s="68"/>
    </row>
    <row r="1306" spans="1:13" s="64" customFormat="1">
      <c r="A1306" s="10"/>
      <c r="B1306" s="111"/>
      <c r="C1306" s="68"/>
      <c r="D1306" s="374"/>
      <c r="E1306" s="660"/>
      <c r="F1306" s="112"/>
      <c r="G1306" s="68"/>
      <c r="H1306" s="603"/>
      <c r="I1306" s="882"/>
      <c r="J1306" s="883"/>
      <c r="K1306" s="884"/>
      <c r="L1306" s="884"/>
      <c r="M1306" s="68"/>
    </row>
    <row r="1307" spans="1:13" s="64" customFormat="1">
      <c r="A1307" s="10"/>
      <c r="B1307" s="111"/>
      <c r="C1307" s="68"/>
      <c r="D1307" s="374"/>
      <c r="E1307" s="660"/>
      <c r="F1307" s="112"/>
      <c r="G1307" s="68"/>
      <c r="H1307" s="603"/>
      <c r="I1307" s="882"/>
      <c r="J1307" s="883"/>
      <c r="K1307" s="884"/>
      <c r="L1307" s="884"/>
      <c r="M1307" s="68"/>
    </row>
    <row r="1308" spans="1:13" s="64" customFormat="1">
      <c r="A1308" s="10"/>
      <c r="B1308" s="111"/>
      <c r="C1308" s="68"/>
      <c r="D1308" s="374"/>
      <c r="E1308" s="660"/>
      <c r="F1308" s="112"/>
      <c r="G1308" s="68"/>
      <c r="H1308" s="603"/>
      <c r="I1308" s="882"/>
      <c r="J1308" s="883"/>
      <c r="K1308" s="884"/>
      <c r="L1308" s="884"/>
      <c r="M1308" s="68"/>
    </row>
    <row r="1309" spans="1:13" s="64" customFormat="1">
      <c r="A1309" s="10"/>
      <c r="B1309" s="111"/>
      <c r="C1309" s="68"/>
      <c r="D1309" s="374"/>
      <c r="E1309" s="660"/>
      <c r="F1309" s="112"/>
      <c r="G1309" s="68"/>
      <c r="H1309" s="603"/>
      <c r="I1309" s="882"/>
      <c r="J1309" s="883"/>
      <c r="K1309" s="884"/>
      <c r="L1309" s="884"/>
      <c r="M1309" s="68"/>
    </row>
    <row r="1310" spans="1:13" s="64" customFormat="1">
      <c r="A1310" s="10"/>
      <c r="B1310" s="111"/>
      <c r="C1310" s="68"/>
      <c r="D1310" s="374"/>
      <c r="E1310" s="660"/>
      <c r="F1310" s="112"/>
      <c r="G1310" s="68"/>
      <c r="H1310" s="603"/>
      <c r="I1310" s="882"/>
      <c r="J1310" s="883"/>
      <c r="K1310" s="884"/>
      <c r="L1310" s="884"/>
      <c r="M1310" s="68"/>
    </row>
    <row r="1311" spans="1:13" s="64" customFormat="1">
      <c r="A1311" s="10"/>
      <c r="B1311" s="111"/>
      <c r="C1311" s="68"/>
      <c r="D1311" s="374"/>
      <c r="E1311" s="660"/>
      <c r="F1311" s="112"/>
      <c r="G1311" s="68"/>
      <c r="H1311" s="603"/>
      <c r="I1311" s="882"/>
      <c r="J1311" s="883"/>
      <c r="K1311" s="884"/>
      <c r="L1311" s="884"/>
      <c r="M1311" s="68"/>
    </row>
    <row r="1312" spans="1:13" s="64" customFormat="1">
      <c r="A1312" s="10"/>
      <c r="B1312" s="111"/>
      <c r="C1312" s="68"/>
      <c r="D1312" s="374"/>
      <c r="E1312" s="660"/>
      <c r="F1312" s="112"/>
      <c r="G1312" s="68"/>
      <c r="H1312" s="603"/>
      <c r="I1312" s="882"/>
      <c r="J1312" s="883"/>
      <c r="K1312" s="884"/>
      <c r="L1312" s="884"/>
      <c r="M1312" s="68"/>
    </row>
    <row r="1313" spans="1:13" s="64" customFormat="1">
      <c r="A1313" s="10"/>
      <c r="B1313" s="111"/>
      <c r="C1313" s="68"/>
      <c r="D1313" s="374"/>
      <c r="E1313" s="660"/>
      <c r="F1313" s="112"/>
      <c r="G1313" s="68"/>
      <c r="H1313" s="603"/>
      <c r="I1313" s="882"/>
      <c r="J1313" s="883"/>
      <c r="K1313" s="884"/>
      <c r="L1313" s="884"/>
      <c r="M1313" s="68"/>
    </row>
    <row r="1314" spans="1:13" s="64" customFormat="1">
      <c r="A1314" s="10"/>
      <c r="B1314" s="111"/>
      <c r="C1314" s="68"/>
      <c r="D1314" s="374"/>
      <c r="E1314" s="660"/>
      <c r="F1314" s="112"/>
      <c r="G1314" s="68"/>
      <c r="H1314" s="603"/>
      <c r="I1314" s="882"/>
      <c r="J1314" s="883"/>
      <c r="K1314" s="884"/>
      <c r="L1314" s="884"/>
      <c r="M1314" s="68"/>
    </row>
    <row r="1315" spans="1:13" s="64" customFormat="1">
      <c r="A1315" s="10"/>
      <c r="B1315" s="111"/>
      <c r="C1315" s="68"/>
      <c r="D1315" s="374"/>
      <c r="E1315" s="660"/>
      <c r="F1315" s="112"/>
      <c r="G1315" s="68"/>
      <c r="H1315" s="603"/>
      <c r="I1315" s="882"/>
      <c r="J1315" s="883"/>
      <c r="K1315" s="884"/>
      <c r="L1315" s="884"/>
      <c r="M1315" s="68"/>
    </row>
    <row r="1316" spans="1:13" s="64" customFormat="1">
      <c r="A1316" s="10"/>
      <c r="B1316" s="111"/>
      <c r="C1316" s="68"/>
      <c r="D1316" s="374"/>
      <c r="E1316" s="660"/>
      <c r="F1316" s="112"/>
      <c r="G1316" s="68"/>
      <c r="H1316" s="603"/>
      <c r="I1316" s="882"/>
      <c r="J1316" s="883"/>
      <c r="K1316" s="884"/>
      <c r="L1316" s="884"/>
      <c r="M1316" s="68"/>
    </row>
    <row r="1317" spans="1:13" s="64" customFormat="1">
      <c r="A1317" s="10"/>
      <c r="B1317" s="111"/>
      <c r="C1317" s="68"/>
      <c r="D1317" s="374"/>
      <c r="E1317" s="660"/>
      <c r="F1317" s="112"/>
      <c r="G1317" s="68"/>
      <c r="H1317" s="603"/>
      <c r="I1317" s="882"/>
      <c r="J1317" s="883"/>
      <c r="K1317" s="884"/>
      <c r="L1317" s="884"/>
      <c r="M1317" s="68"/>
    </row>
    <row r="1318" spans="1:13" s="64" customFormat="1">
      <c r="A1318" s="10"/>
      <c r="B1318" s="111"/>
      <c r="C1318" s="68"/>
      <c r="D1318" s="374"/>
      <c r="E1318" s="660"/>
      <c r="F1318" s="112"/>
      <c r="G1318" s="68"/>
      <c r="H1318" s="603"/>
      <c r="I1318" s="882"/>
      <c r="J1318" s="883"/>
      <c r="K1318" s="884"/>
      <c r="L1318" s="884"/>
      <c r="M1318" s="68"/>
    </row>
    <row r="1319" spans="1:13" s="64" customFormat="1">
      <c r="A1319" s="10"/>
      <c r="B1319" s="111"/>
      <c r="C1319" s="68"/>
      <c r="D1319" s="374"/>
      <c r="E1319" s="660"/>
      <c r="F1319" s="112"/>
      <c r="G1319" s="68"/>
      <c r="H1319" s="603"/>
      <c r="I1319" s="882"/>
      <c r="J1319" s="883"/>
      <c r="K1319" s="884"/>
      <c r="L1319" s="884"/>
      <c r="M1319" s="68"/>
    </row>
    <row r="1320" spans="1:13" s="64" customFormat="1">
      <c r="A1320" s="10"/>
      <c r="B1320" s="111"/>
      <c r="C1320" s="68"/>
      <c r="D1320" s="374"/>
      <c r="E1320" s="660"/>
      <c r="F1320" s="112"/>
      <c r="G1320" s="68"/>
      <c r="H1320" s="603"/>
      <c r="I1320" s="882"/>
      <c r="J1320" s="883"/>
      <c r="K1320" s="884"/>
      <c r="L1320" s="884"/>
      <c r="M1320" s="68"/>
    </row>
    <row r="1321" spans="1:13" s="64" customFormat="1">
      <c r="A1321" s="10"/>
      <c r="B1321" s="111"/>
      <c r="C1321" s="68"/>
      <c r="D1321" s="374"/>
      <c r="E1321" s="660"/>
      <c r="F1321" s="112"/>
      <c r="G1321" s="68"/>
      <c r="H1321" s="603"/>
      <c r="I1321" s="882"/>
      <c r="J1321" s="883"/>
      <c r="K1321" s="884"/>
      <c r="L1321" s="884"/>
      <c r="M1321" s="68"/>
    </row>
    <row r="1322" spans="1:13" s="64" customFormat="1">
      <c r="A1322" s="10"/>
      <c r="B1322" s="111"/>
      <c r="C1322" s="68"/>
      <c r="D1322" s="374"/>
      <c r="E1322" s="660"/>
      <c r="F1322" s="112"/>
      <c r="G1322" s="68"/>
      <c r="H1322" s="603"/>
      <c r="I1322" s="882"/>
      <c r="J1322" s="883"/>
      <c r="K1322" s="884"/>
      <c r="L1322" s="884"/>
      <c r="M1322" s="68"/>
    </row>
    <row r="1323" spans="1:13" s="64" customFormat="1">
      <c r="A1323" s="10"/>
      <c r="B1323" s="111"/>
      <c r="C1323" s="68"/>
      <c r="D1323" s="374"/>
      <c r="E1323" s="660"/>
      <c r="F1323" s="112"/>
      <c r="G1323" s="68"/>
      <c r="H1323" s="603"/>
      <c r="I1323" s="882"/>
      <c r="J1323" s="883"/>
      <c r="K1323" s="884"/>
      <c r="L1323" s="884"/>
      <c r="M1323" s="68"/>
    </row>
    <row r="1324" spans="1:13" s="64" customFormat="1">
      <c r="A1324" s="10"/>
      <c r="B1324" s="111"/>
      <c r="C1324" s="68"/>
      <c r="D1324" s="374"/>
      <c r="E1324" s="660"/>
      <c r="F1324" s="112"/>
      <c r="G1324" s="68"/>
      <c r="H1324" s="603"/>
      <c r="I1324" s="882"/>
      <c r="J1324" s="883"/>
      <c r="K1324" s="884"/>
      <c r="L1324" s="884"/>
      <c r="M1324" s="68"/>
    </row>
    <row r="1325" spans="1:13" s="64" customFormat="1">
      <c r="A1325" s="10"/>
      <c r="B1325" s="111"/>
      <c r="C1325" s="68"/>
      <c r="D1325" s="374"/>
      <c r="E1325" s="660"/>
      <c r="F1325" s="112"/>
      <c r="G1325" s="68"/>
      <c r="H1325" s="603"/>
      <c r="I1325" s="882"/>
      <c r="J1325" s="883"/>
      <c r="K1325" s="884"/>
      <c r="L1325" s="884"/>
      <c r="M1325" s="68"/>
    </row>
    <row r="1326" spans="1:13" s="64" customFormat="1">
      <c r="A1326" s="10"/>
      <c r="B1326" s="111"/>
      <c r="C1326" s="68"/>
      <c r="D1326" s="374"/>
      <c r="E1326" s="660"/>
      <c r="F1326" s="112"/>
      <c r="G1326" s="68"/>
      <c r="H1326" s="603"/>
      <c r="I1326" s="882"/>
      <c r="J1326" s="883"/>
      <c r="K1326" s="884"/>
      <c r="L1326" s="884"/>
      <c r="M1326" s="68"/>
    </row>
    <row r="1327" spans="1:13" s="64" customFormat="1">
      <c r="A1327" s="10"/>
      <c r="B1327" s="111"/>
      <c r="C1327" s="68"/>
      <c r="D1327" s="374"/>
      <c r="E1327" s="660"/>
      <c r="F1327" s="112"/>
      <c r="G1327" s="68"/>
      <c r="H1327" s="603"/>
      <c r="I1327" s="882"/>
      <c r="J1327" s="883"/>
      <c r="K1327" s="884"/>
      <c r="L1327" s="884"/>
      <c r="M1327" s="68"/>
    </row>
    <row r="1328" spans="1:13" s="64" customFormat="1">
      <c r="A1328" s="10"/>
      <c r="B1328" s="111"/>
      <c r="C1328" s="68"/>
      <c r="D1328" s="374"/>
      <c r="E1328" s="660"/>
      <c r="F1328" s="112"/>
      <c r="G1328" s="68"/>
      <c r="H1328" s="603"/>
      <c r="I1328" s="882"/>
      <c r="J1328" s="883"/>
      <c r="K1328" s="884"/>
      <c r="L1328" s="884"/>
      <c r="M1328" s="68"/>
    </row>
    <row r="1329" spans="1:13" s="64" customFormat="1">
      <c r="A1329" s="10"/>
      <c r="B1329" s="111"/>
      <c r="C1329" s="68"/>
      <c r="D1329" s="374"/>
      <c r="E1329" s="660"/>
      <c r="F1329" s="112"/>
      <c r="G1329" s="68"/>
      <c r="H1329" s="603"/>
      <c r="I1329" s="882"/>
      <c r="J1329" s="883"/>
      <c r="K1329" s="884"/>
      <c r="L1329" s="884"/>
      <c r="M1329" s="68"/>
    </row>
    <row r="1330" spans="1:13" s="64" customFormat="1">
      <c r="A1330" s="10"/>
      <c r="B1330" s="111"/>
      <c r="C1330" s="68"/>
      <c r="D1330" s="374"/>
      <c r="E1330" s="660"/>
      <c r="F1330" s="112"/>
      <c r="G1330" s="68"/>
      <c r="H1330" s="603"/>
      <c r="I1330" s="882"/>
      <c r="J1330" s="883"/>
      <c r="K1330" s="884"/>
      <c r="L1330" s="884"/>
      <c r="M1330" s="68"/>
    </row>
    <row r="1331" spans="1:13" s="64" customFormat="1">
      <c r="A1331" s="10"/>
      <c r="B1331" s="111"/>
      <c r="C1331" s="68"/>
      <c r="D1331" s="374"/>
      <c r="E1331" s="660"/>
      <c r="F1331" s="112"/>
      <c r="G1331" s="68"/>
      <c r="H1331" s="603"/>
      <c r="I1331" s="882"/>
      <c r="J1331" s="883"/>
      <c r="K1331" s="884"/>
      <c r="L1331" s="884"/>
      <c r="M1331" s="68"/>
    </row>
    <row r="1332" spans="1:13" s="64" customFormat="1">
      <c r="A1332" s="10"/>
      <c r="B1332" s="111"/>
      <c r="C1332" s="68"/>
      <c r="D1332" s="374"/>
      <c r="E1332" s="660"/>
      <c r="F1332" s="112"/>
      <c r="G1332" s="68"/>
      <c r="H1332" s="603"/>
      <c r="I1332" s="882"/>
      <c r="J1332" s="883"/>
      <c r="K1332" s="884"/>
      <c r="L1332" s="884"/>
      <c r="M1332" s="68"/>
    </row>
    <row r="1333" spans="1:13" s="64" customFormat="1">
      <c r="A1333" s="10"/>
      <c r="B1333" s="111"/>
      <c r="C1333" s="68"/>
      <c r="D1333" s="374"/>
      <c r="E1333" s="660"/>
      <c r="F1333" s="112"/>
      <c r="G1333" s="68"/>
      <c r="H1333" s="603"/>
      <c r="I1333" s="882"/>
      <c r="J1333" s="883"/>
      <c r="K1333" s="884"/>
      <c r="L1333" s="884"/>
      <c r="M1333" s="68"/>
    </row>
    <row r="1334" spans="1:13" s="64" customFormat="1">
      <c r="A1334" s="10"/>
      <c r="B1334" s="111"/>
      <c r="C1334" s="68"/>
      <c r="D1334" s="374"/>
      <c r="E1334" s="660"/>
      <c r="F1334" s="112"/>
      <c r="G1334" s="68"/>
      <c r="H1334" s="603"/>
      <c r="I1334" s="882"/>
      <c r="J1334" s="883"/>
      <c r="K1334" s="884"/>
      <c r="L1334" s="884"/>
      <c r="M1334" s="68"/>
    </row>
    <row r="1335" spans="1:13" s="64" customFormat="1">
      <c r="A1335" s="10"/>
      <c r="B1335" s="111"/>
      <c r="C1335" s="68"/>
      <c r="D1335" s="374"/>
      <c r="E1335" s="660"/>
      <c r="F1335" s="112"/>
      <c r="G1335" s="68"/>
      <c r="H1335" s="603"/>
      <c r="I1335" s="882"/>
      <c r="J1335" s="883"/>
      <c r="K1335" s="884"/>
      <c r="L1335" s="884"/>
      <c r="M1335" s="68"/>
    </row>
    <row r="1336" spans="1:13" s="64" customFormat="1">
      <c r="A1336" s="10"/>
      <c r="B1336" s="111"/>
      <c r="C1336" s="68"/>
      <c r="D1336" s="374"/>
      <c r="E1336" s="660"/>
      <c r="F1336" s="112"/>
      <c r="G1336" s="68"/>
      <c r="H1336" s="603"/>
      <c r="I1336" s="882"/>
      <c r="J1336" s="883"/>
      <c r="K1336" s="884"/>
      <c r="L1336" s="884"/>
      <c r="M1336" s="68"/>
    </row>
    <row r="1337" spans="1:13" s="64" customFormat="1">
      <c r="A1337" s="10"/>
      <c r="B1337" s="111"/>
      <c r="C1337" s="68"/>
      <c r="D1337" s="374"/>
      <c r="E1337" s="660"/>
      <c r="F1337" s="112"/>
      <c r="G1337" s="68"/>
      <c r="H1337" s="603"/>
      <c r="I1337" s="882"/>
      <c r="J1337" s="883"/>
      <c r="K1337" s="884"/>
      <c r="L1337" s="884"/>
      <c r="M1337" s="68"/>
    </row>
    <row r="1338" spans="1:13" s="64" customFormat="1">
      <c r="A1338" s="10"/>
      <c r="B1338" s="111"/>
      <c r="C1338" s="68"/>
      <c r="D1338" s="374"/>
      <c r="E1338" s="660"/>
      <c r="F1338" s="112"/>
      <c r="G1338" s="68"/>
      <c r="H1338" s="603"/>
      <c r="I1338" s="882"/>
      <c r="J1338" s="883"/>
      <c r="K1338" s="884"/>
      <c r="L1338" s="884"/>
      <c r="M1338" s="68"/>
    </row>
    <row r="1339" spans="1:13" s="64" customFormat="1">
      <c r="A1339" s="10"/>
      <c r="B1339" s="111"/>
      <c r="C1339" s="68"/>
      <c r="D1339" s="374"/>
      <c r="E1339" s="660"/>
      <c r="F1339" s="112"/>
      <c r="G1339" s="68"/>
      <c r="H1339" s="603"/>
      <c r="I1339" s="882"/>
      <c r="J1339" s="883"/>
      <c r="K1339" s="884"/>
      <c r="L1339" s="884"/>
      <c r="M1339" s="68"/>
    </row>
    <row r="1340" spans="1:13" s="64" customFormat="1">
      <c r="A1340" s="10"/>
      <c r="B1340" s="111"/>
      <c r="C1340" s="68"/>
      <c r="D1340" s="374"/>
      <c r="E1340" s="660"/>
      <c r="F1340" s="112"/>
      <c r="G1340" s="68"/>
      <c r="H1340" s="603"/>
      <c r="I1340" s="882"/>
      <c r="J1340" s="883"/>
      <c r="K1340" s="884"/>
      <c r="L1340" s="884"/>
      <c r="M1340" s="68"/>
    </row>
    <row r="1341" spans="1:13" s="64" customFormat="1">
      <c r="A1341" s="10"/>
      <c r="B1341" s="111"/>
      <c r="C1341" s="68"/>
      <c r="D1341" s="374"/>
      <c r="E1341" s="660"/>
      <c r="F1341" s="112"/>
      <c r="G1341" s="68"/>
      <c r="H1341" s="603"/>
      <c r="I1341" s="882"/>
      <c r="J1341" s="883"/>
      <c r="K1341" s="884"/>
      <c r="L1341" s="884"/>
      <c r="M1341" s="68"/>
    </row>
    <row r="1342" spans="1:13" s="64" customFormat="1">
      <c r="A1342" s="10"/>
      <c r="B1342" s="111"/>
      <c r="C1342" s="68"/>
      <c r="D1342" s="374"/>
      <c r="E1342" s="660"/>
      <c r="F1342" s="112"/>
      <c r="G1342" s="68"/>
      <c r="H1342" s="603"/>
      <c r="I1342" s="882"/>
      <c r="J1342" s="883"/>
      <c r="K1342" s="884"/>
      <c r="L1342" s="884"/>
      <c r="M1342" s="68"/>
    </row>
    <row r="1343" spans="1:13" s="64" customFormat="1">
      <c r="A1343" s="10"/>
      <c r="B1343" s="111"/>
      <c r="C1343" s="68"/>
      <c r="D1343" s="374"/>
      <c r="E1343" s="660"/>
      <c r="F1343" s="112"/>
      <c r="G1343" s="68"/>
      <c r="H1343" s="603"/>
      <c r="I1343" s="882"/>
      <c r="J1343" s="883"/>
      <c r="K1343" s="884"/>
      <c r="L1343" s="884"/>
      <c r="M1343" s="68"/>
    </row>
    <row r="1344" spans="1:13" s="64" customFormat="1">
      <c r="A1344" s="10"/>
      <c r="B1344" s="111"/>
      <c r="C1344" s="68"/>
      <c r="D1344" s="374"/>
      <c r="E1344" s="660"/>
      <c r="F1344" s="112"/>
      <c r="G1344" s="68"/>
      <c r="H1344" s="603"/>
      <c r="I1344" s="882"/>
      <c r="J1344" s="883"/>
      <c r="K1344" s="884"/>
      <c r="L1344" s="884"/>
      <c r="M1344" s="68"/>
    </row>
    <row r="1345" spans="1:13" s="64" customFormat="1">
      <c r="A1345" s="10"/>
      <c r="B1345" s="111"/>
      <c r="C1345" s="68"/>
      <c r="D1345" s="374"/>
      <c r="E1345" s="660"/>
      <c r="F1345" s="112"/>
      <c r="G1345" s="68"/>
      <c r="H1345" s="603"/>
      <c r="I1345" s="882"/>
      <c r="J1345" s="883"/>
      <c r="K1345" s="884"/>
      <c r="L1345" s="884"/>
      <c r="M1345" s="68"/>
    </row>
    <row r="1346" spans="1:13" s="64" customFormat="1">
      <c r="A1346" s="10"/>
      <c r="B1346" s="111"/>
      <c r="C1346" s="68"/>
      <c r="D1346" s="374"/>
      <c r="E1346" s="660"/>
      <c r="F1346" s="112"/>
      <c r="G1346" s="68"/>
      <c r="H1346" s="603"/>
      <c r="I1346" s="882"/>
      <c r="J1346" s="883"/>
      <c r="K1346" s="884"/>
      <c r="L1346" s="884"/>
      <c r="M1346" s="68"/>
    </row>
    <row r="1347" spans="1:13" s="64" customFormat="1">
      <c r="A1347" s="10"/>
      <c r="B1347" s="111"/>
      <c r="C1347" s="68"/>
      <c r="D1347" s="374"/>
      <c r="E1347" s="660"/>
      <c r="F1347" s="112"/>
      <c r="G1347" s="68"/>
      <c r="H1347" s="603"/>
      <c r="I1347" s="882"/>
      <c r="J1347" s="883"/>
      <c r="K1347" s="884"/>
      <c r="L1347" s="884"/>
      <c r="M1347" s="68"/>
    </row>
    <row r="1348" spans="1:13" s="64" customFormat="1">
      <c r="A1348" s="10"/>
      <c r="B1348" s="111"/>
      <c r="C1348" s="68"/>
      <c r="D1348" s="374"/>
      <c r="E1348" s="660"/>
      <c r="F1348" s="112"/>
      <c r="G1348" s="68"/>
      <c r="H1348" s="603"/>
      <c r="I1348" s="882"/>
      <c r="J1348" s="883"/>
      <c r="K1348" s="884"/>
      <c r="L1348" s="884"/>
      <c r="M1348" s="68"/>
    </row>
    <row r="1349" spans="1:13" s="64" customFormat="1">
      <c r="A1349" s="10"/>
      <c r="B1349" s="111"/>
      <c r="C1349" s="68"/>
      <c r="D1349" s="374"/>
      <c r="E1349" s="660"/>
      <c r="F1349" s="112"/>
      <c r="G1349" s="68"/>
      <c r="H1349" s="603"/>
      <c r="I1349" s="882"/>
      <c r="J1349" s="883"/>
      <c r="K1349" s="884"/>
      <c r="L1349" s="884"/>
      <c r="M1349" s="68"/>
    </row>
    <row r="1350" spans="1:13" s="64" customFormat="1">
      <c r="A1350" s="10"/>
      <c r="B1350" s="111"/>
      <c r="C1350" s="68"/>
      <c r="D1350" s="374"/>
      <c r="E1350" s="660"/>
      <c r="F1350" s="112"/>
      <c r="G1350" s="68"/>
      <c r="H1350" s="603"/>
      <c r="I1350" s="882"/>
      <c r="J1350" s="883"/>
      <c r="K1350" s="884"/>
      <c r="L1350" s="884"/>
      <c r="M1350" s="68"/>
    </row>
    <row r="1351" spans="1:13" s="64" customFormat="1">
      <c r="A1351" s="10"/>
      <c r="B1351" s="111"/>
      <c r="C1351" s="68"/>
      <c r="D1351" s="374"/>
      <c r="E1351" s="660"/>
      <c r="F1351" s="112"/>
      <c r="G1351" s="68"/>
      <c r="H1351" s="603"/>
      <c r="I1351" s="882"/>
      <c r="J1351" s="883"/>
      <c r="K1351" s="884"/>
      <c r="L1351" s="884"/>
      <c r="M1351" s="68"/>
    </row>
    <row r="1352" spans="1:13" s="64" customFormat="1">
      <c r="A1352" s="10"/>
      <c r="B1352" s="111"/>
      <c r="C1352" s="68"/>
      <c r="D1352" s="374"/>
      <c r="E1352" s="660"/>
      <c r="F1352" s="112"/>
      <c r="G1352" s="68"/>
      <c r="H1352" s="603"/>
      <c r="I1352" s="882"/>
      <c r="J1352" s="883"/>
      <c r="K1352" s="884"/>
      <c r="L1352" s="884"/>
      <c r="M1352" s="68"/>
    </row>
    <row r="1353" spans="1:13" s="64" customFormat="1">
      <c r="A1353" s="10"/>
      <c r="B1353" s="111"/>
      <c r="C1353" s="68"/>
      <c r="D1353" s="374"/>
      <c r="E1353" s="660"/>
      <c r="F1353" s="112"/>
      <c r="G1353" s="68"/>
      <c r="H1353" s="603"/>
      <c r="I1353" s="882"/>
      <c r="J1353" s="883"/>
      <c r="K1353" s="884"/>
      <c r="L1353" s="884"/>
      <c r="M1353" s="68"/>
    </row>
    <row r="1354" spans="1:13" s="64" customFormat="1">
      <c r="A1354" s="10"/>
      <c r="B1354" s="111"/>
      <c r="C1354" s="68"/>
      <c r="D1354" s="374"/>
      <c r="E1354" s="660"/>
      <c r="F1354" s="112"/>
      <c r="G1354" s="68"/>
      <c r="H1354" s="603"/>
      <c r="I1354" s="882"/>
      <c r="J1354" s="883"/>
      <c r="K1354" s="884"/>
      <c r="L1354" s="884"/>
      <c r="M1354" s="68"/>
    </row>
    <row r="1355" spans="1:13" s="64" customFormat="1">
      <c r="A1355" s="10"/>
      <c r="B1355" s="111"/>
      <c r="C1355" s="68"/>
      <c r="D1355" s="374"/>
      <c r="E1355" s="660"/>
      <c r="F1355" s="112"/>
      <c r="G1355" s="68"/>
      <c r="H1355" s="603"/>
      <c r="I1355" s="882"/>
      <c r="J1355" s="883"/>
      <c r="K1355" s="884"/>
      <c r="L1355" s="884"/>
      <c r="M1355" s="68"/>
    </row>
    <row r="1356" spans="1:13" s="64" customFormat="1">
      <c r="A1356" s="10"/>
      <c r="B1356" s="111"/>
      <c r="C1356" s="68"/>
      <c r="D1356" s="374"/>
      <c r="E1356" s="660"/>
      <c r="F1356" s="112"/>
      <c r="G1356" s="68"/>
      <c r="H1356" s="603"/>
      <c r="I1356" s="882"/>
      <c r="J1356" s="883"/>
      <c r="K1356" s="884"/>
      <c r="L1356" s="884"/>
      <c r="M1356" s="68"/>
    </row>
    <row r="1357" spans="1:13" s="64" customFormat="1">
      <c r="A1357" s="10"/>
      <c r="B1357" s="111"/>
      <c r="C1357" s="68"/>
      <c r="D1357" s="374"/>
      <c r="E1357" s="660"/>
      <c r="F1357" s="112"/>
      <c r="G1357" s="68"/>
      <c r="H1357" s="603"/>
      <c r="I1357" s="882"/>
      <c r="J1357" s="883"/>
      <c r="K1357" s="884"/>
      <c r="L1357" s="884"/>
      <c r="M1357" s="68"/>
    </row>
    <row r="1358" spans="1:13" s="64" customFormat="1">
      <c r="A1358" s="10"/>
      <c r="B1358" s="111"/>
      <c r="C1358" s="68"/>
      <c r="D1358" s="374"/>
      <c r="E1358" s="660"/>
      <c r="F1358" s="112"/>
      <c r="G1358" s="68"/>
      <c r="H1358" s="603"/>
      <c r="I1358" s="882"/>
      <c r="J1358" s="883"/>
      <c r="K1358" s="884"/>
      <c r="L1358" s="884"/>
      <c r="M1358" s="68"/>
    </row>
    <row r="1359" spans="1:13" s="64" customFormat="1">
      <c r="A1359" s="10"/>
      <c r="B1359" s="111"/>
      <c r="C1359" s="68"/>
      <c r="D1359" s="374"/>
      <c r="E1359" s="660"/>
      <c r="F1359" s="112"/>
      <c r="G1359" s="68"/>
      <c r="H1359" s="603"/>
      <c r="I1359" s="882"/>
      <c r="J1359" s="883"/>
      <c r="K1359" s="884"/>
      <c r="L1359" s="884"/>
      <c r="M1359" s="68"/>
    </row>
    <row r="1360" spans="1:13" s="64" customFormat="1">
      <c r="A1360" s="10"/>
      <c r="B1360" s="111"/>
      <c r="C1360" s="68"/>
      <c r="D1360" s="374"/>
      <c r="E1360" s="660"/>
      <c r="F1360" s="112"/>
      <c r="G1360" s="68"/>
      <c r="H1360" s="603"/>
      <c r="I1360" s="882"/>
      <c r="J1360" s="883"/>
      <c r="K1360" s="884"/>
      <c r="L1360" s="884"/>
      <c r="M1360" s="68"/>
    </row>
    <row r="1361" spans="1:13" s="64" customFormat="1">
      <c r="A1361" s="10"/>
      <c r="B1361" s="111"/>
      <c r="C1361" s="68"/>
      <c r="D1361" s="374"/>
      <c r="E1361" s="660"/>
      <c r="F1361" s="112"/>
      <c r="G1361" s="68"/>
      <c r="H1361" s="603"/>
      <c r="I1361" s="882"/>
      <c r="J1361" s="883"/>
      <c r="K1361" s="884"/>
      <c r="L1361" s="884"/>
      <c r="M1361" s="68"/>
    </row>
    <row r="1362" spans="1:13" s="64" customFormat="1">
      <c r="A1362" s="10"/>
      <c r="B1362" s="111"/>
      <c r="C1362" s="68"/>
      <c r="D1362" s="374"/>
      <c r="E1362" s="660"/>
      <c r="F1362" s="112"/>
      <c r="G1362" s="68"/>
      <c r="H1362" s="603"/>
      <c r="I1362" s="882"/>
      <c r="J1362" s="883"/>
      <c r="K1362" s="884"/>
      <c r="L1362" s="884"/>
      <c r="M1362" s="68"/>
    </row>
    <row r="1363" spans="1:13" s="64" customFormat="1">
      <c r="A1363" s="10"/>
      <c r="B1363" s="111"/>
      <c r="C1363" s="68"/>
      <c r="D1363" s="374"/>
      <c r="E1363" s="660"/>
      <c r="F1363" s="112"/>
      <c r="G1363" s="68"/>
      <c r="H1363" s="603"/>
      <c r="I1363" s="882"/>
      <c r="J1363" s="883"/>
      <c r="K1363" s="884"/>
      <c r="L1363" s="884"/>
      <c r="M1363" s="68"/>
    </row>
    <row r="1364" spans="1:13" s="64" customFormat="1">
      <c r="A1364" s="10"/>
      <c r="B1364" s="111"/>
      <c r="C1364" s="68"/>
      <c r="D1364" s="374"/>
      <c r="E1364" s="660"/>
      <c r="F1364" s="112"/>
      <c r="G1364" s="68"/>
      <c r="H1364" s="603"/>
      <c r="I1364" s="882"/>
      <c r="J1364" s="883"/>
      <c r="K1364" s="884"/>
      <c r="L1364" s="884"/>
      <c r="M1364" s="68"/>
    </row>
    <row r="1365" spans="1:13" s="64" customFormat="1">
      <c r="A1365" s="10"/>
      <c r="B1365" s="111"/>
      <c r="C1365" s="68"/>
      <c r="D1365" s="374"/>
      <c r="E1365" s="660"/>
      <c r="F1365" s="112"/>
      <c r="G1365" s="68"/>
      <c r="H1365" s="603"/>
      <c r="I1365" s="882"/>
      <c r="J1365" s="883"/>
      <c r="K1365" s="884"/>
      <c r="L1365" s="884"/>
      <c r="M1365" s="68"/>
    </row>
    <row r="1366" spans="1:13" s="64" customFormat="1">
      <c r="A1366" s="10"/>
      <c r="B1366" s="111"/>
      <c r="C1366" s="68"/>
      <c r="D1366" s="374"/>
      <c r="E1366" s="660"/>
      <c r="F1366" s="112"/>
      <c r="G1366" s="68"/>
      <c r="H1366" s="603"/>
      <c r="I1366" s="882"/>
      <c r="J1366" s="883"/>
      <c r="K1366" s="884"/>
      <c r="L1366" s="884"/>
      <c r="M1366" s="68"/>
    </row>
    <row r="1367" spans="1:13" s="64" customFormat="1">
      <c r="A1367" s="10"/>
      <c r="B1367" s="111"/>
      <c r="C1367" s="68"/>
      <c r="D1367" s="374"/>
      <c r="E1367" s="660"/>
      <c r="F1367" s="112"/>
      <c r="G1367" s="68"/>
      <c r="H1367" s="603"/>
      <c r="I1367" s="882"/>
      <c r="J1367" s="883"/>
      <c r="K1367" s="884"/>
      <c r="L1367" s="884"/>
      <c r="M1367" s="68"/>
    </row>
    <row r="1368" spans="1:13" s="64" customFormat="1">
      <c r="A1368" s="10"/>
      <c r="B1368" s="111"/>
      <c r="C1368" s="68"/>
      <c r="D1368" s="374"/>
      <c r="E1368" s="660"/>
      <c r="F1368" s="112"/>
      <c r="G1368" s="68"/>
      <c r="H1368" s="603"/>
      <c r="I1368" s="882"/>
      <c r="J1368" s="883"/>
      <c r="K1368" s="884"/>
      <c r="L1368" s="884"/>
      <c r="M1368" s="68"/>
    </row>
    <row r="1369" spans="1:13" s="64" customFormat="1">
      <c r="A1369" s="10"/>
      <c r="B1369" s="111"/>
      <c r="C1369" s="68"/>
      <c r="D1369" s="374"/>
      <c r="E1369" s="660"/>
      <c r="F1369" s="112"/>
      <c r="G1369" s="68"/>
      <c r="H1369" s="603"/>
      <c r="I1369" s="882"/>
      <c r="J1369" s="883"/>
      <c r="K1369" s="884"/>
      <c r="L1369" s="884"/>
      <c r="M1369" s="68"/>
    </row>
    <row r="1370" spans="1:13" s="64" customFormat="1">
      <c r="A1370" s="10"/>
      <c r="B1370" s="111"/>
      <c r="C1370" s="68"/>
      <c r="D1370" s="374"/>
      <c r="E1370" s="660"/>
      <c r="F1370" s="112"/>
      <c r="G1370" s="68"/>
      <c r="H1370" s="603"/>
      <c r="I1370" s="882"/>
      <c r="J1370" s="883"/>
      <c r="K1370" s="884"/>
      <c r="L1370" s="884"/>
      <c r="M1370" s="68"/>
    </row>
    <row r="1371" spans="1:13" s="64" customFormat="1">
      <c r="A1371" s="10"/>
      <c r="B1371" s="111"/>
      <c r="C1371" s="68"/>
      <c r="D1371" s="374"/>
      <c r="E1371" s="660"/>
      <c r="F1371" s="112"/>
      <c r="G1371" s="68"/>
      <c r="H1371" s="603"/>
      <c r="I1371" s="882"/>
      <c r="J1371" s="883"/>
      <c r="K1371" s="884"/>
      <c r="L1371" s="884"/>
      <c r="M1371" s="68"/>
    </row>
    <row r="1372" spans="1:13" s="64" customFormat="1">
      <c r="A1372" s="10"/>
      <c r="B1372" s="111"/>
      <c r="C1372" s="68"/>
      <c r="D1372" s="374"/>
      <c r="E1372" s="660"/>
      <c r="F1372" s="112"/>
      <c r="G1372" s="68"/>
      <c r="H1372" s="603"/>
      <c r="I1372" s="882"/>
      <c r="J1372" s="883"/>
      <c r="K1372" s="884"/>
      <c r="L1372" s="884"/>
      <c r="M1372" s="68"/>
    </row>
    <row r="1373" spans="1:13" s="64" customFormat="1">
      <c r="A1373" s="10"/>
      <c r="B1373" s="111"/>
      <c r="C1373" s="68"/>
      <c r="D1373" s="374"/>
      <c r="E1373" s="660"/>
      <c r="F1373" s="112"/>
      <c r="G1373" s="68"/>
      <c r="H1373" s="603"/>
      <c r="I1373" s="882"/>
      <c r="J1373" s="883"/>
      <c r="K1373" s="884"/>
      <c r="L1373" s="884"/>
      <c r="M1373" s="68"/>
    </row>
    <row r="1374" spans="1:13" s="64" customFormat="1">
      <c r="A1374" s="10"/>
      <c r="B1374" s="111"/>
      <c r="C1374" s="68"/>
      <c r="D1374" s="374"/>
      <c r="E1374" s="660"/>
      <c r="F1374" s="112"/>
      <c r="G1374" s="68"/>
      <c r="H1374" s="603"/>
      <c r="I1374" s="882"/>
      <c r="J1374" s="883"/>
      <c r="K1374" s="884"/>
      <c r="L1374" s="884"/>
      <c r="M1374" s="68"/>
    </row>
    <row r="1375" spans="1:13" s="64" customFormat="1">
      <c r="A1375" s="10"/>
      <c r="B1375" s="111"/>
      <c r="C1375" s="68"/>
      <c r="D1375" s="374"/>
      <c r="E1375" s="660"/>
      <c r="F1375" s="112"/>
      <c r="G1375" s="68"/>
      <c r="H1375" s="603"/>
      <c r="I1375" s="882"/>
      <c r="J1375" s="883"/>
      <c r="K1375" s="884"/>
      <c r="L1375" s="884"/>
      <c r="M1375" s="68"/>
    </row>
    <row r="1376" spans="1:13" s="64" customFormat="1">
      <c r="A1376" s="10"/>
      <c r="B1376" s="111"/>
      <c r="C1376" s="68"/>
      <c r="D1376" s="374"/>
      <c r="E1376" s="660"/>
      <c r="F1376" s="112"/>
      <c r="G1376" s="68"/>
      <c r="H1376" s="603"/>
      <c r="I1376" s="882"/>
      <c r="J1376" s="883"/>
      <c r="K1376" s="884"/>
      <c r="L1376" s="884"/>
      <c r="M1376" s="68"/>
    </row>
    <row r="1377" spans="1:13" s="64" customFormat="1">
      <c r="A1377" s="10"/>
      <c r="B1377" s="111"/>
      <c r="C1377" s="68"/>
      <c r="D1377" s="374"/>
      <c r="E1377" s="660"/>
      <c r="F1377" s="112"/>
      <c r="G1377" s="68"/>
      <c r="H1377" s="603"/>
      <c r="I1377" s="882"/>
      <c r="J1377" s="883"/>
      <c r="K1377" s="884"/>
      <c r="L1377" s="884"/>
      <c r="M1377" s="68"/>
    </row>
    <row r="1378" spans="1:13" s="64" customFormat="1">
      <c r="A1378" s="10"/>
      <c r="B1378" s="111"/>
      <c r="C1378" s="68"/>
      <c r="D1378" s="374"/>
      <c r="E1378" s="660"/>
      <c r="F1378" s="112"/>
      <c r="G1378" s="68"/>
      <c r="H1378" s="603"/>
      <c r="I1378" s="882"/>
      <c r="J1378" s="883"/>
      <c r="K1378" s="884"/>
      <c r="L1378" s="884"/>
      <c r="M1378" s="68"/>
    </row>
    <row r="1379" spans="1:13" s="64" customFormat="1">
      <c r="A1379" s="10"/>
      <c r="B1379" s="111"/>
      <c r="C1379" s="68"/>
      <c r="D1379" s="374"/>
      <c r="E1379" s="660"/>
      <c r="F1379" s="112"/>
      <c r="G1379" s="68"/>
      <c r="H1379" s="603"/>
      <c r="I1379" s="882"/>
      <c r="J1379" s="883"/>
      <c r="K1379" s="884"/>
      <c r="L1379" s="884"/>
      <c r="M1379" s="68"/>
    </row>
    <row r="1380" spans="1:13" s="64" customFormat="1">
      <c r="A1380" s="10"/>
      <c r="B1380" s="111"/>
      <c r="C1380" s="68"/>
      <c r="D1380" s="374"/>
      <c r="E1380" s="660"/>
      <c r="F1380" s="112"/>
      <c r="G1380" s="68"/>
      <c r="H1380" s="603"/>
      <c r="I1380" s="882"/>
      <c r="J1380" s="883"/>
      <c r="K1380" s="884"/>
      <c r="L1380" s="884"/>
      <c r="M1380" s="68"/>
    </row>
    <row r="1381" spans="1:13" s="64" customFormat="1">
      <c r="A1381" s="10"/>
      <c r="B1381" s="111"/>
      <c r="C1381" s="68"/>
      <c r="D1381" s="374"/>
      <c r="E1381" s="660"/>
      <c r="F1381" s="112"/>
      <c r="G1381" s="68"/>
      <c r="H1381" s="603"/>
      <c r="I1381" s="882"/>
      <c r="J1381" s="883"/>
      <c r="K1381" s="884"/>
      <c r="L1381" s="884"/>
      <c r="M1381" s="68"/>
    </row>
    <row r="1382" spans="1:13" s="64" customFormat="1">
      <c r="A1382" s="10"/>
      <c r="B1382" s="111"/>
      <c r="C1382" s="68"/>
      <c r="D1382" s="374"/>
      <c r="E1382" s="660"/>
      <c r="F1382" s="112"/>
      <c r="G1382" s="68"/>
      <c r="H1382" s="603"/>
      <c r="I1382" s="882"/>
      <c r="J1382" s="883"/>
      <c r="K1382" s="884"/>
      <c r="L1382" s="884"/>
      <c r="M1382" s="68"/>
    </row>
    <row r="1383" spans="1:13" s="64" customFormat="1">
      <c r="A1383" s="10"/>
      <c r="B1383" s="111"/>
      <c r="C1383" s="68"/>
      <c r="D1383" s="374"/>
      <c r="E1383" s="660"/>
      <c r="F1383" s="112"/>
      <c r="G1383" s="68"/>
      <c r="H1383" s="603"/>
      <c r="I1383" s="882"/>
      <c r="J1383" s="883"/>
      <c r="K1383" s="884"/>
      <c r="L1383" s="884"/>
      <c r="M1383" s="68"/>
    </row>
    <row r="1384" spans="1:13" s="64" customFormat="1">
      <c r="A1384" s="10"/>
      <c r="B1384" s="111"/>
      <c r="C1384" s="68"/>
      <c r="D1384" s="374"/>
      <c r="E1384" s="660"/>
      <c r="F1384" s="112"/>
      <c r="G1384" s="68"/>
      <c r="H1384" s="603"/>
      <c r="I1384" s="882"/>
      <c r="J1384" s="883"/>
      <c r="K1384" s="884"/>
      <c r="L1384" s="884"/>
      <c r="M1384" s="68"/>
    </row>
    <row r="1385" spans="1:13" s="64" customFormat="1">
      <c r="A1385" s="10"/>
      <c r="B1385" s="111"/>
      <c r="C1385" s="68"/>
      <c r="D1385" s="374"/>
      <c r="E1385" s="660"/>
      <c r="F1385" s="112"/>
      <c r="G1385" s="68"/>
      <c r="H1385" s="603"/>
      <c r="I1385" s="882"/>
      <c r="J1385" s="883"/>
      <c r="K1385" s="884"/>
      <c r="L1385" s="884"/>
      <c r="M1385" s="68"/>
    </row>
    <row r="1386" spans="1:13" s="64" customFormat="1">
      <c r="A1386" s="10"/>
      <c r="B1386" s="111"/>
      <c r="C1386" s="68"/>
      <c r="D1386" s="374"/>
      <c r="E1386" s="660"/>
      <c r="F1386" s="112"/>
      <c r="G1386" s="68"/>
      <c r="H1386" s="603"/>
      <c r="I1386" s="882"/>
      <c r="J1386" s="883"/>
      <c r="K1386" s="884"/>
      <c r="L1386" s="884"/>
      <c r="M1386" s="68"/>
    </row>
    <row r="1387" spans="1:13" s="64" customFormat="1">
      <c r="A1387" s="10"/>
      <c r="B1387" s="111"/>
      <c r="C1387" s="68"/>
      <c r="D1387" s="374"/>
      <c r="E1387" s="660"/>
      <c r="F1387" s="112"/>
      <c r="G1387" s="68"/>
      <c r="H1387" s="603"/>
      <c r="I1387" s="882"/>
      <c r="J1387" s="883"/>
      <c r="K1387" s="884"/>
      <c r="L1387" s="884"/>
      <c r="M1387" s="68"/>
    </row>
    <row r="1388" spans="1:13" s="64" customFormat="1">
      <c r="A1388" s="10"/>
      <c r="B1388" s="111"/>
      <c r="C1388" s="68"/>
      <c r="D1388" s="374"/>
      <c r="E1388" s="660"/>
      <c r="F1388" s="112"/>
      <c r="G1388" s="68"/>
      <c r="H1388" s="603"/>
      <c r="I1388" s="882"/>
      <c r="J1388" s="883"/>
      <c r="K1388" s="884"/>
      <c r="L1388" s="884"/>
      <c r="M1388" s="68"/>
    </row>
    <row r="1389" spans="1:13" s="64" customFormat="1">
      <c r="A1389" s="10"/>
      <c r="B1389" s="111"/>
      <c r="C1389" s="68"/>
      <c r="D1389" s="374"/>
      <c r="E1389" s="660"/>
      <c r="F1389" s="112"/>
      <c r="G1389" s="68"/>
      <c r="H1389" s="603"/>
      <c r="I1389" s="882"/>
      <c r="J1389" s="883"/>
      <c r="K1389" s="884"/>
      <c r="L1389" s="884"/>
      <c r="M1389" s="68"/>
    </row>
    <row r="1390" spans="1:13" s="64" customFormat="1">
      <c r="A1390" s="10"/>
      <c r="B1390" s="111"/>
      <c r="C1390" s="68"/>
      <c r="D1390" s="374"/>
      <c r="E1390" s="660"/>
      <c r="F1390" s="112"/>
      <c r="G1390" s="68"/>
      <c r="H1390" s="603"/>
      <c r="I1390" s="882"/>
      <c r="J1390" s="883"/>
      <c r="K1390" s="884"/>
      <c r="L1390" s="884"/>
      <c r="M1390" s="68"/>
    </row>
    <row r="1391" spans="1:13" s="64" customFormat="1">
      <c r="A1391" s="10"/>
      <c r="B1391" s="111"/>
      <c r="C1391" s="68"/>
      <c r="D1391" s="374"/>
      <c r="E1391" s="660"/>
      <c r="F1391" s="112"/>
      <c r="G1391" s="68"/>
      <c r="H1391" s="603"/>
      <c r="I1391" s="882"/>
      <c r="J1391" s="883"/>
      <c r="K1391" s="884"/>
      <c r="L1391" s="884"/>
      <c r="M1391" s="68"/>
    </row>
    <row r="1392" spans="1:13" s="64" customFormat="1">
      <c r="A1392" s="10"/>
      <c r="B1392" s="111"/>
      <c r="C1392" s="68"/>
      <c r="D1392" s="374"/>
      <c r="E1392" s="660"/>
      <c r="F1392" s="112"/>
      <c r="G1392" s="68"/>
      <c r="H1392" s="603"/>
      <c r="I1392" s="882"/>
      <c r="J1392" s="883"/>
      <c r="K1392" s="884"/>
      <c r="L1392" s="884"/>
      <c r="M1392" s="68"/>
    </row>
    <row r="1393" spans="1:13" s="64" customFormat="1">
      <c r="A1393" s="10"/>
      <c r="B1393" s="111"/>
      <c r="C1393" s="68"/>
      <c r="D1393" s="374"/>
      <c r="E1393" s="660"/>
      <c r="F1393" s="112"/>
      <c r="G1393" s="68"/>
      <c r="H1393" s="603"/>
      <c r="I1393" s="882"/>
      <c r="J1393" s="883"/>
      <c r="K1393" s="884"/>
      <c r="L1393" s="884"/>
      <c r="M1393" s="68"/>
    </row>
    <row r="1394" spans="1:13" s="64" customFormat="1">
      <c r="A1394" s="10"/>
      <c r="B1394" s="111"/>
      <c r="C1394" s="68"/>
      <c r="D1394" s="374"/>
      <c r="E1394" s="660"/>
      <c r="F1394" s="112"/>
      <c r="G1394" s="68"/>
      <c r="H1394" s="603"/>
      <c r="I1394" s="882"/>
      <c r="J1394" s="883"/>
      <c r="K1394" s="884"/>
      <c r="L1394" s="884"/>
      <c r="M1394" s="68"/>
    </row>
    <row r="1395" spans="1:13" s="64" customFormat="1">
      <c r="A1395" s="10"/>
      <c r="B1395" s="111"/>
      <c r="C1395" s="68"/>
      <c r="D1395" s="374"/>
      <c r="E1395" s="660"/>
      <c r="F1395" s="112"/>
      <c r="G1395" s="68"/>
      <c r="H1395" s="603"/>
      <c r="I1395" s="882"/>
      <c r="J1395" s="883"/>
      <c r="K1395" s="884"/>
      <c r="L1395" s="884"/>
      <c r="M1395" s="68"/>
    </row>
    <row r="1396" spans="1:13" s="64" customFormat="1">
      <c r="A1396" s="10"/>
      <c r="B1396" s="111"/>
      <c r="C1396" s="68"/>
      <c r="D1396" s="374"/>
      <c r="E1396" s="660"/>
      <c r="F1396" s="112"/>
      <c r="G1396" s="68"/>
      <c r="H1396" s="603"/>
      <c r="I1396" s="882"/>
      <c r="J1396" s="883"/>
      <c r="K1396" s="884"/>
      <c r="L1396" s="884"/>
      <c r="M1396" s="68"/>
    </row>
    <row r="1397" spans="1:13" s="64" customFormat="1">
      <c r="A1397" s="10"/>
      <c r="B1397" s="111"/>
      <c r="C1397" s="68"/>
      <c r="D1397" s="374"/>
      <c r="E1397" s="660"/>
      <c r="F1397" s="112"/>
      <c r="G1397" s="68"/>
      <c r="H1397" s="603"/>
      <c r="I1397" s="882"/>
      <c r="J1397" s="883"/>
      <c r="K1397" s="884"/>
      <c r="L1397" s="884"/>
      <c r="M1397" s="68"/>
    </row>
    <row r="1398" spans="1:13" s="64" customFormat="1">
      <c r="A1398" s="10"/>
      <c r="B1398" s="111"/>
      <c r="C1398" s="68"/>
      <c r="D1398" s="374"/>
      <c r="E1398" s="660"/>
      <c r="F1398" s="112"/>
      <c r="G1398" s="68"/>
      <c r="H1398" s="603"/>
      <c r="I1398" s="882"/>
      <c r="J1398" s="883"/>
      <c r="K1398" s="884"/>
      <c r="L1398" s="884"/>
      <c r="M1398" s="68"/>
    </row>
    <row r="1399" spans="1:13" s="64" customFormat="1">
      <c r="A1399" s="10"/>
      <c r="B1399" s="111"/>
      <c r="C1399" s="68"/>
      <c r="D1399" s="374"/>
      <c r="E1399" s="660"/>
      <c r="F1399" s="112"/>
      <c r="G1399" s="68"/>
      <c r="H1399" s="603"/>
      <c r="I1399" s="882"/>
      <c r="J1399" s="883"/>
      <c r="K1399" s="884"/>
      <c r="L1399" s="884"/>
      <c r="M1399" s="68"/>
    </row>
    <row r="1400" spans="1:13" s="64" customFormat="1">
      <c r="A1400" s="10"/>
      <c r="B1400" s="111"/>
      <c r="C1400" s="68"/>
      <c r="D1400" s="374"/>
      <c r="E1400" s="660"/>
      <c r="F1400" s="112"/>
      <c r="G1400" s="68"/>
      <c r="H1400" s="603"/>
      <c r="I1400" s="882"/>
      <c r="J1400" s="883"/>
      <c r="K1400" s="884"/>
      <c r="L1400" s="884"/>
      <c r="M1400" s="68"/>
    </row>
    <row r="1401" spans="1:13" s="64" customFormat="1">
      <c r="A1401" s="10"/>
      <c r="B1401" s="111"/>
      <c r="C1401" s="68"/>
      <c r="D1401" s="374"/>
      <c r="E1401" s="660"/>
      <c r="F1401" s="112"/>
      <c r="G1401" s="68"/>
      <c r="H1401" s="603"/>
      <c r="I1401" s="882"/>
      <c r="J1401" s="883"/>
      <c r="K1401" s="884"/>
      <c r="L1401" s="884"/>
      <c r="M1401" s="68"/>
    </row>
    <row r="1402" spans="1:13" s="64" customFormat="1">
      <c r="A1402" s="10"/>
      <c r="B1402" s="111"/>
      <c r="C1402" s="68"/>
      <c r="D1402" s="374"/>
      <c r="E1402" s="660"/>
      <c r="F1402" s="112"/>
      <c r="G1402" s="68"/>
      <c r="H1402" s="603"/>
      <c r="I1402" s="882"/>
      <c r="J1402" s="883"/>
      <c r="K1402" s="884"/>
      <c r="L1402" s="884"/>
      <c r="M1402" s="68"/>
    </row>
    <row r="1403" spans="1:13" s="64" customFormat="1">
      <c r="A1403" s="10"/>
      <c r="B1403" s="111"/>
      <c r="C1403" s="68"/>
      <c r="D1403" s="374"/>
      <c r="E1403" s="660"/>
      <c r="F1403" s="112"/>
      <c r="G1403" s="68"/>
      <c r="H1403" s="603"/>
      <c r="I1403" s="882"/>
      <c r="J1403" s="883"/>
      <c r="K1403" s="884"/>
      <c r="L1403" s="884"/>
      <c r="M1403" s="68"/>
    </row>
    <row r="1404" spans="1:13" s="64" customFormat="1">
      <c r="A1404" s="10"/>
      <c r="B1404" s="111"/>
      <c r="C1404" s="68"/>
      <c r="D1404" s="374"/>
      <c r="E1404" s="660"/>
      <c r="F1404" s="112"/>
      <c r="G1404" s="68"/>
      <c r="H1404" s="603"/>
      <c r="I1404" s="882"/>
      <c r="J1404" s="883"/>
      <c r="K1404" s="884"/>
      <c r="L1404" s="884"/>
      <c r="M1404" s="68"/>
    </row>
    <row r="1405" spans="1:13" s="64" customFormat="1">
      <c r="A1405" s="10"/>
      <c r="B1405" s="111"/>
      <c r="C1405" s="68"/>
      <c r="D1405" s="374"/>
      <c r="E1405" s="660"/>
      <c r="F1405" s="112"/>
      <c r="G1405" s="68"/>
      <c r="H1405" s="603"/>
      <c r="I1405" s="882"/>
      <c r="J1405" s="883"/>
      <c r="K1405" s="884"/>
      <c r="L1405" s="884"/>
      <c r="M1405" s="68"/>
    </row>
    <row r="1406" spans="1:13" s="64" customFormat="1">
      <c r="A1406" s="10"/>
      <c r="B1406" s="111"/>
      <c r="C1406" s="68"/>
      <c r="D1406" s="374"/>
      <c r="E1406" s="660"/>
      <c r="F1406" s="112"/>
      <c r="G1406" s="68"/>
      <c r="H1406" s="603"/>
      <c r="I1406" s="882"/>
      <c r="J1406" s="883"/>
      <c r="K1406" s="884"/>
      <c r="L1406" s="884"/>
      <c r="M1406" s="68"/>
    </row>
    <row r="1407" spans="1:13" s="64" customFormat="1">
      <c r="A1407" s="10"/>
      <c r="B1407" s="111"/>
      <c r="C1407" s="68"/>
      <c r="D1407" s="374"/>
      <c r="E1407" s="660"/>
      <c r="F1407" s="112"/>
      <c r="G1407" s="68"/>
      <c r="H1407" s="603"/>
      <c r="I1407" s="882"/>
      <c r="J1407" s="883"/>
      <c r="K1407" s="884"/>
      <c r="L1407" s="884"/>
      <c r="M1407" s="68"/>
    </row>
    <row r="1408" spans="1:13" s="64" customFormat="1">
      <c r="A1408" s="10"/>
      <c r="B1408" s="111"/>
      <c r="C1408" s="68"/>
      <c r="D1408" s="374"/>
      <c r="E1408" s="660"/>
      <c r="F1408" s="112"/>
      <c r="G1408" s="68"/>
      <c r="H1408" s="603"/>
      <c r="I1408" s="882"/>
      <c r="J1408" s="883"/>
      <c r="K1408" s="884"/>
      <c r="L1408" s="884"/>
      <c r="M1408" s="68"/>
    </row>
    <row r="1409" spans="1:13" s="64" customFormat="1">
      <c r="A1409" s="10"/>
      <c r="B1409" s="111"/>
      <c r="C1409" s="68"/>
      <c r="D1409" s="374"/>
      <c r="E1409" s="660"/>
      <c r="F1409" s="112"/>
      <c r="G1409" s="68"/>
      <c r="H1409" s="603"/>
      <c r="I1409" s="882"/>
      <c r="J1409" s="883"/>
      <c r="K1409" s="884"/>
      <c r="L1409" s="884"/>
      <c r="M1409" s="68"/>
    </row>
    <row r="1410" spans="1:13" s="64" customFormat="1">
      <c r="A1410" s="10"/>
      <c r="B1410" s="111"/>
      <c r="C1410" s="68"/>
      <c r="D1410" s="374"/>
      <c r="E1410" s="660"/>
      <c r="F1410" s="112"/>
      <c r="G1410" s="68"/>
      <c r="H1410" s="603"/>
      <c r="I1410" s="882"/>
      <c r="J1410" s="883"/>
      <c r="K1410" s="884"/>
      <c r="L1410" s="884"/>
      <c r="M1410" s="68"/>
    </row>
    <row r="1411" spans="1:13" s="64" customFormat="1">
      <c r="A1411" s="10"/>
      <c r="B1411" s="111"/>
      <c r="C1411" s="68"/>
      <c r="D1411" s="374"/>
      <c r="E1411" s="660"/>
      <c r="F1411" s="112"/>
      <c r="G1411" s="68"/>
      <c r="H1411" s="603"/>
      <c r="I1411" s="882"/>
      <c r="J1411" s="883"/>
      <c r="K1411" s="884"/>
      <c r="L1411" s="884"/>
      <c r="M1411" s="68"/>
    </row>
    <row r="1412" spans="1:13" s="64" customFormat="1">
      <c r="A1412" s="10"/>
      <c r="B1412" s="111"/>
      <c r="C1412" s="68"/>
      <c r="D1412" s="374"/>
      <c r="E1412" s="660"/>
      <c r="F1412" s="112"/>
      <c r="G1412" s="68"/>
      <c r="H1412" s="603"/>
      <c r="I1412" s="882"/>
      <c r="J1412" s="883"/>
      <c r="K1412" s="884"/>
      <c r="L1412" s="884"/>
      <c r="M1412" s="68"/>
    </row>
    <row r="1413" spans="1:13" s="64" customFormat="1">
      <c r="A1413" s="10"/>
      <c r="B1413" s="111"/>
      <c r="C1413" s="68"/>
      <c r="D1413" s="374"/>
      <c r="E1413" s="660"/>
      <c r="F1413" s="112"/>
      <c r="G1413" s="68"/>
      <c r="H1413" s="603"/>
      <c r="I1413" s="882"/>
      <c r="J1413" s="883"/>
      <c r="K1413" s="884"/>
      <c r="L1413" s="884"/>
      <c r="M1413" s="68"/>
    </row>
    <row r="1414" spans="1:13" s="64" customFormat="1">
      <c r="A1414" s="10"/>
      <c r="B1414" s="111"/>
      <c r="C1414" s="68"/>
      <c r="D1414" s="374"/>
      <c r="E1414" s="660"/>
      <c r="F1414" s="112"/>
      <c r="G1414" s="68"/>
      <c r="H1414" s="603"/>
      <c r="I1414" s="882"/>
      <c r="J1414" s="883"/>
      <c r="K1414" s="884"/>
      <c r="L1414" s="884"/>
      <c r="M1414" s="68"/>
    </row>
    <row r="1415" spans="1:13" s="64" customFormat="1">
      <c r="A1415" s="10"/>
      <c r="B1415" s="111"/>
      <c r="C1415" s="68"/>
      <c r="D1415" s="374"/>
      <c r="E1415" s="660"/>
      <c r="F1415" s="112"/>
      <c r="G1415" s="68"/>
      <c r="H1415" s="603"/>
      <c r="I1415" s="882"/>
      <c r="J1415" s="883"/>
      <c r="K1415" s="884"/>
      <c r="L1415" s="884"/>
      <c r="M1415" s="68"/>
    </row>
    <row r="1416" spans="1:13" s="64" customFormat="1">
      <c r="A1416" s="10"/>
      <c r="B1416" s="111"/>
      <c r="C1416" s="68"/>
      <c r="D1416" s="374"/>
      <c r="E1416" s="660"/>
      <c r="F1416" s="112"/>
      <c r="G1416" s="68"/>
      <c r="H1416" s="603"/>
      <c r="I1416" s="882"/>
      <c r="J1416" s="883"/>
      <c r="K1416" s="884"/>
      <c r="L1416" s="884"/>
      <c r="M1416" s="68"/>
    </row>
    <row r="1417" spans="1:13" s="64" customFormat="1">
      <c r="A1417" s="10"/>
      <c r="B1417" s="111"/>
      <c r="C1417" s="68"/>
      <c r="D1417" s="374"/>
      <c r="E1417" s="660"/>
      <c r="F1417" s="112"/>
      <c r="G1417" s="68"/>
      <c r="H1417" s="603"/>
      <c r="I1417" s="882"/>
      <c r="J1417" s="883"/>
      <c r="K1417" s="884"/>
      <c r="L1417" s="884"/>
      <c r="M1417" s="68"/>
    </row>
    <row r="1418" spans="1:13" s="64" customFormat="1">
      <c r="A1418" s="10"/>
      <c r="B1418" s="111"/>
      <c r="C1418" s="68"/>
      <c r="D1418" s="374"/>
      <c r="E1418" s="660"/>
      <c r="F1418" s="112"/>
      <c r="G1418" s="68"/>
      <c r="H1418" s="603"/>
      <c r="I1418" s="882"/>
      <c r="J1418" s="883"/>
      <c r="K1418" s="884"/>
      <c r="L1418" s="884"/>
      <c r="M1418" s="68"/>
    </row>
    <row r="1419" spans="1:13" s="64" customFormat="1">
      <c r="A1419" s="10"/>
      <c r="B1419" s="111"/>
      <c r="C1419" s="68"/>
      <c r="D1419" s="374"/>
      <c r="E1419" s="660"/>
      <c r="F1419" s="112"/>
      <c r="G1419" s="68"/>
      <c r="H1419" s="603"/>
      <c r="I1419" s="882"/>
      <c r="J1419" s="883"/>
      <c r="K1419" s="884"/>
      <c r="L1419" s="884"/>
      <c r="M1419" s="68"/>
    </row>
    <row r="1420" spans="1:13" s="64" customFormat="1">
      <c r="A1420" s="10"/>
      <c r="B1420" s="111"/>
      <c r="C1420" s="68"/>
      <c r="D1420" s="374"/>
      <c r="E1420" s="660"/>
      <c r="F1420" s="112"/>
      <c r="G1420" s="68"/>
      <c r="H1420" s="603"/>
      <c r="I1420" s="882"/>
      <c r="J1420" s="883"/>
      <c r="K1420" s="884"/>
      <c r="L1420" s="884"/>
      <c r="M1420" s="68"/>
    </row>
    <row r="1421" spans="1:13" s="64" customFormat="1">
      <c r="A1421" s="10"/>
      <c r="B1421" s="111"/>
      <c r="C1421" s="68"/>
      <c r="D1421" s="374"/>
      <c r="E1421" s="660"/>
      <c r="F1421" s="112"/>
      <c r="G1421" s="68"/>
      <c r="H1421" s="603"/>
      <c r="I1421" s="882"/>
      <c r="J1421" s="883"/>
      <c r="K1421" s="884"/>
      <c r="L1421" s="884"/>
      <c r="M1421" s="68"/>
    </row>
    <row r="1422" spans="1:13" s="64" customFormat="1">
      <c r="A1422" s="10"/>
      <c r="B1422" s="111"/>
      <c r="C1422" s="68"/>
      <c r="D1422" s="374"/>
      <c r="E1422" s="660"/>
      <c r="F1422" s="112"/>
      <c r="G1422" s="68"/>
      <c r="H1422" s="603"/>
      <c r="I1422" s="882"/>
      <c r="J1422" s="883"/>
      <c r="K1422" s="884"/>
      <c r="L1422" s="884"/>
      <c r="M1422" s="68"/>
    </row>
    <row r="1423" spans="1:13" s="64" customFormat="1">
      <c r="A1423" s="10"/>
      <c r="B1423" s="111"/>
      <c r="C1423" s="68"/>
      <c r="D1423" s="374"/>
      <c r="E1423" s="660"/>
      <c r="F1423" s="112"/>
      <c r="G1423" s="68"/>
      <c r="H1423" s="603"/>
      <c r="I1423" s="882"/>
      <c r="J1423" s="883"/>
      <c r="K1423" s="884"/>
      <c r="L1423" s="884"/>
      <c r="M1423" s="68"/>
    </row>
    <row r="1424" spans="1:13" s="64" customFormat="1">
      <c r="A1424" s="10"/>
      <c r="B1424" s="111"/>
      <c r="C1424" s="68"/>
      <c r="D1424" s="374"/>
      <c r="E1424" s="660"/>
      <c r="F1424" s="112"/>
      <c r="G1424" s="68"/>
      <c r="H1424" s="603"/>
      <c r="I1424" s="882"/>
      <c r="J1424" s="883"/>
      <c r="K1424" s="884"/>
      <c r="L1424" s="884"/>
      <c r="M1424" s="68"/>
    </row>
    <row r="1425" spans="1:13" s="64" customFormat="1">
      <c r="A1425" s="10"/>
      <c r="B1425" s="111"/>
      <c r="C1425" s="68"/>
      <c r="D1425" s="374"/>
      <c r="E1425" s="660"/>
      <c r="F1425" s="112"/>
      <c r="G1425" s="68"/>
      <c r="H1425" s="603"/>
      <c r="I1425" s="882"/>
      <c r="J1425" s="883"/>
      <c r="K1425" s="884"/>
      <c r="L1425" s="884"/>
      <c r="M1425" s="68"/>
    </row>
    <row r="1426" spans="1:13" s="64" customFormat="1">
      <c r="A1426" s="10"/>
      <c r="B1426" s="111"/>
      <c r="C1426" s="68"/>
      <c r="D1426" s="374"/>
      <c r="E1426" s="660"/>
      <c r="F1426" s="112"/>
      <c r="G1426" s="68"/>
      <c r="H1426" s="603"/>
      <c r="I1426" s="882"/>
      <c r="J1426" s="883"/>
      <c r="K1426" s="884"/>
      <c r="L1426" s="884"/>
      <c r="M1426" s="68"/>
    </row>
    <row r="1427" spans="1:13" s="64" customFormat="1">
      <c r="A1427" s="10"/>
      <c r="B1427" s="111"/>
      <c r="C1427" s="68"/>
      <c r="D1427" s="374"/>
      <c r="E1427" s="660"/>
      <c r="F1427" s="112"/>
      <c r="G1427" s="68"/>
      <c r="H1427" s="603"/>
      <c r="I1427" s="882"/>
      <c r="J1427" s="883"/>
      <c r="K1427" s="884"/>
      <c r="L1427" s="884"/>
      <c r="M1427" s="68"/>
    </row>
    <row r="1428" spans="1:13" s="64" customFormat="1">
      <c r="A1428" s="10"/>
      <c r="B1428" s="111"/>
      <c r="C1428" s="68"/>
      <c r="D1428" s="374"/>
      <c r="E1428" s="660"/>
      <c r="F1428" s="112"/>
      <c r="G1428" s="68"/>
      <c r="H1428" s="603"/>
      <c r="I1428" s="882"/>
      <c r="J1428" s="883"/>
      <c r="K1428" s="884"/>
      <c r="L1428" s="884"/>
      <c r="M1428" s="68"/>
    </row>
    <row r="1429" spans="1:13" s="64" customFormat="1">
      <c r="A1429" s="10"/>
      <c r="B1429" s="111"/>
      <c r="C1429" s="68"/>
      <c r="D1429" s="374"/>
      <c r="E1429" s="660"/>
      <c r="F1429" s="112"/>
      <c r="G1429" s="68"/>
      <c r="H1429" s="603"/>
      <c r="I1429" s="882"/>
      <c r="J1429" s="883"/>
      <c r="K1429" s="884"/>
      <c r="L1429" s="884"/>
      <c r="M1429" s="68"/>
    </row>
    <row r="1430" spans="1:13" s="64" customFormat="1">
      <c r="A1430" s="10"/>
      <c r="B1430" s="111"/>
      <c r="C1430" s="68"/>
      <c r="D1430" s="374"/>
      <c r="E1430" s="660"/>
      <c r="F1430" s="112"/>
      <c r="G1430" s="68"/>
      <c r="H1430" s="603"/>
      <c r="I1430" s="882"/>
      <c r="J1430" s="883"/>
      <c r="K1430" s="884"/>
      <c r="L1430" s="884"/>
      <c r="M1430" s="68"/>
    </row>
    <row r="1431" spans="1:13" s="64" customFormat="1">
      <c r="A1431" s="10"/>
      <c r="B1431" s="111"/>
      <c r="C1431" s="68"/>
      <c r="D1431" s="374"/>
      <c r="E1431" s="660"/>
      <c r="F1431" s="112"/>
      <c r="G1431" s="68"/>
      <c r="H1431" s="603"/>
      <c r="I1431" s="882"/>
      <c r="J1431" s="883"/>
      <c r="K1431" s="884"/>
      <c r="L1431" s="884"/>
      <c r="M1431" s="68"/>
    </row>
    <row r="1432" spans="1:13" s="64" customFormat="1">
      <c r="A1432" s="10"/>
      <c r="B1432" s="111"/>
      <c r="C1432" s="68"/>
      <c r="D1432" s="374"/>
      <c r="E1432" s="660"/>
      <c r="F1432" s="112"/>
      <c r="G1432" s="68"/>
      <c r="H1432" s="603"/>
      <c r="I1432" s="882"/>
      <c r="J1432" s="883"/>
      <c r="K1432" s="884"/>
      <c r="L1432" s="884"/>
      <c r="M1432" s="68"/>
    </row>
    <row r="1433" spans="1:13" s="64" customFormat="1">
      <c r="A1433" s="10"/>
      <c r="B1433" s="111"/>
      <c r="C1433" s="68"/>
      <c r="D1433" s="374"/>
      <c r="E1433" s="660"/>
      <c r="F1433" s="112"/>
      <c r="G1433" s="68"/>
      <c r="H1433" s="603"/>
      <c r="I1433" s="882"/>
      <c r="J1433" s="883"/>
      <c r="K1433" s="884"/>
      <c r="L1433" s="884"/>
      <c r="M1433" s="68"/>
    </row>
    <row r="1434" spans="1:13" s="64" customFormat="1">
      <c r="A1434" s="10"/>
      <c r="B1434" s="111"/>
      <c r="C1434" s="68"/>
      <c r="D1434" s="374"/>
      <c r="E1434" s="660"/>
      <c r="F1434" s="112"/>
      <c r="G1434" s="68"/>
      <c r="H1434" s="603"/>
      <c r="I1434" s="882"/>
      <c r="J1434" s="883"/>
      <c r="K1434" s="884"/>
      <c r="L1434" s="884"/>
      <c r="M1434" s="68"/>
    </row>
    <row r="1435" spans="1:13" s="64" customFormat="1">
      <c r="A1435" s="10"/>
      <c r="B1435" s="111"/>
      <c r="C1435" s="68"/>
      <c r="D1435" s="374"/>
      <c r="E1435" s="660"/>
      <c r="F1435" s="112"/>
      <c r="G1435" s="68"/>
      <c r="H1435" s="603"/>
      <c r="I1435" s="882"/>
      <c r="J1435" s="883"/>
      <c r="K1435" s="884"/>
      <c r="L1435" s="884"/>
      <c r="M1435" s="68"/>
    </row>
    <row r="1436" spans="1:13" s="64" customFormat="1">
      <c r="A1436" s="10"/>
      <c r="B1436" s="111"/>
      <c r="C1436" s="68"/>
      <c r="D1436" s="374"/>
      <c r="E1436" s="660"/>
      <c r="F1436" s="112"/>
      <c r="G1436" s="68"/>
      <c r="H1436" s="603"/>
      <c r="I1436" s="882"/>
      <c r="J1436" s="883"/>
      <c r="K1436" s="884"/>
      <c r="L1436" s="884"/>
      <c r="M1436" s="68"/>
    </row>
    <row r="1437" spans="1:13" s="64" customFormat="1">
      <c r="A1437" s="10"/>
      <c r="B1437" s="111"/>
      <c r="C1437" s="68"/>
      <c r="D1437" s="374"/>
      <c r="E1437" s="660"/>
      <c r="F1437" s="112"/>
      <c r="G1437" s="68"/>
      <c r="H1437" s="603"/>
      <c r="I1437" s="882"/>
      <c r="J1437" s="883"/>
      <c r="K1437" s="884"/>
      <c r="L1437" s="884"/>
      <c r="M1437" s="68"/>
    </row>
    <row r="1438" spans="1:13" s="64" customFormat="1">
      <c r="A1438" s="10"/>
      <c r="B1438" s="111"/>
      <c r="C1438" s="68"/>
      <c r="D1438" s="374"/>
      <c r="E1438" s="660"/>
      <c r="F1438" s="112"/>
      <c r="G1438" s="68"/>
      <c r="H1438" s="603"/>
      <c r="I1438" s="882"/>
      <c r="J1438" s="883"/>
      <c r="K1438" s="884"/>
      <c r="L1438" s="884"/>
      <c r="M1438" s="68"/>
    </row>
    <row r="1439" spans="1:13" s="64" customFormat="1">
      <c r="A1439" s="10"/>
      <c r="B1439" s="111"/>
      <c r="C1439" s="68"/>
      <c r="D1439" s="374"/>
      <c r="E1439" s="660"/>
      <c r="F1439" s="112"/>
      <c r="G1439" s="68"/>
      <c r="H1439" s="603"/>
      <c r="I1439" s="882"/>
      <c r="J1439" s="883"/>
      <c r="K1439" s="884"/>
      <c r="L1439" s="884"/>
      <c r="M1439" s="68"/>
    </row>
    <row r="1440" spans="1:13" s="64" customFormat="1">
      <c r="A1440" s="10"/>
      <c r="B1440" s="111"/>
      <c r="C1440" s="68"/>
      <c r="D1440" s="374"/>
      <c r="E1440" s="660"/>
      <c r="F1440" s="112"/>
      <c r="G1440" s="68"/>
      <c r="H1440" s="603"/>
      <c r="I1440" s="882"/>
      <c r="J1440" s="883"/>
      <c r="K1440" s="884"/>
      <c r="L1440" s="884"/>
      <c r="M1440" s="68"/>
    </row>
    <row r="1441" spans="1:13" s="64" customFormat="1">
      <c r="A1441" s="10"/>
      <c r="B1441" s="111"/>
      <c r="C1441" s="68"/>
      <c r="D1441" s="374"/>
      <c r="E1441" s="660"/>
      <c r="F1441" s="112"/>
      <c r="G1441" s="68"/>
      <c r="H1441" s="603"/>
      <c r="I1441" s="882"/>
      <c r="J1441" s="883"/>
      <c r="K1441" s="884"/>
      <c r="L1441" s="884"/>
      <c r="M1441" s="68"/>
    </row>
    <row r="1442" spans="1:13" s="64" customFormat="1">
      <c r="A1442" s="10"/>
      <c r="B1442" s="111"/>
      <c r="C1442" s="68"/>
      <c r="D1442" s="374"/>
      <c r="E1442" s="660"/>
      <c r="F1442" s="112"/>
      <c r="G1442" s="68"/>
      <c r="H1442" s="603"/>
      <c r="I1442" s="882"/>
      <c r="J1442" s="883"/>
      <c r="K1442" s="884"/>
      <c r="L1442" s="884"/>
      <c r="M1442" s="68"/>
    </row>
    <row r="1443" spans="1:13" s="64" customFormat="1">
      <c r="A1443" s="10"/>
      <c r="B1443" s="111"/>
      <c r="C1443" s="68"/>
      <c r="D1443" s="374"/>
      <c r="E1443" s="660"/>
      <c r="F1443" s="112"/>
      <c r="G1443" s="68"/>
      <c r="H1443" s="603"/>
      <c r="I1443" s="882"/>
      <c r="J1443" s="883"/>
      <c r="K1443" s="884"/>
      <c r="L1443" s="884"/>
      <c r="M1443" s="68"/>
    </row>
    <row r="1444" spans="1:13" s="64" customFormat="1">
      <c r="A1444" s="10"/>
      <c r="B1444" s="111"/>
      <c r="C1444" s="68"/>
      <c r="D1444" s="374"/>
      <c r="E1444" s="660"/>
      <c r="F1444" s="112"/>
      <c r="G1444" s="68"/>
      <c r="H1444" s="603"/>
      <c r="I1444" s="882"/>
      <c r="J1444" s="883"/>
      <c r="K1444" s="884"/>
      <c r="L1444" s="884"/>
      <c r="M1444" s="68"/>
    </row>
    <row r="1445" spans="1:13" s="64" customFormat="1">
      <c r="A1445" s="10"/>
      <c r="B1445" s="111"/>
      <c r="C1445" s="68"/>
      <c r="D1445" s="374"/>
      <c r="E1445" s="660"/>
      <c r="F1445" s="112"/>
      <c r="G1445" s="68"/>
      <c r="H1445" s="603"/>
      <c r="I1445" s="882"/>
      <c r="J1445" s="883"/>
      <c r="K1445" s="884"/>
      <c r="L1445" s="884"/>
      <c r="M1445" s="68"/>
    </row>
    <row r="1446" spans="1:13" s="64" customFormat="1">
      <c r="A1446" s="10"/>
      <c r="B1446" s="111"/>
      <c r="C1446" s="68"/>
      <c r="D1446" s="374"/>
      <c r="E1446" s="660"/>
      <c r="F1446" s="112"/>
      <c r="G1446" s="68"/>
      <c r="H1446" s="603"/>
      <c r="I1446" s="882"/>
      <c r="J1446" s="883"/>
      <c r="K1446" s="884"/>
      <c r="L1446" s="884"/>
      <c r="M1446" s="68"/>
    </row>
    <row r="1447" spans="1:13" s="64" customFormat="1">
      <c r="A1447" s="10"/>
      <c r="B1447" s="111"/>
      <c r="C1447" s="68"/>
      <c r="D1447" s="374"/>
      <c r="E1447" s="660"/>
      <c r="F1447" s="112"/>
      <c r="G1447" s="68"/>
      <c r="H1447" s="603"/>
      <c r="I1447" s="882"/>
      <c r="J1447" s="883"/>
      <c r="K1447" s="884"/>
      <c r="L1447" s="884"/>
      <c r="M1447" s="68"/>
    </row>
    <row r="1448" spans="1:13" s="64" customFormat="1">
      <c r="A1448" s="10"/>
      <c r="B1448" s="111"/>
      <c r="C1448" s="68"/>
      <c r="D1448" s="374"/>
      <c r="E1448" s="660"/>
      <c r="F1448" s="112"/>
      <c r="G1448" s="68"/>
      <c r="H1448" s="603"/>
      <c r="I1448" s="882"/>
      <c r="J1448" s="883"/>
      <c r="K1448" s="884"/>
      <c r="L1448" s="884"/>
      <c r="M1448" s="68"/>
    </row>
    <row r="1449" spans="1:13" s="64" customFormat="1">
      <c r="A1449" s="10"/>
      <c r="B1449" s="111"/>
      <c r="C1449" s="68"/>
      <c r="D1449" s="374"/>
      <c r="E1449" s="660"/>
      <c r="F1449" s="112"/>
      <c r="G1449" s="68"/>
      <c r="H1449" s="603"/>
      <c r="I1449" s="882"/>
      <c r="J1449" s="883"/>
      <c r="K1449" s="884"/>
      <c r="L1449" s="884"/>
      <c r="M1449" s="68"/>
    </row>
    <row r="1450" spans="1:13" s="64" customFormat="1">
      <c r="A1450" s="10"/>
      <c r="B1450" s="111"/>
      <c r="C1450" s="68"/>
      <c r="D1450" s="374"/>
      <c r="E1450" s="660"/>
      <c r="F1450" s="112"/>
      <c r="G1450" s="68"/>
      <c r="H1450" s="603"/>
      <c r="I1450" s="882"/>
      <c r="J1450" s="883"/>
      <c r="K1450" s="884"/>
      <c r="L1450" s="884"/>
      <c r="M1450" s="68"/>
    </row>
    <row r="1451" spans="1:13" s="64" customFormat="1">
      <c r="A1451" s="10"/>
      <c r="B1451" s="111"/>
      <c r="C1451" s="68"/>
      <c r="D1451" s="374"/>
      <c r="E1451" s="660"/>
      <c r="F1451" s="112"/>
      <c r="G1451" s="68"/>
      <c r="H1451" s="603"/>
      <c r="I1451" s="882"/>
      <c r="J1451" s="883"/>
      <c r="K1451" s="884"/>
      <c r="L1451" s="884"/>
      <c r="M1451" s="68"/>
    </row>
    <row r="1452" spans="1:13" s="64" customFormat="1">
      <c r="A1452" s="10"/>
      <c r="B1452" s="111"/>
      <c r="C1452" s="68"/>
      <c r="D1452" s="374"/>
      <c r="E1452" s="660"/>
      <c r="F1452" s="112"/>
      <c r="G1452" s="68"/>
      <c r="H1452" s="603"/>
      <c r="I1452" s="882"/>
      <c r="J1452" s="883"/>
      <c r="K1452" s="884"/>
      <c r="L1452" s="884"/>
      <c r="M1452" s="68"/>
    </row>
    <row r="1453" spans="1:13" s="64" customFormat="1">
      <c r="A1453" s="10"/>
      <c r="B1453" s="111"/>
      <c r="C1453" s="68"/>
      <c r="D1453" s="374"/>
      <c r="E1453" s="660"/>
      <c r="F1453" s="112"/>
      <c r="G1453" s="68"/>
      <c r="H1453" s="603"/>
      <c r="I1453" s="882"/>
      <c r="J1453" s="883"/>
      <c r="K1453" s="884"/>
      <c r="L1453" s="884"/>
      <c r="M1453" s="68"/>
    </row>
    <row r="1454" spans="1:13" s="64" customFormat="1">
      <c r="A1454" s="10"/>
      <c r="B1454" s="111"/>
      <c r="C1454" s="68"/>
      <c r="D1454" s="374"/>
      <c r="E1454" s="660"/>
      <c r="F1454" s="112"/>
      <c r="G1454" s="68"/>
      <c r="H1454" s="603"/>
      <c r="I1454" s="882"/>
      <c r="J1454" s="883"/>
      <c r="K1454" s="884"/>
      <c r="L1454" s="884"/>
      <c r="M1454" s="68"/>
    </row>
    <row r="1455" spans="1:13" s="64" customFormat="1">
      <c r="A1455" s="10"/>
      <c r="B1455" s="111"/>
      <c r="C1455" s="68"/>
      <c r="D1455" s="374"/>
      <c r="E1455" s="660"/>
      <c r="F1455" s="112"/>
      <c r="G1455" s="68"/>
      <c r="H1455" s="603"/>
      <c r="I1455" s="882"/>
      <c r="J1455" s="883"/>
      <c r="K1455" s="884"/>
      <c r="L1455" s="884"/>
      <c r="M1455" s="68"/>
    </row>
    <row r="1456" spans="1:13" s="64" customFormat="1">
      <c r="A1456" s="10"/>
      <c r="B1456" s="111"/>
      <c r="C1456" s="68"/>
      <c r="D1456" s="374"/>
      <c r="E1456" s="660"/>
      <c r="F1456" s="112"/>
      <c r="G1456" s="68"/>
      <c r="H1456" s="603"/>
      <c r="I1456" s="882"/>
      <c r="J1456" s="883"/>
      <c r="K1456" s="884"/>
      <c r="L1456" s="884"/>
      <c r="M1456" s="68"/>
    </row>
    <row r="1457" spans="1:13" s="64" customFormat="1">
      <c r="A1457" s="10"/>
      <c r="B1457" s="111"/>
      <c r="C1457" s="68"/>
      <c r="D1457" s="374"/>
      <c r="E1457" s="660"/>
      <c r="F1457" s="112"/>
      <c r="G1457" s="68"/>
      <c r="H1457" s="603"/>
      <c r="I1457" s="882"/>
      <c r="J1457" s="883"/>
      <c r="K1457" s="884"/>
      <c r="L1457" s="884"/>
      <c r="M1457" s="68"/>
    </row>
    <row r="1458" spans="1:13" s="64" customFormat="1">
      <c r="A1458" s="10"/>
      <c r="B1458" s="111"/>
      <c r="C1458" s="68"/>
      <c r="D1458" s="374"/>
      <c r="E1458" s="660"/>
      <c r="F1458" s="112"/>
      <c r="G1458" s="68"/>
      <c r="H1458" s="603"/>
      <c r="I1458" s="882"/>
      <c r="J1458" s="883"/>
      <c r="K1458" s="884"/>
      <c r="L1458" s="884"/>
      <c r="M1458" s="68"/>
    </row>
    <row r="1459" spans="1:13" s="64" customFormat="1">
      <c r="A1459" s="10"/>
      <c r="B1459" s="111"/>
      <c r="C1459" s="68"/>
      <c r="D1459" s="374"/>
      <c r="E1459" s="660"/>
      <c r="F1459" s="112"/>
      <c r="G1459" s="68"/>
      <c r="H1459" s="603"/>
      <c r="I1459" s="882"/>
      <c r="J1459" s="883"/>
      <c r="K1459" s="884"/>
      <c r="L1459" s="884"/>
      <c r="M1459" s="68"/>
    </row>
    <row r="1460" spans="1:13" s="64" customFormat="1">
      <c r="A1460" s="10"/>
      <c r="B1460" s="111"/>
      <c r="C1460" s="68"/>
      <c r="D1460" s="374"/>
      <c r="E1460" s="660"/>
      <c r="F1460" s="112"/>
      <c r="G1460" s="68"/>
      <c r="H1460" s="603"/>
      <c r="I1460" s="882"/>
      <c r="J1460" s="883"/>
      <c r="K1460" s="884"/>
      <c r="L1460" s="884"/>
      <c r="M1460" s="68"/>
    </row>
    <row r="1461" spans="1:13" s="64" customFormat="1">
      <c r="A1461" s="10"/>
      <c r="B1461" s="111"/>
      <c r="C1461" s="68"/>
      <c r="D1461" s="374"/>
      <c r="E1461" s="660"/>
      <c r="F1461" s="112"/>
      <c r="G1461" s="68"/>
      <c r="H1461" s="603"/>
      <c r="I1461" s="882"/>
      <c r="J1461" s="883"/>
      <c r="K1461" s="884"/>
      <c r="L1461" s="884"/>
      <c r="M1461" s="68"/>
    </row>
    <row r="1462" spans="1:13" s="64" customFormat="1">
      <c r="A1462" s="10"/>
      <c r="B1462" s="111"/>
      <c r="C1462" s="68"/>
      <c r="D1462" s="374"/>
      <c r="E1462" s="660"/>
      <c r="F1462" s="112"/>
      <c r="G1462" s="68"/>
      <c r="H1462" s="603"/>
      <c r="I1462" s="882"/>
      <c r="J1462" s="883"/>
      <c r="K1462" s="884"/>
      <c r="L1462" s="884"/>
      <c r="M1462" s="68"/>
    </row>
    <row r="1463" spans="1:13" s="64" customFormat="1">
      <c r="A1463" s="10"/>
      <c r="B1463" s="111"/>
      <c r="C1463" s="68"/>
      <c r="D1463" s="374"/>
      <c r="E1463" s="660"/>
      <c r="F1463" s="112"/>
      <c r="G1463" s="68"/>
      <c r="H1463" s="603"/>
      <c r="I1463" s="882"/>
      <c r="J1463" s="883"/>
      <c r="K1463" s="884"/>
      <c r="L1463" s="884"/>
      <c r="M1463" s="68"/>
    </row>
    <row r="1464" spans="1:13" s="64" customFormat="1">
      <c r="A1464" s="10"/>
      <c r="B1464" s="111"/>
      <c r="C1464" s="68"/>
      <c r="D1464" s="374"/>
      <c r="E1464" s="660"/>
      <c r="F1464" s="112"/>
      <c r="G1464" s="68"/>
      <c r="H1464" s="603"/>
      <c r="I1464" s="882"/>
      <c r="J1464" s="883"/>
      <c r="K1464" s="884"/>
      <c r="L1464" s="884"/>
      <c r="M1464" s="68"/>
    </row>
    <row r="1465" spans="1:13" s="64" customFormat="1">
      <c r="A1465" s="10"/>
      <c r="B1465" s="111"/>
      <c r="C1465" s="68"/>
      <c r="D1465" s="374"/>
      <c r="E1465" s="660"/>
      <c r="F1465" s="112"/>
      <c r="G1465" s="68"/>
      <c r="H1465" s="603"/>
      <c r="I1465" s="882"/>
      <c r="J1465" s="883"/>
      <c r="K1465" s="884"/>
      <c r="L1465" s="884"/>
      <c r="M1465" s="68"/>
    </row>
    <row r="1466" spans="1:13" s="64" customFormat="1">
      <c r="A1466" s="10"/>
      <c r="B1466" s="111"/>
      <c r="C1466" s="68"/>
      <c r="D1466" s="374"/>
      <c r="E1466" s="660"/>
      <c r="F1466" s="112"/>
      <c r="G1466" s="68"/>
      <c r="H1466" s="603"/>
      <c r="I1466" s="882"/>
      <c r="J1466" s="883"/>
      <c r="K1466" s="884"/>
      <c r="L1466" s="884"/>
      <c r="M1466" s="68"/>
    </row>
    <row r="1467" spans="1:13" s="64" customFormat="1">
      <c r="A1467" s="10"/>
      <c r="B1467" s="111"/>
      <c r="C1467" s="68"/>
      <c r="D1467" s="374"/>
      <c r="E1467" s="660"/>
      <c r="F1467" s="112"/>
      <c r="G1467" s="68"/>
      <c r="H1467" s="603"/>
      <c r="I1467" s="882"/>
      <c r="J1467" s="883"/>
      <c r="K1467" s="884"/>
      <c r="L1467" s="884"/>
      <c r="M1467" s="68"/>
    </row>
    <row r="1468" spans="1:13" s="64" customFormat="1">
      <c r="A1468" s="10"/>
      <c r="B1468" s="111"/>
      <c r="C1468" s="68"/>
      <c r="D1468" s="374"/>
      <c r="E1468" s="660"/>
      <c r="F1468" s="112"/>
      <c r="G1468" s="68"/>
      <c r="H1468" s="603"/>
      <c r="I1468" s="882"/>
      <c r="J1468" s="883"/>
      <c r="K1468" s="884"/>
      <c r="L1468" s="884"/>
      <c r="M1468" s="68"/>
    </row>
    <row r="1469" spans="1:13" s="64" customFormat="1">
      <c r="A1469" s="10"/>
      <c r="B1469" s="111"/>
      <c r="C1469" s="68"/>
      <c r="D1469" s="374"/>
      <c r="E1469" s="660"/>
      <c r="F1469" s="112"/>
      <c r="G1469" s="68"/>
      <c r="H1469" s="603"/>
      <c r="I1469" s="882"/>
      <c r="J1469" s="883"/>
      <c r="K1469" s="884"/>
      <c r="L1469" s="884"/>
      <c r="M1469" s="68"/>
    </row>
    <row r="1470" spans="1:13" s="64" customFormat="1">
      <c r="A1470" s="10"/>
      <c r="B1470" s="111"/>
      <c r="C1470" s="68"/>
      <c r="D1470" s="374"/>
      <c r="E1470" s="660"/>
      <c r="F1470" s="112"/>
      <c r="G1470" s="68"/>
      <c r="H1470" s="603"/>
      <c r="I1470" s="882"/>
      <c r="J1470" s="883"/>
      <c r="K1470" s="884"/>
      <c r="L1470" s="884"/>
      <c r="M1470" s="68"/>
    </row>
    <row r="1471" spans="1:13" s="64" customFormat="1">
      <c r="A1471" s="10"/>
      <c r="B1471" s="111"/>
      <c r="C1471" s="68"/>
      <c r="D1471" s="374"/>
      <c r="E1471" s="660"/>
      <c r="F1471" s="112"/>
      <c r="G1471" s="68"/>
      <c r="H1471" s="603"/>
      <c r="I1471" s="882"/>
      <c r="J1471" s="883"/>
      <c r="K1471" s="884"/>
      <c r="L1471" s="884"/>
      <c r="M1471" s="68"/>
    </row>
    <row r="1472" spans="1:13" s="64" customFormat="1">
      <c r="A1472" s="10"/>
      <c r="B1472" s="111"/>
      <c r="C1472" s="68"/>
      <c r="D1472" s="374"/>
      <c r="E1472" s="660"/>
      <c r="F1472" s="112"/>
      <c r="G1472" s="68"/>
      <c r="H1472" s="603"/>
      <c r="I1472" s="882"/>
      <c r="J1472" s="883"/>
      <c r="K1472" s="884"/>
      <c r="L1472" s="884"/>
      <c r="M1472" s="68"/>
    </row>
    <row r="1473" spans="1:13" s="64" customFormat="1">
      <c r="A1473" s="10"/>
      <c r="B1473" s="111"/>
      <c r="C1473" s="68"/>
      <c r="D1473" s="374"/>
      <c r="E1473" s="660"/>
      <c r="F1473" s="112"/>
      <c r="G1473" s="68"/>
      <c r="H1473" s="603"/>
      <c r="I1473" s="882"/>
      <c r="J1473" s="883"/>
      <c r="K1473" s="884"/>
      <c r="L1473" s="884"/>
      <c r="M1473" s="68"/>
    </row>
    <row r="1474" spans="1:13" s="64" customFormat="1">
      <c r="A1474" s="10"/>
      <c r="B1474" s="111"/>
      <c r="C1474" s="68"/>
      <c r="D1474" s="374"/>
      <c r="E1474" s="660"/>
      <c r="F1474" s="112"/>
      <c r="G1474" s="68"/>
      <c r="H1474" s="603"/>
      <c r="I1474" s="882"/>
      <c r="J1474" s="883"/>
      <c r="K1474" s="884"/>
      <c r="L1474" s="884"/>
      <c r="M1474" s="68"/>
    </row>
    <row r="1475" spans="1:13" s="64" customFormat="1">
      <c r="A1475" s="10"/>
      <c r="B1475" s="111"/>
      <c r="C1475" s="68"/>
      <c r="D1475" s="374"/>
      <c r="E1475" s="660"/>
      <c r="F1475" s="112"/>
      <c r="G1475" s="68"/>
      <c r="H1475" s="603"/>
      <c r="I1475" s="882"/>
      <c r="J1475" s="883"/>
      <c r="K1475" s="884"/>
      <c r="L1475" s="884"/>
      <c r="M1475" s="68"/>
    </row>
    <row r="1476" spans="1:13" s="64" customFormat="1">
      <c r="A1476" s="10"/>
      <c r="B1476" s="111"/>
      <c r="C1476" s="68"/>
      <c r="D1476" s="374"/>
      <c r="E1476" s="660"/>
      <c r="F1476" s="112"/>
      <c r="G1476" s="68"/>
      <c r="H1476" s="603"/>
      <c r="I1476" s="882"/>
      <c r="J1476" s="883"/>
      <c r="K1476" s="884"/>
      <c r="L1476" s="884"/>
      <c r="M1476" s="68"/>
    </row>
    <row r="1477" spans="1:13" s="64" customFormat="1">
      <c r="A1477" s="10"/>
      <c r="B1477" s="111"/>
      <c r="C1477" s="68"/>
      <c r="D1477" s="374"/>
      <c r="E1477" s="660"/>
      <c r="F1477" s="112"/>
      <c r="G1477" s="68"/>
      <c r="H1477" s="603"/>
      <c r="I1477" s="882"/>
      <c r="J1477" s="883"/>
      <c r="K1477" s="884"/>
      <c r="L1477" s="884"/>
      <c r="M1477" s="68"/>
    </row>
    <row r="1478" spans="1:13" s="64" customFormat="1">
      <c r="A1478" s="10"/>
      <c r="B1478" s="111"/>
      <c r="C1478" s="68"/>
      <c r="D1478" s="374"/>
      <c r="E1478" s="660"/>
      <c r="F1478" s="112"/>
      <c r="G1478" s="68"/>
      <c r="H1478" s="603"/>
      <c r="I1478" s="882"/>
      <c r="J1478" s="883"/>
      <c r="K1478" s="884"/>
      <c r="L1478" s="884"/>
      <c r="M1478" s="68"/>
    </row>
    <row r="1479" spans="1:13" s="64" customFormat="1">
      <c r="A1479" s="10"/>
      <c r="B1479" s="111"/>
      <c r="C1479" s="68"/>
      <c r="D1479" s="374"/>
      <c r="E1479" s="660"/>
      <c r="F1479" s="112"/>
      <c r="G1479" s="68"/>
      <c r="H1479" s="603"/>
      <c r="I1479" s="882"/>
      <c r="J1479" s="883"/>
      <c r="K1479" s="884"/>
      <c r="L1479" s="884"/>
      <c r="M1479" s="68"/>
    </row>
    <row r="1480" spans="1:13" s="64" customFormat="1">
      <c r="A1480" s="10"/>
      <c r="B1480" s="111"/>
      <c r="C1480" s="68"/>
      <c r="D1480" s="374"/>
      <c r="E1480" s="660"/>
      <c r="F1480" s="112"/>
      <c r="G1480" s="68"/>
      <c r="H1480" s="603"/>
      <c r="I1480" s="882"/>
      <c r="J1480" s="883"/>
      <c r="K1480" s="884"/>
      <c r="L1480" s="884"/>
      <c r="M1480" s="68"/>
    </row>
    <row r="1481" spans="1:13" s="64" customFormat="1">
      <c r="A1481" s="10"/>
      <c r="B1481" s="111"/>
      <c r="C1481" s="68"/>
      <c r="D1481" s="374"/>
      <c r="E1481" s="660"/>
      <c r="F1481" s="112"/>
      <c r="G1481" s="68"/>
      <c r="H1481" s="603"/>
      <c r="I1481" s="882"/>
      <c r="J1481" s="883"/>
      <c r="K1481" s="884"/>
      <c r="L1481" s="884"/>
      <c r="M1481" s="68"/>
    </row>
    <row r="1482" spans="1:13" s="64" customFormat="1">
      <c r="A1482" s="10"/>
      <c r="B1482" s="111"/>
      <c r="C1482" s="68"/>
      <c r="D1482" s="374"/>
      <c r="E1482" s="660"/>
      <c r="F1482" s="112"/>
      <c r="G1482" s="68"/>
      <c r="H1482" s="603"/>
      <c r="I1482" s="882"/>
      <c r="J1482" s="883"/>
      <c r="K1482" s="884"/>
      <c r="L1482" s="884"/>
      <c r="M1482" s="68"/>
    </row>
    <row r="1483" spans="1:13" s="64" customFormat="1">
      <c r="A1483" s="10"/>
      <c r="B1483" s="111"/>
      <c r="C1483" s="68"/>
      <c r="D1483" s="374"/>
      <c r="E1483" s="660"/>
      <c r="F1483" s="112"/>
      <c r="G1483" s="68"/>
      <c r="H1483" s="603"/>
      <c r="I1483" s="882"/>
      <c r="J1483" s="883"/>
      <c r="K1483" s="884"/>
      <c r="L1483" s="884"/>
      <c r="M1483" s="68"/>
    </row>
    <row r="1484" spans="1:13" s="64" customFormat="1">
      <c r="A1484" s="10"/>
      <c r="B1484" s="111"/>
      <c r="C1484" s="68"/>
      <c r="D1484" s="374"/>
      <c r="E1484" s="660"/>
      <c r="F1484" s="112"/>
      <c r="G1484" s="68"/>
      <c r="H1484" s="603"/>
      <c r="I1484" s="882"/>
      <c r="J1484" s="883"/>
      <c r="K1484" s="884"/>
      <c r="L1484" s="884"/>
      <c r="M1484" s="68"/>
    </row>
    <row r="1485" spans="1:13" s="64" customFormat="1">
      <c r="A1485" s="10"/>
      <c r="B1485" s="111"/>
      <c r="C1485" s="68"/>
      <c r="D1485" s="374"/>
      <c r="E1485" s="660"/>
      <c r="F1485" s="112"/>
      <c r="G1485" s="68"/>
      <c r="H1485" s="603"/>
      <c r="I1485" s="882"/>
      <c r="J1485" s="883"/>
      <c r="K1485" s="884"/>
      <c r="L1485" s="884"/>
      <c r="M1485" s="68"/>
    </row>
    <row r="1486" spans="1:13" s="64" customFormat="1">
      <c r="A1486" s="10"/>
      <c r="B1486" s="111"/>
      <c r="C1486" s="68"/>
      <c r="D1486" s="374"/>
      <c r="E1486" s="660"/>
      <c r="F1486" s="112"/>
      <c r="G1486" s="68"/>
      <c r="H1486" s="603"/>
      <c r="I1486" s="882"/>
      <c r="J1486" s="883"/>
      <c r="K1486" s="884"/>
      <c r="L1486" s="884"/>
      <c r="M1486" s="68"/>
    </row>
    <row r="1487" spans="1:13" s="64" customFormat="1">
      <c r="A1487" s="10"/>
      <c r="B1487" s="111"/>
      <c r="C1487" s="68"/>
      <c r="D1487" s="374"/>
      <c r="E1487" s="660"/>
      <c r="F1487" s="112"/>
      <c r="G1487" s="68"/>
      <c r="H1487" s="603"/>
      <c r="I1487" s="882"/>
      <c r="J1487" s="883"/>
      <c r="K1487" s="884"/>
      <c r="L1487" s="884"/>
      <c r="M1487" s="68"/>
    </row>
    <row r="1488" spans="1:13" s="64" customFormat="1">
      <c r="A1488" s="10"/>
      <c r="B1488" s="111"/>
      <c r="C1488" s="68"/>
      <c r="D1488" s="374"/>
      <c r="E1488" s="660"/>
      <c r="F1488" s="112"/>
      <c r="G1488" s="68"/>
      <c r="H1488" s="603"/>
      <c r="I1488" s="882"/>
      <c r="J1488" s="883"/>
      <c r="K1488" s="884"/>
      <c r="L1488" s="884"/>
      <c r="M1488" s="68"/>
    </row>
    <row r="1489" spans="1:13" s="64" customFormat="1">
      <c r="A1489" s="10"/>
      <c r="B1489" s="111"/>
      <c r="C1489" s="68"/>
      <c r="D1489" s="374"/>
      <c r="E1489" s="660"/>
      <c r="F1489" s="112"/>
      <c r="G1489" s="68"/>
      <c r="H1489" s="603"/>
      <c r="I1489" s="882"/>
      <c r="J1489" s="883"/>
      <c r="K1489" s="884"/>
      <c r="L1489" s="884"/>
      <c r="M1489" s="68"/>
    </row>
    <row r="1490" spans="1:13" s="64" customFormat="1">
      <c r="A1490" s="10"/>
      <c r="B1490" s="111"/>
      <c r="C1490" s="68"/>
      <c r="D1490" s="374"/>
      <c r="E1490" s="660"/>
      <c r="F1490" s="112"/>
      <c r="G1490" s="68"/>
      <c r="H1490" s="603"/>
      <c r="I1490" s="882"/>
      <c r="J1490" s="883"/>
      <c r="K1490" s="884"/>
      <c r="L1490" s="884"/>
      <c r="M1490" s="68"/>
    </row>
    <row r="1491" spans="1:13" s="64" customFormat="1">
      <c r="A1491" s="10"/>
      <c r="B1491" s="111"/>
      <c r="C1491" s="68"/>
      <c r="D1491" s="374"/>
      <c r="E1491" s="660"/>
      <c r="F1491" s="112"/>
      <c r="G1491" s="68"/>
      <c r="H1491" s="603"/>
      <c r="I1491" s="882"/>
      <c r="J1491" s="883"/>
      <c r="K1491" s="884"/>
      <c r="L1491" s="884"/>
      <c r="M1491" s="68"/>
    </row>
    <row r="1492" spans="1:13" s="64" customFormat="1">
      <c r="A1492" s="10"/>
      <c r="B1492" s="111"/>
      <c r="C1492" s="68"/>
      <c r="D1492" s="374"/>
      <c r="E1492" s="660"/>
      <c r="F1492" s="112"/>
      <c r="G1492" s="68"/>
      <c r="H1492" s="603"/>
      <c r="I1492" s="882"/>
      <c r="J1492" s="883"/>
      <c r="K1492" s="884"/>
      <c r="L1492" s="884"/>
      <c r="M1492" s="68"/>
    </row>
    <row r="1493" spans="1:13" s="64" customFormat="1">
      <c r="A1493" s="10"/>
      <c r="B1493" s="111"/>
      <c r="C1493" s="68"/>
      <c r="D1493" s="374"/>
      <c r="E1493" s="660"/>
      <c r="F1493" s="112"/>
      <c r="G1493" s="68"/>
      <c r="H1493" s="603"/>
      <c r="I1493" s="882"/>
      <c r="J1493" s="883"/>
      <c r="K1493" s="884"/>
      <c r="L1493" s="884"/>
      <c r="M1493" s="68"/>
    </row>
    <row r="1494" spans="1:13" s="64" customFormat="1">
      <c r="A1494" s="10"/>
      <c r="B1494" s="111"/>
      <c r="C1494" s="68"/>
      <c r="D1494" s="374"/>
      <c r="E1494" s="660"/>
      <c r="F1494" s="112"/>
      <c r="G1494" s="68"/>
      <c r="H1494" s="603"/>
      <c r="I1494" s="882"/>
      <c r="J1494" s="883"/>
      <c r="K1494" s="884"/>
      <c r="L1494" s="884"/>
      <c r="M1494" s="68"/>
    </row>
    <row r="1495" spans="1:13" s="64" customFormat="1">
      <c r="A1495" s="10"/>
      <c r="B1495" s="111"/>
      <c r="C1495" s="68"/>
      <c r="D1495" s="374"/>
      <c r="E1495" s="660"/>
      <c r="F1495" s="112"/>
      <c r="G1495" s="68"/>
      <c r="H1495" s="603"/>
      <c r="I1495" s="882"/>
      <c r="J1495" s="883"/>
      <c r="K1495" s="884"/>
      <c r="L1495" s="884"/>
      <c r="M1495" s="68"/>
    </row>
    <row r="1496" spans="1:13" s="64" customFormat="1">
      <c r="A1496" s="10"/>
      <c r="B1496" s="111"/>
      <c r="C1496" s="68"/>
      <c r="D1496" s="374"/>
      <c r="E1496" s="660"/>
      <c r="F1496" s="112"/>
      <c r="G1496" s="68"/>
      <c r="H1496" s="603"/>
      <c r="I1496" s="882"/>
      <c r="J1496" s="883"/>
      <c r="K1496" s="884"/>
      <c r="L1496" s="884"/>
      <c r="M1496" s="68"/>
    </row>
    <row r="1497" spans="1:13" s="64" customFormat="1">
      <c r="A1497" s="10"/>
      <c r="B1497" s="111"/>
      <c r="C1497" s="68"/>
      <c r="D1497" s="374"/>
      <c r="E1497" s="660"/>
      <c r="F1497" s="112"/>
      <c r="G1497" s="68"/>
      <c r="H1497" s="603"/>
      <c r="I1497" s="882"/>
      <c r="J1497" s="883"/>
      <c r="K1497" s="884"/>
      <c r="L1497" s="884"/>
      <c r="M1497" s="68"/>
    </row>
    <row r="1498" spans="1:13" s="64" customFormat="1">
      <c r="A1498" s="10"/>
      <c r="B1498" s="111"/>
      <c r="C1498" s="68"/>
      <c r="D1498" s="374"/>
      <c r="E1498" s="660"/>
      <c r="F1498" s="112"/>
      <c r="G1498" s="68"/>
      <c r="H1498" s="603"/>
      <c r="I1498" s="882"/>
      <c r="J1498" s="883"/>
      <c r="K1498" s="884"/>
      <c r="L1498" s="884"/>
      <c r="M1498" s="68"/>
    </row>
    <row r="1499" spans="1:13" s="64" customFormat="1">
      <c r="A1499" s="10"/>
      <c r="B1499" s="111"/>
      <c r="C1499" s="68"/>
      <c r="D1499" s="374"/>
      <c r="E1499" s="660"/>
      <c r="F1499" s="112"/>
      <c r="G1499" s="68"/>
      <c r="H1499" s="603"/>
      <c r="I1499" s="882"/>
      <c r="J1499" s="883"/>
      <c r="K1499" s="884"/>
      <c r="L1499" s="884"/>
      <c r="M1499" s="68"/>
    </row>
    <row r="1500" spans="1:13" s="64" customFormat="1">
      <c r="A1500" s="10"/>
      <c r="B1500" s="111"/>
      <c r="C1500" s="68"/>
      <c r="D1500" s="374"/>
      <c r="E1500" s="660"/>
      <c r="F1500" s="112"/>
      <c r="G1500" s="68"/>
      <c r="H1500" s="603"/>
      <c r="I1500" s="882"/>
      <c r="J1500" s="883"/>
      <c r="K1500" s="884"/>
      <c r="L1500" s="884"/>
      <c r="M1500" s="68"/>
    </row>
    <row r="1501" spans="1:13" s="64" customFormat="1">
      <c r="A1501" s="10"/>
      <c r="B1501" s="111"/>
      <c r="C1501" s="68"/>
      <c r="D1501" s="374"/>
      <c r="E1501" s="660"/>
      <c r="F1501" s="112"/>
      <c r="G1501" s="68"/>
      <c r="H1501" s="603"/>
      <c r="I1501" s="882"/>
      <c r="J1501" s="883"/>
      <c r="K1501" s="884"/>
      <c r="L1501" s="884"/>
      <c r="M1501" s="68"/>
    </row>
    <row r="1502" spans="1:13" s="64" customFormat="1">
      <c r="A1502" s="10"/>
      <c r="B1502" s="111"/>
      <c r="C1502" s="68"/>
      <c r="D1502" s="374"/>
      <c r="E1502" s="660"/>
      <c r="F1502" s="112"/>
      <c r="G1502" s="68"/>
      <c r="H1502" s="603"/>
      <c r="I1502" s="882"/>
      <c r="J1502" s="883"/>
      <c r="K1502" s="884"/>
      <c r="L1502" s="884"/>
      <c r="M1502" s="68"/>
    </row>
    <row r="1503" spans="1:13" s="64" customFormat="1">
      <c r="A1503" s="10"/>
      <c r="B1503" s="111"/>
      <c r="C1503" s="68"/>
      <c r="D1503" s="374"/>
      <c r="E1503" s="660"/>
      <c r="F1503" s="112"/>
      <c r="G1503" s="68"/>
      <c r="H1503" s="603"/>
      <c r="I1503" s="882"/>
      <c r="J1503" s="883"/>
      <c r="K1503" s="884"/>
      <c r="L1503" s="884"/>
      <c r="M1503" s="68"/>
    </row>
    <row r="1504" spans="1:13" s="64" customFormat="1">
      <c r="A1504" s="10"/>
      <c r="B1504" s="111"/>
      <c r="C1504" s="68"/>
      <c r="D1504" s="374"/>
      <c r="E1504" s="660"/>
      <c r="F1504" s="112"/>
      <c r="G1504" s="68"/>
      <c r="H1504" s="603"/>
      <c r="I1504" s="882"/>
      <c r="J1504" s="883"/>
      <c r="K1504" s="884"/>
      <c r="L1504" s="884"/>
      <c r="M1504" s="68"/>
    </row>
    <row r="1505" spans="1:13" s="64" customFormat="1">
      <c r="A1505" s="10"/>
      <c r="B1505" s="111"/>
      <c r="C1505" s="68"/>
      <c r="D1505" s="374"/>
      <c r="E1505" s="660"/>
      <c r="F1505" s="112"/>
      <c r="G1505" s="68"/>
      <c r="H1505" s="603"/>
      <c r="I1505" s="882"/>
      <c r="J1505" s="883"/>
      <c r="K1505" s="884"/>
      <c r="L1505" s="884"/>
      <c r="M1505" s="68"/>
    </row>
    <row r="1506" spans="1:13" s="64" customFormat="1">
      <c r="A1506" s="10"/>
      <c r="B1506" s="111"/>
      <c r="C1506" s="68"/>
      <c r="D1506" s="374"/>
      <c r="E1506" s="660"/>
      <c r="F1506" s="112"/>
      <c r="G1506" s="68"/>
      <c r="H1506" s="603"/>
      <c r="I1506" s="882"/>
      <c r="J1506" s="883"/>
      <c r="K1506" s="884"/>
      <c r="L1506" s="884"/>
      <c r="M1506" s="68"/>
    </row>
    <row r="1507" spans="1:13" s="64" customFormat="1">
      <c r="A1507" s="10"/>
      <c r="B1507" s="111"/>
      <c r="C1507" s="68"/>
      <c r="D1507" s="374"/>
      <c r="E1507" s="660"/>
      <c r="F1507" s="112"/>
      <c r="G1507" s="68"/>
      <c r="H1507" s="603"/>
      <c r="I1507" s="882"/>
      <c r="J1507" s="883"/>
      <c r="K1507" s="884"/>
      <c r="L1507" s="884"/>
      <c r="M1507" s="68"/>
    </row>
    <row r="1508" spans="1:13" s="64" customFormat="1">
      <c r="A1508" s="10"/>
      <c r="B1508" s="111"/>
      <c r="C1508" s="68"/>
      <c r="D1508" s="374"/>
      <c r="E1508" s="660"/>
      <c r="F1508" s="112"/>
      <c r="G1508" s="68"/>
      <c r="H1508" s="603"/>
      <c r="I1508" s="882"/>
      <c r="J1508" s="883"/>
      <c r="K1508" s="884"/>
      <c r="L1508" s="884"/>
      <c r="M1508" s="68"/>
    </row>
    <row r="1509" spans="1:13" s="64" customFormat="1">
      <c r="A1509" s="10"/>
      <c r="B1509" s="111"/>
      <c r="C1509" s="68"/>
      <c r="D1509" s="374"/>
      <c r="E1509" s="660"/>
      <c r="F1509" s="112"/>
      <c r="G1509" s="68"/>
      <c r="H1509" s="603"/>
      <c r="I1509" s="882"/>
      <c r="J1509" s="883"/>
      <c r="K1509" s="884"/>
      <c r="L1509" s="884"/>
      <c r="M1509" s="68"/>
    </row>
    <row r="1510" spans="1:13" s="64" customFormat="1">
      <c r="A1510" s="10"/>
      <c r="B1510" s="111"/>
      <c r="C1510" s="68"/>
      <c r="D1510" s="374"/>
      <c r="E1510" s="660"/>
      <c r="F1510" s="112"/>
      <c r="G1510" s="68"/>
      <c r="H1510" s="603"/>
      <c r="I1510" s="882"/>
      <c r="J1510" s="883"/>
      <c r="K1510" s="884"/>
      <c r="L1510" s="884"/>
      <c r="M1510" s="68"/>
    </row>
    <row r="1511" spans="1:13" s="64" customFormat="1">
      <c r="A1511" s="10"/>
      <c r="B1511" s="111"/>
      <c r="C1511" s="68"/>
      <c r="D1511" s="374"/>
      <c r="E1511" s="660"/>
      <c r="F1511" s="112"/>
      <c r="G1511" s="68"/>
      <c r="H1511" s="603"/>
      <c r="I1511" s="882"/>
      <c r="J1511" s="883"/>
      <c r="K1511" s="884"/>
      <c r="L1511" s="884"/>
      <c r="M1511" s="68"/>
    </row>
    <row r="1512" spans="1:13" s="64" customFormat="1">
      <c r="A1512" s="10"/>
      <c r="B1512" s="111"/>
      <c r="C1512" s="68"/>
      <c r="D1512" s="374"/>
      <c r="E1512" s="660"/>
      <c r="F1512" s="112"/>
      <c r="G1512" s="68"/>
      <c r="H1512" s="603"/>
      <c r="I1512" s="882"/>
      <c r="J1512" s="883"/>
      <c r="K1512" s="884"/>
      <c r="L1512" s="884"/>
      <c r="M1512" s="68"/>
    </row>
    <row r="1513" spans="1:13" s="64" customFormat="1">
      <c r="A1513" s="10"/>
      <c r="B1513" s="111"/>
      <c r="C1513" s="68"/>
      <c r="D1513" s="374"/>
      <c r="E1513" s="660"/>
      <c r="F1513" s="112"/>
      <c r="G1513" s="68"/>
      <c r="H1513" s="603"/>
      <c r="I1513" s="882"/>
      <c r="J1513" s="883"/>
      <c r="K1513" s="884"/>
      <c r="L1513" s="884"/>
      <c r="M1513" s="68"/>
    </row>
    <row r="1514" spans="1:13" s="64" customFormat="1">
      <c r="A1514" s="10"/>
      <c r="B1514" s="111"/>
      <c r="C1514" s="68"/>
      <c r="D1514" s="374"/>
      <c r="E1514" s="660"/>
      <c r="F1514" s="112"/>
      <c r="G1514" s="68"/>
      <c r="H1514" s="603"/>
      <c r="I1514" s="882"/>
      <c r="J1514" s="883"/>
      <c r="K1514" s="884"/>
      <c r="L1514" s="884"/>
      <c r="M1514" s="68"/>
    </row>
    <row r="1515" spans="1:13" s="64" customFormat="1">
      <c r="A1515" s="10"/>
      <c r="B1515" s="111"/>
      <c r="C1515" s="68"/>
      <c r="D1515" s="374"/>
      <c r="E1515" s="660"/>
      <c r="F1515" s="112"/>
      <c r="G1515" s="68"/>
      <c r="H1515" s="603"/>
      <c r="I1515" s="882"/>
      <c r="J1515" s="883"/>
      <c r="K1515" s="884"/>
      <c r="L1515" s="884"/>
      <c r="M1515" s="68"/>
    </row>
    <row r="1516" spans="1:13" s="64" customFormat="1">
      <c r="A1516" s="10"/>
      <c r="B1516" s="111"/>
      <c r="C1516" s="68"/>
      <c r="D1516" s="374"/>
      <c r="E1516" s="660"/>
      <c r="F1516" s="112"/>
      <c r="G1516" s="68"/>
      <c r="H1516" s="603"/>
      <c r="I1516" s="882"/>
      <c r="J1516" s="883"/>
      <c r="K1516" s="884"/>
      <c r="L1516" s="884"/>
      <c r="M1516" s="68"/>
    </row>
    <row r="1517" spans="1:13" s="64" customFormat="1">
      <c r="A1517" s="10"/>
      <c r="B1517" s="111"/>
      <c r="C1517" s="68"/>
      <c r="D1517" s="374"/>
      <c r="E1517" s="660"/>
      <c r="F1517" s="112"/>
      <c r="G1517" s="68"/>
      <c r="H1517" s="603"/>
      <c r="I1517" s="882"/>
      <c r="J1517" s="883"/>
      <c r="K1517" s="884"/>
      <c r="L1517" s="884"/>
      <c r="M1517" s="68"/>
    </row>
    <row r="1518" spans="1:13" s="64" customFormat="1">
      <c r="A1518" s="10"/>
      <c r="B1518" s="111"/>
      <c r="C1518" s="68"/>
      <c r="D1518" s="374"/>
      <c r="E1518" s="660"/>
      <c r="F1518" s="112"/>
      <c r="G1518" s="68"/>
      <c r="H1518" s="603"/>
      <c r="I1518" s="882"/>
      <c r="J1518" s="883"/>
      <c r="K1518" s="884"/>
      <c r="L1518" s="884"/>
      <c r="M1518" s="68"/>
    </row>
    <row r="1519" spans="1:13" s="64" customFormat="1">
      <c r="A1519" s="10"/>
      <c r="B1519" s="111"/>
      <c r="C1519" s="68"/>
      <c r="D1519" s="374"/>
      <c r="E1519" s="660"/>
      <c r="F1519" s="112"/>
      <c r="G1519" s="68"/>
      <c r="H1519" s="603"/>
      <c r="I1519" s="882"/>
      <c r="J1519" s="883"/>
      <c r="K1519" s="884"/>
      <c r="L1519" s="884"/>
      <c r="M1519" s="68"/>
    </row>
    <row r="1520" spans="1:13" s="64" customFormat="1">
      <c r="A1520" s="10"/>
      <c r="B1520" s="111"/>
      <c r="C1520" s="68"/>
      <c r="D1520" s="374"/>
      <c r="E1520" s="660"/>
      <c r="F1520" s="112"/>
      <c r="G1520" s="68"/>
      <c r="H1520" s="603"/>
      <c r="I1520" s="882"/>
      <c r="J1520" s="883"/>
      <c r="K1520" s="884"/>
      <c r="L1520" s="884"/>
      <c r="M1520" s="68"/>
    </row>
    <row r="1521" spans="1:13" s="64" customFormat="1">
      <c r="A1521" s="10"/>
      <c r="B1521" s="111"/>
      <c r="C1521" s="68"/>
      <c r="D1521" s="374"/>
      <c r="E1521" s="660"/>
      <c r="F1521" s="112"/>
      <c r="G1521" s="68"/>
      <c r="H1521" s="603"/>
      <c r="I1521" s="882"/>
      <c r="J1521" s="883"/>
      <c r="K1521" s="884"/>
      <c r="L1521" s="884"/>
      <c r="M1521" s="68"/>
    </row>
    <row r="1522" spans="1:13" s="64" customFormat="1">
      <c r="A1522" s="10"/>
      <c r="B1522" s="111"/>
      <c r="C1522" s="68"/>
      <c r="D1522" s="374"/>
      <c r="E1522" s="660"/>
      <c r="F1522" s="112"/>
      <c r="G1522" s="68"/>
      <c r="H1522" s="603"/>
      <c r="I1522" s="882"/>
      <c r="J1522" s="883"/>
      <c r="K1522" s="884"/>
      <c r="L1522" s="884"/>
      <c r="M1522" s="68"/>
    </row>
    <row r="1523" spans="1:13" s="64" customFormat="1">
      <c r="A1523" s="10"/>
      <c r="B1523" s="111"/>
      <c r="C1523" s="68"/>
      <c r="D1523" s="374"/>
      <c r="E1523" s="660"/>
      <c r="F1523" s="112"/>
      <c r="G1523" s="68"/>
      <c r="H1523" s="603"/>
      <c r="I1523" s="882"/>
      <c r="J1523" s="883"/>
      <c r="K1523" s="884"/>
      <c r="L1523" s="884"/>
      <c r="M1523" s="68"/>
    </row>
    <row r="1524" spans="1:13" s="64" customFormat="1">
      <c r="A1524" s="10"/>
      <c r="B1524" s="111"/>
      <c r="C1524" s="68"/>
      <c r="D1524" s="374"/>
      <c r="E1524" s="660"/>
      <c r="F1524" s="112"/>
      <c r="G1524" s="68"/>
      <c r="H1524" s="603"/>
      <c r="I1524" s="882"/>
      <c r="J1524" s="883"/>
      <c r="K1524" s="884"/>
      <c r="L1524" s="884"/>
      <c r="M1524" s="68"/>
    </row>
    <row r="1525" spans="1:13" s="64" customFormat="1">
      <c r="A1525" s="10"/>
      <c r="B1525" s="111"/>
      <c r="C1525" s="68"/>
      <c r="D1525" s="374"/>
      <c r="E1525" s="660"/>
      <c r="F1525" s="112"/>
      <c r="G1525" s="68"/>
      <c r="H1525" s="603"/>
      <c r="I1525" s="882"/>
      <c r="J1525" s="883"/>
      <c r="K1525" s="884"/>
      <c r="L1525" s="884"/>
      <c r="M1525" s="68"/>
    </row>
    <row r="1526" spans="1:13" s="64" customFormat="1">
      <c r="A1526" s="10"/>
      <c r="B1526" s="111"/>
      <c r="C1526" s="68"/>
      <c r="D1526" s="374"/>
      <c r="E1526" s="660"/>
      <c r="F1526" s="112"/>
      <c r="G1526" s="68"/>
      <c r="H1526" s="603"/>
      <c r="I1526" s="882"/>
      <c r="J1526" s="883"/>
      <c r="K1526" s="884"/>
      <c r="L1526" s="884"/>
      <c r="M1526" s="68"/>
    </row>
    <row r="1527" spans="1:13" s="64" customFormat="1">
      <c r="A1527" s="10"/>
      <c r="B1527" s="111"/>
      <c r="C1527" s="68"/>
      <c r="D1527" s="374"/>
      <c r="E1527" s="660"/>
      <c r="F1527" s="112"/>
      <c r="G1527" s="68"/>
      <c r="H1527" s="603"/>
      <c r="I1527" s="882"/>
      <c r="J1527" s="883"/>
      <c r="K1527" s="884"/>
      <c r="L1527" s="884"/>
      <c r="M1527" s="68"/>
    </row>
    <row r="1528" spans="1:13" s="64" customFormat="1">
      <c r="A1528" s="10"/>
      <c r="B1528" s="111"/>
      <c r="C1528" s="68"/>
      <c r="D1528" s="374"/>
      <c r="E1528" s="660"/>
      <c r="F1528" s="112"/>
      <c r="G1528" s="68"/>
      <c r="H1528" s="603"/>
      <c r="I1528" s="882"/>
      <c r="J1528" s="883"/>
      <c r="K1528" s="884"/>
      <c r="L1528" s="884"/>
      <c r="M1528" s="68"/>
    </row>
    <row r="1529" spans="1:13" s="64" customFormat="1">
      <c r="A1529" s="10"/>
      <c r="B1529" s="111"/>
      <c r="C1529" s="68"/>
      <c r="D1529" s="374"/>
      <c r="E1529" s="660"/>
      <c r="F1529" s="112"/>
      <c r="G1529" s="68"/>
      <c r="H1529" s="603"/>
      <c r="I1529" s="882"/>
      <c r="J1529" s="883"/>
      <c r="K1529" s="884"/>
      <c r="L1529" s="884"/>
      <c r="M1529" s="68"/>
    </row>
    <row r="1530" spans="1:13" s="64" customFormat="1">
      <c r="A1530" s="10"/>
      <c r="B1530" s="111"/>
      <c r="C1530" s="68"/>
      <c r="D1530" s="374"/>
      <c r="E1530" s="660"/>
      <c r="F1530" s="112"/>
      <c r="G1530" s="68"/>
      <c r="H1530" s="603"/>
      <c r="I1530" s="882"/>
      <c r="J1530" s="883"/>
      <c r="K1530" s="884"/>
      <c r="L1530" s="884"/>
      <c r="M1530" s="68"/>
    </row>
    <row r="1531" spans="1:13" s="64" customFormat="1">
      <c r="A1531" s="10"/>
      <c r="B1531" s="111"/>
      <c r="C1531" s="68"/>
      <c r="D1531" s="374"/>
      <c r="E1531" s="660"/>
      <c r="F1531" s="112"/>
      <c r="G1531" s="68"/>
      <c r="H1531" s="603"/>
      <c r="I1531" s="882"/>
      <c r="J1531" s="883"/>
      <c r="K1531" s="884"/>
      <c r="L1531" s="884"/>
      <c r="M1531" s="68"/>
    </row>
    <row r="1532" spans="1:13" s="64" customFormat="1">
      <c r="A1532" s="10"/>
      <c r="B1532" s="111"/>
      <c r="C1532" s="68"/>
      <c r="D1532" s="374"/>
      <c r="E1532" s="660"/>
      <c r="F1532" s="112"/>
      <c r="G1532" s="68"/>
      <c r="H1532" s="603"/>
      <c r="I1532" s="882"/>
      <c r="J1532" s="883"/>
      <c r="K1532" s="884"/>
      <c r="L1532" s="884"/>
      <c r="M1532" s="68"/>
    </row>
    <row r="1533" spans="1:13" s="64" customFormat="1">
      <c r="A1533" s="10"/>
      <c r="B1533" s="111"/>
      <c r="C1533" s="68"/>
      <c r="D1533" s="374"/>
      <c r="E1533" s="660"/>
      <c r="F1533" s="112"/>
      <c r="G1533" s="68"/>
      <c r="H1533" s="603"/>
      <c r="I1533" s="882"/>
      <c r="J1533" s="883"/>
      <c r="K1533" s="884"/>
      <c r="L1533" s="884"/>
      <c r="M1533" s="68"/>
    </row>
    <row r="1534" spans="1:13" s="64" customFormat="1">
      <c r="A1534" s="10"/>
      <c r="B1534" s="111"/>
      <c r="C1534" s="68"/>
      <c r="D1534" s="374"/>
      <c r="E1534" s="660"/>
      <c r="F1534" s="112"/>
      <c r="G1534" s="68"/>
      <c r="H1534" s="603"/>
      <c r="I1534" s="882"/>
      <c r="J1534" s="883"/>
      <c r="K1534" s="884"/>
      <c r="L1534" s="884"/>
      <c r="M1534" s="68"/>
    </row>
    <row r="1535" spans="1:13" s="64" customFormat="1">
      <c r="A1535" s="10"/>
      <c r="B1535" s="111"/>
      <c r="C1535" s="68"/>
      <c r="D1535" s="374"/>
      <c r="E1535" s="660"/>
      <c r="F1535" s="112"/>
      <c r="G1535" s="68"/>
      <c r="H1535" s="603"/>
      <c r="I1535" s="882"/>
      <c r="J1535" s="883"/>
      <c r="K1535" s="884"/>
      <c r="L1535" s="884"/>
      <c r="M1535" s="68"/>
    </row>
    <row r="1536" spans="1:13" s="64" customFormat="1">
      <c r="A1536" s="10"/>
      <c r="B1536" s="111"/>
      <c r="C1536" s="68"/>
      <c r="D1536" s="374"/>
      <c r="E1536" s="660"/>
      <c r="F1536" s="112"/>
      <c r="G1536" s="68"/>
      <c r="H1536" s="603"/>
      <c r="I1536" s="882"/>
      <c r="J1536" s="883"/>
      <c r="K1536" s="884"/>
      <c r="L1536" s="884"/>
      <c r="M1536" s="68"/>
    </row>
    <row r="1537" spans="1:13" s="64" customFormat="1">
      <c r="A1537" s="10"/>
      <c r="B1537" s="111"/>
      <c r="C1537" s="68"/>
      <c r="D1537" s="374"/>
      <c r="E1537" s="660"/>
      <c r="F1537" s="112"/>
      <c r="G1537" s="68"/>
      <c r="H1537" s="603"/>
      <c r="I1537" s="882"/>
      <c r="J1537" s="883"/>
      <c r="K1537" s="884"/>
      <c r="L1537" s="884"/>
      <c r="M1537" s="68"/>
    </row>
    <row r="1538" spans="1:13" s="64" customFormat="1">
      <c r="A1538" s="10"/>
      <c r="B1538" s="111"/>
      <c r="C1538" s="68"/>
      <c r="D1538" s="374"/>
      <c r="E1538" s="660"/>
      <c r="F1538" s="112"/>
      <c r="G1538" s="68"/>
      <c r="H1538" s="603"/>
      <c r="I1538" s="882"/>
      <c r="J1538" s="883"/>
      <c r="K1538" s="884"/>
      <c r="L1538" s="884"/>
      <c r="M1538" s="68"/>
    </row>
    <row r="1539" spans="1:13" s="64" customFormat="1">
      <c r="A1539" s="10"/>
      <c r="B1539" s="111"/>
      <c r="C1539" s="68"/>
      <c r="D1539" s="374"/>
      <c r="E1539" s="660"/>
      <c r="F1539" s="112"/>
      <c r="G1539" s="68"/>
      <c r="H1539" s="603"/>
      <c r="I1539" s="882"/>
      <c r="J1539" s="883"/>
      <c r="K1539" s="884"/>
      <c r="L1539" s="884"/>
      <c r="M1539" s="68"/>
    </row>
    <row r="1540" spans="1:13" s="64" customFormat="1">
      <c r="A1540" s="10"/>
      <c r="B1540" s="111"/>
      <c r="C1540" s="68"/>
      <c r="D1540" s="374"/>
      <c r="E1540" s="660"/>
      <c r="F1540" s="112"/>
      <c r="G1540" s="68"/>
      <c r="H1540" s="603"/>
      <c r="I1540" s="882"/>
      <c r="J1540" s="883"/>
      <c r="K1540" s="884"/>
      <c r="L1540" s="884"/>
      <c r="M1540" s="68"/>
    </row>
    <row r="1541" spans="1:13" s="64" customFormat="1">
      <c r="A1541" s="10"/>
      <c r="B1541" s="111"/>
      <c r="C1541" s="68"/>
      <c r="D1541" s="374"/>
      <c r="E1541" s="660"/>
      <c r="F1541" s="112"/>
      <c r="G1541" s="68"/>
      <c r="H1541" s="603"/>
      <c r="I1541" s="882"/>
      <c r="J1541" s="883"/>
      <c r="K1541" s="884"/>
      <c r="L1541" s="884"/>
      <c r="M1541" s="68"/>
    </row>
    <row r="1542" spans="1:13" s="64" customFormat="1">
      <c r="A1542" s="10"/>
      <c r="B1542" s="111"/>
      <c r="C1542" s="68"/>
      <c r="D1542" s="374"/>
      <c r="E1542" s="660"/>
      <c r="F1542" s="112"/>
      <c r="G1542" s="68"/>
      <c r="H1542" s="603"/>
      <c r="I1542" s="882"/>
      <c r="J1542" s="883"/>
      <c r="K1542" s="884"/>
      <c r="L1542" s="884"/>
      <c r="M1542" s="68"/>
    </row>
    <row r="1543" spans="1:13" s="64" customFormat="1">
      <c r="A1543" s="10"/>
      <c r="B1543" s="111"/>
      <c r="C1543" s="68"/>
      <c r="D1543" s="374"/>
      <c r="E1543" s="660"/>
      <c r="F1543" s="112"/>
      <c r="G1543" s="68"/>
      <c r="H1543" s="603"/>
      <c r="I1543" s="882"/>
      <c r="J1543" s="883"/>
      <c r="K1543" s="884"/>
      <c r="L1543" s="884"/>
      <c r="M1543" s="68"/>
    </row>
    <row r="1544" spans="1:13" s="64" customFormat="1">
      <c r="A1544" s="10"/>
      <c r="B1544" s="111"/>
      <c r="C1544" s="68"/>
      <c r="D1544" s="374"/>
      <c r="E1544" s="660"/>
      <c r="F1544" s="112"/>
      <c r="G1544" s="68"/>
      <c r="H1544" s="603"/>
      <c r="I1544" s="882"/>
      <c r="J1544" s="883"/>
      <c r="K1544" s="884"/>
      <c r="L1544" s="884"/>
      <c r="M1544" s="68"/>
    </row>
    <row r="1545" spans="1:13" s="64" customFormat="1">
      <c r="A1545" s="10"/>
      <c r="B1545" s="111"/>
      <c r="C1545" s="68"/>
      <c r="D1545" s="374"/>
      <c r="E1545" s="660"/>
      <c r="F1545" s="112"/>
      <c r="G1545" s="68"/>
      <c r="H1545" s="603"/>
      <c r="I1545" s="882"/>
      <c r="J1545" s="883"/>
      <c r="K1545" s="884"/>
      <c r="L1545" s="884"/>
      <c r="M1545" s="68"/>
    </row>
    <row r="1546" spans="1:13" s="64" customFormat="1">
      <c r="A1546" s="10"/>
      <c r="B1546" s="111"/>
      <c r="C1546" s="68"/>
      <c r="D1546" s="374"/>
      <c r="E1546" s="660"/>
      <c r="F1546" s="112"/>
      <c r="G1546" s="68"/>
      <c r="H1546" s="603"/>
      <c r="I1546" s="882"/>
      <c r="J1546" s="883"/>
      <c r="K1546" s="884"/>
      <c r="L1546" s="884"/>
      <c r="M1546" s="68"/>
    </row>
    <row r="1547" spans="1:13" s="64" customFormat="1">
      <c r="A1547" s="10"/>
      <c r="B1547" s="111"/>
      <c r="C1547" s="68"/>
      <c r="D1547" s="374"/>
      <c r="E1547" s="660"/>
      <c r="F1547" s="112"/>
      <c r="G1547" s="68"/>
      <c r="H1547" s="603"/>
      <c r="I1547" s="882"/>
      <c r="J1547" s="883"/>
      <c r="K1547" s="884"/>
      <c r="L1547" s="884"/>
      <c r="M1547" s="68"/>
    </row>
    <row r="1548" spans="1:13" s="64" customFormat="1">
      <c r="A1548" s="10"/>
      <c r="B1548" s="111"/>
      <c r="C1548" s="68"/>
      <c r="D1548" s="374"/>
      <c r="E1548" s="660"/>
      <c r="F1548" s="112"/>
      <c r="G1548" s="68"/>
      <c r="H1548" s="603"/>
      <c r="I1548" s="882"/>
      <c r="J1548" s="883"/>
      <c r="K1548" s="884"/>
      <c r="L1548" s="884"/>
      <c r="M1548" s="68"/>
    </row>
    <row r="1549" spans="1:13" s="64" customFormat="1">
      <c r="A1549" s="10"/>
      <c r="B1549" s="111"/>
      <c r="C1549" s="68"/>
      <c r="D1549" s="374"/>
      <c r="E1549" s="660"/>
      <c r="F1549" s="112"/>
      <c r="G1549" s="68"/>
      <c r="H1549" s="603"/>
      <c r="I1549" s="882"/>
      <c r="J1549" s="883"/>
      <c r="K1549" s="884"/>
      <c r="L1549" s="884"/>
      <c r="M1549" s="68"/>
    </row>
    <row r="1550" spans="1:13" s="64" customFormat="1">
      <c r="A1550" s="10"/>
      <c r="B1550" s="111"/>
      <c r="C1550" s="68"/>
      <c r="D1550" s="374"/>
      <c r="E1550" s="660"/>
      <c r="F1550" s="112"/>
      <c r="G1550" s="68"/>
      <c r="H1550" s="603"/>
      <c r="I1550" s="882"/>
      <c r="J1550" s="883"/>
      <c r="K1550" s="884"/>
      <c r="L1550" s="884"/>
      <c r="M1550" s="68"/>
    </row>
    <row r="1551" spans="1:13" s="64" customFormat="1">
      <c r="A1551" s="10"/>
      <c r="B1551" s="111"/>
      <c r="C1551" s="68"/>
      <c r="D1551" s="374"/>
      <c r="E1551" s="660"/>
      <c r="F1551" s="112"/>
      <c r="G1551" s="68"/>
      <c r="H1551" s="603"/>
      <c r="I1551" s="882"/>
      <c r="J1551" s="883"/>
      <c r="K1551" s="884"/>
      <c r="L1551" s="884"/>
      <c r="M1551" s="68"/>
    </row>
    <row r="1552" spans="1:13" s="64" customFormat="1">
      <c r="A1552" s="10"/>
      <c r="B1552" s="111"/>
      <c r="C1552" s="68"/>
      <c r="D1552" s="374"/>
      <c r="E1552" s="660"/>
      <c r="F1552" s="112"/>
      <c r="G1552" s="68"/>
      <c r="H1552" s="603"/>
      <c r="I1552" s="882"/>
      <c r="J1552" s="883"/>
      <c r="K1552" s="884"/>
      <c r="L1552" s="884"/>
      <c r="M1552" s="68"/>
    </row>
    <row r="1553" spans="1:13" s="64" customFormat="1">
      <c r="A1553" s="10"/>
      <c r="B1553" s="111"/>
      <c r="C1553" s="68"/>
      <c r="D1553" s="374"/>
      <c r="E1553" s="660"/>
      <c r="F1553" s="112"/>
      <c r="G1553" s="68"/>
      <c r="H1553" s="603"/>
      <c r="I1553" s="882"/>
      <c r="J1553" s="883"/>
      <c r="K1553" s="884"/>
      <c r="L1553" s="884"/>
      <c r="M1553" s="68"/>
    </row>
    <row r="1554" spans="1:13" s="64" customFormat="1">
      <c r="A1554" s="10"/>
      <c r="B1554" s="111"/>
      <c r="C1554" s="68"/>
      <c r="D1554" s="374"/>
      <c r="E1554" s="660"/>
      <c r="F1554" s="112"/>
      <c r="G1554" s="68"/>
      <c r="H1554" s="603"/>
      <c r="I1554" s="882"/>
      <c r="J1554" s="883"/>
      <c r="K1554" s="884"/>
      <c r="L1554" s="884"/>
      <c r="M1554" s="68"/>
    </row>
    <row r="1555" spans="1:13" s="64" customFormat="1">
      <c r="A1555" s="10"/>
      <c r="B1555" s="111"/>
      <c r="C1555" s="68"/>
      <c r="D1555" s="374"/>
      <c r="E1555" s="660"/>
      <c r="F1555" s="112"/>
      <c r="G1555" s="68"/>
      <c r="H1555" s="603"/>
      <c r="I1555" s="882"/>
      <c r="J1555" s="883"/>
      <c r="K1555" s="884"/>
      <c r="L1555" s="884"/>
      <c r="M1555" s="68"/>
    </row>
    <row r="1556" spans="1:13" s="64" customFormat="1">
      <c r="A1556" s="10"/>
      <c r="B1556" s="111"/>
      <c r="C1556" s="68"/>
      <c r="D1556" s="374"/>
      <c r="E1556" s="660"/>
      <c r="F1556" s="112"/>
      <c r="G1556" s="68"/>
      <c r="H1556" s="603"/>
      <c r="I1556" s="882"/>
      <c r="J1556" s="883"/>
      <c r="K1556" s="884"/>
      <c r="L1556" s="884"/>
      <c r="M1556" s="68"/>
    </row>
    <row r="1557" spans="1:13" s="64" customFormat="1">
      <c r="A1557" s="10"/>
      <c r="B1557" s="111"/>
      <c r="C1557" s="68"/>
      <c r="D1557" s="374"/>
      <c r="E1557" s="660"/>
      <c r="F1557" s="112"/>
      <c r="G1557" s="68"/>
      <c r="H1557" s="603"/>
      <c r="I1557" s="882"/>
      <c r="J1557" s="883"/>
      <c r="K1557" s="884"/>
      <c r="L1557" s="884"/>
      <c r="M1557" s="68"/>
    </row>
    <row r="1558" spans="1:13" s="64" customFormat="1">
      <c r="A1558" s="10"/>
      <c r="B1558" s="111"/>
      <c r="C1558" s="68"/>
      <c r="D1558" s="374"/>
      <c r="E1558" s="660"/>
      <c r="F1558" s="112"/>
      <c r="G1558" s="68"/>
      <c r="H1558" s="603"/>
      <c r="I1558" s="882"/>
      <c r="J1558" s="883"/>
      <c r="K1558" s="884"/>
      <c r="L1558" s="884"/>
      <c r="M1558" s="68"/>
    </row>
    <row r="1559" spans="1:13" s="64" customFormat="1">
      <c r="A1559" s="10"/>
      <c r="B1559" s="111"/>
      <c r="C1559" s="68"/>
      <c r="D1559" s="374"/>
      <c r="E1559" s="660"/>
      <c r="F1559" s="112"/>
      <c r="G1559" s="68"/>
      <c r="H1559" s="603"/>
      <c r="I1559" s="882"/>
      <c r="J1559" s="883"/>
      <c r="K1559" s="884"/>
      <c r="L1559" s="884"/>
      <c r="M1559" s="68"/>
    </row>
    <row r="1560" spans="1:13" s="64" customFormat="1">
      <c r="A1560" s="10"/>
      <c r="B1560" s="111"/>
      <c r="C1560" s="68"/>
      <c r="D1560" s="374"/>
      <c r="E1560" s="660"/>
      <c r="F1560" s="112"/>
      <c r="G1560" s="68"/>
      <c r="H1560" s="603"/>
      <c r="I1560" s="882"/>
      <c r="J1560" s="883"/>
      <c r="K1560" s="884"/>
      <c r="L1560" s="884"/>
      <c r="M1560" s="68"/>
    </row>
    <row r="1561" spans="1:13" s="64" customFormat="1">
      <c r="A1561" s="10"/>
      <c r="B1561" s="111"/>
      <c r="C1561" s="68"/>
      <c r="D1561" s="374"/>
      <c r="E1561" s="660"/>
      <c r="F1561" s="112"/>
      <c r="G1561" s="68"/>
      <c r="H1561" s="603"/>
      <c r="I1561" s="882"/>
      <c r="J1561" s="883"/>
      <c r="K1561" s="884"/>
      <c r="L1561" s="884"/>
      <c r="M1561" s="68"/>
    </row>
    <row r="1562" spans="1:13" s="64" customFormat="1">
      <c r="A1562" s="10"/>
      <c r="B1562" s="111"/>
      <c r="C1562" s="68"/>
      <c r="D1562" s="374"/>
      <c r="E1562" s="660"/>
      <c r="F1562" s="112"/>
      <c r="G1562" s="68"/>
      <c r="H1562" s="603"/>
      <c r="I1562" s="882"/>
      <c r="J1562" s="883"/>
      <c r="K1562" s="884"/>
      <c r="L1562" s="884"/>
      <c r="M1562" s="68"/>
    </row>
    <row r="1563" spans="1:13" s="64" customFormat="1">
      <c r="A1563" s="10"/>
      <c r="B1563" s="111"/>
      <c r="C1563" s="68"/>
      <c r="D1563" s="374"/>
      <c r="E1563" s="660"/>
      <c r="F1563" s="112"/>
      <c r="G1563" s="68"/>
      <c r="H1563" s="603"/>
      <c r="I1563" s="882"/>
      <c r="J1563" s="883"/>
      <c r="K1563" s="884"/>
      <c r="L1563" s="884"/>
      <c r="M1563" s="68"/>
    </row>
    <row r="1564" spans="1:13" s="64" customFormat="1">
      <c r="A1564" s="10"/>
      <c r="B1564" s="111"/>
      <c r="C1564" s="68"/>
      <c r="D1564" s="374"/>
      <c r="E1564" s="660"/>
      <c r="F1564" s="112"/>
      <c r="G1564" s="68"/>
      <c r="H1564" s="603"/>
      <c r="I1564" s="882"/>
      <c r="J1564" s="883"/>
      <c r="K1564" s="884"/>
      <c r="L1564" s="884"/>
      <c r="M1564" s="68"/>
    </row>
    <row r="1565" spans="1:13" s="64" customFormat="1">
      <c r="A1565" s="10"/>
      <c r="B1565" s="111"/>
      <c r="C1565" s="68"/>
      <c r="D1565" s="374"/>
      <c r="E1565" s="660"/>
      <c r="F1565" s="112"/>
      <c r="G1565" s="68"/>
      <c r="H1565" s="603"/>
      <c r="I1565" s="882"/>
      <c r="J1565" s="883"/>
      <c r="K1565" s="884"/>
      <c r="L1565" s="884"/>
      <c r="M1565" s="68"/>
    </row>
    <row r="1566" spans="1:13" s="64" customFormat="1">
      <c r="A1566" s="10"/>
      <c r="B1566" s="111"/>
      <c r="C1566" s="68"/>
      <c r="D1566" s="374"/>
      <c r="E1566" s="660"/>
      <c r="F1566" s="112"/>
      <c r="G1566" s="68"/>
      <c r="H1566" s="603"/>
      <c r="I1566" s="882"/>
      <c r="J1566" s="883"/>
      <c r="K1566" s="884"/>
      <c r="L1566" s="884"/>
      <c r="M1566" s="68"/>
    </row>
    <row r="1567" spans="1:13" s="64" customFormat="1">
      <c r="A1567" s="10"/>
      <c r="B1567" s="111"/>
      <c r="C1567" s="68"/>
      <c r="D1567" s="374"/>
      <c r="E1567" s="660"/>
      <c r="F1567" s="112"/>
      <c r="G1567" s="68"/>
      <c r="H1567" s="603"/>
      <c r="I1567" s="882"/>
      <c r="J1567" s="883"/>
      <c r="K1567" s="884"/>
      <c r="L1567" s="884"/>
      <c r="M1567" s="68"/>
    </row>
    <row r="1568" spans="1:13" s="64" customFormat="1">
      <c r="A1568" s="10"/>
      <c r="B1568" s="111"/>
      <c r="C1568" s="68"/>
      <c r="D1568" s="374"/>
      <c r="E1568" s="660"/>
      <c r="F1568" s="112"/>
      <c r="G1568" s="68"/>
      <c r="H1568" s="603"/>
      <c r="I1568" s="882"/>
      <c r="J1568" s="883"/>
      <c r="K1568" s="884"/>
      <c r="L1568" s="884"/>
      <c r="M1568" s="68"/>
    </row>
    <row r="1569" spans="1:13" s="64" customFormat="1">
      <c r="A1569" s="10"/>
      <c r="B1569" s="111"/>
      <c r="C1569" s="68"/>
      <c r="D1569" s="374"/>
      <c r="E1569" s="660"/>
      <c r="F1569" s="112"/>
      <c r="G1569" s="68"/>
      <c r="H1569" s="603"/>
      <c r="I1569" s="882"/>
      <c r="J1569" s="883"/>
      <c r="K1569" s="884"/>
      <c r="L1569" s="884"/>
      <c r="M1569" s="68"/>
    </row>
    <row r="1570" spans="1:13" s="64" customFormat="1">
      <c r="A1570" s="10"/>
      <c r="B1570" s="111"/>
      <c r="C1570" s="68"/>
      <c r="D1570" s="374"/>
      <c r="E1570" s="660"/>
      <c r="F1570" s="112"/>
      <c r="G1570" s="68"/>
      <c r="H1570" s="603"/>
      <c r="I1570" s="882"/>
      <c r="J1570" s="883"/>
      <c r="K1570" s="884"/>
      <c r="L1570" s="884"/>
      <c r="M1570" s="68"/>
    </row>
    <row r="1571" spans="1:13" s="64" customFormat="1">
      <c r="A1571" s="10"/>
      <c r="B1571" s="111"/>
      <c r="C1571" s="68"/>
      <c r="D1571" s="374"/>
      <c r="E1571" s="660"/>
      <c r="F1571" s="112"/>
      <c r="G1571" s="68"/>
      <c r="H1571" s="603"/>
      <c r="I1571" s="882"/>
      <c r="J1571" s="883"/>
      <c r="K1571" s="884"/>
      <c r="L1571" s="884"/>
      <c r="M1571" s="68"/>
    </row>
    <row r="1572" spans="1:13" s="64" customFormat="1">
      <c r="A1572" s="10"/>
      <c r="B1572" s="111"/>
      <c r="C1572" s="68"/>
      <c r="D1572" s="374"/>
      <c r="E1572" s="660"/>
      <c r="F1572" s="112"/>
      <c r="G1572" s="68"/>
      <c r="H1572" s="603"/>
      <c r="I1572" s="882"/>
      <c r="J1572" s="883"/>
      <c r="K1572" s="884"/>
      <c r="L1572" s="884"/>
      <c r="M1572" s="68"/>
    </row>
    <row r="1573" spans="1:13" s="64" customFormat="1">
      <c r="A1573" s="10"/>
      <c r="B1573" s="111"/>
      <c r="C1573" s="68"/>
      <c r="D1573" s="374"/>
      <c r="E1573" s="660"/>
      <c r="F1573" s="112"/>
      <c r="G1573" s="68"/>
      <c r="H1573" s="603"/>
      <c r="I1573" s="882"/>
      <c r="J1573" s="883"/>
      <c r="K1573" s="884"/>
      <c r="L1573" s="884"/>
      <c r="M1573" s="68"/>
    </row>
    <row r="1574" spans="1:13" s="64" customFormat="1">
      <c r="A1574" s="10"/>
      <c r="B1574" s="111"/>
      <c r="C1574" s="68"/>
      <c r="D1574" s="374"/>
      <c r="E1574" s="660"/>
      <c r="F1574" s="112"/>
      <c r="G1574" s="68"/>
      <c r="H1574" s="603"/>
      <c r="I1574" s="882"/>
      <c r="J1574" s="883"/>
      <c r="K1574" s="884"/>
      <c r="L1574" s="884"/>
      <c r="M1574" s="68"/>
    </row>
    <row r="1575" spans="1:13" s="64" customFormat="1">
      <c r="A1575" s="10"/>
      <c r="B1575" s="111"/>
      <c r="C1575" s="68"/>
      <c r="D1575" s="374"/>
      <c r="E1575" s="660"/>
      <c r="F1575" s="112"/>
      <c r="G1575" s="68"/>
      <c r="H1575" s="603"/>
      <c r="I1575" s="882"/>
      <c r="J1575" s="883"/>
      <c r="K1575" s="884"/>
      <c r="L1575" s="884"/>
      <c r="M1575" s="68"/>
    </row>
    <row r="1576" spans="1:13" s="64" customFormat="1">
      <c r="A1576" s="10"/>
      <c r="B1576" s="111"/>
      <c r="C1576" s="68"/>
      <c r="D1576" s="374"/>
      <c r="E1576" s="660"/>
      <c r="F1576" s="112"/>
      <c r="G1576" s="68"/>
      <c r="H1576" s="603"/>
      <c r="I1576" s="882"/>
      <c r="J1576" s="883"/>
      <c r="K1576" s="884"/>
      <c r="L1576" s="884"/>
      <c r="M1576" s="68"/>
    </row>
    <row r="1577" spans="1:13" s="64" customFormat="1">
      <c r="A1577" s="10"/>
      <c r="B1577" s="111"/>
      <c r="C1577" s="68"/>
      <c r="D1577" s="374"/>
      <c r="E1577" s="660"/>
      <c r="F1577" s="112"/>
      <c r="G1577" s="68"/>
      <c r="H1577" s="603"/>
      <c r="I1577" s="882"/>
      <c r="J1577" s="883"/>
      <c r="K1577" s="884"/>
      <c r="L1577" s="884"/>
      <c r="M1577" s="68"/>
    </row>
    <row r="1578" spans="1:13" s="64" customFormat="1">
      <c r="A1578" s="10"/>
      <c r="B1578" s="111"/>
      <c r="C1578" s="68"/>
      <c r="D1578" s="374"/>
      <c r="E1578" s="660"/>
      <c r="F1578" s="112"/>
      <c r="G1578" s="68"/>
      <c r="H1578" s="603"/>
      <c r="I1578" s="882"/>
      <c r="J1578" s="883"/>
      <c r="K1578" s="884"/>
      <c r="L1578" s="884"/>
      <c r="M1578" s="68"/>
    </row>
    <row r="1579" spans="1:13" s="64" customFormat="1">
      <c r="A1579" s="10"/>
      <c r="B1579" s="111"/>
      <c r="C1579" s="68"/>
      <c r="D1579" s="374"/>
      <c r="E1579" s="660"/>
      <c r="F1579" s="112"/>
      <c r="G1579" s="68"/>
      <c r="H1579" s="603"/>
      <c r="I1579" s="882"/>
      <c r="J1579" s="883"/>
      <c r="K1579" s="884"/>
      <c r="L1579" s="884"/>
      <c r="M1579" s="68"/>
    </row>
    <row r="1580" spans="1:13" s="64" customFormat="1">
      <c r="A1580" s="10"/>
      <c r="B1580" s="111"/>
      <c r="C1580" s="68"/>
      <c r="D1580" s="374"/>
      <c r="E1580" s="660"/>
      <c r="F1580" s="112"/>
      <c r="G1580" s="68"/>
      <c r="H1580" s="603"/>
      <c r="I1580" s="882"/>
      <c r="J1580" s="883"/>
      <c r="K1580" s="884"/>
      <c r="L1580" s="884"/>
      <c r="M1580" s="68"/>
    </row>
    <row r="1581" spans="1:13" s="64" customFormat="1">
      <c r="A1581" s="10"/>
      <c r="B1581" s="111"/>
      <c r="C1581" s="68"/>
      <c r="D1581" s="374"/>
      <c r="E1581" s="660"/>
      <c r="F1581" s="112"/>
      <c r="G1581" s="68"/>
      <c r="H1581" s="603"/>
      <c r="I1581" s="882"/>
      <c r="J1581" s="883"/>
      <c r="K1581" s="884"/>
      <c r="L1581" s="884"/>
      <c r="M1581" s="68"/>
    </row>
    <row r="1582" spans="1:13" s="64" customFormat="1">
      <c r="A1582" s="10"/>
      <c r="B1582" s="111"/>
      <c r="C1582" s="68"/>
      <c r="D1582" s="374"/>
      <c r="E1582" s="660"/>
      <c r="F1582" s="112"/>
      <c r="G1582" s="68"/>
      <c r="H1582" s="603"/>
      <c r="I1582" s="882"/>
      <c r="J1582" s="883"/>
      <c r="K1582" s="884"/>
      <c r="L1582" s="884"/>
      <c r="M1582" s="68"/>
    </row>
    <row r="1583" spans="1:13" s="64" customFormat="1">
      <c r="A1583" s="10"/>
      <c r="B1583" s="111"/>
      <c r="C1583" s="68"/>
      <c r="D1583" s="374"/>
      <c r="E1583" s="660"/>
      <c r="F1583" s="112"/>
      <c r="G1583" s="68"/>
      <c r="H1583" s="603"/>
      <c r="I1583" s="882"/>
      <c r="J1583" s="883"/>
      <c r="K1583" s="884"/>
      <c r="L1583" s="884"/>
      <c r="M1583" s="68"/>
    </row>
    <row r="1584" spans="1:13" s="64" customFormat="1">
      <c r="A1584" s="10"/>
      <c r="B1584" s="111"/>
      <c r="C1584" s="68"/>
      <c r="D1584" s="374"/>
      <c r="E1584" s="660"/>
      <c r="F1584" s="112"/>
      <c r="G1584" s="68"/>
      <c r="H1584" s="603"/>
      <c r="I1584" s="882"/>
      <c r="J1584" s="883"/>
      <c r="K1584" s="884"/>
      <c r="L1584" s="884"/>
      <c r="M1584" s="68"/>
    </row>
    <row r="1585" spans="1:13" s="64" customFormat="1">
      <c r="A1585" s="10"/>
      <c r="B1585" s="111"/>
      <c r="C1585" s="68"/>
      <c r="D1585" s="374"/>
      <c r="E1585" s="660"/>
      <c r="F1585" s="112"/>
      <c r="G1585" s="68"/>
      <c r="H1585" s="603"/>
      <c r="I1585" s="882"/>
      <c r="J1585" s="883"/>
      <c r="K1585" s="884"/>
      <c r="L1585" s="884"/>
      <c r="M1585" s="68"/>
    </row>
    <row r="1586" spans="1:13" s="64" customFormat="1">
      <c r="A1586" s="10"/>
      <c r="B1586" s="111"/>
      <c r="C1586" s="68"/>
      <c r="D1586" s="374"/>
      <c r="E1586" s="660"/>
      <c r="F1586" s="112"/>
      <c r="G1586" s="68"/>
      <c r="H1586" s="603"/>
      <c r="I1586" s="882"/>
      <c r="J1586" s="883"/>
      <c r="K1586" s="884"/>
      <c r="L1586" s="884"/>
      <c r="M1586" s="68"/>
    </row>
    <row r="1587" spans="1:13" s="64" customFormat="1">
      <c r="A1587" s="10"/>
      <c r="B1587" s="111"/>
      <c r="C1587" s="68"/>
      <c r="D1587" s="374"/>
      <c r="E1587" s="660"/>
      <c r="F1587" s="112"/>
      <c r="G1587" s="68"/>
      <c r="H1587" s="603"/>
      <c r="I1587" s="882"/>
      <c r="J1587" s="883"/>
      <c r="K1587" s="884"/>
      <c r="L1587" s="884"/>
      <c r="M1587" s="68"/>
    </row>
    <row r="1588" spans="1:13" s="64" customFormat="1">
      <c r="A1588" s="10"/>
      <c r="B1588" s="111"/>
      <c r="C1588" s="68"/>
      <c r="D1588" s="374"/>
      <c r="E1588" s="660"/>
      <c r="F1588" s="112"/>
      <c r="G1588" s="68"/>
      <c r="H1588" s="603"/>
      <c r="I1588" s="882"/>
      <c r="J1588" s="883"/>
      <c r="K1588" s="884"/>
      <c r="L1588" s="884"/>
      <c r="M1588" s="68"/>
    </row>
    <row r="1589" spans="1:13" s="64" customFormat="1">
      <c r="A1589" s="10"/>
      <c r="B1589" s="111"/>
      <c r="C1589" s="68"/>
      <c r="D1589" s="374"/>
      <c r="E1589" s="660"/>
      <c r="F1589" s="112"/>
      <c r="G1589" s="68"/>
      <c r="H1589" s="603"/>
      <c r="I1589" s="882"/>
      <c r="J1589" s="883"/>
      <c r="K1589" s="884"/>
      <c r="L1589" s="884"/>
      <c r="M1589" s="68"/>
    </row>
    <row r="1590" spans="1:13" s="64" customFormat="1">
      <c r="A1590" s="10"/>
      <c r="B1590" s="111"/>
      <c r="C1590" s="68"/>
      <c r="D1590" s="374"/>
      <c r="E1590" s="660"/>
      <c r="F1590" s="112"/>
      <c r="G1590" s="68"/>
      <c r="H1590" s="603"/>
      <c r="I1590" s="882"/>
      <c r="J1590" s="883"/>
      <c r="K1590" s="884"/>
      <c r="L1590" s="884"/>
      <c r="M1590" s="68"/>
    </row>
    <row r="1591" spans="1:13" s="64" customFormat="1">
      <c r="A1591" s="10"/>
      <c r="B1591" s="111"/>
      <c r="C1591" s="68"/>
      <c r="D1591" s="374"/>
      <c r="E1591" s="660"/>
      <c r="F1591" s="112"/>
      <c r="G1591" s="68"/>
      <c r="H1591" s="603"/>
      <c r="I1591" s="882"/>
      <c r="J1591" s="883"/>
      <c r="K1591" s="884"/>
      <c r="L1591" s="884"/>
      <c r="M1591" s="68"/>
    </row>
    <row r="1592" spans="1:13" s="64" customFormat="1">
      <c r="A1592" s="10"/>
      <c r="B1592" s="111"/>
      <c r="C1592" s="68"/>
      <c r="D1592" s="374"/>
      <c r="E1592" s="660"/>
      <c r="F1592" s="112"/>
      <c r="G1592" s="68"/>
      <c r="H1592" s="603"/>
      <c r="I1592" s="882"/>
      <c r="J1592" s="883"/>
      <c r="K1592" s="884"/>
      <c r="L1592" s="884"/>
      <c r="M1592" s="68"/>
    </row>
    <row r="1593" spans="1:13" s="64" customFormat="1">
      <c r="A1593" s="10"/>
      <c r="B1593" s="111"/>
      <c r="C1593" s="68"/>
      <c r="D1593" s="374"/>
      <c r="E1593" s="660"/>
      <c r="F1593" s="112"/>
      <c r="G1593" s="68"/>
      <c r="H1593" s="603"/>
      <c r="I1593" s="882"/>
      <c r="J1593" s="883"/>
      <c r="K1593" s="884"/>
      <c r="L1593" s="884"/>
      <c r="M1593" s="68"/>
    </row>
    <row r="1594" spans="1:13" s="64" customFormat="1">
      <c r="A1594" s="10"/>
      <c r="B1594" s="111"/>
      <c r="C1594" s="68"/>
      <c r="D1594" s="374"/>
      <c r="E1594" s="660"/>
      <c r="F1594" s="112"/>
      <c r="G1594" s="68"/>
      <c r="H1594" s="603"/>
      <c r="I1594" s="882"/>
      <c r="J1594" s="883"/>
      <c r="K1594" s="884"/>
      <c r="L1594" s="884"/>
      <c r="M1594" s="68"/>
    </row>
    <row r="1595" spans="1:13" s="64" customFormat="1">
      <c r="A1595" s="10"/>
      <c r="B1595" s="111"/>
      <c r="C1595" s="68"/>
      <c r="D1595" s="374"/>
      <c r="E1595" s="660"/>
      <c r="F1595" s="112"/>
      <c r="G1595" s="68"/>
      <c r="H1595" s="603"/>
      <c r="I1595" s="882"/>
      <c r="J1595" s="883"/>
      <c r="K1595" s="884"/>
      <c r="L1595" s="884"/>
      <c r="M1595" s="68"/>
    </row>
    <row r="1596" spans="1:13" s="64" customFormat="1">
      <c r="A1596" s="10"/>
      <c r="B1596" s="111"/>
      <c r="C1596" s="68"/>
      <c r="D1596" s="374"/>
      <c r="E1596" s="660"/>
      <c r="F1596" s="112"/>
      <c r="G1596" s="68"/>
      <c r="H1596" s="603"/>
      <c r="I1596" s="882"/>
      <c r="J1596" s="883"/>
      <c r="K1596" s="884"/>
      <c r="L1596" s="884"/>
      <c r="M1596" s="68"/>
    </row>
    <row r="1597" spans="1:13" s="64" customFormat="1">
      <c r="A1597" s="10"/>
      <c r="B1597" s="111"/>
      <c r="C1597" s="68"/>
      <c r="D1597" s="374"/>
      <c r="E1597" s="660"/>
      <c r="F1597" s="112"/>
      <c r="G1597" s="68"/>
      <c r="H1597" s="603"/>
      <c r="I1597" s="882"/>
      <c r="J1597" s="883"/>
      <c r="K1597" s="884"/>
      <c r="L1597" s="884"/>
      <c r="M1597" s="68"/>
    </row>
    <row r="1598" spans="1:13" s="64" customFormat="1">
      <c r="A1598" s="10"/>
      <c r="B1598" s="111"/>
      <c r="C1598" s="68"/>
      <c r="D1598" s="374"/>
      <c r="E1598" s="660"/>
      <c r="F1598" s="112"/>
      <c r="G1598" s="68"/>
      <c r="H1598" s="603"/>
      <c r="I1598" s="882"/>
      <c r="J1598" s="883"/>
      <c r="K1598" s="884"/>
      <c r="L1598" s="884"/>
      <c r="M1598" s="68"/>
    </row>
    <row r="1599" spans="1:13" s="64" customFormat="1">
      <c r="A1599" s="10"/>
      <c r="B1599" s="111"/>
      <c r="C1599" s="68"/>
      <c r="D1599" s="374"/>
      <c r="E1599" s="660"/>
      <c r="F1599" s="112"/>
      <c r="G1599" s="68"/>
      <c r="H1599" s="603"/>
      <c r="I1599" s="882"/>
      <c r="J1599" s="883"/>
      <c r="K1599" s="884"/>
      <c r="L1599" s="884"/>
      <c r="M1599" s="68"/>
    </row>
    <row r="1600" spans="1:13" s="64" customFormat="1">
      <c r="A1600" s="10"/>
      <c r="B1600" s="111"/>
      <c r="C1600" s="68"/>
      <c r="D1600" s="374"/>
      <c r="E1600" s="660"/>
      <c r="F1600" s="112"/>
      <c r="G1600" s="68"/>
      <c r="H1600" s="603"/>
      <c r="I1600" s="882"/>
      <c r="J1600" s="883"/>
      <c r="K1600" s="884"/>
      <c r="L1600" s="884"/>
      <c r="M1600" s="68"/>
    </row>
    <row r="1601" spans="1:13" s="64" customFormat="1">
      <c r="A1601" s="10"/>
      <c r="B1601" s="111"/>
      <c r="C1601" s="68"/>
      <c r="D1601" s="374"/>
      <c r="E1601" s="660"/>
      <c r="F1601" s="112"/>
      <c r="G1601" s="68"/>
      <c r="H1601" s="603"/>
      <c r="I1601" s="882"/>
      <c r="J1601" s="883"/>
      <c r="K1601" s="884"/>
      <c r="L1601" s="884"/>
      <c r="M1601" s="68"/>
    </row>
    <row r="1602" spans="1:13" s="64" customFormat="1">
      <c r="A1602" s="10"/>
      <c r="B1602" s="111"/>
      <c r="C1602" s="68"/>
      <c r="D1602" s="374"/>
      <c r="E1602" s="660"/>
      <c r="F1602" s="112"/>
      <c r="G1602" s="68"/>
      <c r="H1602" s="603"/>
      <c r="I1602" s="882"/>
      <c r="J1602" s="883"/>
      <c r="K1602" s="884"/>
      <c r="L1602" s="884"/>
      <c r="M1602" s="68"/>
    </row>
    <row r="1603" spans="1:13" s="64" customFormat="1">
      <c r="A1603" s="10"/>
      <c r="B1603" s="111"/>
      <c r="C1603" s="68"/>
      <c r="D1603" s="374"/>
      <c r="E1603" s="660"/>
      <c r="F1603" s="112"/>
      <c r="G1603" s="68"/>
      <c r="H1603" s="603"/>
      <c r="I1603" s="882"/>
      <c r="J1603" s="883"/>
      <c r="K1603" s="884"/>
      <c r="L1603" s="884"/>
      <c r="M1603" s="68"/>
    </row>
    <row r="1604" spans="1:13" s="64" customFormat="1">
      <c r="A1604" s="10"/>
      <c r="B1604" s="111"/>
      <c r="C1604" s="68"/>
      <c r="D1604" s="374"/>
      <c r="E1604" s="660"/>
      <c r="F1604" s="112"/>
      <c r="G1604" s="68"/>
      <c r="H1604" s="603"/>
      <c r="I1604" s="882"/>
      <c r="J1604" s="883"/>
      <c r="K1604" s="884"/>
      <c r="L1604" s="884"/>
      <c r="M1604" s="68"/>
    </row>
    <row r="1605" spans="1:13" s="64" customFormat="1">
      <c r="A1605" s="10"/>
      <c r="B1605" s="111"/>
      <c r="C1605" s="68"/>
      <c r="D1605" s="374"/>
      <c r="E1605" s="660"/>
      <c r="F1605" s="112"/>
      <c r="G1605" s="68"/>
      <c r="H1605" s="603"/>
      <c r="I1605" s="882"/>
      <c r="J1605" s="883"/>
      <c r="K1605" s="884"/>
      <c r="L1605" s="884"/>
      <c r="M1605" s="68"/>
    </row>
    <row r="1606" spans="1:13" s="64" customFormat="1">
      <c r="A1606" s="10"/>
      <c r="B1606" s="111"/>
      <c r="C1606" s="68"/>
      <c r="D1606" s="374"/>
      <c r="E1606" s="660"/>
      <c r="F1606" s="112"/>
      <c r="G1606" s="68"/>
      <c r="H1606" s="603"/>
      <c r="I1606" s="882"/>
      <c r="J1606" s="883"/>
      <c r="K1606" s="884"/>
      <c r="L1606" s="884"/>
      <c r="M1606" s="68"/>
    </row>
    <row r="1607" spans="1:13" s="64" customFormat="1">
      <c r="A1607" s="10"/>
      <c r="B1607" s="111"/>
      <c r="C1607" s="68"/>
      <c r="D1607" s="374"/>
      <c r="E1607" s="660"/>
      <c r="F1607" s="112"/>
      <c r="G1607" s="68"/>
      <c r="H1607" s="603"/>
      <c r="I1607" s="882"/>
      <c r="J1607" s="883"/>
      <c r="K1607" s="884"/>
      <c r="L1607" s="884"/>
      <c r="M1607" s="68"/>
    </row>
    <row r="1608" spans="1:13" s="64" customFormat="1">
      <c r="A1608" s="10"/>
      <c r="B1608" s="111"/>
      <c r="C1608" s="68"/>
      <c r="D1608" s="374"/>
      <c r="E1608" s="660"/>
      <c r="F1608" s="112"/>
      <c r="G1608" s="68"/>
      <c r="H1608" s="603"/>
      <c r="I1608" s="882"/>
      <c r="J1608" s="883"/>
      <c r="K1608" s="884"/>
      <c r="L1608" s="884"/>
      <c r="M1608" s="68"/>
    </row>
    <row r="1609" spans="1:13" s="64" customFormat="1">
      <c r="A1609" s="10"/>
      <c r="B1609" s="111"/>
      <c r="C1609" s="68"/>
      <c r="D1609" s="374"/>
      <c r="E1609" s="660"/>
      <c r="F1609" s="112"/>
      <c r="G1609" s="68"/>
      <c r="H1609" s="603"/>
      <c r="I1609" s="882"/>
      <c r="J1609" s="883"/>
      <c r="K1609" s="884"/>
      <c r="L1609" s="884"/>
      <c r="M1609" s="68"/>
    </row>
    <row r="1610" spans="1:13" s="64" customFormat="1">
      <c r="A1610" s="10"/>
      <c r="B1610" s="111"/>
      <c r="C1610" s="68"/>
      <c r="D1610" s="374"/>
      <c r="E1610" s="660"/>
      <c r="F1610" s="112"/>
      <c r="G1610" s="68"/>
      <c r="H1610" s="603"/>
      <c r="I1610" s="882"/>
      <c r="J1610" s="883"/>
      <c r="K1610" s="884"/>
      <c r="L1610" s="884"/>
      <c r="M1610" s="68"/>
    </row>
    <row r="1611" spans="1:13" s="64" customFormat="1">
      <c r="A1611" s="10"/>
      <c r="B1611" s="111"/>
      <c r="C1611" s="68"/>
      <c r="D1611" s="374"/>
      <c r="E1611" s="660"/>
      <c r="F1611" s="112"/>
      <c r="G1611" s="68"/>
      <c r="H1611" s="603"/>
      <c r="I1611" s="882"/>
      <c r="J1611" s="883"/>
      <c r="K1611" s="884"/>
      <c r="L1611" s="884"/>
      <c r="M1611" s="68"/>
    </row>
    <row r="1612" spans="1:13" s="64" customFormat="1">
      <c r="A1612" s="10"/>
      <c r="B1612" s="111"/>
      <c r="C1612" s="68"/>
      <c r="D1612" s="374"/>
      <c r="E1612" s="660"/>
      <c r="F1612" s="112"/>
      <c r="G1612" s="68"/>
      <c r="H1612" s="603"/>
      <c r="I1612" s="882"/>
      <c r="J1612" s="883"/>
      <c r="K1612" s="884"/>
      <c r="L1612" s="884"/>
      <c r="M1612" s="68"/>
    </row>
    <row r="1613" spans="1:13" s="64" customFormat="1">
      <c r="A1613" s="10"/>
      <c r="B1613" s="111"/>
      <c r="C1613" s="68"/>
      <c r="D1613" s="374"/>
      <c r="E1613" s="660"/>
      <c r="F1613" s="112"/>
      <c r="G1613" s="68"/>
      <c r="H1613" s="603"/>
      <c r="I1613" s="882"/>
      <c r="J1613" s="883"/>
      <c r="K1613" s="884"/>
      <c r="L1613" s="884"/>
      <c r="M1613" s="68"/>
    </row>
    <row r="1614" spans="1:13" s="64" customFormat="1">
      <c r="A1614" s="10"/>
      <c r="B1614" s="111"/>
      <c r="C1614" s="68"/>
      <c r="D1614" s="374"/>
      <c r="E1614" s="660"/>
      <c r="F1614" s="112"/>
      <c r="G1614" s="68"/>
      <c r="H1614" s="603"/>
      <c r="I1614" s="882"/>
      <c r="J1614" s="883"/>
      <c r="K1614" s="884"/>
      <c r="L1614" s="884"/>
      <c r="M1614" s="68"/>
    </row>
    <row r="1615" spans="1:13" s="64" customFormat="1">
      <c r="A1615" s="10"/>
      <c r="B1615" s="111"/>
      <c r="C1615" s="68"/>
      <c r="D1615" s="374"/>
      <c r="E1615" s="660"/>
      <c r="F1615" s="112"/>
      <c r="G1615" s="68"/>
      <c r="H1615" s="603"/>
      <c r="I1615" s="882"/>
      <c r="J1615" s="883"/>
      <c r="K1615" s="884"/>
      <c r="L1615" s="884"/>
      <c r="M1615" s="68"/>
    </row>
    <row r="1616" spans="1:13" s="64" customFormat="1">
      <c r="A1616" s="10"/>
      <c r="B1616" s="111"/>
      <c r="C1616" s="68"/>
      <c r="D1616" s="374"/>
      <c r="E1616" s="660"/>
      <c r="F1616" s="112"/>
      <c r="G1616" s="68"/>
      <c r="H1616" s="603"/>
      <c r="I1616" s="882"/>
      <c r="J1616" s="883"/>
      <c r="K1616" s="884"/>
      <c r="L1616" s="884"/>
      <c r="M1616" s="68"/>
    </row>
    <row r="1617" spans="1:13" s="64" customFormat="1">
      <c r="A1617" s="10"/>
      <c r="B1617" s="111"/>
      <c r="C1617" s="68"/>
      <c r="D1617" s="374"/>
      <c r="E1617" s="660"/>
      <c r="F1617" s="112"/>
      <c r="G1617" s="68"/>
      <c r="H1617" s="603"/>
      <c r="I1617" s="882"/>
      <c r="J1617" s="883"/>
      <c r="K1617" s="884"/>
      <c r="L1617" s="884"/>
      <c r="M1617" s="68"/>
    </row>
    <row r="1618" spans="1:13" s="64" customFormat="1">
      <c r="A1618" s="10"/>
      <c r="B1618" s="111"/>
      <c r="C1618" s="68"/>
      <c r="D1618" s="374"/>
      <c r="E1618" s="660"/>
      <c r="F1618" s="112"/>
      <c r="G1618" s="68"/>
      <c r="H1618" s="603"/>
      <c r="I1618" s="882"/>
      <c r="J1618" s="883"/>
      <c r="K1618" s="884"/>
      <c r="L1618" s="884"/>
      <c r="M1618" s="68"/>
    </row>
    <row r="1619" spans="1:13" s="64" customFormat="1">
      <c r="A1619" s="10"/>
      <c r="B1619" s="111"/>
      <c r="C1619" s="68"/>
      <c r="D1619" s="374"/>
      <c r="E1619" s="660"/>
      <c r="F1619" s="112"/>
      <c r="G1619" s="68"/>
      <c r="H1619" s="603"/>
      <c r="I1619" s="882"/>
      <c r="J1619" s="883"/>
      <c r="K1619" s="884"/>
      <c r="L1619" s="884"/>
      <c r="M1619" s="68"/>
    </row>
    <row r="1620" spans="1:13" s="64" customFormat="1">
      <c r="A1620" s="10"/>
      <c r="B1620" s="111"/>
      <c r="C1620" s="68"/>
      <c r="D1620" s="374"/>
      <c r="E1620" s="660"/>
      <c r="F1620" s="112"/>
      <c r="G1620" s="68"/>
      <c r="H1620" s="603"/>
      <c r="I1620" s="882"/>
      <c r="J1620" s="883"/>
      <c r="K1620" s="884"/>
      <c r="L1620" s="884"/>
      <c r="M1620" s="68"/>
    </row>
    <row r="1621" spans="1:13" s="64" customFormat="1">
      <c r="A1621" s="10"/>
      <c r="B1621" s="111"/>
      <c r="C1621" s="68"/>
      <c r="D1621" s="374"/>
      <c r="E1621" s="660"/>
      <c r="F1621" s="112"/>
      <c r="G1621" s="68"/>
      <c r="H1621" s="603"/>
      <c r="I1621" s="882"/>
      <c r="J1621" s="883"/>
      <c r="K1621" s="884"/>
      <c r="L1621" s="884"/>
      <c r="M1621" s="68"/>
    </row>
    <row r="1622" spans="1:13" s="64" customFormat="1">
      <c r="A1622" s="10"/>
      <c r="B1622" s="111"/>
      <c r="C1622" s="68"/>
      <c r="D1622" s="374"/>
      <c r="E1622" s="660"/>
      <c r="F1622" s="112"/>
      <c r="G1622" s="68"/>
      <c r="H1622" s="603"/>
      <c r="I1622" s="882"/>
      <c r="J1622" s="883"/>
      <c r="K1622" s="884"/>
      <c r="L1622" s="884"/>
      <c r="M1622" s="68"/>
    </row>
    <row r="1623" spans="1:13" s="64" customFormat="1">
      <c r="A1623" s="10"/>
      <c r="B1623" s="111"/>
      <c r="C1623" s="68"/>
      <c r="D1623" s="374"/>
      <c r="E1623" s="660"/>
      <c r="F1623" s="112"/>
      <c r="G1623" s="68"/>
      <c r="H1623" s="603"/>
      <c r="I1623" s="882"/>
      <c r="J1623" s="883"/>
      <c r="K1623" s="884"/>
      <c r="L1623" s="884"/>
      <c r="M1623" s="68"/>
    </row>
    <row r="1624" spans="1:13" s="64" customFormat="1">
      <c r="A1624" s="10"/>
      <c r="B1624" s="111"/>
      <c r="C1624" s="68"/>
      <c r="D1624" s="374"/>
      <c r="E1624" s="660"/>
      <c r="F1624" s="112"/>
      <c r="G1624" s="68"/>
      <c r="H1624" s="603"/>
      <c r="I1624" s="882"/>
      <c r="J1624" s="883"/>
      <c r="K1624" s="884"/>
      <c r="L1624" s="884"/>
      <c r="M1624" s="68"/>
    </row>
    <row r="1625" spans="1:13" s="64" customFormat="1">
      <c r="A1625" s="10"/>
      <c r="B1625" s="111"/>
      <c r="C1625" s="68"/>
      <c r="D1625" s="374"/>
      <c r="E1625" s="660"/>
      <c r="F1625" s="112"/>
      <c r="G1625" s="68"/>
      <c r="H1625" s="603"/>
      <c r="I1625" s="882"/>
      <c r="J1625" s="883"/>
      <c r="K1625" s="884"/>
      <c r="L1625" s="884"/>
      <c r="M1625" s="68"/>
    </row>
    <row r="1626" spans="1:13" s="64" customFormat="1">
      <c r="A1626" s="10"/>
      <c r="B1626" s="111"/>
      <c r="C1626" s="68"/>
      <c r="D1626" s="374"/>
      <c r="E1626" s="660"/>
      <c r="F1626" s="112"/>
      <c r="G1626" s="68"/>
      <c r="H1626" s="603"/>
      <c r="I1626" s="882"/>
      <c r="J1626" s="883"/>
      <c r="K1626" s="884"/>
      <c r="L1626" s="884"/>
      <c r="M1626" s="68"/>
    </row>
    <row r="1627" spans="1:13" s="64" customFormat="1">
      <c r="A1627" s="10"/>
      <c r="B1627" s="111"/>
      <c r="C1627" s="68"/>
      <c r="D1627" s="374"/>
      <c r="E1627" s="660"/>
      <c r="F1627" s="112"/>
      <c r="G1627" s="68"/>
      <c r="H1627" s="603"/>
      <c r="I1627" s="882"/>
      <c r="J1627" s="883"/>
      <c r="K1627" s="884"/>
      <c r="L1627" s="884"/>
      <c r="M1627" s="68"/>
    </row>
    <row r="1628" spans="1:13" s="64" customFormat="1">
      <c r="A1628" s="10"/>
      <c r="B1628" s="111"/>
      <c r="C1628" s="68"/>
      <c r="D1628" s="374"/>
      <c r="E1628" s="660"/>
      <c r="F1628" s="112"/>
      <c r="G1628" s="68"/>
      <c r="H1628" s="603"/>
      <c r="I1628" s="882"/>
      <c r="J1628" s="883"/>
      <c r="K1628" s="884"/>
      <c r="L1628" s="884"/>
      <c r="M1628" s="68"/>
    </row>
    <row r="1629" spans="1:13" s="64" customFormat="1">
      <c r="A1629" s="10"/>
      <c r="B1629" s="111"/>
      <c r="C1629" s="68"/>
      <c r="D1629" s="374"/>
      <c r="E1629" s="660"/>
      <c r="F1629" s="112"/>
      <c r="G1629" s="68"/>
      <c r="H1629" s="603"/>
      <c r="I1629" s="882"/>
      <c r="J1629" s="883"/>
      <c r="K1629" s="884"/>
      <c r="L1629" s="884"/>
      <c r="M1629" s="68"/>
    </row>
    <row r="1630" spans="1:13" s="64" customFormat="1">
      <c r="A1630" s="10"/>
      <c r="B1630" s="111"/>
      <c r="C1630" s="68"/>
      <c r="D1630" s="374"/>
      <c r="E1630" s="660"/>
      <c r="F1630" s="112"/>
      <c r="G1630" s="68"/>
      <c r="H1630" s="603"/>
      <c r="I1630" s="882"/>
      <c r="J1630" s="883"/>
      <c r="K1630" s="884"/>
      <c r="L1630" s="884"/>
      <c r="M1630" s="68"/>
    </row>
    <row r="1631" spans="1:13" s="64" customFormat="1">
      <c r="A1631" s="10"/>
      <c r="B1631" s="111"/>
      <c r="C1631" s="68"/>
      <c r="D1631" s="374"/>
      <c r="E1631" s="660"/>
      <c r="F1631" s="112"/>
      <c r="G1631" s="68"/>
      <c r="H1631" s="603"/>
      <c r="I1631" s="882"/>
      <c r="J1631" s="883"/>
      <c r="K1631" s="884"/>
      <c r="L1631" s="884"/>
      <c r="M1631" s="68"/>
    </row>
    <row r="1632" spans="1:13" s="64" customFormat="1">
      <c r="A1632" s="10"/>
      <c r="B1632" s="111"/>
      <c r="C1632" s="68"/>
      <c r="D1632" s="374"/>
      <c r="E1632" s="660"/>
      <c r="F1632" s="112"/>
      <c r="G1632" s="68"/>
      <c r="H1632" s="603"/>
      <c r="I1632" s="882"/>
      <c r="J1632" s="883"/>
      <c r="K1632" s="884"/>
      <c r="L1632" s="884"/>
      <c r="M1632" s="68"/>
    </row>
    <row r="1633" spans="1:13" s="64" customFormat="1">
      <c r="A1633" s="10"/>
      <c r="B1633" s="111"/>
      <c r="C1633" s="68"/>
      <c r="D1633" s="374"/>
      <c r="E1633" s="660"/>
      <c r="F1633" s="112"/>
      <c r="G1633" s="68"/>
      <c r="H1633" s="603"/>
      <c r="I1633" s="882"/>
      <c r="J1633" s="883"/>
      <c r="K1633" s="884"/>
      <c r="L1633" s="884"/>
      <c r="M1633" s="68"/>
    </row>
    <row r="1634" spans="1:13" s="64" customFormat="1">
      <c r="A1634" s="10"/>
      <c r="B1634" s="111"/>
      <c r="C1634" s="68"/>
      <c r="D1634" s="374"/>
      <c r="E1634" s="660"/>
      <c r="F1634" s="112"/>
      <c r="G1634" s="68"/>
      <c r="H1634" s="603"/>
      <c r="I1634" s="882"/>
      <c r="J1634" s="883"/>
      <c r="K1634" s="884"/>
      <c r="L1634" s="884"/>
      <c r="M1634" s="68"/>
    </row>
    <row r="1635" spans="1:13" s="64" customFormat="1">
      <c r="A1635" s="10"/>
      <c r="B1635" s="111"/>
      <c r="C1635" s="68"/>
      <c r="D1635" s="374"/>
      <c r="E1635" s="660"/>
      <c r="F1635" s="112"/>
      <c r="G1635" s="68"/>
      <c r="H1635" s="603"/>
      <c r="I1635" s="882"/>
      <c r="J1635" s="883"/>
      <c r="K1635" s="884"/>
      <c r="L1635" s="884"/>
      <c r="M1635" s="68"/>
    </row>
    <row r="1636" spans="1:13" s="64" customFormat="1">
      <c r="A1636" s="10"/>
      <c r="B1636" s="111"/>
      <c r="C1636" s="68"/>
      <c r="D1636" s="374"/>
      <c r="E1636" s="660"/>
      <c r="F1636" s="112"/>
      <c r="G1636" s="68"/>
      <c r="H1636" s="603"/>
      <c r="I1636" s="882"/>
      <c r="J1636" s="883"/>
      <c r="K1636" s="884"/>
      <c r="L1636" s="884"/>
      <c r="M1636" s="68"/>
    </row>
  </sheetData>
  <autoFilter ref="A3:M304">
    <filterColumn colId="2" showButton="0"/>
    <filterColumn colId="3" showButton="0"/>
    <filterColumn colId="4" showButton="0"/>
    <filterColumn colId="5" showButton="0"/>
  </autoFilter>
  <mergeCells count="450">
    <mergeCell ref="M195:M199"/>
    <mergeCell ref="M190:M194"/>
    <mergeCell ref="M150:M154"/>
    <mergeCell ref="B150:B154"/>
    <mergeCell ref="L145:L149"/>
    <mergeCell ref="A185:A189"/>
    <mergeCell ref="A180:A184"/>
    <mergeCell ref="A175:A179"/>
    <mergeCell ref="B175:B179"/>
    <mergeCell ref="L175:L179"/>
    <mergeCell ref="K155:K159"/>
    <mergeCell ref="L155:L159"/>
    <mergeCell ref="L170:L174"/>
    <mergeCell ref="L165:L169"/>
    <mergeCell ref="M165:M169"/>
    <mergeCell ref="I160:I164"/>
    <mergeCell ref="I120:I124"/>
    <mergeCell ref="L125:L129"/>
    <mergeCell ref="K120:K124"/>
    <mergeCell ref="L150:L154"/>
    <mergeCell ref="K150:K154"/>
    <mergeCell ref="B190:B194"/>
    <mergeCell ref="A190:A194"/>
    <mergeCell ref="A195:A199"/>
    <mergeCell ref="B195:B199"/>
    <mergeCell ref="H195:H199"/>
    <mergeCell ref="H190:H194"/>
    <mergeCell ref="H170:H174"/>
    <mergeCell ref="H125:H129"/>
    <mergeCell ref="A150:A154"/>
    <mergeCell ref="H155:H159"/>
    <mergeCell ref="H160:H164"/>
    <mergeCell ref="A155:A159"/>
    <mergeCell ref="B155:B159"/>
    <mergeCell ref="I195:I199"/>
    <mergeCell ref="J195:J199"/>
    <mergeCell ref="K195:K199"/>
    <mergeCell ref="L195:L199"/>
    <mergeCell ref="K190:K194"/>
    <mergeCell ref="L190:L194"/>
    <mergeCell ref="M130:M134"/>
    <mergeCell ref="M145:M149"/>
    <mergeCell ref="A135:A139"/>
    <mergeCell ref="A145:A149"/>
    <mergeCell ref="L140:L144"/>
    <mergeCell ref="M140:M144"/>
    <mergeCell ref="K135:K139"/>
    <mergeCell ref="L135:L139"/>
    <mergeCell ref="B135:B139"/>
    <mergeCell ref="H135:H139"/>
    <mergeCell ref="B145:B149"/>
    <mergeCell ref="M70:M74"/>
    <mergeCell ref="M110:M114"/>
    <mergeCell ref="M105:M109"/>
    <mergeCell ref="I145:I149"/>
    <mergeCell ref="J145:J149"/>
    <mergeCell ref="I150:I154"/>
    <mergeCell ref="J150:J154"/>
    <mergeCell ref="H145:H149"/>
    <mergeCell ref="H85:H89"/>
    <mergeCell ref="K90:K94"/>
    <mergeCell ref="M100:M104"/>
    <mergeCell ref="L100:L104"/>
    <mergeCell ref="I125:I129"/>
    <mergeCell ref="J125:J129"/>
    <mergeCell ref="M135:M139"/>
    <mergeCell ref="H140:H144"/>
    <mergeCell ref="I140:I144"/>
    <mergeCell ref="J140:J144"/>
    <mergeCell ref="I135:I139"/>
    <mergeCell ref="J135:J139"/>
    <mergeCell ref="H150:H154"/>
    <mergeCell ref="H130:H134"/>
    <mergeCell ref="I130:I134"/>
    <mergeCell ref="J130:J134"/>
    <mergeCell ref="L285:L289"/>
    <mergeCell ref="L240:L244"/>
    <mergeCell ref="A130:A134"/>
    <mergeCell ref="B130:B134"/>
    <mergeCell ref="K130:K134"/>
    <mergeCell ref="M300:M304"/>
    <mergeCell ref="M295:M299"/>
    <mergeCell ref="K295:K299"/>
    <mergeCell ref="L295:L299"/>
    <mergeCell ref="H295:H299"/>
    <mergeCell ref="A295:A299"/>
    <mergeCell ref="B295:B299"/>
    <mergeCell ref="A290:A294"/>
    <mergeCell ref="K285:K289"/>
    <mergeCell ref="A300:A304"/>
    <mergeCell ref="M290:M294"/>
    <mergeCell ref="H290:H294"/>
    <mergeCell ref="L300:L304"/>
    <mergeCell ref="B300:B304"/>
    <mergeCell ref="H300:H304"/>
    <mergeCell ref="I300:I304"/>
    <mergeCell ref="J300:J304"/>
    <mergeCell ref="K300:K304"/>
    <mergeCell ref="B290:B294"/>
    <mergeCell ref="K290:K294"/>
    <mergeCell ref="L290:L294"/>
    <mergeCell ref="H285:H289"/>
    <mergeCell ref="J285:J289"/>
    <mergeCell ref="M285:M289"/>
    <mergeCell ref="M200:M204"/>
    <mergeCell ref="M185:M189"/>
    <mergeCell ref="M230:M234"/>
    <mergeCell ref="A240:A244"/>
    <mergeCell ref="H240:H244"/>
    <mergeCell ref="M240:M244"/>
    <mergeCell ref="A255:A259"/>
    <mergeCell ref="B255:B259"/>
    <mergeCell ref="H245:H249"/>
    <mergeCell ref="I245:I249"/>
    <mergeCell ref="J245:J249"/>
    <mergeCell ref="K245:K249"/>
    <mergeCell ref="B225:B229"/>
    <mergeCell ref="K225:K229"/>
    <mergeCell ref="A225:A229"/>
    <mergeCell ref="J220:J224"/>
    <mergeCell ref="L185:L189"/>
    <mergeCell ref="K220:K224"/>
    <mergeCell ref="B205:B209"/>
    <mergeCell ref="A210:A214"/>
    <mergeCell ref="J210:J214"/>
    <mergeCell ref="L210:L214"/>
    <mergeCell ref="M75:M79"/>
    <mergeCell ref="A80:A84"/>
    <mergeCell ref="M95:M99"/>
    <mergeCell ref="M90:M94"/>
    <mergeCell ref="J90:J94"/>
    <mergeCell ref="B85:B89"/>
    <mergeCell ref="A85:A89"/>
    <mergeCell ref="A75:A79"/>
    <mergeCell ref="B75:B79"/>
    <mergeCell ref="H75:H79"/>
    <mergeCell ref="K75:K79"/>
    <mergeCell ref="L75:L79"/>
    <mergeCell ref="L85:L89"/>
    <mergeCell ref="I85:I89"/>
    <mergeCell ref="J85:J89"/>
    <mergeCell ref="K85:K89"/>
    <mergeCell ref="H80:H84"/>
    <mergeCell ref="M80:M84"/>
    <mergeCell ref="M85:M89"/>
    <mergeCell ref="B80:B84"/>
    <mergeCell ref="A110:A114"/>
    <mergeCell ref="H10:H14"/>
    <mergeCell ref="H15:H19"/>
    <mergeCell ref="C3:G3"/>
    <mergeCell ref="H3:J3"/>
    <mergeCell ref="M20:M24"/>
    <mergeCell ref="L20:L24"/>
    <mergeCell ref="H20:H24"/>
    <mergeCell ref="I70:I74"/>
    <mergeCell ref="M25:M29"/>
    <mergeCell ref="M40:M44"/>
    <mergeCell ref="I40:I44"/>
    <mergeCell ref="J40:J44"/>
    <mergeCell ref="M65:M69"/>
    <mergeCell ref="M55:M59"/>
    <mergeCell ref="M45:M49"/>
    <mergeCell ref="M50:M54"/>
    <mergeCell ref="M30:M34"/>
    <mergeCell ref="M35:M39"/>
    <mergeCell ref="L40:L44"/>
    <mergeCell ref="H40:H44"/>
    <mergeCell ref="K25:K29"/>
    <mergeCell ref="L25:L29"/>
    <mergeCell ref="H70:H74"/>
    <mergeCell ref="K30:K34"/>
    <mergeCell ref="A40:A44"/>
    <mergeCell ref="B40:B44"/>
    <mergeCell ref="A2:M2"/>
    <mergeCell ref="M10:M14"/>
    <mergeCell ref="A15:A19"/>
    <mergeCell ref="B15:B19"/>
    <mergeCell ref="K15:K19"/>
    <mergeCell ref="L15:L19"/>
    <mergeCell ref="M15:M19"/>
    <mergeCell ref="A10:A14"/>
    <mergeCell ref="B10:B14"/>
    <mergeCell ref="K10:K14"/>
    <mergeCell ref="L10:L14"/>
    <mergeCell ref="M3:M4"/>
    <mergeCell ref="A5:A9"/>
    <mergeCell ref="B5:B9"/>
    <mergeCell ref="K5:K9"/>
    <mergeCell ref="L5:L9"/>
    <mergeCell ref="K3:K4"/>
    <mergeCell ref="H5:H9"/>
    <mergeCell ref="M5:M9"/>
    <mergeCell ref="A3:A4"/>
    <mergeCell ref="L3:L4"/>
    <mergeCell ref="B3:B4"/>
    <mergeCell ref="I30:I34"/>
    <mergeCell ref="J30:J34"/>
    <mergeCell ref="L30:L34"/>
    <mergeCell ref="A20:A24"/>
    <mergeCell ref="B20:B24"/>
    <mergeCell ref="K20:K24"/>
    <mergeCell ref="H25:H29"/>
    <mergeCell ref="A30:A34"/>
    <mergeCell ref="B30:B34"/>
    <mergeCell ref="H30:H34"/>
    <mergeCell ref="A25:A29"/>
    <mergeCell ref="B25:B29"/>
    <mergeCell ref="L35:L39"/>
    <mergeCell ref="K35:K39"/>
    <mergeCell ref="I35:I39"/>
    <mergeCell ref="H115:H119"/>
    <mergeCell ref="A70:A74"/>
    <mergeCell ref="A50:A54"/>
    <mergeCell ref="B50:B54"/>
    <mergeCell ref="B70:B74"/>
    <mergeCell ref="H50:H54"/>
    <mergeCell ref="H110:H114"/>
    <mergeCell ref="I110:I114"/>
    <mergeCell ref="B110:B114"/>
    <mergeCell ref="J35:J39"/>
    <mergeCell ref="I45:I49"/>
    <mergeCell ref="I90:I94"/>
    <mergeCell ref="K80:K84"/>
    <mergeCell ref="L80:L84"/>
    <mergeCell ref="I80:I84"/>
    <mergeCell ref="K40:K44"/>
    <mergeCell ref="I50:I54"/>
    <mergeCell ref="A115:A119"/>
    <mergeCell ref="B35:B39"/>
    <mergeCell ref="A35:A39"/>
    <mergeCell ref="H35:H39"/>
    <mergeCell ref="K70:K74"/>
    <mergeCell ref="L70:L74"/>
    <mergeCell ref="J70:J74"/>
    <mergeCell ref="L45:L49"/>
    <mergeCell ref="L50:L54"/>
    <mergeCell ref="K50:K54"/>
    <mergeCell ref="J55:J59"/>
    <mergeCell ref="J65:J69"/>
    <mergeCell ref="K105:K109"/>
    <mergeCell ref="K45:K49"/>
    <mergeCell ref="J45:J49"/>
    <mergeCell ref="K60:K64"/>
    <mergeCell ref="J50:J54"/>
    <mergeCell ref="K55:K59"/>
    <mergeCell ref="L55:L59"/>
    <mergeCell ref="K65:K69"/>
    <mergeCell ref="L65:L69"/>
    <mergeCell ref="L105:L109"/>
    <mergeCell ref="L90:L94"/>
    <mergeCell ref="J80:J84"/>
    <mergeCell ref="L95:L99"/>
    <mergeCell ref="K95:K99"/>
    <mergeCell ref="K100:K104"/>
    <mergeCell ref="I285:I289"/>
    <mergeCell ref="I210:I214"/>
    <mergeCell ref="A280:A284"/>
    <mergeCell ref="B280:B284"/>
    <mergeCell ref="H280:H284"/>
    <mergeCell ref="I280:I284"/>
    <mergeCell ref="H230:H234"/>
    <mergeCell ref="I230:I234"/>
    <mergeCell ref="A275:A279"/>
    <mergeCell ref="B275:B279"/>
    <mergeCell ref="H275:H279"/>
    <mergeCell ref="H225:H229"/>
    <mergeCell ref="A250:A254"/>
    <mergeCell ref="B250:B254"/>
    <mergeCell ref="A230:A234"/>
    <mergeCell ref="A220:A224"/>
    <mergeCell ref="H255:H259"/>
    <mergeCell ref="I255:I259"/>
    <mergeCell ref="B260:B264"/>
    <mergeCell ref="A260:A264"/>
    <mergeCell ref="B270:B274"/>
    <mergeCell ref="B285:B289"/>
    <mergeCell ref="B230:B234"/>
    <mergeCell ref="I225:I229"/>
    <mergeCell ref="M275:M279"/>
    <mergeCell ref="M170:M174"/>
    <mergeCell ref="K160:K164"/>
    <mergeCell ref="K165:K169"/>
    <mergeCell ref="J205:J209"/>
    <mergeCell ref="L280:L284"/>
    <mergeCell ref="L275:L279"/>
    <mergeCell ref="K280:K284"/>
    <mergeCell ref="M220:M224"/>
    <mergeCell ref="M210:M214"/>
    <mergeCell ref="M205:M209"/>
    <mergeCell ref="K200:K204"/>
    <mergeCell ref="L225:L229"/>
    <mergeCell ref="M280:M284"/>
    <mergeCell ref="M225:M229"/>
    <mergeCell ref="L200:L204"/>
    <mergeCell ref="K275:K279"/>
    <mergeCell ref="L205:L209"/>
    <mergeCell ref="L220:L224"/>
    <mergeCell ref="L230:L234"/>
    <mergeCell ref="K240:K244"/>
    <mergeCell ref="M175:M179"/>
    <mergeCell ref="M180:M184"/>
    <mergeCell ref="L180:L184"/>
    <mergeCell ref="J280:J284"/>
    <mergeCell ref="A120:A124"/>
    <mergeCell ref="J120:J124"/>
    <mergeCell ref="A160:A164"/>
    <mergeCell ref="A140:A144"/>
    <mergeCell ref="B140:B144"/>
    <mergeCell ref="B240:B244"/>
    <mergeCell ref="B235:B239"/>
    <mergeCell ref="H220:H224"/>
    <mergeCell ref="I220:I224"/>
    <mergeCell ref="I175:I179"/>
    <mergeCell ref="I180:I184"/>
    <mergeCell ref="J180:J184"/>
    <mergeCell ref="I205:I209"/>
    <mergeCell ref="B210:B214"/>
    <mergeCell ref="H205:H209"/>
    <mergeCell ref="A200:A204"/>
    <mergeCell ref="A205:A209"/>
    <mergeCell ref="A165:A169"/>
    <mergeCell ref="J160:J164"/>
    <mergeCell ref="J225:J229"/>
    <mergeCell ref="H175:H179"/>
    <mergeCell ref="H200:H204"/>
    <mergeCell ref="H210:H214"/>
    <mergeCell ref="A95:A99"/>
    <mergeCell ref="B95:B99"/>
    <mergeCell ref="H95:H99"/>
    <mergeCell ref="A90:A94"/>
    <mergeCell ref="B90:B94"/>
    <mergeCell ref="H90:H94"/>
    <mergeCell ref="A270:A274"/>
    <mergeCell ref="B265:B269"/>
    <mergeCell ref="A265:A269"/>
    <mergeCell ref="B160:B164"/>
    <mergeCell ref="B220:B224"/>
    <mergeCell ref="B200:B204"/>
    <mergeCell ref="B185:B189"/>
    <mergeCell ref="H180:H184"/>
    <mergeCell ref="B180:B184"/>
    <mergeCell ref="H185:H189"/>
    <mergeCell ref="A235:A239"/>
    <mergeCell ref="H235:H239"/>
    <mergeCell ref="B165:B169"/>
    <mergeCell ref="B170:B174"/>
    <mergeCell ref="H100:H104"/>
    <mergeCell ref="A170:A174"/>
    <mergeCell ref="B100:B104"/>
    <mergeCell ref="H260:H264"/>
    <mergeCell ref="A45:A49"/>
    <mergeCell ref="H45:H49"/>
    <mergeCell ref="A60:A64"/>
    <mergeCell ref="B60:B64"/>
    <mergeCell ref="B65:B69"/>
    <mergeCell ref="A65:A69"/>
    <mergeCell ref="B55:B59"/>
    <mergeCell ref="A55:A59"/>
    <mergeCell ref="I55:I59"/>
    <mergeCell ref="B45:B49"/>
    <mergeCell ref="H55:H59"/>
    <mergeCell ref="H65:H69"/>
    <mergeCell ref="H60:H64"/>
    <mergeCell ref="A285:A289"/>
    <mergeCell ref="I60:I64"/>
    <mergeCell ref="J60:J64"/>
    <mergeCell ref="L60:L64"/>
    <mergeCell ref="M60:M64"/>
    <mergeCell ref="A100:A104"/>
    <mergeCell ref="B245:B249"/>
    <mergeCell ref="A245:A249"/>
    <mergeCell ref="H250:H254"/>
    <mergeCell ref="I250:I254"/>
    <mergeCell ref="J250:J254"/>
    <mergeCell ref="K250:K254"/>
    <mergeCell ref="L250:L254"/>
    <mergeCell ref="M250:M254"/>
    <mergeCell ref="I65:I69"/>
    <mergeCell ref="M120:M124"/>
    <mergeCell ref="M115:M119"/>
    <mergeCell ref="K140:K144"/>
    <mergeCell ref="A125:A129"/>
    <mergeCell ref="B125:B129"/>
    <mergeCell ref="B115:B119"/>
    <mergeCell ref="B120:B124"/>
    <mergeCell ref="H120:H124"/>
    <mergeCell ref="L255:L259"/>
    <mergeCell ref="M235:M239"/>
    <mergeCell ref="J255:J259"/>
    <mergeCell ref="K255:K259"/>
    <mergeCell ref="L245:L249"/>
    <mergeCell ref="K260:K264"/>
    <mergeCell ref="L260:L264"/>
    <mergeCell ref="M260:M264"/>
    <mergeCell ref="H265:H269"/>
    <mergeCell ref="H270:H274"/>
    <mergeCell ref="I265:I269"/>
    <mergeCell ref="I270:I274"/>
    <mergeCell ref="J265:J269"/>
    <mergeCell ref="J270:J274"/>
    <mergeCell ref="K265:K269"/>
    <mergeCell ref="K270:K274"/>
    <mergeCell ref="L265:L269"/>
    <mergeCell ref="L270:L274"/>
    <mergeCell ref="M265:M269"/>
    <mergeCell ref="M270:M274"/>
    <mergeCell ref="M255:M259"/>
    <mergeCell ref="I235:I239"/>
    <mergeCell ref="J235:J239"/>
    <mergeCell ref="K235:K239"/>
    <mergeCell ref="M245:M249"/>
    <mergeCell ref="L235:L239"/>
    <mergeCell ref="K115:K119"/>
    <mergeCell ref="L115:L119"/>
    <mergeCell ref="J115:J119"/>
    <mergeCell ref="J105:J109"/>
    <mergeCell ref="L110:L114"/>
    <mergeCell ref="L120:L124"/>
    <mergeCell ref="K125:K129"/>
    <mergeCell ref="K145:K149"/>
    <mergeCell ref="L160:L164"/>
    <mergeCell ref="K185:K189"/>
    <mergeCell ref="K170:K174"/>
    <mergeCell ref="J230:J234"/>
    <mergeCell ref="K230:K234"/>
    <mergeCell ref="K180:K184"/>
    <mergeCell ref="A215:A219"/>
    <mergeCell ref="B215:B219"/>
    <mergeCell ref="H215:H219"/>
    <mergeCell ref="I215:I219"/>
    <mergeCell ref="K215:K219"/>
    <mergeCell ref="M215:M219"/>
    <mergeCell ref="J215:J219"/>
    <mergeCell ref="A105:A109"/>
    <mergeCell ref="B105:B109"/>
    <mergeCell ref="H105:H109"/>
    <mergeCell ref="I105:I109"/>
    <mergeCell ref="M125:M129"/>
    <mergeCell ref="M155:M159"/>
    <mergeCell ref="M160:M164"/>
    <mergeCell ref="J175:J179"/>
    <mergeCell ref="K175:K179"/>
    <mergeCell ref="K210:K214"/>
    <mergeCell ref="K205:K209"/>
    <mergeCell ref="I115:I119"/>
    <mergeCell ref="K110:K114"/>
    <mergeCell ref="J110:J114"/>
    <mergeCell ref="J165:J169"/>
    <mergeCell ref="H165:H169"/>
    <mergeCell ref="I165:I169"/>
  </mergeCells>
  <pageMargins left="0.23622047244094491" right="0" top="0.74803149606299213" bottom="0.59055118110236227" header="0" footer="0"/>
  <pageSetup paperSize="8" scale="76" fitToHeight="0" orientation="landscape" r:id="rId1"/>
  <rowBreaks count="3" manualBreakCount="3">
    <brk id="24" max="16383" man="1"/>
    <brk id="119" max="16383" man="1"/>
    <brk id="19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K44"/>
  <sheetViews>
    <sheetView zoomScale="110" zoomScaleNormal="110" workbookViewId="0">
      <pane xSplit="6" ySplit="5" topLeftCell="G6" activePane="bottomRight" state="frozen"/>
      <selection pane="topRight" activeCell="G1" sqref="G1"/>
      <selection pane="bottomLeft" activeCell="A6" sqref="A6"/>
      <selection pane="bottomRight" activeCell="J10" sqref="J10"/>
    </sheetView>
  </sheetViews>
  <sheetFormatPr defaultColWidth="8.85546875" defaultRowHeight="15.75" outlineLevelRow="1"/>
  <cols>
    <col min="1" max="1" width="3.42578125" style="958" customWidth="1"/>
    <col min="2" max="2" width="19.42578125" style="958" customWidth="1"/>
    <col min="3" max="3" width="14.42578125" style="958" customWidth="1"/>
    <col min="4" max="4" width="12" style="958" customWidth="1"/>
    <col min="5" max="5" width="12.140625" style="958" customWidth="1"/>
    <col min="6" max="6" width="12" style="994" customWidth="1"/>
    <col min="7" max="7" width="5.28515625" style="958" customWidth="1"/>
    <col min="8" max="8" width="11.140625" style="994" customWidth="1"/>
    <col min="9" max="9" width="9.42578125" style="994" customWidth="1"/>
    <col min="10" max="10" width="10.85546875" style="996" customWidth="1"/>
    <col min="11" max="11" width="11.28515625" style="994" customWidth="1"/>
    <col min="12" max="12" width="9.140625" style="994" customWidth="1"/>
    <col min="13" max="13" width="9.42578125" style="994" customWidth="1"/>
    <col min="14" max="14" width="10.28515625" style="997" customWidth="1"/>
    <col min="15" max="15" width="10.140625" style="998" customWidth="1"/>
    <col min="16" max="16" width="9.85546875" style="998" customWidth="1"/>
    <col min="17" max="17" width="39.140625" style="958" customWidth="1"/>
    <col min="18" max="245" width="8.85546875" style="958"/>
    <col min="246" max="246" width="3.42578125" style="958" customWidth="1"/>
    <col min="247" max="247" width="19.42578125" style="958" customWidth="1"/>
    <col min="248" max="248" width="14.42578125" style="958" customWidth="1"/>
    <col min="249" max="249" width="9.42578125" style="958" customWidth="1"/>
    <col min="250" max="250" width="12.140625" style="958" customWidth="1"/>
    <col min="251" max="251" width="9.42578125" style="958" customWidth="1"/>
    <col min="252" max="252" width="5.28515625" style="958" customWidth="1"/>
    <col min="253" max="253" width="8.85546875" style="958" customWidth="1"/>
    <col min="254" max="254" width="9.42578125" style="958" customWidth="1"/>
    <col min="255" max="255" width="8.85546875" style="958" customWidth="1"/>
    <col min="256" max="256" width="9" style="958" customWidth="1"/>
    <col min="257" max="257" width="9.140625" style="958" customWidth="1"/>
    <col min="258" max="258" width="7.85546875" style="958" customWidth="1"/>
    <col min="259" max="259" width="10.28515625" style="958" customWidth="1"/>
    <col min="260" max="260" width="9.42578125" style="958" customWidth="1"/>
    <col min="261" max="261" width="8.85546875" style="958" customWidth="1"/>
    <col min="262" max="262" width="39.140625" style="958" customWidth="1"/>
    <col min="263" max="263" width="8.85546875" style="958"/>
    <col min="264" max="264" width="9" style="958" bestFit="1" customWidth="1"/>
    <col min="265" max="501" width="8.85546875" style="958"/>
    <col min="502" max="502" width="3.42578125" style="958" customWidth="1"/>
    <col min="503" max="503" width="19.42578125" style="958" customWidth="1"/>
    <col min="504" max="504" width="14.42578125" style="958" customWidth="1"/>
    <col min="505" max="505" width="9.42578125" style="958" customWidth="1"/>
    <col min="506" max="506" width="12.140625" style="958" customWidth="1"/>
    <col min="507" max="507" width="9.42578125" style="958" customWidth="1"/>
    <col min="508" max="508" width="5.28515625" style="958" customWidth="1"/>
    <col min="509" max="509" width="8.85546875" style="958" customWidth="1"/>
    <col min="510" max="510" width="9.42578125" style="958" customWidth="1"/>
    <col min="511" max="511" width="8.85546875" style="958" customWidth="1"/>
    <col min="512" max="512" width="9" style="958" customWidth="1"/>
    <col min="513" max="513" width="9.140625" style="958" customWidth="1"/>
    <col min="514" max="514" width="7.85546875" style="958" customWidth="1"/>
    <col min="515" max="515" width="10.28515625" style="958" customWidth="1"/>
    <col min="516" max="516" width="9.42578125" style="958" customWidth="1"/>
    <col min="517" max="517" width="8.85546875" style="958" customWidth="1"/>
    <col min="518" max="518" width="39.140625" style="958" customWidth="1"/>
    <col min="519" max="519" width="8.85546875" style="958"/>
    <col min="520" max="520" width="9" style="958" bestFit="1" customWidth="1"/>
    <col min="521" max="757" width="8.85546875" style="958"/>
    <col min="758" max="758" width="3.42578125" style="958" customWidth="1"/>
    <col min="759" max="759" width="19.42578125" style="958" customWidth="1"/>
    <col min="760" max="760" width="14.42578125" style="958" customWidth="1"/>
    <col min="761" max="761" width="9.42578125" style="958" customWidth="1"/>
    <col min="762" max="762" width="12.140625" style="958" customWidth="1"/>
    <col min="763" max="763" width="9.42578125" style="958" customWidth="1"/>
    <col min="764" max="764" width="5.28515625" style="958" customWidth="1"/>
    <col min="765" max="765" width="8.85546875" style="958" customWidth="1"/>
    <col min="766" max="766" width="9.42578125" style="958" customWidth="1"/>
    <col min="767" max="767" width="8.85546875" style="958" customWidth="1"/>
    <col min="768" max="768" width="9" style="958" customWidth="1"/>
    <col min="769" max="769" width="9.140625" style="958" customWidth="1"/>
    <col min="770" max="770" width="7.85546875" style="958" customWidth="1"/>
    <col min="771" max="771" width="10.28515625" style="958" customWidth="1"/>
    <col min="772" max="772" width="9.42578125" style="958" customWidth="1"/>
    <col min="773" max="773" width="8.85546875" style="958" customWidth="1"/>
    <col min="774" max="774" width="39.140625" style="958" customWidth="1"/>
    <col min="775" max="775" width="8.85546875" style="958"/>
    <col min="776" max="776" width="9" style="958" bestFit="1" customWidth="1"/>
    <col min="777" max="1013" width="8.85546875" style="958"/>
    <col min="1014" max="1014" width="3.42578125" style="958" customWidth="1"/>
    <col min="1015" max="1015" width="19.42578125" style="958" customWidth="1"/>
    <col min="1016" max="1016" width="14.42578125" style="958" customWidth="1"/>
    <col min="1017" max="1017" width="9.42578125" style="958" customWidth="1"/>
    <col min="1018" max="1018" width="12.140625" style="958" customWidth="1"/>
    <col min="1019" max="1019" width="9.42578125" style="958" customWidth="1"/>
    <col min="1020" max="1020" width="5.28515625" style="958" customWidth="1"/>
    <col min="1021" max="1021" width="8.85546875" style="958" customWidth="1"/>
    <col min="1022" max="1022" width="9.42578125" style="958" customWidth="1"/>
    <col min="1023" max="1023" width="8.85546875" style="958" customWidth="1"/>
    <col min="1024" max="1024" width="9" style="958" customWidth="1"/>
    <col min="1025" max="1025" width="9.140625" style="958" customWidth="1"/>
    <col min="1026" max="1026" width="7.85546875" style="958" customWidth="1"/>
    <col min="1027" max="1027" width="10.28515625" style="958" customWidth="1"/>
    <col min="1028" max="1028" width="9.42578125" style="958" customWidth="1"/>
    <col min="1029" max="1029" width="8.85546875" style="958" customWidth="1"/>
    <col min="1030" max="1030" width="39.140625" style="958" customWidth="1"/>
    <col min="1031" max="1031" width="8.85546875" style="958"/>
    <col min="1032" max="1032" width="9" style="958" bestFit="1" customWidth="1"/>
    <col min="1033" max="1269" width="8.85546875" style="958"/>
    <col min="1270" max="1270" width="3.42578125" style="958" customWidth="1"/>
    <col min="1271" max="1271" width="19.42578125" style="958" customWidth="1"/>
    <col min="1272" max="1272" width="14.42578125" style="958" customWidth="1"/>
    <col min="1273" max="1273" width="9.42578125" style="958" customWidth="1"/>
    <col min="1274" max="1274" width="12.140625" style="958" customWidth="1"/>
    <col min="1275" max="1275" width="9.42578125" style="958" customWidth="1"/>
    <col min="1276" max="1276" width="5.28515625" style="958" customWidth="1"/>
    <col min="1277" max="1277" width="8.85546875" style="958" customWidth="1"/>
    <col min="1278" max="1278" width="9.42578125" style="958" customWidth="1"/>
    <col min="1279" max="1279" width="8.85546875" style="958" customWidth="1"/>
    <col min="1280" max="1280" width="9" style="958" customWidth="1"/>
    <col min="1281" max="1281" width="9.140625" style="958" customWidth="1"/>
    <col min="1282" max="1282" width="7.85546875" style="958" customWidth="1"/>
    <col min="1283" max="1283" width="10.28515625" style="958" customWidth="1"/>
    <col min="1284" max="1284" width="9.42578125" style="958" customWidth="1"/>
    <col min="1285" max="1285" width="8.85546875" style="958" customWidth="1"/>
    <col min="1286" max="1286" width="39.140625" style="958" customWidth="1"/>
    <col min="1287" max="1287" width="8.85546875" style="958"/>
    <col min="1288" max="1288" width="9" style="958" bestFit="1" customWidth="1"/>
    <col min="1289" max="1525" width="8.85546875" style="958"/>
    <col min="1526" max="1526" width="3.42578125" style="958" customWidth="1"/>
    <col min="1527" max="1527" width="19.42578125" style="958" customWidth="1"/>
    <col min="1528" max="1528" width="14.42578125" style="958" customWidth="1"/>
    <col min="1529" max="1529" width="9.42578125" style="958" customWidth="1"/>
    <col min="1530" max="1530" width="12.140625" style="958" customWidth="1"/>
    <col min="1531" max="1531" width="9.42578125" style="958" customWidth="1"/>
    <col min="1532" max="1532" width="5.28515625" style="958" customWidth="1"/>
    <col min="1533" max="1533" width="8.85546875" style="958" customWidth="1"/>
    <col min="1534" max="1534" width="9.42578125" style="958" customWidth="1"/>
    <col min="1535" max="1535" width="8.85546875" style="958" customWidth="1"/>
    <col min="1536" max="1536" width="9" style="958" customWidth="1"/>
    <col min="1537" max="1537" width="9.140625" style="958" customWidth="1"/>
    <col min="1538" max="1538" width="7.85546875" style="958" customWidth="1"/>
    <col min="1539" max="1539" width="10.28515625" style="958" customWidth="1"/>
    <col min="1540" max="1540" width="9.42578125" style="958" customWidth="1"/>
    <col min="1541" max="1541" width="8.85546875" style="958" customWidth="1"/>
    <col min="1542" max="1542" width="39.140625" style="958" customWidth="1"/>
    <col min="1543" max="1543" width="8.85546875" style="958"/>
    <col min="1544" max="1544" width="9" style="958" bestFit="1" customWidth="1"/>
    <col min="1545" max="1781" width="8.85546875" style="958"/>
    <col min="1782" max="1782" width="3.42578125" style="958" customWidth="1"/>
    <col min="1783" max="1783" width="19.42578125" style="958" customWidth="1"/>
    <col min="1784" max="1784" width="14.42578125" style="958" customWidth="1"/>
    <col min="1785" max="1785" width="9.42578125" style="958" customWidth="1"/>
    <col min="1786" max="1786" width="12.140625" style="958" customWidth="1"/>
    <col min="1787" max="1787" width="9.42578125" style="958" customWidth="1"/>
    <col min="1788" max="1788" width="5.28515625" style="958" customWidth="1"/>
    <col min="1789" max="1789" width="8.85546875" style="958" customWidth="1"/>
    <col min="1790" max="1790" width="9.42578125" style="958" customWidth="1"/>
    <col min="1791" max="1791" width="8.85546875" style="958" customWidth="1"/>
    <col min="1792" max="1792" width="9" style="958" customWidth="1"/>
    <col min="1793" max="1793" width="9.140625" style="958" customWidth="1"/>
    <col min="1794" max="1794" width="7.85546875" style="958" customWidth="1"/>
    <col min="1795" max="1795" width="10.28515625" style="958" customWidth="1"/>
    <col min="1796" max="1796" width="9.42578125" style="958" customWidth="1"/>
    <col min="1797" max="1797" width="8.85546875" style="958" customWidth="1"/>
    <col min="1798" max="1798" width="39.140625" style="958" customWidth="1"/>
    <col min="1799" max="1799" width="8.85546875" style="958"/>
    <col min="1800" max="1800" width="9" style="958" bestFit="1" customWidth="1"/>
    <col min="1801" max="2037" width="8.85546875" style="958"/>
    <col min="2038" max="2038" width="3.42578125" style="958" customWidth="1"/>
    <col min="2039" max="2039" width="19.42578125" style="958" customWidth="1"/>
    <col min="2040" max="2040" width="14.42578125" style="958" customWidth="1"/>
    <col min="2041" max="2041" width="9.42578125" style="958" customWidth="1"/>
    <col min="2042" max="2042" width="12.140625" style="958" customWidth="1"/>
    <col min="2043" max="2043" width="9.42578125" style="958" customWidth="1"/>
    <col min="2044" max="2044" width="5.28515625" style="958" customWidth="1"/>
    <col min="2045" max="2045" width="8.85546875" style="958" customWidth="1"/>
    <col min="2046" max="2046" width="9.42578125" style="958" customWidth="1"/>
    <col min="2047" max="2047" width="8.85546875" style="958" customWidth="1"/>
    <col min="2048" max="2048" width="9" style="958" customWidth="1"/>
    <col min="2049" max="2049" width="9.140625" style="958" customWidth="1"/>
    <col min="2050" max="2050" width="7.85546875" style="958" customWidth="1"/>
    <col min="2051" max="2051" width="10.28515625" style="958" customWidth="1"/>
    <col min="2052" max="2052" width="9.42578125" style="958" customWidth="1"/>
    <col min="2053" max="2053" width="8.85546875" style="958" customWidth="1"/>
    <col min="2054" max="2054" width="39.140625" style="958" customWidth="1"/>
    <col min="2055" max="2055" width="8.85546875" style="958"/>
    <col min="2056" max="2056" width="9" style="958" bestFit="1" customWidth="1"/>
    <col min="2057" max="2293" width="8.85546875" style="958"/>
    <col min="2294" max="2294" width="3.42578125" style="958" customWidth="1"/>
    <col min="2295" max="2295" width="19.42578125" style="958" customWidth="1"/>
    <col min="2296" max="2296" width="14.42578125" style="958" customWidth="1"/>
    <col min="2297" max="2297" width="9.42578125" style="958" customWidth="1"/>
    <col min="2298" max="2298" width="12.140625" style="958" customWidth="1"/>
    <col min="2299" max="2299" width="9.42578125" style="958" customWidth="1"/>
    <col min="2300" max="2300" width="5.28515625" style="958" customWidth="1"/>
    <col min="2301" max="2301" width="8.85546875" style="958" customWidth="1"/>
    <col min="2302" max="2302" width="9.42578125" style="958" customWidth="1"/>
    <col min="2303" max="2303" width="8.85546875" style="958" customWidth="1"/>
    <col min="2304" max="2304" width="9" style="958" customWidth="1"/>
    <col min="2305" max="2305" width="9.140625" style="958" customWidth="1"/>
    <col min="2306" max="2306" width="7.85546875" style="958" customWidth="1"/>
    <col min="2307" max="2307" width="10.28515625" style="958" customWidth="1"/>
    <col min="2308" max="2308" width="9.42578125" style="958" customWidth="1"/>
    <col min="2309" max="2309" width="8.85546875" style="958" customWidth="1"/>
    <col min="2310" max="2310" width="39.140625" style="958" customWidth="1"/>
    <col min="2311" max="2311" width="8.85546875" style="958"/>
    <col min="2312" max="2312" width="9" style="958" bestFit="1" customWidth="1"/>
    <col min="2313" max="2549" width="8.85546875" style="958"/>
    <col min="2550" max="2550" width="3.42578125" style="958" customWidth="1"/>
    <col min="2551" max="2551" width="19.42578125" style="958" customWidth="1"/>
    <col min="2552" max="2552" width="14.42578125" style="958" customWidth="1"/>
    <col min="2553" max="2553" width="9.42578125" style="958" customWidth="1"/>
    <col min="2554" max="2554" width="12.140625" style="958" customWidth="1"/>
    <col min="2555" max="2555" width="9.42578125" style="958" customWidth="1"/>
    <col min="2556" max="2556" width="5.28515625" style="958" customWidth="1"/>
    <col min="2557" max="2557" width="8.85546875" style="958" customWidth="1"/>
    <col min="2558" max="2558" width="9.42578125" style="958" customWidth="1"/>
    <col min="2559" max="2559" width="8.85546875" style="958" customWidth="1"/>
    <col min="2560" max="2560" width="9" style="958" customWidth="1"/>
    <col min="2561" max="2561" width="9.140625" style="958" customWidth="1"/>
    <col min="2562" max="2562" width="7.85546875" style="958" customWidth="1"/>
    <col min="2563" max="2563" width="10.28515625" style="958" customWidth="1"/>
    <col min="2564" max="2564" width="9.42578125" style="958" customWidth="1"/>
    <col min="2565" max="2565" width="8.85546875" style="958" customWidth="1"/>
    <col min="2566" max="2566" width="39.140625" style="958" customWidth="1"/>
    <col min="2567" max="2567" width="8.85546875" style="958"/>
    <col min="2568" max="2568" width="9" style="958" bestFit="1" customWidth="1"/>
    <col min="2569" max="2805" width="8.85546875" style="958"/>
    <col min="2806" max="2806" width="3.42578125" style="958" customWidth="1"/>
    <col min="2807" max="2807" width="19.42578125" style="958" customWidth="1"/>
    <col min="2808" max="2808" width="14.42578125" style="958" customWidth="1"/>
    <col min="2809" max="2809" width="9.42578125" style="958" customWidth="1"/>
    <col min="2810" max="2810" width="12.140625" style="958" customWidth="1"/>
    <col min="2811" max="2811" width="9.42578125" style="958" customWidth="1"/>
    <col min="2812" max="2812" width="5.28515625" style="958" customWidth="1"/>
    <col min="2813" max="2813" width="8.85546875" style="958" customWidth="1"/>
    <col min="2814" max="2814" width="9.42578125" style="958" customWidth="1"/>
    <col min="2815" max="2815" width="8.85546875" style="958" customWidth="1"/>
    <col min="2816" max="2816" width="9" style="958" customWidth="1"/>
    <col min="2817" max="2817" width="9.140625" style="958" customWidth="1"/>
    <col min="2818" max="2818" width="7.85546875" style="958" customWidth="1"/>
    <col min="2819" max="2819" width="10.28515625" style="958" customWidth="1"/>
    <col min="2820" max="2820" width="9.42578125" style="958" customWidth="1"/>
    <col min="2821" max="2821" width="8.85546875" style="958" customWidth="1"/>
    <col min="2822" max="2822" width="39.140625" style="958" customWidth="1"/>
    <col min="2823" max="2823" width="8.85546875" style="958"/>
    <col min="2824" max="2824" width="9" style="958" bestFit="1" customWidth="1"/>
    <col min="2825" max="3061" width="8.85546875" style="958"/>
    <col min="3062" max="3062" width="3.42578125" style="958" customWidth="1"/>
    <col min="3063" max="3063" width="19.42578125" style="958" customWidth="1"/>
    <col min="3064" max="3064" width="14.42578125" style="958" customWidth="1"/>
    <col min="3065" max="3065" width="9.42578125" style="958" customWidth="1"/>
    <col min="3066" max="3066" width="12.140625" style="958" customWidth="1"/>
    <col min="3067" max="3067" width="9.42578125" style="958" customWidth="1"/>
    <col min="3068" max="3068" width="5.28515625" style="958" customWidth="1"/>
    <col min="3069" max="3069" width="8.85546875" style="958" customWidth="1"/>
    <col min="3070" max="3070" width="9.42578125" style="958" customWidth="1"/>
    <col min="3071" max="3071" width="8.85546875" style="958" customWidth="1"/>
    <col min="3072" max="3072" width="9" style="958" customWidth="1"/>
    <col min="3073" max="3073" width="9.140625" style="958" customWidth="1"/>
    <col min="3074" max="3074" width="7.85546875" style="958" customWidth="1"/>
    <col min="3075" max="3075" width="10.28515625" style="958" customWidth="1"/>
    <col min="3076" max="3076" width="9.42578125" style="958" customWidth="1"/>
    <col min="3077" max="3077" width="8.85546875" style="958" customWidth="1"/>
    <col min="3078" max="3078" width="39.140625" style="958" customWidth="1"/>
    <col min="3079" max="3079" width="8.85546875" style="958"/>
    <col min="3080" max="3080" width="9" style="958" bestFit="1" customWidth="1"/>
    <col min="3081" max="3317" width="8.85546875" style="958"/>
    <col min="3318" max="3318" width="3.42578125" style="958" customWidth="1"/>
    <col min="3319" max="3319" width="19.42578125" style="958" customWidth="1"/>
    <col min="3320" max="3320" width="14.42578125" style="958" customWidth="1"/>
    <col min="3321" max="3321" width="9.42578125" style="958" customWidth="1"/>
    <col min="3322" max="3322" width="12.140625" style="958" customWidth="1"/>
    <col min="3323" max="3323" width="9.42578125" style="958" customWidth="1"/>
    <col min="3324" max="3324" width="5.28515625" style="958" customWidth="1"/>
    <col min="3325" max="3325" width="8.85546875" style="958" customWidth="1"/>
    <col min="3326" max="3326" width="9.42578125" style="958" customWidth="1"/>
    <col min="3327" max="3327" width="8.85546875" style="958" customWidth="1"/>
    <col min="3328" max="3328" width="9" style="958" customWidth="1"/>
    <col min="3329" max="3329" width="9.140625" style="958" customWidth="1"/>
    <col min="3330" max="3330" width="7.85546875" style="958" customWidth="1"/>
    <col min="3331" max="3331" width="10.28515625" style="958" customWidth="1"/>
    <col min="3332" max="3332" width="9.42578125" style="958" customWidth="1"/>
    <col min="3333" max="3333" width="8.85546875" style="958" customWidth="1"/>
    <col min="3334" max="3334" width="39.140625" style="958" customWidth="1"/>
    <col min="3335" max="3335" width="8.85546875" style="958"/>
    <col min="3336" max="3336" width="9" style="958" bestFit="1" customWidth="1"/>
    <col min="3337" max="3573" width="8.85546875" style="958"/>
    <col min="3574" max="3574" width="3.42578125" style="958" customWidth="1"/>
    <col min="3575" max="3575" width="19.42578125" style="958" customWidth="1"/>
    <col min="3576" max="3576" width="14.42578125" style="958" customWidth="1"/>
    <col min="3577" max="3577" width="9.42578125" style="958" customWidth="1"/>
    <col min="3578" max="3578" width="12.140625" style="958" customWidth="1"/>
    <col min="3579" max="3579" width="9.42578125" style="958" customWidth="1"/>
    <col min="3580" max="3580" width="5.28515625" style="958" customWidth="1"/>
    <col min="3581" max="3581" width="8.85546875" style="958" customWidth="1"/>
    <col min="3582" max="3582" width="9.42578125" style="958" customWidth="1"/>
    <col min="3583" max="3583" width="8.85546875" style="958" customWidth="1"/>
    <col min="3584" max="3584" width="9" style="958" customWidth="1"/>
    <col min="3585" max="3585" width="9.140625" style="958" customWidth="1"/>
    <col min="3586" max="3586" width="7.85546875" style="958" customWidth="1"/>
    <col min="3587" max="3587" width="10.28515625" style="958" customWidth="1"/>
    <col min="3588" max="3588" width="9.42578125" style="958" customWidth="1"/>
    <col min="3589" max="3589" width="8.85546875" style="958" customWidth="1"/>
    <col min="3590" max="3590" width="39.140625" style="958" customWidth="1"/>
    <col min="3591" max="3591" width="8.85546875" style="958"/>
    <col min="3592" max="3592" width="9" style="958" bestFit="1" customWidth="1"/>
    <col min="3593" max="3829" width="8.85546875" style="958"/>
    <col min="3830" max="3830" width="3.42578125" style="958" customWidth="1"/>
    <col min="3831" max="3831" width="19.42578125" style="958" customWidth="1"/>
    <col min="3832" max="3832" width="14.42578125" style="958" customWidth="1"/>
    <col min="3833" max="3833" width="9.42578125" style="958" customWidth="1"/>
    <col min="3834" max="3834" width="12.140625" style="958" customWidth="1"/>
    <col min="3835" max="3835" width="9.42578125" style="958" customWidth="1"/>
    <col min="3836" max="3836" width="5.28515625" style="958" customWidth="1"/>
    <col min="3837" max="3837" width="8.85546875" style="958" customWidth="1"/>
    <col min="3838" max="3838" width="9.42578125" style="958" customWidth="1"/>
    <col min="3839" max="3839" width="8.85546875" style="958" customWidth="1"/>
    <col min="3840" max="3840" width="9" style="958" customWidth="1"/>
    <col min="3841" max="3841" width="9.140625" style="958" customWidth="1"/>
    <col min="3842" max="3842" width="7.85546875" style="958" customWidth="1"/>
    <col min="3843" max="3843" width="10.28515625" style="958" customWidth="1"/>
    <col min="3844" max="3844" width="9.42578125" style="958" customWidth="1"/>
    <col min="3845" max="3845" width="8.85546875" style="958" customWidth="1"/>
    <col min="3846" max="3846" width="39.140625" style="958" customWidth="1"/>
    <col min="3847" max="3847" width="8.85546875" style="958"/>
    <col min="3848" max="3848" width="9" style="958" bestFit="1" customWidth="1"/>
    <col min="3849" max="4085" width="8.85546875" style="958"/>
    <col min="4086" max="4086" width="3.42578125" style="958" customWidth="1"/>
    <col min="4087" max="4087" width="19.42578125" style="958" customWidth="1"/>
    <col min="4088" max="4088" width="14.42578125" style="958" customWidth="1"/>
    <col min="4089" max="4089" width="9.42578125" style="958" customWidth="1"/>
    <col min="4090" max="4090" width="12.140625" style="958" customWidth="1"/>
    <col min="4091" max="4091" width="9.42578125" style="958" customWidth="1"/>
    <col min="4092" max="4092" width="5.28515625" style="958" customWidth="1"/>
    <col min="4093" max="4093" width="8.85546875" style="958" customWidth="1"/>
    <col min="4094" max="4094" width="9.42578125" style="958" customWidth="1"/>
    <col min="4095" max="4095" width="8.85546875" style="958" customWidth="1"/>
    <col min="4096" max="4096" width="9" style="958" customWidth="1"/>
    <col min="4097" max="4097" width="9.140625" style="958" customWidth="1"/>
    <col min="4098" max="4098" width="7.85546875" style="958" customWidth="1"/>
    <col min="4099" max="4099" width="10.28515625" style="958" customWidth="1"/>
    <col min="4100" max="4100" width="9.42578125" style="958" customWidth="1"/>
    <col min="4101" max="4101" width="8.85546875" style="958" customWidth="1"/>
    <col min="4102" max="4102" width="39.140625" style="958" customWidth="1"/>
    <col min="4103" max="4103" width="8.85546875" style="958"/>
    <col min="4104" max="4104" width="9" style="958" bestFit="1" customWidth="1"/>
    <col min="4105" max="4341" width="8.85546875" style="958"/>
    <col min="4342" max="4342" width="3.42578125" style="958" customWidth="1"/>
    <col min="4343" max="4343" width="19.42578125" style="958" customWidth="1"/>
    <col min="4344" max="4344" width="14.42578125" style="958" customWidth="1"/>
    <col min="4345" max="4345" width="9.42578125" style="958" customWidth="1"/>
    <col min="4346" max="4346" width="12.140625" style="958" customWidth="1"/>
    <col min="4347" max="4347" width="9.42578125" style="958" customWidth="1"/>
    <col min="4348" max="4348" width="5.28515625" style="958" customWidth="1"/>
    <col min="4349" max="4349" width="8.85546875" style="958" customWidth="1"/>
    <col min="4350" max="4350" width="9.42578125" style="958" customWidth="1"/>
    <col min="4351" max="4351" width="8.85546875" style="958" customWidth="1"/>
    <col min="4352" max="4352" width="9" style="958" customWidth="1"/>
    <col min="4353" max="4353" width="9.140625" style="958" customWidth="1"/>
    <col min="4354" max="4354" width="7.85546875" style="958" customWidth="1"/>
    <col min="4355" max="4355" width="10.28515625" style="958" customWidth="1"/>
    <col min="4356" max="4356" width="9.42578125" style="958" customWidth="1"/>
    <col min="4357" max="4357" width="8.85546875" style="958" customWidth="1"/>
    <col min="4358" max="4358" width="39.140625" style="958" customWidth="1"/>
    <col min="4359" max="4359" width="8.85546875" style="958"/>
    <col min="4360" max="4360" width="9" style="958" bestFit="1" customWidth="1"/>
    <col min="4361" max="4597" width="8.85546875" style="958"/>
    <col min="4598" max="4598" width="3.42578125" style="958" customWidth="1"/>
    <col min="4599" max="4599" width="19.42578125" style="958" customWidth="1"/>
    <col min="4600" max="4600" width="14.42578125" style="958" customWidth="1"/>
    <col min="4601" max="4601" width="9.42578125" style="958" customWidth="1"/>
    <col min="4602" max="4602" width="12.140625" style="958" customWidth="1"/>
    <col min="4603" max="4603" width="9.42578125" style="958" customWidth="1"/>
    <col min="4604" max="4604" width="5.28515625" style="958" customWidth="1"/>
    <col min="4605" max="4605" width="8.85546875" style="958" customWidth="1"/>
    <col min="4606" max="4606" width="9.42578125" style="958" customWidth="1"/>
    <col min="4607" max="4607" width="8.85546875" style="958" customWidth="1"/>
    <col min="4608" max="4608" width="9" style="958" customWidth="1"/>
    <col min="4609" max="4609" width="9.140625" style="958" customWidth="1"/>
    <col min="4610" max="4610" width="7.85546875" style="958" customWidth="1"/>
    <col min="4611" max="4611" width="10.28515625" style="958" customWidth="1"/>
    <col min="4612" max="4612" width="9.42578125" style="958" customWidth="1"/>
    <col min="4613" max="4613" width="8.85546875" style="958" customWidth="1"/>
    <col min="4614" max="4614" width="39.140625" style="958" customWidth="1"/>
    <col min="4615" max="4615" width="8.85546875" style="958"/>
    <col min="4616" max="4616" width="9" style="958" bestFit="1" customWidth="1"/>
    <col min="4617" max="4853" width="8.85546875" style="958"/>
    <col min="4854" max="4854" width="3.42578125" style="958" customWidth="1"/>
    <col min="4855" max="4855" width="19.42578125" style="958" customWidth="1"/>
    <col min="4856" max="4856" width="14.42578125" style="958" customWidth="1"/>
    <col min="4857" max="4857" width="9.42578125" style="958" customWidth="1"/>
    <col min="4858" max="4858" width="12.140625" style="958" customWidth="1"/>
    <col min="4859" max="4859" width="9.42578125" style="958" customWidth="1"/>
    <col min="4860" max="4860" width="5.28515625" style="958" customWidth="1"/>
    <col min="4861" max="4861" width="8.85546875" style="958" customWidth="1"/>
    <col min="4862" max="4862" width="9.42578125" style="958" customWidth="1"/>
    <col min="4863" max="4863" width="8.85546875" style="958" customWidth="1"/>
    <col min="4864" max="4864" width="9" style="958" customWidth="1"/>
    <col min="4865" max="4865" width="9.140625" style="958" customWidth="1"/>
    <col min="4866" max="4866" width="7.85546875" style="958" customWidth="1"/>
    <col min="4867" max="4867" width="10.28515625" style="958" customWidth="1"/>
    <col min="4868" max="4868" width="9.42578125" style="958" customWidth="1"/>
    <col min="4869" max="4869" width="8.85546875" style="958" customWidth="1"/>
    <col min="4870" max="4870" width="39.140625" style="958" customWidth="1"/>
    <col min="4871" max="4871" width="8.85546875" style="958"/>
    <col min="4872" max="4872" width="9" style="958" bestFit="1" customWidth="1"/>
    <col min="4873" max="5109" width="8.85546875" style="958"/>
    <col min="5110" max="5110" width="3.42578125" style="958" customWidth="1"/>
    <col min="5111" max="5111" width="19.42578125" style="958" customWidth="1"/>
    <col min="5112" max="5112" width="14.42578125" style="958" customWidth="1"/>
    <col min="5113" max="5113" width="9.42578125" style="958" customWidth="1"/>
    <col min="5114" max="5114" width="12.140625" style="958" customWidth="1"/>
    <col min="5115" max="5115" width="9.42578125" style="958" customWidth="1"/>
    <col min="5116" max="5116" width="5.28515625" style="958" customWidth="1"/>
    <col min="5117" max="5117" width="8.85546875" style="958" customWidth="1"/>
    <col min="5118" max="5118" width="9.42578125" style="958" customWidth="1"/>
    <col min="5119" max="5119" width="8.85546875" style="958" customWidth="1"/>
    <col min="5120" max="5120" width="9" style="958" customWidth="1"/>
    <col min="5121" max="5121" width="9.140625" style="958" customWidth="1"/>
    <col min="5122" max="5122" width="7.85546875" style="958" customWidth="1"/>
    <col min="5123" max="5123" width="10.28515625" style="958" customWidth="1"/>
    <col min="5124" max="5124" width="9.42578125" style="958" customWidth="1"/>
    <col min="5125" max="5125" width="8.85546875" style="958" customWidth="1"/>
    <col min="5126" max="5126" width="39.140625" style="958" customWidth="1"/>
    <col min="5127" max="5127" width="8.85546875" style="958"/>
    <col min="5128" max="5128" width="9" style="958" bestFit="1" customWidth="1"/>
    <col min="5129" max="5365" width="8.85546875" style="958"/>
    <col min="5366" max="5366" width="3.42578125" style="958" customWidth="1"/>
    <col min="5367" max="5367" width="19.42578125" style="958" customWidth="1"/>
    <col min="5368" max="5368" width="14.42578125" style="958" customWidth="1"/>
    <col min="5369" max="5369" width="9.42578125" style="958" customWidth="1"/>
    <col min="5370" max="5370" width="12.140625" style="958" customWidth="1"/>
    <col min="5371" max="5371" width="9.42578125" style="958" customWidth="1"/>
    <col min="5372" max="5372" width="5.28515625" style="958" customWidth="1"/>
    <col min="5373" max="5373" width="8.85546875" style="958" customWidth="1"/>
    <col min="5374" max="5374" width="9.42578125" style="958" customWidth="1"/>
    <col min="5375" max="5375" width="8.85546875" style="958" customWidth="1"/>
    <col min="5376" max="5376" width="9" style="958" customWidth="1"/>
    <col min="5377" max="5377" width="9.140625" style="958" customWidth="1"/>
    <col min="5378" max="5378" width="7.85546875" style="958" customWidth="1"/>
    <col min="5379" max="5379" width="10.28515625" style="958" customWidth="1"/>
    <col min="5380" max="5380" width="9.42578125" style="958" customWidth="1"/>
    <col min="5381" max="5381" width="8.85546875" style="958" customWidth="1"/>
    <col min="5382" max="5382" width="39.140625" style="958" customWidth="1"/>
    <col min="5383" max="5383" width="8.85546875" style="958"/>
    <col min="5384" max="5384" width="9" style="958" bestFit="1" customWidth="1"/>
    <col min="5385" max="5621" width="8.85546875" style="958"/>
    <col min="5622" max="5622" width="3.42578125" style="958" customWidth="1"/>
    <col min="5623" max="5623" width="19.42578125" style="958" customWidth="1"/>
    <col min="5624" max="5624" width="14.42578125" style="958" customWidth="1"/>
    <col min="5625" max="5625" width="9.42578125" style="958" customWidth="1"/>
    <col min="5626" max="5626" width="12.140625" style="958" customWidth="1"/>
    <col min="5627" max="5627" width="9.42578125" style="958" customWidth="1"/>
    <col min="5628" max="5628" width="5.28515625" style="958" customWidth="1"/>
    <col min="5629" max="5629" width="8.85546875" style="958" customWidth="1"/>
    <col min="5630" max="5630" width="9.42578125" style="958" customWidth="1"/>
    <col min="5631" max="5631" width="8.85546875" style="958" customWidth="1"/>
    <col min="5632" max="5632" width="9" style="958" customWidth="1"/>
    <col min="5633" max="5633" width="9.140625" style="958" customWidth="1"/>
    <col min="5634" max="5634" width="7.85546875" style="958" customWidth="1"/>
    <col min="5635" max="5635" width="10.28515625" style="958" customWidth="1"/>
    <col min="5636" max="5636" width="9.42578125" style="958" customWidth="1"/>
    <col min="5637" max="5637" width="8.85546875" style="958" customWidth="1"/>
    <col min="5638" max="5638" width="39.140625" style="958" customWidth="1"/>
    <col min="5639" max="5639" width="8.85546875" style="958"/>
    <col min="5640" max="5640" width="9" style="958" bestFit="1" customWidth="1"/>
    <col min="5641" max="5877" width="8.85546875" style="958"/>
    <col min="5878" max="5878" width="3.42578125" style="958" customWidth="1"/>
    <col min="5879" max="5879" width="19.42578125" style="958" customWidth="1"/>
    <col min="5880" max="5880" width="14.42578125" style="958" customWidth="1"/>
    <col min="5881" max="5881" width="9.42578125" style="958" customWidth="1"/>
    <col min="5882" max="5882" width="12.140625" style="958" customWidth="1"/>
    <col min="5883" max="5883" width="9.42578125" style="958" customWidth="1"/>
    <col min="5884" max="5884" width="5.28515625" style="958" customWidth="1"/>
    <col min="5885" max="5885" width="8.85546875" style="958" customWidth="1"/>
    <col min="5886" max="5886" width="9.42578125" style="958" customWidth="1"/>
    <col min="5887" max="5887" width="8.85546875" style="958" customWidth="1"/>
    <col min="5888" max="5888" width="9" style="958" customWidth="1"/>
    <col min="5889" max="5889" width="9.140625" style="958" customWidth="1"/>
    <col min="5890" max="5890" width="7.85546875" style="958" customWidth="1"/>
    <col min="5891" max="5891" width="10.28515625" style="958" customWidth="1"/>
    <col min="5892" max="5892" width="9.42578125" style="958" customWidth="1"/>
    <col min="5893" max="5893" width="8.85546875" style="958" customWidth="1"/>
    <col min="5894" max="5894" width="39.140625" style="958" customWidth="1"/>
    <col min="5895" max="5895" width="8.85546875" style="958"/>
    <col min="5896" max="5896" width="9" style="958" bestFit="1" customWidth="1"/>
    <col min="5897" max="6133" width="8.85546875" style="958"/>
    <col min="6134" max="6134" width="3.42578125" style="958" customWidth="1"/>
    <col min="6135" max="6135" width="19.42578125" style="958" customWidth="1"/>
    <col min="6136" max="6136" width="14.42578125" style="958" customWidth="1"/>
    <col min="6137" max="6137" width="9.42578125" style="958" customWidth="1"/>
    <col min="6138" max="6138" width="12.140625" style="958" customWidth="1"/>
    <col min="6139" max="6139" width="9.42578125" style="958" customWidth="1"/>
    <col min="6140" max="6140" width="5.28515625" style="958" customWidth="1"/>
    <col min="6141" max="6141" width="8.85546875" style="958" customWidth="1"/>
    <col min="6142" max="6142" width="9.42578125" style="958" customWidth="1"/>
    <col min="6143" max="6143" width="8.85546875" style="958" customWidth="1"/>
    <col min="6144" max="6144" width="9" style="958" customWidth="1"/>
    <col min="6145" max="6145" width="9.140625" style="958" customWidth="1"/>
    <col min="6146" max="6146" width="7.85546875" style="958" customWidth="1"/>
    <col min="6147" max="6147" width="10.28515625" style="958" customWidth="1"/>
    <col min="6148" max="6148" width="9.42578125" style="958" customWidth="1"/>
    <col min="6149" max="6149" width="8.85546875" style="958" customWidth="1"/>
    <col min="6150" max="6150" width="39.140625" style="958" customWidth="1"/>
    <col min="6151" max="6151" width="8.85546875" style="958"/>
    <col min="6152" max="6152" width="9" style="958" bestFit="1" customWidth="1"/>
    <col min="6153" max="6389" width="8.85546875" style="958"/>
    <col min="6390" max="6390" width="3.42578125" style="958" customWidth="1"/>
    <col min="6391" max="6391" width="19.42578125" style="958" customWidth="1"/>
    <col min="6392" max="6392" width="14.42578125" style="958" customWidth="1"/>
    <col min="6393" max="6393" width="9.42578125" style="958" customWidth="1"/>
    <col min="6394" max="6394" width="12.140625" style="958" customWidth="1"/>
    <col min="6395" max="6395" width="9.42578125" style="958" customWidth="1"/>
    <col min="6396" max="6396" width="5.28515625" style="958" customWidth="1"/>
    <col min="6397" max="6397" width="8.85546875" style="958" customWidth="1"/>
    <col min="6398" max="6398" width="9.42578125" style="958" customWidth="1"/>
    <col min="6399" max="6399" width="8.85546875" style="958" customWidth="1"/>
    <col min="6400" max="6400" width="9" style="958" customWidth="1"/>
    <col min="6401" max="6401" width="9.140625" style="958" customWidth="1"/>
    <col min="6402" max="6402" width="7.85546875" style="958" customWidth="1"/>
    <col min="6403" max="6403" width="10.28515625" style="958" customWidth="1"/>
    <col min="6404" max="6404" width="9.42578125" style="958" customWidth="1"/>
    <col min="6405" max="6405" width="8.85546875" style="958" customWidth="1"/>
    <col min="6406" max="6406" width="39.140625" style="958" customWidth="1"/>
    <col min="6407" max="6407" width="8.85546875" style="958"/>
    <col min="6408" max="6408" width="9" style="958" bestFit="1" customWidth="1"/>
    <col min="6409" max="6645" width="8.85546875" style="958"/>
    <col min="6646" max="6646" width="3.42578125" style="958" customWidth="1"/>
    <col min="6647" max="6647" width="19.42578125" style="958" customWidth="1"/>
    <col min="6648" max="6648" width="14.42578125" style="958" customWidth="1"/>
    <col min="6649" max="6649" width="9.42578125" style="958" customWidth="1"/>
    <col min="6650" max="6650" width="12.140625" style="958" customWidth="1"/>
    <col min="6651" max="6651" width="9.42578125" style="958" customWidth="1"/>
    <col min="6652" max="6652" width="5.28515625" style="958" customWidth="1"/>
    <col min="6653" max="6653" width="8.85546875" style="958" customWidth="1"/>
    <col min="6654" max="6654" width="9.42578125" style="958" customWidth="1"/>
    <col min="6655" max="6655" width="8.85546875" style="958" customWidth="1"/>
    <col min="6656" max="6656" width="9" style="958" customWidth="1"/>
    <col min="6657" max="6657" width="9.140625" style="958" customWidth="1"/>
    <col min="6658" max="6658" width="7.85546875" style="958" customWidth="1"/>
    <col min="6659" max="6659" width="10.28515625" style="958" customWidth="1"/>
    <col min="6660" max="6660" width="9.42578125" style="958" customWidth="1"/>
    <col min="6661" max="6661" width="8.85546875" style="958" customWidth="1"/>
    <col min="6662" max="6662" width="39.140625" style="958" customWidth="1"/>
    <col min="6663" max="6663" width="8.85546875" style="958"/>
    <col min="6664" max="6664" width="9" style="958" bestFit="1" customWidth="1"/>
    <col min="6665" max="6901" width="8.85546875" style="958"/>
    <col min="6902" max="6902" width="3.42578125" style="958" customWidth="1"/>
    <col min="6903" max="6903" width="19.42578125" style="958" customWidth="1"/>
    <col min="6904" max="6904" width="14.42578125" style="958" customWidth="1"/>
    <col min="6905" max="6905" width="9.42578125" style="958" customWidth="1"/>
    <col min="6906" max="6906" width="12.140625" style="958" customWidth="1"/>
    <col min="6907" max="6907" width="9.42578125" style="958" customWidth="1"/>
    <col min="6908" max="6908" width="5.28515625" style="958" customWidth="1"/>
    <col min="6909" max="6909" width="8.85546875" style="958" customWidth="1"/>
    <col min="6910" max="6910" width="9.42578125" style="958" customWidth="1"/>
    <col min="6911" max="6911" width="8.85546875" style="958" customWidth="1"/>
    <col min="6912" max="6912" width="9" style="958" customWidth="1"/>
    <col min="6913" max="6913" width="9.140625" style="958" customWidth="1"/>
    <col min="6914" max="6914" width="7.85546875" style="958" customWidth="1"/>
    <col min="6915" max="6915" width="10.28515625" style="958" customWidth="1"/>
    <col min="6916" max="6916" width="9.42578125" style="958" customWidth="1"/>
    <col min="6917" max="6917" width="8.85546875" style="958" customWidth="1"/>
    <col min="6918" max="6918" width="39.140625" style="958" customWidth="1"/>
    <col min="6919" max="6919" width="8.85546875" style="958"/>
    <col min="6920" max="6920" width="9" style="958" bestFit="1" customWidth="1"/>
    <col min="6921" max="7157" width="8.85546875" style="958"/>
    <col min="7158" max="7158" width="3.42578125" style="958" customWidth="1"/>
    <col min="7159" max="7159" width="19.42578125" style="958" customWidth="1"/>
    <col min="7160" max="7160" width="14.42578125" style="958" customWidth="1"/>
    <col min="7161" max="7161" width="9.42578125" style="958" customWidth="1"/>
    <col min="7162" max="7162" width="12.140625" style="958" customWidth="1"/>
    <col min="7163" max="7163" width="9.42578125" style="958" customWidth="1"/>
    <col min="7164" max="7164" width="5.28515625" style="958" customWidth="1"/>
    <col min="7165" max="7165" width="8.85546875" style="958" customWidth="1"/>
    <col min="7166" max="7166" width="9.42578125" style="958" customWidth="1"/>
    <col min="7167" max="7167" width="8.85546875" style="958" customWidth="1"/>
    <col min="7168" max="7168" width="9" style="958" customWidth="1"/>
    <col min="7169" max="7169" width="9.140625" style="958" customWidth="1"/>
    <col min="7170" max="7170" width="7.85546875" style="958" customWidth="1"/>
    <col min="7171" max="7171" width="10.28515625" style="958" customWidth="1"/>
    <col min="7172" max="7172" width="9.42578125" style="958" customWidth="1"/>
    <col min="7173" max="7173" width="8.85546875" style="958" customWidth="1"/>
    <col min="7174" max="7174" width="39.140625" style="958" customWidth="1"/>
    <col min="7175" max="7175" width="8.85546875" style="958"/>
    <col min="7176" max="7176" width="9" style="958" bestFit="1" customWidth="1"/>
    <col min="7177" max="7413" width="8.85546875" style="958"/>
    <col min="7414" max="7414" width="3.42578125" style="958" customWidth="1"/>
    <col min="7415" max="7415" width="19.42578125" style="958" customWidth="1"/>
    <col min="7416" max="7416" width="14.42578125" style="958" customWidth="1"/>
    <col min="7417" max="7417" width="9.42578125" style="958" customWidth="1"/>
    <col min="7418" max="7418" width="12.140625" style="958" customWidth="1"/>
    <col min="7419" max="7419" width="9.42578125" style="958" customWidth="1"/>
    <col min="7420" max="7420" width="5.28515625" style="958" customWidth="1"/>
    <col min="7421" max="7421" width="8.85546875" style="958" customWidth="1"/>
    <col min="7422" max="7422" width="9.42578125" style="958" customWidth="1"/>
    <col min="7423" max="7423" width="8.85546875" style="958" customWidth="1"/>
    <col min="7424" max="7424" width="9" style="958" customWidth="1"/>
    <col min="7425" max="7425" width="9.140625" style="958" customWidth="1"/>
    <col min="7426" max="7426" width="7.85546875" style="958" customWidth="1"/>
    <col min="7427" max="7427" width="10.28515625" style="958" customWidth="1"/>
    <col min="7428" max="7428" width="9.42578125" style="958" customWidth="1"/>
    <col min="7429" max="7429" width="8.85546875" style="958" customWidth="1"/>
    <col min="7430" max="7430" width="39.140625" style="958" customWidth="1"/>
    <col min="7431" max="7431" width="8.85546875" style="958"/>
    <col min="7432" max="7432" width="9" style="958" bestFit="1" customWidth="1"/>
    <col min="7433" max="7669" width="8.85546875" style="958"/>
    <col min="7670" max="7670" width="3.42578125" style="958" customWidth="1"/>
    <col min="7671" max="7671" width="19.42578125" style="958" customWidth="1"/>
    <col min="7672" max="7672" width="14.42578125" style="958" customWidth="1"/>
    <col min="7673" max="7673" width="9.42578125" style="958" customWidth="1"/>
    <col min="7674" max="7674" width="12.140625" style="958" customWidth="1"/>
    <col min="7675" max="7675" width="9.42578125" style="958" customWidth="1"/>
    <col min="7676" max="7676" width="5.28515625" style="958" customWidth="1"/>
    <col min="7677" max="7677" width="8.85546875" style="958" customWidth="1"/>
    <col min="7678" max="7678" width="9.42578125" style="958" customWidth="1"/>
    <col min="7679" max="7679" width="8.85546875" style="958" customWidth="1"/>
    <col min="7680" max="7680" width="9" style="958" customWidth="1"/>
    <col min="7681" max="7681" width="9.140625" style="958" customWidth="1"/>
    <col min="7682" max="7682" width="7.85546875" style="958" customWidth="1"/>
    <col min="7683" max="7683" width="10.28515625" style="958" customWidth="1"/>
    <col min="7684" max="7684" width="9.42578125" style="958" customWidth="1"/>
    <col min="7685" max="7685" width="8.85546875" style="958" customWidth="1"/>
    <col min="7686" max="7686" width="39.140625" style="958" customWidth="1"/>
    <col min="7687" max="7687" width="8.85546875" style="958"/>
    <col min="7688" max="7688" width="9" style="958" bestFit="1" customWidth="1"/>
    <col min="7689" max="7925" width="8.85546875" style="958"/>
    <col min="7926" max="7926" width="3.42578125" style="958" customWidth="1"/>
    <col min="7927" max="7927" width="19.42578125" style="958" customWidth="1"/>
    <col min="7928" max="7928" width="14.42578125" style="958" customWidth="1"/>
    <col min="7929" max="7929" width="9.42578125" style="958" customWidth="1"/>
    <col min="7930" max="7930" width="12.140625" style="958" customWidth="1"/>
    <col min="7931" max="7931" width="9.42578125" style="958" customWidth="1"/>
    <col min="7932" max="7932" width="5.28515625" style="958" customWidth="1"/>
    <col min="7933" max="7933" width="8.85546875" style="958" customWidth="1"/>
    <col min="7934" max="7934" width="9.42578125" style="958" customWidth="1"/>
    <col min="7935" max="7935" width="8.85546875" style="958" customWidth="1"/>
    <col min="7936" max="7936" width="9" style="958" customWidth="1"/>
    <col min="7937" max="7937" width="9.140625" style="958" customWidth="1"/>
    <col min="7938" max="7938" width="7.85546875" style="958" customWidth="1"/>
    <col min="7939" max="7939" width="10.28515625" style="958" customWidth="1"/>
    <col min="7940" max="7940" width="9.42578125" style="958" customWidth="1"/>
    <col min="7941" max="7941" width="8.85546875" style="958" customWidth="1"/>
    <col min="7942" max="7942" width="39.140625" style="958" customWidth="1"/>
    <col min="7943" max="7943" width="8.85546875" style="958"/>
    <col min="7944" max="7944" width="9" style="958" bestFit="1" customWidth="1"/>
    <col min="7945" max="8181" width="8.85546875" style="958"/>
    <col min="8182" max="8182" width="3.42578125" style="958" customWidth="1"/>
    <col min="8183" max="8183" width="19.42578125" style="958" customWidth="1"/>
    <col min="8184" max="8184" width="14.42578125" style="958" customWidth="1"/>
    <col min="8185" max="8185" width="9.42578125" style="958" customWidth="1"/>
    <col min="8186" max="8186" width="12.140625" style="958" customWidth="1"/>
    <col min="8187" max="8187" width="9.42578125" style="958" customWidth="1"/>
    <col min="8188" max="8188" width="5.28515625" style="958" customWidth="1"/>
    <col min="8189" max="8189" width="8.85546875" style="958" customWidth="1"/>
    <col min="8190" max="8190" width="9.42578125" style="958" customWidth="1"/>
    <col min="8191" max="8191" width="8.85546875" style="958" customWidth="1"/>
    <col min="8192" max="8192" width="9" style="958" customWidth="1"/>
    <col min="8193" max="8193" width="9.140625" style="958" customWidth="1"/>
    <col min="8194" max="8194" width="7.85546875" style="958" customWidth="1"/>
    <col min="8195" max="8195" width="10.28515625" style="958" customWidth="1"/>
    <col min="8196" max="8196" width="9.42578125" style="958" customWidth="1"/>
    <col min="8197" max="8197" width="8.85546875" style="958" customWidth="1"/>
    <col min="8198" max="8198" width="39.140625" style="958" customWidth="1"/>
    <col min="8199" max="8199" width="8.85546875" style="958"/>
    <col min="8200" max="8200" width="9" style="958" bestFit="1" customWidth="1"/>
    <col min="8201" max="8437" width="8.85546875" style="958"/>
    <col min="8438" max="8438" width="3.42578125" style="958" customWidth="1"/>
    <col min="8439" max="8439" width="19.42578125" style="958" customWidth="1"/>
    <col min="8440" max="8440" width="14.42578125" style="958" customWidth="1"/>
    <col min="8441" max="8441" width="9.42578125" style="958" customWidth="1"/>
    <col min="8442" max="8442" width="12.140625" style="958" customWidth="1"/>
    <col min="8443" max="8443" width="9.42578125" style="958" customWidth="1"/>
    <col min="8444" max="8444" width="5.28515625" style="958" customWidth="1"/>
    <col min="8445" max="8445" width="8.85546875" style="958" customWidth="1"/>
    <col min="8446" max="8446" width="9.42578125" style="958" customWidth="1"/>
    <col min="8447" max="8447" width="8.85546875" style="958" customWidth="1"/>
    <col min="8448" max="8448" width="9" style="958" customWidth="1"/>
    <col min="8449" max="8449" width="9.140625" style="958" customWidth="1"/>
    <col min="8450" max="8450" width="7.85546875" style="958" customWidth="1"/>
    <col min="8451" max="8451" width="10.28515625" style="958" customWidth="1"/>
    <col min="8452" max="8452" width="9.42578125" style="958" customWidth="1"/>
    <col min="8453" max="8453" width="8.85546875" style="958" customWidth="1"/>
    <col min="8454" max="8454" width="39.140625" style="958" customWidth="1"/>
    <col min="8455" max="8455" width="8.85546875" style="958"/>
    <col min="8456" max="8456" width="9" style="958" bestFit="1" customWidth="1"/>
    <col min="8457" max="8693" width="8.85546875" style="958"/>
    <col min="8694" max="8694" width="3.42578125" style="958" customWidth="1"/>
    <col min="8695" max="8695" width="19.42578125" style="958" customWidth="1"/>
    <col min="8696" max="8696" width="14.42578125" style="958" customWidth="1"/>
    <col min="8697" max="8697" width="9.42578125" style="958" customWidth="1"/>
    <col min="8698" max="8698" width="12.140625" style="958" customWidth="1"/>
    <col min="8699" max="8699" width="9.42578125" style="958" customWidth="1"/>
    <col min="8700" max="8700" width="5.28515625" style="958" customWidth="1"/>
    <col min="8701" max="8701" width="8.85546875" style="958" customWidth="1"/>
    <col min="8702" max="8702" width="9.42578125" style="958" customWidth="1"/>
    <col min="8703" max="8703" width="8.85546875" style="958" customWidth="1"/>
    <col min="8704" max="8704" width="9" style="958" customWidth="1"/>
    <col min="8705" max="8705" width="9.140625" style="958" customWidth="1"/>
    <col min="8706" max="8706" width="7.85546875" style="958" customWidth="1"/>
    <col min="8707" max="8707" width="10.28515625" style="958" customWidth="1"/>
    <col min="8708" max="8708" width="9.42578125" style="958" customWidth="1"/>
    <col min="8709" max="8709" width="8.85546875" style="958" customWidth="1"/>
    <col min="8710" max="8710" width="39.140625" style="958" customWidth="1"/>
    <col min="8711" max="8711" width="8.85546875" style="958"/>
    <col min="8712" max="8712" width="9" style="958" bestFit="1" customWidth="1"/>
    <col min="8713" max="8949" width="8.85546875" style="958"/>
    <col min="8950" max="8950" width="3.42578125" style="958" customWidth="1"/>
    <col min="8951" max="8951" width="19.42578125" style="958" customWidth="1"/>
    <col min="8952" max="8952" width="14.42578125" style="958" customWidth="1"/>
    <col min="8953" max="8953" width="9.42578125" style="958" customWidth="1"/>
    <col min="8954" max="8954" width="12.140625" style="958" customWidth="1"/>
    <col min="8955" max="8955" width="9.42578125" style="958" customWidth="1"/>
    <col min="8956" max="8956" width="5.28515625" style="958" customWidth="1"/>
    <col min="8957" max="8957" width="8.85546875" style="958" customWidth="1"/>
    <col min="8958" max="8958" width="9.42578125" style="958" customWidth="1"/>
    <col min="8959" max="8959" width="8.85546875" style="958" customWidth="1"/>
    <col min="8960" max="8960" width="9" style="958" customWidth="1"/>
    <col min="8961" max="8961" width="9.140625" style="958" customWidth="1"/>
    <col min="8962" max="8962" width="7.85546875" style="958" customWidth="1"/>
    <col min="8963" max="8963" width="10.28515625" style="958" customWidth="1"/>
    <col min="8964" max="8964" width="9.42578125" style="958" customWidth="1"/>
    <col min="8965" max="8965" width="8.85546875" style="958" customWidth="1"/>
    <col min="8966" max="8966" width="39.140625" style="958" customWidth="1"/>
    <col min="8967" max="8967" width="8.85546875" style="958"/>
    <col min="8968" max="8968" width="9" style="958" bestFit="1" customWidth="1"/>
    <col min="8969" max="9205" width="8.85546875" style="958"/>
    <col min="9206" max="9206" width="3.42578125" style="958" customWidth="1"/>
    <col min="9207" max="9207" width="19.42578125" style="958" customWidth="1"/>
    <col min="9208" max="9208" width="14.42578125" style="958" customWidth="1"/>
    <col min="9209" max="9209" width="9.42578125" style="958" customWidth="1"/>
    <col min="9210" max="9210" width="12.140625" style="958" customWidth="1"/>
    <col min="9211" max="9211" width="9.42578125" style="958" customWidth="1"/>
    <col min="9212" max="9212" width="5.28515625" style="958" customWidth="1"/>
    <col min="9213" max="9213" width="8.85546875" style="958" customWidth="1"/>
    <col min="9214" max="9214" width="9.42578125" style="958" customWidth="1"/>
    <col min="9215" max="9215" width="8.85546875" style="958" customWidth="1"/>
    <col min="9216" max="9216" width="9" style="958" customWidth="1"/>
    <col min="9217" max="9217" width="9.140625" style="958" customWidth="1"/>
    <col min="9218" max="9218" width="7.85546875" style="958" customWidth="1"/>
    <col min="9219" max="9219" width="10.28515625" style="958" customWidth="1"/>
    <col min="9220" max="9220" width="9.42578125" style="958" customWidth="1"/>
    <col min="9221" max="9221" width="8.85546875" style="958" customWidth="1"/>
    <col min="9222" max="9222" width="39.140625" style="958" customWidth="1"/>
    <col min="9223" max="9223" width="8.85546875" style="958"/>
    <col min="9224" max="9224" width="9" style="958" bestFit="1" customWidth="1"/>
    <col min="9225" max="9461" width="8.85546875" style="958"/>
    <col min="9462" max="9462" width="3.42578125" style="958" customWidth="1"/>
    <col min="9463" max="9463" width="19.42578125" style="958" customWidth="1"/>
    <col min="9464" max="9464" width="14.42578125" style="958" customWidth="1"/>
    <col min="9465" max="9465" width="9.42578125" style="958" customWidth="1"/>
    <col min="9466" max="9466" width="12.140625" style="958" customWidth="1"/>
    <col min="9467" max="9467" width="9.42578125" style="958" customWidth="1"/>
    <col min="9468" max="9468" width="5.28515625" style="958" customWidth="1"/>
    <col min="9469" max="9469" width="8.85546875" style="958" customWidth="1"/>
    <col min="9470" max="9470" width="9.42578125" style="958" customWidth="1"/>
    <col min="9471" max="9471" width="8.85546875" style="958" customWidth="1"/>
    <col min="9472" max="9472" width="9" style="958" customWidth="1"/>
    <col min="9473" max="9473" width="9.140625" style="958" customWidth="1"/>
    <col min="9474" max="9474" width="7.85546875" style="958" customWidth="1"/>
    <col min="9475" max="9475" width="10.28515625" style="958" customWidth="1"/>
    <col min="9476" max="9476" width="9.42578125" style="958" customWidth="1"/>
    <col min="9477" max="9477" width="8.85546875" style="958" customWidth="1"/>
    <col min="9478" max="9478" width="39.140625" style="958" customWidth="1"/>
    <col min="9479" max="9479" width="8.85546875" style="958"/>
    <col min="9480" max="9480" width="9" style="958" bestFit="1" customWidth="1"/>
    <col min="9481" max="9717" width="8.85546875" style="958"/>
    <col min="9718" max="9718" width="3.42578125" style="958" customWidth="1"/>
    <col min="9719" max="9719" width="19.42578125" style="958" customWidth="1"/>
    <col min="9720" max="9720" width="14.42578125" style="958" customWidth="1"/>
    <col min="9721" max="9721" width="9.42578125" style="958" customWidth="1"/>
    <col min="9722" max="9722" width="12.140625" style="958" customWidth="1"/>
    <col min="9723" max="9723" width="9.42578125" style="958" customWidth="1"/>
    <col min="9724" max="9724" width="5.28515625" style="958" customWidth="1"/>
    <col min="9725" max="9725" width="8.85546875" style="958" customWidth="1"/>
    <col min="9726" max="9726" width="9.42578125" style="958" customWidth="1"/>
    <col min="9727" max="9727" width="8.85546875" style="958" customWidth="1"/>
    <col min="9728" max="9728" width="9" style="958" customWidth="1"/>
    <col min="9729" max="9729" width="9.140625" style="958" customWidth="1"/>
    <col min="9730" max="9730" width="7.85546875" style="958" customWidth="1"/>
    <col min="9731" max="9731" width="10.28515625" style="958" customWidth="1"/>
    <col min="9732" max="9732" width="9.42578125" style="958" customWidth="1"/>
    <col min="9733" max="9733" width="8.85546875" style="958" customWidth="1"/>
    <col min="9734" max="9734" width="39.140625" style="958" customWidth="1"/>
    <col min="9735" max="9735" width="8.85546875" style="958"/>
    <col min="9736" max="9736" width="9" style="958" bestFit="1" customWidth="1"/>
    <col min="9737" max="9973" width="8.85546875" style="958"/>
    <col min="9974" max="9974" width="3.42578125" style="958" customWidth="1"/>
    <col min="9975" max="9975" width="19.42578125" style="958" customWidth="1"/>
    <col min="9976" max="9976" width="14.42578125" style="958" customWidth="1"/>
    <col min="9977" max="9977" width="9.42578125" style="958" customWidth="1"/>
    <col min="9978" max="9978" width="12.140625" style="958" customWidth="1"/>
    <col min="9979" max="9979" width="9.42578125" style="958" customWidth="1"/>
    <col min="9980" max="9980" width="5.28515625" style="958" customWidth="1"/>
    <col min="9981" max="9981" width="8.85546875" style="958" customWidth="1"/>
    <col min="9982" max="9982" width="9.42578125" style="958" customWidth="1"/>
    <col min="9983" max="9983" width="8.85546875" style="958" customWidth="1"/>
    <col min="9984" max="9984" width="9" style="958" customWidth="1"/>
    <col min="9985" max="9985" width="9.140625" style="958" customWidth="1"/>
    <col min="9986" max="9986" width="7.85546875" style="958" customWidth="1"/>
    <col min="9987" max="9987" width="10.28515625" style="958" customWidth="1"/>
    <col min="9988" max="9988" width="9.42578125" style="958" customWidth="1"/>
    <col min="9989" max="9989" width="8.85546875" style="958" customWidth="1"/>
    <col min="9990" max="9990" width="39.140625" style="958" customWidth="1"/>
    <col min="9991" max="9991" width="8.85546875" style="958"/>
    <col min="9992" max="9992" width="9" style="958" bestFit="1" customWidth="1"/>
    <col min="9993" max="10229" width="8.85546875" style="958"/>
    <col min="10230" max="10230" width="3.42578125" style="958" customWidth="1"/>
    <col min="10231" max="10231" width="19.42578125" style="958" customWidth="1"/>
    <col min="10232" max="10232" width="14.42578125" style="958" customWidth="1"/>
    <col min="10233" max="10233" width="9.42578125" style="958" customWidth="1"/>
    <col min="10234" max="10234" width="12.140625" style="958" customWidth="1"/>
    <col min="10235" max="10235" width="9.42578125" style="958" customWidth="1"/>
    <col min="10236" max="10236" width="5.28515625" style="958" customWidth="1"/>
    <col min="10237" max="10237" width="8.85546875" style="958" customWidth="1"/>
    <col min="10238" max="10238" width="9.42578125" style="958" customWidth="1"/>
    <col min="10239" max="10239" width="8.85546875" style="958" customWidth="1"/>
    <col min="10240" max="10240" width="9" style="958" customWidth="1"/>
    <col min="10241" max="10241" width="9.140625" style="958" customWidth="1"/>
    <col min="10242" max="10242" width="7.85546875" style="958" customWidth="1"/>
    <col min="10243" max="10243" width="10.28515625" style="958" customWidth="1"/>
    <col min="10244" max="10244" width="9.42578125" style="958" customWidth="1"/>
    <col min="10245" max="10245" width="8.85546875" style="958" customWidth="1"/>
    <col min="10246" max="10246" width="39.140625" style="958" customWidth="1"/>
    <col min="10247" max="10247" width="8.85546875" style="958"/>
    <col min="10248" max="10248" width="9" style="958" bestFit="1" customWidth="1"/>
    <col min="10249" max="10485" width="8.85546875" style="958"/>
    <col min="10486" max="10486" width="3.42578125" style="958" customWidth="1"/>
    <col min="10487" max="10487" width="19.42578125" style="958" customWidth="1"/>
    <col min="10488" max="10488" width="14.42578125" style="958" customWidth="1"/>
    <col min="10489" max="10489" width="9.42578125" style="958" customWidth="1"/>
    <col min="10490" max="10490" width="12.140625" style="958" customWidth="1"/>
    <col min="10491" max="10491" width="9.42578125" style="958" customWidth="1"/>
    <col min="10492" max="10492" width="5.28515625" style="958" customWidth="1"/>
    <col min="10493" max="10493" width="8.85546875" style="958" customWidth="1"/>
    <col min="10494" max="10494" width="9.42578125" style="958" customWidth="1"/>
    <col min="10495" max="10495" width="8.85546875" style="958" customWidth="1"/>
    <col min="10496" max="10496" width="9" style="958" customWidth="1"/>
    <col min="10497" max="10497" width="9.140625" style="958" customWidth="1"/>
    <col min="10498" max="10498" width="7.85546875" style="958" customWidth="1"/>
    <col min="10499" max="10499" width="10.28515625" style="958" customWidth="1"/>
    <col min="10500" max="10500" width="9.42578125" style="958" customWidth="1"/>
    <col min="10501" max="10501" width="8.85546875" style="958" customWidth="1"/>
    <col min="10502" max="10502" width="39.140625" style="958" customWidth="1"/>
    <col min="10503" max="10503" width="8.85546875" style="958"/>
    <col min="10504" max="10504" width="9" style="958" bestFit="1" customWidth="1"/>
    <col min="10505" max="10741" width="8.85546875" style="958"/>
    <col min="10742" max="10742" width="3.42578125" style="958" customWidth="1"/>
    <col min="10743" max="10743" width="19.42578125" style="958" customWidth="1"/>
    <col min="10744" max="10744" width="14.42578125" style="958" customWidth="1"/>
    <col min="10745" max="10745" width="9.42578125" style="958" customWidth="1"/>
    <col min="10746" max="10746" width="12.140625" style="958" customWidth="1"/>
    <col min="10747" max="10747" width="9.42578125" style="958" customWidth="1"/>
    <col min="10748" max="10748" width="5.28515625" style="958" customWidth="1"/>
    <col min="10749" max="10749" width="8.85546875" style="958" customWidth="1"/>
    <col min="10750" max="10750" width="9.42578125" style="958" customWidth="1"/>
    <col min="10751" max="10751" width="8.85546875" style="958" customWidth="1"/>
    <col min="10752" max="10752" width="9" style="958" customWidth="1"/>
    <col min="10753" max="10753" width="9.140625" style="958" customWidth="1"/>
    <col min="10754" max="10754" width="7.85546875" style="958" customWidth="1"/>
    <col min="10755" max="10755" width="10.28515625" style="958" customWidth="1"/>
    <col min="10756" max="10756" width="9.42578125" style="958" customWidth="1"/>
    <col min="10757" max="10757" width="8.85546875" style="958" customWidth="1"/>
    <col min="10758" max="10758" width="39.140625" style="958" customWidth="1"/>
    <col min="10759" max="10759" width="8.85546875" style="958"/>
    <col min="10760" max="10760" width="9" style="958" bestFit="1" customWidth="1"/>
    <col min="10761" max="10997" width="8.85546875" style="958"/>
    <col min="10998" max="10998" width="3.42578125" style="958" customWidth="1"/>
    <col min="10999" max="10999" width="19.42578125" style="958" customWidth="1"/>
    <col min="11000" max="11000" width="14.42578125" style="958" customWidth="1"/>
    <col min="11001" max="11001" width="9.42578125" style="958" customWidth="1"/>
    <col min="11002" max="11002" width="12.140625" style="958" customWidth="1"/>
    <col min="11003" max="11003" width="9.42578125" style="958" customWidth="1"/>
    <col min="11004" max="11004" width="5.28515625" style="958" customWidth="1"/>
    <col min="11005" max="11005" width="8.85546875" style="958" customWidth="1"/>
    <col min="11006" max="11006" width="9.42578125" style="958" customWidth="1"/>
    <col min="11007" max="11007" width="8.85546875" style="958" customWidth="1"/>
    <col min="11008" max="11008" width="9" style="958" customWidth="1"/>
    <col min="11009" max="11009" width="9.140625" style="958" customWidth="1"/>
    <col min="11010" max="11010" width="7.85546875" style="958" customWidth="1"/>
    <col min="11011" max="11011" width="10.28515625" style="958" customWidth="1"/>
    <col min="11012" max="11012" width="9.42578125" style="958" customWidth="1"/>
    <col min="11013" max="11013" width="8.85546875" style="958" customWidth="1"/>
    <col min="11014" max="11014" width="39.140625" style="958" customWidth="1"/>
    <col min="11015" max="11015" width="8.85546875" style="958"/>
    <col min="11016" max="11016" width="9" style="958" bestFit="1" customWidth="1"/>
    <col min="11017" max="11253" width="8.85546875" style="958"/>
    <col min="11254" max="11254" width="3.42578125" style="958" customWidth="1"/>
    <col min="11255" max="11255" width="19.42578125" style="958" customWidth="1"/>
    <col min="11256" max="11256" width="14.42578125" style="958" customWidth="1"/>
    <col min="11257" max="11257" width="9.42578125" style="958" customWidth="1"/>
    <col min="11258" max="11258" width="12.140625" style="958" customWidth="1"/>
    <col min="11259" max="11259" width="9.42578125" style="958" customWidth="1"/>
    <col min="11260" max="11260" width="5.28515625" style="958" customWidth="1"/>
    <col min="11261" max="11261" width="8.85546875" style="958" customWidth="1"/>
    <col min="11262" max="11262" width="9.42578125" style="958" customWidth="1"/>
    <col min="11263" max="11263" width="8.85546875" style="958" customWidth="1"/>
    <col min="11264" max="11264" width="9" style="958" customWidth="1"/>
    <col min="11265" max="11265" width="9.140625" style="958" customWidth="1"/>
    <col min="11266" max="11266" width="7.85546875" style="958" customWidth="1"/>
    <col min="11267" max="11267" width="10.28515625" style="958" customWidth="1"/>
    <col min="11268" max="11268" width="9.42578125" style="958" customWidth="1"/>
    <col min="11269" max="11269" width="8.85546875" style="958" customWidth="1"/>
    <col min="11270" max="11270" width="39.140625" style="958" customWidth="1"/>
    <col min="11271" max="11271" width="8.85546875" style="958"/>
    <col min="11272" max="11272" width="9" style="958" bestFit="1" customWidth="1"/>
    <col min="11273" max="11509" width="8.85546875" style="958"/>
    <col min="11510" max="11510" width="3.42578125" style="958" customWidth="1"/>
    <col min="11511" max="11511" width="19.42578125" style="958" customWidth="1"/>
    <col min="11512" max="11512" width="14.42578125" style="958" customWidth="1"/>
    <col min="11513" max="11513" width="9.42578125" style="958" customWidth="1"/>
    <col min="11514" max="11514" width="12.140625" style="958" customWidth="1"/>
    <col min="11515" max="11515" width="9.42578125" style="958" customWidth="1"/>
    <col min="11516" max="11516" width="5.28515625" style="958" customWidth="1"/>
    <col min="11517" max="11517" width="8.85546875" style="958" customWidth="1"/>
    <col min="11518" max="11518" width="9.42578125" style="958" customWidth="1"/>
    <col min="11519" max="11519" width="8.85546875" style="958" customWidth="1"/>
    <col min="11520" max="11520" width="9" style="958" customWidth="1"/>
    <col min="11521" max="11521" width="9.140625" style="958" customWidth="1"/>
    <col min="11522" max="11522" width="7.85546875" style="958" customWidth="1"/>
    <col min="11523" max="11523" width="10.28515625" style="958" customWidth="1"/>
    <col min="11524" max="11524" width="9.42578125" style="958" customWidth="1"/>
    <col min="11525" max="11525" width="8.85546875" style="958" customWidth="1"/>
    <col min="11526" max="11526" width="39.140625" style="958" customWidth="1"/>
    <col min="11527" max="11527" width="8.85546875" style="958"/>
    <col min="11528" max="11528" width="9" style="958" bestFit="1" customWidth="1"/>
    <col min="11529" max="11765" width="8.85546875" style="958"/>
    <col min="11766" max="11766" width="3.42578125" style="958" customWidth="1"/>
    <col min="11767" max="11767" width="19.42578125" style="958" customWidth="1"/>
    <col min="11768" max="11768" width="14.42578125" style="958" customWidth="1"/>
    <col min="11769" max="11769" width="9.42578125" style="958" customWidth="1"/>
    <col min="11770" max="11770" width="12.140625" style="958" customWidth="1"/>
    <col min="11771" max="11771" width="9.42578125" style="958" customWidth="1"/>
    <col min="11772" max="11772" width="5.28515625" style="958" customWidth="1"/>
    <col min="11773" max="11773" width="8.85546875" style="958" customWidth="1"/>
    <col min="11774" max="11774" width="9.42578125" style="958" customWidth="1"/>
    <col min="11775" max="11775" width="8.85546875" style="958" customWidth="1"/>
    <col min="11776" max="11776" width="9" style="958" customWidth="1"/>
    <col min="11777" max="11777" width="9.140625" style="958" customWidth="1"/>
    <col min="11778" max="11778" width="7.85546875" style="958" customWidth="1"/>
    <col min="11779" max="11779" width="10.28515625" style="958" customWidth="1"/>
    <col min="11780" max="11780" width="9.42578125" style="958" customWidth="1"/>
    <col min="11781" max="11781" width="8.85546875" style="958" customWidth="1"/>
    <col min="11782" max="11782" width="39.140625" style="958" customWidth="1"/>
    <col min="11783" max="11783" width="8.85546875" style="958"/>
    <col min="11784" max="11784" width="9" style="958" bestFit="1" customWidth="1"/>
    <col min="11785" max="12021" width="8.85546875" style="958"/>
    <col min="12022" max="12022" width="3.42578125" style="958" customWidth="1"/>
    <col min="12023" max="12023" width="19.42578125" style="958" customWidth="1"/>
    <col min="12024" max="12024" width="14.42578125" style="958" customWidth="1"/>
    <col min="12025" max="12025" width="9.42578125" style="958" customWidth="1"/>
    <col min="12026" max="12026" width="12.140625" style="958" customWidth="1"/>
    <col min="12027" max="12027" width="9.42578125" style="958" customWidth="1"/>
    <col min="12028" max="12028" width="5.28515625" style="958" customWidth="1"/>
    <col min="12029" max="12029" width="8.85546875" style="958" customWidth="1"/>
    <col min="12030" max="12030" width="9.42578125" style="958" customWidth="1"/>
    <col min="12031" max="12031" width="8.85546875" style="958" customWidth="1"/>
    <col min="12032" max="12032" width="9" style="958" customWidth="1"/>
    <col min="12033" max="12033" width="9.140625" style="958" customWidth="1"/>
    <col min="12034" max="12034" width="7.85546875" style="958" customWidth="1"/>
    <col min="12035" max="12035" width="10.28515625" style="958" customWidth="1"/>
    <col min="12036" max="12036" width="9.42578125" style="958" customWidth="1"/>
    <col min="12037" max="12037" width="8.85546875" style="958" customWidth="1"/>
    <col min="12038" max="12038" width="39.140625" style="958" customWidth="1"/>
    <col min="12039" max="12039" width="8.85546875" style="958"/>
    <col min="12040" max="12040" width="9" style="958" bestFit="1" customWidth="1"/>
    <col min="12041" max="12277" width="8.85546875" style="958"/>
    <col min="12278" max="12278" width="3.42578125" style="958" customWidth="1"/>
    <col min="12279" max="12279" width="19.42578125" style="958" customWidth="1"/>
    <col min="12280" max="12280" width="14.42578125" style="958" customWidth="1"/>
    <col min="12281" max="12281" width="9.42578125" style="958" customWidth="1"/>
    <col min="12282" max="12282" width="12.140625" style="958" customWidth="1"/>
    <col min="12283" max="12283" width="9.42578125" style="958" customWidth="1"/>
    <col min="12284" max="12284" width="5.28515625" style="958" customWidth="1"/>
    <col min="12285" max="12285" width="8.85546875" style="958" customWidth="1"/>
    <col min="12286" max="12286" width="9.42578125" style="958" customWidth="1"/>
    <col min="12287" max="12287" width="8.85546875" style="958" customWidth="1"/>
    <col min="12288" max="12288" width="9" style="958" customWidth="1"/>
    <col min="12289" max="12289" width="9.140625" style="958" customWidth="1"/>
    <col min="12290" max="12290" width="7.85546875" style="958" customWidth="1"/>
    <col min="12291" max="12291" width="10.28515625" style="958" customWidth="1"/>
    <col min="12292" max="12292" width="9.42578125" style="958" customWidth="1"/>
    <col min="12293" max="12293" width="8.85546875" style="958" customWidth="1"/>
    <col min="12294" max="12294" width="39.140625" style="958" customWidth="1"/>
    <col min="12295" max="12295" width="8.85546875" style="958"/>
    <col min="12296" max="12296" width="9" style="958" bestFit="1" customWidth="1"/>
    <col min="12297" max="12533" width="8.85546875" style="958"/>
    <col min="12534" max="12534" width="3.42578125" style="958" customWidth="1"/>
    <col min="12535" max="12535" width="19.42578125" style="958" customWidth="1"/>
    <col min="12536" max="12536" width="14.42578125" style="958" customWidth="1"/>
    <col min="12537" max="12537" width="9.42578125" style="958" customWidth="1"/>
    <col min="12538" max="12538" width="12.140625" style="958" customWidth="1"/>
    <col min="12539" max="12539" width="9.42578125" style="958" customWidth="1"/>
    <col min="12540" max="12540" width="5.28515625" style="958" customWidth="1"/>
    <col min="12541" max="12541" width="8.85546875" style="958" customWidth="1"/>
    <col min="12542" max="12542" width="9.42578125" style="958" customWidth="1"/>
    <col min="12543" max="12543" width="8.85546875" style="958" customWidth="1"/>
    <col min="12544" max="12544" width="9" style="958" customWidth="1"/>
    <col min="12545" max="12545" width="9.140625" style="958" customWidth="1"/>
    <col min="12546" max="12546" width="7.85546875" style="958" customWidth="1"/>
    <col min="12547" max="12547" width="10.28515625" style="958" customWidth="1"/>
    <col min="12548" max="12548" width="9.42578125" style="958" customWidth="1"/>
    <col min="12549" max="12549" width="8.85546875" style="958" customWidth="1"/>
    <col min="12550" max="12550" width="39.140625" style="958" customWidth="1"/>
    <col min="12551" max="12551" width="8.85546875" style="958"/>
    <col min="12552" max="12552" width="9" style="958" bestFit="1" customWidth="1"/>
    <col min="12553" max="12789" width="8.85546875" style="958"/>
    <col min="12790" max="12790" width="3.42578125" style="958" customWidth="1"/>
    <col min="12791" max="12791" width="19.42578125" style="958" customWidth="1"/>
    <col min="12792" max="12792" width="14.42578125" style="958" customWidth="1"/>
    <col min="12793" max="12793" width="9.42578125" style="958" customWidth="1"/>
    <col min="12794" max="12794" width="12.140625" style="958" customWidth="1"/>
    <col min="12795" max="12795" width="9.42578125" style="958" customWidth="1"/>
    <col min="12796" max="12796" width="5.28515625" style="958" customWidth="1"/>
    <col min="12797" max="12797" width="8.85546875" style="958" customWidth="1"/>
    <col min="12798" max="12798" width="9.42578125" style="958" customWidth="1"/>
    <col min="12799" max="12799" width="8.85546875" style="958" customWidth="1"/>
    <col min="12800" max="12800" width="9" style="958" customWidth="1"/>
    <col min="12801" max="12801" width="9.140625" style="958" customWidth="1"/>
    <col min="12802" max="12802" width="7.85546875" style="958" customWidth="1"/>
    <col min="12803" max="12803" width="10.28515625" style="958" customWidth="1"/>
    <col min="12804" max="12804" width="9.42578125" style="958" customWidth="1"/>
    <col min="12805" max="12805" width="8.85546875" style="958" customWidth="1"/>
    <col min="12806" max="12806" width="39.140625" style="958" customWidth="1"/>
    <col min="12807" max="12807" width="8.85546875" style="958"/>
    <col min="12808" max="12808" width="9" style="958" bestFit="1" customWidth="1"/>
    <col min="12809" max="13045" width="8.85546875" style="958"/>
    <col min="13046" max="13046" width="3.42578125" style="958" customWidth="1"/>
    <col min="13047" max="13047" width="19.42578125" style="958" customWidth="1"/>
    <col min="13048" max="13048" width="14.42578125" style="958" customWidth="1"/>
    <col min="13049" max="13049" width="9.42578125" style="958" customWidth="1"/>
    <col min="13050" max="13050" width="12.140625" style="958" customWidth="1"/>
    <col min="13051" max="13051" width="9.42578125" style="958" customWidth="1"/>
    <col min="13052" max="13052" width="5.28515625" style="958" customWidth="1"/>
    <col min="13053" max="13053" width="8.85546875" style="958" customWidth="1"/>
    <col min="13054" max="13054" width="9.42578125" style="958" customWidth="1"/>
    <col min="13055" max="13055" width="8.85546875" style="958" customWidth="1"/>
    <col min="13056" max="13056" width="9" style="958" customWidth="1"/>
    <col min="13057" max="13057" width="9.140625" style="958" customWidth="1"/>
    <col min="13058" max="13058" width="7.85546875" style="958" customWidth="1"/>
    <col min="13059" max="13059" width="10.28515625" style="958" customWidth="1"/>
    <col min="13060" max="13060" width="9.42578125" style="958" customWidth="1"/>
    <col min="13061" max="13061" width="8.85546875" style="958" customWidth="1"/>
    <col min="13062" max="13062" width="39.140625" style="958" customWidth="1"/>
    <col min="13063" max="13063" width="8.85546875" style="958"/>
    <col min="13064" max="13064" width="9" style="958" bestFit="1" customWidth="1"/>
    <col min="13065" max="13301" width="8.85546875" style="958"/>
    <col min="13302" max="13302" width="3.42578125" style="958" customWidth="1"/>
    <col min="13303" max="13303" width="19.42578125" style="958" customWidth="1"/>
    <col min="13304" max="13304" width="14.42578125" style="958" customWidth="1"/>
    <col min="13305" max="13305" width="9.42578125" style="958" customWidth="1"/>
    <col min="13306" max="13306" width="12.140625" style="958" customWidth="1"/>
    <col min="13307" max="13307" width="9.42578125" style="958" customWidth="1"/>
    <col min="13308" max="13308" width="5.28515625" style="958" customWidth="1"/>
    <col min="13309" max="13309" width="8.85546875" style="958" customWidth="1"/>
    <col min="13310" max="13310" width="9.42578125" style="958" customWidth="1"/>
    <col min="13311" max="13311" width="8.85546875" style="958" customWidth="1"/>
    <col min="13312" max="13312" width="9" style="958" customWidth="1"/>
    <col min="13313" max="13313" width="9.140625" style="958" customWidth="1"/>
    <col min="13314" max="13314" width="7.85546875" style="958" customWidth="1"/>
    <col min="13315" max="13315" width="10.28515625" style="958" customWidth="1"/>
    <col min="13316" max="13316" width="9.42578125" style="958" customWidth="1"/>
    <col min="13317" max="13317" width="8.85546875" style="958" customWidth="1"/>
    <col min="13318" max="13318" width="39.140625" style="958" customWidth="1"/>
    <col min="13319" max="13319" width="8.85546875" style="958"/>
    <col min="13320" max="13320" width="9" style="958" bestFit="1" customWidth="1"/>
    <col min="13321" max="13557" width="8.85546875" style="958"/>
    <col min="13558" max="13558" width="3.42578125" style="958" customWidth="1"/>
    <col min="13559" max="13559" width="19.42578125" style="958" customWidth="1"/>
    <col min="13560" max="13560" width="14.42578125" style="958" customWidth="1"/>
    <col min="13561" max="13561" width="9.42578125" style="958" customWidth="1"/>
    <col min="13562" max="13562" width="12.140625" style="958" customWidth="1"/>
    <col min="13563" max="13563" width="9.42578125" style="958" customWidth="1"/>
    <col min="13564" max="13564" width="5.28515625" style="958" customWidth="1"/>
    <col min="13565" max="13565" width="8.85546875" style="958" customWidth="1"/>
    <col min="13566" max="13566" width="9.42578125" style="958" customWidth="1"/>
    <col min="13567" max="13567" width="8.85546875" style="958" customWidth="1"/>
    <col min="13568" max="13568" width="9" style="958" customWidth="1"/>
    <col min="13569" max="13569" width="9.140625" style="958" customWidth="1"/>
    <col min="13570" max="13570" width="7.85546875" style="958" customWidth="1"/>
    <col min="13571" max="13571" width="10.28515625" style="958" customWidth="1"/>
    <col min="13572" max="13572" width="9.42578125" style="958" customWidth="1"/>
    <col min="13573" max="13573" width="8.85546875" style="958" customWidth="1"/>
    <col min="13574" max="13574" width="39.140625" style="958" customWidth="1"/>
    <col min="13575" max="13575" width="8.85546875" style="958"/>
    <col min="13576" max="13576" width="9" style="958" bestFit="1" customWidth="1"/>
    <col min="13577" max="13813" width="8.85546875" style="958"/>
    <col min="13814" max="13814" width="3.42578125" style="958" customWidth="1"/>
    <col min="13815" max="13815" width="19.42578125" style="958" customWidth="1"/>
    <col min="13816" max="13816" width="14.42578125" style="958" customWidth="1"/>
    <col min="13817" max="13817" width="9.42578125" style="958" customWidth="1"/>
    <col min="13818" max="13818" width="12.140625" style="958" customWidth="1"/>
    <col min="13819" max="13819" width="9.42578125" style="958" customWidth="1"/>
    <col min="13820" max="13820" width="5.28515625" style="958" customWidth="1"/>
    <col min="13821" max="13821" width="8.85546875" style="958" customWidth="1"/>
    <col min="13822" max="13822" width="9.42578125" style="958" customWidth="1"/>
    <col min="13823" max="13823" width="8.85546875" style="958" customWidth="1"/>
    <col min="13824" max="13824" width="9" style="958" customWidth="1"/>
    <col min="13825" max="13825" width="9.140625" style="958" customWidth="1"/>
    <col min="13826" max="13826" width="7.85546875" style="958" customWidth="1"/>
    <col min="13827" max="13827" width="10.28515625" style="958" customWidth="1"/>
    <col min="13828" max="13828" width="9.42578125" style="958" customWidth="1"/>
    <col min="13829" max="13829" width="8.85546875" style="958" customWidth="1"/>
    <col min="13830" max="13830" width="39.140625" style="958" customWidth="1"/>
    <col min="13831" max="13831" width="8.85546875" style="958"/>
    <col min="13832" max="13832" width="9" style="958" bestFit="1" customWidth="1"/>
    <col min="13833" max="14069" width="8.85546875" style="958"/>
    <col min="14070" max="14070" width="3.42578125" style="958" customWidth="1"/>
    <col min="14071" max="14071" width="19.42578125" style="958" customWidth="1"/>
    <col min="14072" max="14072" width="14.42578125" style="958" customWidth="1"/>
    <col min="14073" max="14073" width="9.42578125" style="958" customWidth="1"/>
    <col min="14074" max="14074" width="12.140625" style="958" customWidth="1"/>
    <col min="14075" max="14075" width="9.42578125" style="958" customWidth="1"/>
    <col min="14076" max="14076" width="5.28515625" style="958" customWidth="1"/>
    <col min="14077" max="14077" width="8.85546875" style="958" customWidth="1"/>
    <col min="14078" max="14078" width="9.42578125" style="958" customWidth="1"/>
    <col min="14079" max="14079" width="8.85546875" style="958" customWidth="1"/>
    <col min="14080" max="14080" width="9" style="958" customWidth="1"/>
    <col min="14081" max="14081" width="9.140625" style="958" customWidth="1"/>
    <col min="14082" max="14082" width="7.85546875" style="958" customWidth="1"/>
    <col min="14083" max="14083" width="10.28515625" style="958" customWidth="1"/>
    <col min="14084" max="14084" width="9.42578125" style="958" customWidth="1"/>
    <col min="14085" max="14085" width="8.85546875" style="958" customWidth="1"/>
    <col min="14086" max="14086" width="39.140625" style="958" customWidth="1"/>
    <col min="14087" max="14087" width="8.85546875" style="958"/>
    <col min="14088" max="14088" width="9" style="958" bestFit="1" customWidth="1"/>
    <col min="14089" max="14325" width="8.85546875" style="958"/>
    <col min="14326" max="14326" width="3.42578125" style="958" customWidth="1"/>
    <col min="14327" max="14327" width="19.42578125" style="958" customWidth="1"/>
    <col min="14328" max="14328" width="14.42578125" style="958" customWidth="1"/>
    <col min="14329" max="14329" width="9.42578125" style="958" customWidth="1"/>
    <col min="14330" max="14330" width="12.140625" style="958" customWidth="1"/>
    <col min="14331" max="14331" width="9.42578125" style="958" customWidth="1"/>
    <col min="14332" max="14332" width="5.28515625" style="958" customWidth="1"/>
    <col min="14333" max="14333" width="8.85546875" style="958" customWidth="1"/>
    <col min="14334" max="14334" width="9.42578125" style="958" customWidth="1"/>
    <col min="14335" max="14335" width="8.85546875" style="958" customWidth="1"/>
    <col min="14336" max="14336" width="9" style="958" customWidth="1"/>
    <col min="14337" max="14337" width="9.140625" style="958" customWidth="1"/>
    <col min="14338" max="14338" width="7.85546875" style="958" customWidth="1"/>
    <col min="14339" max="14339" width="10.28515625" style="958" customWidth="1"/>
    <col min="14340" max="14340" width="9.42578125" style="958" customWidth="1"/>
    <col min="14341" max="14341" width="8.85546875" style="958" customWidth="1"/>
    <col min="14342" max="14342" width="39.140625" style="958" customWidth="1"/>
    <col min="14343" max="14343" width="8.85546875" style="958"/>
    <col min="14344" max="14344" width="9" style="958" bestFit="1" customWidth="1"/>
    <col min="14345" max="14581" width="8.85546875" style="958"/>
    <col min="14582" max="14582" width="3.42578125" style="958" customWidth="1"/>
    <col min="14583" max="14583" width="19.42578125" style="958" customWidth="1"/>
    <col min="14584" max="14584" width="14.42578125" style="958" customWidth="1"/>
    <col min="14585" max="14585" width="9.42578125" style="958" customWidth="1"/>
    <col min="14586" max="14586" width="12.140625" style="958" customWidth="1"/>
    <col min="14587" max="14587" width="9.42578125" style="958" customWidth="1"/>
    <col min="14588" max="14588" width="5.28515625" style="958" customWidth="1"/>
    <col min="14589" max="14589" width="8.85546875" style="958" customWidth="1"/>
    <col min="14590" max="14590" width="9.42578125" style="958" customWidth="1"/>
    <col min="14591" max="14591" width="8.85546875" style="958" customWidth="1"/>
    <col min="14592" max="14592" width="9" style="958" customWidth="1"/>
    <col min="14593" max="14593" width="9.140625" style="958" customWidth="1"/>
    <col min="14594" max="14594" width="7.85546875" style="958" customWidth="1"/>
    <col min="14595" max="14595" width="10.28515625" style="958" customWidth="1"/>
    <col min="14596" max="14596" width="9.42578125" style="958" customWidth="1"/>
    <col min="14597" max="14597" width="8.85546875" style="958" customWidth="1"/>
    <col min="14598" max="14598" width="39.140625" style="958" customWidth="1"/>
    <col min="14599" max="14599" width="8.85546875" style="958"/>
    <col min="14600" max="14600" width="9" style="958" bestFit="1" customWidth="1"/>
    <col min="14601" max="14837" width="8.85546875" style="958"/>
    <col min="14838" max="14838" width="3.42578125" style="958" customWidth="1"/>
    <col min="14839" max="14839" width="19.42578125" style="958" customWidth="1"/>
    <col min="14840" max="14840" width="14.42578125" style="958" customWidth="1"/>
    <col min="14841" max="14841" width="9.42578125" style="958" customWidth="1"/>
    <col min="14842" max="14842" width="12.140625" style="958" customWidth="1"/>
    <col min="14843" max="14843" width="9.42578125" style="958" customWidth="1"/>
    <col min="14844" max="14844" width="5.28515625" style="958" customWidth="1"/>
    <col min="14845" max="14845" width="8.85546875" style="958" customWidth="1"/>
    <col min="14846" max="14846" width="9.42578125" style="958" customWidth="1"/>
    <col min="14847" max="14847" width="8.85546875" style="958" customWidth="1"/>
    <col min="14848" max="14848" width="9" style="958" customWidth="1"/>
    <col min="14849" max="14849" width="9.140625" style="958" customWidth="1"/>
    <col min="14850" max="14850" width="7.85546875" style="958" customWidth="1"/>
    <col min="14851" max="14851" width="10.28515625" style="958" customWidth="1"/>
    <col min="14852" max="14852" width="9.42578125" style="958" customWidth="1"/>
    <col min="14853" max="14853" width="8.85546875" style="958" customWidth="1"/>
    <col min="14854" max="14854" width="39.140625" style="958" customWidth="1"/>
    <col min="14855" max="14855" width="8.85546875" style="958"/>
    <col min="14856" max="14856" width="9" style="958" bestFit="1" customWidth="1"/>
    <col min="14857" max="15093" width="8.85546875" style="958"/>
    <col min="15094" max="15094" width="3.42578125" style="958" customWidth="1"/>
    <col min="15095" max="15095" width="19.42578125" style="958" customWidth="1"/>
    <col min="15096" max="15096" width="14.42578125" style="958" customWidth="1"/>
    <col min="15097" max="15097" width="9.42578125" style="958" customWidth="1"/>
    <col min="15098" max="15098" width="12.140625" style="958" customWidth="1"/>
    <col min="15099" max="15099" width="9.42578125" style="958" customWidth="1"/>
    <col min="15100" max="15100" width="5.28515625" style="958" customWidth="1"/>
    <col min="15101" max="15101" width="8.85546875" style="958" customWidth="1"/>
    <col min="15102" max="15102" width="9.42578125" style="958" customWidth="1"/>
    <col min="15103" max="15103" width="8.85546875" style="958" customWidth="1"/>
    <col min="15104" max="15104" width="9" style="958" customWidth="1"/>
    <col min="15105" max="15105" width="9.140625" style="958" customWidth="1"/>
    <col min="15106" max="15106" width="7.85546875" style="958" customWidth="1"/>
    <col min="15107" max="15107" width="10.28515625" style="958" customWidth="1"/>
    <col min="15108" max="15108" width="9.42578125" style="958" customWidth="1"/>
    <col min="15109" max="15109" width="8.85546875" style="958" customWidth="1"/>
    <col min="15110" max="15110" width="39.140625" style="958" customWidth="1"/>
    <col min="15111" max="15111" width="8.85546875" style="958"/>
    <col min="15112" max="15112" width="9" style="958" bestFit="1" customWidth="1"/>
    <col min="15113" max="15349" width="8.85546875" style="958"/>
    <col min="15350" max="15350" width="3.42578125" style="958" customWidth="1"/>
    <col min="15351" max="15351" width="19.42578125" style="958" customWidth="1"/>
    <col min="15352" max="15352" width="14.42578125" style="958" customWidth="1"/>
    <col min="15353" max="15353" width="9.42578125" style="958" customWidth="1"/>
    <col min="15354" max="15354" width="12.140625" style="958" customWidth="1"/>
    <col min="15355" max="15355" width="9.42578125" style="958" customWidth="1"/>
    <col min="15356" max="15356" width="5.28515625" style="958" customWidth="1"/>
    <col min="15357" max="15357" width="8.85546875" style="958" customWidth="1"/>
    <col min="15358" max="15358" width="9.42578125" style="958" customWidth="1"/>
    <col min="15359" max="15359" width="8.85546875" style="958" customWidth="1"/>
    <col min="15360" max="15360" width="9" style="958" customWidth="1"/>
    <col min="15361" max="15361" width="9.140625" style="958" customWidth="1"/>
    <col min="15362" max="15362" width="7.85546875" style="958" customWidth="1"/>
    <col min="15363" max="15363" width="10.28515625" style="958" customWidth="1"/>
    <col min="15364" max="15364" width="9.42578125" style="958" customWidth="1"/>
    <col min="15365" max="15365" width="8.85546875" style="958" customWidth="1"/>
    <col min="15366" max="15366" width="39.140625" style="958" customWidth="1"/>
    <col min="15367" max="15367" width="8.85546875" style="958"/>
    <col min="15368" max="15368" width="9" style="958" bestFit="1" customWidth="1"/>
    <col min="15369" max="15605" width="8.85546875" style="958"/>
    <col min="15606" max="15606" width="3.42578125" style="958" customWidth="1"/>
    <col min="15607" max="15607" width="19.42578125" style="958" customWidth="1"/>
    <col min="15608" max="15608" width="14.42578125" style="958" customWidth="1"/>
    <col min="15609" max="15609" width="9.42578125" style="958" customWidth="1"/>
    <col min="15610" max="15610" width="12.140625" style="958" customWidth="1"/>
    <col min="15611" max="15611" width="9.42578125" style="958" customWidth="1"/>
    <col min="15612" max="15612" width="5.28515625" style="958" customWidth="1"/>
    <col min="15613" max="15613" width="8.85546875" style="958" customWidth="1"/>
    <col min="15614" max="15614" width="9.42578125" style="958" customWidth="1"/>
    <col min="15615" max="15615" width="8.85546875" style="958" customWidth="1"/>
    <col min="15616" max="15616" width="9" style="958" customWidth="1"/>
    <col min="15617" max="15617" width="9.140625" style="958" customWidth="1"/>
    <col min="15618" max="15618" width="7.85546875" style="958" customWidth="1"/>
    <col min="15619" max="15619" width="10.28515625" style="958" customWidth="1"/>
    <col min="15620" max="15620" width="9.42578125" style="958" customWidth="1"/>
    <col min="15621" max="15621" width="8.85546875" style="958" customWidth="1"/>
    <col min="15622" max="15622" width="39.140625" style="958" customWidth="1"/>
    <col min="15623" max="15623" width="8.85546875" style="958"/>
    <col min="15624" max="15624" width="9" style="958" bestFit="1" customWidth="1"/>
    <col min="15625" max="15861" width="8.85546875" style="958"/>
    <col min="15862" max="15862" width="3.42578125" style="958" customWidth="1"/>
    <col min="15863" max="15863" width="19.42578125" style="958" customWidth="1"/>
    <col min="15864" max="15864" width="14.42578125" style="958" customWidth="1"/>
    <col min="15865" max="15865" width="9.42578125" style="958" customWidth="1"/>
    <col min="15866" max="15866" width="12.140625" style="958" customWidth="1"/>
    <col min="15867" max="15867" width="9.42578125" style="958" customWidth="1"/>
    <col min="15868" max="15868" width="5.28515625" style="958" customWidth="1"/>
    <col min="15869" max="15869" width="8.85546875" style="958" customWidth="1"/>
    <col min="15870" max="15870" width="9.42578125" style="958" customWidth="1"/>
    <col min="15871" max="15871" width="8.85546875" style="958" customWidth="1"/>
    <col min="15872" max="15872" width="9" style="958" customWidth="1"/>
    <col min="15873" max="15873" width="9.140625" style="958" customWidth="1"/>
    <col min="15874" max="15874" width="7.85546875" style="958" customWidth="1"/>
    <col min="15875" max="15875" width="10.28515625" style="958" customWidth="1"/>
    <col min="15876" max="15876" width="9.42578125" style="958" customWidth="1"/>
    <col min="15877" max="15877" width="8.85546875" style="958" customWidth="1"/>
    <col min="15878" max="15878" width="39.140625" style="958" customWidth="1"/>
    <col min="15879" max="15879" width="8.85546875" style="958"/>
    <col min="15880" max="15880" width="9" style="958" bestFit="1" customWidth="1"/>
    <col min="15881" max="16117" width="8.85546875" style="958"/>
    <col min="16118" max="16118" width="3.42578125" style="958" customWidth="1"/>
    <col min="16119" max="16119" width="19.42578125" style="958" customWidth="1"/>
    <col min="16120" max="16120" width="14.42578125" style="958" customWidth="1"/>
    <col min="16121" max="16121" width="9.42578125" style="958" customWidth="1"/>
    <col min="16122" max="16122" width="12.140625" style="958" customWidth="1"/>
    <col min="16123" max="16123" width="9.42578125" style="958" customWidth="1"/>
    <col min="16124" max="16124" width="5.28515625" style="958" customWidth="1"/>
    <col min="16125" max="16125" width="8.85546875" style="958" customWidth="1"/>
    <col min="16126" max="16126" width="9.42578125" style="958" customWidth="1"/>
    <col min="16127" max="16127" width="8.85546875" style="958" customWidth="1"/>
    <col min="16128" max="16128" width="9" style="958" customWidth="1"/>
    <col min="16129" max="16129" width="9.140625" style="958" customWidth="1"/>
    <col min="16130" max="16130" width="7.85546875" style="958" customWidth="1"/>
    <col min="16131" max="16131" width="10.28515625" style="958" customWidth="1"/>
    <col min="16132" max="16132" width="9.42578125" style="958" customWidth="1"/>
    <col min="16133" max="16133" width="8.85546875" style="958" customWidth="1"/>
    <col min="16134" max="16134" width="39.140625" style="958" customWidth="1"/>
    <col min="16135" max="16135" width="8.85546875" style="958"/>
    <col min="16136" max="16136" width="9" style="958" bestFit="1" customWidth="1"/>
    <col min="16137" max="16384" width="8.85546875" style="958"/>
  </cols>
  <sheetData>
    <row r="1" spans="1:37">
      <c r="A1" s="948"/>
      <c r="B1" s="948"/>
      <c r="C1" s="949"/>
      <c r="D1" s="949"/>
      <c r="E1" s="949"/>
      <c r="F1" s="950"/>
      <c r="G1" s="948"/>
      <c r="H1" s="951"/>
      <c r="I1" s="951"/>
      <c r="J1" s="952"/>
      <c r="K1" s="953"/>
      <c r="L1" s="953"/>
      <c r="M1" s="953"/>
      <c r="N1" s="954"/>
      <c r="O1" s="955"/>
      <c r="P1" s="956"/>
      <c r="Q1" s="957" t="s">
        <v>3404</v>
      </c>
    </row>
    <row r="2" spans="1:37">
      <c r="A2" s="2302" t="s">
        <v>3405</v>
      </c>
      <c r="B2" s="2302"/>
      <c r="C2" s="2302"/>
      <c r="D2" s="2302"/>
      <c r="E2" s="2302"/>
      <c r="F2" s="2302"/>
      <c r="G2" s="2302"/>
      <c r="H2" s="2302"/>
      <c r="I2" s="2302"/>
      <c r="J2" s="2302"/>
      <c r="K2" s="2302"/>
      <c r="L2" s="2302"/>
      <c r="M2" s="2302"/>
      <c r="N2" s="2302"/>
      <c r="O2" s="2302"/>
      <c r="P2" s="2302"/>
      <c r="Q2" s="2302"/>
    </row>
    <row r="3" spans="1:37" ht="7.5" customHeight="1">
      <c r="A3" s="959"/>
      <c r="B3" s="959"/>
      <c r="C3" s="960"/>
      <c r="D3" s="960"/>
      <c r="E3" s="960"/>
      <c r="F3" s="961"/>
      <c r="G3" s="959"/>
      <c r="H3" s="962"/>
      <c r="I3" s="962"/>
      <c r="J3" s="963"/>
      <c r="K3" s="962"/>
      <c r="L3" s="962"/>
      <c r="M3" s="962"/>
      <c r="N3" s="964"/>
      <c r="O3" s="965"/>
      <c r="P3" s="966"/>
      <c r="Q3" s="962"/>
    </row>
    <row r="4" spans="1:37" ht="25.5" customHeight="1">
      <c r="A4" s="2303" t="s">
        <v>439</v>
      </c>
      <c r="B4" s="2303" t="s">
        <v>3406</v>
      </c>
      <c r="C4" s="2305" t="s">
        <v>3407</v>
      </c>
      <c r="D4" s="2305" t="s">
        <v>3408</v>
      </c>
      <c r="E4" s="2305" t="s">
        <v>3409</v>
      </c>
      <c r="F4" s="2307" t="s">
        <v>3410</v>
      </c>
      <c r="G4" s="2305" t="s">
        <v>3411</v>
      </c>
      <c r="H4" s="2309" t="s">
        <v>3412</v>
      </c>
      <c r="I4" s="2310"/>
      <c r="J4" s="2307" t="s">
        <v>3413</v>
      </c>
      <c r="K4" s="2309" t="s">
        <v>3414</v>
      </c>
      <c r="L4" s="2311"/>
      <c r="M4" s="2311"/>
      <c r="N4" s="2310"/>
      <c r="O4" s="2312" t="s">
        <v>3415</v>
      </c>
      <c r="P4" s="2314" t="s">
        <v>3416</v>
      </c>
      <c r="Q4" s="2305" t="s">
        <v>3417</v>
      </c>
    </row>
    <row r="5" spans="1:37" ht="101.25">
      <c r="A5" s="2304"/>
      <c r="B5" s="2304"/>
      <c r="C5" s="2306"/>
      <c r="D5" s="2306"/>
      <c r="E5" s="2306"/>
      <c r="F5" s="2308"/>
      <c r="G5" s="2306"/>
      <c r="H5" s="967" t="s">
        <v>3418</v>
      </c>
      <c r="I5" s="968" t="s">
        <v>3419</v>
      </c>
      <c r="J5" s="2308"/>
      <c r="K5" s="969" t="s">
        <v>440</v>
      </c>
      <c r="L5" s="968" t="s">
        <v>3420</v>
      </c>
      <c r="M5" s="968" t="s">
        <v>3421</v>
      </c>
      <c r="N5" s="970" t="s">
        <v>3422</v>
      </c>
      <c r="O5" s="2313"/>
      <c r="P5" s="2315"/>
      <c r="Q5" s="2306"/>
    </row>
    <row r="6" spans="1:37" ht="15.75" customHeight="1">
      <c r="A6" s="2316"/>
      <c r="B6" s="2317" t="s">
        <v>3423</v>
      </c>
      <c r="C6" s="2317"/>
      <c r="D6" s="2317"/>
      <c r="E6" s="2317"/>
      <c r="F6" s="2317"/>
      <c r="G6" s="971" t="s">
        <v>8</v>
      </c>
      <c r="H6" s="972">
        <f>H7+H8+H9+H10</f>
        <v>4802.3129999999992</v>
      </c>
      <c r="I6" s="972">
        <f>I7+I8+I9+I10</f>
        <v>4802.3129999999992</v>
      </c>
      <c r="J6" s="972">
        <f>J7+J8+J9+J10</f>
        <v>740391.15872000006</v>
      </c>
      <c r="K6" s="972">
        <f t="shared" ref="K6:M6" si="0">K7+K8+K9+K10</f>
        <v>76492.158720000007</v>
      </c>
      <c r="L6" s="972">
        <f t="shared" si="0"/>
        <v>67761.5</v>
      </c>
      <c r="M6" s="972">
        <f t="shared" si="0"/>
        <v>8730.6587199999994</v>
      </c>
      <c r="N6" s="1188">
        <f>IFERROR(L6/J6,0)</f>
        <v>9.1521217132234739E-2</v>
      </c>
      <c r="O6" s="2318"/>
      <c r="P6" s="2319"/>
      <c r="Q6" s="2322"/>
    </row>
    <row r="7" spans="1:37">
      <c r="A7" s="2316"/>
      <c r="B7" s="2317"/>
      <c r="C7" s="2317"/>
      <c r="D7" s="2317"/>
      <c r="E7" s="2317"/>
      <c r="F7" s="2317"/>
      <c r="G7" s="974" t="s">
        <v>304</v>
      </c>
      <c r="H7" s="972">
        <f t="shared" ref="H7:M9" si="1">H13+H17+H22+H27+H32+H37</f>
        <v>4754.2898699999996</v>
      </c>
      <c r="I7" s="972">
        <f t="shared" si="1"/>
        <v>4754.2898699999996</v>
      </c>
      <c r="J7" s="972">
        <f t="shared" si="1"/>
        <v>110438.41013</v>
      </c>
      <c r="K7" s="972">
        <f t="shared" si="1"/>
        <v>12233.41013</v>
      </c>
      <c r="L7" s="972">
        <f t="shared" si="1"/>
        <v>3862.7</v>
      </c>
      <c r="M7" s="972">
        <f t="shared" si="1"/>
        <v>8370.7101299999995</v>
      </c>
      <c r="N7" s="1188">
        <f t="shared" ref="N7:N10" si="2">IFERROR(L7/J7,0)</f>
        <v>3.4976055843733284E-2</v>
      </c>
      <c r="O7" s="2318"/>
      <c r="P7" s="2320"/>
      <c r="Q7" s="2317"/>
    </row>
    <row r="8" spans="1:37">
      <c r="A8" s="2316"/>
      <c r="B8" s="2317"/>
      <c r="C8" s="2317"/>
      <c r="D8" s="2317"/>
      <c r="E8" s="2317"/>
      <c r="F8" s="2317"/>
      <c r="G8" s="974" t="s">
        <v>10</v>
      </c>
      <c r="H8" s="972">
        <f t="shared" si="1"/>
        <v>0</v>
      </c>
      <c r="I8" s="972">
        <f t="shared" si="1"/>
        <v>0</v>
      </c>
      <c r="J8" s="972">
        <f t="shared" si="1"/>
        <v>424710.7</v>
      </c>
      <c r="K8" s="972">
        <f t="shared" si="1"/>
        <v>63695.5</v>
      </c>
      <c r="L8" s="972">
        <f t="shared" si="1"/>
        <v>63695.5</v>
      </c>
      <c r="M8" s="972">
        <f t="shared" si="1"/>
        <v>0</v>
      </c>
      <c r="N8" s="1188">
        <f t="shared" si="2"/>
        <v>0.14997385278967543</v>
      </c>
      <c r="O8" s="2318"/>
      <c r="P8" s="2320"/>
      <c r="Q8" s="2317"/>
    </row>
    <row r="9" spans="1:37">
      <c r="A9" s="2316"/>
      <c r="B9" s="2317"/>
      <c r="C9" s="2317"/>
      <c r="D9" s="2317"/>
      <c r="E9" s="2317"/>
      <c r="F9" s="2317"/>
      <c r="G9" s="974" t="s">
        <v>11</v>
      </c>
      <c r="H9" s="972">
        <f t="shared" si="1"/>
        <v>48.023130000000002</v>
      </c>
      <c r="I9" s="972">
        <f t="shared" si="1"/>
        <v>48.023130000000002</v>
      </c>
      <c r="J9" s="972">
        <f t="shared" si="1"/>
        <v>766.5485900000001</v>
      </c>
      <c r="K9" s="972">
        <f t="shared" si="1"/>
        <v>563.24859000000004</v>
      </c>
      <c r="L9" s="972">
        <f t="shared" si="1"/>
        <v>203.3</v>
      </c>
      <c r="M9" s="972">
        <f t="shared" si="1"/>
        <v>359.94859000000002</v>
      </c>
      <c r="N9" s="1188">
        <f t="shared" si="2"/>
        <v>0.26521475957577584</v>
      </c>
      <c r="O9" s="2318"/>
      <c r="P9" s="2320"/>
      <c r="Q9" s="2317"/>
    </row>
    <row r="10" spans="1:37">
      <c r="A10" s="2316"/>
      <c r="B10" s="2317"/>
      <c r="C10" s="2317"/>
      <c r="D10" s="2317"/>
      <c r="E10" s="2317"/>
      <c r="F10" s="2317"/>
      <c r="G10" s="974" t="s">
        <v>12</v>
      </c>
      <c r="H10" s="1190">
        <f>H20+H25+H30+H35+H40</f>
        <v>0</v>
      </c>
      <c r="I10" s="1190">
        <f>I20+I25+I30+I35+I40</f>
        <v>0</v>
      </c>
      <c r="J10" s="1190">
        <f>J20+J25+J30+J35+J40</f>
        <v>204475.5</v>
      </c>
      <c r="K10" s="1190">
        <f t="shared" ref="K10:M10" si="3">K20+K25+K30+K35+K40</f>
        <v>0</v>
      </c>
      <c r="L10" s="1190">
        <f t="shared" si="3"/>
        <v>0</v>
      </c>
      <c r="M10" s="1190">
        <f t="shared" si="3"/>
        <v>0</v>
      </c>
      <c r="N10" s="1188">
        <f t="shared" si="2"/>
        <v>0</v>
      </c>
      <c r="O10" s="2318"/>
      <c r="P10" s="2321"/>
      <c r="Q10" s="2317"/>
    </row>
    <row r="11" spans="1:37" ht="14.25" customHeight="1" outlineLevel="1">
      <c r="A11" s="975"/>
      <c r="B11" s="976" t="s">
        <v>3424</v>
      </c>
      <c r="C11" s="974"/>
      <c r="D11" s="974"/>
      <c r="E11" s="974"/>
      <c r="F11" s="977"/>
      <c r="G11" s="975"/>
      <c r="H11" s="978"/>
      <c r="I11" s="978"/>
      <c r="J11" s="972"/>
      <c r="K11" s="978"/>
      <c r="L11" s="978"/>
      <c r="M11" s="978"/>
      <c r="N11" s="979"/>
      <c r="O11" s="980"/>
      <c r="P11" s="981"/>
      <c r="Q11" s="975"/>
    </row>
    <row r="12" spans="1:37" ht="42.75" customHeight="1" outlineLevel="1">
      <c r="A12" s="2341">
        <v>1</v>
      </c>
      <c r="B12" s="2344" t="s">
        <v>2823</v>
      </c>
      <c r="C12" s="2347" t="s">
        <v>3425</v>
      </c>
      <c r="D12" s="2347" t="s">
        <v>3426</v>
      </c>
      <c r="E12" s="2347" t="s">
        <v>3427</v>
      </c>
      <c r="F12" s="2350">
        <v>457896.9</v>
      </c>
      <c r="G12" s="1166" t="s">
        <v>8</v>
      </c>
      <c r="H12" s="1167">
        <f>SUM(H13:H15)</f>
        <v>0</v>
      </c>
      <c r="I12" s="1167">
        <f t="shared" ref="I12:K12" si="4">SUM(I13:I15)</f>
        <v>0</v>
      </c>
      <c r="J12" s="1167">
        <f t="shared" si="4"/>
        <v>187186.6</v>
      </c>
      <c r="K12" s="1167">
        <f t="shared" si="4"/>
        <v>0</v>
      </c>
      <c r="L12" s="1167">
        <f>SUM(L13:L15)</f>
        <v>0</v>
      </c>
      <c r="M12" s="1167">
        <v>0</v>
      </c>
      <c r="N12" s="2323">
        <f>L12/J12</f>
        <v>0</v>
      </c>
      <c r="O12" s="2323">
        <v>0</v>
      </c>
      <c r="P12" s="2326">
        <f>F12-H12-K12</f>
        <v>457896.9</v>
      </c>
      <c r="Q12" s="2329" t="s">
        <v>3524</v>
      </c>
    </row>
    <row r="13" spans="1:37" ht="42.75" customHeight="1" outlineLevel="1">
      <c r="A13" s="2342"/>
      <c r="B13" s="2345"/>
      <c r="C13" s="2348"/>
      <c r="D13" s="2348"/>
      <c r="E13" s="2348"/>
      <c r="F13" s="2351"/>
      <c r="G13" s="1168" t="s">
        <v>9</v>
      </c>
      <c r="H13" s="1169">
        <v>0</v>
      </c>
      <c r="I13" s="1167">
        <f>SUM(I15:I15)</f>
        <v>0</v>
      </c>
      <c r="J13" s="1169">
        <v>6710</v>
      </c>
      <c r="K13" s="1167">
        <v>0</v>
      </c>
      <c r="L13" s="1167">
        <v>0</v>
      </c>
      <c r="M13" s="1169">
        <v>0</v>
      </c>
      <c r="N13" s="2324"/>
      <c r="O13" s="2324"/>
      <c r="P13" s="2327"/>
      <c r="Q13" s="2330"/>
    </row>
    <row r="14" spans="1:37" ht="42.75" customHeight="1" outlineLevel="1">
      <c r="A14" s="2342"/>
      <c r="B14" s="2345"/>
      <c r="C14" s="2348"/>
      <c r="D14" s="2348"/>
      <c r="E14" s="2348"/>
      <c r="F14" s="2351"/>
      <c r="G14" s="1168" t="s">
        <v>10</v>
      </c>
      <c r="H14" s="1169">
        <v>0</v>
      </c>
      <c r="I14" s="1167">
        <v>0</v>
      </c>
      <c r="J14" s="1169">
        <v>180476.6</v>
      </c>
      <c r="K14" s="1167">
        <v>0</v>
      </c>
      <c r="L14" s="1167">
        <v>0</v>
      </c>
      <c r="M14" s="1169">
        <v>0</v>
      </c>
      <c r="N14" s="2324"/>
      <c r="O14" s="2324"/>
      <c r="P14" s="2327"/>
      <c r="Q14" s="2330"/>
    </row>
    <row r="15" spans="1:37" ht="84" customHeight="1" outlineLevel="1">
      <c r="A15" s="2343"/>
      <c r="B15" s="2346"/>
      <c r="C15" s="2349"/>
      <c r="D15" s="2349"/>
      <c r="E15" s="2349"/>
      <c r="F15" s="2352"/>
      <c r="G15" s="1168" t="s">
        <v>11</v>
      </c>
      <c r="H15" s="1170">
        <v>0</v>
      </c>
      <c r="I15" s="1167">
        <v>0</v>
      </c>
      <c r="J15" s="1170">
        <v>0</v>
      </c>
      <c r="K15" s="1171">
        <v>0</v>
      </c>
      <c r="L15" s="1171">
        <v>0</v>
      </c>
      <c r="M15" s="1170">
        <v>0</v>
      </c>
      <c r="N15" s="2325"/>
      <c r="O15" s="2325"/>
      <c r="P15" s="2328"/>
      <c r="Q15" s="2331"/>
    </row>
    <row r="16" spans="1:37" s="988" customFormat="1" ht="15.75" customHeight="1">
      <c r="A16" s="2332">
        <v>2</v>
      </c>
      <c r="B16" s="2335" t="s">
        <v>3010</v>
      </c>
      <c r="C16" s="2336" t="s">
        <v>3428</v>
      </c>
      <c r="D16" s="2337" t="s">
        <v>3429</v>
      </c>
      <c r="E16" s="2336" t="s">
        <v>3430</v>
      </c>
      <c r="F16" s="2340">
        <v>1237405.6000000001</v>
      </c>
      <c r="G16" s="982" t="s">
        <v>8</v>
      </c>
      <c r="H16" s="986">
        <f>SUM(H17:H20)</f>
        <v>0</v>
      </c>
      <c r="I16" s="983">
        <f t="shared" ref="I16:I40" si="5">SUM(I17:I18)</f>
        <v>0</v>
      </c>
      <c r="J16" s="1187">
        <f t="shared" ref="J16:M19" si="6">SUM(J17:J20)</f>
        <v>229040</v>
      </c>
      <c r="K16" s="986">
        <f t="shared" si="6"/>
        <v>0</v>
      </c>
      <c r="L16" s="986">
        <f t="shared" si="6"/>
        <v>0</v>
      </c>
      <c r="M16" s="986">
        <f t="shared" si="6"/>
        <v>0</v>
      </c>
      <c r="N16" s="2360">
        <f>L16/J16</f>
        <v>0</v>
      </c>
      <c r="O16" s="2360">
        <f>(I16+L16+M16)/F16</f>
        <v>0</v>
      </c>
      <c r="P16" s="2363">
        <f>F16-H16-K16</f>
        <v>1237405.6000000001</v>
      </c>
      <c r="Q16" s="2356" t="s">
        <v>3395</v>
      </c>
      <c r="R16" s="987"/>
      <c r="S16" s="987"/>
      <c r="T16" s="987"/>
      <c r="U16" s="987"/>
      <c r="V16" s="987"/>
      <c r="W16" s="987"/>
      <c r="X16" s="987"/>
      <c r="Y16" s="987"/>
      <c r="Z16" s="987"/>
      <c r="AA16" s="987"/>
      <c r="AB16" s="987"/>
      <c r="AC16" s="987"/>
      <c r="AD16" s="987"/>
      <c r="AE16" s="987"/>
      <c r="AF16" s="987"/>
      <c r="AG16" s="987"/>
      <c r="AH16" s="987"/>
      <c r="AI16" s="987"/>
      <c r="AJ16" s="987"/>
      <c r="AK16" s="987"/>
    </row>
    <row r="17" spans="1:37" s="988" customFormat="1" ht="15.75" customHeight="1">
      <c r="A17" s="2333"/>
      <c r="B17" s="2335"/>
      <c r="C17" s="2336"/>
      <c r="D17" s="2338"/>
      <c r="E17" s="2336"/>
      <c r="F17" s="2340"/>
      <c r="G17" s="984" t="s">
        <v>9</v>
      </c>
      <c r="H17" s="986">
        <v>0</v>
      </c>
      <c r="I17" s="983">
        <f t="shared" si="5"/>
        <v>0</v>
      </c>
      <c r="J17" s="1187">
        <v>49080</v>
      </c>
      <c r="K17" s="986">
        <v>0</v>
      </c>
      <c r="L17" s="986">
        <v>0</v>
      </c>
      <c r="M17" s="986">
        <f t="shared" si="6"/>
        <v>0</v>
      </c>
      <c r="N17" s="2361"/>
      <c r="O17" s="2361"/>
      <c r="P17" s="2364"/>
      <c r="Q17" s="2357"/>
      <c r="R17" s="987"/>
      <c r="S17" s="987"/>
      <c r="T17" s="987"/>
      <c r="U17" s="987"/>
      <c r="V17" s="987"/>
      <c r="W17" s="987"/>
      <c r="X17" s="987"/>
      <c r="Y17" s="987"/>
      <c r="Z17" s="987"/>
      <c r="AA17" s="987"/>
      <c r="AB17" s="987"/>
      <c r="AC17" s="987"/>
      <c r="AD17" s="987"/>
      <c r="AE17" s="987"/>
      <c r="AF17" s="987"/>
      <c r="AG17" s="987"/>
      <c r="AH17" s="987"/>
      <c r="AI17" s="987"/>
      <c r="AJ17" s="987"/>
      <c r="AK17" s="987"/>
    </row>
    <row r="18" spans="1:37" s="988" customFormat="1" ht="15.75" customHeight="1">
      <c r="A18" s="2333"/>
      <c r="B18" s="2335"/>
      <c r="C18" s="2336"/>
      <c r="D18" s="2338"/>
      <c r="E18" s="2336"/>
      <c r="F18" s="2340"/>
      <c r="G18" s="984" t="s">
        <v>10</v>
      </c>
      <c r="H18" s="986">
        <v>0</v>
      </c>
      <c r="I18" s="983">
        <f t="shared" si="5"/>
        <v>0</v>
      </c>
      <c r="J18" s="1187">
        <v>65440</v>
      </c>
      <c r="K18" s="986">
        <v>0</v>
      </c>
      <c r="L18" s="986">
        <v>0</v>
      </c>
      <c r="M18" s="986">
        <f t="shared" si="6"/>
        <v>0</v>
      </c>
      <c r="N18" s="2361"/>
      <c r="O18" s="2361"/>
      <c r="P18" s="2364"/>
      <c r="Q18" s="2357"/>
      <c r="R18" s="987"/>
      <c r="S18" s="987"/>
      <c r="T18" s="987"/>
      <c r="U18" s="987"/>
      <c r="V18" s="987"/>
      <c r="W18" s="987"/>
      <c r="X18" s="987"/>
      <c r="Y18" s="987"/>
      <c r="Z18" s="987"/>
      <c r="AA18" s="987"/>
      <c r="AB18" s="987"/>
      <c r="AC18" s="987"/>
      <c r="AD18" s="987"/>
      <c r="AE18" s="987"/>
      <c r="AF18" s="987"/>
      <c r="AG18" s="987"/>
      <c r="AH18" s="987"/>
      <c r="AI18" s="987"/>
      <c r="AJ18" s="987"/>
      <c r="AK18" s="987"/>
    </row>
    <row r="19" spans="1:37" s="988" customFormat="1" ht="15.75" customHeight="1">
      <c r="A19" s="2333"/>
      <c r="B19" s="2335"/>
      <c r="C19" s="2336"/>
      <c r="D19" s="2338"/>
      <c r="E19" s="2336"/>
      <c r="F19" s="2340"/>
      <c r="G19" s="984" t="s">
        <v>11</v>
      </c>
      <c r="H19" s="986">
        <v>0</v>
      </c>
      <c r="I19" s="985">
        <f t="shared" si="5"/>
        <v>0</v>
      </c>
      <c r="J19" s="1187">
        <v>0</v>
      </c>
      <c r="K19" s="986">
        <v>0</v>
      </c>
      <c r="L19" s="986">
        <v>0</v>
      </c>
      <c r="M19" s="986">
        <f t="shared" si="6"/>
        <v>0</v>
      </c>
      <c r="N19" s="2361"/>
      <c r="O19" s="2361"/>
      <c r="P19" s="2364"/>
      <c r="Q19" s="2357"/>
      <c r="R19" s="987"/>
      <c r="S19" s="987"/>
      <c r="T19" s="987"/>
      <c r="U19" s="987"/>
      <c r="V19" s="987"/>
      <c r="W19" s="987"/>
      <c r="X19" s="987"/>
      <c r="Y19" s="987"/>
      <c r="Z19" s="987"/>
      <c r="AA19" s="987"/>
      <c r="AB19" s="987"/>
      <c r="AC19" s="987"/>
      <c r="AD19" s="987"/>
      <c r="AE19" s="987"/>
      <c r="AF19" s="987"/>
      <c r="AG19" s="987"/>
      <c r="AH19" s="987"/>
      <c r="AI19" s="987"/>
      <c r="AJ19" s="987"/>
      <c r="AK19" s="987"/>
    </row>
    <row r="20" spans="1:37" s="988" customFormat="1" ht="15.75" customHeight="1">
      <c r="A20" s="2334"/>
      <c r="B20" s="2335"/>
      <c r="C20" s="2336"/>
      <c r="D20" s="2339"/>
      <c r="E20" s="2336"/>
      <c r="F20" s="2340"/>
      <c r="G20" s="984" t="s">
        <v>12</v>
      </c>
      <c r="H20" s="986">
        <v>0</v>
      </c>
      <c r="I20" s="985">
        <f t="shared" si="5"/>
        <v>0</v>
      </c>
      <c r="J20" s="1187">
        <v>114520</v>
      </c>
      <c r="K20" s="986">
        <v>0</v>
      </c>
      <c r="L20" s="986">
        <v>0</v>
      </c>
      <c r="M20" s="986">
        <v>0</v>
      </c>
      <c r="N20" s="2362"/>
      <c r="O20" s="2362"/>
      <c r="P20" s="2365"/>
      <c r="Q20" s="2358"/>
      <c r="R20" s="987"/>
      <c r="S20" s="987"/>
      <c r="T20" s="987"/>
      <c r="U20" s="987"/>
      <c r="V20" s="987"/>
      <c r="W20" s="987"/>
      <c r="X20" s="987"/>
      <c r="Y20" s="987"/>
      <c r="Z20" s="987"/>
      <c r="AA20" s="987"/>
      <c r="AB20" s="987"/>
      <c r="AC20" s="987"/>
      <c r="AD20" s="987"/>
      <c r="AE20" s="987"/>
      <c r="AF20" s="987"/>
      <c r="AG20" s="987"/>
      <c r="AH20" s="987"/>
      <c r="AI20" s="987"/>
      <c r="AJ20" s="987"/>
      <c r="AK20" s="987"/>
    </row>
    <row r="21" spans="1:37" s="988" customFormat="1" ht="21" customHeight="1">
      <c r="A21" s="2332">
        <v>3</v>
      </c>
      <c r="B21" s="2335" t="s">
        <v>3008</v>
      </c>
      <c r="C21" s="2336" t="s">
        <v>3431</v>
      </c>
      <c r="D21" s="2337" t="s">
        <v>3429</v>
      </c>
      <c r="E21" s="2336" t="s">
        <v>3430</v>
      </c>
      <c r="F21" s="2359">
        <v>971982.6</v>
      </c>
      <c r="G21" s="982" t="s">
        <v>8</v>
      </c>
      <c r="H21" s="986">
        <f>SUM(H22:H25)</f>
        <v>0</v>
      </c>
      <c r="I21" s="989">
        <f t="shared" si="5"/>
        <v>0</v>
      </c>
      <c r="J21" s="1187">
        <f t="shared" ref="J21:M21" si="7">SUM(J22:J25)</f>
        <v>179911</v>
      </c>
      <c r="K21" s="986">
        <f t="shared" si="7"/>
        <v>0</v>
      </c>
      <c r="L21" s="986">
        <f t="shared" si="7"/>
        <v>0</v>
      </c>
      <c r="M21" s="986">
        <f t="shared" si="7"/>
        <v>0</v>
      </c>
      <c r="N21" s="2360">
        <f>L21/J21</f>
        <v>0</v>
      </c>
      <c r="O21" s="2360">
        <f>(I21+L21+M21)/F21</f>
        <v>0</v>
      </c>
      <c r="P21" s="2363">
        <f>F21-H21-K21</f>
        <v>971982.6</v>
      </c>
      <c r="Q21" s="2356" t="s">
        <v>3397</v>
      </c>
      <c r="R21" s="987"/>
      <c r="S21" s="987"/>
      <c r="T21" s="987"/>
      <c r="U21" s="987"/>
      <c r="V21" s="987"/>
      <c r="W21" s="987"/>
      <c r="X21" s="987"/>
      <c r="Y21" s="987"/>
      <c r="Z21" s="987"/>
      <c r="AA21" s="987"/>
      <c r="AB21" s="987"/>
      <c r="AC21" s="987"/>
      <c r="AD21" s="987"/>
      <c r="AE21" s="987"/>
      <c r="AF21" s="987"/>
      <c r="AG21" s="987"/>
      <c r="AH21" s="987"/>
      <c r="AI21" s="987"/>
      <c r="AJ21" s="987"/>
      <c r="AK21" s="987"/>
    </row>
    <row r="22" spans="1:37" s="988" customFormat="1" ht="24.75" customHeight="1">
      <c r="A22" s="2333"/>
      <c r="B22" s="2335"/>
      <c r="C22" s="2336"/>
      <c r="D22" s="2338"/>
      <c r="E22" s="2336"/>
      <c r="F22" s="2359"/>
      <c r="G22" s="984" t="s">
        <v>9</v>
      </c>
      <c r="H22" s="986">
        <v>0</v>
      </c>
      <c r="I22" s="990">
        <f t="shared" si="5"/>
        <v>0</v>
      </c>
      <c r="J22" s="1187">
        <v>38552.400000000001</v>
      </c>
      <c r="K22" s="986">
        <v>0</v>
      </c>
      <c r="L22" s="986">
        <v>0</v>
      </c>
      <c r="M22" s="986">
        <v>0</v>
      </c>
      <c r="N22" s="2361"/>
      <c r="O22" s="2361"/>
      <c r="P22" s="2364"/>
      <c r="Q22" s="2357"/>
      <c r="R22" s="987"/>
      <c r="S22" s="987"/>
      <c r="T22" s="987"/>
      <c r="U22" s="987"/>
      <c r="V22" s="987"/>
      <c r="W22" s="987"/>
      <c r="X22" s="987"/>
      <c r="Y22" s="987"/>
      <c r="Z22" s="987"/>
      <c r="AA22" s="987"/>
      <c r="AB22" s="987"/>
      <c r="AC22" s="987"/>
      <c r="AD22" s="987"/>
      <c r="AE22" s="987"/>
      <c r="AF22" s="987"/>
      <c r="AG22" s="987"/>
      <c r="AH22" s="987"/>
      <c r="AI22" s="987"/>
      <c r="AJ22" s="987"/>
      <c r="AK22" s="987"/>
    </row>
    <row r="23" spans="1:37" s="988" customFormat="1" ht="25.5" customHeight="1">
      <c r="A23" s="2333"/>
      <c r="B23" s="2335"/>
      <c r="C23" s="2336"/>
      <c r="D23" s="2338"/>
      <c r="E23" s="2336"/>
      <c r="F23" s="2359"/>
      <c r="G23" s="984" t="s">
        <v>10</v>
      </c>
      <c r="H23" s="986">
        <v>0</v>
      </c>
      <c r="I23" s="983">
        <f t="shared" si="5"/>
        <v>0</v>
      </c>
      <c r="J23" s="1187">
        <v>51403.1</v>
      </c>
      <c r="K23" s="986">
        <v>0</v>
      </c>
      <c r="L23" s="986">
        <v>0</v>
      </c>
      <c r="M23" s="986">
        <v>0</v>
      </c>
      <c r="N23" s="2361"/>
      <c r="O23" s="2361"/>
      <c r="P23" s="2364"/>
      <c r="Q23" s="2357"/>
      <c r="R23" s="987"/>
      <c r="S23" s="987"/>
      <c r="T23" s="987"/>
      <c r="U23" s="987"/>
      <c r="V23" s="987"/>
      <c r="W23" s="987"/>
      <c r="X23" s="987"/>
      <c r="Y23" s="987"/>
      <c r="Z23" s="987"/>
      <c r="AA23" s="987"/>
      <c r="AB23" s="987"/>
      <c r="AC23" s="987"/>
      <c r="AD23" s="987"/>
      <c r="AE23" s="987"/>
      <c r="AF23" s="987"/>
      <c r="AG23" s="987"/>
      <c r="AH23" s="987"/>
      <c r="AI23" s="987"/>
      <c r="AJ23" s="987"/>
      <c r="AK23" s="987"/>
    </row>
    <row r="24" spans="1:37" s="988" customFormat="1" ht="24.75" customHeight="1">
      <c r="A24" s="2333"/>
      <c r="B24" s="2335"/>
      <c r="C24" s="2336"/>
      <c r="D24" s="2338"/>
      <c r="E24" s="2336"/>
      <c r="F24" s="2359"/>
      <c r="G24" s="984" t="s">
        <v>11</v>
      </c>
      <c r="H24" s="986">
        <v>0</v>
      </c>
      <c r="I24" s="983">
        <f t="shared" si="5"/>
        <v>0</v>
      </c>
      <c r="J24" s="1187">
        <v>0</v>
      </c>
      <c r="K24" s="986">
        <v>0</v>
      </c>
      <c r="L24" s="986">
        <v>0</v>
      </c>
      <c r="M24" s="986">
        <v>0</v>
      </c>
      <c r="N24" s="2361"/>
      <c r="O24" s="2361"/>
      <c r="P24" s="2364"/>
      <c r="Q24" s="2357"/>
      <c r="R24" s="987"/>
      <c r="S24" s="987"/>
      <c r="T24" s="987"/>
      <c r="U24" s="987"/>
      <c r="V24" s="987"/>
      <c r="W24" s="987"/>
      <c r="X24" s="987"/>
      <c r="Y24" s="987"/>
      <c r="Z24" s="987"/>
      <c r="AA24" s="987"/>
      <c r="AB24" s="987"/>
      <c r="AC24" s="987"/>
      <c r="AD24" s="987"/>
      <c r="AE24" s="987"/>
      <c r="AF24" s="987"/>
      <c r="AG24" s="987"/>
      <c r="AH24" s="987"/>
      <c r="AI24" s="987"/>
      <c r="AJ24" s="987"/>
      <c r="AK24" s="987"/>
    </row>
    <row r="25" spans="1:37" s="988" customFormat="1" ht="24" customHeight="1">
      <c r="A25" s="2334"/>
      <c r="B25" s="2335"/>
      <c r="C25" s="2336"/>
      <c r="D25" s="2339"/>
      <c r="E25" s="2336"/>
      <c r="F25" s="2359"/>
      <c r="G25" s="984" t="s">
        <v>12</v>
      </c>
      <c r="H25" s="986">
        <v>0</v>
      </c>
      <c r="I25" s="983">
        <f t="shared" si="5"/>
        <v>0</v>
      </c>
      <c r="J25" s="1187">
        <v>89955.5</v>
      </c>
      <c r="K25" s="986">
        <v>0</v>
      </c>
      <c r="L25" s="986">
        <v>0</v>
      </c>
      <c r="M25" s="986">
        <v>0</v>
      </c>
      <c r="N25" s="2362"/>
      <c r="O25" s="2362"/>
      <c r="P25" s="2365"/>
      <c r="Q25" s="2358"/>
      <c r="R25" s="987"/>
      <c r="S25" s="987"/>
      <c r="T25" s="987"/>
      <c r="U25" s="987"/>
      <c r="V25" s="987"/>
      <c r="W25" s="987"/>
      <c r="X25" s="987"/>
      <c r="Y25" s="987"/>
      <c r="Z25" s="987"/>
      <c r="AA25" s="987"/>
      <c r="AB25" s="987"/>
      <c r="AC25" s="987"/>
      <c r="AD25" s="987"/>
      <c r="AE25" s="987"/>
      <c r="AF25" s="987"/>
      <c r="AG25" s="987"/>
      <c r="AH25" s="987"/>
      <c r="AI25" s="987"/>
      <c r="AJ25" s="987"/>
      <c r="AK25" s="987"/>
    </row>
    <row r="26" spans="1:37" s="988" customFormat="1" ht="24" customHeight="1">
      <c r="A26" s="1182"/>
      <c r="B26" s="2353" t="s">
        <v>2944</v>
      </c>
      <c r="C26" s="2337" t="s">
        <v>3432</v>
      </c>
      <c r="D26" s="2337" t="s">
        <v>3429</v>
      </c>
      <c r="E26" s="2337" t="s">
        <v>3433</v>
      </c>
      <c r="F26" s="2369">
        <v>6815.8</v>
      </c>
      <c r="G26" s="984" t="s">
        <v>8</v>
      </c>
      <c r="H26" s="986">
        <f>SUM(H27:H30)</f>
        <v>0</v>
      </c>
      <c r="I26" s="983">
        <f t="shared" si="5"/>
        <v>0</v>
      </c>
      <c r="J26" s="1187">
        <f t="shared" ref="J26:M26" si="8">SUM(J27:J30)</f>
        <v>6815.8</v>
      </c>
      <c r="K26" s="986">
        <f t="shared" si="8"/>
        <v>6815.8</v>
      </c>
      <c r="L26" s="986">
        <f t="shared" si="8"/>
        <v>0</v>
      </c>
      <c r="M26" s="986">
        <f t="shared" si="8"/>
        <v>6815.8</v>
      </c>
      <c r="N26" s="2360">
        <f>M26/J26</f>
        <v>1</v>
      </c>
      <c r="O26" s="2360">
        <f>(I26+L26+M26)/F26</f>
        <v>1</v>
      </c>
      <c r="P26" s="2363">
        <f>F26-K26-H26</f>
        <v>0</v>
      </c>
      <c r="Q26" s="2379" t="s">
        <v>3435</v>
      </c>
      <c r="R26" s="987"/>
      <c r="S26" s="987"/>
      <c r="T26" s="987"/>
      <c r="U26" s="987"/>
      <c r="V26" s="987"/>
      <c r="W26" s="987"/>
      <c r="X26" s="987"/>
      <c r="Y26" s="987"/>
      <c r="Z26" s="987"/>
      <c r="AA26" s="987"/>
      <c r="AB26" s="987"/>
      <c r="AC26" s="987"/>
      <c r="AD26" s="987"/>
      <c r="AE26" s="987"/>
      <c r="AF26" s="987"/>
      <c r="AG26" s="987"/>
      <c r="AH26" s="987"/>
      <c r="AI26" s="987"/>
      <c r="AJ26" s="987"/>
      <c r="AK26" s="987"/>
    </row>
    <row r="27" spans="1:37" s="988" customFormat="1" ht="24" customHeight="1">
      <c r="A27" s="1183"/>
      <c r="B27" s="2354"/>
      <c r="C27" s="2338"/>
      <c r="D27" s="2338"/>
      <c r="E27" s="2338"/>
      <c r="F27" s="2370"/>
      <c r="G27" s="984" t="s">
        <v>9</v>
      </c>
      <c r="H27" s="986">
        <v>0</v>
      </c>
      <c r="I27" s="983">
        <v>0</v>
      </c>
      <c r="J27" s="1187">
        <v>6475</v>
      </c>
      <c r="K27" s="986">
        <v>6475</v>
      </c>
      <c r="L27" s="986">
        <v>0</v>
      </c>
      <c r="M27" s="986">
        <v>6475</v>
      </c>
      <c r="N27" s="2375"/>
      <c r="O27" s="2375"/>
      <c r="P27" s="2377"/>
      <c r="Q27" s="2380"/>
      <c r="R27" s="987"/>
      <c r="S27" s="987"/>
      <c r="T27" s="987"/>
      <c r="U27" s="987"/>
      <c r="V27" s="987"/>
      <c r="W27" s="987"/>
      <c r="X27" s="987"/>
      <c r="Y27" s="987"/>
      <c r="Z27" s="987"/>
      <c r="AA27" s="987"/>
      <c r="AB27" s="987"/>
      <c r="AC27" s="987"/>
      <c r="AD27" s="987"/>
      <c r="AE27" s="987"/>
      <c r="AF27" s="987"/>
      <c r="AG27" s="987"/>
      <c r="AH27" s="987"/>
      <c r="AI27" s="987"/>
      <c r="AJ27" s="987"/>
      <c r="AK27" s="987"/>
    </row>
    <row r="28" spans="1:37" s="988" customFormat="1" ht="24" customHeight="1">
      <c r="A28" s="1183">
        <v>4</v>
      </c>
      <c r="B28" s="2354"/>
      <c r="C28" s="2338"/>
      <c r="D28" s="2338"/>
      <c r="E28" s="2338"/>
      <c r="F28" s="2370"/>
      <c r="G28" s="984" t="s">
        <v>10</v>
      </c>
      <c r="H28" s="986">
        <v>0</v>
      </c>
      <c r="I28" s="983">
        <v>0</v>
      </c>
      <c r="J28" s="1187">
        <v>0</v>
      </c>
      <c r="K28" s="986">
        <v>0</v>
      </c>
      <c r="L28" s="986">
        <v>0</v>
      </c>
      <c r="M28" s="986">
        <v>0</v>
      </c>
      <c r="N28" s="2375"/>
      <c r="O28" s="2375"/>
      <c r="P28" s="2377"/>
      <c r="Q28" s="2380"/>
      <c r="R28" s="987"/>
      <c r="S28" s="987"/>
      <c r="T28" s="987"/>
      <c r="U28" s="987"/>
      <c r="V28" s="987"/>
      <c r="W28" s="987"/>
      <c r="X28" s="987"/>
      <c r="Y28" s="987"/>
      <c r="Z28" s="987"/>
      <c r="AA28" s="987"/>
      <c r="AB28" s="987"/>
      <c r="AC28" s="987"/>
      <c r="AD28" s="987"/>
      <c r="AE28" s="987"/>
      <c r="AF28" s="987"/>
      <c r="AG28" s="987"/>
      <c r="AH28" s="987"/>
      <c r="AI28" s="987"/>
      <c r="AJ28" s="987"/>
      <c r="AK28" s="987"/>
    </row>
    <row r="29" spans="1:37" s="988" customFormat="1" ht="24" customHeight="1">
      <c r="A29" s="1183"/>
      <c r="B29" s="2354"/>
      <c r="C29" s="2338"/>
      <c r="D29" s="2338"/>
      <c r="E29" s="2338"/>
      <c r="F29" s="2370"/>
      <c r="G29" s="984" t="s">
        <v>11</v>
      </c>
      <c r="H29" s="986">
        <v>0</v>
      </c>
      <c r="I29" s="983">
        <v>0</v>
      </c>
      <c r="J29" s="1187">
        <v>340.8</v>
      </c>
      <c r="K29" s="986">
        <v>340.8</v>
      </c>
      <c r="L29" s="986">
        <v>0</v>
      </c>
      <c r="M29" s="986">
        <v>340.8</v>
      </c>
      <c r="N29" s="2375"/>
      <c r="O29" s="2375"/>
      <c r="P29" s="2377"/>
      <c r="Q29" s="2380"/>
      <c r="R29" s="987"/>
      <c r="S29" s="987"/>
      <c r="T29" s="987"/>
      <c r="U29" s="987"/>
      <c r="V29" s="987"/>
      <c r="W29" s="987"/>
      <c r="X29" s="987"/>
      <c r="Y29" s="987"/>
      <c r="Z29" s="987"/>
      <c r="AA29" s="987"/>
      <c r="AB29" s="987"/>
      <c r="AC29" s="987"/>
      <c r="AD29" s="987"/>
      <c r="AE29" s="987"/>
      <c r="AF29" s="987"/>
      <c r="AG29" s="987"/>
      <c r="AH29" s="987"/>
      <c r="AI29" s="987"/>
      <c r="AJ29" s="987"/>
      <c r="AK29" s="987"/>
    </row>
    <row r="30" spans="1:37" s="988" customFormat="1" ht="24" customHeight="1">
      <c r="A30" s="1184"/>
      <c r="B30" s="2355"/>
      <c r="C30" s="2339"/>
      <c r="D30" s="2339"/>
      <c r="E30" s="2339"/>
      <c r="F30" s="2371"/>
      <c r="G30" s="984" t="s">
        <v>12</v>
      </c>
      <c r="H30" s="986">
        <v>0</v>
      </c>
      <c r="I30" s="983">
        <v>0</v>
      </c>
      <c r="J30" s="1187">
        <v>0</v>
      </c>
      <c r="K30" s="986">
        <v>0</v>
      </c>
      <c r="L30" s="986">
        <v>0</v>
      </c>
      <c r="M30" s="986">
        <v>0</v>
      </c>
      <c r="N30" s="2376"/>
      <c r="O30" s="2376"/>
      <c r="P30" s="2378"/>
      <c r="Q30" s="2381"/>
      <c r="R30" s="987"/>
      <c r="S30" s="987"/>
      <c r="T30" s="987"/>
      <c r="U30" s="987"/>
      <c r="V30" s="987"/>
      <c r="W30" s="987"/>
      <c r="X30" s="987"/>
      <c r="Y30" s="987"/>
      <c r="Z30" s="987"/>
      <c r="AA30" s="987"/>
      <c r="AB30" s="987"/>
      <c r="AC30" s="987"/>
      <c r="AD30" s="987"/>
      <c r="AE30" s="987"/>
      <c r="AF30" s="987"/>
      <c r="AG30" s="987"/>
      <c r="AH30" s="987"/>
      <c r="AI30" s="987"/>
      <c r="AJ30" s="987"/>
      <c r="AK30" s="987"/>
    </row>
    <row r="31" spans="1:37" s="988" customFormat="1" ht="24" customHeight="1">
      <c r="A31" s="1182"/>
      <c r="B31" s="2353" t="s">
        <v>2945</v>
      </c>
      <c r="C31" s="2337" t="s">
        <v>3436</v>
      </c>
      <c r="D31" s="2337" t="s">
        <v>3429</v>
      </c>
      <c r="E31" s="2337" t="s">
        <v>3437</v>
      </c>
      <c r="F31" s="2369">
        <v>6717.2</v>
      </c>
      <c r="G31" s="984" t="s">
        <v>8</v>
      </c>
      <c r="H31" s="986">
        <f>SUM(H32:H35)</f>
        <v>4802.3129999999992</v>
      </c>
      <c r="I31" s="986">
        <f>SUM(I32:I35)</f>
        <v>4802.3129999999992</v>
      </c>
      <c r="J31" s="1187">
        <f t="shared" ref="J31:M31" si="9">SUM(J32:J35)</f>
        <v>1914.8587199999999</v>
      </c>
      <c r="K31" s="986">
        <f t="shared" si="9"/>
        <v>1914.8587199999999</v>
      </c>
      <c r="L31" s="1165">
        <f t="shared" si="9"/>
        <v>0</v>
      </c>
      <c r="M31" s="1165">
        <f t="shared" si="9"/>
        <v>1914.8587199999999</v>
      </c>
      <c r="N31" s="2360">
        <f>M31/J31</f>
        <v>1</v>
      </c>
      <c r="O31" s="2360">
        <f>(I31+L31+M31)/F31</f>
        <v>0.99999578991246341</v>
      </c>
      <c r="P31" s="2366">
        <f>F31-H31-K31</f>
        <v>2.8280000000677319E-2</v>
      </c>
      <c r="Q31" s="2379" t="s">
        <v>3435</v>
      </c>
      <c r="R31" s="987"/>
      <c r="S31" s="987"/>
      <c r="T31" s="987"/>
      <c r="U31" s="987"/>
      <c r="V31" s="987"/>
      <c r="W31" s="987"/>
      <c r="X31" s="987"/>
      <c r="Y31" s="987"/>
      <c r="Z31" s="987"/>
      <c r="AA31" s="987"/>
      <c r="AB31" s="987"/>
      <c r="AC31" s="987"/>
      <c r="AD31" s="987"/>
      <c r="AE31" s="987"/>
      <c r="AF31" s="987"/>
      <c r="AG31" s="987"/>
      <c r="AH31" s="987"/>
      <c r="AI31" s="987"/>
      <c r="AJ31" s="987"/>
      <c r="AK31" s="987"/>
    </row>
    <row r="32" spans="1:37" s="988" customFormat="1" ht="24" customHeight="1">
      <c r="A32" s="1183"/>
      <c r="B32" s="2354"/>
      <c r="C32" s="2338"/>
      <c r="D32" s="2338"/>
      <c r="E32" s="2338"/>
      <c r="F32" s="2370"/>
      <c r="G32" s="984" t="s">
        <v>9</v>
      </c>
      <c r="H32" s="986">
        <v>4754.2898699999996</v>
      </c>
      <c r="I32" s="986">
        <v>4754.2898699999996</v>
      </c>
      <c r="J32" s="1187">
        <v>1895.7101299999999</v>
      </c>
      <c r="K32" s="986">
        <v>1895.7101299999999</v>
      </c>
      <c r="L32" s="1165">
        <v>0</v>
      </c>
      <c r="M32" s="1165">
        <v>1895.7101299999999</v>
      </c>
      <c r="N32" s="2361"/>
      <c r="O32" s="2375"/>
      <c r="P32" s="2367"/>
      <c r="Q32" s="2380"/>
      <c r="R32" s="987"/>
      <c r="S32" s="987"/>
      <c r="T32" s="987"/>
      <c r="U32" s="987"/>
      <c r="V32" s="987"/>
      <c r="W32" s="987"/>
      <c r="X32" s="987"/>
      <c r="Y32" s="987"/>
      <c r="Z32" s="987"/>
      <c r="AA32" s="987"/>
      <c r="AB32" s="987"/>
      <c r="AC32" s="987"/>
      <c r="AD32" s="987"/>
      <c r="AE32" s="987"/>
      <c r="AF32" s="987"/>
      <c r="AG32" s="987"/>
      <c r="AH32" s="987"/>
      <c r="AI32" s="987"/>
      <c r="AJ32" s="987"/>
      <c r="AK32" s="987"/>
    </row>
    <row r="33" spans="1:37" s="988" customFormat="1" ht="24" customHeight="1">
      <c r="A33" s="1183">
        <v>5</v>
      </c>
      <c r="B33" s="2354"/>
      <c r="C33" s="2338"/>
      <c r="D33" s="2338"/>
      <c r="E33" s="2338"/>
      <c r="F33" s="2370"/>
      <c r="G33" s="984" t="s">
        <v>10</v>
      </c>
      <c r="H33" s="986">
        <v>0</v>
      </c>
      <c r="I33" s="986">
        <v>0</v>
      </c>
      <c r="J33" s="1187">
        <v>0</v>
      </c>
      <c r="K33" s="986">
        <v>0</v>
      </c>
      <c r="L33" s="1165">
        <v>0</v>
      </c>
      <c r="M33" s="1165">
        <v>0</v>
      </c>
      <c r="N33" s="2361"/>
      <c r="O33" s="2375"/>
      <c r="P33" s="2367"/>
      <c r="Q33" s="2380"/>
      <c r="R33" s="987"/>
      <c r="S33" s="987"/>
      <c r="T33" s="987"/>
      <c r="U33" s="987"/>
      <c r="V33" s="987"/>
      <c r="W33" s="987"/>
      <c r="X33" s="987"/>
      <c r="Y33" s="987"/>
      <c r="Z33" s="987"/>
      <c r="AA33" s="987"/>
      <c r="AB33" s="987"/>
      <c r="AC33" s="987"/>
      <c r="AD33" s="987"/>
      <c r="AE33" s="987"/>
      <c r="AF33" s="987"/>
      <c r="AG33" s="987"/>
      <c r="AH33" s="987"/>
      <c r="AI33" s="987"/>
      <c r="AJ33" s="987"/>
      <c r="AK33" s="987"/>
    </row>
    <row r="34" spans="1:37" s="988" customFormat="1" ht="24" customHeight="1">
      <c r="A34" s="1183"/>
      <c r="B34" s="2354"/>
      <c r="C34" s="2338"/>
      <c r="D34" s="2338"/>
      <c r="E34" s="2338"/>
      <c r="F34" s="2370"/>
      <c r="G34" s="984" t="s">
        <v>11</v>
      </c>
      <c r="H34" s="986">
        <v>48.023130000000002</v>
      </c>
      <c r="I34" s="986">
        <v>48.023130000000002</v>
      </c>
      <c r="J34" s="1187">
        <v>19.148589999999999</v>
      </c>
      <c r="K34" s="986">
        <v>19.148589999999999</v>
      </c>
      <c r="L34" s="1165">
        <v>0</v>
      </c>
      <c r="M34" s="1165">
        <v>19.148589999999999</v>
      </c>
      <c r="N34" s="2361"/>
      <c r="O34" s="2375"/>
      <c r="P34" s="2367"/>
      <c r="Q34" s="2380"/>
      <c r="R34" s="987"/>
      <c r="S34" s="987"/>
      <c r="T34" s="987"/>
      <c r="U34" s="987"/>
      <c r="V34" s="987"/>
      <c r="W34" s="987"/>
      <c r="X34" s="987"/>
      <c r="Y34" s="987"/>
      <c r="Z34" s="987"/>
      <c r="AA34" s="987"/>
      <c r="AB34" s="987"/>
      <c r="AC34" s="987"/>
      <c r="AD34" s="987"/>
      <c r="AE34" s="987"/>
      <c r="AF34" s="987"/>
      <c r="AG34" s="987"/>
      <c r="AH34" s="987"/>
      <c r="AI34" s="987"/>
      <c r="AJ34" s="987"/>
      <c r="AK34" s="987"/>
    </row>
    <row r="35" spans="1:37" s="988" customFormat="1" ht="24" customHeight="1">
      <c r="A35" s="1184"/>
      <c r="B35" s="2355"/>
      <c r="C35" s="2339"/>
      <c r="D35" s="2339"/>
      <c r="E35" s="2339"/>
      <c r="F35" s="2371"/>
      <c r="G35" s="984" t="s">
        <v>12</v>
      </c>
      <c r="H35" s="986">
        <v>0</v>
      </c>
      <c r="I35" s="983">
        <f t="shared" si="5"/>
        <v>0</v>
      </c>
      <c r="J35" s="1187">
        <v>0</v>
      </c>
      <c r="K35" s="986">
        <v>0</v>
      </c>
      <c r="L35" s="986">
        <v>0</v>
      </c>
      <c r="M35" s="986">
        <v>0</v>
      </c>
      <c r="N35" s="2362"/>
      <c r="O35" s="2376"/>
      <c r="P35" s="2368"/>
      <c r="Q35" s="2381"/>
      <c r="R35" s="987"/>
      <c r="S35" s="987"/>
      <c r="T35" s="987"/>
      <c r="U35" s="987"/>
      <c r="V35" s="987"/>
      <c r="W35" s="987"/>
      <c r="X35" s="987"/>
      <c r="Y35" s="987"/>
      <c r="Z35" s="987"/>
      <c r="AA35" s="987"/>
      <c r="AB35" s="987"/>
      <c r="AC35" s="987"/>
      <c r="AD35" s="987"/>
      <c r="AE35" s="987"/>
      <c r="AF35" s="987"/>
      <c r="AG35" s="987"/>
      <c r="AH35" s="987"/>
      <c r="AI35" s="987"/>
      <c r="AJ35" s="987"/>
      <c r="AK35" s="987"/>
    </row>
    <row r="36" spans="1:37" s="988" customFormat="1" ht="24" customHeight="1">
      <c r="A36" s="1182"/>
      <c r="B36" s="2353" t="s">
        <v>3438</v>
      </c>
      <c r="C36" s="2337" t="s">
        <v>3439</v>
      </c>
      <c r="D36" s="2337" t="s">
        <v>3429</v>
      </c>
      <c r="E36" s="2384" t="s">
        <v>3507</v>
      </c>
      <c r="F36" s="2369">
        <v>349770.9</v>
      </c>
      <c r="G36" s="984" t="s">
        <v>8</v>
      </c>
      <c r="H36" s="986">
        <f>SUM(H37:H40)</f>
        <v>0</v>
      </c>
      <c r="I36" s="983">
        <f t="shared" si="5"/>
        <v>0</v>
      </c>
      <c r="J36" s="986">
        <f t="shared" ref="J36:M36" si="10">SUM(J37:J40)</f>
        <v>135522.9</v>
      </c>
      <c r="K36" s="986">
        <f t="shared" si="10"/>
        <v>67761.5</v>
      </c>
      <c r="L36" s="986">
        <f t="shared" si="10"/>
        <v>67761.5</v>
      </c>
      <c r="M36" s="986">
        <f t="shared" si="10"/>
        <v>0</v>
      </c>
      <c r="N36" s="2360">
        <f>L36/J36</f>
        <v>0.50000036894133759</v>
      </c>
      <c r="O36" s="2360">
        <f>(I36+L36+M36)/F36</f>
        <v>0.19373109655491635</v>
      </c>
      <c r="P36" s="2363">
        <f>F36-H36-K36</f>
        <v>282009.40000000002</v>
      </c>
      <c r="Q36" s="2372" t="s">
        <v>3508</v>
      </c>
      <c r="R36" s="987"/>
      <c r="S36" s="987"/>
      <c r="T36" s="987"/>
      <c r="U36" s="987"/>
      <c r="V36" s="987"/>
      <c r="W36" s="987"/>
      <c r="X36" s="987"/>
      <c r="Y36" s="987"/>
      <c r="Z36" s="987"/>
      <c r="AA36" s="987"/>
      <c r="AB36" s="987"/>
      <c r="AC36" s="987"/>
      <c r="AD36" s="987"/>
      <c r="AE36" s="987"/>
      <c r="AF36" s="987"/>
      <c r="AG36" s="987"/>
      <c r="AH36" s="987"/>
      <c r="AI36" s="987"/>
      <c r="AJ36" s="987"/>
      <c r="AK36" s="987"/>
    </row>
    <row r="37" spans="1:37" s="988" customFormat="1" ht="24" customHeight="1">
      <c r="A37" s="1183"/>
      <c r="B37" s="2354"/>
      <c r="C37" s="2338"/>
      <c r="D37" s="2338"/>
      <c r="E37" s="2361"/>
      <c r="F37" s="2370"/>
      <c r="G37" s="984" t="s">
        <v>9</v>
      </c>
      <c r="H37" s="986">
        <v>0</v>
      </c>
      <c r="I37" s="983">
        <f t="shared" si="5"/>
        <v>0</v>
      </c>
      <c r="J37" s="986">
        <v>7725.3</v>
      </c>
      <c r="K37" s="1165">
        <v>3862.7</v>
      </c>
      <c r="L37" s="986">
        <v>3862.7</v>
      </c>
      <c r="M37" s="986">
        <v>0</v>
      </c>
      <c r="N37" s="2375"/>
      <c r="O37" s="2375"/>
      <c r="P37" s="2364"/>
      <c r="Q37" s="2373"/>
      <c r="R37" s="987"/>
      <c r="S37" s="987"/>
      <c r="T37" s="987"/>
      <c r="U37" s="987"/>
      <c r="V37" s="987"/>
      <c r="W37" s="987"/>
      <c r="X37" s="987"/>
      <c r="Y37" s="987"/>
      <c r="Z37" s="987"/>
      <c r="AA37" s="987"/>
      <c r="AB37" s="987"/>
      <c r="AC37" s="987"/>
      <c r="AD37" s="987"/>
      <c r="AE37" s="987"/>
      <c r="AF37" s="987"/>
      <c r="AG37" s="987"/>
      <c r="AH37" s="987"/>
      <c r="AI37" s="987"/>
      <c r="AJ37" s="987"/>
      <c r="AK37" s="987"/>
    </row>
    <row r="38" spans="1:37" s="988" customFormat="1" ht="24" customHeight="1">
      <c r="A38" s="1183">
        <v>6</v>
      </c>
      <c r="B38" s="2354"/>
      <c r="C38" s="2338"/>
      <c r="D38" s="2338"/>
      <c r="E38" s="2361"/>
      <c r="F38" s="2370"/>
      <c r="G38" s="984" t="s">
        <v>10</v>
      </c>
      <c r="H38" s="986">
        <v>0</v>
      </c>
      <c r="I38" s="983">
        <f t="shared" si="5"/>
        <v>0</v>
      </c>
      <c r="J38" s="986">
        <v>127391</v>
      </c>
      <c r="K38" s="986">
        <v>63695.5</v>
      </c>
      <c r="L38" s="986">
        <v>63695.5</v>
      </c>
      <c r="M38" s="986">
        <v>0</v>
      </c>
      <c r="N38" s="2375"/>
      <c r="O38" s="2375"/>
      <c r="P38" s="2364"/>
      <c r="Q38" s="2373"/>
      <c r="R38" s="987"/>
      <c r="S38" s="987"/>
      <c r="T38" s="987"/>
      <c r="U38" s="987"/>
      <c r="V38" s="987"/>
      <c r="W38" s="987"/>
      <c r="X38" s="987"/>
      <c r="Y38" s="987"/>
      <c r="Z38" s="987"/>
      <c r="AA38" s="987"/>
      <c r="AB38" s="987"/>
      <c r="AC38" s="987"/>
      <c r="AD38" s="987"/>
      <c r="AE38" s="987"/>
      <c r="AF38" s="987"/>
      <c r="AG38" s="987"/>
      <c r="AH38" s="987"/>
      <c r="AI38" s="987"/>
      <c r="AJ38" s="987"/>
      <c r="AK38" s="987"/>
    </row>
    <row r="39" spans="1:37" s="988" customFormat="1" ht="24" customHeight="1">
      <c r="A39" s="1183"/>
      <c r="B39" s="2354"/>
      <c r="C39" s="2338"/>
      <c r="D39" s="2338"/>
      <c r="E39" s="2361"/>
      <c r="F39" s="2370"/>
      <c r="G39" s="984" t="s">
        <v>11</v>
      </c>
      <c r="H39" s="986">
        <v>0</v>
      </c>
      <c r="I39" s="983">
        <f t="shared" si="5"/>
        <v>0</v>
      </c>
      <c r="J39" s="986">
        <v>406.6</v>
      </c>
      <c r="K39" s="986">
        <v>203.3</v>
      </c>
      <c r="L39" s="986">
        <v>203.3</v>
      </c>
      <c r="M39" s="986">
        <v>0</v>
      </c>
      <c r="N39" s="2375"/>
      <c r="O39" s="2375"/>
      <c r="P39" s="2364"/>
      <c r="Q39" s="2373"/>
      <c r="R39" s="987"/>
      <c r="S39" s="987"/>
      <c r="T39" s="987"/>
      <c r="U39" s="987"/>
      <c r="V39" s="987"/>
      <c r="W39" s="987"/>
      <c r="X39" s="987"/>
      <c r="Y39" s="987"/>
      <c r="Z39" s="987"/>
      <c r="AA39" s="987"/>
      <c r="AB39" s="987"/>
      <c r="AC39" s="987"/>
      <c r="AD39" s="987"/>
      <c r="AE39" s="987"/>
      <c r="AF39" s="987"/>
      <c r="AG39" s="987"/>
      <c r="AH39" s="987"/>
      <c r="AI39" s="987"/>
      <c r="AJ39" s="987"/>
      <c r="AK39" s="987"/>
    </row>
    <row r="40" spans="1:37" s="988" customFormat="1" ht="24" customHeight="1">
      <c r="A40" s="1184"/>
      <c r="B40" s="2355"/>
      <c r="C40" s="2339"/>
      <c r="D40" s="2339"/>
      <c r="E40" s="2362"/>
      <c r="F40" s="2371"/>
      <c r="G40" s="984" t="s">
        <v>12</v>
      </c>
      <c r="H40" s="986">
        <v>0</v>
      </c>
      <c r="I40" s="983">
        <f t="shared" si="5"/>
        <v>0</v>
      </c>
      <c r="J40" s="986">
        <v>0</v>
      </c>
      <c r="K40" s="986">
        <v>0</v>
      </c>
      <c r="L40" s="986">
        <v>0</v>
      </c>
      <c r="M40" s="986">
        <v>0</v>
      </c>
      <c r="N40" s="2376"/>
      <c r="O40" s="2376"/>
      <c r="P40" s="2365"/>
      <c r="Q40" s="2374"/>
      <c r="R40" s="987"/>
      <c r="S40" s="987"/>
      <c r="T40" s="987"/>
      <c r="U40" s="987"/>
      <c r="V40" s="987"/>
      <c r="W40" s="987"/>
      <c r="X40" s="987"/>
      <c r="Y40" s="987"/>
      <c r="Z40" s="987"/>
      <c r="AA40" s="987"/>
      <c r="AB40" s="987"/>
      <c r="AC40" s="987"/>
      <c r="AD40" s="987"/>
      <c r="AE40" s="987"/>
      <c r="AF40" s="987"/>
      <c r="AG40" s="987"/>
      <c r="AH40" s="987"/>
      <c r="AI40" s="987"/>
      <c r="AJ40" s="987"/>
      <c r="AK40" s="987"/>
    </row>
    <row r="41" spans="1:37">
      <c r="A41" s="2382" t="s">
        <v>3440</v>
      </c>
      <c r="B41" s="2383"/>
      <c r="C41" s="2383"/>
      <c r="D41" s="2383"/>
      <c r="E41" s="2383"/>
      <c r="F41" s="2383"/>
      <c r="G41" s="2383"/>
      <c r="H41" s="2383"/>
      <c r="I41" s="2383"/>
      <c r="J41" s="2383"/>
      <c r="K41" s="2383"/>
      <c r="L41" s="2383"/>
      <c r="M41" s="2383"/>
      <c r="N41" s="2383"/>
      <c r="O41" s="2383"/>
      <c r="P41" s="2383"/>
      <c r="R41" s="994"/>
      <c r="S41" s="995"/>
    </row>
    <row r="42" spans="1:37">
      <c r="A42" s="2382" t="s">
        <v>3441</v>
      </c>
      <c r="B42" s="2383"/>
      <c r="C42" s="2383"/>
      <c r="D42" s="2383"/>
      <c r="E42" s="2383"/>
      <c r="F42" s="2383"/>
      <c r="G42" s="2383"/>
      <c r="H42" s="2383"/>
      <c r="I42" s="2383"/>
      <c r="J42" s="2383"/>
      <c r="K42" s="2383"/>
      <c r="L42" s="2383"/>
      <c r="M42" s="2383"/>
      <c r="N42" s="2383"/>
      <c r="O42" s="2383"/>
      <c r="P42" s="2383"/>
      <c r="Q42" s="994"/>
      <c r="R42" s="994"/>
      <c r="S42" s="995"/>
    </row>
    <row r="43" spans="1:37">
      <c r="A43" s="2382" t="s">
        <v>3442</v>
      </c>
      <c r="B43" s="2383"/>
      <c r="C43" s="2383"/>
      <c r="D43" s="2383"/>
      <c r="E43" s="2383"/>
      <c r="F43" s="2383"/>
      <c r="G43" s="2383"/>
      <c r="H43" s="2383"/>
      <c r="I43" s="2383"/>
      <c r="J43" s="2383"/>
      <c r="K43" s="2383"/>
      <c r="L43" s="2383"/>
      <c r="M43" s="2383"/>
      <c r="N43" s="2383"/>
      <c r="O43" s="2383"/>
      <c r="P43" s="2383"/>
      <c r="Q43" s="994"/>
      <c r="R43" s="994"/>
      <c r="S43" s="995"/>
    </row>
    <row r="44" spans="1:37">
      <c r="A44" s="2382" t="s">
        <v>3443</v>
      </c>
      <c r="B44" s="2383"/>
      <c r="C44" s="2383"/>
      <c r="D44" s="2383"/>
      <c r="E44" s="2383"/>
      <c r="F44" s="2383"/>
      <c r="G44" s="2383"/>
      <c r="H44" s="2383"/>
      <c r="I44" s="2383"/>
      <c r="J44" s="2383"/>
      <c r="K44" s="2383"/>
      <c r="L44" s="2383"/>
      <c r="M44" s="2383"/>
      <c r="N44" s="2383"/>
      <c r="O44" s="2383"/>
      <c r="P44" s="2383"/>
      <c r="R44" s="994"/>
      <c r="S44" s="995"/>
    </row>
  </sheetData>
  <mergeCells count="80">
    <mergeCell ref="A44:P44"/>
    <mergeCell ref="N36:N40"/>
    <mergeCell ref="O36:O40"/>
    <mergeCell ref="P36:P40"/>
    <mergeCell ref="B31:B35"/>
    <mergeCell ref="C31:C35"/>
    <mergeCell ref="D31:D35"/>
    <mergeCell ref="A42:P42"/>
    <mergeCell ref="A43:P43"/>
    <mergeCell ref="A41:P41"/>
    <mergeCell ref="B36:B40"/>
    <mergeCell ref="C36:C40"/>
    <mergeCell ref="D36:D40"/>
    <mergeCell ref="E36:E40"/>
    <mergeCell ref="F36:F40"/>
    <mergeCell ref="O31:O35"/>
    <mergeCell ref="P31:P35"/>
    <mergeCell ref="E26:E30"/>
    <mergeCell ref="F26:F30"/>
    <mergeCell ref="Q36:Q40"/>
    <mergeCell ref="N26:N30"/>
    <mergeCell ref="O26:O30"/>
    <mergeCell ref="P26:P30"/>
    <mergeCell ref="Q26:Q30"/>
    <mergeCell ref="Q31:Q35"/>
    <mergeCell ref="E31:E35"/>
    <mergeCell ref="F31:F35"/>
    <mergeCell ref="N31:N35"/>
    <mergeCell ref="B26:B30"/>
    <mergeCell ref="C26:C30"/>
    <mergeCell ref="D26:D30"/>
    <mergeCell ref="Q16:Q20"/>
    <mergeCell ref="F21:F25"/>
    <mergeCell ref="N21:N25"/>
    <mergeCell ref="O21:O25"/>
    <mergeCell ref="P21:P25"/>
    <mergeCell ref="Q21:Q25"/>
    <mergeCell ref="N16:N20"/>
    <mergeCell ref="O16:O20"/>
    <mergeCell ref="P16:P20"/>
    <mergeCell ref="A21:A25"/>
    <mergeCell ref="B21:B25"/>
    <mergeCell ref="C21:C25"/>
    <mergeCell ref="D21:D25"/>
    <mergeCell ref="E21:E25"/>
    <mergeCell ref="N12:N15"/>
    <mergeCell ref="O12:O15"/>
    <mergeCell ref="P12:P15"/>
    <mergeCell ref="Q12:Q15"/>
    <mergeCell ref="A16:A20"/>
    <mergeCell ref="B16:B20"/>
    <mergeCell ref="C16:C20"/>
    <mergeCell ref="D16:D20"/>
    <mergeCell ref="E16:E20"/>
    <mergeCell ref="F16:F20"/>
    <mergeCell ref="A12:A15"/>
    <mergeCell ref="B12:B15"/>
    <mergeCell ref="C12:C15"/>
    <mergeCell ref="D12:D15"/>
    <mergeCell ref="E12:E15"/>
    <mergeCell ref="F12:F15"/>
    <mergeCell ref="A6:A10"/>
    <mergeCell ref="B6:F10"/>
    <mergeCell ref="O6:O10"/>
    <mergeCell ref="P6:P10"/>
    <mergeCell ref="Q6:Q10"/>
    <mergeCell ref="A2:Q2"/>
    <mergeCell ref="A4:A5"/>
    <mergeCell ref="B4:B5"/>
    <mergeCell ref="C4:C5"/>
    <mergeCell ref="D4:D5"/>
    <mergeCell ref="E4:E5"/>
    <mergeCell ref="F4:F5"/>
    <mergeCell ref="G4:G5"/>
    <mergeCell ref="H4:I4"/>
    <mergeCell ref="J4:J5"/>
    <mergeCell ref="K4:N4"/>
    <mergeCell ref="O4:O5"/>
    <mergeCell ref="P4:P5"/>
    <mergeCell ref="Q4:Q5"/>
  </mergeCells>
  <pageMargins left="0.19685039370078741" right="0.19685039370078741" top="0.74803149606299213" bottom="0.74803149606299213" header="0.31496062992125984" footer="0.31496062992125984"/>
  <pageSetup paperSize="9" scale="6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R267"/>
  <sheetViews>
    <sheetView showGridLines="0" topLeftCell="B1" workbookViewId="0">
      <pane ySplit="5" topLeftCell="A6" activePane="bottomLeft" state="frozen"/>
      <selection pane="bottomLeft" activeCell="P197" sqref="P197:P198"/>
    </sheetView>
  </sheetViews>
  <sheetFormatPr defaultColWidth="9.140625" defaultRowHeight="15" outlineLevelRow="5"/>
  <cols>
    <col min="1" max="1" width="6.7109375" style="830" customWidth="1"/>
    <col min="2" max="2" width="7.5703125" style="830" customWidth="1"/>
    <col min="3" max="3" width="11.5703125" style="830" customWidth="1"/>
    <col min="4" max="4" width="6.7109375" style="830" customWidth="1"/>
    <col min="5" max="6" width="10.7109375" style="830" customWidth="1"/>
    <col min="7" max="7" width="40.5703125" style="830" customWidth="1"/>
    <col min="8" max="8" width="10.7109375" style="830" customWidth="1"/>
    <col min="9" max="10" width="17.7109375" style="830" hidden="1" customWidth="1"/>
    <col min="11" max="11" width="17.7109375" style="830" customWidth="1"/>
    <col min="12" max="13" width="17.7109375" style="830" hidden="1" customWidth="1"/>
    <col min="14" max="18" width="17.7109375" style="830" customWidth="1"/>
    <col min="19" max="16384" width="9.140625" style="830"/>
  </cols>
  <sheetData>
    <row r="1" spans="1:18" ht="15.95" customHeight="1">
      <c r="A1" s="2385" t="s">
        <v>3605</v>
      </c>
      <c r="B1" s="2386"/>
      <c r="C1" s="2386"/>
      <c r="D1" s="2386"/>
      <c r="E1" s="2386"/>
      <c r="F1" s="2386"/>
      <c r="G1" s="2386"/>
      <c r="H1" s="2386"/>
      <c r="I1" s="2386"/>
      <c r="J1" s="2386"/>
      <c r="K1" s="2386"/>
      <c r="L1" s="2386"/>
      <c r="M1" s="2386"/>
      <c r="N1" s="2386"/>
      <c r="O1" s="2386"/>
      <c r="P1" s="2386"/>
      <c r="Q1" s="2386"/>
      <c r="R1" s="2386"/>
    </row>
    <row r="2" spans="1:18" ht="15.95" customHeight="1">
      <c r="A2" s="2385" t="s">
        <v>3606</v>
      </c>
      <c r="B2" s="2386"/>
      <c r="C2" s="2386"/>
      <c r="D2" s="2386"/>
      <c r="E2" s="2386"/>
      <c r="F2" s="2386"/>
      <c r="G2" s="2386"/>
      <c r="H2" s="2386"/>
      <c r="I2" s="2386"/>
      <c r="J2" s="2386"/>
      <c r="K2" s="2386"/>
      <c r="L2" s="2386"/>
      <c r="M2" s="2386"/>
      <c r="N2" s="2386"/>
      <c r="O2" s="2386"/>
      <c r="P2" s="2386"/>
      <c r="Q2" s="2386"/>
      <c r="R2" s="2386"/>
    </row>
    <row r="3" spans="1:18" ht="15.2" customHeight="1">
      <c r="A3" s="2387" t="s">
        <v>3363</v>
      </c>
      <c r="B3" s="2388"/>
      <c r="C3" s="2388"/>
      <c r="D3" s="2388"/>
      <c r="E3" s="2388"/>
      <c r="F3" s="2388"/>
      <c r="G3" s="2388"/>
      <c r="H3" s="2388"/>
      <c r="I3" s="2388"/>
      <c r="J3" s="2388"/>
      <c r="K3" s="2388"/>
      <c r="L3" s="2388"/>
      <c r="M3" s="2388"/>
      <c r="N3" s="2388"/>
      <c r="O3" s="2388"/>
      <c r="P3" s="2388"/>
      <c r="Q3" s="2388"/>
      <c r="R3" s="2388"/>
    </row>
    <row r="4" spans="1:18" ht="38.25">
      <c r="A4" s="455" t="s">
        <v>680</v>
      </c>
      <c r="B4" s="456" t="s">
        <v>3603</v>
      </c>
      <c r="C4" s="456" t="s">
        <v>3602</v>
      </c>
      <c r="D4" s="456" t="s">
        <v>3601</v>
      </c>
      <c r="E4" s="456" t="s">
        <v>3600</v>
      </c>
      <c r="F4" s="456" t="s">
        <v>3362</v>
      </c>
      <c r="G4" s="456" t="s">
        <v>3599</v>
      </c>
      <c r="H4" s="456" t="s">
        <v>139</v>
      </c>
      <c r="I4" s="456" t="s">
        <v>3598</v>
      </c>
      <c r="J4" s="456" t="s">
        <v>3597</v>
      </c>
      <c r="K4" s="456" t="s">
        <v>3596</v>
      </c>
      <c r="L4" s="456" t="s">
        <v>3595</v>
      </c>
      <c r="M4" s="456" t="s">
        <v>3594</v>
      </c>
      <c r="N4" s="456" t="s">
        <v>3593</v>
      </c>
      <c r="O4" s="456" t="s">
        <v>683</v>
      </c>
      <c r="P4" s="456"/>
      <c r="Q4" s="456" t="s">
        <v>684</v>
      </c>
      <c r="R4" s="457" t="s">
        <v>3592</v>
      </c>
    </row>
    <row r="5" spans="1:18">
      <c r="A5" s="458" t="s">
        <v>687</v>
      </c>
      <c r="B5" s="459" t="s">
        <v>485</v>
      </c>
      <c r="C5" s="459" t="s">
        <v>688</v>
      </c>
      <c r="D5" s="459" t="s">
        <v>689</v>
      </c>
      <c r="E5" s="459" t="s">
        <v>690</v>
      </c>
      <c r="F5" s="459" t="s">
        <v>691</v>
      </c>
      <c r="G5" s="459" t="s">
        <v>692</v>
      </c>
      <c r="H5" s="459" t="s">
        <v>693</v>
      </c>
      <c r="I5" s="459" t="s">
        <v>694</v>
      </c>
      <c r="J5" s="459" t="s">
        <v>695</v>
      </c>
      <c r="K5" s="459" t="s">
        <v>3359</v>
      </c>
      <c r="L5" s="459" t="s">
        <v>3358</v>
      </c>
      <c r="M5" s="459" t="s">
        <v>3591</v>
      </c>
      <c r="N5" s="459" t="s">
        <v>3590</v>
      </c>
      <c r="O5" s="459" t="s">
        <v>3589</v>
      </c>
      <c r="P5" s="459"/>
      <c r="Q5" s="459" t="s">
        <v>3588</v>
      </c>
      <c r="R5" s="460" t="s">
        <v>3587</v>
      </c>
    </row>
    <row r="6" spans="1:18" ht="15.75" hidden="1" thickBot="1">
      <c r="A6" s="1218" t="s">
        <v>717</v>
      </c>
      <c r="B6" s="853"/>
      <c r="C6" s="853"/>
      <c r="D6" s="853"/>
      <c r="E6" s="853"/>
      <c r="F6" s="853"/>
      <c r="G6" s="463"/>
      <c r="H6" s="853"/>
      <c r="I6" s="852">
        <v>1345983197</v>
      </c>
      <c r="J6" s="852">
        <v>106980627.06999999</v>
      </c>
      <c r="K6" s="852">
        <v>1452963824.0699999</v>
      </c>
      <c r="L6" s="852">
        <v>105730101.17</v>
      </c>
      <c r="M6" s="852">
        <v>1325875423.24</v>
      </c>
      <c r="N6" s="852">
        <v>1431605524.4100001</v>
      </c>
      <c r="O6" s="852">
        <v>1117796793.71</v>
      </c>
      <c r="P6" s="852"/>
      <c r="Q6" s="852">
        <v>1089899777.0999999</v>
      </c>
      <c r="R6" s="1217">
        <v>335167030.36000001</v>
      </c>
    </row>
    <row r="7" spans="1:18" hidden="1" outlineLevel="1">
      <c r="A7" s="1216" t="s">
        <v>717</v>
      </c>
      <c r="B7" s="467" t="s">
        <v>3574</v>
      </c>
      <c r="C7" s="467"/>
      <c r="D7" s="467"/>
      <c r="E7" s="467"/>
      <c r="F7" s="467"/>
      <c r="G7" s="468"/>
      <c r="H7" s="467"/>
      <c r="I7" s="469">
        <v>186113046.81</v>
      </c>
      <c r="J7" s="469">
        <v>-14666040.210000001</v>
      </c>
      <c r="K7" s="469">
        <v>171447006.59999999</v>
      </c>
      <c r="L7" s="469">
        <v>44487872.340000004</v>
      </c>
      <c r="M7" s="469">
        <v>124751415.2</v>
      </c>
      <c r="N7" s="469">
        <v>169239287.53999999</v>
      </c>
      <c r="O7" s="469">
        <v>130079349.29000001</v>
      </c>
      <c r="P7" s="469"/>
      <c r="Q7" s="469">
        <v>126768579.14</v>
      </c>
      <c r="R7" s="1215">
        <v>41367657.310000002</v>
      </c>
    </row>
    <row r="8" spans="1:18" hidden="1" outlineLevel="2">
      <c r="A8" s="1214" t="s">
        <v>717</v>
      </c>
      <c r="B8" s="472" t="s">
        <v>3574</v>
      </c>
      <c r="C8" s="472" t="s">
        <v>3351</v>
      </c>
      <c r="D8" s="472"/>
      <c r="E8" s="472"/>
      <c r="F8" s="472"/>
      <c r="G8" s="473"/>
      <c r="H8" s="472"/>
      <c r="I8" s="474">
        <v>2400000</v>
      </c>
      <c r="J8" s="474">
        <v>-1523169.45</v>
      </c>
      <c r="K8" s="474">
        <v>876830.55</v>
      </c>
      <c r="L8" s="474">
        <v>0</v>
      </c>
      <c r="M8" s="474">
        <v>758620.69</v>
      </c>
      <c r="N8" s="474">
        <v>758620.69</v>
      </c>
      <c r="O8" s="474">
        <v>758620.69</v>
      </c>
      <c r="P8" s="474"/>
      <c r="Q8" s="474">
        <v>758620.69</v>
      </c>
      <c r="R8" s="1213">
        <v>118209.86</v>
      </c>
    </row>
    <row r="9" spans="1:18" hidden="1" outlineLevel="3">
      <c r="A9" s="1212" t="s">
        <v>717</v>
      </c>
      <c r="B9" s="477" t="s">
        <v>3574</v>
      </c>
      <c r="C9" s="477" t="s">
        <v>3351</v>
      </c>
      <c r="D9" s="477" t="s">
        <v>3553</v>
      </c>
      <c r="E9" s="477"/>
      <c r="F9" s="477"/>
      <c r="G9" s="478"/>
      <c r="H9" s="477"/>
      <c r="I9" s="479">
        <v>0</v>
      </c>
      <c r="J9" s="479">
        <v>118209.86</v>
      </c>
      <c r="K9" s="479">
        <v>118209.86</v>
      </c>
      <c r="L9" s="479">
        <v>0</v>
      </c>
      <c r="M9" s="479">
        <v>0</v>
      </c>
      <c r="N9" s="479">
        <v>0</v>
      </c>
      <c r="O9" s="479">
        <v>0</v>
      </c>
      <c r="P9" s="479"/>
      <c r="Q9" s="479">
        <v>0</v>
      </c>
      <c r="R9" s="1211">
        <v>118209.86</v>
      </c>
    </row>
    <row r="10" spans="1:18" hidden="1" outlineLevel="4">
      <c r="A10" s="1210" t="s">
        <v>717</v>
      </c>
      <c r="B10" s="482" t="s">
        <v>3574</v>
      </c>
      <c r="C10" s="482" t="s">
        <v>3351</v>
      </c>
      <c r="D10" s="482" t="s">
        <v>3553</v>
      </c>
      <c r="E10" s="482" t="s">
        <v>3550</v>
      </c>
      <c r="F10" s="482"/>
      <c r="G10" s="831"/>
      <c r="H10" s="482"/>
      <c r="I10" s="484">
        <v>0</v>
      </c>
      <c r="J10" s="484">
        <v>118209.86</v>
      </c>
      <c r="K10" s="484">
        <v>118209.86</v>
      </c>
      <c r="L10" s="484">
        <v>0</v>
      </c>
      <c r="M10" s="484">
        <v>0</v>
      </c>
      <c r="N10" s="484">
        <v>0</v>
      </c>
      <c r="O10" s="484">
        <v>0</v>
      </c>
      <c r="P10" s="484"/>
      <c r="Q10" s="484">
        <v>0</v>
      </c>
      <c r="R10" s="1209">
        <v>118209.86</v>
      </c>
    </row>
    <row r="11" spans="1:18" ht="25.5" hidden="1" outlineLevel="5">
      <c r="A11" s="1208" t="s">
        <v>717</v>
      </c>
      <c r="B11" s="1206" t="s">
        <v>3574</v>
      </c>
      <c r="C11" s="1206" t="s">
        <v>3351</v>
      </c>
      <c r="D11" s="1206" t="s">
        <v>3553</v>
      </c>
      <c r="E11" s="1206" t="s">
        <v>3550</v>
      </c>
      <c r="F11" s="1206" t="s">
        <v>3586</v>
      </c>
      <c r="G11" s="1207" t="s">
        <v>3585</v>
      </c>
      <c r="H11" s="1206" t="s">
        <v>3241</v>
      </c>
      <c r="I11" s="1205">
        <v>0</v>
      </c>
      <c r="J11" s="1205">
        <v>118209.86</v>
      </c>
      <c r="K11" s="1205">
        <v>118209.86</v>
      </c>
      <c r="L11" s="1205">
        <v>0</v>
      </c>
      <c r="M11" s="1205">
        <v>0</v>
      </c>
      <c r="N11" s="1205">
        <v>0</v>
      </c>
      <c r="O11" s="1205">
        <v>0</v>
      </c>
      <c r="P11" s="1205"/>
      <c r="Q11" s="1205">
        <v>0</v>
      </c>
      <c r="R11" s="1204">
        <v>118209.86</v>
      </c>
    </row>
    <row r="12" spans="1:18" hidden="1" outlineLevel="3">
      <c r="A12" s="1212" t="s">
        <v>717</v>
      </c>
      <c r="B12" s="477" t="s">
        <v>3574</v>
      </c>
      <c r="C12" s="477" t="s">
        <v>3351</v>
      </c>
      <c r="D12" s="477" t="s">
        <v>3564</v>
      </c>
      <c r="E12" s="477"/>
      <c r="F12" s="477"/>
      <c r="G12" s="478"/>
      <c r="H12" s="477"/>
      <c r="I12" s="479">
        <v>2400000</v>
      </c>
      <c r="J12" s="479">
        <v>-1641379.31</v>
      </c>
      <c r="K12" s="479">
        <v>758620.69</v>
      </c>
      <c r="L12" s="479">
        <v>0</v>
      </c>
      <c r="M12" s="479">
        <v>758620.69</v>
      </c>
      <c r="N12" s="479">
        <v>758620.69</v>
      </c>
      <c r="O12" s="479">
        <v>758620.69</v>
      </c>
      <c r="P12" s="479"/>
      <c r="Q12" s="479">
        <v>758620.69</v>
      </c>
      <c r="R12" s="1211">
        <v>0</v>
      </c>
    </row>
    <row r="13" spans="1:18" hidden="1" outlineLevel="4">
      <c r="A13" s="1210" t="s">
        <v>717</v>
      </c>
      <c r="B13" s="482" t="s">
        <v>3574</v>
      </c>
      <c r="C13" s="482" t="s">
        <v>3351</v>
      </c>
      <c r="D13" s="482" t="s">
        <v>3564</v>
      </c>
      <c r="E13" s="482" t="s">
        <v>3550</v>
      </c>
      <c r="F13" s="482"/>
      <c r="G13" s="831"/>
      <c r="H13" s="482"/>
      <c r="I13" s="484">
        <v>2400000</v>
      </c>
      <c r="J13" s="484">
        <v>-1641379.31</v>
      </c>
      <c r="K13" s="484">
        <v>758620.69</v>
      </c>
      <c r="L13" s="484">
        <v>0</v>
      </c>
      <c r="M13" s="484">
        <v>758620.69</v>
      </c>
      <c r="N13" s="484">
        <v>758620.69</v>
      </c>
      <c r="O13" s="484">
        <v>758620.69</v>
      </c>
      <c r="P13" s="484"/>
      <c r="Q13" s="484">
        <v>758620.69</v>
      </c>
      <c r="R13" s="1209">
        <v>0</v>
      </c>
    </row>
    <row r="14" spans="1:18" hidden="1" outlineLevel="5">
      <c r="A14" s="1208" t="s">
        <v>717</v>
      </c>
      <c r="B14" s="1206" t="s">
        <v>3574</v>
      </c>
      <c r="C14" s="1206" t="s">
        <v>3351</v>
      </c>
      <c r="D14" s="1206" t="s">
        <v>3564</v>
      </c>
      <c r="E14" s="1206" t="s">
        <v>3550</v>
      </c>
      <c r="F14" s="1206"/>
      <c r="G14" s="1207"/>
      <c r="H14" s="1206"/>
      <c r="I14" s="1205">
        <v>0</v>
      </c>
      <c r="J14" s="1205">
        <v>0</v>
      </c>
      <c r="K14" s="1205">
        <v>0</v>
      </c>
      <c r="L14" s="1205">
        <v>0</v>
      </c>
      <c r="M14" s="1205">
        <v>0</v>
      </c>
      <c r="N14" s="1205">
        <v>0</v>
      </c>
      <c r="O14" s="1205">
        <v>0</v>
      </c>
      <c r="P14" s="1205"/>
      <c r="Q14" s="1205">
        <v>-158620.69</v>
      </c>
      <c r="R14" s="1204">
        <v>0</v>
      </c>
    </row>
    <row r="15" spans="1:18" ht="51" hidden="1" outlineLevel="5">
      <c r="A15" s="1208" t="s">
        <v>717</v>
      </c>
      <c r="B15" s="1206" t="s">
        <v>3574</v>
      </c>
      <c r="C15" s="1206" t="s">
        <v>3351</v>
      </c>
      <c r="D15" s="1206" t="s">
        <v>3564</v>
      </c>
      <c r="E15" s="1206" t="s">
        <v>3550</v>
      </c>
      <c r="F15" s="1206" t="s">
        <v>3340</v>
      </c>
      <c r="G15" s="1207" t="s">
        <v>3339</v>
      </c>
      <c r="H15" s="1206"/>
      <c r="I15" s="1205">
        <v>0</v>
      </c>
      <c r="J15" s="1205">
        <v>0</v>
      </c>
      <c r="K15" s="1205">
        <v>0</v>
      </c>
      <c r="L15" s="1205">
        <v>0</v>
      </c>
      <c r="M15" s="1205">
        <v>0</v>
      </c>
      <c r="N15" s="1205">
        <v>0</v>
      </c>
      <c r="O15" s="1205">
        <v>0</v>
      </c>
      <c r="P15" s="1205"/>
      <c r="Q15" s="1205">
        <v>917241.38</v>
      </c>
      <c r="R15" s="1204">
        <v>0</v>
      </c>
    </row>
    <row r="16" spans="1:18" ht="51" hidden="1" outlineLevel="5">
      <c r="A16" s="1208" t="s">
        <v>717</v>
      </c>
      <c r="B16" s="1206" t="s">
        <v>3574</v>
      </c>
      <c r="C16" s="1206" t="s">
        <v>3351</v>
      </c>
      <c r="D16" s="1206" t="s">
        <v>3564</v>
      </c>
      <c r="E16" s="1206" t="s">
        <v>3550</v>
      </c>
      <c r="F16" s="1206" t="s">
        <v>3340</v>
      </c>
      <c r="G16" s="1207" t="s">
        <v>3339</v>
      </c>
      <c r="H16" s="1206" t="s">
        <v>3241</v>
      </c>
      <c r="I16" s="1205">
        <v>2400000</v>
      </c>
      <c r="J16" s="1205">
        <v>-1641379.31</v>
      </c>
      <c r="K16" s="1205">
        <v>758620.69</v>
      </c>
      <c r="L16" s="1205">
        <v>0</v>
      </c>
      <c r="M16" s="1205">
        <v>758620.69</v>
      </c>
      <c r="N16" s="1205">
        <v>758620.69</v>
      </c>
      <c r="O16" s="1205">
        <v>758620.69</v>
      </c>
      <c r="P16" s="1205"/>
      <c r="Q16" s="1205">
        <v>0</v>
      </c>
      <c r="R16" s="1204">
        <v>0</v>
      </c>
    </row>
    <row r="17" spans="1:18" hidden="1" outlineLevel="2">
      <c r="A17" s="1214" t="s">
        <v>717</v>
      </c>
      <c r="B17" s="472" t="s">
        <v>3574</v>
      </c>
      <c r="C17" s="472" t="s">
        <v>3349</v>
      </c>
      <c r="D17" s="472"/>
      <c r="E17" s="472"/>
      <c r="F17" s="472"/>
      <c r="G17" s="473"/>
      <c r="H17" s="472"/>
      <c r="I17" s="474">
        <v>56947236.68</v>
      </c>
      <c r="J17" s="474">
        <v>1000799.74</v>
      </c>
      <c r="K17" s="474">
        <v>57948036.420000002</v>
      </c>
      <c r="L17" s="474">
        <v>0</v>
      </c>
      <c r="M17" s="474">
        <v>57948036.420000002</v>
      </c>
      <c r="N17" s="474">
        <v>57948036.420000002</v>
      </c>
      <c r="O17" s="474">
        <v>49849056.770000003</v>
      </c>
      <c r="P17" s="474"/>
      <c r="Q17" s="474">
        <v>49849056.770000003</v>
      </c>
      <c r="R17" s="1213">
        <v>8098979.6500000004</v>
      </c>
    </row>
    <row r="18" spans="1:18" hidden="1" outlineLevel="3">
      <c r="A18" s="1212" t="s">
        <v>717</v>
      </c>
      <c r="B18" s="477" t="s">
        <v>3574</v>
      </c>
      <c r="C18" s="477" t="s">
        <v>3349</v>
      </c>
      <c r="D18" s="477" t="s">
        <v>3569</v>
      </c>
      <c r="E18" s="477"/>
      <c r="F18" s="477"/>
      <c r="G18" s="478"/>
      <c r="H18" s="477"/>
      <c r="I18" s="479">
        <v>56947236.68</v>
      </c>
      <c r="J18" s="479">
        <v>1000799.74</v>
      </c>
      <c r="K18" s="479">
        <v>57948036.420000002</v>
      </c>
      <c r="L18" s="479">
        <v>0</v>
      </c>
      <c r="M18" s="479">
        <v>57948036.420000002</v>
      </c>
      <c r="N18" s="479">
        <v>57948036.420000002</v>
      </c>
      <c r="O18" s="479">
        <v>49849056.770000003</v>
      </c>
      <c r="P18" s="479"/>
      <c r="Q18" s="479">
        <v>49849056.770000003</v>
      </c>
      <c r="R18" s="1211">
        <v>8098979.6500000004</v>
      </c>
    </row>
    <row r="19" spans="1:18" hidden="1" outlineLevel="4">
      <c r="A19" s="1210" t="s">
        <v>717</v>
      </c>
      <c r="B19" s="482" t="s">
        <v>3574</v>
      </c>
      <c r="C19" s="482" t="s">
        <v>3349</v>
      </c>
      <c r="D19" s="482" t="s">
        <v>3569</v>
      </c>
      <c r="E19" s="482" t="s">
        <v>3550</v>
      </c>
      <c r="F19" s="482"/>
      <c r="G19" s="831"/>
      <c r="H19" s="482"/>
      <c r="I19" s="484">
        <v>56947236.68</v>
      </c>
      <c r="J19" s="484">
        <v>1000799.74</v>
      </c>
      <c r="K19" s="484">
        <v>57948036.420000002</v>
      </c>
      <c r="L19" s="484">
        <v>0</v>
      </c>
      <c r="M19" s="484">
        <v>57948036.420000002</v>
      </c>
      <c r="N19" s="484">
        <v>57948036.420000002</v>
      </c>
      <c r="O19" s="484">
        <v>49849056.770000003</v>
      </c>
      <c r="P19" s="484"/>
      <c r="Q19" s="484">
        <v>49849056.770000003</v>
      </c>
      <c r="R19" s="1209">
        <v>8098979.6500000004</v>
      </c>
    </row>
    <row r="20" spans="1:18" ht="63.75" hidden="1" outlineLevel="5">
      <c r="A20" s="1208" t="s">
        <v>717</v>
      </c>
      <c r="B20" s="1206" t="s">
        <v>3574</v>
      </c>
      <c r="C20" s="1206" t="s">
        <v>3349</v>
      </c>
      <c r="D20" s="1206" t="s">
        <v>3569</v>
      </c>
      <c r="E20" s="1206" t="s">
        <v>3550</v>
      </c>
      <c r="F20" s="1206" t="s">
        <v>3348</v>
      </c>
      <c r="G20" s="1207" t="s">
        <v>3347</v>
      </c>
      <c r="H20" s="1206"/>
      <c r="I20" s="1205">
        <v>0</v>
      </c>
      <c r="J20" s="1205">
        <v>0</v>
      </c>
      <c r="K20" s="1205">
        <v>0</v>
      </c>
      <c r="L20" s="1205">
        <v>0</v>
      </c>
      <c r="M20" s="1205">
        <v>0</v>
      </c>
      <c r="N20" s="1205">
        <v>0</v>
      </c>
      <c r="O20" s="1205">
        <v>0</v>
      </c>
      <c r="P20" s="1205"/>
      <c r="Q20" s="1205">
        <v>49849056.770000003</v>
      </c>
      <c r="R20" s="1204">
        <v>0</v>
      </c>
    </row>
    <row r="21" spans="1:18" ht="63.75" hidden="1" outlineLevel="5">
      <c r="A21" s="1208" t="s">
        <v>717</v>
      </c>
      <c r="B21" s="1206" t="s">
        <v>3574</v>
      </c>
      <c r="C21" s="1206" t="s">
        <v>3349</v>
      </c>
      <c r="D21" s="1206" t="s">
        <v>3569</v>
      </c>
      <c r="E21" s="1206" t="s">
        <v>3550</v>
      </c>
      <c r="F21" s="1206" t="s">
        <v>3348</v>
      </c>
      <c r="G21" s="1207" t="s">
        <v>3347</v>
      </c>
      <c r="H21" s="1206" t="s">
        <v>3241</v>
      </c>
      <c r="I21" s="1205">
        <v>56947236.68</v>
      </c>
      <c r="J21" s="1205">
        <v>1000799.74</v>
      </c>
      <c r="K21" s="1205">
        <v>57948036.420000002</v>
      </c>
      <c r="L21" s="1205">
        <v>0</v>
      </c>
      <c r="M21" s="1205">
        <v>57948036.420000002</v>
      </c>
      <c r="N21" s="1205">
        <v>57948036.420000002</v>
      </c>
      <c r="O21" s="1205">
        <v>49849056.770000003</v>
      </c>
      <c r="P21" s="1205"/>
      <c r="Q21" s="1205">
        <v>0</v>
      </c>
      <c r="R21" s="1204">
        <v>8098979.6500000004</v>
      </c>
    </row>
    <row r="22" spans="1:18" hidden="1" outlineLevel="2">
      <c r="A22" s="1214" t="s">
        <v>717</v>
      </c>
      <c r="B22" s="472" t="s">
        <v>3574</v>
      </c>
      <c r="C22" s="472" t="s">
        <v>3345</v>
      </c>
      <c r="D22" s="472"/>
      <c r="E22" s="472"/>
      <c r="F22" s="472"/>
      <c r="G22" s="473"/>
      <c r="H22" s="472"/>
      <c r="I22" s="474">
        <v>14000000</v>
      </c>
      <c r="J22" s="474">
        <v>-13105321.34</v>
      </c>
      <c r="K22" s="474">
        <v>894678.66</v>
      </c>
      <c r="L22" s="474">
        <v>0</v>
      </c>
      <c r="M22" s="474">
        <v>894678.66</v>
      </c>
      <c r="N22" s="474">
        <v>894678.66</v>
      </c>
      <c r="O22" s="474">
        <v>730000</v>
      </c>
      <c r="P22" s="474"/>
      <c r="Q22" s="474">
        <v>0</v>
      </c>
      <c r="R22" s="1213">
        <v>164678.66</v>
      </c>
    </row>
    <row r="23" spans="1:18" hidden="1" outlineLevel="3">
      <c r="A23" s="1212" t="s">
        <v>717</v>
      </c>
      <c r="B23" s="477" t="s">
        <v>3574</v>
      </c>
      <c r="C23" s="477" t="s">
        <v>3345</v>
      </c>
      <c r="D23" s="477" t="s">
        <v>3584</v>
      </c>
      <c r="E23" s="477"/>
      <c r="F23" s="477"/>
      <c r="G23" s="478"/>
      <c r="H23" s="477"/>
      <c r="I23" s="479">
        <v>7000000</v>
      </c>
      <c r="J23" s="479">
        <v>-7000000</v>
      </c>
      <c r="K23" s="479">
        <v>0</v>
      </c>
      <c r="L23" s="479">
        <v>0</v>
      </c>
      <c r="M23" s="479">
        <v>0</v>
      </c>
      <c r="N23" s="479">
        <v>0</v>
      </c>
      <c r="O23" s="479">
        <v>0</v>
      </c>
      <c r="P23" s="479"/>
      <c r="Q23" s="479">
        <v>0</v>
      </c>
      <c r="R23" s="1211">
        <v>0</v>
      </c>
    </row>
    <row r="24" spans="1:18" hidden="1" outlineLevel="4">
      <c r="A24" s="1210" t="s">
        <v>717</v>
      </c>
      <c r="B24" s="482" t="s">
        <v>3574</v>
      </c>
      <c r="C24" s="482" t="s">
        <v>3345</v>
      </c>
      <c r="D24" s="482" t="s">
        <v>3584</v>
      </c>
      <c r="E24" s="482" t="s">
        <v>3550</v>
      </c>
      <c r="F24" s="482"/>
      <c r="G24" s="831"/>
      <c r="H24" s="482"/>
      <c r="I24" s="484">
        <v>7000000</v>
      </c>
      <c r="J24" s="484">
        <v>-7000000</v>
      </c>
      <c r="K24" s="484">
        <v>0</v>
      </c>
      <c r="L24" s="484">
        <v>0</v>
      </c>
      <c r="M24" s="484">
        <v>0</v>
      </c>
      <c r="N24" s="484">
        <v>0</v>
      </c>
      <c r="O24" s="484">
        <v>0</v>
      </c>
      <c r="P24" s="484"/>
      <c r="Q24" s="484">
        <v>0</v>
      </c>
      <c r="R24" s="1209">
        <v>0</v>
      </c>
    </row>
    <row r="25" spans="1:18" ht="25.5" hidden="1" outlineLevel="5">
      <c r="A25" s="1208" t="s">
        <v>717</v>
      </c>
      <c r="B25" s="1206" t="s">
        <v>3574</v>
      </c>
      <c r="C25" s="1206" t="s">
        <v>3345</v>
      </c>
      <c r="D25" s="1206" t="s">
        <v>3584</v>
      </c>
      <c r="E25" s="1206" t="s">
        <v>3550</v>
      </c>
      <c r="F25" s="1206" t="s">
        <v>3344</v>
      </c>
      <c r="G25" s="1207" t="s">
        <v>3343</v>
      </c>
      <c r="H25" s="1206" t="s">
        <v>3241</v>
      </c>
      <c r="I25" s="1205">
        <v>7000000</v>
      </c>
      <c r="J25" s="1205">
        <v>-7000000</v>
      </c>
      <c r="K25" s="1205">
        <v>0</v>
      </c>
      <c r="L25" s="1205">
        <v>0</v>
      </c>
      <c r="M25" s="1205">
        <v>0</v>
      </c>
      <c r="N25" s="1205">
        <v>0</v>
      </c>
      <c r="O25" s="1205">
        <v>0</v>
      </c>
      <c r="P25" s="1205"/>
      <c r="Q25" s="1205">
        <v>0</v>
      </c>
      <c r="R25" s="1204">
        <v>0</v>
      </c>
    </row>
    <row r="26" spans="1:18" hidden="1" outlineLevel="3">
      <c r="A26" s="1212" t="s">
        <v>717</v>
      </c>
      <c r="B26" s="477" t="s">
        <v>3574</v>
      </c>
      <c r="C26" s="477" t="s">
        <v>3345</v>
      </c>
      <c r="D26" s="477" t="s">
        <v>3583</v>
      </c>
      <c r="E26" s="477"/>
      <c r="F26" s="477"/>
      <c r="G26" s="478"/>
      <c r="H26" s="477"/>
      <c r="I26" s="479">
        <v>7000000</v>
      </c>
      <c r="J26" s="479">
        <v>-6105321.3399999999</v>
      </c>
      <c r="K26" s="479">
        <v>894678.66</v>
      </c>
      <c r="L26" s="479">
        <v>0</v>
      </c>
      <c r="M26" s="479">
        <v>894678.66</v>
      </c>
      <c r="N26" s="479">
        <v>894678.66</v>
      </c>
      <c r="O26" s="479">
        <v>730000</v>
      </c>
      <c r="P26" s="479"/>
      <c r="Q26" s="479">
        <v>0</v>
      </c>
      <c r="R26" s="1211">
        <v>164678.66</v>
      </c>
    </row>
    <row r="27" spans="1:18" hidden="1" outlineLevel="4">
      <c r="A27" s="1210" t="s">
        <v>717</v>
      </c>
      <c r="B27" s="482" t="s">
        <v>3574</v>
      </c>
      <c r="C27" s="482" t="s">
        <v>3345</v>
      </c>
      <c r="D27" s="482" t="s">
        <v>3583</v>
      </c>
      <c r="E27" s="482" t="s">
        <v>3550</v>
      </c>
      <c r="F27" s="482"/>
      <c r="G27" s="831"/>
      <c r="H27" s="482"/>
      <c r="I27" s="484">
        <v>7000000</v>
      </c>
      <c r="J27" s="484">
        <v>-6105321.3399999999</v>
      </c>
      <c r="K27" s="484">
        <v>894678.66</v>
      </c>
      <c r="L27" s="484">
        <v>0</v>
      </c>
      <c r="M27" s="484">
        <v>894678.66</v>
      </c>
      <c r="N27" s="484">
        <v>894678.66</v>
      </c>
      <c r="O27" s="484">
        <v>730000</v>
      </c>
      <c r="P27" s="484"/>
      <c r="Q27" s="484">
        <v>0</v>
      </c>
      <c r="R27" s="1209">
        <v>164678.66</v>
      </c>
    </row>
    <row r="28" spans="1:18" ht="25.5" hidden="1" outlineLevel="5">
      <c r="A28" s="1208" t="s">
        <v>717</v>
      </c>
      <c r="B28" s="1206" t="s">
        <v>3574</v>
      </c>
      <c r="C28" s="1206" t="s">
        <v>3345</v>
      </c>
      <c r="D28" s="1206" t="s">
        <v>3583</v>
      </c>
      <c r="E28" s="1206" t="s">
        <v>3550</v>
      </c>
      <c r="F28" s="1206" t="s">
        <v>3344</v>
      </c>
      <c r="G28" s="1207" t="s">
        <v>3343</v>
      </c>
      <c r="H28" s="1206" t="s">
        <v>3241</v>
      </c>
      <c r="I28" s="1205">
        <v>7000000</v>
      </c>
      <c r="J28" s="1205">
        <v>-6105321.3399999999</v>
      </c>
      <c r="K28" s="1205">
        <v>894678.66</v>
      </c>
      <c r="L28" s="1205">
        <v>0</v>
      </c>
      <c r="M28" s="1205">
        <v>894678.66</v>
      </c>
      <c r="N28" s="1205">
        <v>894678.66</v>
      </c>
      <c r="O28" s="1205">
        <v>730000</v>
      </c>
      <c r="P28" s="1205"/>
      <c r="Q28" s="1205">
        <v>0</v>
      </c>
      <c r="R28" s="1204">
        <v>164678.66</v>
      </c>
    </row>
    <row r="29" spans="1:18" hidden="1" outlineLevel="2">
      <c r="A29" s="1214" t="s">
        <v>717</v>
      </c>
      <c r="B29" s="472" t="s">
        <v>3574</v>
      </c>
      <c r="C29" s="472" t="s">
        <v>3341</v>
      </c>
      <c r="D29" s="472"/>
      <c r="E29" s="472"/>
      <c r="F29" s="472"/>
      <c r="G29" s="473"/>
      <c r="H29" s="472"/>
      <c r="I29" s="474">
        <v>3200000</v>
      </c>
      <c r="J29" s="474">
        <v>-2023700</v>
      </c>
      <c r="K29" s="474">
        <v>1176300</v>
      </c>
      <c r="L29" s="474">
        <v>0</v>
      </c>
      <c r="M29" s="474">
        <v>1176300</v>
      </c>
      <c r="N29" s="474">
        <v>1176300</v>
      </c>
      <c r="O29" s="474">
        <v>1176300</v>
      </c>
      <c r="P29" s="474"/>
      <c r="Q29" s="474">
        <v>1176300</v>
      </c>
      <c r="R29" s="1213">
        <v>0</v>
      </c>
    </row>
    <row r="30" spans="1:18" hidden="1" outlineLevel="3">
      <c r="A30" s="1212" t="s">
        <v>717</v>
      </c>
      <c r="B30" s="477" t="s">
        <v>3574</v>
      </c>
      <c r="C30" s="477" t="s">
        <v>3341</v>
      </c>
      <c r="D30" s="477" t="s">
        <v>3569</v>
      </c>
      <c r="E30" s="477"/>
      <c r="F30" s="477"/>
      <c r="G30" s="478"/>
      <c r="H30" s="477"/>
      <c r="I30" s="479">
        <v>3200000</v>
      </c>
      <c r="J30" s="479">
        <v>-2023700</v>
      </c>
      <c r="K30" s="479">
        <v>1176300</v>
      </c>
      <c r="L30" s="479">
        <v>0</v>
      </c>
      <c r="M30" s="479">
        <v>1176300</v>
      </c>
      <c r="N30" s="479">
        <v>1176300</v>
      </c>
      <c r="O30" s="479">
        <v>1176300</v>
      </c>
      <c r="P30" s="479"/>
      <c r="Q30" s="479">
        <v>1176300</v>
      </c>
      <c r="R30" s="1211">
        <v>0</v>
      </c>
    </row>
    <row r="31" spans="1:18" hidden="1" outlineLevel="4">
      <c r="A31" s="1210" t="s">
        <v>717</v>
      </c>
      <c r="B31" s="482" t="s">
        <v>3574</v>
      </c>
      <c r="C31" s="482" t="s">
        <v>3341</v>
      </c>
      <c r="D31" s="482" t="s">
        <v>3569</v>
      </c>
      <c r="E31" s="482" t="s">
        <v>3550</v>
      </c>
      <c r="F31" s="482"/>
      <c r="G31" s="831"/>
      <c r="H31" s="482"/>
      <c r="I31" s="484">
        <v>3200000</v>
      </c>
      <c r="J31" s="484">
        <v>-2023700</v>
      </c>
      <c r="K31" s="484">
        <v>1176300</v>
      </c>
      <c r="L31" s="484">
        <v>0</v>
      </c>
      <c r="M31" s="484">
        <v>1176300</v>
      </c>
      <c r="N31" s="484">
        <v>1176300</v>
      </c>
      <c r="O31" s="484">
        <v>1176300</v>
      </c>
      <c r="P31" s="484"/>
      <c r="Q31" s="484">
        <v>1176300</v>
      </c>
      <c r="R31" s="1209">
        <v>0</v>
      </c>
    </row>
    <row r="32" spans="1:18" ht="51" hidden="1" outlineLevel="5">
      <c r="A32" s="1208" t="s">
        <v>717</v>
      </c>
      <c r="B32" s="1206" t="s">
        <v>3574</v>
      </c>
      <c r="C32" s="1206" t="s">
        <v>3341</v>
      </c>
      <c r="D32" s="1206" t="s">
        <v>3569</v>
      </c>
      <c r="E32" s="1206" t="s">
        <v>3550</v>
      </c>
      <c r="F32" s="1206" t="s">
        <v>3340</v>
      </c>
      <c r="G32" s="1207" t="s">
        <v>3339</v>
      </c>
      <c r="H32" s="1206"/>
      <c r="I32" s="1205">
        <v>0</v>
      </c>
      <c r="J32" s="1205">
        <v>0</v>
      </c>
      <c r="K32" s="1205">
        <v>0</v>
      </c>
      <c r="L32" s="1205">
        <v>0</v>
      </c>
      <c r="M32" s="1205">
        <v>0</v>
      </c>
      <c r="N32" s="1205">
        <v>0</v>
      </c>
      <c r="O32" s="1205">
        <v>0</v>
      </c>
      <c r="P32" s="1205"/>
      <c r="Q32" s="1205">
        <v>1176300</v>
      </c>
      <c r="R32" s="1204">
        <v>0</v>
      </c>
    </row>
    <row r="33" spans="1:18" ht="51" hidden="1" outlineLevel="5">
      <c r="A33" s="1208" t="s">
        <v>717</v>
      </c>
      <c r="B33" s="1206" t="s">
        <v>3574</v>
      </c>
      <c r="C33" s="1206" t="s">
        <v>3341</v>
      </c>
      <c r="D33" s="1206" t="s">
        <v>3569</v>
      </c>
      <c r="E33" s="1206" t="s">
        <v>3550</v>
      </c>
      <c r="F33" s="1206" t="s">
        <v>3340</v>
      </c>
      <c r="G33" s="1207" t="s">
        <v>3339</v>
      </c>
      <c r="H33" s="1206" t="s">
        <v>3241</v>
      </c>
      <c r="I33" s="1205">
        <v>3200000</v>
      </c>
      <c r="J33" s="1205">
        <v>-2023700</v>
      </c>
      <c r="K33" s="1205">
        <v>1176300</v>
      </c>
      <c r="L33" s="1205">
        <v>0</v>
      </c>
      <c r="M33" s="1205">
        <v>1176300</v>
      </c>
      <c r="N33" s="1205">
        <v>1176300</v>
      </c>
      <c r="O33" s="1205">
        <v>1176300</v>
      </c>
      <c r="P33" s="1205"/>
      <c r="Q33" s="1205">
        <v>0</v>
      </c>
      <c r="R33" s="1204">
        <v>0</v>
      </c>
    </row>
    <row r="34" spans="1:18" hidden="1" outlineLevel="2">
      <c r="A34" s="1214" t="s">
        <v>717</v>
      </c>
      <c r="B34" s="472" t="s">
        <v>3574</v>
      </c>
      <c r="C34" s="472" t="s">
        <v>3325</v>
      </c>
      <c r="D34" s="472"/>
      <c r="E34" s="472"/>
      <c r="F34" s="472"/>
      <c r="G34" s="473"/>
      <c r="H34" s="472"/>
      <c r="I34" s="474">
        <v>26000000</v>
      </c>
      <c r="J34" s="474">
        <v>-2000000</v>
      </c>
      <c r="K34" s="474">
        <v>24000000</v>
      </c>
      <c r="L34" s="474">
        <v>0</v>
      </c>
      <c r="M34" s="474">
        <v>22500000</v>
      </c>
      <c r="N34" s="474">
        <v>22500000</v>
      </c>
      <c r="O34" s="474">
        <v>22500000</v>
      </c>
      <c r="P34" s="474"/>
      <c r="Q34" s="474">
        <v>22500000</v>
      </c>
      <c r="R34" s="1213">
        <v>1500000</v>
      </c>
    </row>
    <row r="35" spans="1:18" hidden="1" outlineLevel="3">
      <c r="A35" s="1212" t="s">
        <v>717</v>
      </c>
      <c r="B35" s="477" t="s">
        <v>3574</v>
      </c>
      <c r="C35" s="477" t="s">
        <v>3325</v>
      </c>
      <c r="D35" s="477" t="s">
        <v>3584</v>
      </c>
      <c r="E35" s="477"/>
      <c r="F35" s="477"/>
      <c r="G35" s="478"/>
      <c r="H35" s="477"/>
      <c r="I35" s="479">
        <v>24000000</v>
      </c>
      <c r="J35" s="479">
        <v>-2000000</v>
      </c>
      <c r="K35" s="479">
        <v>22000000</v>
      </c>
      <c r="L35" s="479">
        <v>0</v>
      </c>
      <c r="M35" s="479">
        <v>22000000</v>
      </c>
      <c r="N35" s="479">
        <v>22000000</v>
      </c>
      <c r="O35" s="479">
        <v>22000000</v>
      </c>
      <c r="P35" s="479"/>
      <c r="Q35" s="479">
        <v>22000000</v>
      </c>
      <c r="R35" s="1211">
        <v>0</v>
      </c>
    </row>
    <row r="36" spans="1:18" hidden="1" outlineLevel="4">
      <c r="A36" s="1210" t="s">
        <v>717</v>
      </c>
      <c r="B36" s="482" t="s">
        <v>3574</v>
      </c>
      <c r="C36" s="482" t="s">
        <v>3325</v>
      </c>
      <c r="D36" s="482" t="s">
        <v>3584</v>
      </c>
      <c r="E36" s="482" t="s">
        <v>3550</v>
      </c>
      <c r="F36" s="482"/>
      <c r="G36" s="831"/>
      <c r="H36" s="482"/>
      <c r="I36" s="484">
        <v>24000000</v>
      </c>
      <c r="J36" s="484">
        <v>-2000000</v>
      </c>
      <c r="K36" s="484">
        <v>22000000</v>
      </c>
      <c r="L36" s="484">
        <v>0</v>
      </c>
      <c r="M36" s="484">
        <v>22000000</v>
      </c>
      <c r="N36" s="484">
        <v>22000000</v>
      </c>
      <c r="O36" s="484">
        <v>22000000</v>
      </c>
      <c r="P36" s="484"/>
      <c r="Q36" s="484">
        <v>22000000</v>
      </c>
      <c r="R36" s="1209">
        <v>0</v>
      </c>
    </row>
    <row r="37" spans="1:18" ht="63.75" hidden="1" outlineLevel="5">
      <c r="A37" s="1208" t="s">
        <v>717</v>
      </c>
      <c r="B37" s="1206" t="s">
        <v>3574</v>
      </c>
      <c r="C37" s="1206" t="s">
        <v>3325</v>
      </c>
      <c r="D37" s="1206" t="s">
        <v>3584</v>
      </c>
      <c r="E37" s="1206" t="s">
        <v>3550</v>
      </c>
      <c r="F37" s="1206" t="s">
        <v>3324</v>
      </c>
      <c r="G37" s="1207" t="s">
        <v>2905</v>
      </c>
      <c r="H37" s="1206"/>
      <c r="I37" s="1205">
        <v>0</v>
      </c>
      <c r="J37" s="1205">
        <v>0</v>
      </c>
      <c r="K37" s="1205">
        <v>0</v>
      </c>
      <c r="L37" s="1205">
        <v>0</v>
      </c>
      <c r="M37" s="1205">
        <v>0</v>
      </c>
      <c r="N37" s="1205">
        <v>0</v>
      </c>
      <c r="O37" s="1205">
        <v>0</v>
      </c>
      <c r="P37" s="1205"/>
      <c r="Q37" s="1205">
        <v>22000000</v>
      </c>
      <c r="R37" s="1204">
        <v>0</v>
      </c>
    </row>
    <row r="38" spans="1:18" ht="63.75" hidden="1" outlineLevel="5">
      <c r="A38" s="1208" t="s">
        <v>717</v>
      </c>
      <c r="B38" s="1206" t="s">
        <v>3574</v>
      </c>
      <c r="C38" s="1206" t="s">
        <v>3325</v>
      </c>
      <c r="D38" s="1206" t="s">
        <v>3584</v>
      </c>
      <c r="E38" s="1206" t="s">
        <v>3550</v>
      </c>
      <c r="F38" s="1206" t="s">
        <v>3324</v>
      </c>
      <c r="G38" s="1207" t="s">
        <v>2905</v>
      </c>
      <c r="H38" s="1206" t="s">
        <v>3241</v>
      </c>
      <c r="I38" s="1205">
        <v>24000000</v>
      </c>
      <c r="J38" s="1205">
        <v>-2000000</v>
      </c>
      <c r="K38" s="1205">
        <v>22000000</v>
      </c>
      <c r="L38" s="1205">
        <v>0</v>
      </c>
      <c r="M38" s="1205">
        <v>22000000</v>
      </c>
      <c r="N38" s="1205">
        <v>22000000</v>
      </c>
      <c r="O38" s="1205">
        <v>22000000</v>
      </c>
      <c r="P38" s="1205"/>
      <c r="Q38" s="1205">
        <v>0</v>
      </c>
      <c r="R38" s="1204">
        <v>0</v>
      </c>
    </row>
    <row r="39" spans="1:18" hidden="1" outlineLevel="3">
      <c r="A39" s="1212" t="s">
        <v>717</v>
      </c>
      <c r="B39" s="477" t="s">
        <v>3574</v>
      </c>
      <c r="C39" s="477" t="s">
        <v>3325</v>
      </c>
      <c r="D39" s="477" t="s">
        <v>3583</v>
      </c>
      <c r="E39" s="477"/>
      <c r="F39" s="477"/>
      <c r="G39" s="478"/>
      <c r="H39" s="477"/>
      <c r="I39" s="479">
        <v>2000000</v>
      </c>
      <c r="J39" s="479">
        <v>0</v>
      </c>
      <c r="K39" s="479">
        <v>2000000</v>
      </c>
      <c r="L39" s="479">
        <v>0</v>
      </c>
      <c r="M39" s="479">
        <v>500000</v>
      </c>
      <c r="N39" s="479">
        <v>500000</v>
      </c>
      <c r="O39" s="479">
        <v>500000</v>
      </c>
      <c r="P39" s="479"/>
      <c r="Q39" s="479">
        <v>500000</v>
      </c>
      <c r="R39" s="1211">
        <v>1500000</v>
      </c>
    </row>
    <row r="40" spans="1:18" hidden="1" outlineLevel="4">
      <c r="A40" s="1210" t="s">
        <v>717</v>
      </c>
      <c r="B40" s="482" t="s">
        <v>3574</v>
      </c>
      <c r="C40" s="482" t="s">
        <v>3325</v>
      </c>
      <c r="D40" s="482" t="s">
        <v>3583</v>
      </c>
      <c r="E40" s="482" t="s">
        <v>3550</v>
      </c>
      <c r="F40" s="482"/>
      <c r="G40" s="831"/>
      <c r="H40" s="482"/>
      <c r="I40" s="484">
        <v>2000000</v>
      </c>
      <c r="J40" s="484">
        <v>0</v>
      </c>
      <c r="K40" s="484">
        <v>2000000</v>
      </c>
      <c r="L40" s="484">
        <v>0</v>
      </c>
      <c r="M40" s="484">
        <v>500000</v>
      </c>
      <c r="N40" s="484">
        <v>500000</v>
      </c>
      <c r="O40" s="484">
        <v>500000</v>
      </c>
      <c r="P40" s="484"/>
      <c r="Q40" s="484">
        <v>500000</v>
      </c>
      <c r="R40" s="1209">
        <v>1500000</v>
      </c>
    </row>
    <row r="41" spans="1:18" ht="63.75" hidden="1" outlineLevel="5">
      <c r="A41" s="1208" t="s">
        <v>717</v>
      </c>
      <c r="B41" s="1206" t="s">
        <v>3574</v>
      </c>
      <c r="C41" s="1206" t="s">
        <v>3325</v>
      </c>
      <c r="D41" s="1206" t="s">
        <v>3583</v>
      </c>
      <c r="E41" s="1206" t="s">
        <v>3550</v>
      </c>
      <c r="F41" s="1206" t="s">
        <v>3324</v>
      </c>
      <c r="G41" s="1207" t="s">
        <v>2905</v>
      </c>
      <c r="H41" s="1206"/>
      <c r="I41" s="1205">
        <v>0</v>
      </c>
      <c r="J41" s="1205">
        <v>0</v>
      </c>
      <c r="K41" s="1205">
        <v>0</v>
      </c>
      <c r="L41" s="1205">
        <v>0</v>
      </c>
      <c r="M41" s="1205">
        <v>0</v>
      </c>
      <c r="N41" s="1205">
        <v>0</v>
      </c>
      <c r="O41" s="1205">
        <v>0</v>
      </c>
      <c r="P41" s="1205"/>
      <c r="Q41" s="1205">
        <v>500000</v>
      </c>
      <c r="R41" s="1204">
        <v>0</v>
      </c>
    </row>
    <row r="42" spans="1:18" ht="63.75" hidden="1" outlineLevel="5">
      <c r="A42" s="1208" t="s">
        <v>717</v>
      </c>
      <c r="B42" s="1206" t="s">
        <v>3574</v>
      </c>
      <c r="C42" s="1206" t="s">
        <v>3325</v>
      </c>
      <c r="D42" s="1206" t="s">
        <v>3583</v>
      </c>
      <c r="E42" s="1206" t="s">
        <v>3550</v>
      </c>
      <c r="F42" s="1206" t="s">
        <v>3324</v>
      </c>
      <c r="G42" s="1207" t="s">
        <v>2905</v>
      </c>
      <c r="H42" s="1206" t="s">
        <v>3241</v>
      </c>
      <c r="I42" s="1205">
        <v>2000000</v>
      </c>
      <c r="J42" s="1205">
        <v>0</v>
      </c>
      <c r="K42" s="1205">
        <v>2000000</v>
      </c>
      <c r="L42" s="1205">
        <v>0</v>
      </c>
      <c r="M42" s="1205">
        <v>500000</v>
      </c>
      <c r="N42" s="1205">
        <v>500000</v>
      </c>
      <c r="O42" s="1205">
        <v>500000</v>
      </c>
      <c r="P42" s="1205"/>
      <c r="Q42" s="1205">
        <v>0</v>
      </c>
      <c r="R42" s="1204">
        <v>1500000</v>
      </c>
    </row>
    <row r="43" spans="1:18" hidden="1" outlineLevel="2">
      <c r="A43" s="1214" t="s">
        <v>717</v>
      </c>
      <c r="B43" s="472" t="s">
        <v>3574</v>
      </c>
      <c r="C43" s="472" t="s">
        <v>3322</v>
      </c>
      <c r="D43" s="472"/>
      <c r="E43" s="472"/>
      <c r="F43" s="472"/>
      <c r="G43" s="473"/>
      <c r="H43" s="472"/>
      <c r="I43" s="474">
        <v>9000000</v>
      </c>
      <c r="J43" s="474">
        <v>0</v>
      </c>
      <c r="K43" s="474">
        <v>9000000</v>
      </c>
      <c r="L43" s="474">
        <v>0</v>
      </c>
      <c r="M43" s="474">
        <v>9000000</v>
      </c>
      <c r="N43" s="474">
        <v>9000000</v>
      </c>
      <c r="O43" s="474">
        <v>3889993.45</v>
      </c>
      <c r="P43" s="474"/>
      <c r="Q43" s="474">
        <v>1309223.8</v>
      </c>
      <c r="R43" s="1213">
        <v>5110006.55</v>
      </c>
    </row>
    <row r="44" spans="1:18" hidden="1" outlineLevel="3">
      <c r="A44" s="1212" t="s">
        <v>717</v>
      </c>
      <c r="B44" s="477" t="s">
        <v>3574</v>
      </c>
      <c r="C44" s="477" t="s">
        <v>3322</v>
      </c>
      <c r="D44" s="477" t="s">
        <v>3561</v>
      </c>
      <c r="E44" s="477"/>
      <c r="F44" s="477"/>
      <c r="G44" s="478"/>
      <c r="H44" s="477"/>
      <c r="I44" s="479">
        <v>9000000</v>
      </c>
      <c r="J44" s="479">
        <v>0</v>
      </c>
      <c r="K44" s="479">
        <v>9000000</v>
      </c>
      <c r="L44" s="479">
        <v>0</v>
      </c>
      <c r="M44" s="479">
        <v>9000000</v>
      </c>
      <c r="N44" s="479">
        <v>9000000</v>
      </c>
      <c r="O44" s="479">
        <v>3889993.45</v>
      </c>
      <c r="P44" s="479"/>
      <c r="Q44" s="479">
        <v>1309223.8</v>
      </c>
      <c r="R44" s="1211">
        <v>5110006.55</v>
      </c>
    </row>
    <row r="45" spans="1:18" hidden="1" outlineLevel="4">
      <c r="A45" s="1210" t="s">
        <v>717</v>
      </c>
      <c r="B45" s="482" t="s">
        <v>3574</v>
      </c>
      <c r="C45" s="482" t="s">
        <v>3322</v>
      </c>
      <c r="D45" s="482" t="s">
        <v>3561</v>
      </c>
      <c r="E45" s="482" t="s">
        <v>3582</v>
      </c>
      <c r="F45" s="482"/>
      <c r="G45" s="831"/>
      <c r="H45" s="482"/>
      <c r="I45" s="484">
        <v>9000000</v>
      </c>
      <c r="J45" s="484">
        <v>0</v>
      </c>
      <c r="K45" s="484">
        <v>9000000</v>
      </c>
      <c r="L45" s="484">
        <v>0</v>
      </c>
      <c r="M45" s="484">
        <v>9000000</v>
      </c>
      <c r="N45" s="484">
        <v>9000000</v>
      </c>
      <c r="O45" s="484">
        <v>3889993.45</v>
      </c>
      <c r="P45" s="484"/>
      <c r="Q45" s="484">
        <v>1309223.8</v>
      </c>
      <c r="R45" s="1209">
        <v>5110006.55</v>
      </c>
    </row>
    <row r="46" spans="1:18" hidden="1" outlineLevel="5">
      <c r="A46" s="1208" t="s">
        <v>717</v>
      </c>
      <c r="B46" s="1206" t="s">
        <v>3574</v>
      </c>
      <c r="C46" s="1206" t="s">
        <v>3322</v>
      </c>
      <c r="D46" s="1206" t="s">
        <v>3561</v>
      </c>
      <c r="E46" s="1206" t="s">
        <v>3582</v>
      </c>
      <c r="F46" s="1206"/>
      <c r="G46" s="1207"/>
      <c r="H46" s="1206"/>
      <c r="I46" s="1205">
        <v>0</v>
      </c>
      <c r="J46" s="1205">
        <v>0</v>
      </c>
      <c r="K46" s="1205">
        <v>0</v>
      </c>
      <c r="L46" s="1205">
        <v>0</v>
      </c>
      <c r="M46" s="1205">
        <v>0</v>
      </c>
      <c r="N46" s="1205">
        <v>0</v>
      </c>
      <c r="O46" s="1205">
        <v>0</v>
      </c>
      <c r="P46" s="1205"/>
      <c r="Q46" s="1205">
        <v>492207.3</v>
      </c>
      <c r="R46" s="1204">
        <v>0</v>
      </c>
    </row>
    <row r="47" spans="1:18" hidden="1" outlineLevel="5">
      <c r="A47" s="1208" t="s">
        <v>717</v>
      </c>
      <c r="B47" s="1206" t="s">
        <v>3574</v>
      </c>
      <c r="C47" s="1206" t="s">
        <v>3322</v>
      </c>
      <c r="D47" s="1206" t="s">
        <v>3561</v>
      </c>
      <c r="E47" s="1206" t="s">
        <v>3582</v>
      </c>
      <c r="F47" s="1206" t="s">
        <v>3321</v>
      </c>
      <c r="G47" s="1207" t="s">
        <v>3320</v>
      </c>
      <c r="H47" s="1206"/>
      <c r="I47" s="1205">
        <v>0</v>
      </c>
      <c r="J47" s="1205">
        <v>0</v>
      </c>
      <c r="K47" s="1205">
        <v>0</v>
      </c>
      <c r="L47" s="1205">
        <v>0</v>
      </c>
      <c r="M47" s="1205">
        <v>0</v>
      </c>
      <c r="N47" s="1205">
        <v>0</v>
      </c>
      <c r="O47" s="1205">
        <v>0</v>
      </c>
      <c r="P47" s="1205"/>
      <c r="Q47" s="1205">
        <v>817016.5</v>
      </c>
      <c r="R47" s="1204">
        <v>0</v>
      </c>
    </row>
    <row r="48" spans="1:18" hidden="1" outlineLevel="5">
      <c r="A48" s="1208" t="s">
        <v>717</v>
      </c>
      <c r="B48" s="1206" t="s">
        <v>3574</v>
      </c>
      <c r="C48" s="1206" t="s">
        <v>3322</v>
      </c>
      <c r="D48" s="1206" t="s">
        <v>3561</v>
      </c>
      <c r="E48" s="1206" t="s">
        <v>3582</v>
      </c>
      <c r="F48" s="1206" t="s">
        <v>3321</v>
      </c>
      <c r="G48" s="1207" t="s">
        <v>3320</v>
      </c>
      <c r="H48" s="1206" t="s">
        <v>3241</v>
      </c>
      <c r="I48" s="1205">
        <v>9000000</v>
      </c>
      <c r="J48" s="1205">
        <v>0</v>
      </c>
      <c r="K48" s="1205">
        <v>9000000</v>
      </c>
      <c r="L48" s="1205">
        <v>0</v>
      </c>
      <c r="M48" s="1205">
        <v>9000000</v>
      </c>
      <c r="N48" s="1205">
        <v>9000000</v>
      </c>
      <c r="O48" s="1205">
        <v>3889993.45</v>
      </c>
      <c r="P48" s="1205"/>
      <c r="Q48" s="1205">
        <v>0</v>
      </c>
      <c r="R48" s="1204">
        <v>5110006.55</v>
      </c>
    </row>
    <row r="49" spans="1:18" hidden="1" outlineLevel="2">
      <c r="A49" s="1214" t="s">
        <v>717</v>
      </c>
      <c r="B49" s="472" t="s">
        <v>3574</v>
      </c>
      <c r="C49" s="472" t="s">
        <v>3318</v>
      </c>
      <c r="D49" s="472"/>
      <c r="E49" s="472"/>
      <c r="F49" s="472"/>
      <c r="G49" s="473"/>
      <c r="H49" s="472"/>
      <c r="I49" s="474">
        <v>35000000</v>
      </c>
      <c r="J49" s="474">
        <v>0</v>
      </c>
      <c r="K49" s="474">
        <v>35000000</v>
      </c>
      <c r="L49" s="474">
        <v>0</v>
      </c>
      <c r="M49" s="474">
        <v>34415534.32</v>
      </c>
      <c r="N49" s="474">
        <v>34415534.32</v>
      </c>
      <c r="O49" s="474">
        <v>31380654.27</v>
      </c>
      <c r="P49" s="474"/>
      <c r="Q49" s="474">
        <v>31380653.77</v>
      </c>
      <c r="R49" s="1213">
        <v>3619345.73</v>
      </c>
    </row>
    <row r="50" spans="1:18" hidden="1" outlineLevel="3">
      <c r="A50" s="1212" t="s">
        <v>717</v>
      </c>
      <c r="B50" s="477" t="s">
        <v>3574</v>
      </c>
      <c r="C50" s="477" t="s">
        <v>3318</v>
      </c>
      <c r="D50" s="477" t="s">
        <v>3561</v>
      </c>
      <c r="E50" s="477"/>
      <c r="F50" s="477"/>
      <c r="G50" s="478"/>
      <c r="H50" s="477"/>
      <c r="I50" s="479">
        <v>35000000</v>
      </c>
      <c r="J50" s="479">
        <v>0</v>
      </c>
      <c r="K50" s="479">
        <v>35000000</v>
      </c>
      <c r="L50" s="479">
        <v>0</v>
      </c>
      <c r="M50" s="479">
        <v>34415534.32</v>
      </c>
      <c r="N50" s="479">
        <v>34415534.32</v>
      </c>
      <c r="O50" s="479">
        <v>31380654.27</v>
      </c>
      <c r="P50" s="479"/>
      <c r="Q50" s="479">
        <v>31380653.77</v>
      </c>
      <c r="R50" s="1211">
        <v>3619345.73</v>
      </c>
    </row>
    <row r="51" spans="1:18" hidden="1" outlineLevel="4">
      <c r="A51" s="1210" t="s">
        <v>717</v>
      </c>
      <c r="B51" s="482" t="s">
        <v>3574</v>
      </c>
      <c r="C51" s="482" t="s">
        <v>3318</v>
      </c>
      <c r="D51" s="482" t="s">
        <v>3561</v>
      </c>
      <c r="E51" s="482" t="s">
        <v>3581</v>
      </c>
      <c r="F51" s="482"/>
      <c r="G51" s="831"/>
      <c r="H51" s="482"/>
      <c r="I51" s="484">
        <v>35000000</v>
      </c>
      <c r="J51" s="484">
        <v>0</v>
      </c>
      <c r="K51" s="484">
        <v>35000000</v>
      </c>
      <c r="L51" s="484">
        <v>0</v>
      </c>
      <c r="M51" s="484">
        <v>34415534.32</v>
      </c>
      <c r="N51" s="484">
        <v>34415534.32</v>
      </c>
      <c r="O51" s="484">
        <v>31380654.27</v>
      </c>
      <c r="P51" s="484"/>
      <c r="Q51" s="484">
        <v>31380653.77</v>
      </c>
      <c r="R51" s="1209">
        <v>3619345.73</v>
      </c>
    </row>
    <row r="52" spans="1:18" hidden="1" outlineLevel="5">
      <c r="A52" s="1208" t="s">
        <v>717</v>
      </c>
      <c r="B52" s="1206" t="s">
        <v>3574</v>
      </c>
      <c r="C52" s="1206" t="s">
        <v>3318</v>
      </c>
      <c r="D52" s="1206" t="s">
        <v>3561</v>
      </c>
      <c r="E52" s="1206" t="s">
        <v>3581</v>
      </c>
      <c r="F52" s="1206"/>
      <c r="G52" s="1207"/>
      <c r="H52" s="1206"/>
      <c r="I52" s="1205">
        <v>0</v>
      </c>
      <c r="J52" s="1205">
        <v>0</v>
      </c>
      <c r="K52" s="1205">
        <v>0</v>
      </c>
      <c r="L52" s="1205">
        <v>0</v>
      </c>
      <c r="M52" s="1205">
        <v>0</v>
      </c>
      <c r="N52" s="1205">
        <v>0</v>
      </c>
      <c r="O52" s="1205">
        <v>0</v>
      </c>
      <c r="P52" s="1205"/>
      <c r="Q52" s="1205">
        <v>16568011.810000001</v>
      </c>
      <c r="R52" s="1204">
        <v>0</v>
      </c>
    </row>
    <row r="53" spans="1:18" ht="25.5" hidden="1" outlineLevel="5">
      <c r="A53" s="1208" t="s">
        <v>717</v>
      </c>
      <c r="B53" s="1206" t="s">
        <v>3574</v>
      </c>
      <c r="C53" s="1206" t="s">
        <v>3318</v>
      </c>
      <c r="D53" s="1206" t="s">
        <v>3561</v>
      </c>
      <c r="E53" s="1206" t="s">
        <v>3581</v>
      </c>
      <c r="F53" s="1206" t="s">
        <v>3317</v>
      </c>
      <c r="G53" s="1207" t="s">
        <v>3192</v>
      </c>
      <c r="H53" s="1206"/>
      <c r="I53" s="1205">
        <v>0</v>
      </c>
      <c r="J53" s="1205">
        <v>0</v>
      </c>
      <c r="K53" s="1205">
        <v>0</v>
      </c>
      <c r="L53" s="1205">
        <v>0</v>
      </c>
      <c r="M53" s="1205">
        <v>0</v>
      </c>
      <c r="N53" s="1205">
        <v>0</v>
      </c>
      <c r="O53" s="1205">
        <v>0</v>
      </c>
      <c r="P53" s="1205"/>
      <c r="Q53" s="1205">
        <v>14812641.960000001</v>
      </c>
      <c r="R53" s="1204">
        <v>0</v>
      </c>
    </row>
    <row r="54" spans="1:18" ht="25.5" hidden="1" outlineLevel="5">
      <c r="A54" s="1208" t="s">
        <v>717</v>
      </c>
      <c r="B54" s="1206" t="s">
        <v>3574</v>
      </c>
      <c r="C54" s="1206" t="s">
        <v>3318</v>
      </c>
      <c r="D54" s="1206" t="s">
        <v>3561</v>
      </c>
      <c r="E54" s="1206" t="s">
        <v>3581</v>
      </c>
      <c r="F54" s="1206" t="s">
        <v>3317</v>
      </c>
      <c r="G54" s="1207" t="s">
        <v>3192</v>
      </c>
      <c r="H54" s="1206" t="s">
        <v>3241</v>
      </c>
      <c r="I54" s="1205">
        <v>35000000</v>
      </c>
      <c r="J54" s="1205">
        <v>0</v>
      </c>
      <c r="K54" s="1205">
        <v>35000000</v>
      </c>
      <c r="L54" s="1205">
        <v>0</v>
      </c>
      <c r="M54" s="1205">
        <v>34415534.32</v>
      </c>
      <c r="N54" s="1205">
        <v>34415534.32</v>
      </c>
      <c r="O54" s="1205">
        <v>31380654.27</v>
      </c>
      <c r="P54" s="1205"/>
      <c r="Q54" s="1205">
        <v>0</v>
      </c>
      <c r="R54" s="1204">
        <v>3619345.73</v>
      </c>
    </row>
    <row r="55" spans="1:18" outlineLevel="2" collapsed="1">
      <c r="A55" s="1214" t="s">
        <v>717</v>
      </c>
      <c r="B55" s="472" t="s">
        <v>3574</v>
      </c>
      <c r="C55" s="472" t="s">
        <v>3313</v>
      </c>
      <c r="D55" s="472"/>
      <c r="E55" s="472"/>
      <c r="F55" s="472"/>
      <c r="G55" s="473"/>
      <c r="H55" s="472"/>
      <c r="I55" s="474">
        <v>7159100</v>
      </c>
      <c r="J55" s="474">
        <v>0</v>
      </c>
      <c r="K55" s="474">
        <v>7159100</v>
      </c>
      <c r="L55" s="474">
        <v>0</v>
      </c>
      <c r="M55" s="474">
        <v>7154056.4800000004</v>
      </c>
      <c r="N55" s="474">
        <v>7154056.4800000004</v>
      </c>
      <c r="O55" s="474">
        <v>4104011.55</v>
      </c>
      <c r="P55" s="474"/>
      <c r="Q55" s="474">
        <v>4104011.55</v>
      </c>
      <c r="R55" s="1213">
        <v>3055088.45</v>
      </c>
    </row>
    <row r="56" spans="1:18" outlineLevel="3">
      <c r="A56" s="1212" t="s">
        <v>717</v>
      </c>
      <c r="B56" s="477" t="s">
        <v>3574</v>
      </c>
      <c r="C56" s="477" t="s">
        <v>3313</v>
      </c>
      <c r="D56" s="477" t="s">
        <v>3553</v>
      </c>
      <c r="E56" s="477"/>
      <c r="F56" s="477"/>
      <c r="G56" s="478"/>
      <c r="H56" s="477"/>
      <c r="I56" s="479">
        <v>7159100</v>
      </c>
      <c r="J56" s="479">
        <v>0</v>
      </c>
      <c r="K56" s="479">
        <v>7159100</v>
      </c>
      <c r="L56" s="479">
        <v>0</v>
      </c>
      <c r="M56" s="479">
        <v>7154056.4800000004</v>
      </c>
      <c r="N56" s="479">
        <v>7154056.4800000004</v>
      </c>
      <c r="O56" s="479">
        <v>4104011.55</v>
      </c>
      <c r="P56" s="479"/>
      <c r="Q56" s="479">
        <v>4104011.55</v>
      </c>
      <c r="R56" s="1211">
        <v>3055088.45</v>
      </c>
    </row>
    <row r="57" spans="1:18" outlineLevel="4">
      <c r="A57" s="1210" t="s">
        <v>717</v>
      </c>
      <c r="B57" s="482" t="s">
        <v>3574</v>
      </c>
      <c r="C57" s="482" t="s">
        <v>3313</v>
      </c>
      <c r="D57" s="482" t="s">
        <v>3553</v>
      </c>
      <c r="E57" s="482" t="s">
        <v>3550</v>
      </c>
      <c r="F57" s="482"/>
      <c r="G57" s="831"/>
      <c r="H57" s="482"/>
      <c r="I57" s="484">
        <v>7159100</v>
      </c>
      <c r="J57" s="484">
        <v>0</v>
      </c>
      <c r="K57" s="484">
        <v>7159100</v>
      </c>
      <c r="L57" s="484">
        <v>0</v>
      </c>
      <c r="M57" s="484">
        <v>7154056.4800000004</v>
      </c>
      <c r="N57" s="484">
        <v>7154056.4800000004</v>
      </c>
      <c r="O57" s="484">
        <v>4104011.55</v>
      </c>
      <c r="P57" s="1222"/>
      <c r="Q57" s="484">
        <v>4104011.55</v>
      </c>
      <c r="R57" s="1209">
        <v>3055088.45</v>
      </c>
    </row>
    <row r="58" spans="1:18" ht="25.5" outlineLevel="5">
      <c r="A58" s="1208" t="s">
        <v>717</v>
      </c>
      <c r="B58" s="1206" t="s">
        <v>3574</v>
      </c>
      <c r="C58" s="1206" t="s">
        <v>3313</v>
      </c>
      <c r="D58" s="1206" t="s">
        <v>3553</v>
      </c>
      <c r="E58" s="1206" t="s">
        <v>3550</v>
      </c>
      <c r="F58" s="1206" t="s">
        <v>3315</v>
      </c>
      <c r="G58" s="1207" t="s">
        <v>3314</v>
      </c>
      <c r="H58" s="1206"/>
      <c r="I58" s="1205">
        <v>0</v>
      </c>
      <c r="J58" s="1205">
        <v>0</v>
      </c>
      <c r="K58" s="1205">
        <v>0</v>
      </c>
      <c r="L58" s="1205">
        <v>0</v>
      </c>
      <c r="M58" s="1205">
        <v>0</v>
      </c>
      <c r="N58" s="1205">
        <v>0</v>
      </c>
      <c r="O58" s="1205">
        <v>0</v>
      </c>
      <c r="P58" s="1221">
        <v>1120.5</v>
      </c>
      <c r="Q58" s="1205">
        <v>1120500</v>
      </c>
      <c r="R58" s="1204">
        <v>0</v>
      </c>
    </row>
    <row r="59" spans="1:18" ht="25.5" outlineLevel="5">
      <c r="A59" s="1208" t="s">
        <v>717</v>
      </c>
      <c r="B59" s="1206" t="s">
        <v>3574</v>
      </c>
      <c r="C59" s="1206" t="s">
        <v>3313</v>
      </c>
      <c r="D59" s="1206" t="s">
        <v>3553</v>
      </c>
      <c r="E59" s="1206" t="s">
        <v>3550</v>
      </c>
      <c r="F59" s="1206" t="s">
        <v>3315</v>
      </c>
      <c r="G59" s="1207" t="s">
        <v>3314</v>
      </c>
      <c r="H59" s="1206" t="s">
        <v>3241</v>
      </c>
      <c r="I59" s="1205">
        <v>3159100</v>
      </c>
      <c r="J59" s="1205">
        <v>0</v>
      </c>
      <c r="K59" s="1205">
        <v>3159100</v>
      </c>
      <c r="L59" s="1205">
        <v>0</v>
      </c>
      <c r="M59" s="1205">
        <v>3154118.8</v>
      </c>
      <c r="N59" s="1205">
        <v>3154118.8</v>
      </c>
      <c r="O59" s="1205">
        <v>1120500</v>
      </c>
      <c r="P59" s="1205"/>
      <c r="Q59" s="1205">
        <v>0</v>
      </c>
      <c r="R59" s="1204">
        <v>2038600</v>
      </c>
    </row>
    <row r="60" spans="1:18" ht="89.25" outlineLevel="5">
      <c r="A60" s="1208" t="s">
        <v>717</v>
      </c>
      <c r="B60" s="1206" t="s">
        <v>3574</v>
      </c>
      <c r="C60" s="1206" t="s">
        <v>3313</v>
      </c>
      <c r="D60" s="1206" t="s">
        <v>3553</v>
      </c>
      <c r="E60" s="1206" t="s">
        <v>3550</v>
      </c>
      <c r="F60" s="1206" t="s">
        <v>3312</v>
      </c>
      <c r="G60" s="1207" t="s">
        <v>3178</v>
      </c>
      <c r="H60" s="1206"/>
      <c r="I60" s="1205">
        <v>0</v>
      </c>
      <c r="J60" s="1205">
        <v>0</v>
      </c>
      <c r="K60" s="1205">
        <v>0</v>
      </c>
      <c r="L60" s="1205">
        <v>0</v>
      </c>
      <c r="M60" s="1205">
        <v>0</v>
      </c>
      <c r="N60" s="1205">
        <v>0</v>
      </c>
      <c r="O60" s="1205">
        <v>0</v>
      </c>
      <c r="P60" s="1221">
        <v>2983.5115500000002</v>
      </c>
      <c r="Q60" s="1205">
        <v>2983511.55</v>
      </c>
      <c r="R60" s="1204">
        <v>0</v>
      </c>
    </row>
    <row r="61" spans="1:18" ht="89.25" outlineLevel="5">
      <c r="A61" s="1208" t="s">
        <v>717</v>
      </c>
      <c r="B61" s="1206" t="s">
        <v>3574</v>
      </c>
      <c r="C61" s="1206" t="s">
        <v>3313</v>
      </c>
      <c r="D61" s="1206" t="s">
        <v>3553</v>
      </c>
      <c r="E61" s="1206" t="s">
        <v>3550</v>
      </c>
      <c r="F61" s="1206" t="s">
        <v>3312</v>
      </c>
      <c r="G61" s="1207" t="s">
        <v>3178</v>
      </c>
      <c r="H61" s="1206" t="s">
        <v>3241</v>
      </c>
      <c r="I61" s="1205">
        <v>4000000</v>
      </c>
      <c r="J61" s="1205">
        <v>0</v>
      </c>
      <c r="K61" s="1205">
        <v>4000000</v>
      </c>
      <c r="L61" s="1205">
        <v>0</v>
      </c>
      <c r="M61" s="1205">
        <v>3999937.68</v>
      </c>
      <c r="N61" s="1205">
        <v>3999937.68</v>
      </c>
      <c r="O61" s="1205">
        <v>2983511.55</v>
      </c>
      <c r="P61" s="1205"/>
      <c r="Q61" s="1205">
        <v>0</v>
      </c>
      <c r="R61" s="1204">
        <v>1016488.45</v>
      </c>
    </row>
    <row r="62" spans="1:18" outlineLevel="2">
      <c r="A62" s="1214" t="s">
        <v>717</v>
      </c>
      <c r="B62" s="472" t="s">
        <v>3574</v>
      </c>
      <c r="C62" s="472" t="s">
        <v>3311</v>
      </c>
      <c r="D62" s="472"/>
      <c r="E62" s="472"/>
      <c r="F62" s="472"/>
      <c r="G62" s="473"/>
      <c r="H62" s="472"/>
      <c r="I62" s="474">
        <v>1692765.96</v>
      </c>
      <c r="J62" s="474">
        <v>-505923.96</v>
      </c>
      <c r="K62" s="474">
        <v>1186842</v>
      </c>
      <c r="L62" s="474">
        <v>1934680.85</v>
      </c>
      <c r="M62" s="474">
        <v>-747838.85</v>
      </c>
      <c r="N62" s="474">
        <v>1186842</v>
      </c>
      <c r="O62" s="474">
        <v>1186842</v>
      </c>
      <c r="P62" s="474"/>
      <c r="Q62" s="474">
        <v>1186842</v>
      </c>
      <c r="R62" s="1213">
        <v>0</v>
      </c>
    </row>
    <row r="63" spans="1:18" outlineLevel="3">
      <c r="A63" s="1212" t="s">
        <v>717</v>
      </c>
      <c r="B63" s="477" t="s">
        <v>3574</v>
      </c>
      <c r="C63" s="477" t="s">
        <v>3311</v>
      </c>
      <c r="D63" s="477" t="s">
        <v>3553</v>
      </c>
      <c r="E63" s="477"/>
      <c r="F63" s="477"/>
      <c r="G63" s="478"/>
      <c r="H63" s="477"/>
      <c r="I63" s="479">
        <v>1692765.96</v>
      </c>
      <c r="J63" s="479">
        <v>-505923.96</v>
      </c>
      <c r="K63" s="479">
        <v>1186842</v>
      </c>
      <c r="L63" s="479">
        <v>1934680.85</v>
      </c>
      <c r="M63" s="479">
        <v>-747838.85</v>
      </c>
      <c r="N63" s="479">
        <v>1186842</v>
      </c>
      <c r="O63" s="479">
        <v>1186842</v>
      </c>
      <c r="P63" s="479"/>
      <c r="Q63" s="479">
        <v>1186842</v>
      </c>
      <c r="R63" s="1211">
        <v>0</v>
      </c>
    </row>
    <row r="64" spans="1:18" outlineLevel="4">
      <c r="A64" s="1210" t="s">
        <v>717</v>
      </c>
      <c r="B64" s="482" t="s">
        <v>3574</v>
      </c>
      <c r="C64" s="482" t="s">
        <v>3311</v>
      </c>
      <c r="D64" s="482" t="s">
        <v>3553</v>
      </c>
      <c r="E64" s="482"/>
      <c r="F64" s="482"/>
      <c r="G64" s="831"/>
      <c r="H64" s="482"/>
      <c r="I64" s="484">
        <v>0</v>
      </c>
      <c r="J64" s="484">
        <v>0</v>
      </c>
      <c r="K64" s="484">
        <v>0</v>
      </c>
      <c r="L64" s="484">
        <v>0</v>
      </c>
      <c r="M64" s="484">
        <v>0</v>
      </c>
      <c r="N64" s="484">
        <v>0</v>
      </c>
      <c r="O64" s="484">
        <v>0</v>
      </c>
      <c r="P64" s="484"/>
      <c r="Q64" s="484">
        <v>71210.52</v>
      </c>
      <c r="R64" s="1209">
        <v>0</v>
      </c>
    </row>
    <row r="65" spans="1:18" ht="38.25" outlineLevel="5">
      <c r="A65" s="1208" t="s">
        <v>717</v>
      </c>
      <c r="B65" s="1206" t="s">
        <v>3574</v>
      </c>
      <c r="C65" s="1206" t="s">
        <v>3311</v>
      </c>
      <c r="D65" s="1206" t="s">
        <v>3553</v>
      </c>
      <c r="E65" s="1206"/>
      <c r="F65" s="1206" t="s">
        <v>3310</v>
      </c>
      <c r="G65" s="1207" t="s">
        <v>655</v>
      </c>
      <c r="H65" s="1206" t="s">
        <v>3241</v>
      </c>
      <c r="I65" s="1205">
        <v>0</v>
      </c>
      <c r="J65" s="1205">
        <v>0</v>
      </c>
      <c r="K65" s="1205">
        <v>0</v>
      </c>
      <c r="L65" s="1205">
        <v>0</v>
      </c>
      <c r="M65" s="1205">
        <v>0</v>
      </c>
      <c r="N65" s="1205">
        <v>0</v>
      </c>
      <c r="O65" s="1205">
        <v>0</v>
      </c>
      <c r="P65" s="1205"/>
      <c r="Q65" s="1205">
        <v>71210.52</v>
      </c>
      <c r="R65" s="1204">
        <v>0</v>
      </c>
    </row>
    <row r="66" spans="1:18" outlineLevel="4">
      <c r="A66" s="1210" t="s">
        <v>717</v>
      </c>
      <c r="B66" s="482" t="s">
        <v>3574</v>
      </c>
      <c r="C66" s="482" t="s">
        <v>3311</v>
      </c>
      <c r="D66" s="482" t="s">
        <v>3553</v>
      </c>
      <c r="E66" s="482" t="s">
        <v>3580</v>
      </c>
      <c r="F66" s="482"/>
      <c r="G66" s="831"/>
      <c r="H66" s="482"/>
      <c r="I66" s="484">
        <v>1692765.96</v>
      </c>
      <c r="J66" s="484">
        <v>-1692765.96</v>
      </c>
      <c r="K66" s="484">
        <v>0</v>
      </c>
      <c r="L66" s="484">
        <v>1934680.85</v>
      </c>
      <c r="M66" s="484">
        <v>-1934680.85</v>
      </c>
      <c r="N66" s="484">
        <v>0</v>
      </c>
      <c r="O66" s="484">
        <v>0</v>
      </c>
      <c r="P66" s="484"/>
      <c r="Q66" s="484">
        <v>0</v>
      </c>
      <c r="R66" s="1209">
        <v>0</v>
      </c>
    </row>
    <row r="67" spans="1:18" ht="38.25" outlineLevel="5">
      <c r="A67" s="1208" t="s">
        <v>717</v>
      </c>
      <c r="B67" s="1206" t="s">
        <v>3574</v>
      </c>
      <c r="C67" s="1206" t="s">
        <v>3311</v>
      </c>
      <c r="D67" s="1206" t="s">
        <v>3553</v>
      </c>
      <c r="E67" s="1206" t="s">
        <v>3580</v>
      </c>
      <c r="F67" s="1206" t="s">
        <v>3310</v>
      </c>
      <c r="G67" s="1207" t="s">
        <v>655</v>
      </c>
      <c r="H67" s="1206" t="s">
        <v>3257</v>
      </c>
      <c r="I67" s="1205">
        <v>1591200</v>
      </c>
      <c r="J67" s="1205">
        <v>-1591200</v>
      </c>
      <c r="K67" s="1205">
        <v>0</v>
      </c>
      <c r="L67" s="1205">
        <v>1818600</v>
      </c>
      <c r="M67" s="1205">
        <v>-1818600</v>
      </c>
      <c r="N67" s="1205">
        <v>0</v>
      </c>
      <c r="O67" s="1205">
        <v>0</v>
      </c>
      <c r="P67" s="1205"/>
      <c r="Q67" s="1205">
        <v>0</v>
      </c>
      <c r="R67" s="1204">
        <v>0</v>
      </c>
    </row>
    <row r="68" spans="1:18" ht="38.25" outlineLevel="5">
      <c r="A68" s="1208" t="s">
        <v>717</v>
      </c>
      <c r="B68" s="1206" t="s">
        <v>3574</v>
      </c>
      <c r="C68" s="1206" t="s">
        <v>3311</v>
      </c>
      <c r="D68" s="1206" t="s">
        <v>3553</v>
      </c>
      <c r="E68" s="1206" t="s">
        <v>3580</v>
      </c>
      <c r="F68" s="1206" t="s">
        <v>3310</v>
      </c>
      <c r="G68" s="1207" t="s">
        <v>655</v>
      </c>
      <c r="H68" s="1206" t="s">
        <v>3241</v>
      </c>
      <c r="I68" s="1205">
        <v>101565.96</v>
      </c>
      <c r="J68" s="1205">
        <v>-101565.96</v>
      </c>
      <c r="K68" s="1205">
        <v>0</v>
      </c>
      <c r="L68" s="1205">
        <v>116080.85</v>
      </c>
      <c r="M68" s="1205">
        <v>-116080.85</v>
      </c>
      <c r="N68" s="1205">
        <v>0</v>
      </c>
      <c r="O68" s="1205">
        <v>0</v>
      </c>
      <c r="P68" s="1205"/>
      <c r="Q68" s="1205">
        <v>0</v>
      </c>
      <c r="R68" s="1204">
        <v>0</v>
      </c>
    </row>
    <row r="69" spans="1:18" outlineLevel="4">
      <c r="A69" s="1210" t="s">
        <v>717</v>
      </c>
      <c r="B69" s="482" t="s">
        <v>3574</v>
      </c>
      <c r="C69" s="482" t="s">
        <v>3311</v>
      </c>
      <c r="D69" s="482" t="s">
        <v>3553</v>
      </c>
      <c r="E69" s="482" t="s">
        <v>3579</v>
      </c>
      <c r="F69" s="482"/>
      <c r="G69" s="831"/>
      <c r="H69" s="482"/>
      <c r="I69" s="484">
        <v>0</v>
      </c>
      <c r="J69" s="484">
        <v>1186842</v>
      </c>
      <c r="K69" s="484">
        <v>1186842</v>
      </c>
      <c r="L69" s="484">
        <v>0</v>
      </c>
      <c r="M69" s="484">
        <v>1186842</v>
      </c>
      <c r="N69" s="484">
        <v>1186842</v>
      </c>
      <c r="O69" s="484">
        <v>1186842</v>
      </c>
      <c r="P69" s="484"/>
      <c r="Q69" s="484">
        <v>1115631.48</v>
      </c>
      <c r="R69" s="1209">
        <v>0</v>
      </c>
    </row>
    <row r="70" spans="1:18" ht="38.25" outlineLevel="5">
      <c r="A70" s="1208" t="s">
        <v>717</v>
      </c>
      <c r="B70" s="1206" t="s">
        <v>3574</v>
      </c>
      <c r="C70" s="1206" t="s">
        <v>3311</v>
      </c>
      <c r="D70" s="1206" t="s">
        <v>3553</v>
      </c>
      <c r="E70" s="1206" t="s">
        <v>3579</v>
      </c>
      <c r="F70" s="1206" t="s">
        <v>3310</v>
      </c>
      <c r="G70" s="1207" t="s">
        <v>655</v>
      </c>
      <c r="H70" s="1206"/>
      <c r="I70" s="1205">
        <v>0</v>
      </c>
      <c r="J70" s="1205">
        <v>0</v>
      </c>
      <c r="K70" s="1205">
        <v>0</v>
      </c>
      <c r="L70" s="1205">
        <v>0</v>
      </c>
      <c r="M70" s="1205">
        <v>0</v>
      </c>
      <c r="N70" s="1205">
        <v>0</v>
      </c>
      <c r="O70" s="1205">
        <v>0</v>
      </c>
      <c r="P70" s="1205"/>
      <c r="Q70" s="1205">
        <v>1186842</v>
      </c>
      <c r="R70" s="1204">
        <v>0</v>
      </c>
    </row>
    <row r="71" spans="1:18" ht="38.25" outlineLevel="5">
      <c r="A71" s="1208" t="s">
        <v>717</v>
      </c>
      <c r="B71" s="1206" t="s">
        <v>3574</v>
      </c>
      <c r="C71" s="1206" t="s">
        <v>3311</v>
      </c>
      <c r="D71" s="1206" t="s">
        <v>3553</v>
      </c>
      <c r="E71" s="1206" t="s">
        <v>3579</v>
      </c>
      <c r="F71" s="1206" t="s">
        <v>3310</v>
      </c>
      <c r="G71" s="1207" t="s">
        <v>655</v>
      </c>
      <c r="H71" s="1206" t="s">
        <v>3257</v>
      </c>
      <c r="I71" s="1205">
        <v>0</v>
      </c>
      <c r="J71" s="1205">
        <v>1115631.48</v>
      </c>
      <c r="K71" s="1205">
        <v>1115631.48</v>
      </c>
      <c r="L71" s="1205">
        <v>0</v>
      </c>
      <c r="M71" s="1205">
        <v>1115631.48</v>
      </c>
      <c r="N71" s="1205">
        <v>1115631.48</v>
      </c>
      <c r="O71" s="1205">
        <v>1115631.48</v>
      </c>
      <c r="P71" s="1205"/>
      <c r="Q71" s="1205">
        <v>1115631.48</v>
      </c>
      <c r="R71" s="1204">
        <v>0</v>
      </c>
    </row>
    <row r="72" spans="1:18" ht="38.25" outlineLevel="5">
      <c r="A72" s="1208" t="s">
        <v>717</v>
      </c>
      <c r="B72" s="1206" t="s">
        <v>3574</v>
      </c>
      <c r="C72" s="1206" t="s">
        <v>3311</v>
      </c>
      <c r="D72" s="1206" t="s">
        <v>3553</v>
      </c>
      <c r="E72" s="1206" t="s">
        <v>3579</v>
      </c>
      <c r="F72" s="1206" t="s">
        <v>3310</v>
      </c>
      <c r="G72" s="1207" t="s">
        <v>655</v>
      </c>
      <c r="H72" s="1206" t="s">
        <v>3241</v>
      </c>
      <c r="I72" s="1205">
        <v>0</v>
      </c>
      <c r="J72" s="1205">
        <v>71210.52</v>
      </c>
      <c r="K72" s="1205">
        <v>71210.52</v>
      </c>
      <c r="L72" s="1205">
        <v>0</v>
      </c>
      <c r="M72" s="1205">
        <v>71210.52</v>
      </c>
      <c r="N72" s="1205">
        <v>71210.52</v>
      </c>
      <c r="O72" s="1205">
        <v>71210.52</v>
      </c>
      <c r="P72" s="1205"/>
      <c r="Q72" s="1205">
        <v>71210.52</v>
      </c>
      <c r="R72" s="1204">
        <v>0</v>
      </c>
    </row>
    <row r="73" spans="1:18" hidden="1" outlineLevel="2">
      <c r="A73" s="1214" t="s">
        <v>717</v>
      </c>
      <c r="B73" s="472" t="s">
        <v>3574</v>
      </c>
      <c r="C73" s="472" t="s">
        <v>3269</v>
      </c>
      <c r="D73" s="472"/>
      <c r="E73" s="472"/>
      <c r="F73" s="472"/>
      <c r="G73" s="473"/>
      <c r="H73" s="472"/>
      <c r="I73" s="474">
        <v>24463944.170000002</v>
      </c>
      <c r="J73" s="474">
        <v>-6115986.4699999997</v>
      </c>
      <c r="K73" s="474">
        <v>18347957.699999999</v>
      </c>
      <c r="L73" s="474">
        <v>0</v>
      </c>
      <c r="M73" s="474">
        <v>18347957.699999999</v>
      </c>
      <c r="N73" s="474">
        <v>18347957.699999999</v>
      </c>
      <c r="O73" s="474">
        <v>0</v>
      </c>
      <c r="P73" s="474"/>
      <c r="Q73" s="474">
        <v>0</v>
      </c>
      <c r="R73" s="1213">
        <v>18347957.699999999</v>
      </c>
    </row>
    <row r="74" spans="1:18" hidden="1" outlineLevel="3">
      <c r="A74" s="1212" t="s">
        <v>717</v>
      </c>
      <c r="B74" s="477" t="s">
        <v>3574</v>
      </c>
      <c r="C74" s="477" t="s">
        <v>3269</v>
      </c>
      <c r="D74" s="477" t="s">
        <v>3561</v>
      </c>
      <c r="E74" s="477"/>
      <c r="F74" s="477"/>
      <c r="G74" s="478"/>
      <c r="H74" s="477"/>
      <c r="I74" s="479">
        <v>24463944.170000002</v>
      </c>
      <c r="J74" s="479">
        <v>-6115986.4699999997</v>
      </c>
      <c r="K74" s="479">
        <v>18347957.699999999</v>
      </c>
      <c r="L74" s="479">
        <v>0</v>
      </c>
      <c r="M74" s="479">
        <v>18347957.699999999</v>
      </c>
      <c r="N74" s="479">
        <v>18347957.699999999</v>
      </c>
      <c r="O74" s="479">
        <v>0</v>
      </c>
      <c r="P74" s="479"/>
      <c r="Q74" s="479">
        <v>0</v>
      </c>
      <c r="R74" s="1211">
        <v>18347957.699999999</v>
      </c>
    </row>
    <row r="75" spans="1:18" hidden="1" outlineLevel="4">
      <c r="A75" s="1210" t="s">
        <v>717</v>
      </c>
      <c r="B75" s="482" t="s">
        <v>3574</v>
      </c>
      <c r="C75" s="482" t="s">
        <v>3269</v>
      </c>
      <c r="D75" s="482" t="s">
        <v>3561</v>
      </c>
      <c r="E75" s="482" t="s">
        <v>3578</v>
      </c>
      <c r="F75" s="482"/>
      <c r="G75" s="831"/>
      <c r="H75" s="482"/>
      <c r="I75" s="484">
        <v>24463944.170000002</v>
      </c>
      <c r="J75" s="484">
        <v>-6115986.4699999997</v>
      </c>
      <c r="K75" s="484">
        <v>18347957.699999999</v>
      </c>
      <c r="L75" s="484">
        <v>0</v>
      </c>
      <c r="M75" s="484">
        <v>18347957.699999999</v>
      </c>
      <c r="N75" s="484">
        <v>18347957.699999999</v>
      </c>
      <c r="O75" s="484">
        <v>0</v>
      </c>
      <c r="P75" s="484"/>
      <c r="Q75" s="484">
        <v>0</v>
      </c>
      <c r="R75" s="1209">
        <v>18347957.699999999</v>
      </c>
    </row>
    <row r="76" spans="1:18" ht="51" hidden="1" outlineLevel="5">
      <c r="A76" s="1208" t="s">
        <v>717</v>
      </c>
      <c r="B76" s="1206" t="s">
        <v>3574</v>
      </c>
      <c r="C76" s="1206" t="s">
        <v>3269</v>
      </c>
      <c r="D76" s="1206" t="s">
        <v>3561</v>
      </c>
      <c r="E76" s="1206" t="s">
        <v>3578</v>
      </c>
      <c r="F76" s="1206" t="s">
        <v>3268</v>
      </c>
      <c r="G76" s="1207" t="s">
        <v>670</v>
      </c>
      <c r="H76" s="1206" t="s">
        <v>3241</v>
      </c>
      <c r="I76" s="1205">
        <v>24463944.170000002</v>
      </c>
      <c r="J76" s="1205">
        <v>-6115986.4699999997</v>
      </c>
      <c r="K76" s="1205">
        <v>18347957.699999999</v>
      </c>
      <c r="L76" s="1205">
        <v>0</v>
      </c>
      <c r="M76" s="1205">
        <v>18347957.699999999</v>
      </c>
      <c r="N76" s="1205">
        <v>18347957.699999999</v>
      </c>
      <c r="O76" s="1205">
        <v>0</v>
      </c>
      <c r="P76" s="1205"/>
      <c r="Q76" s="1205">
        <v>0</v>
      </c>
      <c r="R76" s="1204">
        <v>18347957.699999999</v>
      </c>
    </row>
    <row r="77" spans="1:18" hidden="1" outlineLevel="2">
      <c r="A77" s="1214" t="s">
        <v>717</v>
      </c>
      <c r="B77" s="472" t="s">
        <v>3574</v>
      </c>
      <c r="C77" s="472" t="s">
        <v>3577</v>
      </c>
      <c r="D77" s="472"/>
      <c r="E77" s="472"/>
      <c r="F77" s="472"/>
      <c r="G77" s="473"/>
      <c r="H77" s="472"/>
      <c r="I77" s="474">
        <v>0</v>
      </c>
      <c r="J77" s="474">
        <v>0</v>
      </c>
      <c r="K77" s="474">
        <v>0</v>
      </c>
      <c r="L77" s="474">
        <v>42553191.490000002</v>
      </c>
      <c r="M77" s="474">
        <v>-42553191.490000002</v>
      </c>
      <c r="N77" s="474">
        <v>0</v>
      </c>
      <c r="O77" s="474">
        <v>0</v>
      </c>
      <c r="P77" s="474"/>
      <c r="Q77" s="474">
        <v>0</v>
      </c>
      <c r="R77" s="1213">
        <v>0</v>
      </c>
    </row>
    <row r="78" spans="1:18" hidden="1" outlineLevel="3">
      <c r="A78" s="1212" t="s">
        <v>717</v>
      </c>
      <c r="B78" s="477" t="s">
        <v>3574</v>
      </c>
      <c r="C78" s="477" t="s">
        <v>3577</v>
      </c>
      <c r="D78" s="477" t="s">
        <v>3553</v>
      </c>
      <c r="E78" s="477"/>
      <c r="F78" s="477"/>
      <c r="G78" s="478"/>
      <c r="H78" s="477"/>
      <c r="I78" s="479">
        <v>0</v>
      </c>
      <c r="J78" s="479">
        <v>0</v>
      </c>
      <c r="K78" s="479">
        <v>0</v>
      </c>
      <c r="L78" s="479">
        <v>42553191.490000002</v>
      </c>
      <c r="M78" s="479">
        <v>-42553191.490000002</v>
      </c>
      <c r="N78" s="479">
        <v>0</v>
      </c>
      <c r="O78" s="479">
        <v>0</v>
      </c>
      <c r="P78" s="479"/>
      <c r="Q78" s="479">
        <v>0</v>
      </c>
      <c r="R78" s="1211">
        <v>0</v>
      </c>
    </row>
    <row r="79" spans="1:18" hidden="1" outlineLevel="4">
      <c r="A79" s="1210" t="s">
        <v>717</v>
      </c>
      <c r="B79" s="482" t="s">
        <v>3574</v>
      </c>
      <c r="C79" s="482" t="s">
        <v>3577</v>
      </c>
      <c r="D79" s="482" t="s">
        <v>3553</v>
      </c>
      <c r="E79" s="482" t="s">
        <v>3576</v>
      </c>
      <c r="F79" s="482"/>
      <c r="G79" s="831"/>
      <c r="H79" s="482"/>
      <c r="I79" s="484">
        <v>0</v>
      </c>
      <c r="J79" s="484">
        <v>0</v>
      </c>
      <c r="K79" s="484">
        <v>0</v>
      </c>
      <c r="L79" s="484">
        <v>42553191.490000002</v>
      </c>
      <c r="M79" s="484">
        <v>-42553191.490000002</v>
      </c>
      <c r="N79" s="484">
        <v>0</v>
      </c>
      <c r="O79" s="484">
        <v>0</v>
      </c>
      <c r="P79" s="484"/>
      <c r="Q79" s="484">
        <v>0</v>
      </c>
      <c r="R79" s="1209">
        <v>0</v>
      </c>
    </row>
    <row r="80" spans="1:18" ht="38.25" hidden="1" outlineLevel="5">
      <c r="A80" s="1208" t="s">
        <v>717</v>
      </c>
      <c r="B80" s="1206" t="s">
        <v>3574</v>
      </c>
      <c r="C80" s="1206" t="s">
        <v>3577</v>
      </c>
      <c r="D80" s="1206" t="s">
        <v>3553</v>
      </c>
      <c r="E80" s="1206" t="s">
        <v>3576</v>
      </c>
      <c r="F80" s="1206" t="s">
        <v>3263</v>
      </c>
      <c r="G80" s="1207" t="s">
        <v>3018</v>
      </c>
      <c r="H80" s="1206" t="s">
        <v>3257</v>
      </c>
      <c r="I80" s="1205">
        <v>0</v>
      </c>
      <c r="J80" s="1205">
        <v>0</v>
      </c>
      <c r="K80" s="1205">
        <v>0</v>
      </c>
      <c r="L80" s="1205">
        <v>40000000</v>
      </c>
      <c r="M80" s="1205">
        <v>-40000000</v>
      </c>
      <c r="N80" s="1205">
        <v>0</v>
      </c>
      <c r="O80" s="1205">
        <v>0</v>
      </c>
      <c r="P80" s="1205"/>
      <c r="Q80" s="1205">
        <v>0</v>
      </c>
      <c r="R80" s="1204">
        <v>0</v>
      </c>
    </row>
    <row r="81" spans="1:18" ht="38.25" hidden="1" outlineLevel="5">
      <c r="A81" s="1208" t="s">
        <v>717</v>
      </c>
      <c r="B81" s="1206" t="s">
        <v>3574</v>
      </c>
      <c r="C81" s="1206" t="s">
        <v>3577</v>
      </c>
      <c r="D81" s="1206" t="s">
        <v>3553</v>
      </c>
      <c r="E81" s="1206" t="s">
        <v>3576</v>
      </c>
      <c r="F81" s="1206" t="s">
        <v>3263</v>
      </c>
      <c r="G81" s="1207" t="s">
        <v>3018</v>
      </c>
      <c r="H81" s="1206" t="s">
        <v>3241</v>
      </c>
      <c r="I81" s="1205">
        <v>0</v>
      </c>
      <c r="J81" s="1205">
        <v>0</v>
      </c>
      <c r="K81" s="1205">
        <v>0</v>
      </c>
      <c r="L81" s="1205">
        <v>2553191.4900000002</v>
      </c>
      <c r="M81" s="1205">
        <v>-2553191.4900000002</v>
      </c>
      <c r="N81" s="1205">
        <v>0</v>
      </c>
      <c r="O81" s="1205">
        <v>0</v>
      </c>
      <c r="P81" s="1205"/>
      <c r="Q81" s="1205">
        <v>0</v>
      </c>
      <c r="R81" s="1204">
        <v>0</v>
      </c>
    </row>
    <row r="82" spans="1:18" hidden="1" outlineLevel="2">
      <c r="A82" s="1214" t="s">
        <v>717</v>
      </c>
      <c r="B82" s="472" t="s">
        <v>3574</v>
      </c>
      <c r="C82" s="472" t="s">
        <v>3264</v>
      </c>
      <c r="D82" s="472"/>
      <c r="E82" s="472"/>
      <c r="F82" s="472"/>
      <c r="G82" s="473"/>
      <c r="H82" s="472"/>
      <c r="I82" s="474">
        <v>0</v>
      </c>
      <c r="J82" s="474">
        <v>7025221.1299999999</v>
      </c>
      <c r="K82" s="474">
        <v>7025221.1299999999</v>
      </c>
      <c r="L82" s="474">
        <v>0</v>
      </c>
      <c r="M82" s="474">
        <v>7025221.1299999999</v>
      </c>
      <c r="N82" s="474">
        <v>7025221.1299999999</v>
      </c>
      <c r="O82" s="474">
        <v>5671830.4199999999</v>
      </c>
      <c r="P82" s="474"/>
      <c r="Q82" s="474">
        <v>5671830.4199999999</v>
      </c>
      <c r="R82" s="1213">
        <v>1353390.71</v>
      </c>
    </row>
    <row r="83" spans="1:18" hidden="1" outlineLevel="3">
      <c r="A83" s="1212" t="s">
        <v>717</v>
      </c>
      <c r="B83" s="477" t="s">
        <v>3574</v>
      </c>
      <c r="C83" s="477" t="s">
        <v>3264</v>
      </c>
      <c r="D83" s="477" t="s">
        <v>3553</v>
      </c>
      <c r="E83" s="477"/>
      <c r="F83" s="477"/>
      <c r="G83" s="478"/>
      <c r="H83" s="477"/>
      <c r="I83" s="479">
        <v>0</v>
      </c>
      <c r="J83" s="479">
        <v>7025221.1299999999</v>
      </c>
      <c r="K83" s="479">
        <v>7025221.1299999999</v>
      </c>
      <c r="L83" s="479">
        <v>0</v>
      </c>
      <c r="M83" s="479">
        <v>7025221.1299999999</v>
      </c>
      <c r="N83" s="479">
        <v>7025221.1299999999</v>
      </c>
      <c r="O83" s="479">
        <v>5671830.4199999999</v>
      </c>
      <c r="P83" s="479"/>
      <c r="Q83" s="479">
        <v>5671830.4199999999</v>
      </c>
      <c r="R83" s="1211">
        <v>1353390.71</v>
      </c>
    </row>
    <row r="84" spans="1:18" hidden="1" outlineLevel="4">
      <c r="A84" s="1210" t="s">
        <v>717</v>
      </c>
      <c r="B84" s="482" t="s">
        <v>3574</v>
      </c>
      <c r="C84" s="482" t="s">
        <v>3264</v>
      </c>
      <c r="D84" s="482" t="s">
        <v>3553</v>
      </c>
      <c r="E84" s="482"/>
      <c r="F84" s="482"/>
      <c r="G84" s="831"/>
      <c r="H84" s="482"/>
      <c r="I84" s="484">
        <v>0</v>
      </c>
      <c r="J84" s="484">
        <v>0</v>
      </c>
      <c r="K84" s="484">
        <v>0</v>
      </c>
      <c r="L84" s="484">
        <v>0</v>
      </c>
      <c r="M84" s="484">
        <v>0</v>
      </c>
      <c r="N84" s="484">
        <v>0</v>
      </c>
      <c r="O84" s="484">
        <v>0</v>
      </c>
      <c r="P84" s="484"/>
      <c r="Q84" s="484">
        <v>1644836.48</v>
      </c>
      <c r="R84" s="1209">
        <v>0</v>
      </c>
    </row>
    <row r="85" spans="1:18" hidden="1" outlineLevel="5">
      <c r="A85" s="1208" t="s">
        <v>717</v>
      </c>
      <c r="B85" s="1206" t="s">
        <v>3574</v>
      </c>
      <c r="C85" s="1206" t="s">
        <v>3264</v>
      </c>
      <c r="D85" s="1206" t="s">
        <v>3553</v>
      </c>
      <c r="E85" s="1206"/>
      <c r="F85" s="1206"/>
      <c r="G85" s="1207"/>
      <c r="H85" s="1206"/>
      <c r="I85" s="1205">
        <v>0</v>
      </c>
      <c r="J85" s="1205">
        <v>0</v>
      </c>
      <c r="K85" s="1205">
        <v>0</v>
      </c>
      <c r="L85" s="1205">
        <v>0</v>
      </c>
      <c r="M85" s="1205">
        <v>0</v>
      </c>
      <c r="N85" s="1205">
        <v>0</v>
      </c>
      <c r="O85" s="1205">
        <v>0</v>
      </c>
      <c r="P85" s="1205"/>
      <c r="Q85" s="1205">
        <v>163215.57999999999</v>
      </c>
      <c r="R85" s="1204">
        <v>0</v>
      </c>
    </row>
    <row r="86" spans="1:18" ht="38.25" hidden="1" outlineLevel="5">
      <c r="A86" s="1208" t="s">
        <v>717</v>
      </c>
      <c r="B86" s="1206" t="s">
        <v>3574</v>
      </c>
      <c r="C86" s="1206" t="s">
        <v>3264</v>
      </c>
      <c r="D86" s="1206" t="s">
        <v>3553</v>
      </c>
      <c r="E86" s="1206"/>
      <c r="F86" s="1206" t="s">
        <v>3263</v>
      </c>
      <c r="G86" s="1207" t="s">
        <v>3018</v>
      </c>
      <c r="H86" s="1206" t="s">
        <v>3241</v>
      </c>
      <c r="I86" s="1205">
        <v>0</v>
      </c>
      <c r="J86" s="1205">
        <v>0</v>
      </c>
      <c r="K86" s="1205">
        <v>0</v>
      </c>
      <c r="L86" s="1205">
        <v>0</v>
      </c>
      <c r="M86" s="1205">
        <v>0</v>
      </c>
      <c r="N86" s="1205">
        <v>0</v>
      </c>
      <c r="O86" s="1205">
        <v>0</v>
      </c>
      <c r="P86" s="1205"/>
      <c r="Q86" s="1205">
        <v>1481620.9</v>
      </c>
      <c r="R86" s="1204">
        <v>0</v>
      </c>
    </row>
    <row r="87" spans="1:18" hidden="1" outlineLevel="4">
      <c r="A87" s="1210" t="s">
        <v>717</v>
      </c>
      <c r="B87" s="482" t="s">
        <v>3574</v>
      </c>
      <c r="C87" s="482" t="s">
        <v>3264</v>
      </c>
      <c r="D87" s="482" t="s">
        <v>3553</v>
      </c>
      <c r="E87" s="482" t="s">
        <v>3575</v>
      </c>
      <c r="F87" s="482"/>
      <c r="G87" s="831"/>
      <c r="H87" s="482"/>
      <c r="I87" s="484">
        <v>0</v>
      </c>
      <c r="J87" s="484">
        <v>7025221.1299999999</v>
      </c>
      <c r="K87" s="484">
        <v>7025221.1299999999</v>
      </c>
      <c r="L87" s="484">
        <v>0</v>
      </c>
      <c r="M87" s="484">
        <v>7025221.1299999999</v>
      </c>
      <c r="N87" s="484">
        <v>7025221.1299999999</v>
      </c>
      <c r="O87" s="484">
        <v>5671830.4199999999</v>
      </c>
      <c r="P87" s="484"/>
      <c r="Q87" s="484">
        <v>4026993.94</v>
      </c>
      <c r="R87" s="1209">
        <v>1353390.71</v>
      </c>
    </row>
    <row r="88" spans="1:18" ht="38.25" hidden="1" outlineLevel="5">
      <c r="A88" s="1208" t="s">
        <v>717</v>
      </c>
      <c r="B88" s="1206" t="s">
        <v>3574</v>
      </c>
      <c r="C88" s="1206" t="s">
        <v>3264</v>
      </c>
      <c r="D88" s="1206" t="s">
        <v>3553</v>
      </c>
      <c r="E88" s="1206" t="s">
        <v>3575</v>
      </c>
      <c r="F88" s="1206" t="s">
        <v>3263</v>
      </c>
      <c r="G88" s="1207" t="s">
        <v>3018</v>
      </c>
      <c r="H88" s="1206"/>
      <c r="I88" s="1205">
        <v>0</v>
      </c>
      <c r="J88" s="1205">
        <v>0</v>
      </c>
      <c r="K88" s="1205">
        <v>0</v>
      </c>
      <c r="L88" s="1205">
        <v>0</v>
      </c>
      <c r="M88" s="1205">
        <v>0</v>
      </c>
      <c r="N88" s="1205">
        <v>0</v>
      </c>
      <c r="O88" s="1205">
        <v>0</v>
      </c>
      <c r="P88" s="1205"/>
      <c r="Q88" s="1205">
        <v>5671830.4199999999</v>
      </c>
      <c r="R88" s="1204">
        <v>0</v>
      </c>
    </row>
    <row r="89" spans="1:18" ht="38.25" hidden="1" outlineLevel="5">
      <c r="A89" s="1208" t="s">
        <v>717</v>
      </c>
      <c r="B89" s="1206" t="s">
        <v>3574</v>
      </c>
      <c r="C89" s="1206" t="s">
        <v>3264</v>
      </c>
      <c r="D89" s="1206" t="s">
        <v>3553</v>
      </c>
      <c r="E89" s="1206" t="s">
        <v>3575</v>
      </c>
      <c r="F89" s="1206" t="s">
        <v>3263</v>
      </c>
      <c r="G89" s="1207" t="s">
        <v>3018</v>
      </c>
      <c r="H89" s="1206" t="s">
        <v>3257</v>
      </c>
      <c r="I89" s="1205">
        <v>0</v>
      </c>
      <c r="J89" s="1205">
        <v>4987900</v>
      </c>
      <c r="K89" s="1205">
        <v>4987900</v>
      </c>
      <c r="L89" s="1205">
        <v>0</v>
      </c>
      <c r="M89" s="1205">
        <v>4987900</v>
      </c>
      <c r="N89" s="1205">
        <v>4987900</v>
      </c>
      <c r="O89" s="1205">
        <v>4026993.94</v>
      </c>
      <c r="P89" s="1205"/>
      <c r="Q89" s="1205">
        <v>-1644836.48</v>
      </c>
      <c r="R89" s="1204">
        <v>960906.06</v>
      </c>
    </row>
    <row r="90" spans="1:18" ht="38.25" hidden="1" outlineLevel="5">
      <c r="A90" s="1208" t="s">
        <v>717</v>
      </c>
      <c r="B90" s="1206" t="s">
        <v>3574</v>
      </c>
      <c r="C90" s="1206" t="s">
        <v>3264</v>
      </c>
      <c r="D90" s="1206" t="s">
        <v>3553</v>
      </c>
      <c r="E90" s="1206" t="s">
        <v>3575</v>
      </c>
      <c r="F90" s="1206" t="s">
        <v>3263</v>
      </c>
      <c r="G90" s="1207" t="s">
        <v>3018</v>
      </c>
      <c r="H90" s="1206" t="s">
        <v>3241</v>
      </c>
      <c r="I90" s="1205">
        <v>0</v>
      </c>
      <c r="J90" s="1205">
        <v>2037321.13</v>
      </c>
      <c r="K90" s="1205">
        <v>2037321.13</v>
      </c>
      <c r="L90" s="1205">
        <v>0</v>
      </c>
      <c r="M90" s="1205">
        <v>2037321.13</v>
      </c>
      <c r="N90" s="1205">
        <v>2037321.13</v>
      </c>
      <c r="O90" s="1205">
        <v>1644836.48</v>
      </c>
      <c r="P90" s="1205"/>
      <c r="Q90" s="1205">
        <v>0</v>
      </c>
      <c r="R90" s="1204">
        <v>392484.65</v>
      </c>
    </row>
    <row r="91" spans="1:18" outlineLevel="2" collapsed="1">
      <c r="A91" s="1214" t="s">
        <v>717</v>
      </c>
      <c r="B91" s="472" t="s">
        <v>3574</v>
      </c>
      <c r="C91" s="472" t="s">
        <v>3254</v>
      </c>
      <c r="D91" s="472"/>
      <c r="E91" s="472"/>
      <c r="F91" s="472"/>
      <c r="G91" s="473"/>
      <c r="H91" s="472"/>
      <c r="I91" s="474">
        <v>6250000</v>
      </c>
      <c r="J91" s="474">
        <v>-2299750</v>
      </c>
      <c r="K91" s="474">
        <v>3950250</v>
      </c>
      <c r="L91" s="474">
        <v>0</v>
      </c>
      <c r="M91" s="474">
        <v>3950250</v>
      </c>
      <c r="N91" s="474">
        <v>3950250</v>
      </c>
      <c r="O91" s="474">
        <v>3950250</v>
      </c>
      <c r="P91" s="474"/>
      <c r="Q91" s="474">
        <v>3950250</v>
      </c>
      <c r="R91" s="1213">
        <v>0</v>
      </c>
    </row>
    <row r="92" spans="1:18" outlineLevel="3">
      <c r="A92" s="1212" t="s">
        <v>717</v>
      </c>
      <c r="B92" s="477" t="s">
        <v>3574</v>
      </c>
      <c r="C92" s="477" t="s">
        <v>3254</v>
      </c>
      <c r="D92" s="477" t="s">
        <v>3553</v>
      </c>
      <c r="E92" s="477"/>
      <c r="F92" s="477"/>
      <c r="G92" s="478"/>
      <c r="H92" s="477"/>
      <c r="I92" s="479">
        <v>6250000</v>
      </c>
      <c r="J92" s="479">
        <v>-2299750</v>
      </c>
      <c r="K92" s="479">
        <v>3950250</v>
      </c>
      <c r="L92" s="479">
        <v>0</v>
      </c>
      <c r="M92" s="479">
        <v>3950250</v>
      </c>
      <c r="N92" s="479">
        <v>3950250</v>
      </c>
      <c r="O92" s="479">
        <v>3950250</v>
      </c>
      <c r="P92" s="1223">
        <v>3950.25</v>
      </c>
      <c r="Q92" s="479">
        <v>3950250</v>
      </c>
      <c r="R92" s="1211">
        <v>0</v>
      </c>
    </row>
    <row r="93" spans="1:18" outlineLevel="4">
      <c r="A93" s="1210" t="s">
        <v>717</v>
      </c>
      <c r="B93" s="482" t="s">
        <v>3574</v>
      </c>
      <c r="C93" s="482" t="s">
        <v>3254</v>
      </c>
      <c r="D93" s="482" t="s">
        <v>3553</v>
      </c>
      <c r="E93" s="482" t="s">
        <v>3550</v>
      </c>
      <c r="F93" s="482"/>
      <c r="G93" s="831"/>
      <c r="H93" s="482"/>
      <c r="I93" s="484">
        <v>6250000</v>
      </c>
      <c r="J93" s="484">
        <v>-2299750</v>
      </c>
      <c r="K93" s="484">
        <v>3950250</v>
      </c>
      <c r="L93" s="484">
        <v>0</v>
      </c>
      <c r="M93" s="484">
        <v>3950250</v>
      </c>
      <c r="N93" s="484">
        <v>3950250</v>
      </c>
      <c r="O93" s="484">
        <v>3950250</v>
      </c>
      <c r="P93" s="484"/>
      <c r="Q93" s="484">
        <v>3950250</v>
      </c>
      <c r="R93" s="1209">
        <v>0</v>
      </c>
    </row>
    <row r="94" spans="1:18" outlineLevel="5">
      <c r="A94" s="1208" t="s">
        <v>717</v>
      </c>
      <c r="B94" s="1206" t="s">
        <v>3574</v>
      </c>
      <c r="C94" s="1206" t="s">
        <v>3254</v>
      </c>
      <c r="D94" s="1206" t="s">
        <v>3553</v>
      </c>
      <c r="E94" s="1206" t="s">
        <v>3550</v>
      </c>
      <c r="F94" s="1206" t="s">
        <v>3253</v>
      </c>
      <c r="G94" s="1207" t="s">
        <v>3252</v>
      </c>
      <c r="H94" s="1206"/>
      <c r="I94" s="1205">
        <v>0</v>
      </c>
      <c r="J94" s="1205">
        <v>0</v>
      </c>
      <c r="K94" s="1205">
        <v>0</v>
      </c>
      <c r="L94" s="1205">
        <v>0</v>
      </c>
      <c r="M94" s="1205">
        <v>0</v>
      </c>
      <c r="N94" s="1205">
        <v>0</v>
      </c>
      <c r="O94" s="1205">
        <v>0</v>
      </c>
      <c r="P94" s="1205"/>
      <c r="Q94" s="1205">
        <v>3950250</v>
      </c>
      <c r="R94" s="1204">
        <v>0</v>
      </c>
    </row>
    <row r="95" spans="1:18" outlineLevel="5">
      <c r="A95" s="1208" t="s">
        <v>717</v>
      </c>
      <c r="B95" s="1206" t="s">
        <v>3574</v>
      </c>
      <c r="C95" s="1206" t="s">
        <v>3254</v>
      </c>
      <c r="D95" s="1206" t="s">
        <v>3553</v>
      </c>
      <c r="E95" s="1206" t="s">
        <v>3550</v>
      </c>
      <c r="F95" s="1206" t="s">
        <v>3253</v>
      </c>
      <c r="G95" s="1207" t="s">
        <v>3252</v>
      </c>
      <c r="H95" s="1206" t="s">
        <v>3241</v>
      </c>
      <c r="I95" s="1205">
        <v>6250000</v>
      </c>
      <c r="J95" s="1205">
        <v>-2299750</v>
      </c>
      <c r="K95" s="1205">
        <v>3950250</v>
      </c>
      <c r="L95" s="1205">
        <v>0</v>
      </c>
      <c r="M95" s="1205">
        <v>3950250</v>
      </c>
      <c r="N95" s="1205">
        <v>3950250</v>
      </c>
      <c r="O95" s="1205">
        <v>3950250</v>
      </c>
      <c r="P95" s="1205"/>
      <c r="Q95" s="1205">
        <v>0</v>
      </c>
      <c r="R95" s="1204">
        <v>0</v>
      </c>
    </row>
    <row r="96" spans="1:18" hidden="1" outlineLevel="2">
      <c r="A96" s="1214" t="s">
        <v>717</v>
      </c>
      <c r="B96" s="472" t="s">
        <v>3574</v>
      </c>
      <c r="C96" s="472" t="s">
        <v>3573</v>
      </c>
      <c r="D96" s="472"/>
      <c r="E96" s="472"/>
      <c r="F96" s="472"/>
      <c r="G96" s="473"/>
      <c r="H96" s="472"/>
      <c r="I96" s="474">
        <v>0</v>
      </c>
      <c r="J96" s="474">
        <v>4881790.1399999997</v>
      </c>
      <c r="K96" s="474">
        <v>4881790.1399999997</v>
      </c>
      <c r="L96" s="474">
        <v>0</v>
      </c>
      <c r="M96" s="474">
        <v>4881790.1399999997</v>
      </c>
      <c r="N96" s="474">
        <v>4881790.1399999997</v>
      </c>
      <c r="O96" s="474">
        <v>4881790.1399999997</v>
      </c>
      <c r="P96" s="474"/>
      <c r="Q96" s="474">
        <v>4881790.1399999997</v>
      </c>
      <c r="R96" s="1213">
        <v>0</v>
      </c>
    </row>
    <row r="97" spans="1:18" hidden="1" outlineLevel="3">
      <c r="A97" s="1212" t="s">
        <v>717</v>
      </c>
      <c r="B97" s="477" t="s">
        <v>3574</v>
      </c>
      <c r="C97" s="477" t="s">
        <v>3573</v>
      </c>
      <c r="D97" s="477" t="s">
        <v>3553</v>
      </c>
      <c r="E97" s="477"/>
      <c r="F97" s="477"/>
      <c r="G97" s="478"/>
      <c r="H97" s="477"/>
      <c r="I97" s="479">
        <v>0</v>
      </c>
      <c r="J97" s="479">
        <v>4881790.1399999997</v>
      </c>
      <c r="K97" s="479">
        <v>4881790.1399999997</v>
      </c>
      <c r="L97" s="479">
        <v>0</v>
      </c>
      <c r="M97" s="479">
        <v>4881790.1399999997</v>
      </c>
      <c r="N97" s="479">
        <v>4881790.1399999997</v>
      </c>
      <c r="O97" s="479">
        <v>4881790.1399999997</v>
      </c>
      <c r="P97" s="479"/>
      <c r="Q97" s="479">
        <v>4881790.1399999997</v>
      </c>
      <c r="R97" s="1211">
        <v>0</v>
      </c>
    </row>
    <row r="98" spans="1:18" hidden="1" outlineLevel="4">
      <c r="A98" s="1210" t="s">
        <v>717</v>
      </c>
      <c r="B98" s="482" t="s">
        <v>3574</v>
      </c>
      <c r="C98" s="482" t="s">
        <v>3573</v>
      </c>
      <c r="D98" s="482" t="s">
        <v>3553</v>
      </c>
      <c r="E98" s="482" t="s">
        <v>3572</v>
      </c>
      <c r="F98" s="482"/>
      <c r="G98" s="831"/>
      <c r="H98" s="482"/>
      <c r="I98" s="484">
        <v>0</v>
      </c>
      <c r="J98" s="484">
        <v>4881790.1399999997</v>
      </c>
      <c r="K98" s="484">
        <v>4881790.1399999997</v>
      </c>
      <c r="L98" s="484">
        <v>0</v>
      </c>
      <c r="M98" s="484">
        <v>4881790.1399999997</v>
      </c>
      <c r="N98" s="484">
        <v>4881790.1399999997</v>
      </c>
      <c r="O98" s="484">
        <v>4881790.1399999997</v>
      </c>
      <c r="P98" s="484"/>
      <c r="Q98" s="484">
        <v>4881790.1399999997</v>
      </c>
      <c r="R98" s="1209">
        <v>0</v>
      </c>
    </row>
    <row r="99" spans="1:18" ht="25.5" hidden="1" outlineLevel="5">
      <c r="A99" s="1208" t="s">
        <v>717</v>
      </c>
      <c r="B99" s="1206" t="s">
        <v>3574</v>
      </c>
      <c r="C99" s="1206" t="s">
        <v>3573</v>
      </c>
      <c r="D99" s="1206" t="s">
        <v>3553</v>
      </c>
      <c r="E99" s="1206" t="s">
        <v>3572</v>
      </c>
      <c r="F99" s="1206" t="s">
        <v>3571</v>
      </c>
      <c r="G99" s="1207" t="s">
        <v>3570</v>
      </c>
      <c r="H99" s="1206" t="s">
        <v>3241</v>
      </c>
      <c r="I99" s="1205">
        <v>0</v>
      </c>
      <c r="J99" s="1205">
        <v>4881790.1399999997</v>
      </c>
      <c r="K99" s="1205">
        <v>4881790.1399999997</v>
      </c>
      <c r="L99" s="1205">
        <v>0</v>
      </c>
      <c r="M99" s="1205">
        <v>4881790.1399999997</v>
      </c>
      <c r="N99" s="1205">
        <v>4881790.1399999997</v>
      </c>
      <c r="O99" s="1205">
        <v>4881790.1399999997</v>
      </c>
      <c r="P99" s="1205"/>
      <c r="Q99" s="1205">
        <v>4881790.1399999997</v>
      </c>
      <c r="R99" s="1204">
        <v>0</v>
      </c>
    </row>
    <row r="100" spans="1:18" hidden="1" outlineLevel="1">
      <c r="A100" s="1216" t="s">
        <v>717</v>
      </c>
      <c r="B100" s="467" t="s">
        <v>3554</v>
      </c>
      <c r="C100" s="467"/>
      <c r="D100" s="467"/>
      <c r="E100" s="467"/>
      <c r="F100" s="467"/>
      <c r="G100" s="468"/>
      <c r="H100" s="467"/>
      <c r="I100" s="469">
        <v>1105744955.1800001</v>
      </c>
      <c r="J100" s="469">
        <v>115111345.76000001</v>
      </c>
      <c r="K100" s="469">
        <v>1220856300.9400001</v>
      </c>
      <c r="L100" s="469">
        <v>61097228.829999998</v>
      </c>
      <c r="M100" s="469">
        <v>1143294944.71</v>
      </c>
      <c r="N100" s="469">
        <v>1204392173.54</v>
      </c>
      <c r="O100" s="469">
        <v>943755363.09000003</v>
      </c>
      <c r="P100" s="469"/>
      <c r="Q100" s="469">
        <v>922491259.15999997</v>
      </c>
      <c r="R100" s="1215">
        <v>277100937.85000002</v>
      </c>
    </row>
    <row r="101" spans="1:18" hidden="1" outlineLevel="2">
      <c r="A101" s="1214" t="s">
        <v>717</v>
      </c>
      <c r="B101" s="472" t="s">
        <v>3554</v>
      </c>
      <c r="C101" s="472" t="s">
        <v>3337</v>
      </c>
      <c r="D101" s="472"/>
      <c r="E101" s="472"/>
      <c r="F101" s="472"/>
      <c r="G101" s="473"/>
      <c r="H101" s="472"/>
      <c r="I101" s="474">
        <v>40000000</v>
      </c>
      <c r="J101" s="474">
        <v>0</v>
      </c>
      <c r="K101" s="474">
        <v>40000000</v>
      </c>
      <c r="L101" s="474">
        <v>0</v>
      </c>
      <c r="M101" s="474">
        <v>40000000</v>
      </c>
      <c r="N101" s="474">
        <v>40000000</v>
      </c>
      <c r="O101" s="474">
        <v>35440000</v>
      </c>
      <c r="P101" s="474"/>
      <c r="Q101" s="474">
        <v>35440000</v>
      </c>
      <c r="R101" s="1213">
        <v>4560000</v>
      </c>
    </row>
    <row r="102" spans="1:18" hidden="1" outlineLevel="3">
      <c r="A102" s="1212" t="s">
        <v>717</v>
      </c>
      <c r="B102" s="477" t="s">
        <v>3554</v>
      </c>
      <c r="C102" s="477" t="s">
        <v>3337</v>
      </c>
      <c r="D102" s="477" t="s">
        <v>3569</v>
      </c>
      <c r="E102" s="477"/>
      <c r="F102" s="477"/>
      <c r="G102" s="478"/>
      <c r="H102" s="477"/>
      <c r="I102" s="479">
        <v>40000000</v>
      </c>
      <c r="J102" s="479">
        <v>0</v>
      </c>
      <c r="K102" s="479">
        <v>40000000</v>
      </c>
      <c r="L102" s="479">
        <v>0</v>
      </c>
      <c r="M102" s="479">
        <v>40000000</v>
      </c>
      <c r="N102" s="479">
        <v>40000000</v>
      </c>
      <c r="O102" s="479">
        <v>35440000</v>
      </c>
      <c r="P102" s="479"/>
      <c r="Q102" s="479">
        <v>35440000</v>
      </c>
      <c r="R102" s="1211">
        <v>4560000</v>
      </c>
    </row>
    <row r="103" spans="1:18" hidden="1" outlineLevel="4">
      <c r="A103" s="1210" t="s">
        <v>717</v>
      </c>
      <c r="B103" s="482" t="s">
        <v>3554</v>
      </c>
      <c r="C103" s="482" t="s">
        <v>3337</v>
      </c>
      <c r="D103" s="482" t="s">
        <v>3569</v>
      </c>
      <c r="E103" s="482" t="s">
        <v>3550</v>
      </c>
      <c r="F103" s="482"/>
      <c r="G103" s="831"/>
      <c r="H103" s="482"/>
      <c r="I103" s="484">
        <v>40000000</v>
      </c>
      <c r="J103" s="484">
        <v>0</v>
      </c>
      <c r="K103" s="484">
        <v>40000000</v>
      </c>
      <c r="L103" s="484">
        <v>0</v>
      </c>
      <c r="M103" s="484">
        <v>40000000</v>
      </c>
      <c r="N103" s="484">
        <v>40000000</v>
      </c>
      <c r="O103" s="484">
        <v>35440000</v>
      </c>
      <c r="P103" s="484"/>
      <c r="Q103" s="484">
        <v>35440000</v>
      </c>
      <c r="R103" s="1209">
        <v>4560000</v>
      </c>
    </row>
    <row r="104" spans="1:18" ht="63.75" hidden="1" outlineLevel="5">
      <c r="A104" s="1208" t="s">
        <v>717</v>
      </c>
      <c r="B104" s="1206" t="s">
        <v>3554</v>
      </c>
      <c r="C104" s="1206" t="s">
        <v>3337</v>
      </c>
      <c r="D104" s="1206" t="s">
        <v>3569</v>
      </c>
      <c r="E104" s="1206" t="s">
        <v>3550</v>
      </c>
      <c r="F104" s="1206" t="s">
        <v>3336</v>
      </c>
      <c r="G104" s="1207" t="s">
        <v>3335</v>
      </c>
      <c r="H104" s="1206"/>
      <c r="I104" s="1205">
        <v>0</v>
      </c>
      <c r="J104" s="1205">
        <v>0</v>
      </c>
      <c r="K104" s="1205">
        <v>0</v>
      </c>
      <c r="L104" s="1205">
        <v>0</v>
      </c>
      <c r="M104" s="1205">
        <v>0</v>
      </c>
      <c r="N104" s="1205">
        <v>0</v>
      </c>
      <c r="O104" s="1205">
        <v>0</v>
      </c>
      <c r="P104" s="1205"/>
      <c r="Q104" s="1205">
        <v>35440000</v>
      </c>
      <c r="R104" s="1204">
        <v>0</v>
      </c>
    </row>
    <row r="105" spans="1:18" ht="63.75" hidden="1" outlineLevel="5">
      <c r="A105" s="1208" t="s">
        <v>717</v>
      </c>
      <c r="B105" s="1206" t="s">
        <v>3554</v>
      </c>
      <c r="C105" s="1206" t="s">
        <v>3337</v>
      </c>
      <c r="D105" s="1206" t="s">
        <v>3569</v>
      </c>
      <c r="E105" s="1206" t="s">
        <v>3550</v>
      </c>
      <c r="F105" s="1206" t="s">
        <v>3336</v>
      </c>
      <c r="G105" s="1207" t="s">
        <v>3335</v>
      </c>
      <c r="H105" s="1206" t="s">
        <v>3241</v>
      </c>
      <c r="I105" s="1205">
        <v>40000000</v>
      </c>
      <c r="J105" s="1205">
        <v>0</v>
      </c>
      <c r="K105" s="1205">
        <v>40000000</v>
      </c>
      <c r="L105" s="1205">
        <v>0</v>
      </c>
      <c r="M105" s="1205">
        <v>40000000</v>
      </c>
      <c r="N105" s="1205">
        <v>40000000</v>
      </c>
      <c r="O105" s="1205">
        <v>35440000</v>
      </c>
      <c r="P105" s="1205"/>
      <c r="Q105" s="1205">
        <v>0</v>
      </c>
      <c r="R105" s="1204">
        <v>4560000</v>
      </c>
    </row>
    <row r="106" spans="1:18" hidden="1" outlineLevel="2">
      <c r="A106" s="1214" t="s">
        <v>717</v>
      </c>
      <c r="B106" s="472" t="s">
        <v>3554</v>
      </c>
      <c r="C106" s="472" t="s">
        <v>3333</v>
      </c>
      <c r="D106" s="472"/>
      <c r="E106" s="472"/>
      <c r="F106" s="472"/>
      <c r="G106" s="473"/>
      <c r="H106" s="472"/>
      <c r="I106" s="474">
        <v>20000000</v>
      </c>
      <c r="J106" s="474">
        <v>0</v>
      </c>
      <c r="K106" s="474">
        <v>20000000</v>
      </c>
      <c r="L106" s="474">
        <v>0</v>
      </c>
      <c r="M106" s="474">
        <v>20000000</v>
      </c>
      <c r="N106" s="474">
        <v>20000000</v>
      </c>
      <c r="O106" s="474">
        <v>18000000</v>
      </c>
      <c r="P106" s="474"/>
      <c r="Q106" s="474">
        <v>18000000</v>
      </c>
      <c r="R106" s="1213">
        <v>2000000</v>
      </c>
    </row>
    <row r="107" spans="1:18" hidden="1" outlineLevel="3">
      <c r="A107" s="1212" t="s">
        <v>717</v>
      </c>
      <c r="B107" s="477" t="s">
        <v>3554</v>
      </c>
      <c r="C107" s="477" t="s">
        <v>3333</v>
      </c>
      <c r="D107" s="477" t="s">
        <v>3569</v>
      </c>
      <c r="E107" s="477"/>
      <c r="F107" s="477"/>
      <c r="G107" s="478"/>
      <c r="H107" s="477"/>
      <c r="I107" s="479">
        <v>20000000</v>
      </c>
      <c r="J107" s="479">
        <v>0</v>
      </c>
      <c r="K107" s="479">
        <v>20000000</v>
      </c>
      <c r="L107" s="479">
        <v>0</v>
      </c>
      <c r="M107" s="479">
        <v>20000000</v>
      </c>
      <c r="N107" s="479">
        <v>20000000</v>
      </c>
      <c r="O107" s="479">
        <v>18000000</v>
      </c>
      <c r="P107" s="479"/>
      <c r="Q107" s="479">
        <v>18000000</v>
      </c>
      <c r="R107" s="1211">
        <v>2000000</v>
      </c>
    </row>
    <row r="108" spans="1:18" hidden="1" outlineLevel="4">
      <c r="A108" s="1210" t="s">
        <v>717</v>
      </c>
      <c r="B108" s="482" t="s">
        <v>3554</v>
      </c>
      <c r="C108" s="482" t="s">
        <v>3333</v>
      </c>
      <c r="D108" s="482" t="s">
        <v>3569</v>
      </c>
      <c r="E108" s="482" t="s">
        <v>3550</v>
      </c>
      <c r="F108" s="482"/>
      <c r="G108" s="831"/>
      <c r="H108" s="482"/>
      <c r="I108" s="484">
        <v>20000000</v>
      </c>
      <c r="J108" s="484">
        <v>0</v>
      </c>
      <c r="K108" s="484">
        <v>20000000</v>
      </c>
      <c r="L108" s="484">
        <v>0</v>
      </c>
      <c r="M108" s="484">
        <v>20000000</v>
      </c>
      <c r="N108" s="484">
        <v>20000000</v>
      </c>
      <c r="O108" s="484">
        <v>18000000</v>
      </c>
      <c r="P108" s="484"/>
      <c r="Q108" s="484">
        <v>18000000</v>
      </c>
      <c r="R108" s="1209">
        <v>2000000</v>
      </c>
    </row>
    <row r="109" spans="1:18" ht="63.75" hidden="1" outlineLevel="5">
      <c r="A109" s="1208" t="s">
        <v>717</v>
      </c>
      <c r="B109" s="1206" t="s">
        <v>3554</v>
      </c>
      <c r="C109" s="1206" t="s">
        <v>3333</v>
      </c>
      <c r="D109" s="1206" t="s">
        <v>3569</v>
      </c>
      <c r="E109" s="1206" t="s">
        <v>3550</v>
      </c>
      <c r="F109" s="1206" t="s">
        <v>3332</v>
      </c>
      <c r="G109" s="1207" t="s">
        <v>3331</v>
      </c>
      <c r="H109" s="1206"/>
      <c r="I109" s="1205">
        <v>0</v>
      </c>
      <c r="J109" s="1205">
        <v>0</v>
      </c>
      <c r="K109" s="1205">
        <v>0</v>
      </c>
      <c r="L109" s="1205">
        <v>0</v>
      </c>
      <c r="M109" s="1205">
        <v>0</v>
      </c>
      <c r="N109" s="1205">
        <v>0</v>
      </c>
      <c r="O109" s="1205">
        <v>0</v>
      </c>
      <c r="P109" s="1205"/>
      <c r="Q109" s="1205">
        <v>18000000</v>
      </c>
      <c r="R109" s="1204">
        <v>0</v>
      </c>
    </row>
    <row r="110" spans="1:18" ht="63.75" hidden="1" outlineLevel="5">
      <c r="A110" s="1208" t="s">
        <v>717</v>
      </c>
      <c r="B110" s="1206" t="s">
        <v>3554</v>
      </c>
      <c r="C110" s="1206" t="s">
        <v>3333</v>
      </c>
      <c r="D110" s="1206" t="s">
        <v>3569</v>
      </c>
      <c r="E110" s="1206" t="s">
        <v>3550</v>
      </c>
      <c r="F110" s="1206" t="s">
        <v>3332</v>
      </c>
      <c r="G110" s="1207" t="s">
        <v>3331</v>
      </c>
      <c r="H110" s="1206" t="s">
        <v>3241</v>
      </c>
      <c r="I110" s="1205">
        <v>20000000</v>
      </c>
      <c r="J110" s="1205">
        <v>0</v>
      </c>
      <c r="K110" s="1205">
        <v>20000000</v>
      </c>
      <c r="L110" s="1205">
        <v>0</v>
      </c>
      <c r="M110" s="1205">
        <v>20000000</v>
      </c>
      <c r="N110" s="1205">
        <v>20000000</v>
      </c>
      <c r="O110" s="1205">
        <v>18000000</v>
      </c>
      <c r="P110" s="1205"/>
      <c r="Q110" s="1205">
        <v>0</v>
      </c>
      <c r="R110" s="1204">
        <v>2000000</v>
      </c>
    </row>
    <row r="111" spans="1:18" hidden="1" outlineLevel="2">
      <c r="A111" s="1214" t="s">
        <v>717</v>
      </c>
      <c r="B111" s="472" t="s">
        <v>3554</v>
      </c>
      <c r="C111" s="472" t="s">
        <v>3329</v>
      </c>
      <c r="D111" s="472"/>
      <c r="E111" s="472"/>
      <c r="F111" s="472"/>
      <c r="G111" s="473"/>
      <c r="H111" s="472"/>
      <c r="I111" s="474">
        <v>30000000</v>
      </c>
      <c r="J111" s="474">
        <v>19000000</v>
      </c>
      <c r="K111" s="474">
        <v>49000000</v>
      </c>
      <c r="L111" s="474">
        <v>0</v>
      </c>
      <c r="M111" s="474">
        <v>49000000</v>
      </c>
      <c r="N111" s="474">
        <v>49000000</v>
      </c>
      <c r="O111" s="474">
        <v>48500000</v>
      </c>
      <c r="P111" s="474"/>
      <c r="Q111" s="474">
        <v>48500000</v>
      </c>
      <c r="R111" s="1213">
        <v>500000</v>
      </c>
    </row>
    <row r="112" spans="1:18" hidden="1" outlineLevel="3">
      <c r="A112" s="1212" t="s">
        <v>717</v>
      </c>
      <c r="B112" s="477" t="s">
        <v>3554</v>
      </c>
      <c r="C112" s="477" t="s">
        <v>3329</v>
      </c>
      <c r="D112" s="477" t="s">
        <v>3569</v>
      </c>
      <c r="E112" s="477"/>
      <c r="F112" s="477"/>
      <c r="G112" s="478"/>
      <c r="H112" s="477"/>
      <c r="I112" s="479">
        <v>30000000</v>
      </c>
      <c r="J112" s="479">
        <v>19000000</v>
      </c>
      <c r="K112" s="479">
        <v>49000000</v>
      </c>
      <c r="L112" s="479">
        <v>0</v>
      </c>
      <c r="M112" s="479">
        <v>49000000</v>
      </c>
      <c r="N112" s="479">
        <v>49000000</v>
      </c>
      <c r="O112" s="479">
        <v>48500000</v>
      </c>
      <c r="P112" s="479"/>
      <c r="Q112" s="479">
        <v>48500000</v>
      </c>
      <c r="R112" s="1211">
        <v>500000</v>
      </c>
    </row>
    <row r="113" spans="1:18" hidden="1" outlineLevel="4">
      <c r="A113" s="1210" t="s">
        <v>717</v>
      </c>
      <c r="B113" s="482" t="s">
        <v>3554</v>
      </c>
      <c r="C113" s="482" t="s">
        <v>3329</v>
      </c>
      <c r="D113" s="482" t="s">
        <v>3569</v>
      </c>
      <c r="E113" s="482" t="s">
        <v>3550</v>
      </c>
      <c r="F113" s="482"/>
      <c r="G113" s="831"/>
      <c r="H113" s="482"/>
      <c r="I113" s="484">
        <v>30000000</v>
      </c>
      <c r="J113" s="484">
        <v>19000000</v>
      </c>
      <c r="K113" s="484">
        <v>49000000</v>
      </c>
      <c r="L113" s="484">
        <v>0</v>
      </c>
      <c r="M113" s="484">
        <v>49000000</v>
      </c>
      <c r="N113" s="484">
        <v>49000000</v>
      </c>
      <c r="O113" s="484">
        <v>48500000</v>
      </c>
      <c r="P113" s="484"/>
      <c r="Q113" s="484">
        <v>48500000</v>
      </c>
      <c r="R113" s="1209">
        <v>500000</v>
      </c>
    </row>
    <row r="114" spans="1:18" ht="63.75" hidden="1" outlineLevel="5">
      <c r="A114" s="1208" t="s">
        <v>717</v>
      </c>
      <c r="B114" s="1206" t="s">
        <v>3554</v>
      </c>
      <c r="C114" s="1206" t="s">
        <v>3329</v>
      </c>
      <c r="D114" s="1206" t="s">
        <v>3569</v>
      </c>
      <c r="E114" s="1206" t="s">
        <v>3550</v>
      </c>
      <c r="F114" s="1206" t="s">
        <v>3328</v>
      </c>
      <c r="G114" s="1207" t="s">
        <v>3327</v>
      </c>
      <c r="H114" s="1206"/>
      <c r="I114" s="1205">
        <v>0</v>
      </c>
      <c r="J114" s="1205">
        <v>0</v>
      </c>
      <c r="K114" s="1205">
        <v>0</v>
      </c>
      <c r="L114" s="1205">
        <v>0</v>
      </c>
      <c r="M114" s="1205">
        <v>0</v>
      </c>
      <c r="N114" s="1205">
        <v>0</v>
      </c>
      <c r="O114" s="1205">
        <v>0</v>
      </c>
      <c r="P114" s="1205"/>
      <c r="Q114" s="1205">
        <v>48500000</v>
      </c>
      <c r="R114" s="1204">
        <v>0</v>
      </c>
    </row>
    <row r="115" spans="1:18" ht="63.75" hidden="1" outlineLevel="5">
      <c r="A115" s="1208" t="s">
        <v>717</v>
      </c>
      <c r="B115" s="1206" t="s">
        <v>3554</v>
      </c>
      <c r="C115" s="1206" t="s">
        <v>3329</v>
      </c>
      <c r="D115" s="1206" t="s">
        <v>3569</v>
      </c>
      <c r="E115" s="1206" t="s">
        <v>3550</v>
      </c>
      <c r="F115" s="1206" t="s">
        <v>3328</v>
      </c>
      <c r="G115" s="1207" t="s">
        <v>3327</v>
      </c>
      <c r="H115" s="1206" t="s">
        <v>3241</v>
      </c>
      <c r="I115" s="1205">
        <v>30000000</v>
      </c>
      <c r="J115" s="1205">
        <v>19000000</v>
      </c>
      <c r="K115" s="1205">
        <v>49000000</v>
      </c>
      <c r="L115" s="1205">
        <v>0</v>
      </c>
      <c r="M115" s="1205">
        <v>49000000</v>
      </c>
      <c r="N115" s="1205">
        <v>49000000</v>
      </c>
      <c r="O115" s="1205">
        <v>48500000</v>
      </c>
      <c r="P115" s="1205"/>
      <c r="Q115" s="1205">
        <v>0</v>
      </c>
      <c r="R115" s="1204">
        <v>500000</v>
      </c>
    </row>
    <row r="116" spans="1:18" hidden="1" outlineLevel="2">
      <c r="A116" s="1214" t="s">
        <v>717</v>
      </c>
      <c r="B116" s="472" t="s">
        <v>3554</v>
      </c>
      <c r="C116" s="472" t="s">
        <v>3299</v>
      </c>
      <c r="D116" s="472"/>
      <c r="E116" s="472"/>
      <c r="F116" s="472"/>
      <c r="G116" s="473"/>
      <c r="H116" s="472"/>
      <c r="I116" s="474">
        <v>884382790.71000004</v>
      </c>
      <c r="J116" s="474">
        <v>75728065.5</v>
      </c>
      <c r="K116" s="474">
        <v>960110856.21000004</v>
      </c>
      <c r="L116" s="474">
        <v>0</v>
      </c>
      <c r="M116" s="474">
        <v>959974026.61000001</v>
      </c>
      <c r="N116" s="474">
        <v>959974026.61000001</v>
      </c>
      <c r="O116" s="474">
        <v>722614581.76999998</v>
      </c>
      <c r="P116" s="474"/>
      <c r="Q116" s="474">
        <v>703714581.76999998</v>
      </c>
      <c r="R116" s="1213">
        <v>237496274.44</v>
      </c>
    </row>
    <row r="117" spans="1:18" hidden="1" outlineLevel="3">
      <c r="A117" s="1212" t="s">
        <v>717</v>
      </c>
      <c r="B117" s="477" t="s">
        <v>3554</v>
      </c>
      <c r="C117" s="477" t="s">
        <v>3299</v>
      </c>
      <c r="D117" s="477" t="s">
        <v>3568</v>
      </c>
      <c r="E117" s="477"/>
      <c r="F117" s="477"/>
      <c r="G117" s="478"/>
      <c r="H117" s="477"/>
      <c r="I117" s="479">
        <v>56834083.200000003</v>
      </c>
      <c r="J117" s="479">
        <v>2708062.34</v>
      </c>
      <c r="K117" s="479">
        <v>59542145.539999999</v>
      </c>
      <c r="L117" s="479">
        <v>0</v>
      </c>
      <c r="M117" s="479">
        <v>59542145.539999999</v>
      </c>
      <c r="N117" s="479">
        <v>59542145.539999999</v>
      </c>
      <c r="O117" s="479">
        <v>45072261.539999999</v>
      </c>
      <c r="P117" s="479"/>
      <c r="Q117" s="479">
        <v>44072261.539999999</v>
      </c>
      <c r="R117" s="1211">
        <v>14469884</v>
      </c>
    </row>
    <row r="118" spans="1:18" hidden="1" outlineLevel="4">
      <c r="A118" s="1210" t="s">
        <v>717</v>
      </c>
      <c r="B118" s="482" t="s">
        <v>3554</v>
      </c>
      <c r="C118" s="482" t="s">
        <v>3299</v>
      </c>
      <c r="D118" s="482" t="s">
        <v>3568</v>
      </c>
      <c r="E118" s="482" t="s">
        <v>3550</v>
      </c>
      <c r="F118" s="482"/>
      <c r="G118" s="831"/>
      <c r="H118" s="482"/>
      <c r="I118" s="484">
        <v>56834083.200000003</v>
      </c>
      <c r="J118" s="484">
        <v>2708062.34</v>
      </c>
      <c r="K118" s="484">
        <v>59542145.539999999</v>
      </c>
      <c r="L118" s="484">
        <v>0</v>
      </c>
      <c r="M118" s="484">
        <v>59542145.539999999</v>
      </c>
      <c r="N118" s="484">
        <v>59542145.539999999</v>
      </c>
      <c r="O118" s="484">
        <v>45072261.539999999</v>
      </c>
      <c r="P118" s="484"/>
      <c r="Q118" s="484">
        <v>44072261.539999999</v>
      </c>
      <c r="R118" s="1209">
        <v>14469884</v>
      </c>
    </row>
    <row r="119" spans="1:18" ht="25.5" hidden="1" outlineLevel="5">
      <c r="A119" s="1208" t="s">
        <v>717</v>
      </c>
      <c r="B119" s="1206" t="s">
        <v>3554</v>
      </c>
      <c r="C119" s="1206" t="s">
        <v>3299</v>
      </c>
      <c r="D119" s="1206" t="s">
        <v>3568</v>
      </c>
      <c r="E119" s="1206" t="s">
        <v>3550</v>
      </c>
      <c r="F119" s="1206" t="s">
        <v>3298</v>
      </c>
      <c r="G119" s="1207" t="s">
        <v>22</v>
      </c>
      <c r="H119" s="1206"/>
      <c r="I119" s="1205">
        <v>0</v>
      </c>
      <c r="J119" s="1205">
        <v>0</v>
      </c>
      <c r="K119" s="1205">
        <v>0</v>
      </c>
      <c r="L119" s="1205">
        <v>0</v>
      </c>
      <c r="M119" s="1205">
        <v>0</v>
      </c>
      <c r="N119" s="1205">
        <v>0</v>
      </c>
      <c r="O119" s="1205">
        <v>0</v>
      </c>
      <c r="P119" s="1205"/>
      <c r="Q119" s="1205">
        <v>44072261.539999999</v>
      </c>
      <c r="R119" s="1204">
        <v>0</v>
      </c>
    </row>
    <row r="120" spans="1:18" ht="25.5" hidden="1" outlineLevel="5">
      <c r="A120" s="1208" t="s">
        <v>717</v>
      </c>
      <c r="B120" s="1206" t="s">
        <v>3554</v>
      </c>
      <c r="C120" s="1206" t="s">
        <v>3299</v>
      </c>
      <c r="D120" s="1206" t="s">
        <v>3568</v>
      </c>
      <c r="E120" s="1206" t="s">
        <v>3550</v>
      </c>
      <c r="F120" s="1206" t="s">
        <v>3298</v>
      </c>
      <c r="G120" s="1207" t="s">
        <v>22</v>
      </c>
      <c r="H120" s="1206" t="s">
        <v>3241</v>
      </c>
      <c r="I120" s="1205">
        <v>56834083.200000003</v>
      </c>
      <c r="J120" s="1205">
        <v>2708062.34</v>
      </c>
      <c r="K120" s="1205">
        <v>59542145.539999999</v>
      </c>
      <c r="L120" s="1205">
        <v>0</v>
      </c>
      <c r="M120" s="1205">
        <v>59542145.539999999</v>
      </c>
      <c r="N120" s="1205">
        <v>59542145.539999999</v>
      </c>
      <c r="O120" s="1205">
        <v>45072261.539999999</v>
      </c>
      <c r="P120" s="1205"/>
      <c r="Q120" s="1205">
        <v>0</v>
      </c>
      <c r="R120" s="1204">
        <v>14469884</v>
      </c>
    </row>
    <row r="121" spans="1:18" hidden="1" outlineLevel="3">
      <c r="A121" s="1212" t="s">
        <v>717</v>
      </c>
      <c r="B121" s="477" t="s">
        <v>3554</v>
      </c>
      <c r="C121" s="477" t="s">
        <v>3299</v>
      </c>
      <c r="D121" s="477" t="s">
        <v>3566</v>
      </c>
      <c r="E121" s="477"/>
      <c r="F121" s="477"/>
      <c r="G121" s="478"/>
      <c r="H121" s="477"/>
      <c r="I121" s="479">
        <v>0</v>
      </c>
      <c r="J121" s="479">
        <v>3964</v>
      </c>
      <c r="K121" s="479">
        <v>3964</v>
      </c>
      <c r="L121" s="479">
        <v>0</v>
      </c>
      <c r="M121" s="479">
        <v>3964</v>
      </c>
      <c r="N121" s="479">
        <v>3964</v>
      </c>
      <c r="O121" s="479">
        <v>3959</v>
      </c>
      <c r="P121" s="479"/>
      <c r="Q121" s="479">
        <v>3959</v>
      </c>
      <c r="R121" s="1211">
        <v>5</v>
      </c>
    </row>
    <row r="122" spans="1:18" hidden="1" outlineLevel="4">
      <c r="A122" s="1210" t="s">
        <v>717</v>
      </c>
      <c r="B122" s="482" t="s">
        <v>3554</v>
      </c>
      <c r="C122" s="482" t="s">
        <v>3299</v>
      </c>
      <c r="D122" s="482" t="s">
        <v>3566</v>
      </c>
      <c r="E122" s="482" t="s">
        <v>3550</v>
      </c>
      <c r="F122" s="482"/>
      <c r="G122" s="831"/>
      <c r="H122" s="482"/>
      <c r="I122" s="484">
        <v>0</v>
      </c>
      <c r="J122" s="484">
        <v>3964</v>
      </c>
      <c r="K122" s="484">
        <v>3964</v>
      </c>
      <c r="L122" s="484">
        <v>0</v>
      </c>
      <c r="M122" s="484">
        <v>3964</v>
      </c>
      <c r="N122" s="484">
        <v>3964</v>
      </c>
      <c r="O122" s="484">
        <v>3959</v>
      </c>
      <c r="P122" s="484"/>
      <c r="Q122" s="484">
        <v>3959</v>
      </c>
      <c r="R122" s="1209">
        <v>5</v>
      </c>
    </row>
    <row r="123" spans="1:18" ht="51" hidden="1" outlineLevel="5">
      <c r="A123" s="1208" t="s">
        <v>717</v>
      </c>
      <c r="B123" s="1206" t="s">
        <v>3554</v>
      </c>
      <c r="C123" s="1206" t="s">
        <v>3299</v>
      </c>
      <c r="D123" s="1206" t="s">
        <v>3566</v>
      </c>
      <c r="E123" s="1206" t="s">
        <v>3550</v>
      </c>
      <c r="F123" s="1206" t="s">
        <v>3305</v>
      </c>
      <c r="G123" s="1207" t="s">
        <v>3166</v>
      </c>
      <c r="H123" s="1206"/>
      <c r="I123" s="1205">
        <v>0</v>
      </c>
      <c r="J123" s="1205">
        <v>0</v>
      </c>
      <c r="K123" s="1205">
        <v>0</v>
      </c>
      <c r="L123" s="1205">
        <v>0</v>
      </c>
      <c r="M123" s="1205">
        <v>0</v>
      </c>
      <c r="N123" s="1205">
        <v>0</v>
      </c>
      <c r="O123" s="1205">
        <v>0</v>
      </c>
      <c r="P123" s="1205"/>
      <c r="Q123" s="1205">
        <v>3959</v>
      </c>
      <c r="R123" s="1204">
        <v>0</v>
      </c>
    </row>
    <row r="124" spans="1:18" ht="51" hidden="1" outlineLevel="5">
      <c r="A124" s="1208" t="s">
        <v>717</v>
      </c>
      <c r="B124" s="1206" t="s">
        <v>3554</v>
      </c>
      <c r="C124" s="1206" t="s">
        <v>3299</v>
      </c>
      <c r="D124" s="1206" t="s">
        <v>3566</v>
      </c>
      <c r="E124" s="1206" t="s">
        <v>3550</v>
      </c>
      <c r="F124" s="1206" t="s">
        <v>3305</v>
      </c>
      <c r="G124" s="1207" t="s">
        <v>3166</v>
      </c>
      <c r="H124" s="1206" t="s">
        <v>3241</v>
      </c>
      <c r="I124" s="1205">
        <v>0</v>
      </c>
      <c r="J124" s="1205">
        <v>3964</v>
      </c>
      <c r="K124" s="1205">
        <v>3964</v>
      </c>
      <c r="L124" s="1205">
        <v>0</v>
      </c>
      <c r="M124" s="1205">
        <v>3964</v>
      </c>
      <c r="N124" s="1205">
        <v>3964</v>
      </c>
      <c r="O124" s="1205">
        <v>3959</v>
      </c>
      <c r="P124" s="1205"/>
      <c r="Q124" s="1205">
        <v>0</v>
      </c>
      <c r="R124" s="1204">
        <v>5</v>
      </c>
    </row>
    <row r="125" spans="1:18" hidden="1" outlineLevel="3">
      <c r="A125" s="1212" t="s">
        <v>717</v>
      </c>
      <c r="B125" s="477" t="s">
        <v>3554</v>
      </c>
      <c r="C125" s="477" t="s">
        <v>3299</v>
      </c>
      <c r="D125" s="477" t="s">
        <v>3567</v>
      </c>
      <c r="E125" s="477"/>
      <c r="F125" s="477"/>
      <c r="G125" s="478"/>
      <c r="H125" s="477"/>
      <c r="I125" s="479">
        <v>793703468.13999999</v>
      </c>
      <c r="J125" s="479">
        <v>51816325.960000001</v>
      </c>
      <c r="K125" s="479">
        <v>845519794.10000002</v>
      </c>
      <c r="L125" s="479">
        <v>0</v>
      </c>
      <c r="M125" s="479">
        <v>845519794.10000002</v>
      </c>
      <c r="N125" s="479">
        <v>845519794.10000002</v>
      </c>
      <c r="O125" s="479">
        <v>634891599.46000004</v>
      </c>
      <c r="P125" s="479"/>
      <c r="Q125" s="479">
        <v>618391599.46000004</v>
      </c>
      <c r="R125" s="1211">
        <v>210628194.63999999</v>
      </c>
    </row>
    <row r="126" spans="1:18" hidden="1" outlineLevel="4">
      <c r="A126" s="1210" t="s">
        <v>717</v>
      </c>
      <c r="B126" s="482" t="s">
        <v>3554</v>
      </c>
      <c r="C126" s="482" t="s">
        <v>3299</v>
      </c>
      <c r="D126" s="482" t="s">
        <v>3567</v>
      </c>
      <c r="E126" s="482" t="s">
        <v>3550</v>
      </c>
      <c r="F126" s="482"/>
      <c r="G126" s="831"/>
      <c r="H126" s="482"/>
      <c r="I126" s="484">
        <v>793703468.13999999</v>
      </c>
      <c r="J126" s="484">
        <v>51816325.960000001</v>
      </c>
      <c r="K126" s="484">
        <v>845519794.10000002</v>
      </c>
      <c r="L126" s="484">
        <v>0</v>
      </c>
      <c r="M126" s="484">
        <v>845519794.10000002</v>
      </c>
      <c r="N126" s="484">
        <v>845519794.10000002</v>
      </c>
      <c r="O126" s="484">
        <v>634891599.46000004</v>
      </c>
      <c r="P126" s="484"/>
      <c r="Q126" s="484">
        <v>618391599.46000004</v>
      </c>
      <c r="R126" s="1209">
        <v>210628194.63999999</v>
      </c>
    </row>
    <row r="127" spans="1:18" ht="25.5" hidden="1" outlineLevel="5">
      <c r="A127" s="1208" t="s">
        <v>717</v>
      </c>
      <c r="B127" s="1206" t="s">
        <v>3554</v>
      </c>
      <c r="C127" s="1206" t="s">
        <v>3299</v>
      </c>
      <c r="D127" s="1206" t="s">
        <v>3567</v>
      </c>
      <c r="E127" s="1206" t="s">
        <v>3550</v>
      </c>
      <c r="F127" s="1206" t="s">
        <v>3298</v>
      </c>
      <c r="G127" s="1207" t="s">
        <v>22</v>
      </c>
      <c r="H127" s="1206"/>
      <c r="I127" s="1205">
        <v>0</v>
      </c>
      <c r="J127" s="1205">
        <v>0</v>
      </c>
      <c r="K127" s="1205">
        <v>0</v>
      </c>
      <c r="L127" s="1205">
        <v>0</v>
      </c>
      <c r="M127" s="1205">
        <v>0</v>
      </c>
      <c r="N127" s="1205">
        <v>0</v>
      </c>
      <c r="O127" s="1205">
        <v>0</v>
      </c>
      <c r="P127" s="1205"/>
      <c r="Q127" s="1205">
        <v>618391599.46000004</v>
      </c>
      <c r="R127" s="1204">
        <v>0</v>
      </c>
    </row>
    <row r="128" spans="1:18" ht="25.5" hidden="1" outlineLevel="5">
      <c r="A128" s="1208" t="s">
        <v>717</v>
      </c>
      <c r="B128" s="1206" t="s">
        <v>3554</v>
      </c>
      <c r="C128" s="1206" t="s">
        <v>3299</v>
      </c>
      <c r="D128" s="1206" t="s">
        <v>3567</v>
      </c>
      <c r="E128" s="1206" t="s">
        <v>3550</v>
      </c>
      <c r="F128" s="1206" t="s">
        <v>3298</v>
      </c>
      <c r="G128" s="1207" t="s">
        <v>22</v>
      </c>
      <c r="H128" s="1206" t="s">
        <v>3241</v>
      </c>
      <c r="I128" s="1205">
        <v>793703468.13999999</v>
      </c>
      <c r="J128" s="1205">
        <v>51816325.960000001</v>
      </c>
      <c r="K128" s="1205">
        <v>845519794.10000002</v>
      </c>
      <c r="L128" s="1205">
        <v>0</v>
      </c>
      <c r="M128" s="1205">
        <v>845519794.10000002</v>
      </c>
      <c r="N128" s="1205">
        <v>845519794.10000002</v>
      </c>
      <c r="O128" s="1205">
        <v>634891599.46000004</v>
      </c>
      <c r="P128" s="1205"/>
      <c r="Q128" s="1205">
        <v>0</v>
      </c>
      <c r="R128" s="1204">
        <v>210628194.63999999</v>
      </c>
    </row>
    <row r="129" spans="1:18" hidden="1" outlineLevel="3">
      <c r="A129" s="1212" t="s">
        <v>717</v>
      </c>
      <c r="B129" s="477" t="s">
        <v>3554</v>
      </c>
      <c r="C129" s="477" t="s">
        <v>3299</v>
      </c>
      <c r="D129" s="477" t="s">
        <v>3565</v>
      </c>
      <c r="E129" s="477"/>
      <c r="F129" s="477"/>
      <c r="G129" s="478"/>
      <c r="H129" s="477"/>
      <c r="I129" s="479">
        <v>33845239.369999997</v>
      </c>
      <c r="J129" s="479">
        <v>21199713.199999999</v>
      </c>
      <c r="K129" s="479">
        <v>55044952.57</v>
      </c>
      <c r="L129" s="479">
        <v>0</v>
      </c>
      <c r="M129" s="479">
        <v>54908122.969999999</v>
      </c>
      <c r="N129" s="479">
        <v>54908122.969999999</v>
      </c>
      <c r="O129" s="479">
        <v>42646761.770000003</v>
      </c>
      <c r="P129" s="479"/>
      <c r="Q129" s="479">
        <v>41246761.770000003</v>
      </c>
      <c r="R129" s="1211">
        <v>12398190.800000001</v>
      </c>
    </row>
    <row r="130" spans="1:18" hidden="1" outlineLevel="4">
      <c r="A130" s="1210" t="s">
        <v>717</v>
      </c>
      <c r="B130" s="482" t="s">
        <v>3554</v>
      </c>
      <c r="C130" s="482" t="s">
        <v>3299</v>
      </c>
      <c r="D130" s="482" t="s">
        <v>3565</v>
      </c>
      <c r="E130" s="482" t="s">
        <v>3550</v>
      </c>
      <c r="F130" s="482"/>
      <c r="G130" s="831"/>
      <c r="H130" s="482"/>
      <c r="I130" s="484">
        <v>33845239.369999997</v>
      </c>
      <c r="J130" s="484">
        <v>21199713.199999999</v>
      </c>
      <c r="K130" s="484">
        <v>55044952.57</v>
      </c>
      <c r="L130" s="484">
        <v>0</v>
      </c>
      <c r="M130" s="484">
        <v>54908122.969999999</v>
      </c>
      <c r="N130" s="484">
        <v>54908122.969999999</v>
      </c>
      <c r="O130" s="484">
        <v>42646761.770000003</v>
      </c>
      <c r="P130" s="484"/>
      <c r="Q130" s="484">
        <v>41246761.770000003</v>
      </c>
      <c r="R130" s="1209">
        <v>12398190.800000001</v>
      </c>
    </row>
    <row r="131" spans="1:18" ht="51" hidden="1" outlineLevel="5">
      <c r="A131" s="1208" t="s">
        <v>717</v>
      </c>
      <c r="B131" s="1206" t="s">
        <v>3554</v>
      </c>
      <c r="C131" s="1206" t="s">
        <v>3299</v>
      </c>
      <c r="D131" s="1206" t="s">
        <v>3565</v>
      </c>
      <c r="E131" s="1206" t="s">
        <v>3550</v>
      </c>
      <c r="F131" s="1206" t="s">
        <v>3305</v>
      </c>
      <c r="G131" s="1207" t="s">
        <v>3166</v>
      </c>
      <c r="H131" s="1206"/>
      <c r="I131" s="1205">
        <v>0</v>
      </c>
      <c r="J131" s="1205">
        <v>0</v>
      </c>
      <c r="K131" s="1205">
        <v>0</v>
      </c>
      <c r="L131" s="1205">
        <v>0</v>
      </c>
      <c r="M131" s="1205">
        <v>0</v>
      </c>
      <c r="N131" s="1205">
        <v>0</v>
      </c>
      <c r="O131" s="1205">
        <v>0</v>
      </c>
      <c r="P131" s="1205"/>
      <c r="Q131" s="1205">
        <v>26962</v>
      </c>
      <c r="R131" s="1204">
        <v>0</v>
      </c>
    </row>
    <row r="132" spans="1:18" ht="51" hidden="1" outlineLevel="5">
      <c r="A132" s="1208" t="s">
        <v>717</v>
      </c>
      <c r="B132" s="1206" t="s">
        <v>3554</v>
      </c>
      <c r="C132" s="1206" t="s">
        <v>3299</v>
      </c>
      <c r="D132" s="1206" t="s">
        <v>3565</v>
      </c>
      <c r="E132" s="1206" t="s">
        <v>3550</v>
      </c>
      <c r="F132" s="1206" t="s">
        <v>3305</v>
      </c>
      <c r="G132" s="1207" t="s">
        <v>3166</v>
      </c>
      <c r="H132" s="1206" t="s">
        <v>3241</v>
      </c>
      <c r="I132" s="1205">
        <v>32070</v>
      </c>
      <c r="J132" s="1205">
        <v>-3964</v>
      </c>
      <c r="K132" s="1205">
        <v>28106</v>
      </c>
      <c r="L132" s="1205">
        <v>0</v>
      </c>
      <c r="M132" s="1205">
        <v>28106</v>
      </c>
      <c r="N132" s="1205">
        <v>28106</v>
      </c>
      <c r="O132" s="1205">
        <v>26962</v>
      </c>
      <c r="P132" s="1205"/>
      <c r="Q132" s="1205">
        <v>0</v>
      </c>
      <c r="R132" s="1204">
        <v>1144</v>
      </c>
    </row>
    <row r="133" spans="1:18" ht="38.25" hidden="1" outlineLevel="5">
      <c r="A133" s="1208" t="s">
        <v>717</v>
      </c>
      <c r="B133" s="1206" t="s">
        <v>3554</v>
      </c>
      <c r="C133" s="1206" t="s">
        <v>3299</v>
      </c>
      <c r="D133" s="1206" t="s">
        <v>3565</v>
      </c>
      <c r="E133" s="1206" t="s">
        <v>3550</v>
      </c>
      <c r="F133" s="1206" t="s">
        <v>3304</v>
      </c>
      <c r="G133" s="1207" t="s">
        <v>2930</v>
      </c>
      <c r="H133" s="1206"/>
      <c r="I133" s="1205">
        <v>0</v>
      </c>
      <c r="J133" s="1205">
        <v>0</v>
      </c>
      <c r="K133" s="1205">
        <v>0</v>
      </c>
      <c r="L133" s="1205">
        <v>0</v>
      </c>
      <c r="M133" s="1205">
        <v>0</v>
      </c>
      <c r="N133" s="1205">
        <v>0</v>
      </c>
      <c r="O133" s="1205">
        <v>0</v>
      </c>
      <c r="P133" s="1205"/>
      <c r="Q133" s="1205">
        <v>35050999.770000003</v>
      </c>
      <c r="R133" s="1204">
        <v>0</v>
      </c>
    </row>
    <row r="134" spans="1:18" ht="38.25" hidden="1" outlineLevel="5">
      <c r="A134" s="1208" t="s">
        <v>717</v>
      </c>
      <c r="B134" s="1206" t="s">
        <v>3554</v>
      </c>
      <c r="C134" s="1206" t="s">
        <v>3299</v>
      </c>
      <c r="D134" s="1206" t="s">
        <v>3565</v>
      </c>
      <c r="E134" s="1206" t="s">
        <v>3550</v>
      </c>
      <c r="F134" s="1206" t="s">
        <v>3304</v>
      </c>
      <c r="G134" s="1207" t="s">
        <v>2930</v>
      </c>
      <c r="H134" s="1206" t="s">
        <v>3241</v>
      </c>
      <c r="I134" s="1205">
        <v>28813169.370000001</v>
      </c>
      <c r="J134" s="1205">
        <v>6237830.4000000004</v>
      </c>
      <c r="K134" s="1205">
        <v>35050999.770000003</v>
      </c>
      <c r="L134" s="1205">
        <v>0</v>
      </c>
      <c r="M134" s="1205">
        <v>35050999.770000003</v>
      </c>
      <c r="N134" s="1205">
        <v>35050999.770000003</v>
      </c>
      <c r="O134" s="1205">
        <v>35050999.770000003</v>
      </c>
      <c r="P134" s="1205"/>
      <c r="Q134" s="1205">
        <v>0</v>
      </c>
      <c r="R134" s="1204">
        <v>0</v>
      </c>
    </row>
    <row r="135" spans="1:18" ht="25.5" hidden="1" outlineLevel="5">
      <c r="A135" s="1208" t="s">
        <v>717</v>
      </c>
      <c r="B135" s="1206" t="s">
        <v>3554</v>
      </c>
      <c r="C135" s="1206" t="s">
        <v>3299</v>
      </c>
      <c r="D135" s="1206" t="s">
        <v>3565</v>
      </c>
      <c r="E135" s="1206" t="s">
        <v>3550</v>
      </c>
      <c r="F135" s="1206" t="s">
        <v>3303</v>
      </c>
      <c r="G135" s="1207" t="s">
        <v>2922</v>
      </c>
      <c r="H135" s="1206" t="s">
        <v>3241</v>
      </c>
      <c r="I135" s="1205">
        <v>5000000</v>
      </c>
      <c r="J135" s="1205">
        <v>-4863170.4000000004</v>
      </c>
      <c r="K135" s="1205">
        <v>136829.6</v>
      </c>
      <c r="L135" s="1205">
        <v>0</v>
      </c>
      <c r="M135" s="1205">
        <v>0</v>
      </c>
      <c r="N135" s="1205">
        <v>0</v>
      </c>
      <c r="O135" s="1205">
        <v>0</v>
      </c>
      <c r="P135" s="1205"/>
      <c r="Q135" s="1205">
        <v>0</v>
      </c>
      <c r="R135" s="1204">
        <v>136829.6</v>
      </c>
    </row>
    <row r="136" spans="1:18" ht="38.25" hidden="1" outlineLevel="5">
      <c r="A136" s="1208" t="s">
        <v>717</v>
      </c>
      <c r="B136" s="1206" t="s">
        <v>3554</v>
      </c>
      <c r="C136" s="1206" t="s">
        <v>3299</v>
      </c>
      <c r="D136" s="1206" t="s">
        <v>3565</v>
      </c>
      <c r="E136" s="1206" t="s">
        <v>3550</v>
      </c>
      <c r="F136" s="1206" t="s">
        <v>3302</v>
      </c>
      <c r="G136" s="1207" t="s">
        <v>3301</v>
      </c>
      <c r="H136" s="1206" t="s">
        <v>3241</v>
      </c>
      <c r="I136" s="1205">
        <v>0</v>
      </c>
      <c r="J136" s="1205">
        <v>3628395</v>
      </c>
      <c r="K136" s="1205">
        <v>3628395</v>
      </c>
      <c r="L136" s="1205">
        <v>0</v>
      </c>
      <c r="M136" s="1205">
        <v>3628395</v>
      </c>
      <c r="N136" s="1205">
        <v>3628395</v>
      </c>
      <c r="O136" s="1205">
        <v>0</v>
      </c>
      <c r="P136" s="1205"/>
      <c r="Q136" s="1205">
        <v>0</v>
      </c>
      <c r="R136" s="1204">
        <v>3628395</v>
      </c>
    </row>
    <row r="137" spans="1:18" ht="89.25" hidden="1" outlineLevel="5">
      <c r="A137" s="1208" t="s">
        <v>717</v>
      </c>
      <c r="B137" s="1206" t="s">
        <v>3554</v>
      </c>
      <c r="C137" s="1206" t="s">
        <v>3299</v>
      </c>
      <c r="D137" s="1206" t="s">
        <v>3565</v>
      </c>
      <c r="E137" s="1206" t="s">
        <v>3550</v>
      </c>
      <c r="F137" s="1206" t="s">
        <v>3300</v>
      </c>
      <c r="G137" s="1207" t="s">
        <v>3129</v>
      </c>
      <c r="H137" s="1206"/>
      <c r="I137" s="1205">
        <v>0</v>
      </c>
      <c r="J137" s="1205">
        <v>0</v>
      </c>
      <c r="K137" s="1205">
        <v>0</v>
      </c>
      <c r="L137" s="1205">
        <v>0</v>
      </c>
      <c r="M137" s="1205">
        <v>0</v>
      </c>
      <c r="N137" s="1205">
        <v>0</v>
      </c>
      <c r="O137" s="1205">
        <v>0</v>
      </c>
      <c r="P137" s="1205"/>
      <c r="Q137" s="1205">
        <v>6168800</v>
      </c>
      <c r="R137" s="1204">
        <v>0</v>
      </c>
    </row>
    <row r="138" spans="1:18" ht="89.25" hidden="1" outlineLevel="5">
      <c r="A138" s="1208" t="s">
        <v>717</v>
      </c>
      <c r="B138" s="1206" t="s">
        <v>3554</v>
      </c>
      <c r="C138" s="1206" t="s">
        <v>3299</v>
      </c>
      <c r="D138" s="1206" t="s">
        <v>3565</v>
      </c>
      <c r="E138" s="1206" t="s">
        <v>3550</v>
      </c>
      <c r="F138" s="1206" t="s">
        <v>3300</v>
      </c>
      <c r="G138" s="1207" t="s">
        <v>3129</v>
      </c>
      <c r="H138" s="1206" t="s">
        <v>3241</v>
      </c>
      <c r="I138" s="1205">
        <v>0</v>
      </c>
      <c r="J138" s="1205">
        <v>16200622.199999999</v>
      </c>
      <c r="K138" s="1205">
        <v>16200622.199999999</v>
      </c>
      <c r="L138" s="1205">
        <v>0</v>
      </c>
      <c r="M138" s="1205">
        <v>16200622.199999999</v>
      </c>
      <c r="N138" s="1205">
        <v>16200622.199999999</v>
      </c>
      <c r="O138" s="1205">
        <v>7568800</v>
      </c>
      <c r="P138" s="1205"/>
      <c r="Q138" s="1205">
        <v>0</v>
      </c>
      <c r="R138" s="1204">
        <v>8631822.1999999993</v>
      </c>
    </row>
    <row r="139" spans="1:18" hidden="1" outlineLevel="2">
      <c r="A139" s="1214" t="s">
        <v>717</v>
      </c>
      <c r="B139" s="472" t="s">
        <v>3554</v>
      </c>
      <c r="C139" s="472" t="s">
        <v>3297</v>
      </c>
      <c r="D139" s="472"/>
      <c r="E139" s="472"/>
      <c r="F139" s="472"/>
      <c r="G139" s="473"/>
      <c r="H139" s="472"/>
      <c r="I139" s="474">
        <v>3561300</v>
      </c>
      <c r="J139" s="474">
        <v>2382077.81</v>
      </c>
      <c r="K139" s="474">
        <v>5943377.8099999996</v>
      </c>
      <c r="L139" s="474">
        <v>0</v>
      </c>
      <c r="M139" s="474">
        <v>5943377.8099999996</v>
      </c>
      <c r="N139" s="474">
        <v>5943377.8099999996</v>
      </c>
      <c r="O139" s="474">
        <v>5442317</v>
      </c>
      <c r="P139" s="474"/>
      <c r="Q139" s="474">
        <v>5210653.07</v>
      </c>
      <c r="R139" s="1213">
        <v>501060.81</v>
      </c>
    </row>
    <row r="140" spans="1:18" hidden="1" outlineLevel="3">
      <c r="A140" s="1212" t="s">
        <v>717</v>
      </c>
      <c r="B140" s="477" t="s">
        <v>3554</v>
      </c>
      <c r="C140" s="477" t="s">
        <v>3297</v>
      </c>
      <c r="D140" s="477" t="s">
        <v>3566</v>
      </c>
      <c r="E140" s="477"/>
      <c r="F140" s="477"/>
      <c r="G140" s="478"/>
      <c r="H140" s="477"/>
      <c r="I140" s="479">
        <v>567700</v>
      </c>
      <c r="J140" s="479">
        <v>0</v>
      </c>
      <c r="K140" s="479">
        <v>567700</v>
      </c>
      <c r="L140" s="479">
        <v>0</v>
      </c>
      <c r="M140" s="479">
        <v>567700</v>
      </c>
      <c r="N140" s="479">
        <v>567700</v>
      </c>
      <c r="O140" s="479">
        <v>438257.8</v>
      </c>
      <c r="P140" s="479"/>
      <c r="Q140" s="479">
        <v>365593.87</v>
      </c>
      <c r="R140" s="1211">
        <v>129442.2</v>
      </c>
    </row>
    <row r="141" spans="1:18" hidden="1" outlineLevel="4">
      <c r="A141" s="1210" t="s">
        <v>717</v>
      </c>
      <c r="B141" s="482" t="s">
        <v>3554</v>
      </c>
      <c r="C141" s="482" t="s">
        <v>3297</v>
      </c>
      <c r="D141" s="482" t="s">
        <v>3566</v>
      </c>
      <c r="E141" s="482" t="s">
        <v>3550</v>
      </c>
      <c r="F141" s="482"/>
      <c r="G141" s="831"/>
      <c r="H141" s="482"/>
      <c r="I141" s="484">
        <v>567700</v>
      </c>
      <c r="J141" s="484">
        <v>0</v>
      </c>
      <c r="K141" s="484">
        <v>567700</v>
      </c>
      <c r="L141" s="484">
        <v>0</v>
      </c>
      <c r="M141" s="484">
        <v>567700</v>
      </c>
      <c r="N141" s="484">
        <v>567700</v>
      </c>
      <c r="O141" s="484">
        <v>438257.8</v>
      </c>
      <c r="P141" s="484"/>
      <c r="Q141" s="484">
        <v>365593.87</v>
      </c>
      <c r="R141" s="1209">
        <v>129442.2</v>
      </c>
    </row>
    <row r="142" spans="1:18" ht="63.75" hidden="1" outlineLevel="5">
      <c r="A142" s="1208" t="s">
        <v>717</v>
      </c>
      <c r="B142" s="1206" t="s">
        <v>3554</v>
      </c>
      <c r="C142" s="1206" t="s">
        <v>3297</v>
      </c>
      <c r="D142" s="1206" t="s">
        <v>3566</v>
      </c>
      <c r="E142" s="1206" t="s">
        <v>3550</v>
      </c>
      <c r="F142" s="1206" t="s">
        <v>3296</v>
      </c>
      <c r="G142" s="1207" t="s">
        <v>62</v>
      </c>
      <c r="H142" s="1206"/>
      <c r="I142" s="1205">
        <v>0</v>
      </c>
      <c r="J142" s="1205">
        <v>0</v>
      </c>
      <c r="K142" s="1205">
        <v>0</v>
      </c>
      <c r="L142" s="1205">
        <v>0</v>
      </c>
      <c r="M142" s="1205">
        <v>0</v>
      </c>
      <c r="N142" s="1205">
        <v>0</v>
      </c>
      <c r="O142" s="1205">
        <v>0</v>
      </c>
      <c r="P142" s="1205"/>
      <c r="Q142" s="1205">
        <v>365593.87</v>
      </c>
      <c r="R142" s="1204">
        <v>0</v>
      </c>
    </row>
    <row r="143" spans="1:18" ht="63.75" hidden="1" outlineLevel="5">
      <c r="A143" s="1208" t="s">
        <v>717</v>
      </c>
      <c r="B143" s="1206" t="s">
        <v>3554</v>
      </c>
      <c r="C143" s="1206" t="s">
        <v>3297</v>
      </c>
      <c r="D143" s="1206" t="s">
        <v>3566</v>
      </c>
      <c r="E143" s="1206" t="s">
        <v>3550</v>
      </c>
      <c r="F143" s="1206" t="s">
        <v>3296</v>
      </c>
      <c r="G143" s="1207" t="s">
        <v>62</v>
      </c>
      <c r="H143" s="1206" t="s">
        <v>3241</v>
      </c>
      <c r="I143" s="1205">
        <v>567700</v>
      </c>
      <c r="J143" s="1205">
        <v>0</v>
      </c>
      <c r="K143" s="1205">
        <v>567700</v>
      </c>
      <c r="L143" s="1205">
        <v>0</v>
      </c>
      <c r="M143" s="1205">
        <v>567700</v>
      </c>
      <c r="N143" s="1205">
        <v>567700</v>
      </c>
      <c r="O143" s="1205">
        <v>438257.8</v>
      </c>
      <c r="P143" s="1205"/>
      <c r="Q143" s="1205">
        <v>0</v>
      </c>
      <c r="R143" s="1204">
        <v>129442.2</v>
      </c>
    </row>
    <row r="144" spans="1:18" hidden="1" outlineLevel="3">
      <c r="A144" s="1212" t="s">
        <v>717</v>
      </c>
      <c r="B144" s="477" t="s">
        <v>3554</v>
      </c>
      <c r="C144" s="477" t="s">
        <v>3297</v>
      </c>
      <c r="D144" s="477" t="s">
        <v>3565</v>
      </c>
      <c r="E144" s="477"/>
      <c r="F144" s="477"/>
      <c r="G144" s="478"/>
      <c r="H144" s="477"/>
      <c r="I144" s="479">
        <v>2993600</v>
      </c>
      <c r="J144" s="479">
        <v>2382077.81</v>
      </c>
      <c r="K144" s="479">
        <v>5375677.8099999996</v>
      </c>
      <c r="L144" s="479">
        <v>0</v>
      </c>
      <c r="M144" s="479">
        <v>5375677.8099999996</v>
      </c>
      <c r="N144" s="479">
        <v>5375677.8099999996</v>
      </c>
      <c r="O144" s="479">
        <v>5004059.2</v>
      </c>
      <c r="P144" s="479"/>
      <c r="Q144" s="479">
        <v>4845059.2</v>
      </c>
      <c r="R144" s="1211">
        <v>371618.61</v>
      </c>
    </row>
    <row r="145" spans="1:18" hidden="1" outlineLevel="4">
      <c r="A145" s="1210" t="s">
        <v>717</v>
      </c>
      <c r="B145" s="482" t="s">
        <v>3554</v>
      </c>
      <c r="C145" s="482" t="s">
        <v>3297</v>
      </c>
      <c r="D145" s="482" t="s">
        <v>3565</v>
      </c>
      <c r="E145" s="482" t="s">
        <v>3550</v>
      </c>
      <c r="F145" s="482"/>
      <c r="G145" s="831"/>
      <c r="H145" s="482"/>
      <c r="I145" s="484">
        <v>2993600</v>
      </c>
      <c r="J145" s="484">
        <v>2382077.81</v>
      </c>
      <c r="K145" s="484">
        <v>5375677.8099999996</v>
      </c>
      <c r="L145" s="484">
        <v>0</v>
      </c>
      <c r="M145" s="484">
        <v>5375677.8099999996</v>
      </c>
      <c r="N145" s="484">
        <v>5375677.8099999996</v>
      </c>
      <c r="O145" s="484">
        <v>5004059.2</v>
      </c>
      <c r="P145" s="484"/>
      <c r="Q145" s="484">
        <v>4845059.2</v>
      </c>
      <c r="R145" s="1209">
        <v>371618.61</v>
      </c>
    </row>
    <row r="146" spans="1:18" ht="63.75" hidden="1" outlineLevel="5">
      <c r="A146" s="1208" t="s">
        <v>717</v>
      </c>
      <c r="B146" s="1206" t="s">
        <v>3554</v>
      </c>
      <c r="C146" s="1206" t="s">
        <v>3297</v>
      </c>
      <c r="D146" s="1206" t="s">
        <v>3565</v>
      </c>
      <c r="E146" s="1206" t="s">
        <v>3550</v>
      </c>
      <c r="F146" s="1206" t="s">
        <v>3296</v>
      </c>
      <c r="G146" s="1207" t="s">
        <v>62</v>
      </c>
      <c r="H146" s="1206"/>
      <c r="I146" s="1205">
        <v>0</v>
      </c>
      <c r="J146" s="1205">
        <v>0</v>
      </c>
      <c r="K146" s="1205">
        <v>0</v>
      </c>
      <c r="L146" s="1205">
        <v>0</v>
      </c>
      <c r="M146" s="1205">
        <v>0</v>
      </c>
      <c r="N146" s="1205">
        <v>0</v>
      </c>
      <c r="O146" s="1205">
        <v>0</v>
      </c>
      <c r="P146" s="1205"/>
      <c r="Q146" s="1205">
        <v>4845059.2</v>
      </c>
      <c r="R146" s="1204">
        <v>0</v>
      </c>
    </row>
    <row r="147" spans="1:18" ht="63.75" hidden="1" outlineLevel="5">
      <c r="A147" s="1208" t="s">
        <v>717</v>
      </c>
      <c r="B147" s="1206" t="s">
        <v>3554</v>
      </c>
      <c r="C147" s="1206" t="s">
        <v>3297</v>
      </c>
      <c r="D147" s="1206" t="s">
        <v>3565</v>
      </c>
      <c r="E147" s="1206" t="s">
        <v>3550</v>
      </c>
      <c r="F147" s="1206" t="s">
        <v>3296</v>
      </c>
      <c r="G147" s="1207" t="s">
        <v>62</v>
      </c>
      <c r="H147" s="1206" t="s">
        <v>3241</v>
      </c>
      <c r="I147" s="1205">
        <v>2993600</v>
      </c>
      <c r="J147" s="1205">
        <v>2382077.81</v>
      </c>
      <c r="K147" s="1205">
        <v>5375677.8099999996</v>
      </c>
      <c r="L147" s="1205">
        <v>0</v>
      </c>
      <c r="M147" s="1205">
        <v>5375677.8099999996</v>
      </c>
      <c r="N147" s="1205">
        <v>5375677.8099999996</v>
      </c>
      <c r="O147" s="1205">
        <v>5004059.2</v>
      </c>
      <c r="P147" s="1205"/>
      <c r="Q147" s="1205">
        <v>0</v>
      </c>
      <c r="R147" s="1204">
        <v>371618.61</v>
      </c>
    </row>
    <row r="148" spans="1:18" hidden="1" outlineLevel="2">
      <c r="A148" s="1214" t="s">
        <v>717</v>
      </c>
      <c r="B148" s="472" t="s">
        <v>3554</v>
      </c>
      <c r="C148" s="472" t="s">
        <v>3295</v>
      </c>
      <c r="D148" s="472"/>
      <c r="E148" s="472"/>
      <c r="F148" s="472"/>
      <c r="G148" s="473"/>
      <c r="H148" s="472"/>
      <c r="I148" s="474">
        <v>0</v>
      </c>
      <c r="J148" s="474">
        <v>134432.19</v>
      </c>
      <c r="K148" s="474">
        <v>134432.19</v>
      </c>
      <c r="L148" s="474">
        <v>0</v>
      </c>
      <c r="M148" s="474">
        <v>134432.19</v>
      </c>
      <c r="N148" s="474">
        <v>134432.19</v>
      </c>
      <c r="O148" s="474">
        <v>134432.19</v>
      </c>
      <c r="P148" s="474"/>
      <c r="Q148" s="474">
        <v>134432.19</v>
      </c>
      <c r="R148" s="1213">
        <v>0</v>
      </c>
    </row>
    <row r="149" spans="1:18" hidden="1" outlineLevel="3">
      <c r="A149" s="1212" t="s">
        <v>717</v>
      </c>
      <c r="B149" s="477" t="s">
        <v>3554</v>
      </c>
      <c r="C149" s="477" t="s">
        <v>3295</v>
      </c>
      <c r="D149" s="477" t="s">
        <v>3566</v>
      </c>
      <c r="E149" s="477"/>
      <c r="F149" s="477"/>
      <c r="G149" s="478"/>
      <c r="H149" s="477"/>
      <c r="I149" s="479">
        <v>0</v>
      </c>
      <c r="J149" s="479">
        <v>46621.2</v>
      </c>
      <c r="K149" s="479">
        <v>46621.2</v>
      </c>
      <c r="L149" s="479">
        <v>0</v>
      </c>
      <c r="M149" s="479">
        <v>46621.2</v>
      </c>
      <c r="N149" s="479">
        <v>46621.2</v>
      </c>
      <c r="O149" s="479">
        <v>46621.2</v>
      </c>
      <c r="P149" s="479"/>
      <c r="Q149" s="479">
        <v>46621.2</v>
      </c>
      <c r="R149" s="1211">
        <v>0</v>
      </c>
    </row>
    <row r="150" spans="1:18" hidden="1" outlineLevel="4">
      <c r="A150" s="1210" t="s">
        <v>717</v>
      </c>
      <c r="B150" s="482" t="s">
        <v>3554</v>
      </c>
      <c r="C150" s="482" t="s">
        <v>3295</v>
      </c>
      <c r="D150" s="482" t="s">
        <v>3566</v>
      </c>
      <c r="E150" s="482" t="s">
        <v>3550</v>
      </c>
      <c r="F150" s="482"/>
      <c r="G150" s="831"/>
      <c r="H150" s="482"/>
      <c r="I150" s="484">
        <v>0</v>
      </c>
      <c r="J150" s="484">
        <v>46621.2</v>
      </c>
      <c r="K150" s="484">
        <v>46621.2</v>
      </c>
      <c r="L150" s="484">
        <v>0</v>
      </c>
      <c r="M150" s="484">
        <v>46621.2</v>
      </c>
      <c r="N150" s="484">
        <v>46621.2</v>
      </c>
      <c r="O150" s="484">
        <v>46621.2</v>
      </c>
      <c r="P150" s="484"/>
      <c r="Q150" s="484">
        <v>46621.2</v>
      </c>
      <c r="R150" s="1209">
        <v>0</v>
      </c>
    </row>
    <row r="151" spans="1:18" ht="76.5" hidden="1" outlineLevel="5">
      <c r="A151" s="1208" t="s">
        <v>717</v>
      </c>
      <c r="B151" s="1206" t="s">
        <v>3554</v>
      </c>
      <c r="C151" s="1206" t="s">
        <v>3295</v>
      </c>
      <c r="D151" s="1206" t="s">
        <v>3566</v>
      </c>
      <c r="E151" s="1206" t="s">
        <v>3550</v>
      </c>
      <c r="F151" s="1206" t="s">
        <v>3294</v>
      </c>
      <c r="G151" s="1207" t="s">
        <v>156</v>
      </c>
      <c r="H151" s="1206"/>
      <c r="I151" s="1205">
        <v>0</v>
      </c>
      <c r="J151" s="1205">
        <v>0</v>
      </c>
      <c r="K151" s="1205">
        <v>0</v>
      </c>
      <c r="L151" s="1205">
        <v>0</v>
      </c>
      <c r="M151" s="1205">
        <v>0</v>
      </c>
      <c r="N151" s="1205">
        <v>0</v>
      </c>
      <c r="O151" s="1205">
        <v>0</v>
      </c>
      <c r="P151" s="1205"/>
      <c r="Q151" s="1205">
        <v>46621.2</v>
      </c>
      <c r="R151" s="1204">
        <v>0</v>
      </c>
    </row>
    <row r="152" spans="1:18" ht="76.5" hidden="1" outlineLevel="5">
      <c r="A152" s="1208" t="s">
        <v>717</v>
      </c>
      <c r="B152" s="1206" t="s">
        <v>3554</v>
      </c>
      <c r="C152" s="1206" t="s">
        <v>3295</v>
      </c>
      <c r="D152" s="1206" t="s">
        <v>3566</v>
      </c>
      <c r="E152" s="1206" t="s">
        <v>3550</v>
      </c>
      <c r="F152" s="1206" t="s">
        <v>3294</v>
      </c>
      <c r="G152" s="1207" t="s">
        <v>156</v>
      </c>
      <c r="H152" s="1206" t="s">
        <v>3241</v>
      </c>
      <c r="I152" s="1205">
        <v>0</v>
      </c>
      <c r="J152" s="1205">
        <v>46621.2</v>
      </c>
      <c r="K152" s="1205">
        <v>46621.2</v>
      </c>
      <c r="L152" s="1205">
        <v>0</v>
      </c>
      <c r="M152" s="1205">
        <v>46621.2</v>
      </c>
      <c r="N152" s="1205">
        <v>46621.2</v>
      </c>
      <c r="O152" s="1205">
        <v>46621.2</v>
      </c>
      <c r="P152" s="1205"/>
      <c r="Q152" s="1205">
        <v>0</v>
      </c>
      <c r="R152" s="1204">
        <v>0</v>
      </c>
    </row>
    <row r="153" spans="1:18" hidden="1" outlineLevel="3">
      <c r="A153" s="1212" t="s">
        <v>717</v>
      </c>
      <c r="B153" s="477" t="s">
        <v>3554</v>
      </c>
      <c r="C153" s="477" t="s">
        <v>3295</v>
      </c>
      <c r="D153" s="477" t="s">
        <v>3565</v>
      </c>
      <c r="E153" s="477"/>
      <c r="F153" s="477"/>
      <c r="G153" s="478"/>
      <c r="H153" s="477"/>
      <c r="I153" s="479">
        <v>0</v>
      </c>
      <c r="J153" s="479">
        <v>87810.99</v>
      </c>
      <c r="K153" s="479">
        <v>87810.99</v>
      </c>
      <c r="L153" s="479">
        <v>0</v>
      </c>
      <c r="M153" s="479">
        <v>87810.99</v>
      </c>
      <c r="N153" s="479">
        <v>87810.99</v>
      </c>
      <c r="O153" s="479">
        <v>87810.99</v>
      </c>
      <c r="P153" s="479"/>
      <c r="Q153" s="479">
        <v>87810.99</v>
      </c>
      <c r="R153" s="1211">
        <v>0</v>
      </c>
    </row>
    <row r="154" spans="1:18" hidden="1" outlineLevel="4">
      <c r="A154" s="1210" t="s">
        <v>717</v>
      </c>
      <c r="B154" s="482" t="s">
        <v>3554</v>
      </c>
      <c r="C154" s="482" t="s">
        <v>3295</v>
      </c>
      <c r="D154" s="482" t="s">
        <v>3565</v>
      </c>
      <c r="E154" s="482" t="s">
        <v>3550</v>
      </c>
      <c r="F154" s="482"/>
      <c r="G154" s="831"/>
      <c r="H154" s="482"/>
      <c r="I154" s="484">
        <v>0</v>
      </c>
      <c r="J154" s="484">
        <v>87810.99</v>
      </c>
      <c r="K154" s="484">
        <v>87810.99</v>
      </c>
      <c r="L154" s="484">
        <v>0</v>
      </c>
      <c r="M154" s="484">
        <v>87810.99</v>
      </c>
      <c r="N154" s="484">
        <v>87810.99</v>
      </c>
      <c r="O154" s="484">
        <v>87810.99</v>
      </c>
      <c r="P154" s="484"/>
      <c r="Q154" s="484">
        <v>87810.99</v>
      </c>
      <c r="R154" s="1209">
        <v>0</v>
      </c>
    </row>
    <row r="155" spans="1:18" ht="76.5" hidden="1" outlineLevel="5">
      <c r="A155" s="1208" t="s">
        <v>717</v>
      </c>
      <c r="B155" s="1206" t="s">
        <v>3554</v>
      </c>
      <c r="C155" s="1206" t="s">
        <v>3295</v>
      </c>
      <c r="D155" s="1206" t="s">
        <v>3565</v>
      </c>
      <c r="E155" s="1206" t="s">
        <v>3550</v>
      </c>
      <c r="F155" s="1206" t="s">
        <v>3294</v>
      </c>
      <c r="G155" s="1207" t="s">
        <v>156</v>
      </c>
      <c r="H155" s="1206"/>
      <c r="I155" s="1205">
        <v>0</v>
      </c>
      <c r="J155" s="1205">
        <v>0</v>
      </c>
      <c r="K155" s="1205">
        <v>0</v>
      </c>
      <c r="L155" s="1205">
        <v>0</v>
      </c>
      <c r="M155" s="1205">
        <v>0</v>
      </c>
      <c r="N155" s="1205">
        <v>0</v>
      </c>
      <c r="O155" s="1205">
        <v>0</v>
      </c>
      <c r="P155" s="1205"/>
      <c r="Q155" s="1205">
        <v>87810.99</v>
      </c>
      <c r="R155" s="1204">
        <v>0</v>
      </c>
    </row>
    <row r="156" spans="1:18" ht="76.5" hidden="1" outlineLevel="5">
      <c r="A156" s="1208" t="s">
        <v>717</v>
      </c>
      <c r="B156" s="1206" t="s">
        <v>3554</v>
      </c>
      <c r="C156" s="1206" t="s">
        <v>3295</v>
      </c>
      <c r="D156" s="1206" t="s">
        <v>3565</v>
      </c>
      <c r="E156" s="1206" t="s">
        <v>3550</v>
      </c>
      <c r="F156" s="1206" t="s">
        <v>3294</v>
      </c>
      <c r="G156" s="1207" t="s">
        <v>156</v>
      </c>
      <c r="H156" s="1206" t="s">
        <v>3241</v>
      </c>
      <c r="I156" s="1205">
        <v>0</v>
      </c>
      <c r="J156" s="1205">
        <v>87810.99</v>
      </c>
      <c r="K156" s="1205">
        <v>87810.99</v>
      </c>
      <c r="L156" s="1205">
        <v>0</v>
      </c>
      <c r="M156" s="1205">
        <v>87810.99</v>
      </c>
      <c r="N156" s="1205">
        <v>87810.99</v>
      </c>
      <c r="O156" s="1205">
        <v>87810.99</v>
      </c>
      <c r="P156" s="1205"/>
      <c r="Q156" s="1205">
        <v>0</v>
      </c>
      <c r="R156" s="1204">
        <v>0</v>
      </c>
    </row>
    <row r="157" spans="1:18" hidden="1" outlineLevel="2">
      <c r="A157" s="1214" t="s">
        <v>717</v>
      </c>
      <c r="B157" s="472" t="s">
        <v>3554</v>
      </c>
      <c r="C157" s="472" t="s">
        <v>3291</v>
      </c>
      <c r="D157" s="472"/>
      <c r="E157" s="472"/>
      <c r="F157" s="472"/>
      <c r="G157" s="473"/>
      <c r="H157" s="472"/>
      <c r="I157" s="474">
        <v>54110657.700000003</v>
      </c>
      <c r="J157" s="474">
        <v>15626930.970000001</v>
      </c>
      <c r="K157" s="474">
        <v>69737588.670000002</v>
      </c>
      <c r="L157" s="474">
        <v>0</v>
      </c>
      <c r="M157" s="474">
        <v>69737588.670000002</v>
      </c>
      <c r="N157" s="474">
        <v>69737588.670000002</v>
      </c>
      <c r="O157" s="474">
        <v>67818010</v>
      </c>
      <c r="P157" s="474"/>
      <c r="Q157" s="474">
        <v>67818010</v>
      </c>
      <c r="R157" s="1213">
        <v>1919578.67</v>
      </c>
    </row>
    <row r="158" spans="1:18" hidden="1" outlineLevel="3">
      <c r="A158" s="1212" t="s">
        <v>717</v>
      </c>
      <c r="B158" s="477" t="s">
        <v>3554</v>
      </c>
      <c r="C158" s="477" t="s">
        <v>3291</v>
      </c>
      <c r="D158" s="477" t="s">
        <v>3553</v>
      </c>
      <c r="E158" s="477"/>
      <c r="F158" s="477"/>
      <c r="G158" s="478"/>
      <c r="H158" s="477"/>
      <c r="I158" s="479">
        <v>2106657.7000000002</v>
      </c>
      <c r="J158" s="479">
        <v>30930.97</v>
      </c>
      <c r="K158" s="479">
        <v>2137588.67</v>
      </c>
      <c r="L158" s="479">
        <v>0</v>
      </c>
      <c r="M158" s="479">
        <v>2137588.67</v>
      </c>
      <c r="N158" s="479">
        <v>2137588.67</v>
      </c>
      <c r="O158" s="479">
        <v>218010</v>
      </c>
      <c r="P158" s="479"/>
      <c r="Q158" s="479">
        <v>218010</v>
      </c>
      <c r="R158" s="1211">
        <v>1919578.67</v>
      </c>
    </row>
    <row r="159" spans="1:18" hidden="1" outlineLevel="4">
      <c r="A159" s="1210" t="s">
        <v>717</v>
      </c>
      <c r="B159" s="482" t="s">
        <v>3554</v>
      </c>
      <c r="C159" s="482" t="s">
        <v>3291</v>
      </c>
      <c r="D159" s="482" t="s">
        <v>3553</v>
      </c>
      <c r="E159" s="482" t="s">
        <v>3550</v>
      </c>
      <c r="F159" s="482"/>
      <c r="G159" s="831"/>
      <c r="H159" s="482"/>
      <c r="I159" s="484">
        <v>2106657.7000000002</v>
      </c>
      <c r="J159" s="484">
        <v>30930.97</v>
      </c>
      <c r="K159" s="484">
        <v>2137588.67</v>
      </c>
      <c r="L159" s="484">
        <v>0</v>
      </c>
      <c r="M159" s="484">
        <v>2137588.67</v>
      </c>
      <c r="N159" s="484">
        <v>2137588.67</v>
      </c>
      <c r="O159" s="484">
        <v>218010</v>
      </c>
      <c r="P159" s="484"/>
      <c r="Q159" s="484">
        <v>218010</v>
      </c>
      <c r="R159" s="1209">
        <v>1919578.67</v>
      </c>
    </row>
    <row r="160" spans="1:18" ht="51" hidden="1" outlineLevel="5">
      <c r="A160" s="1208" t="s">
        <v>717</v>
      </c>
      <c r="B160" s="1206" t="s">
        <v>3554</v>
      </c>
      <c r="C160" s="1206" t="s">
        <v>3291</v>
      </c>
      <c r="D160" s="1206" t="s">
        <v>3553</v>
      </c>
      <c r="E160" s="1206" t="s">
        <v>3550</v>
      </c>
      <c r="F160" s="1206" t="s">
        <v>3290</v>
      </c>
      <c r="G160" s="1207" t="s">
        <v>50</v>
      </c>
      <c r="H160" s="1206"/>
      <c r="I160" s="1205">
        <v>0</v>
      </c>
      <c r="J160" s="1205">
        <v>0</v>
      </c>
      <c r="K160" s="1205">
        <v>0</v>
      </c>
      <c r="L160" s="1205">
        <v>0</v>
      </c>
      <c r="M160" s="1205">
        <v>0</v>
      </c>
      <c r="N160" s="1205">
        <v>0</v>
      </c>
      <c r="O160" s="1205">
        <v>0</v>
      </c>
      <c r="P160" s="1205"/>
      <c r="Q160" s="1205">
        <v>218010</v>
      </c>
      <c r="R160" s="1204">
        <v>0</v>
      </c>
    </row>
    <row r="161" spans="1:18" ht="51" hidden="1" outlineLevel="5">
      <c r="A161" s="1208" t="s">
        <v>717</v>
      </c>
      <c r="B161" s="1206" t="s">
        <v>3554</v>
      </c>
      <c r="C161" s="1206" t="s">
        <v>3291</v>
      </c>
      <c r="D161" s="1206" t="s">
        <v>3553</v>
      </c>
      <c r="E161" s="1206" t="s">
        <v>3550</v>
      </c>
      <c r="F161" s="1206" t="s">
        <v>3290</v>
      </c>
      <c r="G161" s="1207" t="s">
        <v>50</v>
      </c>
      <c r="H161" s="1206" t="s">
        <v>3241</v>
      </c>
      <c r="I161" s="1205">
        <v>2106657.7000000002</v>
      </c>
      <c r="J161" s="1205">
        <v>30930.97</v>
      </c>
      <c r="K161" s="1205">
        <v>2137588.67</v>
      </c>
      <c r="L161" s="1205">
        <v>0</v>
      </c>
      <c r="M161" s="1205">
        <v>2137588.67</v>
      </c>
      <c r="N161" s="1205">
        <v>2137588.67</v>
      </c>
      <c r="O161" s="1205">
        <v>218010</v>
      </c>
      <c r="P161" s="1205"/>
      <c r="Q161" s="1205">
        <v>0</v>
      </c>
      <c r="R161" s="1204">
        <v>1919578.67</v>
      </c>
    </row>
    <row r="162" spans="1:18" hidden="1" outlineLevel="3">
      <c r="A162" s="1212" t="s">
        <v>717</v>
      </c>
      <c r="B162" s="477" t="s">
        <v>3554</v>
      </c>
      <c r="C162" s="477" t="s">
        <v>3291</v>
      </c>
      <c r="D162" s="477" t="s">
        <v>3564</v>
      </c>
      <c r="E162" s="477"/>
      <c r="F162" s="477"/>
      <c r="G162" s="478"/>
      <c r="H162" s="477"/>
      <c r="I162" s="479">
        <v>52004000</v>
      </c>
      <c r="J162" s="479">
        <v>15596000</v>
      </c>
      <c r="K162" s="479">
        <v>67600000</v>
      </c>
      <c r="L162" s="479">
        <v>0</v>
      </c>
      <c r="M162" s="479">
        <v>67600000</v>
      </c>
      <c r="N162" s="479">
        <v>67600000</v>
      </c>
      <c r="O162" s="479">
        <v>67600000</v>
      </c>
      <c r="P162" s="479"/>
      <c r="Q162" s="479">
        <v>67600000</v>
      </c>
      <c r="R162" s="1211">
        <v>0</v>
      </c>
    </row>
    <row r="163" spans="1:18" hidden="1" outlineLevel="4">
      <c r="A163" s="1210" t="s">
        <v>717</v>
      </c>
      <c r="B163" s="482" t="s">
        <v>3554</v>
      </c>
      <c r="C163" s="482" t="s">
        <v>3291</v>
      </c>
      <c r="D163" s="482" t="s">
        <v>3564</v>
      </c>
      <c r="E163" s="482" t="s">
        <v>3550</v>
      </c>
      <c r="F163" s="482"/>
      <c r="G163" s="831"/>
      <c r="H163" s="482"/>
      <c r="I163" s="484">
        <v>52004000</v>
      </c>
      <c r="J163" s="484">
        <v>15596000</v>
      </c>
      <c r="K163" s="484">
        <v>67600000</v>
      </c>
      <c r="L163" s="484">
        <v>0</v>
      </c>
      <c r="M163" s="484">
        <v>67600000</v>
      </c>
      <c r="N163" s="484">
        <v>67600000</v>
      </c>
      <c r="O163" s="484">
        <v>67600000</v>
      </c>
      <c r="P163" s="484"/>
      <c r="Q163" s="484">
        <v>67600000</v>
      </c>
      <c r="R163" s="1209">
        <v>0</v>
      </c>
    </row>
    <row r="164" spans="1:18" ht="140.25" hidden="1" outlineLevel="5">
      <c r="A164" s="1208" t="s">
        <v>717</v>
      </c>
      <c r="B164" s="1206" t="s">
        <v>3554</v>
      </c>
      <c r="C164" s="1206" t="s">
        <v>3291</v>
      </c>
      <c r="D164" s="1206" t="s">
        <v>3564</v>
      </c>
      <c r="E164" s="1206" t="s">
        <v>3550</v>
      </c>
      <c r="F164" s="1206" t="s">
        <v>3293</v>
      </c>
      <c r="G164" s="1207" t="s">
        <v>56</v>
      </c>
      <c r="H164" s="1206"/>
      <c r="I164" s="1205">
        <v>0</v>
      </c>
      <c r="J164" s="1205">
        <v>0</v>
      </c>
      <c r="K164" s="1205">
        <v>0</v>
      </c>
      <c r="L164" s="1205">
        <v>0</v>
      </c>
      <c r="M164" s="1205">
        <v>0</v>
      </c>
      <c r="N164" s="1205">
        <v>0</v>
      </c>
      <c r="O164" s="1205">
        <v>0</v>
      </c>
      <c r="P164" s="1205"/>
      <c r="Q164" s="1205">
        <v>67600000</v>
      </c>
      <c r="R164" s="1204">
        <v>0</v>
      </c>
    </row>
    <row r="165" spans="1:18" ht="140.25" hidden="1" outlineLevel="5">
      <c r="A165" s="1208" t="s">
        <v>717</v>
      </c>
      <c r="B165" s="1206" t="s">
        <v>3554</v>
      </c>
      <c r="C165" s="1206" t="s">
        <v>3291</v>
      </c>
      <c r="D165" s="1206" t="s">
        <v>3564</v>
      </c>
      <c r="E165" s="1206" t="s">
        <v>3550</v>
      </c>
      <c r="F165" s="1206" t="s">
        <v>3293</v>
      </c>
      <c r="G165" s="1207" t="s">
        <v>56</v>
      </c>
      <c r="H165" s="1206" t="s">
        <v>3241</v>
      </c>
      <c r="I165" s="1205">
        <v>52004000</v>
      </c>
      <c r="J165" s="1205">
        <v>15596000</v>
      </c>
      <c r="K165" s="1205">
        <v>67600000</v>
      </c>
      <c r="L165" s="1205">
        <v>0</v>
      </c>
      <c r="M165" s="1205">
        <v>67600000</v>
      </c>
      <c r="N165" s="1205">
        <v>67600000</v>
      </c>
      <c r="O165" s="1205">
        <v>67600000</v>
      </c>
      <c r="P165" s="1205"/>
      <c r="Q165" s="1205">
        <v>0</v>
      </c>
      <c r="R165" s="1204">
        <v>0</v>
      </c>
    </row>
    <row r="166" spans="1:18" hidden="1" outlineLevel="2">
      <c r="A166" s="1214" t="s">
        <v>717</v>
      </c>
      <c r="B166" s="472" t="s">
        <v>3554</v>
      </c>
      <c r="C166" s="472" t="s">
        <v>3287</v>
      </c>
      <c r="D166" s="472"/>
      <c r="E166" s="472"/>
      <c r="F166" s="472"/>
      <c r="G166" s="473"/>
      <c r="H166" s="472"/>
      <c r="I166" s="474">
        <v>41400000</v>
      </c>
      <c r="J166" s="474">
        <v>6400000</v>
      </c>
      <c r="K166" s="474">
        <v>47800000</v>
      </c>
      <c r="L166" s="474">
        <v>41400000</v>
      </c>
      <c r="M166" s="474">
        <v>6400000</v>
      </c>
      <c r="N166" s="474">
        <v>47800000</v>
      </c>
      <c r="O166" s="474">
        <v>34009970.740000002</v>
      </c>
      <c r="P166" s="474"/>
      <c r="Q166" s="474">
        <v>31877530.739999998</v>
      </c>
      <c r="R166" s="1213">
        <v>13790029.26</v>
      </c>
    </row>
    <row r="167" spans="1:18" hidden="1" outlineLevel="3">
      <c r="A167" s="1212" t="s">
        <v>717</v>
      </c>
      <c r="B167" s="477" t="s">
        <v>3554</v>
      </c>
      <c r="C167" s="477" t="s">
        <v>3287</v>
      </c>
      <c r="D167" s="477" t="s">
        <v>3561</v>
      </c>
      <c r="E167" s="477"/>
      <c r="F167" s="477"/>
      <c r="G167" s="478"/>
      <c r="H167" s="477"/>
      <c r="I167" s="479">
        <v>41400000</v>
      </c>
      <c r="J167" s="479">
        <v>6400000</v>
      </c>
      <c r="K167" s="479">
        <v>47800000</v>
      </c>
      <c r="L167" s="479">
        <v>41400000</v>
      </c>
      <c r="M167" s="479">
        <v>6400000</v>
      </c>
      <c r="N167" s="479">
        <v>47800000</v>
      </c>
      <c r="O167" s="479">
        <v>34009970.740000002</v>
      </c>
      <c r="P167" s="479"/>
      <c r="Q167" s="479">
        <v>31877530.739999998</v>
      </c>
      <c r="R167" s="1211">
        <v>13790029.26</v>
      </c>
    </row>
    <row r="168" spans="1:18" hidden="1" outlineLevel="4">
      <c r="A168" s="1210" t="s">
        <v>717</v>
      </c>
      <c r="B168" s="482" t="s">
        <v>3554</v>
      </c>
      <c r="C168" s="482" t="s">
        <v>3287</v>
      </c>
      <c r="D168" s="482" t="s">
        <v>3561</v>
      </c>
      <c r="E168" s="482" t="s">
        <v>3563</v>
      </c>
      <c r="F168" s="482"/>
      <c r="G168" s="831"/>
      <c r="H168" s="482"/>
      <c r="I168" s="484">
        <v>0</v>
      </c>
      <c r="J168" s="484">
        <v>0</v>
      </c>
      <c r="K168" s="484">
        <v>0</v>
      </c>
      <c r="L168" s="484">
        <v>41400000</v>
      </c>
      <c r="M168" s="484">
        <v>-41400000</v>
      </c>
      <c r="N168" s="484">
        <v>0</v>
      </c>
      <c r="O168" s="484">
        <v>0</v>
      </c>
      <c r="P168" s="484"/>
      <c r="Q168" s="484">
        <v>0</v>
      </c>
      <c r="R168" s="1209">
        <v>0</v>
      </c>
    </row>
    <row r="169" spans="1:18" ht="89.25" hidden="1" outlineLevel="5">
      <c r="A169" s="1208" t="s">
        <v>717</v>
      </c>
      <c r="B169" s="1206" t="s">
        <v>3554</v>
      </c>
      <c r="C169" s="1206" t="s">
        <v>3287</v>
      </c>
      <c r="D169" s="1206" t="s">
        <v>3561</v>
      </c>
      <c r="E169" s="1206" t="s">
        <v>3563</v>
      </c>
      <c r="F169" s="1206" t="s">
        <v>3286</v>
      </c>
      <c r="G169" s="1207" t="s">
        <v>2819</v>
      </c>
      <c r="H169" s="1206" t="s">
        <v>3241</v>
      </c>
      <c r="I169" s="1205">
        <v>0</v>
      </c>
      <c r="J169" s="1205">
        <v>0</v>
      </c>
      <c r="K169" s="1205">
        <v>0</v>
      </c>
      <c r="L169" s="1205">
        <v>41400000</v>
      </c>
      <c r="M169" s="1205">
        <v>-41400000</v>
      </c>
      <c r="N169" s="1205">
        <v>0</v>
      </c>
      <c r="O169" s="1205">
        <v>0</v>
      </c>
      <c r="P169" s="1205"/>
      <c r="Q169" s="1205">
        <v>0</v>
      </c>
      <c r="R169" s="1204">
        <v>0</v>
      </c>
    </row>
    <row r="170" spans="1:18" hidden="1" outlineLevel="4">
      <c r="A170" s="1210" t="s">
        <v>717</v>
      </c>
      <c r="B170" s="482" t="s">
        <v>3554</v>
      </c>
      <c r="C170" s="482" t="s">
        <v>3287</v>
      </c>
      <c r="D170" s="482" t="s">
        <v>3561</v>
      </c>
      <c r="E170" s="482" t="s">
        <v>3562</v>
      </c>
      <c r="F170" s="482"/>
      <c r="G170" s="831"/>
      <c r="H170" s="482"/>
      <c r="I170" s="484">
        <v>41400000</v>
      </c>
      <c r="J170" s="484">
        <v>0</v>
      </c>
      <c r="K170" s="484">
        <v>41400000</v>
      </c>
      <c r="L170" s="484">
        <v>0</v>
      </c>
      <c r="M170" s="484">
        <v>41400000</v>
      </c>
      <c r="N170" s="484">
        <v>41400000</v>
      </c>
      <c r="O170" s="484">
        <v>33116870.739999998</v>
      </c>
      <c r="P170" s="484"/>
      <c r="Q170" s="484">
        <v>31877530.739999998</v>
      </c>
      <c r="R170" s="1209">
        <v>8283129.2599999998</v>
      </c>
    </row>
    <row r="171" spans="1:18" hidden="1" outlineLevel="5">
      <c r="A171" s="1208" t="s">
        <v>717</v>
      </c>
      <c r="B171" s="1206" t="s">
        <v>3554</v>
      </c>
      <c r="C171" s="1206" t="s">
        <v>3287</v>
      </c>
      <c r="D171" s="1206" t="s">
        <v>3561</v>
      </c>
      <c r="E171" s="1206" t="s">
        <v>3562</v>
      </c>
      <c r="F171" s="1206"/>
      <c r="G171" s="1207"/>
      <c r="H171" s="1206"/>
      <c r="I171" s="1205">
        <v>0</v>
      </c>
      <c r="J171" s="1205">
        <v>0</v>
      </c>
      <c r="K171" s="1205">
        <v>0</v>
      </c>
      <c r="L171" s="1205">
        <v>0</v>
      </c>
      <c r="M171" s="1205">
        <v>0</v>
      </c>
      <c r="N171" s="1205">
        <v>0</v>
      </c>
      <c r="O171" s="1205">
        <v>0</v>
      </c>
      <c r="P171" s="1205"/>
      <c r="Q171" s="1205">
        <v>15740204.4</v>
      </c>
      <c r="R171" s="1204">
        <v>0</v>
      </c>
    </row>
    <row r="172" spans="1:18" ht="89.25" hidden="1" outlineLevel="5">
      <c r="A172" s="1208" t="s">
        <v>717</v>
      </c>
      <c r="B172" s="1206" t="s">
        <v>3554</v>
      </c>
      <c r="C172" s="1206" t="s">
        <v>3287</v>
      </c>
      <c r="D172" s="1206" t="s">
        <v>3561</v>
      </c>
      <c r="E172" s="1206" t="s">
        <v>3562</v>
      </c>
      <c r="F172" s="1206" t="s">
        <v>3286</v>
      </c>
      <c r="G172" s="1207" t="s">
        <v>2819</v>
      </c>
      <c r="H172" s="1206"/>
      <c r="I172" s="1205">
        <v>0</v>
      </c>
      <c r="J172" s="1205">
        <v>0</v>
      </c>
      <c r="K172" s="1205">
        <v>0</v>
      </c>
      <c r="L172" s="1205">
        <v>0</v>
      </c>
      <c r="M172" s="1205">
        <v>0</v>
      </c>
      <c r="N172" s="1205">
        <v>0</v>
      </c>
      <c r="O172" s="1205">
        <v>0</v>
      </c>
      <c r="P172" s="1205"/>
      <c r="Q172" s="1205">
        <v>16137326.34</v>
      </c>
      <c r="R172" s="1204">
        <v>0</v>
      </c>
    </row>
    <row r="173" spans="1:18" ht="89.25" hidden="1" outlineLevel="5">
      <c r="A173" s="1208" t="s">
        <v>717</v>
      </c>
      <c r="B173" s="1206" t="s">
        <v>3554</v>
      </c>
      <c r="C173" s="1206" t="s">
        <v>3287</v>
      </c>
      <c r="D173" s="1206" t="s">
        <v>3561</v>
      </c>
      <c r="E173" s="1206" t="s">
        <v>3562</v>
      </c>
      <c r="F173" s="1206" t="s">
        <v>3286</v>
      </c>
      <c r="G173" s="1207" t="s">
        <v>2819</v>
      </c>
      <c r="H173" s="1206" t="s">
        <v>3241</v>
      </c>
      <c r="I173" s="1205">
        <v>41400000</v>
      </c>
      <c r="J173" s="1205">
        <v>0</v>
      </c>
      <c r="K173" s="1205">
        <v>41400000</v>
      </c>
      <c r="L173" s="1205">
        <v>0</v>
      </c>
      <c r="M173" s="1205">
        <v>41400000</v>
      </c>
      <c r="N173" s="1205">
        <v>41400000</v>
      </c>
      <c r="O173" s="1205">
        <v>33116870.739999998</v>
      </c>
      <c r="P173" s="1205"/>
      <c r="Q173" s="1205">
        <v>0</v>
      </c>
      <c r="R173" s="1204">
        <v>8283129.2599999998</v>
      </c>
    </row>
    <row r="174" spans="1:18" hidden="1" outlineLevel="4">
      <c r="A174" s="1210" t="s">
        <v>717</v>
      </c>
      <c r="B174" s="482" t="s">
        <v>3554</v>
      </c>
      <c r="C174" s="482" t="s">
        <v>3287</v>
      </c>
      <c r="D174" s="482" t="s">
        <v>3561</v>
      </c>
      <c r="E174" s="482" t="s">
        <v>3560</v>
      </c>
      <c r="F174" s="482"/>
      <c r="G174" s="831"/>
      <c r="H174" s="482"/>
      <c r="I174" s="484">
        <v>0</v>
      </c>
      <c r="J174" s="484">
        <v>6400000</v>
      </c>
      <c r="K174" s="484">
        <v>6400000</v>
      </c>
      <c r="L174" s="484">
        <v>0</v>
      </c>
      <c r="M174" s="484">
        <v>6400000</v>
      </c>
      <c r="N174" s="484">
        <v>6400000</v>
      </c>
      <c r="O174" s="484">
        <v>893100</v>
      </c>
      <c r="P174" s="484"/>
      <c r="Q174" s="484">
        <v>0</v>
      </c>
      <c r="R174" s="1209">
        <v>5506900</v>
      </c>
    </row>
    <row r="175" spans="1:18" ht="127.5" hidden="1" outlineLevel="5">
      <c r="A175" s="1208" t="s">
        <v>717</v>
      </c>
      <c r="B175" s="1206" t="s">
        <v>3554</v>
      </c>
      <c r="C175" s="1206" t="s">
        <v>3287</v>
      </c>
      <c r="D175" s="1206" t="s">
        <v>3561</v>
      </c>
      <c r="E175" s="1206" t="s">
        <v>3560</v>
      </c>
      <c r="F175" s="1206" t="s">
        <v>3559</v>
      </c>
      <c r="G175" s="1207" t="s">
        <v>2937</v>
      </c>
      <c r="H175" s="1206" t="s">
        <v>3241</v>
      </c>
      <c r="I175" s="1205">
        <v>0</v>
      </c>
      <c r="J175" s="1205">
        <v>6400000</v>
      </c>
      <c r="K175" s="1205">
        <v>6400000</v>
      </c>
      <c r="L175" s="1205">
        <v>0</v>
      </c>
      <c r="M175" s="1205">
        <v>6400000</v>
      </c>
      <c r="N175" s="1205">
        <v>6400000</v>
      </c>
      <c r="O175" s="1205">
        <v>893100</v>
      </c>
      <c r="P175" s="1205"/>
      <c r="Q175" s="1205">
        <v>0</v>
      </c>
      <c r="R175" s="1204">
        <v>5506900</v>
      </c>
    </row>
    <row r="176" spans="1:18" outlineLevel="2" collapsed="1">
      <c r="A176" s="1214" t="s">
        <v>717</v>
      </c>
      <c r="B176" s="472" t="s">
        <v>3554</v>
      </c>
      <c r="C176" s="472" t="s">
        <v>3283</v>
      </c>
      <c r="D176" s="472"/>
      <c r="E176" s="472"/>
      <c r="F176" s="472"/>
      <c r="G176" s="473"/>
      <c r="H176" s="472"/>
      <c r="I176" s="474">
        <v>6250845.0700000003</v>
      </c>
      <c r="J176" s="474">
        <v>-2122547.2000000002</v>
      </c>
      <c r="K176" s="474">
        <v>4128297.87</v>
      </c>
      <c r="L176" s="474">
        <v>6832335.21</v>
      </c>
      <c r="M176" s="474">
        <v>-2704037.34</v>
      </c>
      <c r="N176" s="474">
        <v>4128297.87</v>
      </c>
      <c r="O176" s="474">
        <v>4121601</v>
      </c>
      <c r="P176" s="474"/>
      <c r="Q176" s="474">
        <v>4121601</v>
      </c>
      <c r="R176" s="1213">
        <v>6696.87</v>
      </c>
    </row>
    <row r="177" spans="1:18" outlineLevel="3">
      <c r="A177" s="1212" t="s">
        <v>717</v>
      </c>
      <c r="B177" s="477" t="s">
        <v>3554</v>
      </c>
      <c r="C177" s="477" t="s">
        <v>3283</v>
      </c>
      <c r="D177" s="477" t="s">
        <v>3553</v>
      </c>
      <c r="E177" s="477"/>
      <c r="F177" s="477"/>
      <c r="G177" s="478"/>
      <c r="H177" s="477"/>
      <c r="I177" s="479">
        <v>6250845.0700000003</v>
      </c>
      <c r="J177" s="479">
        <v>-2122547.2000000002</v>
      </c>
      <c r="K177" s="479">
        <v>4128297.87</v>
      </c>
      <c r="L177" s="479">
        <v>6832335.21</v>
      </c>
      <c r="M177" s="479">
        <v>-2704037.34</v>
      </c>
      <c r="N177" s="479">
        <v>4128297.87</v>
      </c>
      <c r="O177" s="479">
        <v>4121601</v>
      </c>
      <c r="P177" s="479"/>
      <c r="Q177" s="479">
        <v>4121601</v>
      </c>
      <c r="R177" s="1211">
        <v>6696.87</v>
      </c>
    </row>
    <row r="178" spans="1:18" outlineLevel="4">
      <c r="A178" s="1210" t="s">
        <v>717</v>
      </c>
      <c r="B178" s="482" t="s">
        <v>3554</v>
      </c>
      <c r="C178" s="482" t="s">
        <v>3283</v>
      </c>
      <c r="D178" s="482" t="s">
        <v>3553</v>
      </c>
      <c r="E178" s="482"/>
      <c r="F178" s="482"/>
      <c r="G178" s="831"/>
      <c r="H178" s="482"/>
      <c r="I178" s="484">
        <v>0</v>
      </c>
      <c r="J178" s="484">
        <v>0</v>
      </c>
      <c r="K178" s="484">
        <v>0</v>
      </c>
      <c r="L178" s="484">
        <v>0</v>
      </c>
      <c r="M178" s="484">
        <v>0</v>
      </c>
      <c r="N178" s="484">
        <v>0</v>
      </c>
      <c r="O178" s="484">
        <v>0</v>
      </c>
      <c r="P178" s="484"/>
      <c r="Q178" s="484">
        <v>247296.06</v>
      </c>
      <c r="R178" s="1209">
        <v>0</v>
      </c>
    </row>
    <row r="179" spans="1:18" outlineLevel="5">
      <c r="A179" s="1208" t="s">
        <v>717</v>
      </c>
      <c r="B179" s="1206" t="s">
        <v>3554</v>
      </c>
      <c r="C179" s="1206" t="s">
        <v>3283</v>
      </c>
      <c r="D179" s="1206" t="s">
        <v>3553</v>
      </c>
      <c r="E179" s="1206"/>
      <c r="F179" s="1206"/>
      <c r="G179" s="1207"/>
      <c r="H179" s="1206"/>
      <c r="I179" s="1205">
        <v>0</v>
      </c>
      <c r="J179" s="1205">
        <v>0</v>
      </c>
      <c r="K179" s="1205">
        <v>0</v>
      </c>
      <c r="L179" s="1205">
        <v>0</v>
      </c>
      <c r="M179" s="1205">
        <v>0</v>
      </c>
      <c r="N179" s="1205">
        <v>0</v>
      </c>
      <c r="O179" s="1205">
        <v>0</v>
      </c>
      <c r="P179" s="1205"/>
      <c r="Q179" s="1205">
        <v>39110.400000000001</v>
      </c>
      <c r="R179" s="1204">
        <v>0</v>
      </c>
    </row>
    <row r="180" spans="1:18" ht="63.75" outlineLevel="5">
      <c r="A180" s="1208" t="s">
        <v>717</v>
      </c>
      <c r="B180" s="1206" t="s">
        <v>3554</v>
      </c>
      <c r="C180" s="1206" t="s">
        <v>3283</v>
      </c>
      <c r="D180" s="1206" t="s">
        <v>3553</v>
      </c>
      <c r="E180" s="1206"/>
      <c r="F180" s="1206" t="s">
        <v>3282</v>
      </c>
      <c r="G180" s="1207" t="s">
        <v>3116</v>
      </c>
      <c r="H180" s="1206" t="s">
        <v>3241</v>
      </c>
      <c r="I180" s="1205">
        <v>0</v>
      </c>
      <c r="J180" s="1205">
        <v>0</v>
      </c>
      <c r="K180" s="1205">
        <v>0</v>
      </c>
      <c r="L180" s="1205">
        <v>0</v>
      </c>
      <c r="M180" s="1205">
        <v>0</v>
      </c>
      <c r="N180" s="1205">
        <v>0</v>
      </c>
      <c r="O180" s="1205">
        <v>0</v>
      </c>
      <c r="P180" s="1205"/>
      <c r="Q180" s="1205">
        <v>208185.66</v>
      </c>
      <c r="R180" s="1204">
        <v>0</v>
      </c>
    </row>
    <row r="181" spans="1:18" outlineLevel="4">
      <c r="A181" s="1210" t="s">
        <v>717</v>
      </c>
      <c r="B181" s="482" t="s">
        <v>3554</v>
      </c>
      <c r="C181" s="482" t="s">
        <v>3283</v>
      </c>
      <c r="D181" s="482" t="s">
        <v>3553</v>
      </c>
      <c r="E181" s="482" t="s">
        <v>3558</v>
      </c>
      <c r="F181" s="482"/>
      <c r="G181" s="831"/>
      <c r="H181" s="482"/>
      <c r="I181" s="484">
        <v>6250845.0700000003</v>
      </c>
      <c r="J181" s="484">
        <v>-6250845.0700000003</v>
      </c>
      <c r="K181" s="484">
        <v>0</v>
      </c>
      <c r="L181" s="484">
        <v>6832335.21</v>
      </c>
      <c r="M181" s="484">
        <v>-6832335.21</v>
      </c>
      <c r="N181" s="484">
        <v>0</v>
      </c>
      <c r="O181" s="484">
        <v>0</v>
      </c>
      <c r="P181" s="484"/>
      <c r="Q181" s="484">
        <v>0</v>
      </c>
      <c r="R181" s="1209">
        <v>0</v>
      </c>
    </row>
    <row r="182" spans="1:18" ht="63.75" outlineLevel="5">
      <c r="A182" s="1208" t="s">
        <v>717</v>
      </c>
      <c r="B182" s="1206" t="s">
        <v>3554</v>
      </c>
      <c r="C182" s="1206" t="s">
        <v>3283</v>
      </c>
      <c r="D182" s="1206" t="s">
        <v>3553</v>
      </c>
      <c r="E182" s="1206" t="s">
        <v>3558</v>
      </c>
      <c r="F182" s="1206" t="s">
        <v>3282</v>
      </c>
      <c r="G182" s="1207" t="s">
        <v>3116</v>
      </c>
      <c r="H182" s="1206" t="s">
        <v>3257</v>
      </c>
      <c r="I182" s="1205">
        <v>4438100</v>
      </c>
      <c r="J182" s="1205">
        <v>-4438100</v>
      </c>
      <c r="K182" s="1205">
        <v>0</v>
      </c>
      <c r="L182" s="1205">
        <v>4868300</v>
      </c>
      <c r="M182" s="1205">
        <v>-4868300</v>
      </c>
      <c r="N182" s="1205">
        <v>0</v>
      </c>
      <c r="O182" s="1205">
        <v>0</v>
      </c>
      <c r="P182" s="1205"/>
      <c r="Q182" s="1205">
        <v>0</v>
      </c>
      <c r="R182" s="1204">
        <v>0</v>
      </c>
    </row>
    <row r="183" spans="1:18" ht="63.75" outlineLevel="5">
      <c r="A183" s="1208" t="s">
        <v>717</v>
      </c>
      <c r="B183" s="1206" t="s">
        <v>3554</v>
      </c>
      <c r="C183" s="1206" t="s">
        <v>3283</v>
      </c>
      <c r="D183" s="1206" t="s">
        <v>3553</v>
      </c>
      <c r="E183" s="1206" t="s">
        <v>3558</v>
      </c>
      <c r="F183" s="1206" t="s">
        <v>3282</v>
      </c>
      <c r="G183" s="1207" t="s">
        <v>3116</v>
      </c>
      <c r="H183" s="1206" t="s">
        <v>3241</v>
      </c>
      <c r="I183" s="1205">
        <v>1812745.07</v>
      </c>
      <c r="J183" s="1205">
        <v>-1812745.07</v>
      </c>
      <c r="K183" s="1205">
        <v>0</v>
      </c>
      <c r="L183" s="1205">
        <v>1964035.21</v>
      </c>
      <c r="M183" s="1205">
        <v>-1964035.21</v>
      </c>
      <c r="N183" s="1205">
        <v>0</v>
      </c>
      <c r="O183" s="1205">
        <v>0</v>
      </c>
      <c r="P183" s="1205"/>
      <c r="Q183" s="1205">
        <v>0</v>
      </c>
      <c r="R183" s="1204">
        <v>0</v>
      </c>
    </row>
    <row r="184" spans="1:18" outlineLevel="4">
      <c r="A184" s="1210" t="s">
        <v>717</v>
      </c>
      <c r="B184" s="482" t="s">
        <v>3554</v>
      </c>
      <c r="C184" s="482" t="s">
        <v>3283</v>
      </c>
      <c r="D184" s="482" t="s">
        <v>3553</v>
      </c>
      <c r="E184" s="482" t="s">
        <v>3557</v>
      </c>
      <c r="F184" s="482"/>
      <c r="G184" s="831"/>
      <c r="H184" s="482"/>
      <c r="I184" s="484">
        <v>0</v>
      </c>
      <c r="J184" s="484">
        <v>4128297.87</v>
      </c>
      <c r="K184" s="484">
        <v>4128297.87</v>
      </c>
      <c r="L184" s="484">
        <v>0</v>
      </c>
      <c r="M184" s="484">
        <v>4128297.87</v>
      </c>
      <c r="N184" s="484">
        <v>4128297.87</v>
      </c>
      <c r="O184" s="484">
        <v>4121601</v>
      </c>
      <c r="P184" s="484"/>
      <c r="Q184" s="484">
        <v>3874304.94</v>
      </c>
      <c r="R184" s="1209">
        <v>6696.87</v>
      </c>
    </row>
    <row r="185" spans="1:18" ht="63.75" outlineLevel="5">
      <c r="A185" s="1208" t="s">
        <v>717</v>
      </c>
      <c r="B185" s="1206" t="s">
        <v>3554</v>
      </c>
      <c r="C185" s="1206" t="s">
        <v>3283</v>
      </c>
      <c r="D185" s="1206" t="s">
        <v>3553</v>
      </c>
      <c r="E185" s="1206" t="s">
        <v>3557</v>
      </c>
      <c r="F185" s="1206" t="s">
        <v>3282</v>
      </c>
      <c r="G185" s="1207" t="s">
        <v>3116</v>
      </c>
      <c r="H185" s="1206"/>
      <c r="I185" s="1205">
        <v>0</v>
      </c>
      <c r="J185" s="1205">
        <v>0</v>
      </c>
      <c r="K185" s="1205">
        <v>0</v>
      </c>
      <c r="L185" s="1205">
        <v>0</v>
      </c>
      <c r="M185" s="1205">
        <v>0</v>
      </c>
      <c r="N185" s="1205">
        <v>0</v>
      </c>
      <c r="O185" s="1205">
        <v>0</v>
      </c>
      <c r="P185" s="1205"/>
      <c r="Q185" s="1205">
        <v>4121601</v>
      </c>
      <c r="R185" s="1204">
        <v>0</v>
      </c>
    </row>
    <row r="186" spans="1:18" ht="63.75" outlineLevel="5">
      <c r="A186" s="1208" t="s">
        <v>717</v>
      </c>
      <c r="B186" s="1206" t="s">
        <v>3554</v>
      </c>
      <c r="C186" s="1206" t="s">
        <v>3283</v>
      </c>
      <c r="D186" s="1206" t="s">
        <v>3553</v>
      </c>
      <c r="E186" s="1206" t="s">
        <v>3557</v>
      </c>
      <c r="F186" s="1206" t="s">
        <v>3282</v>
      </c>
      <c r="G186" s="1207" t="s">
        <v>3116</v>
      </c>
      <c r="H186" s="1206" t="s">
        <v>3257</v>
      </c>
      <c r="I186" s="1205">
        <v>0</v>
      </c>
      <c r="J186" s="1205">
        <v>3880600</v>
      </c>
      <c r="K186" s="1205">
        <v>3880600</v>
      </c>
      <c r="L186" s="1205">
        <v>0</v>
      </c>
      <c r="M186" s="1205">
        <v>3880600</v>
      </c>
      <c r="N186" s="1205">
        <v>3880600</v>
      </c>
      <c r="O186" s="1205">
        <v>3874304.94</v>
      </c>
      <c r="P186" s="1221">
        <v>3874.30494</v>
      </c>
      <c r="Q186" s="1205">
        <v>3874304.94</v>
      </c>
      <c r="R186" s="1204">
        <v>6295.06</v>
      </c>
    </row>
    <row r="187" spans="1:18" ht="63.75" outlineLevel="5">
      <c r="A187" s="1208" t="s">
        <v>717</v>
      </c>
      <c r="B187" s="1206" t="s">
        <v>3554</v>
      </c>
      <c r="C187" s="1206" t="s">
        <v>3283</v>
      </c>
      <c r="D187" s="1206" t="s">
        <v>3553</v>
      </c>
      <c r="E187" s="1206" t="s">
        <v>3557</v>
      </c>
      <c r="F187" s="1206" t="s">
        <v>3282</v>
      </c>
      <c r="G187" s="1207" t="s">
        <v>3116</v>
      </c>
      <c r="H187" s="1206" t="s">
        <v>3241</v>
      </c>
      <c r="I187" s="1205">
        <v>0</v>
      </c>
      <c r="J187" s="1205">
        <v>247697.87</v>
      </c>
      <c r="K187" s="1205">
        <v>247697.87</v>
      </c>
      <c r="L187" s="1205">
        <v>0</v>
      </c>
      <c r="M187" s="1205">
        <v>247697.87</v>
      </c>
      <c r="N187" s="1205">
        <v>247697.87</v>
      </c>
      <c r="O187" s="1205">
        <v>247296.06</v>
      </c>
      <c r="P187" s="1221">
        <v>247.29606000000001</v>
      </c>
      <c r="Q187" s="1205">
        <v>247296.06</v>
      </c>
      <c r="R187" s="1204">
        <v>401.81</v>
      </c>
    </row>
    <row r="188" spans="1:18" outlineLevel="2">
      <c r="A188" s="1214" t="s">
        <v>717</v>
      </c>
      <c r="B188" s="472" t="s">
        <v>3554</v>
      </c>
      <c r="C188" s="472" t="s">
        <v>3280</v>
      </c>
      <c r="D188" s="472"/>
      <c r="E188" s="472"/>
      <c r="F188" s="472"/>
      <c r="G188" s="473"/>
      <c r="H188" s="472"/>
      <c r="I188" s="474">
        <v>15639361.699999999</v>
      </c>
      <c r="J188" s="474">
        <v>-7964911.3099999996</v>
      </c>
      <c r="K188" s="474">
        <v>7674450.3899999997</v>
      </c>
      <c r="L188" s="474">
        <v>12864893.619999999</v>
      </c>
      <c r="M188" s="474">
        <v>-5190443.2300000004</v>
      </c>
      <c r="N188" s="474">
        <v>7674450.3899999997</v>
      </c>
      <c r="O188" s="474">
        <v>7674450.3899999997</v>
      </c>
      <c r="P188" s="474"/>
      <c r="Q188" s="474">
        <v>7674450.3899999997</v>
      </c>
      <c r="R188" s="1213">
        <v>0</v>
      </c>
    </row>
    <row r="189" spans="1:18" outlineLevel="3">
      <c r="A189" s="1212" t="s">
        <v>717</v>
      </c>
      <c r="B189" s="477" t="s">
        <v>3554</v>
      </c>
      <c r="C189" s="477" t="s">
        <v>3280</v>
      </c>
      <c r="D189" s="477" t="s">
        <v>3553</v>
      </c>
      <c r="E189" s="477"/>
      <c r="F189" s="477"/>
      <c r="G189" s="478"/>
      <c r="H189" s="477"/>
      <c r="I189" s="479">
        <v>15639361.699999999</v>
      </c>
      <c r="J189" s="479">
        <v>-7964911.3099999996</v>
      </c>
      <c r="K189" s="479">
        <v>7674450.3899999997</v>
      </c>
      <c r="L189" s="479">
        <v>12864893.619999999</v>
      </c>
      <c r="M189" s="479">
        <v>-5190443.2300000004</v>
      </c>
      <c r="N189" s="479">
        <v>7674450.3899999997</v>
      </c>
      <c r="O189" s="479">
        <v>7674450.3899999997</v>
      </c>
      <c r="P189" s="479"/>
      <c r="Q189" s="479">
        <v>7674450.3899999997</v>
      </c>
      <c r="R189" s="1211">
        <v>0</v>
      </c>
    </row>
    <row r="190" spans="1:18" outlineLevel="4">
      <c r="A190" s="1210" t="s">
        <v>717</v>
      </c>
      <c r="B190" s="482" t="s">
        <v>3554</v>
      </c>
      <c r="C190" s="482" t="s">
        <v>3280</v>
      </c>
      <c r="D190" s="482" t="s">
        <v>3553</v>
      </c>
      <c r="E190" s="482"/>
      <c r="F190" s="482"/>
      <c r="G190" s="831"/>
      <c r="H190" s="482"/>
      <c r="I190" s="484">
        <v>0</v>
      </c>
      <c r="J190" s="484">
        <v>0</v>
      </c>
      <c r="K190" s="484">
        <v>0</v>
      </c>
      <c r="L190" s="484">
        <v>0</v>
      </c>
      <c r="M190" s="484">
        <v>0</v>
      </c>
      <c r="N190" s="484">
        <v>0</v>
      </c>
      <c r="O190" s="484">
        <v>0</v>
      </c>
      <c r="P190" s="484"/>
      <c r="Q190" s="484">
        <v>460467.02</v>
      </c>
      <c r="R190" s="1209">
        <v>0</v>
      </c>
    </row>
    <row r="191" spans="1:18" ht="51" outlineLevel="5">
      <c r="A191" s="1208" t="s">
        <v>717</v>
      </c>
      <c r="B191" s="1206" t="s">
        <v>3554</v>
      </c>
      <c r="C191" s="1206" t="s">
        <v>3280</v>
      </c>
      <c r="D191" s="1206" t="s">
        <v>3553</v>
      </c>
      <c r="E191" s="1206"/>
      <c r="F191" s="1206" t="s">
        <v>3279</v>
      </c>
      <c r="G191" s="1207" t="s">
        <v>3119</v>
      </c>
      <c r="H191" s="1206" t="s">
        <v>3241</v>
      </c>
      <c r="I191" s="1205">
        <v>0</v>
      </c>
      <c r="J191" s="1205">
        <v>0</v>
      </c>
      <c r="K191" s="1205">
        <v>0</v>
      </c>
      <c r="L191" s="1205">
        <v>0</v>
      </c>
      <c r="M191" s="1205">
        <v>0</v>
      </c>
      <c r="N191" s="1205">
        <v>0</v>
      </c>
      <c r="O191" s="1205">
        <v>0</v>
      </c>
      <c r="P191" s="1205"/>
      <c r="Q191" s="1205">
        <v>460467.02</v>
      </c>
      <c r="R191" s="1204">
        <v>0</v>
      </c>
    </row>
    <row r="192" spans="1:18" outlineLevel="4">
      <c r="A192" s="1210" t="s">
        <v>717</v>
      </c>
      <c r="B192" s="482" t="s">
        <v>3554</v>
      </c>
      <c r="C192" s="482" t="s">
        <v>3280</v>
      </c>
      <c r="D192" s="482" t="s">
        <v>3553</v>
      </c>
      <c r="E192" s="482" t="s">
        <v>3556</v>
      </c>
      <c r="F192" s="482"/>
      <c r="G192" s="831"/>
      <c r="H192" s="482"/>
      <c r="I192" s="484">
        <v>15639361.699999999</v>
      </c>
      <c r="J192" s="484">
        <v>-15639361.699999999</v>
      </c>
      <c r="K192" s="484">
        <v>0</v>
      </c>
      <c r="L192" s="484">
        <v>12864893.619999999</v>
      </c>
      <c r="M192" s="484">
        <v>-12864893.619999999</v>
      </c>
      <c r="N192" s="484">
        <v>0</v>
      </c>
      <c r="O192" s="484">
        <v>0</v>
      </c>
      <c r="P192" s="484"/>
      <c r="Q192" s="484">
        <v>0</v>
      </c>
      <c r="R192" s="1209">
        <v>0</v>
      </c>
    </row>
    <row r="193" spans="1:18" ht="51" outlineLevel="5">
      <c r="A193" s="1208" t="s">
        <v>717</v>
      </c>
      <c r="B193" s="1206" t="s">
        <v>3554</v>
      </c>
      <c r="C193" s="1206" t="s">
        <v>3280</v>
      </c>
      <c r="D193" s="1206" t="s">
        <v>3553</v>
      </c>
      <c r="E193" s="1206" t="s">
        <v>3556</v>
      </c>
      <c r="F193" s="1206" t="s">
        <v>3279</v>
      </c>
      <c r="G193" s="1207" t="s">
        <v>3119</v>
      </c>
      <c r="H193" s="1206" t="s">
        <v>3257</v>
      </c>
      <c r="I193" s="1205">
        <v>14701000</v>
      </c>
      <c r="J193" s="1205">
        <v>-14701000</v>
      </c>
      <c r="K193" s="1205">
        <v>0</v>
      </c>
      <c r="L193" s="1205">
        <v>12093000</v>
      </c>
      <c r="M193" s="1205">
        <v>-12093000</v>
      </c>
      <c r="N193" s="1205">
        <v>0</v>
      </c>
      <c r="O193" s="1205">
        <v>0</v>
      </c>
      <c r="P193" s="1205"/>
      <c r="Q193" s="1205">
        <v>0</v>
      </c>
      <c r="R193" s="1204">
        <v>0</v>
      </c>
    </row>
    <row r="194" spans="1:18" ht="51" outlineLevel="5">
      <c r="A194" s="1208" t="s">
        <v>717</v>
      </c>
      <c r="B194" s="1206" t="s">
        <v>3554</v>
      </c>
      <c r="C194" s="1206" t="s">
        <v>3280</v>
      </c>
      <c r="D194" s="1206" t="s">
        <v>3553</v>
      </c>
      <c r="E194" s="1206" t="s">
        <v>3556</v>
      </c>
      <c r="F194" s="1206" t="s">
        <v>3279</v>
      </c>
      <c r="G194" s="1207" t="s">
        <v>3119</v>
      </c>
      <c r="H194" s="1206" t="s">
        <v>3241</v>
      </c>
      <c r="I194" s="1205">
        <v>938361.7</v>
      </c>
      <c r="J194" s="1205">
        <v>-938361.7</v>
      </c>
      <c r="K194" s="1205">
        <v>0</v>
      </c>
      <c r="L194" s="1205">
        <v>771893.62</v>
      </c>
      <c r="M194" s="1205">
        <v>-771893.62</v>
      </c>
      <c r="N194" s="1205">
        <v>0</v>
      </c>
      <c r="O194" s="1205">
        <v>0</v>
      </c>
      <c r="P194" s="1205"/>
      <c r="Q194" s="1205">
        <v>0</v>
      </c>
      <c r="R194" s="1204">
        <v>0</v>
      </c>
    </row>
    <row r="195" spans="1:18" outlineLevel="4">
      <c r="A195" s="1210" t="s">
        <v>717</v>
      </c>
      <c r="B195" s="482" t="s">
        <v>3554</v>
      </c>
      <c r="C195" s="482" t="s">
        <v>3280</v>
      </c>
      <c r="D195" s="482" t="s">
        <v>3553</v>
      </c>
      <c r="E195" s="482" t="s">
        <v>3555</v>
      </c>
      <c r="F195" s="482"/>
      <c r="G195" s="831"/>
      <c r="H195" s="482"/>
      <c r="I195" s="484">
        <v>0</v>
      </c>
      <c r="J195" s="484">
        <v>7674450.3899999997</v>
      </c>
      <c r="K195" s="484">
        <v>7674450.3899999997</v>
      </c>
      <c r="L195" s="484">
        <v>0</v>
      </c>
      <c r="M195" s="484">
        <v>7674450.3899999997</v>
      </c>
      <c r="N195" s="484">
        <v>7674450.3899999997</v>
      </c>
      <c r="O195" s="484">
        <v>7674450.3899999997</v>
      </c>
      <c r="P195" s="484"/>
      <c r="Q195" s="484">
        <v>7213983.3700000001</v>
      </c>
      <c r="R195" s="1209">
        <v>0</v>
      </c>
    </row>
    <row r="196" spans="1:18" ht="51" outlineLevel="5">
      <c r="A196" s="1208" t="s">
        <v>717</v>
      </c>
      <c r="B196" s="1206" t="s">
        <v>3554</v>
      </c>
      <c r="C196" s="1206" t="s">
        <v>3280</v>
      </c>
      <c r="D196" s="1206" t="s">
        <v>3553</v>
      </c>
      <c r="E196" s="1206" t="s">
        <v>3555</v>
      </c>
      <c r="F196" s="1206" t="s">
        <v>3279</v>
      </c>
      <c r="G196" s="1207" t="s">
        <v>3119</v>
      </c>
      <c r="H196" s="1206"/>
      <c r="I196" s="1205">
        <v>0</v>
      </c>
      <c r="J196" s="1205">
        <v>0</v>
      </c>
      <c r="K196" s="1205">
        <v>0</v>
      </c>
      <c r="L196" s="1205">
        <v>0</v>
      </c>
      <c r="M196" s="1205">
        <v>0</v>
      </c>
      <c r="N196" s="1205">
        <v>0</v>
      </c>
      <c r="O196" s="1205">
        <v>0</v>
      </c>
      <c r="P196" s="1205"/>
      <c r="Q196" s="1205">
        <v>7674450.3899999997</v>
      </c>
      <c r="R196" s="1204">
        <v>0</v>
      </c>
    </row>
    <row r="197" spans="1:18" ht="51" outlineLevel="5">
      <c r="A197" s="1208" t="s">
        <v>717</v>
      </c>
      <c r="B197" s="1206" t="s">
        <v>3554</v>
      </c>
      <c r="C197" s="1206" t="s">
        <v>3280</v>
      </c>
      <c r="D197" s="1206" t="s">
        <v>3553</v>
      </c>
      <c r="E197" s="1206" t="s">
        <v>3555</v>
      </c>
      <c r="F197" s="1206" t="s">
        <v>3279</v>
      </c>
      <c r="G197" s="1207" t="s">
        <v>3119</v>
      </c>
      <c r="H197" s="1206" t="s">
        <v>3257</v>
      </c>
      <c r="I197" s="1205">
        <v>0</v>
      </c>
      <c r="J197" s="1205">
        <v>7213983.3700000001</v>
      </c>
      <c r="K197" s="1205">
        <v>7213983.3700000001</v>
      </c>
      <c r="L197" s="1205">
        <v>0</v>
      </c>
      <c r="M197" s="1205">
        <v>7213983.3700000001</v>
      </c>
      <c r="N197" s="1205">
        <v>7213983.3700000001</v>
      </c>
      <c r="O197" s="1205">
        <v>7213983.3700000001</v>
      </c>
      <c r="P197" s="1221">
        <v>7213.9833699999999</v>
      </c>
      <c r="Q197" s="1205">
        <v>7213983.3700000001</v>
      </c>
      <c r="R197" s="1204">
        <v>0</v>
      </c>
    </row>
    <row r="198" spans="1:18" ht="51" outlineLevel="5">
      <c r="A198" s="1208" t="s">
        <v>717</v>
      </c>
      <c r="B198" s="1206" t="s">
        <v>3554</v>
      </c>
      <c r="C198" s="1206" t="s">
        <v>3280</v>
      </c>
      <c r="D198" s="1206" t="s">
        <v>3553</v>
      </c>
      <c r="E198" s="1206" t="s">
        <v>3555</v>
      </c>
      <c r="F198" s="1206" t="s">
        <v>3279</v>
      </c>
      <c r="G198" s="1207" t="s">
        <v>3119</v>
      </c>
      <c r="H198" s="1206" t="s">
        <v>3241</v>
      </c>
      <c r="I198" s="1205">
        <v>0</v>
      </c>
      <c r="J198" s="1205">
        <v>460467.02</v>
      </c>
      <c r="K198" s="1205">
        <v>460467.02</v>
      </c>
      <c r="L198" s="1205">
        <v>0</v>
      </c>
      <c r="M198" s="1205">
        <v>460467.02</v>
      </c>
      <c r="N198" s="1205">
        <v>460467.02</v>
      </c>
      <c r="O198" s="1205">
        <v>460467.02</v>
      </c>
      <c r="P198" s="1221">
        <v>460.46701999999999</v>
      </c>
      <c r="Q198" s="1205">
        <v>460467.02</v>
      </c>
      <c r="R198" s="1204">
        <v>0</v>
      </c>
    </row>
    <row r="199" spans="1:18" hidden="1" outlineLevel="2">
      <c r="A199" s="1214" t="s">
        <v>717</v>
      </c>
      <c r="B199" s="472" t="s">
        <v>3554</v>
      </c>
      <c r="C199" s="472" t="s">
        <v>3276</v>
      </c>
      <c r="D199" s="472"/>
      <c r="E199" s="472"/>
      <c r="F199" s="472"/>
      <c r="G199" s="473"/>
      <c r="H199" s="472"/>
      <c r="I199" s="474">
        <v>4400000</v>
      </c>
      <c r="J199" s="474">
        <v>0</v>
      </c>
      <c r="K199" s="474">
        <v>4400000</v>
      </c>
      <c r="L199" s="474">
        <v>0</v>
      </c>
      <c r="M199" s="474">
        <v>0</v>
      </c>
      <c r="N199" s="474">
        <v>0</v>
      </c>
      <c r="O199" s="474">
        <v>0</v>
      </c>
      <c r="P199" s="474"/>
      <c r="Q199" s="474">
        <v>0</v>
      </c>
      <c r="R199" s="1213">
        <v>4400000</v>
      </c>
    </row>
    <row r="200" spans="1:18" hidden="1" outlineLevel="3">
      <c r="A200" s="1212" t="s">
        <v>717</v>
      </c>
      <c r="B200" s="477" t="s">
        <v>3554</v>
      </c>
      <c r="C200" s="477" t="s">
        <v>3276</v>
      </c>
      <c r="D200" s="477" t="s">
        <v>1702</v>
      </c>
      <c r="E200" s="477"/>
      <c r="F200" s="477"/>
      <c r="G200" s="478"/>
      <c r="H200" s="477"/>
      <c r="I200" s="479">
        <v>0</v>
      </c>
      <c r="J200" s="479">
        <v>4400000</v>
      </c>
      <c r="K200" s="479">
        <v>4400000</v>
      </c>
      <c r="L200" s="479">
        <v>0</v>
      </c>
      <c r="M200" s="479">
        <v>0</v>
      </c>
      <c r="N200" s="479">
        <v>0</v>
      </c>
      <c r="O200" s="479">
        <v>0</v>
      </c>
      <c r="P200" s="479"/>
      <c r="Q200" s="479">
        <v>0</v>
      </c>
      <c r="R200" s="1211">
        <v>4400000</v>
      </c>
    </row>
    <row r="201" spans="1:18" hidden="1" outlineLevel="4">
      <c r="A201" s="1210" t="s">
        <v>717</v>
      </c>
      <c r="B201" s="482" t="s">
        <v>3554</v>
      </c>
      <c r="C201" s="482" t="s">
        <v>3276</v>
      </c>
      <c r="D201" s="482" t="s">
        <v>1702</v>
      </c>
      <c r="E201" s="482" t="s">
        <v>3550</v>
      </c>
      <c r="F201" s="482"/>
      <c r="G201" s="831"/>
      <c r="H201" s="482"/>
      <c r="I201" s="484">
        <v>0</v>
      </c>
      <c r="J201" s="484">
        <v>4400000</v>
      </c>
      <c r="K201" s="484">
        <v>4400000</v>
      </c>
      <c r="L201" s="484">
        <v>0</v>
      </c>
      <c r="M201" s="484">
        <v>0</v>
      </c>
      <c r="N201" s="484">
        <v>0</v>
      </c>
      <c r="O201" s="484">
        <v>0</v>
      </c>
      <c r="P201" s="484"/>
      <c r="Q201" s="484">
        <v>0</v>
      </c>
      <c r="R201" s="1209">
        <v>4400000</v>
      </c>
    </row>
    <row r="202" spans="1:18" ht="25.5" hidden="1" outlineLevel="5">
      <c r="A202" s="1208" t="s">
        <v>717</v>
      </c>
      <c r="B202" s="1206" t="s">
        <v>3554</v>
      </c>
      <c r="C202" s="1206" t="s">
        <v>3276</v>
      </c>
      <c r="D202" s="1206" t="s">
        <v>1702</v>
      </c>
      <c r="E202" s="1206" t="s">
        <v>3550</v>
      </c>
      <c r="F202" s="1206" t="s">
        <v>3275</v>
      </c>
      <c r="G202" s="1207" t="s">
        <v>3274</v>
      </c>
      <c r="H202" s="1206" t="s">
        <v>3241</v>
      </c>
      <c r="I202" s="1205">
        <v>0</v>
      </c>
      <c r="J202" s="1205">
        <v>4400000</v>
      </c>
      <c r="K202" s="1205">
        <v>4400000</v>
      </c>
      <c r="L202" s="1205">
        <v>0</v>
      </c>
      <c r="M202" s="1205">
        <v>0</v>
      </c>
      <c r="N202" s="1205">
        <v>0</v>
      </c>
      <c r="O202" s="1205">
        <v>0</v>
      </c>
      <c r="P202" s="1205"/>
      <c r="Q202" s="1205">
        <v>0</v>
      </c>
      <c r="R202" s="1204">
        <v>4400000</v>
      </c>
    </row>
    <row r="203" spans="1:18" hidden="1" outlineLevel="3">
      <c r="A203" s="1212" t="s">
        <v>717</v>
      </c>
      <c r="B203" s="477" t="s">
        <v>3554</v>
      </c>
      <c r="C203" s="477" t="s">
        <v>3276</v>
      </c>
      <c r="D203" s="477" t="s">
        <v>1583</v>
      </c>
      <c r="E203" s="477"/>
      <c r="F203" s="477"/>
      <c r="G203" s="478"/>
      <c r="H203" s="477"/>
      <c r="I203" s="479">
        <v>4400000</v>
      </c>
      <c r="J203" s="479">
        <v>-4400000</v>
      </c>
      <c r="K203" s="479">
        <v>0</v>
      </c>
      <c r="L203" s="479">
        <v>0</v>
      </c>
      <c r="M203" s="479">
        <v>0</v>
      </c>
      <c r="N203" s="479">
        <v>0</v>
      </c>
      <c r="O203" s="479">
        <v>0</v>
      </c>
      <c r="P203" s="479"/>
      <c r="Q203" s="479">
        <v>0</v>
      </c>
      <c r="R203" s="1211">
        <v>0</v>
      </c>
    </row>
    <row r="204" spans="1:18" hidden="1" outlineLevel="4">
      <c r="A204" s="1210" t="s">
        <v>717</v>
      </c>
      <c r="B204" s="482" t="s">
        <v>3554</v>
      </c>
      <c r="C204" s="482" t="s">
        <v>3276</v>
      </c>
      <c r="D204" s="482" t="s">
        <v>1583</v>
      </c>
      <c r="E204" s="482" t="s">
        <v>3550</v>
      </c>
      <c r="F204" s="482"/>
      <c r="G204" s="831"/>
      <c r="H204" s="482"/>
      <c r="I204" s="484">
        <v>4400000</v>
      </c>
      <c r="J204" s="484">
        <v>-4400000</v>
      </c>
      <c r="K204" s="484">
        <v>0</v>
      </c>
      <c r="L204" s="484">
        <v>0</v>
      </c>
      <c r="M204" s="484">
        <v>0</v>
      </c>
      <c r="N204" s="484">
        <v>0</v>
      </c>
      <c r="O204" s="484">
        <v>0</v>
      </c>
      <c r="P204" s="484"/>
      <c r="Q204" s="484">
        <v>0</v>
      </c>
      <c r="R204" s="1209">
        <v>0</v>
      </c>
    </row>
    <row r="205" spans="1:18" ht="25.5" hidden="1" outlineLevel="5">
      <c r="A205" s="1208" t="s">
        <v>717</v>
      </c>
      <c r="B205" s="1206" t="s">
        <v>3554</v>
      </c>
      <c r="C205" s="1206" t="s">
        <v>3276</v>
      </c>
      <c r="D205" s="1206" t="s">
        <v>1583</v>
      </c>
      <c r="E205" s="1206" t="s">
        <v>3550</v>
      </c>
      <c r="F205" s="1206" t="s">
        <v>3275</v>
      </c>
      <c r="G205" s="1207" t="s">
        <v>3274</v>
      </c>
      <c r="H205" s="1206" t="s">
        <v>3241</v>
      </c>
      <c r="I205" s="1205">
        <v>4400000</v>
      </c>
      <c r="J205" s="1205">
        <v>-4400000</v>
      </c>
      <c r="K205" s="1205">
        <v>0</v>
      </c>
      <c r="L205" s="1205">
        <v>0</v>
      </c>
      <c r="M205" s="1205">
        <v>0</v>
      </c>
      <c r="N205" s="1205">
        <v>0</v>
      </c>
      <c r="O205" s="1205">
        <v>0</v>
      </c>
      <c r="P205" s="1205"/>
      <c r="Q205" s="1205">
        <v>0</v>
      </c>
      <c r="R205" s="1204">
        <v>0</v>
      </c>
    </row>
    <row r="206" spans="1:18" hidden="1" outlineLevel="2">
      <c r="A206" s="1214" t="s">
        <v>717</v>
      </c>
      <c r="B206" s="472" t="s">
        <v>3554</v>
      </c>
      <c r="C206" s="472" t="s">
        <v>3272</v>
      </c>
      <c r="D206" s="472"/>
      <c r="E206" s="472"/>
      <c r="F206" s="472"/>
      <c r="G206" s="473"/>
      <c r="H206" s="472"/>
      <c r="I206" s="474">
        <v>6000000</v>
      </c>
      <c r="J206" s="474">
        <v>5927297.7999999998</v>
      </c>
      <c r="K206" s="474">
        <v>11927297.800000001</v>
      </c>
      <c r="L206" s="474">
        <v>0</v>
      </c>
      <c r="M206" s="474">
        <v>0</v>
      </c>
      <c r="N206" s="474">
        <v>0</v>
      </c>
      <c r="O206" s="474">
        <v>0</v>
      </c>
      <c r="P206" s="474"/>
      <c r="Q206" s="474">
        <v>0</v>
      </c>
      <c r="R206" s="1213">
        <v>11927297.800000001</v>
      </c>
    </row>
    <row r="207" spans="1:18" hidden="1" outlineLevel="3">
      <c r="A207" s="1212" t="s">
        <v>717</v>
      </c>
      <c r="B207" s="477" t="s">
        <v>3554</v>
      </c>
      <c r="C207" s="477" t="s">
        <v>3272</v>
      </c>
      <c r="D207" s="477" t="s">
        <v>1702</v>
      </c>
      <c r="E207" s="477"/>
      <c r="F207" s="477"/>
      <c r="G207" s="478"/>
      <c r="H207" s="477"/>
      <c r="I207" s="479">
        <v>6000000</v>
      </c>
      <c r="J207" s="479">
        <v>5927297.7999999998</v>
      </c>
      <c r="K207" s="479">
        <v>11927297.800000001</v>
      </c>
      <c r="L207" s="479">
        <v>0</v>
      </c>
      <c r="M207" s="479">
        <v>0</v>
      </c>
      <c r="N207" s="479">
        <v>0</v>
      </c>
      <c r="O207" s="479">
        <v>0</v>
      </c>
      <c r="P207" s="479"/>
      <c r="Q207" s="479">
        <v>0</v>
      </c>
      <c r="R207" s="1211">
        <v>11927297.800000001</v>
      </c>
    </row>
    <row r="208" spans="1:18" hidden="1" outlineLevel="4">
      <c r="A208" s="1210" t="s">
        <v>717</v>
      </c>
      <c r="B208" s="482" t="s">
        <v>3554</v>
      </c>
      <c r="C208" s="482" t="s">
        <v>3272</v>
      </c>
      <c r="D208" s="482" t="s">
        <v>1702</v>
      </c>
      <c r="E208" s="482" t="s">
        <v>3550</v>
      </c>
      <c r="F208" s="482"/>
      <c r="G208" s="831"/>
      <c r="H208" s="482"/>
      <c r="I208" s="484">
        <v>6000000</v>
      </c>
      <c r="J208" s="484">
        <v>5927297.7999999998</v>
      </c>
      <c r="K208" s="484">
        <v>11927297.800000001</v>
      </c>
      <c r="L208" s="484">
        <v>0</v>
      </c>
      <c r="M208" s="484">
        <v>0</v>
      </c>
      <c r="N208" s="484">
        <v>0</v>
      </c>
      <c r="O208" s="484">
        <v>0</v>
      </c>
      <c r="P208" s="484"/>
      <c r="Q208" s="484">
        <v>0</v>
      </c>
      <c r="R208" s="1209">
        <v>11927297.800000001</v>
      </c>
    </row>
    <row r="209" spans="1:18" ht="38.25" hidden="1" outlineLevel="5">
      <c r="A209" s="1208" t="s">
        <v>717</v>
      </c>
      <c r="B209" s="1206" t="s">
        <v>3554</v>
      </c>
      <c r="C209" s="1206" t="s">
        <v>3272</v>
      </c>
      <c r="D209" s="1206" t="s">
        <v>1702</v>
      </c>
      <c r="E209" s="1206" t="s">
        <v>3550</v>
      </c>
      <c r="F209" s="1206" t="s">
        <v>3271</v>
      </c>
      <c r="G209" s="1207" t="s">
        <v>3270</v>
      </c>
      <c r="H209" s="1206" t="s">
        <v>3241</v>
      </c>
      <c r="I209" s="1205">
        <v>6000000</v>
      </c>
      <c r="J209" s="1205">
        <v>5927297.7999999998</v>
      </c>
      <c r="K209" s="1205">
        <v>11927297.800000001</v>
      </c>
      <c r="L209" s="1205">
        <v>0</v>
      </c>
      <c r="M209" s="1205">
        <v>0</v>
      </c>
      <c r="N209" s="1205">
        <v>0</v>
      </c>
      <c r="O209" s="1205">
        <v>0</v>
      </c>
      <c r="P209" s="1205"/>
      <c r="Q209" s="1205">
        <v>0</v>
      </c>
      <c r="R209" s="1204">
        <v>11927297.800000001</v>
      </c>
    </row>
    <row r="210" spans="1:18" hidden="1" outlineLevel="1">
      <c r="A210" s="1216" t="s">
        <v>717</v>
      </c>
      <c r="B210" s="467" t="s">
        <v>3547</v>
      </c>
      <c r="C210" s="467"/>
      <c r="D210" s="467"/>
      <c r="E210" s="467"/>
      <c r="F210" s="467"/>
      <c r="G210" s="468"/>
      <c r="H210" s="467"/>
      <c r="I210" s="469">
        <v>54125195.009999998</v>
      </c>
      <c r="J210" s="469">
        <v>6535321.5199999996</v>
      </c>
      <c r="K210" s="469">
        <v>60660516.530000001</v>
      </c>
      <c r="L210" s="469">
        <v>145000</v>
      </c>
      <c r="M210" s="469">
        <v>57829063.329999998</v>
      </c>
      <c r="N210" s="469">
        <v>57974063.329999998</v>
      </c>
      <c r="O210" s="469">
        <v>43962081.329999998</v>
      </c>
      <c r="P210" s="469"/>
      <c r="Q210" s="469">
        <v>40639938.799999997</v>
      </c>
      <c r="R210" s="1215">
        <v>16698435.199999999</v>
      </c>
    </row>
    <row r="211" spans="1:18" hidden="1" outlineLevel="2">
      <c r="A211" s="1214" t="s">
        <v>717</v>
      </c>
      <c r="B211" s="472" t="s">
        <v>3547</v>
      </c>
      <c r="C211" s="472" t="s">
        <v>3249</v>
      </c>
      <c r="D211" s="472"/>
      <c r="E211" s="472"/>
      <c r="F211" s="472"/>
      <c r="G211" s="473"/>
      <c r="H211" s="472"/>
      <c r="I211" s="474">
        <v>48788951.729999997</v>
      </c>
      <c r="J211" s="474">
        <v>670848.07999999996</v>
      </c>
      <c r="K211" s="474">
        <v>49459799.810000002</v>
      </c>
      <c r="L211" s="474">
        <v>0</v>
      </c>
      <c r="M211" s="474">
        <v>46773346.609999999</v>
      </c>
      <c r="N211" s="474">
        <v>46773346.609999999</v>
      </c>
      <c r="O211" s="474">
        <v>35007424.240000002</v>
      </c>
      <c r="P211" s="474"/>
      <c r="Q211" s="474">
        <v>32759994.969999999</v>
      </c>
      <c r="R211" s="1213">
        <v>14452375.57</v>
      </c>
    </row>
    <row r="212" spans="1:18" hidden="1" outlineLevel="3">
      <c r="A212" s="1212" t="s">
        <v>717</v>
      </c>
      <c r="B212" s="477" t="s">
        <v>3547</v>
      </c>
      <c r="C212" s="477" t="s">
        <v>3249</v>
      </c>
      <c r="D212" s="477" t="s">
        <v>3548</v>
      </c>
      <c r="E212" s="477"/>
      <c r="F212" s="477"/>
      <c r="G212" s="478"/>
      <c r="H212" s="477"/>
      <c r="I212" s="479">
        <v>37559325.82</v>
      </c>
      <c r="J212" s="479">
        <v>516440.73</v>
      </c>
      <c r="K212" s="479">
        <v>38075766.549999997</v>
      </c>
      <c r="L212" s="479">
        <v>0</v>
      </c>
      <c r="M212" s="479">
        <v>36140023.009999998</v>
      </c>
      <c r="N212" s="479">
        <v>36140023.009999998</v>
      </c>
      <c r="O212" s="479">
        <v>27700000</v>
      </c>
      <c r="P212" s="479"/>
      <c r="Q212" s="479">
        <v>25883842.780000001</v>
      </c>
      <c r="R212" s="1211">
        <v>10375766.550000001</v>
      </c>
    </row>
    <row r="213" spans="1:18" hidden="1" outlineLevel="4">
      <c r="A213" s="1210" t="s">
        <v>717</v>
      </c>
      <c r="B213" s="482" t="s">
        <v>3547</v>
      </c>
      <c r="C213" s="482" t="s">
        <v>3249</v>
      </c>
      <c r="D213" s="482" t="s">
        <v>3548</v>
      </c>
      <c r="E213" s="482" t="s">
        <v>3550</v>
      </c>
      <c r="F213" s="482"/>
      <c r="G213" s="831"/>
      <c r="H213" s="482"/>
      <c r="I213" s="484">
        <v>37559325.82</v>
      </c>
      <c r="J213" s="484">
        <v>516440.73</v>
      </c>
      <c r="K213" s="484">
        <v>38075766.549999997</v>
      </c>
      <c r="L213" s="484">
        <v>0</v>
      </c>
      <c r="M213" s="484">
        <v>36140023.009999998</v>
      </c>
      <c r="N213" s="484">
        <v>36140023.009999998</v>
      </c>
      <c r="O213" s="484">
        <v>27700000</v>
      </c>
      <c r="P213" s="484"/>
      <c r="Q213" s="484">
        <v>25883842.780000001</v>
      </c>
      <c r="R213" s="1209">
        <v>10375766.550000001</v>
      </c>
    </row>
    <row r="214" spans="1:18" hidden="1" outlineLevel="5">
      <c r="A214" s="1208" t="s">
        <v>717</v>
      </c>
      <c r="B214" s="1206" t="s">
        <v>3547</v>
      </c>
      <c r="C214" s="1206" t="s">
        <v>3249</v>
      </c>
      <c r="D214" s="1206" t="s">
        <v>3548</v>
      </c>
      <c r="E214" s="1206" t="s">
        <v>3550</v>
      </c>
      <c r="F214" s="1206"/>
      <c r="G214" s="1207"/>
      <c r="H214" s="1206"/>
      <c r="I214" s="1205">
        <v>0</v>
      </c>
      <c r="J214" s="1205">
        <v>0</v>
      </c>
      <c r="K214" s="1205">
        <v>0</v>
      </c>
      <c r="L214" s="1205">
        <v>0</v>
      </c>
      <c r="M214" s="1205">
        <v>0</v>
      </c>
      <c r="N214" s="1205">
        <v>0</v>
      </c>
      <c r="O214" s="1205">
        <v>0</v>
      </c>
      <c r="P214" s="1205"/>
      <c r="Q214" s="1205">
        <v>-1442241.98</v>
      </c>
      <c r="R214" s="1204">
        <v>0</v>
      </c>
    </row>
    <row r="215" spans="1:18" ht="38.25" hidden="1" outlineLevel="5">
      <c r="A215" s="1208" t="s">
        <v>717</v>
      </c>
      <c r="B215" s="1206" t="s">
        <v>3547</v>
      </c>
      <c r="C215" s="1206" t="s">
        <v>3249</v>
      </c>
      <c r="D215" s="1206" t="s">
        <v>3548</v>
      </c>
      <c r="E215" s="1206" t="s">
        <v>3550</v>
      </c>
      <c r="F215" s="1206" t="s">
        <v>3246</v>
      </c>
      <c r="G215" s="1207" t="s">
        <v>3245</v>
      </c>
      <c r="H215" s="1206"/>
      <c r="I215" s="1205">
        <v>0</v>
      </c>
      <c r="J215" s="1205">
        <v>0</v>
      </c>
      <c r="K215" s="1205">
        <v>0</v>
      </c>
      <c r="L215" s="1205">
        <v>0</v>
      </c>
      <c r="M215" s="1205">
        <v>0</v>
      </c>
      <c r="N215" s="1205">
        <v>0</v>
      </c>
      <c r="O215" s="1205">
        <v>0</v>
      </c>
      <c r="P215" s="1205"/>
      <c r="Q215" s="1205">
        <v>27325149.760000002</v>
      </c>
      <c r="R215" s="1204">
        <v>0</v>
      </c>
    </row>
    <row r="216" spans="1:18" ht="38.25" hidden="1" outlineLevel="5">
      <c r="A216" s="1208" t="s">
        <v>717</v>
      </c>
      <c r="B216" s="1206" t="s">
        <v>3547</v>
      </c>
      <c r="C216" s="1206" t="s">
        <v>3249</v>
      </c>
      <c r="D216" s="1206" t="s">
        <v>3548</v>
      </c>
      <c r="E216" s="1206" t="s">
        <v>3550</v>
      </c>
      <c r="F216" s="1206" t="s">
        <v>3246</v>
      </c>
      <c r="G216" s="1207" t="s">
        <v>3245</v>
      </c>
      <c r="H216" s="1206" t="s">
        <v>3241</v>
      </c>
      <c r="I216" s="1205">
        <v>37559325.82</v>
      </c>
      <c r="J216" s="1205">
        <v>516440.73</v>
      </c>
      <c r="K216" s="1205">
        <v>38075766.549999997</v>
      </c>
      <c r="L216" s="1205">
        <v>0</v>
      </c>
      <c r="M216" s="1205">
        <v>36140023.009999998</v>
      </c>
      <c r="N216" s="1205">
        <v>36140023.009999998</v>
      </c>
      <c r="O216" s="1205">
        <v>27700000</v>
      </c>
      <c r="P216" s="1205"/>
      <c r="Q216" s="1205">
        <v>935</v>
      </c>
      <c r="R216" s="1204">
        <v>10375766.550000001</v>
      </c>
    </row>
    <row r="217" spans="1:18" hidden="1" outlineLevel="3">
      <c r="A217" s="1212" t="s">
        <v>717</v>
      </c>
      <c r="B217" s="477" t="s">
        <v>3547</v>
      </c>
      <c r="C217" s="477" t="s">
        <v>3249</v>
      </c>
      <c r="D217" s="477" t="s">
        <v>3552</v>
      </c>
      <c r="E217" s="477"/>
      <c r="F217" s="477"/>
      <c r="G217" s="478"/>
      <c r="H217" s="477"/>
      <c r="I217" s="479">
        <v>0</v>
      </c>
      <c r="J217" s="479">
        <v>0</v>
      </c>
      <c r="K217" s="479">
        <v>0</v>
      </c>
      <c r="L217" s="479">
        <v>0</v>
      </c>
      <c r="M217" s="479">
        <v>0</v>
      </c>
      <c r="N217" s="479">
        <v>0</v>
      </c>
      <c r="O217" s="479">
        <v>0</v>
      </c>
      <c r="P217" s="479"/>
      <c r="Q217" s="479">
        <v>0</v>
      </c>
      <c r="R217" s="1211">
        <v>0</v>
      </c>
    </row>
    <row r="218" spans="1:18" hidden="1" outlineLevel="4">
      <c r="A218" s="1210" t="s">
        <v>717</v>
      </c>
      <c r="B218" s="482" t="s">
        <v>3547</v>
      </c>
      <c r="C218" s="482" t="s">
        <v>3249</v>
      </c>
      <c r="D218" s="482" t="s">
        <v>3552</v>
      </c>
      <c r="E218" s="482" t="s">
        <v>3550</v>
      </c>
      <c r="F218" s="482"/>
      <c r="G218" s="831"/>
      <c r="H218" s="482"/>
      <c r="I218" s="484">
        <v>0</v>
      </c>
      <c r="J218" s="484">
        <v>0</v>
      </c>
      <c r="K218" s="484">
        <v>0</v>
      </c>
      <c r="L218" s="484">
        <v>0</v>
      </c>
      <c r="M218" s="484">
        <v>0</v>
      </c>
      <c r="N218" s="484">
        <v>0</v>
      </c>
      <c r="O218" s="484">
        <v>0</v>
      </c>
      <c r="P218" s="484"/>
      <c r="Q218" s="484">
        <v>0</v>
      </c>
      <c r="R218" s="1209">
        <v>0</v>
      </c>
    </row>
    <row r="219" spans="1:18" hidden="1" outlineLevel="5">
      <c r="A219" s="1208" t="s">
        <v>717</v>
      </c>
      <c r="B219" s="1206" t="s">
        <v>3547</v>
      </c>
      <c r="C219" s="1206" t="s">
        <v>3249</v>
      </c>
      <c r="D219" s="1206" t="s">
        <v>3552</v>
      </c>
      <c r="E219" s="1206" t="s">
        <v>3550</v>
      </c>
      <c r="F219" s="1206"/>
      <c r="G219" s="1207"/>
      <c r="H219" s="1206"/>
      <c r="I219" s="1205">
        <v>0</v>
      </c>
      <c r="J219" s="1205">
        <v>0</v>
      </c>
      <c r="K219" s="1205">
        <v>0</v>
      </c>
      <c r="L219" s="1205">
        <v>0</v>
      </c>
      <c r="M219" s="1205">
        <v>0</v>
      </c>
      <c r="N219" s="1205">
        <v>0</v>
      </c>
      <c r="O219" s="1205">
        <v>0</v>
      </c>
      <c r="P219" s="1205"/>
      <c r="Q219" s="1205">
        <v>935</v>
      </c>
      <c r="R219" s="1204">
        <v>0</v>
      </c>
    </row>
    <row r="220" spans="1:18" hidden="1" outlineLevel="5">
      <c r="A220" s="1208" t="s">
        <v>717</v>
      </c>
      <c r="B220" s="1206" t="s">
        <v>3547</v>
      </c>
      <c r="C220" s="1206" t="s">
        <v>3249</v>
      </c>
      <c r="D220" s="1206" t="s">
        <v>3552</v>
      </c>
      <c r="E220" s="1206" t="s">
        <v>3550</v>
      </c>
      <c r="F220" s="1206"/>
      <c r="G220" s="1207"/>
      <c r="H220" s="1206" t="s">
        <v>3241</v>
      </c>
      <c r="I220" s="1205">
        <v>0</v>
      </c>
      <c r="J220" s="1205">
        <v>0</v>
      </c>
      <c r="K220" s="1205">
        <v>0</v>
      </c>
      <c r="L220" s="1205">
        <v>0</v>
      </c>
      <c r="M220" s="1205">
        <v>0</v>
      </c>
      <c r="N220" s="1205">
        <v>0</v>
      </c>
      <c r="O220" s="1205">
        <v>0</v>
      </c>
      <c r="P220" s="1205"/>
      <c r="Q220" s="1205">
        <v>-835</v>
      </c>
      <c r="R220" s="1204">
        <v>0</v>
      </c>
    </row>
    <row r="221" spans="1:18" ht="38.25" hidden="1" outlineLevel="5">
      <c r="A221" s="1208" t="s">
        <v>717</v>
      </c>
      <c r="B221" s="1206" t="s">
        <v>3547</v>
      </c>
      <c r="C221" s="1206" t="s">
        <v>3249</v>
      </c>
      <c r="D221" s="1206" t="s">
        <v>3552</v>
      </c>
      <c r="E221" s="1206" t="s">
        <v>3550</v>
      </c>
      <c r="F221" s="1206" t="s">
        <v>3246</v>
      </c>
      <c r="G221" s="1207" t="s">
        <v>3245</v>
      </c>
      <c r="H221" s="1206" t="s">
        <v>3241</v>
      </c>
      <c r="I221" s="1205">
        <v>0</v>
      </c>
      <c r="J221" s="1205">
        <v>0</v>
      </c>
      <c r="K221" s="1205">
        <v>0</v>
      </c>
      <c r="L221" s="1205">
        <v>0</v>
      </c>
      <c r="M221" s="1205">
        <v>0</v>
      </c>
      <c r="N221" s="1205">
        <v>0</v>
      </c>
      <c r="O221" s="1205">
        <v>0</v>
      </c>
      <c r="P221" s="1205"/>
      <c r="Q221" s="1205">
        <v>-100</v>
      </c>
      <c r="R221" s="1204">
        <v>0</v>
      </c>
    </row>
    <row r="222" spans="1:18" hidden="1" outlineLevel="3">
      <c r="A222" s="1212" t="s">
        <v>717</v>
      </c>
      <c r="B222" s="477" t="s">
        <v>3547</v>
      </c>
      <c r="C222" s="477" t="s">
        <v>3249</v>
      </c>
      <c r="D222" s="477" t="s">
        <v>3545</v>
      </c>
      <c r="E222" s="477"/>
      <c r="F222" s="477"/>
      <c r="G222" s="478"/>
      <c r="H222" s="477"/>
      <c r="I222" s="479">
        <v>11229625.91</v>
      </c>
      <c r="J222" s="479">
        <v>154407.35</v>
      </c>
      <c r="K222" s="479">
        <v>11384033.26</v>
      </c>
      <c r="L222" s="479">
        <v>0</v>
      </c>
      <c r="M222" s="479">
        <v>10633323.6</v>
      </c>
      <c r="N222" s="479">
        <v>10633323.6</v>
      </c>
      <c r="O222" s="479">
        <v>7307424.2400000002</v>
      </c>
      <c r="P222" s="479"/>
      <c r="Q222" s="479">
        <v>6876152.1900000004</v>
      </c>
      <c r="R222" s="1211">
        <v>4076609.02</v>
      </c>
    </row>
    <row r="223" spans="1:18" hidden="1" outlineLevel="4">
      <c r="A223" s="1210" t="s">
        <v>717</v>
      </c>
      <c r="B223" s="482" t="s">
        <v>3547</v>
      </c>
      <c r="C223" s="482" t="s">
        <v>3249</v>
      </c>
      <c r="D223" s="482" t="s">
        <v>3545</v>
      </c>
      <c r="E223" s="482" t="s">
        <v>3550</v>
      </c>
      <c r="F223" s="482"/>
      <c r="G223" s="831"/>
      <c r="H223" s="482"/>
      <c r="I223" s="484">
        <v>11229625.91</v>
      </c>
      <c r="J223" s="484">
        <v>154407.35</v>
      </c>
      <c r="K223" s="484">
        <v>11384033.26</v>
      </c>
      <c r="L223" s="484">
        <v>0</v>
      </c>
      <c r="M223" s="484">
        <v>10633323.6</v>
      </c>
      <c r="N223" s="484">
        <v>10633323.6</v>
      </c>
      <c r="O223" s="484">
        <v>7307424.2400000002</v>
      </c>
      <c r="P223" s="484"/>
      <c r="Q223" s="484">
        <v>6876152.1900000004</v>
      </c>
      <c r="R223" s="1209">
        <v>4076609.02</v>
      </c>
    </row>
    <row r="224" spans="1:18" ht="38.25" hidden="1" outlineLevel="5">
      <c r="A224" s="1208" t="s">
        <v>717</v>
      </c>
      <c r="B224" s="1206" t="s">
        <v>3547</v>
      </c>
      <c r="C224" s="1206" t="s">
        <v>3249</v>
      </c>
      <c r="D224" s="1206" t="s">
        <v>3545</v>
      </c>
      <c r="E224" s="1206" t="s">
        <v>3550</v>
      </c>
      <c r="F224" s="1206" t="s">
        <v>3246</v>
      </c>
      <c r="G224" s="1207" t="s">
        <v>3245</v>
      </c>
      <c r="H224" s="1206"/>
      <c r="I224" s="1205">
        <v>0</v>
      </c>
      <c r="J224" s="1205">
        <v>0</v>
      </c>
      <c r="K224" s="1205">
        <v>0</v>
      </c>
      <c r="L224" s="1205">
        <v>0</v>
      </c>
      <c r="M224" s="1205">
        <v>0</v>
      </c>
      <c r="N224" s="1205">
        <v>0</v>
      </c>
      <c r="O224" s="1205">
        <v>0</v>
      </c>
      <c r="P224" s="1205"/>
      <c r="Q224" s="1205">
        <v>6876152.1900000004</v>
      </c>
      <c r="R224" s="1204">
        <v>0</v>
      </c>
    </row>
    <row r="225" spans="1:18" ht="38.25" hidden="1" outlineLevel="5">
      <c r="A225" s="1208" t="s">
        <v>717</v>
      </c>
      <c r="B225" s="1206" t="s">
        <v>3547</v>
      </c>
      <c r="C225" s="1206" t="s">
        <v>3249</v>
      </c>
      <c r="D225" s="1206" t="s">
        <v>3545</v>
      </c>
      <c r="E225" s="1206" t="s">
        <v>3550</v>
      </c>
      <c r="F225" s="1206" t="s">
        <v>3246</v>
      </c>
      <c r="G225" s="1207" t="s">
        <v>3245</v>
      </c>
      <c r="H225" s="1206" t="s">
        <v>3241</v>
      </c>
      <c r="I225" s="1205">
        <v>11229625.91</v>
      </c>
      <c r="J225" s="1205">
        <v>154407.35</v>
      </c>
      <c r="K225" s="1205">
        <v>11384033.26</v>
      </c>
      <c r="L225" s="1205">
        <v>0</v>
      </c>
      <c r="M225" s="1205">
        <v>10633323.6</v>
      </c>
      <c r="N225" s="1205">
        <v>10633323.6</v>
      </c>
      <c r="O225" s="1205">
        <v>7307424.2400000002</v>
      </c>
      <c r="P225" s="1205"/>
      <c r="Q225" s="1205">
        <v>0</v>
      </c>
      <c r="R225" s="1204">
        <v>4076609.02</v>
      </c>
    </row>
    <row r="226" spans="1:18" hidden="1" outlineLevel="2">
      <c r="A226" s="1214" t="s">
        <v>717</v>
      </c>
      <c r="B226" s="472" t="s">
        <v>3547</v>
      </c>
      <c r="C226" s="472" t="s">
        <v>3248</v>
      </c>
      <c r="D226" s="472"/>
      <c r="E226" s="472"/>
      <c r="F226" s="472"/>
      <c r="G226" s="473"/>
      <c r="H226" s="472"/>
      <c r="I226" s="474">
        <v>4957943.28</v>
      </c>
      <c r="J226" s="474">
        <v>0</v>
      </c>
      <c r="K226" s="474">
        <v>4957943.28</v>
      </c>
      <c r="L226" s="474">
        <v>145000</v>
      </c>
      <c r="M226" s="474">
        <v>4812943.28</v>
      </c>
      <c r="N226" s="474">
        <v>4957943.28</v>
      </c>
      <c r="O226" s="474">
        <v>2774998.05</v>
      </c>
      <c r="P226" s="474"/>
      <c r="Q226" s="474">
        <v>2656373.31</v>
      </c>
      <c r="R226" s="1213">
        <v>2182945.23</v>
      </c>
    </row>
    <row r="227" spans="1:18" hidden="1" outlineLevel="3">
      <c r="A227" s="1212" t="s">
        <v>717</v>
      </c>
      <c r="B227" s="477" t="s">
        <v>3547</v>
      </c>
      <c r="C227" s="477" t="s">
        <v>3248</v>
      </c>
      <c r="D227" s="477" t="s">
        <v>3552</v>
      </c>
      <c r="E227" s="477"/>
      <c r="F227" s="477"/>
      <c r="G227" s="478"/>
      <c r="H227" s="477"/>
      <c r="I227" s="479">
        <v>585125</v>
      </c>
      <c r="J227" s="479">
        <v>0</v>
      </c>
      <c r="K227" s="479">
        <v>585125</v>
      </c>
      <c r="L227" s="479">
        <v>0</v>
      </c>
      <c r="M227" s="479">
        <v>585125</v>
      </c>
      <c r="N227" s="479">
        <v>585125</v>
      </c>
      <c r="O227" s="479">
        <v>373000</v>
      </c>
      <c r="P227" s="479"/>
      <c r="Q227" s="479">
        <v>272999.59999999998</v>
      </c>
      <c r="R227" s="1211">
        <v>212125</v>
      </c>
    </row>
    <row r="228" spans="1:18" hidden="1" outlineLevel="4">
      <c r="A228" s="1210" t="s">
        <v>717</v>
      </c>
      <c r="B228" s="482" t="s">
        <v>3547</v>
      </c>
      <c r="C228" s="482" t="s">
        <v>3248</v>
      </c>
      <c r="D228" s="482" t="s">
        <v>3552</v>
      </c>
      <c r="E228" s="482" t="s">
        <v>3550</v>
      </c>
      <c r="F228" s="482"/>
      <c r="G228" s="831"/>
      <c r="H228" s="482"/>
      <c r="I228" s="484">
        <v>585125</v>
      </c>
      <c r="J228" s="484">
        <v>0</v>
      </c>
      <c r="K228" s="484">
        <v>585125</v>
      </c>
      <c r="L228" s="484">
        <v>0</v>
      </c>
      <c r="M228" s="484">
        <v>585125</v>
      </c>
      <c r="N228" s="484">
        <v>585125</v>
      </c>
      <c r="O228" s="484">
        <v>373000</v>
      </c>
      <c r="P228" s="484"/>
      <c r="Q228" s="484">
        <v>272999.59999999998</v>
      </c>
      <c r="R228" s="1209">
        <v>212125</v>
      </c>
    </row>
    <row r="229" spans="1:18" hidden="1" outlineLevel="5">
      <c r="A229" s="1208" t="s">
        <v>717</v>
      </c>
      <c r="B229" s="1206" t="s">
        <v>3547</v>
      </c>
      <c r="C229" s="1206" t="s">
        <v>3248</v>
      </c>
      <c r="D229" s="1206" t="s">
        <v>3552</v>
      </c>
      <c r="E229" s="1206" t="s">
        <v>3550</v>
      </c>
      <c r="F229" s="1206"/>
      <c r="G229" s="1207"/>
      <c r="H229" s="1206"/>
      <c r="I229" s="1205">
        <v>0</v>
      </c>
      <c r="J229" s="1205">
        <v>0</v>
      </c>
      <c r="K229" s="1205">
        <v>0</v>
      </c>
      <c r="L229" s="1205">
        <v>0</v>
      </c>
      <c r="M229" s="1205">
        <v>0</v>
      </c>
      <c r="N229" s="1205">
        <v>0</v>
      </c>
      <c r="O229" s="1205">
        <v>0</v>
      </c>
      <c r="P229" s="1205"/>
      <c r="Q229" s="1205">
        <v>-935</v>
      </c>
      <c r="R229" s="1204">
        <v>0</v>
      </c>
    </row>
    <row r="230" spans="1:18" ht="38.25" hidden="1" outlineLevel="5">
      <c r="A230" s="1208" t="s">
        <v>717</v>
      </c>
      <c r="B230" s="1206" t="s">
        <v>3547</v>
      </c>
      <c r="C230" s="1206" t="s">
        <v>3248</v>
      </c>
      <c r="D230" s="1206" t="s">
        <v>3552</v>
      </c>
      <c r="E230" s="1206" t="s">
        <v>3550</v>
      </c>
      <c r="F230" s="1206" t="s">
        <v>3246</v>
      </c>
      <c r="G230" s="1207" t="s">
        <v>3245</v>
      </c>
      <c r="H230" s="1206"/>
      <c r="I230" s="1205">
        <v>0</v>
      </c>
      <c r="J230" s="1205">
        <v>0</v>
      </c>
      <c r="K230" s="1205">
        <v>0</v>
      </c>
      <c r="L230" s="1205">
        <v>0</v>
      </c>
      <c r="M230" s="1205">
        <v>0</v>
      </c>
      <c r="N230" s="1205">
        <v>0</v>
      </c>
      <c r="O230" s="1205">
        <v>0</v>
      </c>
      <c r="P230" s="1205"/>
      <c r="Q230" s="1205">
        <v>273934.59999999998</v>
      </c>
      <c r="R230" s="1204">
        <v>0</v>
      </c>
    </row>
    <row r="231" spans="1:18" ht="38.25" hidden="1" outlineLevel="5">
      <c r="A231" s="1208" t="s">
        <v>717</v>
      </c>
      <c r="B231" s="1206" t="s">
        <v>3547</v>
      </c>
      <c r="C231" s="1206" t="s">
        <v>3248</v>
      </c>
      <c r="D231" s="1206" t="s">
        <v>3552</v>
      </c>
      <c r="E231" s="1206" t="s">
        <v>3550</v>
      </c>
      <c r="F231" s="1206" t="s">
        <v>3246</v>
      </c>
      <c r="G231" s="1207" t="s">
        <v>3245</v>
      </c>
      <c r="H231" s="1206" t="s">
        <v>3241</v>
      </c>
      <c r="I231" s="1205">
        <v>585125</v>
      </c>
      <c r="J231" s="1205">
        <v>0</v>
      </c>
      <c r="K231" s="1205">
        <v>585125</v>
      </c>
      <c r="L231" s="1205">
        <v>0</v>
      </c>
      <c r="M231" s="1205">
        <v>585125</v>
      </c>
      <c r="N231" s="1205">
        <v>585125</v>
      </c>
      <c r="O231" s="1205">
        <v>373000</v>
      </c>
      <c r="P231" s="1205"/>
      <c r="Q231" s="1205">
        <v>0</v>
      </c>
      <c r="R231" s="1204">
        <v>212125</v>
      </c>
    </row>
    <row r="232" spans="1:18" hidden="1" outlineLevel="3">
      <c r="A232" s="1212" t="s">
        <v>717</v>
      </c>
      <c r="B232" s="477" t="s">
        <v>3547</v>
      </c>
      <c r="C232" s="477" t="s">
        <v>3248</v>
      </c>
      <c r="D232" s="477" t="s">
        <v>3553</v>
      </c>
      <c r="E232" s="477"/>
      <c r="F232" s="477"/>
      <c r="G232" s="478"/>
      <c r="H232" s="477"/>
      <c r="I232" s="479">
        <v>4372818.28</v>
      </c>
      <c r="J232" s="479">
        <v>0</v>
      </c>
      <c r="K232" s="479">
        <v>4372818.28</v>
      </c>
      <c r="L232" s="479">
        <v>145000</v>
      </c>
      <c r="M232" s="479">
        <v>4227818.28</v>
      </c>
      <c r="N232" s="479">
        <v>4372818.28</v>
      </c>
      <c r="O232" s="479">
        <v>2401998.0499999998</v>
      </c>
      <c r="P232" s="479"/>
      <c r="Q232" s="479">
        <v>2383373.71</v>
      </c>
      <c r="R232" s="1211">
        <v>1970820.23</v>
      </c>
    </row>
    <row r="233" spans="1:18" hidden="1" outlineLevel="4">
      <c r="A233" s="1210" t="s">
        <v>717</v>
      </c>
      <c r="B233" s="482" t="s">
        <v>3547</v>
      </c>
      <c r="C233" s="482" t="s">
        <v>3248</v>
      </c>
      <c r="D233" s="482" t="s">
        <v>3553</v>
      </c>
      <c r="E233" s="482" t="s">
        <v>3550</v>
      </c>
      <c r="F233" s="482"/>
      <c r="G233" s="831"/>
      <c r="H233" s="482"/>
      <c r="I233" s="484">
        <v>4372818.28</v>
      </c>
      <c r="J233" s="484">
        <v>0</v>
      </c>
      <c r="K233" s="484">
        <v>4372818.28</v>
      </c>
      <c r="L233" s="484">
        <v>145000</v>
      </c>
      <c r="M233" s="484">
        <v>4227818.28</v>
      </c>
      <c r="N233" s="484">
        <v>4372818.28</v>
      </c>
      <c r="O233" s="484">
        <v>2401998.0499999998</v>
      </c>
      <c r="P233" s="484"/>
      <c r="Q233" s="484">
        <v>2383373.71</v>
      </c>
      <c r="R233" s="1209">
        <v>1970820.23</v>
      </c>
    </row>
    <row r="234" spans="1:18" ht="38.25" hidden="1" outlineLevel="5">
      <c r="A234" s="1208" t="s">
        <v>717</v>
      </c>
      <c r="B234" s="1206" t="s">
        <v>3547</v>
      </c>
      <c r="C234" s="1206" t="s">
        <v>3248</v>
      </c>
      <c r="D234" s="1206" t="s">
        <v>3553</v>
      </c>
      <c r="E234" s="1206" t="s">
        <v>3550</v>
      </c>
      <c r="F234" s="1206" t="s">
        <v>3246</v>
      </c>
      <c r="G234" s="1207" t="s">
        <v>3245</v>
      </c>
      <c r="H234" s="1206"/>
      <c r="I234" s="1205">
        <v>0</v>
      </c>
      <c r="J234" s="1205">
        <v>0</v>
      </c>
      <c r="K234" s="1205">
        <v>0</v>
      </c>
      <c r="L234" s="1205">
        <v>0</v>
      </c>
      <c r="M234" s="1205">
        <v>0</v>
      </c>
      <c r="N234" s="1205">
        <v>0</v>
      </c>
      <c r="O234" s="1205">
        <v>0</v>
      </c>
      <c r="P234" s="1205"/>
      <c r="Q234" s="1205">
        <v>2383373.71</v>
      </c>
      <c r="R234" s="1204">
        <v>0</v>
      </c>
    </row>
    <row r="235" spans="1:18" ht="38.25" hidden="1" outlineLevel="5">
      <c r="A235" s="1208" t="s">
        <v>717</v>
      </c>
      <c r="B235" s="1206" t="s">
        <v>3547</v>
      </c>
      <c r="C235" s="1206" t="s">
        <v>3248</v>
      </c>
      <c r="D235" s="1206" t="s">
        <v>3553</v>
      </c>
      <c r="E235" s="1206" t="s">
        <v>3550</v>
      </c>
      <c r="F235" s="1206" t="s">
        <v>3246</v>
      </c>
      <c r="G235" s="1207" t="s">
        <v>3245</v>
      </c>
      <c r="H235" s="1206" t="s">
        <v>3241</v>
      </c>
      <c r="I235" s="1205">
        <v>4372818.28</v>
      </c>
      <c r="J235" s="1205">
        <v>0</v>
      </c>
      <c r="K235" s="1205">
        <v>4372818.28</v>
      </c>
      <c r="L235" s="1205">
        <v>145000</v>
      </c>
      <c r="M235" s="1205">
        <v>4227818.28</v>
      </c>
      <c r="N235" s="1205">
        <v>4372818.28</v>
      </c>
      <c r="O235" s="1205">
        <v>2401998.0499999998</v>
      </c>
      <c r="P235" s="1205"/>
      <c r="Q235" s="1205">
        <v>0</v>
      </c>
      <c r="R235" s="1204">
        <v>1970820.23</v>
      </c>
    </row>
    <row r="236" spans="1:18" hidden="1" outlineLevel="2">
      <c r="A236" s="1214" t="s">
        <v>717</v>
      </c>
      <c r="B236" s="472" t="s">
        <v>3547</v>
      </c>
      <c r="C236" s="472" t="s">
        <v>3247</v>
      </c>
      <c r="D236" s="472"/>
      <c r="E236" s="472"/>
      <c r="F236" s="472"/>
      <c r="G236" s="473"/>
      <c r="H236" s="472"/>
      <c r="I236" s="474">
        <v>378300</v>
      </c>
      <c r="J236" s="474">
        <v>0</v>
      </c>
      <c r="K236" s="474">
        <v>378300</v>
      </c>
      <c r="L236" s="474">
        <v>0</v>
      </c>
      <c r="M236" s="474">
        <v>378300</v>
      </c>
      <c r="N236" s="474">
        <v>378300</v>
      </c>
      <c r="O236" s="474">
        <v>315185.59999999998</v>
      </c>
      <c r="P236" s="474"/>
      <c r="Q236" s="474">
        <v>147160.26999999999</v>
      </c>
      <c r="R236" s="1213">
        <v>63114.400000000001</v>
      </c>
    </row>
    <row r="237" spans="1:18" hidden="1" outlineLevel="3">
      <c r="A237" s="1212" t="s">
        <v>717</v>
      </c>
      <c r="B237" s="477" t="s">
        <v>3547</v>
      </c>
      <c r="C237" s="477" t="s">
        <v>3247</v>
      </c>
      <c r="D237" s="477" t="s">
        <v>3552</v>
      </c>
      <c r="E237" s="477"/>
      <c r="F237" s="477"/>
      <c r="G237" s="478"/>
      <c r="H237" s="477"/>
      <c r="I237" s="479">
        <v>378300</v>
      </c>
      <c r="J237" s="479">
        <v>0</v>
      </c>
      <c r="K237" s="479">
        <v>378300</v>
      </c>
      <c r="L237" s="479">
        <v>0</v>
      </c>
      <c r="M237" s="479">
        <v>378300</v>
      </c>
      <c r="N237" s="479">
        <v>378300</v>
      </c>
      <c r="O237" s="479">
        <v>315185.59999999998</v>
      </c>
      <c r="P237" s="479"/>
      <c r="Q237" s="479">
        <v>147160.26999999999</v>
      </c>
      <c r="R237" s="1211">
        <v>63114.400000000001</v>
      </c>
    </row>
    <row r="238" spans="1:18" hidden="1" outlineLevel="4">
      <c r="A238" s="1210" t="s">
        <v>717</v>
      </c>
      <c r="B238" s="482" t="s">
        <v>3547</v>
      </c>
      <c r="C238" s="482" t="s">
        <v>3247</v>
      </c>
      <c r="D238" s="482" t="s">
        <v>3552</v>
      </c>
      <c r="E238" s="482" t="s">
        <v>3550</v>
      </c>
      <c r="F238" s="482"/>
      <c r="G238" s="831"/>
      <c r="H238" s="482"/>
      <c r="I238" s="484">
        <v>378300</v>
      </c>
      <c r="J238" s="484">
        <v>0</v>
      </c>
      <c r="K238" s="484">
        <v>378300</v>
      </c>
      <c r="L238" s="484">
        <v>0</v>
      </c>
      <c r="M238" s="484">
        <v>378300</v>
      </c>
      <c r="N238" s="484">
        <v>378300</v>
      </c>
      <c r="O238" s="484">
        <v>315185.59999999998</v>
      </c>
      <c r="P238" s="484"/>
      <c r="Q238" s="484">
        <v>147160.26999999999</v>
      </c>
      <c r="R238" s="1209">
        <v>63114.400000000001</v>
      </c>
    </row>
    <row r="239" spans="1:18" ht="38.25" hidden="1" outlineLevel="5">
      <c r="A239" s="1208" t="s">
        <v>717</v>
      </c>
      <c r="B239" s="1206" t="s">
        <v>3547</v>
      </c>
      <c r="C239" s="1206" t="s">
        <v>3247</v>
      </c>
      <c r="D239" s="1206" t="s">
        <v>3552</v>
      </c>
      <c r="E239" s="1206" t="s">
        <v>3550</v>
      </c>
      <c r="F239" s="1206" t="s">
        <v>3246</v>
      </c>
      <c r="G239" s="1207" t="s">
        <v>3245</v>
      </c>
      <c r="H239" s="1206"/>
      <c r="I239" s="1205">
        <v>0</v>
      </c>
      <c r="J239" s="1205">
        <v>0</v>
      </c>
      <c r="K239" s="1205">
        <v>0</v>
      </c>
      <c r="L239" s="1205">
        <v>0</v>
      </c>
      <c r="M239" s="1205">
        <v>0</v>
      </c>
      <c r="N239" s="1205">
        <v>0</v>
      </c>
      <c r="O239" s="1205">
        <v>0</v>
      </c>
      <c r="P239" s="1205"/>
      <c r="Q239" s="1205">
        <v>147160.26999999999</v>
      </c>
      <c r="R239" s="1204">
        <v>0</v>
      </c>
    </row>
    <row r="240" spans="1:18" ht="38.25" hidden="1" outlineLevel="5">
      <c r="A240" s="1208" t="s">
        <v>717</v>
      </c>
      <c r="B240" s="1206" t="s">
        <v>3547</v>
      </c>
      <c r="C240" s="1206" t="s">
        <v>3247</v>
      </c>
      <c r="D240" s="1206" t="s">
        <v>3552</v>
      </c>
      <c r="E240" s="1206" t="s">
        <v>3550</v>
      </c>
      <c r="F240" s="1206" t="s">
        <v>3246</v>
      </c>
      <c r="G240" s="1207" t="s">
        <v>3245</v>
      </c>
      <c r="H240" s="1206" t="s">
        <v>3241</v>
      </c>
      <c r="I240" s="1205">
        <v>378300</v>
      </c>
      <c r="J240" s="1205">
        <v>0</v>
      </c>
      <c r="K240" s="1205">
        <v>378300</v>
      </c>
      <c r="L240" s="1205">
        <v>0</v>
      </c>
      <c r="M240" s="1205">
        <v>378300</v>
      </c>
      <c r="N240" s="1205">
        <v>378300</v>
      </c>
      <c r="O240" s="1205">
        <v>315185.59999999998</v>
      </c>
      <c r="P240" s="1205"/>
      <c r="Q240" s="1205">
        <v>0</v>
      </c>
      <c r="R240" s="1204">
        <v>63114.400000000001</v>
      </c>
    </row>
    <row r="241" spans="1:18" hidden="1" outlineLevel="2">
      <c r="A241" s="1214" t="s">
        <v>717</v>
      </c>
      <c r="B241" s="472" t="s">
        <v>3547</v>
      </c>
      <c r="C241" s="472" t="s">
        <v>2471</v>
      </c>
      <c r="D241" s="472"/>
      <c r="E241" s="472"/>
      <c r="F241" s="472"/>
      <c r="G241" s="473"/>
      <c r="H241" s="472"/>
      <c r="I241" s="474">
        <v>0</v>
      </c>
      <c r="J241" s="474">
        <v>3384765.44</v>
      </c>
      <c r="K241" s="474">
        <v>3384765.44</v>
      </c>
      <c r="L241" s="474">
        <v>0</v>
      </c>
      <c r="M241" s="474">
        <v>3384765.44</v>
      </c>
      <c r="N241" s="474">
        <v>3384765.44</v>
      </c>
      <c r="O241" s="474">
        <v>3384765.44</v>
      </c>
      <c r="P241" s="474"/>
      <c r="Q241" s="474">
        <v>2871665.34</v>
      </c>
      <c r="R241" s="1213">
        <v>0</v>
      </c>
    </row>
    <row r="242" spans="1:18" hidden="1" outlineLevel="3">
      <c r="A242" s="1212" t="s">
        <v>717</v>
      </c>
      <c r="B242" s="477" t="s">
        <v>3547</v>
      </c>
      <c r="C242" s="477" t="s">
        <v>2471</v>
      </c>
      <c r="D242" s="477" t="s">
        <v>3548</v>
      </c>
      <c r="E242" s="477"/>
      <c r="F242" s="477"/>
      <c r="G242" s="478"/>
      <c r="H242" s="477"/>
      <c r="I242" s="479">
        <v>0</v>
      </c>
      <c r="J242" s="479">
        <v>1617356.48</v>
      </c>
      <c r="K242" s="479">
        <v>1617356.48</v>
      </c>
      <c r="L242" s="479">
        <v>0</v>
      </c>
      <c r="M242" s="479">
        <v>1617356.48</v>
      </c>
      <c r="N242" s="479">
        <v>1617356.48</v>
      </c>
      <c r="O242" s="479">
        <v>1617356.48</v>
      </c>
      <c r="P242" s="479"/>
      <c r="Q242" s="479">
        <v>1529844.54</v>
      </c>
      <c r="R242" s="1211">
        <v>0</v>
      </c>
    </row>
    <row r="243" spans="1:18" hidden="1" outlineLevel="4">
      <c r="A243" s="1210" t="s">
        <v>717</v>
      </c>
      <c r="B243" s="482" t="s">
        <v>3547</v>
      </c>
      <c r="C243" s="482" t="s">
        <v>2471</v>
      </c>
      <c r="D243" s="482" t="s">
        <v>3548</v>
      </c>
      <c r="E243" s="482" t="s">
        <v>3550</v>
      </c>
      <c r="F243" s="482"/>
      <c r="G243" s="831"/>
      <c r="H243" s="482"/>
      <c r="I243" s="484">
        <v>0</v>
      </c>
      <c r="J243" s="484">
        <v>1617356.48</v>
      </c>
      <c r="K243" s="484">
        <v>1617356.48</v>
      </c>
      <c r="L243" s="484">
        <v>0</v>
      </c>
      <c r="M243" s="484">
        <v>1617356.48</v>
      </c>
      <c r="N243" s="484">
        <v>1617356.48</v>
      </c>
      <c r="O243" s="484">
        <v>1617356.48</v>
      </c>
      <c r="P243" s="484"/>
      <c r="Q243" s="484">
        <v>1529844.54</v>
      </c>
      <c r="R243" s="1209">
        <v>0</v>
      </c>
    </row>
    <row r="244" spans="1:18" hidden="1" outlineLevel="5">
      <c r="A244" s="1208" t="s">
        <v>717</v>
      </c>
      <c r="B244" s="1206" t="s">
        <v>3547</v>
      </c>
      <c r="C244" s="1206" t="s">
        <v>2471</v>
      </c>
      <c r="D244" s="1206" t="s">
        <v>3548</v>
      </c>
      <c r="E244" s="1206" t="s">
        <v>3550</v>
      </c>
      <c r="F244" s="1206"/>
      <c r="G244" s="1207"/>
      <c r="H244" s="1206"/>
      <c r="I244" s="1205">
        <v>0</v>
      </c>
      <c r="J244" s="1205">
        <v>0</v>
      </c>
      <c r="K244" s="1205">
        <v>0</v>
      </c>
      <c r="L244" s="1205">
        <v>0</v>
      </c>
      <c r="M244" s="1205">
        <v>0</v>
      </c>
      <c r="N244" s="1205">
        <v>0</v>
      </c>
      <c r="O244" s="1205">
        <v>0</v>
      </c>
      <c r="P244" s="1205"/>
      <c r="Q244" s="1205">
        <v>1442241.98</v>
      </c>
      <c r="R244" s="1204">
        <v>0</v>
      </c>
    </row>
    <row r="245" spans="1:18" ht="127.5" hidden="1" outlineLevel="5">
      <c r="A245" s="1208" t="s">
        <v>717</v>
      </c>
      <c r="B245" s="1206" t="s">
        <v>3547</v>
      </c>
      <c r="C245" s="1206" t="s">
        <v>2471</v>
      </c>
      <c r="D245" s="1206" t="s">
        <v>3548</v>
      </c>
      <c r="E245" s="1206" t="s">
        <v>3550</v>
      </c>
      <c r="F245" s="1206" t="s">
        <v>3243</v>
      </c>
      <c r="G245" s="1207" t="s">
        <v>3549</v>
      </c>
      <c r="H245" s="1206"/>
      <c r="I245" s="1205">
        <v>0</v>
      </c>
      <c r="J245" s="1205">
        <v>0</v>
      </c>
      <c r="K245" s="1205">
        <v>0</v>
      </c>
      <c r="L245" s="1205">
        <v>0</v>
      </c>
      <c r="M245" s="1205">
        <v>0</v>
      </c>
      <c r="N245" s="1205">
        <v>0</v>
      </c>
      <c r="O245" s="1205">
        <v>0</v>
      </c>
      <c r="P245" s="1205"/>
      <c r="Q245" s="1205">
        <v>87602.559999999998</v>
      </c>
      <c r="R245" s="1204">
        <v>0</v>
      </c>
    </row>
    <row r="246" spans="1:18" ht="127.5" hidden="1" outlineLevel="5">
      <c r="A246" s="1208" t="s">
        <v>717</v>
      </c>
      <c r="B246" s="1206" t="s">
        <v>3547</v>
      </c>
      <c r="C246" s="1206" t="s">
        <v>2471</v>
      </c>
      <c r="D246" s="1206" t="s">
        <v>3548</v>
      </c>
      <c r="E246" s="1206" t="s">
        <v>3550</v>
      </c>
      <c r="F246" s="1206" t="s">
        <v>3243</v>
      </c>
      <c r="G246" s="1207" t="s">
        <v>3549</v>
      </c>
      <c r="H246" s="1206" t="s">
        <v>3241</v>
      </c>
      <c r="I246" s="1205">
        <v>0</v>
      </c>
      <c r="J246" s="1205">
        <v>1617356.48</v>
      </c>
      <c r="K246" s="1205">
        <v>1617356.48</v>
      </c>
      <c r="L246" s="1205">
        <v>0</v>
      </c>
      <c r="M246" s="1205">
        <v>1617356.48</v>
      </c>
      <c r="N246" s="1205">
        <v>1617356.48</v>
      </c>
      <c r="O246" s="1205">
        <v>1617356.48</v>
      </c>
      <c r="P246" s="1205"/>
      <c r="Q246" s="1205">
        <v>0</v>
      </c>
      <c r="R246" s="1204">
        <v>0</v>
      </c>
    </row>
    <row r="247" spans="1:18" hidden="1" outlineLevel="3">
      <c r="A247" s="1212" t="s">
        <v>717</v>
      </c>
      <c r="B247" s="477" t="s">
        <v>3547</v>
      </c>
      <c r="C247" s="477" t="s">
        <v>2471</v>
      </c>
      <c r="D247" s="477" t="s">
        <v>3545</v>
      </c>
      <c r="E247" s="477"/>
      <c r="F247" s="477"/>
      <c r="G247" s="478"/>
      <c r="H247" s="477"/>
      <c r="I247" s="479">
        <v>0</v>
      </c>
      <c r="J247" s="479">
        <v>465774.76</v>
      </c>
      <c r="K247" s="479">
        <v>465774.76</v>
      </c>
      <c r="L247" s="479">
        <v>0</v>
      </c>
      <c r="M247" s="479">
        <v>465774.76</v>
      </c>
      <c r="N247" s="479">
        <v>465774.76</v>
      </c>
      <c r="O247" s="479">
        <v>465774.76</v>
      </c>
      <c r="P247" s="479"/>
      <c r="Q247" s="479">
        <v>434015.4</v>
      </c>
      <c r="R247" s="1211">
        <v>0</v>
      </c>
    </row>
    <row r="248" spans="1:18" hidden="1" outlineLevel="4">
      <c r="A248" s="1210" t="s">
        <v>717</v>
      </c>
      <c r="B248" s="482" t="s">
        <v>3547</v>
      </c>
      <c r="C248" s="482" t="s">
        <v>2471</v>
      </c>
      <c r="D248" s="482" t="s">
        <v>3545</v>
      </c>
      <c r="E248" s="482" t="s">
        <v>3550</v>
      </c>
      <c r="F248" s="482"/>
      <c r="G248" s="831"/>
      <c r="H248" s="482"/>
      <c r="I248" s="484">
        <v>0</v>
      </c>
      <c r="J248" s="484">
        <v>465774.76</v>
      </c>
      <c r="K248" s="484">
        <v>465774.76</v>
      </c>
      <c r="L248" s="484">
        <v>0</v>
      </c>
      <c r="M248" s="484">
        <v>465774.76</v>
      </c>
      <c r="N248" s="484">
        <v>465774.76</v>
      </c>
      <c r="O248" s="484">
        <v>465774.76</v>
      </c>
      <c r="P248" s="484"/>
      <c r="Q248" s="484">
        <v>434015.4</v>
      </c>
      <c r="R248" s="1209">
        <v>0</v>
      </c>
    </row>
    <row r="249" spans="1:18" ht="127.5" hidden="1" outlineLevel="5">
      <c r="A249" s="1208" t="s">
        <v>717</v>
      </c>
      <c r="B249" s="1206" t="s">
        <v>3547</v>
      </c>
      <c r="C249" s="1206" t="s">
        <v>2471</v>
      </c>
      <c r="D249" s="1206" t="s">
        <v>3545</v>
      </c>
      <c r="E249" s="1206" t="s">
        <v>3550</v>
      </c>
      <c r="F249" s="1206" t="s">
        <v>3243</v>
      </c>
      <c r="G249" s="1207" t="s">
        <v>3549</v>
      </c>
      <c r="H249" s="1206"/>
      <c r="I249" s="1205">
        <v>0</v>
      </c>
      <c r="J249" s="1205">
        <v>0</v>
      </c>
      <c r="K249" s="1205">
        <v>0</v>
      </c>
      <c r="L249" s="1205">
        <v>0</v>
      </c>
      <c r="M249" s="1205">
        <v>0</v>
      </c>
      <c r="N249" s="1205">
        <v>0</v>
      </c>
      <c r="O249" s="1205">
        <v>0</v>
      </c>
      <c r="P249" s="1205"/>
      <c r="Q249" s="1205">
        <v>434015.4</v>
      </c>
      <c r="R249" s="1204">
        <v>0</v>
      </c>
    </row>
    <row r="250" spans="1:18" ht="127.5" hidden="1" outlineLevel="5">
      <c r="A250" s="1208" t="s">
        <v>717</v>
      </c>
      <c r="B250" s="1206" t="s">
        <v>3547</v>
      </c>
      <c r="C250" s="1206" t="s">
        <v>2471</v>
      </c>
      <c r="D250" s="1206" t="s">
        <v>3545</v>
      </c>
      <c r="E250" s="1206" t="s">
        <v>3550</v>
      </c>
      <c r="F250" s="1206" t="s">
        <v>3243</v>
      </c>
      <c r="G250" s="1207" t="s">
        <v>3549</v>
      </c>
      <c r="H250" s="1206" t="s">
        <v>3241</v>
      </c>
      <c r="I250" s="1205">
        <v>0</v>
      </c>
      <c r="J250" s="1205">
        <v>465774.76</v>
      </c>
      <c r="K250" s="1205">
        <v>465774.76</v>
      </c>
      <c r="L250" s="1205">
        <v>0</v>
      </c>
      <c r="M250" s="1205">
        <v>465774.76</v>
      </c>
      <c r="N250" s="1205">
        <v>465774.76</v>
      </c>
      <c r="O250" s="1205">
        <v>465774.76</v>
      </c>
      <c r="P250" s="1205"/>
      <c r="Q250" s="1205">
        <v>0</v>
      </c>
      <c r="R250" s="1204">
        <v>0</v>
      </c>
    </row>
    <row r="251" spans="1:18" hidden="1" outlineLevel="3">
      <c r="A251" s="1212" t="s">
        <v>717</v>
      </c>
      <c r="B251" s="477" t="s">
        <v>3547</v>
      </c>
      <c r="C251" s="477" t="s">
        <v>2471</v>
      </c>
      <c r="D251" s="477" t="s">
        <v>3551</v>
      </c>
      <c r="E251" s="477"/>
      <c r="F251" s="477"/>
      <c r="G251" s="478"/>
      <c r="H251" s="477"/>
      <c r="I251" s="479">
        <v>0</v>
      </c>
      <c r="J251" s="479">
        <v>1301634.2</v>
      </c>
      <c r="K251" s="479">
        <v>1301634.2</v>
      </c>
      <c r="L251" s="479">
        <v>0</v>
      </c>
      <c r="M251" s="479">
        <v>1301634.2</v>
      </c>
      <c r="N251" s="479">
        <v>1301634.2</v>
      </c>
      <c r="O251" s="479">
        <v>1301634.2</v>
      </c>
      <c r="P251" s="479"/>
      <c r="Q251" s="479">
        <v>907805.4</v>
      </c>
      <c r="R251" s="1211">
        <v>0</v>
      </c>
    </row>
    <row r="252" spans="1:18" hidden="1" outlineLevel="4">
      <c r="A252" s="1210" t="s">
        <v>717</v>
      </c>
      <c r="B252" s="482" t="s">
        <v>3547</v>
      </c>
      <c r="C252" s="482" t="s">
        <v>2471</v>
      </c>
      <c r="D252" s="482" t="s">
        <v>3551</v>
      </c>
      <c r="E252" s="482" t="s">
        <v>3550</v>
      </c>
      <c r="F252" s="482"/>
      <c r="G252" s="831"/>
      <c r="H252" s="482"/>
      <c r="I252" s="484">
        <v>0</v>
      </c>
      <c r="J252" s="484">
        <v>1301634.2</v>
      </c>
      <c r="K252" s="484">
        <v>1301634.2</v>
      </c>
      <c r="L252" s="484">
        <v>0</v>
      </c>
      <c r="M252" s="484">
        <v>1301634.2</v>
      </c>
      <c r="N252" s="484">
        <v>1301634.2</v>
      </c>
      <c r="O252" s="484">
        <v>1301634.2</v>
      </c>
      <c r="P252" s="484"/>
      <c r="Q252" s="484">
        <v>907805.4</v>
      </c>
      <c r="R252" s="1209">
        <v>0</v>
      </c>
    </row>
    <row r="253" spans="1:18" ht="127.5" hidden="1" outlineLevel="5">
      <c r="A253" s="1208" t="s">
        <v>717</v>
      </c>
      <c r="B253" s="1206" t="s">
        <v>3547</v>
      </c>
      <c r="C253" s="1206" t="s">
        <v>2471</v>
      </c>
      <c r="D253" s="1206" t="s">
        <v>3551</v>
      </c>
      <c r="E253" s="1206" t="s">
        <v>3550</v>
      </c>
      <c r="F253" s="1206" t="s">
        <v>3243</v>
      </c>
      <c r="G253" s="1207" t="s">
        <v>3549</v>
      </c>
      <c r="H253" s="1206"/>
      <c r="I253" s="1205">
        <v>0</v>
      </c>
      <c r="J253" s="1205">
        <v>0</v>
      </c>
      <c r="K253" s="1205">
        <v>0</v>
      </c>
      <c r="L253" s="1205">
        <v>0</v>
      </c>
      <c r="M253" s="1205">
        <v>0</v>
      </c>
      <c r="N253" s="1205">
        <v>0</v>
      </c>
      <c r="O253" s="1205">
        <v>0</v>
      </c>
      <c r="P253" s="1205"/>
      <c r="Q253" s="1205">
        <v>907805.4</v>
      </c>
      <c r="R253" s="1204">
        <v>0</v>
      </c>
    </row>
    <row r="254" spans="1:18" ht="127.5" hidden="1" outlineLevel="5">
      <c r="A254" s="1208" t="s">
        <v>717</v>
      </c>
      <c r="B254" s="1206" t="s">
        <v>3547</v>
      </c>
      <c r="C254" s="1206" t="s">
        <v>2471</v>
      </c>
      <c r="D254" s="1206" t="s">
        <v>3551</v>
      </c>
      <c r="E254" s="1206" t="s">
        <v>3550</v>
      </c>
      <c r="F254" s="1206" t="s">
        <v>3243</v>
      </c>
      <c r="G254" s="1207" t="s">
        <v>3549</v>
      </c>
      <c r="H254" s="1206" t="s">
        <v>3241</v>
      </c>
      <c r="I254" s="1205">
        <v>0</v>
      </c>
      <c r="J254" s="1205">
        <v>1301634.2</v>
      </c>
      <c r="K254" s="1205">
        <v>1301634.2</v>
      </c>
      <c r="L254" s="1205">
        <v>0</v>
      </c>
      <c r="M254" s="1205">
        <v>1301634.2</v>
      </c>
      <c r="N254" s="1205">
        <v>1301634.2</v>
      </c>
      <c r="O254" s="1205">
        <v>1301634.2</v>
      </c>
      <c r="P254" s="1205"/>
      <c r="Q254" s="1205">
        <v>0</v>
      </c>
      <c r="R254" s="1204">
        <v>0</v>
      </c>
    </row>
    <row r="255" spans="1:18" hidden="1" outlineLevel="2">
      <c r="A255" s="1214" t="s">
        <v>717</v>
      </c>
      <c r="B255" s="472" t="s">
        <v>3547</v>
      </c>
      <c r="C255" s="472" t="s">
        <v>3546</v>
      </c>
      <c r="D255" s="472"/>
      <c r="E255" s="472"/>
      <c r="F255" s="472"/>
      <c r="G255" s="473"/>
      <c r="H255" s="472"/>
      <c r="I255" s="474">
        <v>0</v>
      </c>
      <c r="J255" s="474">
        <v>2479708</v>
      </c>
      <c r="K255" s="474">
        <v>2479708</v>
      </c>
      <c r="L255" s="474">
        <v>0</v>
      </c>
      <c r="M255" s="474">
        <v>2479708</v>
      </c>
      <c r="N255" s="474">
        <v>2479708</v>
      </c>
      <c r="O255" s="474">
        <v>2479708</v>
      </c>
      <c r="P255" s="474"/>
      <c r="Q255" s="474">
        <v>2204744.91</v>
      </c>
      <c r="R255" s="1213">
        <v>0</v>
      </c>
    </row>
    <row r="256" spans="1:18" hidden="1" outlineLevel="3">
      <c r="A256" s="1212" t="s">
        <v>717</v>
      </c>
      <c r="B256" s="477" t="s">
        <v>3547</v>
      </c>
      <c r="C256" s="477" t="s">
        <v>3546</v>
      </c>
      <c r="D256" s="477" t="s">
        <v>3548</v>
      </c>
      <c r="E256" s="477"/>
      <c r="F256" s="477"/>
      <c r="G256" s="478"/>
      <c r="H256" s="477"/>
      <c r="I256" s="479">
        <v>0</v>
      </c>
      <c r="J256" s="479">
        <v>2083073.18</v>
      </c>
      <c r="K256" s="479">
        <v>2083073.18</v>
      </c>
      <c r="L256" s="479">
        <v>0</v>
      </c>
      <c r="M256" s="479">
        <v>2083073.18</v>
      </c>
      <c r="N256" s="479">
        <v>2083073.18</v>
      </c>
      <c r="O256" s="479">
        <v>2083073.18</v>
      </c>
      <c r="P256" s="479"/>
      <c r="Q256" s="479">
        <v>1812276.18</v>
      </c>
      <c r="R256" s="1211">
        <v>0</v>
      </c>
    </row>
    <row r="257" spans="1:18" hidden="1" outlineLevel="4">
      <c r="A257" s="1210" t="s">
        <v>717</v>
      </c>
      <c r="B257" s="482" t="s">
        <v>3547</v>
      </c>
      <c r="C257" s="482" t="s">
        <v>3546</v>
      </c>
      <c r="D257" s="482" t="s">
        <v>3548</v>
      </c>
      <c r="E257" s="482" t="s">
        <v>3544</v>
      </c>
      <c r="F257" s="482"/>
      <c r="G257" s="831"/>
      <c r="H257" s="482"/>
      <c r="I257" s="484">
        <v>0</v>
      </c>
      <c r="J257" s="484">
        <v>2083073.18</v>
      </c>
      <c r="K257" s="484">
        <v>2083073.18</v>
      </c>
      <c r="L257" s="484">
        <v>0</v>
      </c>
      <c r="M257" s="484">
        <v>2083073.18</v>
      </c>
      <c r="N257" s="484">
        <v>2083073.18</v>
      </c>
      <c r="O257" s="484">
        <v>2083073.18</v>
      </c>
      <c r="P257" s="484"/>
      <c r="Q257" s="484">
        <v>1812276.18</v>
      </c>
      <c r="R257" s="1209">
        <v>0</v>
      </c>
    </row>
    <row r="258" spans="1:18" ht="38.25" hidden="1" outlineLevel="5">
      <c r="A258" s="1208" t="s">
        <v>717</v>
      </c>
      <c r="B258" s="1206" t="s">
        <v>3547</v>
      </c>
      <c r="C258" s="1206" t="s">
        <v>3546</v>
      </c>
      <c r="D258" s="1206" t="s">
        <v>3548</v>
      </c>
      <c r="E258" s="1206" t="s">
        <v>3544</v>
      </c>
      <c r="F258" s="1206" t="s">
        <v>3543</v>
      </c>
      <c r="G258" s="1207" t="s">
        <v>3542</v>
      </c>
      <c r="H258" s="1206"/>
      <c r="I258" s="1205">
        <v>0</v>
      </c>
      <c r="J258" s="1205">
        <v>0</v>
      </c>
      <c r="K258" s="1205">
        <v>0</v>
      </c>
      <c r="L258" s="1205">
        <v>0</v>
      </c>
      <c r="M258" s="1205">
        <v>0</v>
      </c>
      <c r="N258" s="1205">
        <v>0</v>
      </c>
      <c r="O258" s="1205">
        <v>0</v>
      </c>
      <c r="P258" s="1205"/>
      <c r="Q258" s="1205">
        <v>1812276.18</v>
      </c>
      <c r="R258" s="1204">
        <v>0</v>
      </c>
    </row>
    <row r="259" spans="1:18" ht="38.25" hidden="1" outlineLevel="5">
      <c r="A259" s="1208" t="s">
        <v>717</v>
      </c>
      <c r="B259" s="1206" t="s">
        <v>3547</v>
      </c>
      <c r="C259" s="1206" t="s">
        <v>3546</v>
      </c>
      <c r="D259" s="1206" t="s">
        <v>3548</v>
      </c>
      <c r="E259" s="1206" t="s">
        <v>3544</v>
      </c>
      <c r="F259" s="1206" t="s">
        <v>3543</v>
      </c>
      <c r="G259" s="1207" t="s">
        <v>3542</v>
      </c>
      <c r="H259" s="1206" t="s">
        <v>3257</v>
      </c>
      <c r="I259" s="1205">
        <v>0</v>
      </c>
      <c r="J259" s="1205">
        <v>2083073.18</v>
      </c>
      <c r="K259" s="1205">
        <v>2083073.18</v>
      </c>
      <c r="L259" s="1205">
        <v>0</v>
      </c>
      <c r="M259" s="1205">
        <v>2083073.18</v>
      </c>
      <c r="N259" s="1205">
        <v>2083073.18</v>
      </c>
      <c r="O259" s="1205">
        <v>2083073.18</v>
      </c>
      <c r="P259" s="1205"/>
      <c r="Q259" s="1205">
        <v>0</v>
      </c>
      <c r="R259" s="1204">
        <v>0</v>
      </c>
    </row>
    <row r="260" spans="1:18" hidden="1" outlineLevel="3">
      <c r="A260" s="1212" t="s">
        <v>717</v>
      </c>
      <c r="B260" s="477" t="s">
        <v>3547</v>
      </c>
      <c r="C260" s="477" t="s">
        <v>3546</v>
      </c>
      <c r="D260" s="477" t="s">
        <v>3545</v>
      </c>
      <c r="E260" s="477"/>
      <c r="F260" s="477"/>
      <c r="G260" s="478"/>
      <c r="H260" s="477"/>
      <c r="I260" s="479">
        <v>0</v>
      </c>
      <c r="J260" s="479">
        <v>396634.82</v>
      </c>
      <c r="K260" s="479">
        <v>396634.82</v>
      </c>
      <c r="L260" s="479">
        <v>0</v>
      </c>
      <c r="M260" s="479">
        <v>396634.82</v>
      </c>
      <c r="N260" s="479">
        <v>396634.82</v>
      </c>
      <c r="O260" s="479">
        <v>396634.82</v>
      </c>
      <c r="P260" s="479"/>
      <c r="Q260" s="479">
        <v>392468.73</v>
      </c>
      <c r="R260" s="1211">
        <v>0</v>
      </c>
    </row>
    <row r="261" spans="1:18" hidden="1" outlineLevel="4">
      <c r="A261" s="1210" t="s">
        <v>717</v>
      </c>
      <c r="B261" s="482" t="s">
        <v>3547</v>
      </c>
      <c r="C261" s="482" t="s">
        <v>3546</v>
      </c>
      <c r="D261" s="482" t="s">
        <v>3545</v>
      </c>
      <c r="E261" s="482" t="s">
        <v>3544</v>
      </c>
      <c r="F261" s="482"/>
      <c r="G261" s="831"/>
      <c r="H261" s="482"/>
      <c r="I261" s="484">
        <v>0</v>
      </c>
      <c r="J261" s="484">
        <v>396634.82</v>
      </c>
      <c r="K261" s="484">
        <v>396634.82</v>
      </c>
      <c r="L261" s="484">
        <v>0</v>
      </c>
      <c r="M261" s="484">
        <v>396634.82</v>
      </c>
      <c r="N261" s="484">
        <v>396634.82</v>
      </c>
      <c r="O261" s="484">
        <v>396634.82</v>
      </c>
      <c r="P261" s="484"/>
      <c r="Q261" s="484">
        <v>392468.73</v>
      </c>
      <c r="R261" s="1209">
        <v>0</v>
      </c>
    </row>
    <row r="262" spans="1:18" hidden="1" outlineLevel="5">
      <c r="A262" s="1208" t="s">
        <v>717</v>
      </c>
      <c r="B262" s="1206" t="s">
        <v>3547</v>
      </c>
      <c r="C262" s="1206" t="s">
        <v>3546</v>
      </c>
      <c r="D262" s="1206" t="s">
        <v>3545</v>
      </c>
      <c r="E262" s="1206" t="s">
        <v>3544</v>
      </c>
      <c r="F262" s="1206"/>
      <c r="G262" s="1207"/>
      <c r="H262" s="1206"/>
      <c r="I262" s="1205">
        <v>0</v>
      </c>
      <c r="J262" s="1205">
        <v>0</v>
      </c>
      <c r="K262" s="1205">
        <v>0</v>
      </c>
      <c r="L262" s="1205">
        <v>0</v>
      </c>
      <c r="M262" s="1205">
        <v>0</v>
      </c>
      <c r="N262" s="1205">
        <v>0</v>
      </c>
      <c r="O262" s="1205">
        <v>0</v>
      </c>
      <c r="P262" s="1205"/>
      <c r="Q262" s="1205">
        <v>392468.73</v>
      </c>
      <c r="R262" s="1204">
        <v>0</v>
      </c>
    </row>
    <row r="263" spans="1:18" ht="38.25" hidden="1" outlineLevel="5">
      <c r="A263" s="1208" t="s">
        <v>717</v>
      </c>
      <c r="B263" s="1206" t="s">
        <v>3547</v>
      </c>
      <c r="C263" s="1206" t="s">
        <v>3546</v>
      </c>
      <c r="D263" s="1206" t="s">
        <v>3545</v>
      </c>
      <c r="E263" s="1206" t="s">
        <v>3544</v>
      </c>
      <c r="F263" s="1206" t="s">
        <v>3543</v>
      </c>
      <c r="G263" s="1207" t="s">
        <v>3542</v>
      </c>
      <c r="H263" s="1206" t="s">
        <v>3257</v>
      </c>
      <c r="I263" s="1205">
        <v>0</v>
      </c>
      <c r="J263" s="1205">
        <v>396634.82</v>
      </c>
      <c r="K263" s="1205">
        <v>396634.82</v>
      </c>
      <c r="L263" s="1205">
        <v>0</v>
      </c>
      <c r="M263" s="1205">
        <v>396634.82</v>
      </c>
      <c r="N263" s="1205">
        <v>396634.82</v>
      </c>
      <c r="O263" s="1205">
        <v>396634.82</v>
      </c>
      <c r="P263" s="1205"/>
      <c r="Q263" s="1205">
        <v>0</v>
      </c>
      <c r="R263" s="1204">
        <v>0</v>
      </c>
    </row>
    <row r="264" spans="1:18" ht="15.75" collapsed="1" thickBot="1">
      <c r="A264" s="486"/>
      <c r="B264" s="487"/>
      <c r="C264" s="487"/>
      <c r="D264" s="487"/>
      <c r="E264" s="487"/>
      <c r="F264" s="487"/>
      <c r="G264" s="487"/>
      <c r="H264" s="487"/>
      <c r="I264" s="487"/>
      <c r="J264" s="487"/>
      <c r="K264" s="487"/>
      <c r="L264" s="487"/>
      <c r="M264" s="487"/>
      <c r="N264" s="487"/>
      <c r="O264" s="487"/>
      <c r="P264" s="487"/>
      <c r="Q264" s="487"/>
      <c r="R264" s="488"/>
    </row>
    <row r="265" spans="1:18" ht="15.75" thickBot="1">
      <c r="A265" s="489" t="s">
        <v>2525</v>
      </c>
      <c r="B265" s="490"/>
      <c r="C265" s="490"/>
      <c r="D265" s="490"/>
      <c r="E265" s="490"/>
      <c r="F265" s="490"/>
      <c r="G265" s="490"/>
      <c r="H265" s="490"/>
      <c r="I265" s="1203">
        <v>1345983197</v>
      </c>
      <c r="J265" s="1203">
        <v>106980627.06999999</v>
      </c>
      <c r="K265" s="1203">
        <f>K55+K62+K91+K176+K188</f>
        <v>24098940.260000002</v>
      </c>
      <c r="L265" s="1203">
        <f t="shared" ref="L265:R265" si="0">L55+L62+L91+L176+L188</f>
        <v>21631909.68</v>
      </c>
      <c r="M265" s="1203">
        <f t="shared" si="0"/>
        <v>2461987.0600000005</v>
      </c>
      <c r="N265" s="1203">
        <f t="shared" si="0"/>
        <v>24093896.740000002</v>
      </c>
      <c r="O265" s="1203">
        <f t="shared" si="0"/>
        <v>21037154.940000001</v>
      </c>
      <c r="P265" s="1203"/>
      <c r="Q265" s="1203">
        <f t="shared" si="0"/>
        <v>21037154.940000001</v>
      </c>
      <c r="R265" s="1203">
        <f t="shared" si="0"/>
        <v>3061785.3200000003</v>
      </c>
    </row>
    <row r="266" spans="1:18">
      <c r="A266" s="493"/>
      <c r="B266" s="493"/>
      <c r="C266" s="493"/>
      <c r="D266" s="493"/>
      <c r="E266" s="493"/>
      <c r="F266" s="493"/>
      <c r="G266" s="1201" t="s">
        <v>3541</v>
      </c>
      <c r="H266" s="1200" t="s">
        <v>10</v>
      </c>
      <c r="I266" s="493"/>
      <c r="J266" s="493"/>
      <c r="K266" s="1199">
        <f>K71+K186+K197</f>
        <v>12210214.850000001</v>
      </c>
      <c r="L266" s="1199">
        <f t="shared" ref="L266:R266" si="1">L71+L186+L197</f>
        <v>0</v>
      </c>
      <c r="M266" s="1199">
        <f t="shared" si="1"/>
        <v>12210214.850000001</v>
      </c>
      <c r="N266" s="1199">
        <f t="shared" si="1"/>
        <v>12210214.850000001</v>
      </c>
      <c r="O266" s="1199">
        <f t="shared" si="1"/>
        <v>12203919.789999999</v>
      </c>
      <c r="P266" s="1199"/>
      <c r="Q266" s="1199">
        <f t="shared" si="1"/>
        <v>12203919.789999999</v>
      </c>
      <c r="R266" s="1199">
        <f t="shared" si="1"/>
        <v>6295.06</v>
      </c>
    </row>
    <row r="267" spans="1:18">
      <c r="A267" s="1198"/>
      <c r="B267" s="1196"/>
      <c r="C267" s="1196"/>
      <c r="D267" s="1196"/>
      <c r="E267" s="1196"/>
      <c r="F267" s="1196"/>
      <c r="G267" s="1196"/>
      <c r="H267" s="1197" t="s">
        <v>9</v>
      </c>
      <c r="I267" s="1191"/>
      <c r="J267" s="1191"/>
      <c r="K267" s="1195">
        <f>K265-K266</f>
        <v>11888725.41</v>
      </c>
      <c r="L267" s="1195">
        <f t="shared" ref="L267:R267" si="2">L265-L266</f>
        <v>21631909.68</v>
      </c>
      <c r="M267" s="1195">
        <f t="shared" si="2"/>
        <v>-9748227.790000001</v>
      </c>
      <c r="N267" s="1195">
        <f t="shared" si="2"/>
        <v>11883681.890000001</v>
      </c>
      <c r="O267" s="1195">
        <f t="shared" si="2"/>
        <v>8833235.1500000022</v>
      </c>
      <c r="P267" s="1195"/>
      <c r="Q267" s="1195">
        <f t="shared" si="2"/>
        <v>8833235.1500000022</v>
      </c>
      <c r="R267" s="1195">
        <f t="shared" si="2"/>
        <v>3055490.2600000002</v>
      </c>
    </row>
  </sheetData>
  <autoFilter ref="A5:R263">
    <filterColumn colId="2">
      <customFilters>
        <customFilter val="*P5*"/>
      </customFilters>
    </filterColumn>
  </autoFilter>
  <mergeCells count="3">
    <mergeCell ref="A1:R1"/>
    <mergeCell ref="A2:R2"/>
    <mergeCell ref="A3:R3"/>
  </mergeCells>
  <pageMargins left="0.70866141732283472" right="0.70866141732283472" top="0.15748031496062992" bottom="0.15748031496062992" header="0.31496062992125984" footer="0.31496062992125984"/>
  <pageSetup paperSize="9" scale="67"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70"/>
  <sheetViews>
    <sheetView showGridLines="0" workbookViewId="0">
      <pane ySplit="5" topLeftCell="A102" activePane="bottomLeft" state="frozen"/>
      <selection pane="bottomLeft" activeCell="B100" sqref="B100"/>
    </sheetView>
  </sheetViews>
  <sheetFormatPr defaultColWidth="9.140625" defaultRowHeight="15" outlineLevelRow="5"/>
  <cols>
    <col min="1" max="1" width="6.7109375" style="830" customWidth="1"/>
    <col min="2" max="2" width="7.5703125" style="830" customWidth="1"/>
    <col min="3" max="3" width="11.5703125" style="830" customWidth="1"/>
    <col min="4" max="4" width="6.7109375" style="830" customWidth="1"/>
    <col min="5" max="6" width="10.7109375" style="830" customWidth="1"/>
    <col min="7" max="7" width="40.5703125" style="830" customWidth="1"/>
    <col min="8" max="8" width="13" style="830" customWidth="1"/>
    <col min="9" max="10" width="17.7109375" style="830" hidden="1" customWidth="1"/>
    <col min="11" max="11" width="17.7109375" style="830" customWidth="1"/>
    <col min="12" max="13" width="17.7109375" style="830" hidden="1" customWidth="1"/>
    <col min="14" max="18" width="17.7109375" style="830" customWidth="1"/>
    <col min="19" max="16384" width="9.140625" style="830"/>
  </cols>
  <sheetData>
    <row r="1" spans="1:18" ht="15.95" customHeight="1">
      <c r="A1" s="2385" t="s">
        <v>3605</v>
      </c>
      <c r="B1" s="2386"/>
      <c r="C1" s="2386"/>
      <c r="D1" s="2386"/>
      <c r="E1" s="2386"/>
      <c r="F1" s="2386"/>
      <c r="G1" s="2386"/>
      <c r="H1" s="2386"/>
      <c r="I1" s="2386"/>
      <c r="J1" s="2386"/>
      <c r="K1" s="2386"/>
      <c r="L1" s="2386"/>
      <c r="M1" s="2386"/>
      <c r="N1" s="2386"/>
      <c r="O1" s="2386"/>
      <c r="P1" s="2386"/>
      <c r="Q1" s="2386"/>
      <c r="R1" s="2386"/>
    </row>
    <row r="2" spans="1:18" ht="15.95" customHeight="1">
      <c r="A2" s="2385" t="s">
        <v>3604</v>
      </c>
      <c r="B2" s="2386"/>
      <c r="C2" s="2386"/>
      <c r="D2" s="2386"/>
      <c r="E2" s="2386"/>
      <c r="F2" s="2386"/>
      <c r="G2" s="2386"/>
      <c r="H2" s="2386"/>
      <c r="I2" s="2386"/>
      <c r="J2" s="2386"/>
      <c r="K2" s="2386"/>
      <c r="L2" s="2386"/>
      <c r="M2" s="2386"/>
      <c r="N2" s="2386"/>
      <c r="O2" s="2386"/>
      <c r="P2" s="2386"/>
      <c r="Q2" s="2386"/>
      <c r="R2" s="2386"/>
    </row>
    <row r="3" spans="1:18" ht="15.2" customHeight="1">
      <c r="A3" s="2387" t="s">
        <v>3363</v>
      </c>
      <c r="B3" s="2388"/>
      <c r="C3" s="2388"/>
      <c r="D3" s="2388"/>
      <c r="E3" s="2388"/>
      <c r="F3" s="2388"/>
      <c r="G3" s="2388"/>
      <c r="H3" s="2388"/>
      <c r="I3" s="2388"/>
      <c r="J3" s="2388"/>
      <c r="K3" s="2388"/>
      <c r="L3" s="2388"/>
      <c r="M3" s="2388"/>
      <c r="N3" s="2388"/>
      <c r="O3" s="2388"/>
      <c r="P3" s="2388"/>
      <c r="Q3" s="2388"/>
      <c r="R3" s="2388"/>
    </row>
    <row r="4" spans="1:18" ht="38.25">
      <c r="A4" s="455" t="s">
        <v>680</v>
      </c>
      <c r="B4" s="456" t="s">
        <v>3603</v>
      </c>
      <c r="C4" s="456" t="s">
        <v>3602</v>
      </c>
      <c r="D4" s="456" t="s">
        <v>3601</v>
      </c>
      <c r="E4" s="456" t="s">
        <v>3600</v>
      </c>
      <c r="F4" s="456" t="s">
        <v>3362</v>
      </c>
      <c r="G4" s="456" t="s">
        <v>3599</v>
      </c>
      <c r="H4" s="456" t="s">
        <v>139</v>
      </c>
      <c r="I4" s="456" t="s">
        <v>3598</v>
      </c>
      <c r="J4" s="456" t="s">
        <v>3597</v>
      </c>
      <c r="K4" s="456" t="s">
        <v>3596</v>
      </c>
      <c r="L4" s="456" t="s">
        <v>3595</v>
      </c>
      <c r="M4" s="456" t="s">
        <v>3594</v>
      </c>
      <c r="N4" s="456" t="s">
        <v>3593</v>
      </c>
      <c r="O4" s="456" t="s">
        <v>683</v>
      </c>
      <c r="P4" s="456"/>
      <c r="Q4" s="456" t="s">
        <v>684</v>
      </c>
      <c r="R4" s="457" t="s">
        <v>3592</v>
      </c>
    </row>
    <row r="5" spans="1:18">
      <c r="A5" s="458" t="s">
        <v>687</v>
      </c>
      <c r="B5" s="459" t="s">
        <v>485</v>
      </c>
      <c r="C5" s="459" t="s">
        <v>688</v>
      </c>
      <c r="D5" s="459" t="s">
        <v>689</v>
      </c>
      <c r="E5" s="459" t="s">
        <v>690</v>
      </c>
      <c r="F5" s="459" t="s">
        <v>691</v>
      </c>
      <c r="G5" s="459" t="s">
        <v>692</v>
      </c>
      <c r="H5" s="459" t="s">
        <v>693</v>
      </c>
      <c r="I5" s="459" t="s">
        <v>694</v>
      </c>
      <c r="J5" s="459" t="s">
        <v>695</v>
      </c>
      <c r="K5" s="459" t="s">
        <v>3359</v>
      </c>
      <c r="L5" s="459" t="s">
        <v>3358</v>
      </c>
      <c r="M5" s="459" t="s">
        <v>3591</v>
      </c>
      <c r="N5" s="459" t="s">
        <v>3590</v>
      </c>
      <c r="O5" s="459" t="s">
        <v>3589</v>
      </c>
      <c r="P5" s="459"/>
      <c r="Q5" s="459" t="s">
        <v>3588</v>
      </c>
      <c r="R5" s="460" t="s">
        <v>3587</v>
      </c>
    </row>
    <row r="6" spans="1:18" ht="15.75" thickBot="1">
      <c r="A6" s="1218" t="s">
        <v>717</v>
      </c>
      <c r="B6" s="853"/>
      <c r="C6" s="853"/>
      <c r="D6" s="853"/>
      <c r="E6" s="853"/>
      <c r="F6" s="853"/>
      <c r="G6" s="463"/>
      <c r="H6" s="853"/>
      <c r="I6" s="852">
        <v>1345983197</v>
      </c>
      <c r="J6" s="852">
        <v>106980627.06999999</v>
      </c>
      <c r="K6" s="852">
        <v>1452963824.0699999</v>
      </c>
      <c r="L6" s="852">
        <v>105730101.17</v>
      </c>
      <c r="M6" s="852">
        <v>1325875423.24</v>
      </c>
      <c r="N6" s="852">
        <v>1431605524.4100001</v>
      </c>
      <c r="O6" s="852">
        <v>1117796793.71</v>
      </c>
      <c r="P6" s="852"/>
      <c r="Q6" s="852">
        <v>1089899777.0999999</v>
      </c>
      <c r="R6" s="1217">
        <v>335167030.36000001</v>
      </c>
    </row>
    <row r="7" spans="1:18" outlineLevel="1">
      <c r="A7" s="1216" t="s">
        <v>717</v>
      </c>
      <c r="B7" s="467" t="s">
        <v>3574</v>
      </c>
      <c r="C7" s="467"/>
      <c r="D7" s="467"/>
      <c r="E7" s="467"/>
      <c r="F7" s="467"/>
      <c r="G7" s="468"/>
      <c r="H7" s="467"/>
      <c r="I7" s="469">
        <v>186113046.81</v>
      </c>
      <c r="J7" s="469">
        <v>-14666040.210000001</v>
      </c>
      <c r="K7" s="469">
        <v>171447006.59999999</v>
      </c>
      <c r="L7" s="469">
        <v>44487872.340000004</v>
      </c>
      <c r="M7" s="469">
        <v>124751415.2</v>
      </c>
      <c r="N7" s="469">
        <v>169239287.53999999</v>
      </c>
      <c r="O7" s="469">
        <v>130079349.29000001</v>
      </c>
      <c r="P7" s="469"/>
      <c r="Q7" s="469">
        <v>126768579.14</v>
      </c>
      <c r="R7" s="1215">
        <v>41367657.310000002</v>
      </c>
    </row>
    <row r="8" spans="1:18" outlineLevel="2">
      <c r="A8" s="1214" t="s">
        <v>717</v>
      </c>
      <c r="B8" s="472" t="s">
        <v>3574</v>
      </c>
      <c r="C8" s="472" t="s">
        <v>3351</v>
      </c>
      <c r="D8" s="472"/>
      <c r="E8" s="472"/>
      <c r="F8" s="472"/>
      <c r="G8" s="473"/>
      <c r="H8" s="472"/>
      <c r="I8" s="474">
        <v>2400000</v>
      </c>
      <c r="J8" s="474">
        <v>-1523169.45</v>
      </c>
      <c r="K8" s="474">
        <v>876830.55</v>
      </c>
      <c r="L8" s="474">
        <v>0</v>
      </c>
      <c r="M8" s="474">
        <v>758620.69</v>
      </c>
      <c r="N8" s="474">
        <v>758620.69</v>
      </c>
      <c r="O8" s="474">
        <v>758620.69</v>
      </c>
      <c r="P8" s="474"/>
      <c r="Q8" s="474">
        <v>758620.69</v>
      </c>
      <c r="R8" s="1213">
        <v>118209.86</v>
      </c>
    </row>
    <row r="9" spans="1:18" outlineLevel="3">
      <c r="A9" s="1212" t="s">
        <v>717</v>
      </c>
      <c r="B9" s="477" t="s">
        <v>3574</v>
      </c>
      <c r="C9" s="477" t="s">
        <v>3351</v>
      </c>
      <c r="D9" s="477" t="s">
        <v>3553</v>
      </c>
      <c r="E9" s="477"/>
      <c r="F9" s="477"/>
      <c r="G9" s="478"/>
      <c r="H9" s="477"/>
      <c r="I9" s="479">
        <v>0</v>
      </c>
      <c r="J9" s="479">
        <v>118209.86</v>
      </c>
      <c r="K9" s="479">
        <v>118209.86</v>
      </c>
      <c r="L9" s="479">
        <v>0</v>
      </c>
      <c r="M9" s="479">
        <v>0</v>
      </c>
      <c r="N9" s="479">
        <v>0</v>
      </c>
      <c r="O9" s="479">
        <v>0</v>
      </c>
      <c r="P9" s="479"/>
      <c r="Q9" s="479">
        <v>0</v>
      </c>
      <c r="R9" s="1211">
        <v>118209.86</v>
      </c>
    </row>
    <row r="10" spans="1:18" outlineLevel="4">
      <c r="A10" s="1210" t="s">
        <v>717</v>
      </c>
      <c r="B10" s="482" t="s">
        <v>3574</v>
      </c>
      <c r="C10" s="482" t="s">
        <v>3351</v>
      </c>
      <c r="D10" s="482" t="s">
        <v>3553</v>
      </c>
      <c r="E10" s="482" t="s">
        <v>3550</v>
      </c>
      <c r="F10" s="482"/>
      <c r="G10" s="831"/>
      <c r="H10" s="482"/>
      <c r="I10" s="484">
        <v>0</v>
      </c>
      <c r="J10" s="484">
        <v>118209.86</v>
      </c>
      <c r="K10" s="484">
        <v>118209.86</v>
      </c>
      <c r="L10" s="484">
        <v>0</v>
      </c>
      <c r="M10" s="484">
        <v>0</v>
      </c>
      <c r="N10" s="484">
        <v>0</v>
      </c>
      <c r="O10" s="484">
        <v>0</v>
      </c>
      <c r="P10" s="484"/>
      <c r="Q10" s="484">
        <v>0</v>
      </c>
      <c r="R10" s="1209">
        <v>118209.86</v>
      </c>
    </row>
    <row r="11" spans="1:18" ht="25.5" outlineLevel="5">
      <c r="A11" s="1208" t="s">
        <v>717</v>
      </c>
      <c r="B11" s="1206" t="s">
        <v>3574</v>
      </c>
      <c r="C11" s="1206" t="s">
        <v>3351</v>
      </c>
      <c r="D11" s="1206" t="s">
        <v>3553</v>
      </c>
      <c r="E11" s="1206" t="s">
        <v>3550</v>
      </c>
      <c r="F11" s="1206" t="s">
        <v>3586</v>
      </c>
      <c r="G11" s="1207" t="s">
        <v>3585</v>
      </c>
      <c r="H11" s="1206" t="s">
        <v>3241</v>
      </c>
      <c r="I11" s="1205">
        <v>0</v>
      </c>
      <c r="J11" s="1205">
        <v>118209.86</v>
      </c>
      <c r="K11" s="1205">
        <v>118209.86</v>
      </c>
      <c r="L11" s="1205">
        <v>0</v>
      </c>
      <c r="M11" s="1205">
        <v>0</v>
      </c>
      <c r="N11" s="1205">
        <v>0</v>
      </c>
      <c r="O11" s="1205">
        <v>0</v>
      </c>
      <c r="P11" s="1205"/>
      <c r="Q11" s="1205">
        <v>0</v>
      </c>
      <c r="R11" s="1204">
        <v>118209.86</v>
      </c>
    </row>
    <row r="12" spans="1:18" outlineLevel="3">
      <c r="A12" s="1212" t="s">
        <v>717</v>
      </c>
      <c r="B12" s="477" t="s">
        <v>3574</v>
      </c>
      <c r="C12" s="477" t="s">
        <v>3351</v>
      </c>
      <c r="D12" s="477" t="s">
        <v>3564</v>
      </c>
      <c r="E12" s="477"/>
      <c r="F12" s="477"/>
      <c r="G12" s="478"/>
      <c r="H12" s="477"/>
      <c r="I12" s="479">
        <v>2400000</v>
      </c>
      <c r="J12" s="479">
        <v>-1641379.31</v>
      </c>
      <c r="K12" s="479">
        <v>758620.69</v>
      </c>
      <c r="L12" s="479">
        <v>0</v>
      </c>
      <c r="M12" s="479">
        <v>758620.69</v>
      </c>
      <c r="N12" s="479">
        <v>758620.69</v>
      </c>
      <c r="O12" s="479">
        <v>758620.69</v>
      </c>
      <c r="P12" s="1223">
        <v>758.62</v>
      </c>
      <c r="Q12" s="479">
        <v>758620.69</v>
      </c>
      <c r="R12" s="1211">
        <v>0</v>
      </c>
    </row>
    <row r="13" spans="1:18" outlineLevel="4">
      <c r="A13" s="1210" t="s">
        <v>717</v>
      </c>
      <c r="B13" s="482" t="s">
        <v>3574</v>
      </c>
      <c r="C13" s="482" t="s">
        <v>3351</v>
      </c>
      <c r="D13" s="482" t="s">
        <v>3564</v>
      </c>
      <c r="E13" s="482" t="s">
        <v>3550</v>
      </c>
      <c r="F13" s="482"/>
      <c r="G13" s="831"/>
      <c r="H13" s="482"/>
      <c r="I13" s="484">
        <v>2400000</v>
      </c>
      <c r="J13" s="484">
        <v>-1641379.31</v>
      </c>
      <c r="K13" s="484">
        <v>758620.69</v>
      </c>
      <c r="L13" s="484">
        <v>0</v>
      </c>
      <c r="M13" s="484">
        <v>758620.69</v>
      </c>
      <c r="N13" s="484">
        <v>758620.69</v>
      </c>
      <c r="O13" s="484">
        <v>758620.69</v>
      </c>
      <c r="P13" s="484"/>
      <c r="Q13" s="484">
        <v>758620.69</v>
      </c>
      <c r="R13" s="1209">
        <v>0</v>
      </c>
    </row>
    <row r="14" spans="1:18" outlineLevel="5">
      <c r="A14" s="1208" t="s">
        <v>717</v>
      </c>
      <c r="B14" s="1206" t="s">
        <v>3574</v>
      </c>
      <c r="C14" s="1206" t="s">
        <v>3351</v>
      </c>
      <c r="D14" s="1206" t="s">
        <v>3564</v>
      </c>
      <c r="E14" s="1206" t="s">
        <v>3550</v>
      </c>
      <c r="F14" s="1206"/>
      <c r="G14" s="1207"/>
      <c r="H14" s="1206"/>
      <c r="I14" s="1205">
        <v>0</v>
      </c>
      <c r="J14" s="1205">
        <v>0</v>
      </c>
      <c r="K14" s="1205">
        <v>0</v>
      </c>
      <c r="L14" s="1205">
        <v>0</v>
      </c>
      <c r="M14" s="1205">
        <v>0</v>
      </c>
      <c r="N14" s="1205">
        <v>0</v>
      </c>
      <c r="O14" s="1205">
        <v>0</v>
      </c>
      <c r="P14" s="1205"/>
      <c r="Q14" s="1205">
        <v>-158620.69</v>
      </c>
      <c r="R14" s="1204">
        <v>0</v>
      </c>
    </row>
    <row r="15" spans="1:18" ht="51" outlineLevel="5">
      <c r="A15" s="1208" t="s">
        <v>717</v>
      </c>
      <c r="B15" s="1206" t="s">
        <v>3574</v>
      </c>
      <c r="C15" s="1206" t="s">
        <v>3351</v>
      </c>
      <c r="D15" s="1206" t="s">
        <v>3564</v>
      </c>
      <c r="E15" s="1206" t="s">
        <v>3550</v>
      </c>
      <c r="F15" s="1206" t="s">
        <v>3340</v>
      </c>
      <c r="G15" s="1207" t="s">
        <v>3339</v>
      </c>
      <c r="H15" s="1206"/>
      <c r="I15" s="1205">
        <v>0</v>
      </c>
      <c r="J15" s="1205">
        <v>0</v>
      </c>
      <c r="K15" s="1205">
        <v>0</v>
      </c>
      <c r="L15" s="1205">
        <v>0</v>
      </c>
      <c r="M15" s="1205">
        <v>0</v>
      </c>
      <c r="N15" s="1205">
        <v>0</v>
      </c>
      <c r="O15" s="1205">
        <v>0</v>
      </c>
      <c r="P15" s="1205"/>
      <c r="Q15" s="1205">
        <v>917241.38</v>
      </c>
      <c r="R15" s="1204">
        <v>0</v>
      </c>
    </row>
    <row r="16" spans="1:18" ht="51" outlineLevel="5">
      <c r="A16" s="1208" t="s">
        <v>717</v>
      </c>
      <c r="B16" s="1206" t="s">
        <v>3574</v>
      </c>
      <c r="C16" s="1206" t="s">
        <v>3351</v>
      </c>
      <c r="D16" s="1206" t="s">
        <v>3564</v>
      </c>
      <c r="E16" s="1206" t="s">
        <v>3550</v>
      </c>
      <c r="F16" s="1206" t="s">
        <v>3340</v>
      </c>
      <c r="G16" s="1207" t="s">
        <v>3339</v>
      </c>
      <c r="H16" s="1206" t="s">
        <v>3241</v>
      </c>
      <c r="I16" s="1205">
        <v>2400000</v>
      </c>
      <c r="J16" s="1205">
        <v>-1641379.31</v>
      </c>
      <c r="K16" s="1205">
        <v>758620.69</v>
      </c>
      <c r="L16" s="1205">
        <v>0</v>
      </c>
      <c r="M16" s="1205">
        <v>758620.69</v>
      </c>
      <c r="N16" s="1205">
        <v>758620.69</v>
      </c>
      <c r="O16" s="1205">
        <v>758620.69</v>
      </c>
      <c r="P16" s="1205"/>
      <c r="Q16" s="1205">
        <v>0</v>
      </c>
      <c r="R16" s="1204">
        <v>0</v>
      </c>
    </row>
    <row r="17" spans="1:18" outlineLevel="2">
      <c r="A17" s="1214" t="s">
        <v>717</v>
      </c>
      <c r="B17" s="472" t="s">
        <v>3574</v>
      </c>
      <c r="C17" s="472" t="s">
        <v>3349</v>
      </c>
      <c r="D17" s="472"/>
      <c r="E17" s="472"/>
      <c r="F17" s="472"/>
      <c r="G17" s="473"/>
      <c r="H17" s="472"/>
      <c r="I17" s="474">
        <v>56947236.68</v>
      </c>
      <c r="J17" s="474">
        <v>1000799.74</v>
      </c>
      <c r="K17" s="474">
        <v>57948036.420000002</v>
      </c>
      <c r="L17" s="474">
        <v>0</v>
      </c>
      <c r="M17" s="474">
        <v>57948036.420000002</v>
      </c>
      <c r="N17" s="474">
        <v>57948036.420000002</v>
      </c>
      <c r="O17" s="474">
        <v>49849056.770000003</v>
      </c>
      <c r="P17" s="474"/>
      <c r="Q17" s="474">
        <v>49849056.770000003</v>
      </c>
      <c r="R17" s="1213">
        <v>8098979.6500000004</v>
      </c>
    </row>
    <row r="18" spans="1:18" outlineLevel="3">
      <c r="A18" s="1212" t="s">
        <v>717</v>
      </c>
      <c r="B18" s="477" t="s">
        <v>3574</v>
      </c>
      <c r="C18" s="477" t="s">
        <v>3349</v>
      </c>
      <c r="D18" s="477" t="s">
        <v>3569</v>
      </c>
      <c r="E18" s="477"/>
      <c r="F18" s="477"/>
      <c r="G18" s="478"/>
      <c r="H18" s="477"/>
      <c r="I18" s="479">
        <v>56947236.68</v>
      </c>
      <c r="J18" s="479">
        <v>1000799.74</v>
      </c>
      <c r="K18" s="479">
        <v>57948036.420000002</v>
      </c>
      <c r="L18" s="479">
        <v>0</v>
      </c>
      <c r="M18" s="479">
        <v>57948036.420000002</v>
      </c>
      <c r="N18" s="479">
        <v>57948036.420000002</v>
      </c>
      <c r="O18" s="479">
        <v>49849056.770000003</v>
      </c>
      <c r="P18" s="479"/>
      <c r="Q18" s="479">
        <v>49849056.770000003</v>
      </c>
      <c r="R18" s="1211">
        <v>8098979.6500000004</v>
      </c>
    </row>
    <row r="19" spans="1:18" outlineLevel="4">
      <c r="A19" s="1210" t="s">
        <v>717</v>
      </c>
      <c r="B19" s="482" t="s">
        <v>3574</v>
      </c>
      <c r="C19" s="482" t="s">
        <v>3349</v>
      </c>
      <c r="D19" s="482" t="s">
        <v>3569</v>
      </c>
      <c r="E19" s="482" t="s">
        <v>3550</v>
      </c>
      <c r="F19" s="482"/>
      <c r="G19" s="831"/>
      <c r="H19" s="482"/>
      <c r="I19" s="484">
        <v>56947236.68</v>
      </c>
      <c r="J19" s="484">
        <v>1000799.74</v>
      </c>
      <c r="K19" s="484">
        <v>57948036.420000002</v>
      </c>
      <c r="L19" s="484">
        <v>0</v>
      </c>
      <c r="M19" s="484">
        <v>57948036.420000002</v>
      </c>
      <c r="N19" s="484">
        <v>57948036.420000002</v>
      </c>
      <c r="O19" s="484">
        <v>49849056.770000003</v>
      </c>
      <c r="P19" s="1219">
        <v>49849.056770000003</v>
      </c>
      <c r="Q19" s="484">
        <v>49849056.770000003</v>
      </c>
      <c r="R19" s="1209">
        <v>8098979.6500000004</v>
      </c>
    </row>
    <row r="20" spans="1:18" ht="63.75" outlineLevel="5">
      <c r="A20" s="1208" t="s">
        <v>717</v>
      </c>
      <c r="B20" s="1206" t="s">
        <v>3574</v>
      </c>
      <c r="C20" s="1206" t="s">
        <v>3349</v>
      </c>
      <c r="D20" s="1206" t="s">
        <v>3569</v>
      </c>
      <c r="E20" s="1206" t="s">
        <v>3550</v>
      </c>
      <c r="F20" s="1206" t="s">
        <v>3348</v>
      </c>
      <c r="G20" s="1207" t="s">
        <v>3347</v>
      </c>
      <c r="H20" s="1206"/>
      <c r="I20" s="1205">
        <v>0</v>
      </c>
      <c r="J20" s="1205">
        <v>0</v>
      </c>
      <c r="K20" s="1205">
        <v>0</v>
      </c>
      <c r="L20" s="1205">
        <v>0</v>
      </c>
      <c r="M20" s="1205">
        <v>0</v>
      </c>
      <c r="N20" s="1205">
        <v>0</v>
      </c>
      <c r="O20" s="1205">
        <v>0</v>
      </c>
      <c r="P20" s="1205"/>
      <c r="Q20" s="1205">
        <v>49849056.770000003</v>
      </c>
      <c r="R20" s="1204">
        <v>0</v>
      </c>
    </row>
    <row r="21" spans="1:18" ht="63.75" outlineLevel="5">
      <c r="A21" s="1208" t="s">
        <v>717</v>
      </c>
      <c r="B21" s="1206" t="s">
        <v>3574</v>
      </c>
      <c r="C21" s="1206" t="s">
        <v>3349</v>
      </c>
      <c r="D21" s="1206" t="s">
        <v>3569</v>
      </c>
      <c r="E21" s="1206" t="s">
        <v>3550</v>
      </c>
      <c r="F21" s="1206" t="s">
        <v>3348</v>
      </c>
      <c r="G21" s="1207" t="s">
        <v>3347</v>
      </c>
      <c r="H21" s="1206" t="s">
        <v>3241</v>
      </c>
      <c r="I21" s="1205">
        <v>56947236.68</v>
      </c>
      <c r="J21" s="1205">
        <v>1000799.74</v>
      </c>
      <c r="K21" s="1205">
        <v>57948036.420000002</v>
      </c>
      <c r="L21" s="1205">
        <v>0</v>
      </c>
      <c r="M21" s="1205">
        <v>57948036.420000002</v>
      </c>
      <c r="N21" s="1205">
        <v>57948036.420000002</v>
      </c>
      <c r="O21" s="1205">
        <v>49849056.770000003</v>
      </c>
      <c r="P21" s="1205"/>
      <c r="Q21" s="1205">
        <v>0</v>
      </c>
      <c r="R21" s="1204">
        <v>8098979.6500000004</v>
      </c>
    </row>
    <row r="22" spans="1:18" outlineLevel="2">
      <c r="A22" s="1214" t="s">
        <v>717</v>
      </c>
      <c r="B22" s="472" t="s">
        <v>3574</v>
      </c>
      <c r="C22" s="472" t="s">
        <v>3345</v>
      </c>
      <c r="D22" s="472"/>
      <c r="E22" s="472"/>
      <c r="F22" s="472"/>
      <c r="G22" s="473"/>
      <c r="H22" s="472"/>
      <c r="I22" s="474">
        <v>14000000</v>
      </c>
      <c r="J22" s="474">
        <v>-13105321.34</v>
      </c>
      <c r="K22" s="474">
        <v>894678.66</v>
      </c>
      <c r="L22" s="474">
        <v>0</v>
      </c>
      <c r="M22" s="474">
        <v>894678.66</v>
      </c>
      <c r="N22" s="474">
        <v>894678.66</v>
      </c>
      <c r="O22" s="474">
        <v>730000</v>
      </c>
      <c r="P22" s="474"/>
      <c r="Q22" s="474">
        <v>0</v>
      </c>
      <c r="R22" s="1213">
        <v>164678.66</v>
      </c>
    </row>
    <row r="23" spans="1:18" outlineLevel="3">
      <c r="A23" s="1212" t="s">
        <v>717</v>
      </c>
      <c r="B23" s="477" t="s">
        <v>3574</v>
      </c>
      <c r="C23" s="477" t="s">
        <v>3345</v>
      </c>
      <c r="D23" s="477" t="s">
        <v>3584</v>
      </c>
      <c r="E23" s="477"/>
      <c r="F23" s="477"/>
      <c r="G23" s="478"/>
      <c r="H23" s="477"/>
      <c r="I23" s="479">
        <v>7000000</v>
      </c>
      <c r="J23" s="479">
        <v>-7000000</v>
      </c>
      <c r="K23" s="479">
        <v>0</v>
      </c>
      <c r="L23" s="479">
        <v>0</v>
      </c>
      <c r="M23" s="479">
        <v>0</v>
      </c>
      <c r="N23" s="479">
        <v>0</v>
      </c>
      <c r="O23" s="479">
        <v>0</v>
      </c>
      <c r="P23" s="479"/>
      <c r="Q23" s="479">
        <v>0</v>
      </c>
      <c r="R23" s="1211">
        <v>0</v>
      </c>
    </row>
    <row r="24" spans="1:18" outlineLevel="4">
      <c r="A24" s="1210" t="s">
        <v>717</v>
      </c>
      <c r="B24" s="482" t="s">
        <v>3574</v>
      </c>
      <c r="C24" s="482" t="s">
        <v>3345</v>
      </c>
      <c r="D24" s="482" t="s">
        <v>3584</v>
      </c>
      <c r="E24" s="482" t="s">
        <v>3550</v>
      </c>
      <c r="F24" s="482"/>
      <c r="G24" s="831"/>
      <c r="H24" s="482"/>
      <c r="I24" s="484">
        <v>7000000</v>
      </c>
      <c r="J24" s="484">
        <v>-7000000</v>
      </c>
      <c r="K24" s="484">
        <v>0</v>
      </c>
      <c r="L24" s="484">
        <v>0</v>
      </c>
      <c r="M24" s="484">
        <v>0</v>
      </c>
      <c r="N24" s="484">
        <v>0</v>
      </c>
      <c r="O24" s="484">
        <v>0</v>
      </c>
      <c r="P24" s="484"/>
      <c r="Q24" s="484">
        <v>0</v>
      </c>
      <c r="R24" s="1209">
        <v>0</v>
      </c>
    </row>
    <row r="25" spans="1:18" ht="25.5" outlineLevel="5">
      <c r="A25" s="1208" t="s">
        <v>717</v>
      </c>
      <c r="B25" s="1206" t="s">
        <v>3574</v>
      </c>
      <c r="C25" s="1206" t="s">
        <v>3345</v>
      </c>
      <c r="D25" s="1206" t="s">
        <v>3584</v>
      </c>
      <c r="E25" s="1206" t="s">
        <v>3550</v>
      </c>
      <c r="F25" s="1206" t="s">
        <v>3344</v>
      </c>
      <c r="G25" s="1207" t="s">
        <v>3343</v>
      </c>
      <c r="H25" s="1206" t="s">
        <v>3241</v>
      </c>
      <c r="I25" s="1205">
        <v>7000000</v>
      </c>
      <c r="J25" s="1205">
        <v>-7000000</v>
      </c>
      <c r="K25" s="1205">
        <v>0</v>
      </c>
      <c r="L25" s="1205">
        <v>0</v>
      </c>
      <c r="M25" s="1205">
        <v>0</v>
      </c>
      <c r="N25" s="1205">
        <v>0</v>
      </c>
      <c r="O25" s="1205">
        <v>0</v>
      </c>
      <c r="P25" s="1205"/>
      <c r="Q25" s="1205">
        <v>0</v>
      </c>
      <c r="R25" s="1204">
        <v>0</v>
      </c>
    </row>
    <row r="26" spans="1:18" outlineLevel="3">
      <c r="A26" s="1212" t="s">
        <v>717</v>
      </c>
      <c r="B26" s="477" t="s">
        <v>3574</v>
      </c>
      <c r="C26" s="477" t="s">
        <v>3345</v>
      </c>
      <c r="D26" s="477" t="s">
        <v>3583</v>
      </c>
      <c r="E26" s="477"/>
      <c r="F26" s="477"/>
      <c r="G26" s="478"/>
      <c r="H26" s="477"/>
      <c r="I26" s="479">
        <v>7000000</v>
      </c>
      <c r="J26" s="479">
        <v>-6105321.3399999999</v>
      </c>
      <c r="K26" s="479">
        <v>894678.66</v>
      </c>
      <c r="L26" s="479">
        <v>0</v>
      </c>
      <c r="M26" s="479">
        <v>894678.66</v>
      </c>
      <c r="N26" s="479">
        <v>894678.66</v>
      </c>
      <c r="O26" s="479">
        <v>730000</v>
      </c>
      <c r="P26" s="479"/>
      <c r="Q26" s="479">
        <v>0</v>
      </c>
      <c r="R26" s="1211">
        <v>164678.66</v>
      </c>
    </row>
    <row r="27" spans="1:18" outlineLevel="4">
      <c r="A27" s="1210" t="s">
        <v>717</v>
      </c>
      <c r="B27" s="482" t="s">
        <v>3574</v>
      </c>
      <c r="C27" s="482" t="s">
        <v>3345</v>
      </c>
      <c r="D27" s="482" t="s">
        <v>3583</v>
      </c>
      <c r="E27" s="482" t="s">
        <v>3550</v>
      </c>
      <c r="F27" s="482"/>
      <c r="G27" s="831"/>
      <c r="H27" s="482"/>
      <c r="I27" s="484">
        <v>7000000</v>
      </c>
      <c r="J27" s="484">
        <v>-6105321.3399999999</v>
      </c>
      <c r="K27" s="484">
        <v>894678.66</v>
      </c>
      <c r="L27" s="484">
        <v>0</v>
      </c>
      <c r="M27" s="484">
        <v>894678.66</v>
      </c>
      <c r="N27" s="484">
        <v>894678.66</v>
      </c>
      <c r="O27" s="484">
        <v>730000</v>
      </c>
      <c r="P27" s="484"/>
      <c r="Q27" s="484">
        <v>0</v>
      </c>
      <c r="R27" s="1209">
        <v>164678.66</v>
      </c>
    </row>
    <row r="28" spans="1:18" ht="25.5" outlineLevel="5">
      <c r="A28" s="1208" t="s">
        <v>717</v>
      </c>
      <c r="B28" s="1206" t="s">
        <v>3574</v>
      </c>
      <c r="C28" s="1206" t="s">
        <v>3345</v>
      </c>
      <c r="D28" s="1206" t="s">
        <v>3583</v>
      </c>
      <c r="E28" s="1206" t="s">
        <v>3550</v>
      </c>
      <c r="F28" s="1206" t="s">
        <v>3344</v>
      </c>
      <c r="G28" s="1207" t="s">
        <v>3343</v>
      </c>
      <c r="H28" s="1206" t="s">
        <v>3241</v>
      </c>
      <c r="I28" s="1205">
        <v>7000000</v>
      </c>
      <c r="J28" s="1205">
        <v>-6105321.3399999999</v>
      </c>
      <c r="K28" s="1205">
        <v>894678.66</v>
      </c>
      <c r="L28" s="1205">
        <v>0</v>
      </c>
      <c r="M28" s="1205">
        <v>894678.66</v>
      </c>
      <c r="N28" s="1205">
        <v>894678.66</v>
      </c>
      <c r="O28" s="1205">
        <v>730000</v>
      </c>
      <c r="P28" s="1205"/>
      <c r="Q28" s="1205">
        <v>0</v>
      </c>
      <c r="R28" s="1204">
        <v>164678.66</v>
      </c>
    </row>
    <row r="29" spans="1:18" outlineLevel="2">
      <c r="A29" s="1214" t="s">
        <v>717</v>
      </c>
      <c r="B29" s="472" t="s">
        <v>3574</v>
      </c>
      <c r="C29" s="472" t="s">
        <v>3341</v>
      </c>
      <c r="D29" s="472"/>
      <c r="E29" s="472"/>
      <c r="F29" s="472"/>
      <c r="G29" s="473"/>
      <c r="H29" s="472"/>
      <c r="I29" s="474">
        <v>3200000</v>
      </c>
      <c r="J29" s="474">
        <v>-2023700</v>
      </c>
      <c r="K29" s="474">
        <v>1176300</v>
      </c>
      <c r="L29" s="474">
        <v>0</v>
      </c>
      <c r="M29" s="474">
        <v>1176300</v>
      </c>
      <c r="N29" s="474">
        <v>1176300</v>
      </c>
      <c r="O29" s="474">
        <v>1176300</v>
      </c>
      <c r="P29" s="474"/>
      <c r="Q29" s="474">
        <v>1176300</v>
      </c>
      <c r="R29" s="1213">
        <v>0</v>
      </c>
    </row>
    <row r="30" spans="1:18" outlineLevel="3">
      <c r="A30" s="1212" t="s">
        <v>717</v>
      </c>
      <c r="B30" s="477" t="s">
        <v>3574</v>
      </c>
      <c r="C30" s="477" t="s">
        <v>3341</v>
      </c>
      <c r="D30" s="477" t="s">
        <v>3569</v>
      </c>
      <c r="E30" s="477"/>
      <c r="F30" s="477"/>
      <c r="G30" s="478"/>
      <c r="H30" s="477"/>
      <c r="I30" s="479">
        <v>3200000</v>
      </c>
      <c r="J30" s="479">
        <v>-2023700</v>
      </c>
      <c r="K30" s="479">
        <v>1176300</v>
      </c>
      <c r="L30" s="479">
        <v>0</v>
      </c>
      <c r="M30" s="479">
        <v>1176300</v>
      </c>
      <c r="N30" s="479">
        <v>1176300</v>
      </c>
      <c r="O30" s="479">
        <v>1176300</v>
      </c>
      <c r="P30" s="479"/>
      <c r="Q30" s="479">
        <v>1176300</v>
      </c>
      <c r="R30" s="1211">
        <v>0</v>
      </c>
    </row>
    <row r="31" spans="1:18" outlineLevel="4">
      <c r="A31" s="1210" t="s">
        <v>717</v>
      </c>
      <c r="B31" s="482" t="s">
        <v>3574</v>
      </c>
      <c r="C31" s="482" t="s">
        <v>3341</v>
      </c>
      <c r="D31" s="482" t="s">
        <v>3569</v>
      </c>
      <c r="E31" s="482" t="s">
        <v>3550</v>
      </c>
      <c r="F31" s="482"/>
      <c r="G31" s="831"/>
      <c r="H31" s="482"/>
      <c r="I31" s="484">
        <v>3200000</v>
      </c>
      <c r="J31" s="484">
        <v>-2023700</v>
      </c>
      <c r="K31" s="484">
        <v>1176300</v>
      </c>
      <c r="L31" s="484">
        <v>0</v>
      </c>
      <c r="M31" s="484">
        <v>1176300</v>
      </c>
      <c r="N31" s="484">
        <v>1176300</v>
      </c>
      <c r="O31" s="484">
        <v>1176300</v>
      </c>
      <c r="P31" s="484"/>
      <c r="Q31" s="484">
        <v>1176300</v>
      </c>
      <c r="R31" s="1209">
        <v>0</v>
      </c>
    </row>
    <row r="32" spans="1:18" ht="51" outlineLevel="5">
      <c r="A32" s="1208" t="s">
        <v>717</v>
      </c>
      <c r="B32" s="1206" t="s">
        <v>3574</v>
      </c>
      <c r="C32" s="1206" t="s">
        <v>3341</v>
      </c>
      <c r="D32" s="1206" t="s">
        <v>3569</v>
      </c>
      <c r="E32" s="1206" t="s">
        <v>3550</v>
      </c>
      <c r="F32" s="1206" t="s">
        <v>3340</v>
      </c>
      <c r="G32" s="1207" t="s">
        <v>3339</v>
      </c>
      <c r="H32" s="1206"/>
      <c r="I32" s="1205">
        <v>0</v>
      </c>
      <c r="J32" s="1205">
        <v>0</v>
      </c>
      <c r="K32" s="1205">
        <v>0</v>
      </c>
      <c r="L32" s="1205">
        <v>0</v>
      </c>
      <c r="M32" s="1205">
        <v>0</v>
      </c>
      <c r="N32" s="1205">
        <v>0</v>
      </c>
      <c r="O32" s="1205">
        <v>0</v>
      </c>
      <c r="P32" s="1205"/>
      <c r="Q32" s="1205">
        <v>1176300</v>
      </c>
      <c r="R32" s="1204">
        <v>0</v>
      </c>
    </row>
    <row r="33" spans="1:18" ht="51" outlineLevel="5">
      <c r="A33" s="1208" t="s">
        <v>717</v>
      </c>
      <c r="B33" s="1206" t="s">
        <v>3574</v>
      </c>
      <c r="C33" s="1206" t="s">
        <v>3341</v>
      </c>
      <c r="D33" s="1206" t="s">
        <v>3569</v>
      </c>
      <c r="E33" s="1206" t="s">
        <v>3550</v>
      </c>
      <c r="F33" s="1206" t="s">
        <v>3340</v>
      </c>
      <c r="G33" s="1207" t="s">
        <v>3339</v>
      </c>
      <c r="H33" s="1206" t="s">
        <v>3241</v>
      </c>
      <c r="I33" s="1205">
        <v>3200000</v>
      </c>
      <c r="J33" s="1205">
        <v>-2023700</v>
      </c>
      <c r="K33" s="1205">
        <v>1176300</v>
      </c>
      <c r="L33" s="1205">
        <v>0</v>
      </c>
      <c r="M33" s="1205">
        <v>1176300</v>
      </c>
      <c r="N33" s="1205">
        <v>1176300</v>
      </c>
      <c r="O33" s="1205">
        <v>1176300</v>
      </c>
      <c r="P33" s="1205"/>
      <c r="Q33" s="1205">
        <v>0</v>
      </c>
      <c r="R33" s="1204">
        <v>0</v>
      </c>
    </row>
    <row r="34" spans="1:18" outlineLevel="2">
      <c r="A34" s="1214" t="s">
        <v>717</v>
      </c>
      <c r="B34" s="472" t="s">
        <v>3574</v>
      </c>
      <c r="C34" s="472" t="s">
        <v>3325</v>
      </c>
      <c r="D34" s="472"/>
      <c r="E34" s="472"/>
      <c r="F34" s="472"/>
      <c r="G34" s="473"/>
      <c r="H34" s="472"/>
      <c r="I34" s="474">
        <v>26000000</v>
      </c>
      <c r="J34" s="474">
        <v>-2000000</v>
      </c>
      <c r="K34" s="474">
        <v>24000000</v>
      </c>
      <c r="L34" s="474">
        <v>0</v>
      </c>
      <c r="M34" s="474">
        <v>22500000</v>
      </c>
      <c r="N34" s="474">
        <v>22500000</v>
      </c>
      <c r="O34" s="474">
        <v>22500000</v>
      </c>
      <c r="P34" s="474"/>
      <c r="Q34" s="474">
        <v>22500000</v>
      </c>
      <c r="R34" s="1213">
        <v>1500000</v>
      </c>
    </row>
    <row r="35" spans="1:18" outlineLevel="3">
      <c r="A35" s="1212" t="s">
        <v>717</v>
      </c>
      <c r="B35" s="477" t="s">
        <v>3574</v>
      </c>
      <c r="C35" s="477" t="s">
        <v>3325</v>
      </c>
      <c r="D35" s="477" t="s">
        <v>3584</v>
      </c>
      <c r="E35" s="477"/>
      <c r="F35" s="477"/>
      <c r="G35" s="478"/>
      <c r="H35" s="477"/>
      <c r="I35" s="479">
        <v>24000000</v>
      </c>
      <c r="J35" s="479">
        <v>-2000000</v>
      </c>
      <c r="K35" s="479">
        <v>22000000</v>
      </c>
      <c r="L35" s="479">
        <v>0</v>
      </c>
      <c r="M35" s="479">
        <v>22000000</v>
      </c>
      <c r="N35" s="479">
        <v>22000000</v>
      </c>
      <c r="O35" s="479">
        <v>22000000</v>
      </c>
      <c r="P35" s="479"/>
      <c r="Q35" s="479">
        <v>22000000</v>
      </c>
      <c r="R35" s="1211">
        <v>0</v>
      </c>
    </row>
    <row r="36" spans="1:18" outlineLevel="4">
      <c r="A36" s="1210" t="s">
        <v>717</v>
      </c>
      <c r="B36" s="482" t="s">
        <v>3574</v>
      </c>
      <c r="C36" s="482" t="s">
        <v>3325</v>
      </c>
      <c r="D36" s="482" t="s">
        <v>3584</v>
      </c>
      <c r="E36" s="482" t="s">
        <v>3550</v>
      </c>
      <c r="F36" s="482"/>
      <c r="G36" s="831"/>
      <c r="H36" s="482"/>
      <c r="I36" s="484">
        <v>24000000</v>
      </c>
      <c r="J36" s="484">
        <v>-2000000</v>
      </c>
      <c r="K36" s="484">
        <v>22000000</v>
      </c>
      <c r="L36" s="484">
        <v>0</v>
      </c>
      <c r="M36" s="484">
        <v>22000000</v>
      </c>
      <c r="N36" s="484">
        <v>22000000</v>
      </c>
      <c r="O36" s="484">
        <v>22000000</v>
      </c>
      <c r="P36" s="484"/>
      <c r="Q36" s="484">
        <v>22000000</v>
      </c>
      <c r="R36" s="1209">
        <v>0</v>
      </c>
    </row>
    <row r="37" spans="1:18" ht="63.75" outlineLevel="5">
      <c r="A37" s="1208" t="s">
        <v>717</v>
      </c>
      <c r="B37" s="1206" t="s">
        <v>3574</v>
      </c>
      <c r="C37" s="1206" t="s">
        <v>3325</v>
      </c>
      <c r="D37" s="1206" t="s">
        <v>3584</v>
      </c>
      <c r="E37" s="1206" t="s">
        <v>3550</v>
      </c>
      <c r="F37" s="1206" t="s">
        <v>3324</v>
      </c>
      <c r="G37" s="1207" t="s">
        <v>2905</v>
      </c>
      <c r="H37" s="1206"/>
      <c r="I37" s="1205">
        <v>0</v>
      </c>
      <c r="J37" s="1205">
        <v>0</v>
      </c>
      <c r="K37" s="1205">
        <v>0</v>
      </c>
      <c r="L37" s="1205">
        <v>0</v>
      </c>
      <c r="M37" s="1205">
        <v>0</v>
      </c>
      <c r="N37" s="1205">
        <v>0</v>
      </c>
      <c r="O37" s="1205">
        <v>0</v>
      </c>
      <c r="P37" s="1205"/>
      <c r="Q37" s="1205">
        <v>22000000</v>
      </c>
      <c r="R37" s="1204">
        <v>0</v>
      </c>
    </row>
    <row r="38" spans="1:18" ht="63.75" outlineLevel="5">
      <c r="A38" s="1208" t="s">
        <v>717</v>
      </c>
      <c r="B38" s="1206" t="s">
        <v>3574</v>
      </c>
      <c r="C38" s="1206" t="s">
        <v>3325</v>
      </c>
      <c r="D38" s="1206" t="s">
        <v>3584</v>
      </c>
      <c r="E38" s="1206" t="s">
        <v>3550</v>
      </c>
      <c r="F38" s="1206" t="s">
        <v>3324</v>
      </c>
      <c r="G38" s="1207" t="s">
        <v>2905</v>
      </c>
      <c r="H38" s="1206" t="s">
        <v>3241</v>
      </c>
      <c r="I38" s="1205">
        <v>24000000</v>
      </c>
      <c r="J38" s="1205">
        <v>-2000000</v>
      </c>
      <c r="K38" s="1205">
        <v>22000000</v>
      </c>
      <c r="L38" s="1205">
        <v>0</v>
      </c>
      <c r="M38" s="1205">
        <v>22000000</v>
      </c>
      <c r="N38" s="1205">
        <v>22000000</v>
      </c>
      <c r="O38" s="1205">
        <v>22000000</v>
      </c>
      <c r="P38" s="1205"/>
      <c r="Q38" s="1205">
        <v>0</v>
      </c>
      <c r="R38" s="1204">
        <v>0</v>
      </c>
    </row>
    <row r="39" spans="1:18" outlineLevel="3">
      <c r="A39" s="1212" t="s">
        <v>717</v>
      </c>
      <c r="B39" s="477" t="s">
        <v>3574</v>
      </c>
      <c r="C39" s="477" t="s">
        <v>3325</v>
      </c>
      <c r="D39" s="477" t="s">
        <v>3583</v>
      </c>
      <c r="E39" s="477"/>
      <c r="F39" s="477"/>
      <c r="G39" s="478"/>
      <c r="H39" s="477"/>
      <c r="I39" s="479">
        <v>2000000</v>
      </c>
      <c r="J39" s="479">
        <v>0</v>
      </c>
      <c r="K39" s="479">
        <v>2000000</v>
      </c>
      <c r="L39" s="479">
        <v>0</v>
      </c>
      <c r="M39" s="479">
        <v>500000</v>
      </c>
      <c r="N39" s="479">
        <v>500000</v>
      </c>
      <c r="O39" s="479">
        <v>500000</v>
      </c>
      <c r="P39" s="479"/>
      <c r="Q39" s="479">
        <v>500000</v>
      </c>
      <c r="R39" s="1211">
        <v>1500000</v>
      </c>
    </row>
    <row r="40" spans="1:18" outlineLevel="4">
      <c r="A40" s="1210" t="s">
        <v>717</v>
      </c>
      <c r="B40" s="482" t="s">
        <v>3574</v>
      </c>
      <c r="C40" s="482" t="s">
        <v>3325</v>
      </c>
      <c r="D40" s="482" t="s">
        <v>3583</v>
      </c>
      <c r="E40" s="482" t="s">
        <v>3550</v>
      </c>
      <c r="F40" s="482"/>
      <c r="G40" s="831"/>
      <c r="H40" s="482"/>
      <c r="I40" s="484">
        <v>2000000</v>
      </c>
      <c r="J40" s="484">
        <v>0</v>
      </c>
      <c r="K40" s="484">
        <v>2000000</v>
      </c>
      <c r="L40" s="484">
        <v>0</v>
      </c>
      <c r="M40" s="484">
        <v>500000</v>
      </c>
      <c r="N40" s="484">
        <v>500000</v>
      </c>
      <c r="O40" s="484">
        <v>500000</v>
      </c>
      <c r="P40" s="484"/>
      <c r="Q40" s="484">
        <v>500000</v>
      </c>
      <c r="R40" s="1209">
        <v>1500000</v>
      </c>
    </row>
    <row r="41" spans="1:18" ht="63.75" outlineLevel="5">
      <c r="A41" s="1208" t="s">
        <v>717</v>
      </c>
      <c r="B41" s="1206" t="s">
        <v>3574</v>
      </c>
      <c r="C41" s="1206" t="s">
        <v>3325</v>
      </c>
      <c r="D41" s="1206" t="s">
        <v>3583</v>
      </c>
      <c r="E41" s="1206" t="s">
        <v>3550</v>
      </c>
      <c r="F41" s="1206" t="s">
        <v>3324</v>
      </c>
      <c r="G41" s="1207" t="s">
        <v>2905</v>
      </c>
      <c r="H41" s="1206"/>
      <c r="I41" s="1205">
        <v>0</v>
      </c>
      <c r="J41" s="1205">
        <v>0</v>
      </c>
      <c r="K41" s="1205">
        <v>0</v>
      </c>
      <c r="L41" s="1205">
        <v>0</v>
      </c>
      <c r="M41" s="1205">
        <v>0</v>
      </c>
      <c r="N41" s="1205">
        <v>0</v>
      </c>
      <c r="O41" s="1205">
        <v>0</v>
      </c>
      <c r="P41" s="1205"/>
      <c r="Q41" s="1205">
        <v>500000</v>
      </c>
      <c r="R41" s="1204">
        <v>0</v>
      </c>
    </row>
    <row r="42" spans="1:18" ht="63.75" outlineLevel="5">
      <c r="A42" s="1208" t="s">
        <v>717</v>
      </c>
      <c r="B42" s="1206" t="s">
        <v>3574</v>
      </c>
      <c r="C42" s="1206" t="s">
        <v>3325</v>
      </c>
      <c r="D42" s="1206" t="s">
        <v>3583</v>
      </c>
      <c r="E42" s="1206" t="s">
        <v>3550</v>
      </c>
      <c r="F42" s="1206" t="s">
        <v>3324</v>
      </c>
      <c r="G42" s="1207" t="s">
        <v>2905</v>
      </c>
      <c r="H42" s="1206" t="s">
        <v>3241</v>
      </c>
      <c r="I42" s="1205">
        <v>2000000</v>
      </c>
      <c r="J42" s="1205">
        <v>0</v>
      </c>
      <c r="K42" s="1205">
        <v>2000000</v>
      </c>
      <c r="L42" s="1205">
        <v>0</v>
      </c>
      <c r="M42" s="1205">
        <v>500000</v>
      </c>
      <c r="N42" s="1205">
        <v>500000</v>
      </c>
      <c r="O42" s="1205">
        <v>500000</v>
      </c>
      <c r="P42" s="1205"/>
      <c r="Q42" s="1205">
        <v>0</v>
      </c>
      <c r="R42" s="1204">
        <v>1500000</v>
      </c>
    </row>
    <row r="43" spans="1:18" outlineLevel="2">
      <c r="A43" s="1214" t="s">
        <v>717</v>
      </c>
      <c r="B43" s="472" t="s">
        <v>3574</v>
      </c>
      <c r="C43" s="472" t="s">
        <v>3322</v>
      </c>
      <c r="D43" s="472"/>
      <c r="E43" s="472"/>
      <c r="F43" s="472"/>
      <c r="G43" s="473"/>
      <c r="H43" s="472"/>
      <c r="I43" s="474">
        <v>9000000</v>
      </c>
      <c r="J43" s="474">
        <v>0</v>
      </c>
      <c r="K43" s="474">
        <v>9000000</v>
      </c>
      <c r="L43" s="474">
        <v>0</v>
      </c>
      <c r="M43" s="474">
        <v>9000000</v>
      </c>
      <c r="N43" s="474">
        <v>9000000</v>
      </c>
      <c r="O43" s="474">
        <v>3889993.45</v>
      </c>
      <c r="P43" s="474"/>
      <c r="Q43" s="474">
        <v>1309223.8</v>
      </c>
      <c r="R43" s="1213">
        <v>5110006.55</v>
      </c>
    </row>
    <row r="44" spans="1:18" outlineLevel="3">
      <c r="A44" s="1212" t="s">
        <v>717</v>
      </c>
      <c r="B44" s="477" t="s">
        <v>3574</v>
      </c>
      <c r="C44" s="477" t="s">
        <v>3322</v>
      </c>
      <c r="D44" s="477" t="s">
        <v>3561</v>
      </c>
      <c r="E44" s="477"/>
      <c r="F44" s="477"/>
      <c r="G44" s="478"/>
      <c r="H44" s="477"/>
      <c r="I44" s="479">
        <v>9000000</v>
      </c>
      <c r="J44" s="479">
        <v>0</v>
      </c>
      <c r="K44" s="479">
        <v>9000000</v>
      </c>
      <c r="L44" s="479">
        <v>0</v>
      </c>
      <c r="M44" s="479">
        <v>9000000</v>
      </c>
      <c r="N44" s="479">
        <v>9000000</v>
      </c>
      <c r="O44" s="479">
        <v>3889993.45</v>
      </c>
      <c r="P44" s="479"/>
      <c r="Q44" s="479">
        <v>1309223.8</v>
      </c>
      <c r="R44" s="1211">
        <v>5110006.55</v>
      </c>
    </row>
    <row r="45" spans="1:18" outlineLevel="4">
      <c r="A45" s="1210" t="s">
        <v>717</v>
      </c>
      <c r="B45" s="482" t="s">
        <v>3574</v>
      </c>
      <c r="C45" s="482" t="s">
        <v>3322</v>
      </c>
      <c r="D45" s="482" t="s">
        <v>3561</v>
      </c>
      <c r="E45" s="482" t="s">
        <v>3582</v>
      </c>
      <c r="F45" s="482"/>
      <c r="G45" s="831"/>
      <c r="H45" s="482"/>
      <c r="I45" s="484">
        <v>9000000</v>
      </c>
      <c r="J45" s="484">
        <v>0</v>
      </c>
      <c r="K45" s="484">
        <v>9000000</v>
      </c>
      <c r="L45" s="484">
        <v>0</v>
      </c>
      <c r="M45" s="484">
        <v>9000000</v>
      </c>
      <c r="N45" s="484">
        <v>9000000</v>
      </c>
      <c r="O45" s="484">
        <v>3889993.45</v>
      </c>
      <c r="P45" s="484"/>
      <c r="Q45" s="484">
        <v>1309223.8</v>
      </c>
      <c r="R45" s="1209">
        <v>5110006.55</v>
      </c>
    </row>
    <row r="46" spans="1:18" outlineLevel="5">
      <c r="A46" s="1208" t="s">
        <v>717</v>
      </c>
      <c r="B46" s="1206" t="s">
        <v>3574</v>
      </c>
      <c r="C46" s="1206" t="s">
        <v>3322</v>
      </c>
      <c r="D46" s="1206" t="s">
        <v>3561</v>
      </c>
      <c r="E46" s="1206" t="s">
        <v>3582</v>
      </c>
      <c r="F46" s="1206"/>
      <c r="G46" s="1207"/>
      <c r="H46" s="1206"/>
      <c r="I46" s="1205">
        <v>0</v>
      </c>
      <c r="J46" s="1205">
        <v>0</v>
      </c>
      <c r="K46" s="1205">
        <v>0</v>
      </c>
      <c r="L46" s="1205">
        <v>0</v>
      </c>
      <c r="M46" s="1205">
        <v>0</v>
      </c>
      <c r="N46" s="1205">
        <v>0</v>
      </c>
      <c r="O46" s="1205">
        <v>0</v>
      </c>
      <c r="P46" s="1205"/>
      <c r="Q46" s="1205">
        <v>492207.3</v>
      </c>
      <c r="R46" s="1204">
        <v>0</v>
      </c>
    </row>
    <row r="47" spans="1:18" outlineLevel="5">
      <c r="A47" s="1208" t="s">
        <v>717</v>
      </c>
      <c r="B47" s="1206" t="s">
        <v>3574</v>
      </c>
      <c r="C47" s="1206" t="s">
        <v>3322</v>
      </c>
      <c r="D47" s="1206" t="s">
        <v>3561</v>
      </c>
      <c r="E47" s="1206" t="s">
        <v>3582</v>
      </c>
      <c r="F47" s="1206" t="s">
        <v>3321</v>
      </c>
      <c r="G47" s="1207" t="s">
        <v>3320</v>
      </c>
      <c r="H47" s="1206"/>
      <c r="I47" s="1205">
        <v>0</v>
      </c>
      <c r="J47" s="1205">
        <v>0</v>
      </c>
      <c r="K47" s="1205">
        <v>0</v>
      </c>
      <c r="L47" s="1205">
        <v>0</v>
      </c>
      <c r="M47" s="1205">
        <v>0</v>
      </c>
      <c r="N47" s="1205">
        <v>0</v>
      </c>
      <c r="O47" s="1205">
        <v>0</v>
      </c>
      <c r="P47" s="1205"/>
      <c r="Q47" s="1205">
        <v>817016.5</v>
      </c>
      <c r="R47" s="1204">
        <v>0</v>
      </c>
    </row>
    <row r="48" spans="1:18" outlineLevel="5">
      <c r="A48" s="1208" t="s">
        <v>717</v>
      </c>
      <c r="B48" s="1206" t="s">
        <v>3574</v>
      </c>
      <c r="C48" s="1206" t="s">
        <v>3322</v>
      </c>
      <c r="D48" s="1206" t="s">
        <v>3561</v>
      </c>
      <c r="E48" s="1206" t="s">
        <v>3582</v>
      </c>
      <c r="F48" s="1206" t="s">
        <v>3321</v>
      </c>
      <c r="G48" s="1207" t="s">
        <v>3320</v>
      </c>
      <c r="H48" s="1206" t="s">
        <v>3241</v>
      </c>
      <c r="I48" s="1205">
        <v>9000000</v>
      </c>
      <c r="J48" s="1205">
        <v>0</v>
      </c>
      <c r="K48" s="1205">
        <v>9000000</v>
      </c>
      <c r="L48" s="1205">
        <v>0</v>
      </c>
      <c r="M48" s="1205">
        <v>9000000</v>
      </c>
      <c r="N48" s="1205">
        <v>9000000</v>
      </c>
      <c r="O48" s="1205">
        <v>3889993.45</v>
      </c>
      <c r="P48" s="1205"/>
      <c r="Q48" s="1205">
        <v>0</v>
      </c>
      <c r="R48" s="1204">
        <v>5110006.55</v>
      </c>
    </row>
    <row r="49" spans="1:18" outlineLevel="2">
      <c r="A49" s="1214" t="s">
        <v>717</v>
      </c>
      <c r="B49" s="472" t="s">
        <v>3574</v>
      </c>
      <c r="C49" s="472" t="s">
        <v>3318</v>
      </c>
      <c r="D49" s="472"/>
      <c r="E49" s="472"/>
      <c r="F49" s="472"/>
      <c r="G49" s="473"/>
      <c r="H49" s="472"/>
      <c r="I49" s="474">
        <v>35000000</v>
      </c>
      <c r="J49" s="474">
        <v>0</v>
      </c>
      <c r="K49" s="474">
        <v>35000000</v>
      </c>
      <c r="L49" s="474">
        <v>0</v>
      </c>
      <c r="M49" s="474">
        <v>34415534.32</v>
      </c>
      <c r="N49" s="474">
        <v>34415534.32</v>
      </c>
      <c r="O49" s="474">
        <v>31380654.27</v>
      </c>
      <c r="P49" s="1220">
        <v>31380.653770000001</v>
      </c>
      <c r="Q49" s="474">
        <v>31380653.77</v>
      </c>
      <c r="R49" s="1213">
        <v>3619345.73</v>
      </c>
    </row>
    <row r="50" spans="1:18" outlineLevel="3">
      <c r="A50" s="1212" t="s">
        <v>717</v>
      </c>
      <c r="B50" s="477" t="s">
        <v>3574</v>
      </c>
      <c r="C50" s="477" t="s">
        <v>3318</v>
      </c>
      <c r="D50" s="477" t="s">
        <v>3561</v>
      </c>
      <c r="E50" s="477"/>
      <c r="F50" s="477"/>
      <c r="G50" s="478"/>
      <c r="H50" s="477"/>
      <c r="I50" s="479">
        <v>35000000</v>
      </c>
      <c r="J50" s="479">
        <v>0</v>
      </c>
      <c r="K50" s="479">
        <v>35000000</v>
      </c>
      <c r="L50" s="479">
        <v>0</v>
      </c>
      <c r="M50" s="479">
        <v>34415534.32</v>
      </c>
      <c r="N50" s="479">
        <v>34415534.32</v>
      </c>
      <c r="O50" s="479">
        <v>31380654.27</v>
      </c>
      <c r="P50" s="479"/>
      <c r="Q50" s="479">
        <v>31380653.77</v>
      </c>
      <c r="R50" s="1211">
        <v>3619345.73</v>
      </c>
    </row>
    <row r="51" spans="1:18" outlineLevel="4">
      <c r="A51" s="1210" t="s">
        <v>717</v>
      </c>
      <c r="B51" s="482" t="s">
        <v>3574</v>
      </c>
      <c r="C51" s="482" t="s">
        <v>3318</v>
      </c>
      <c r="D51" s="482" t="s">
        <v>3561</v>
      </c>
      <c r="E51" s="482" t="s">
        <v>3581</v>
      </c>
      <c r="F51" s="482"/>
      <c r="G51" s="831"/>
      <c r="H51" s="482"/>
      <c r="I51" s="484">
        <v>35000000</v>
      </c>
      <c r="J51" s="484">
        <v>0</v>
      </c>
      <c r="K51" s="484">
        <v>35000000</v>
      </c>
      <c r="L51" s="484">
        <v>0</v>
      </c>
      <c r="M51" s="484">
        <v>34415534.32</v>
      </c>
      <c r="N51" s="484">
        <v>34415534.32</v>
      </c>
      <c r="O51" s="484">
        <v>31380654.27</v>
      </c>
      <c r="P51" s="484"/>
      <c r="Q51" s="484">
        <v>31380653.77</v>
      </c>
      <c r="R51" s="1209">
        <v>3619345.73</v>
      </c>
    </row>
    <row r="52" spans="1:18" outlineLevel="5">
      <c r="A52" s="1208" t="s">
        <v>717</v>
      </c>
      <c r="B52" s="1206" t="s">
        <v>3574</v>
      </c>
      <c r="C52" s="1206" t="s">
        <v>3318</v>
      </c>
      <c r="D52" s="1206" t="s">
        <v>3561</v>
      </c>
      <c r="E52" s="1206" t="s">
        <v>3581</v>
      </c>
      <c r="F52" s="1206"/>
      <c r="G52" s="1207"/>
      <c r="H52" s="1206"/>
      <c r="I52" s="1205">
        <v>0</v>
      </c>
      <c r="J52" s="1205">
        <v>0</v>
      </c>
      <c r="K52" s="1205">
        <v>0</v>
      </c>
      <c r="L52" s="1205">
        <v>0</v>
      </c>
      <c r="M52" s="1205">
        <v>0</v>
      </c>
      <c r="N52" s="1205">
        <v>0</v>
      </c>
      <c r="O52" s="1205">
        <v>0</v>
      </c>
      <c r="P52" s="1205"/>
      <c r="Q52" s="1205">
        <v>16568011.810000001</v>
      </c>
      <c r="R52" s="1204">
        <v>0</v>
      </c>
    </row>
    <row r="53" spans="1:18" ht="25.5" outlineLevel="5">
      <c r="A53" s="1208" t="s">
        <v>717</v>
      </c>
      <c r="B53" s="1206" t="s">
        <v>3574</v>
      </c>
      <c r="C53" s="1206" t="s">
        <v>3318</v>
      </c>
      <c r="D53" s="1206" t="s">
        <v>3561</v>
      </c>
      <c r="E53" s="1206" t="s">
        <v>3581</v>
      </c>
      <c r="F53" s="1206" t="s">
        <v>3317</v>
      </c>
      <c r="G53" s="1207" t="s">
        <v>3192</v>
      </c>
      <c r="H53" s="1206"/>
      <c r="I53" s="1205">
        <v>0</v>
      </c>
      <c r="J53" s="1205">
        <v>0</v>
      </c>
      <c r="K53" s="1205">
        <v>0</v>
      </c>
      <c r="L53" s="1205">
        <v>0</v>
      </c>
      <c r="M53" s="1205">
        <v>0</v>
      </c>
      <c r="N53" s="1205">
        <v>0</v>
      </c>
      <c r="O53" s="1205">
        <v>0</v>
      </c>
      <c r="P53" s="1205"/>
      <c r="Q53" s="1205">
        <v>14812641.960000001</v>
      </c>
      <c r="R53" s="1204">
        <v>0</v>
      </c>
    </row>
    <row r="54" spans="1:18" ht="25.5" outlineLevel="5">
      <c r="A54" s="1208" t="s">
        <v>717</v>
      </c>
      <c r="B54" s="1206" t="s">
        <v>3574</v>
      </c>
      <c r="C54" s="1206" t="s">
        <v>3318</v>
      </c>
      <c r="D54" s="1206" t="s">
        <v>3561</v>
      </c>
      <c r="E54" s="1206" t="s">
        <v>3581</v>
      </c>
      <c r="F54" s="1206" t="s">
        <v>3317</v>
      </c>
      <c r="G54" s="1207" t="s">
        <v>3192</v>
      </c>
      <c r="H54" s="1206" t="s">
        <v>3241</v>
      </c>
      <c r="I54" s="1205">
        <v>35000000</v>
      </c>
      <c r="J54" s="1205">
        <v>0</v>
      </c>
      <c r="K54" s="1205">
        <v>35000000</v>
      </c>
      <c r="L54" s="1205">
        <v>0</v>
      </c>
      <c r="M54" s="1205">
        <v>34415534.32</v>
      </c>
      <c r="N54" s="1205">
        <v>34415534.32</v>
      </c>
      <c r="O54" s="1205">
        <v>31380654.27</v>
      </c>
      <c r="P54" s="1205"/>
      <c r="Q54" s="1205">
        <v>0</v>
      </c>
      <c r="R54" s="1204">
        <v>3619345.73</v>
      </c>
    </row>
    <row r="55" spans="1:18" outlineLevel="2">
      <c r="A55" s="1214" t="s">
        <v>717</v>
      </c>
      <c r="B55" s="472" t="s">
        <v>3574</v>
      </c>
      <c r="C55" s="472" t="s">
        <v>3313</v>
      </c>
      <c r="D55" s="472"/>
      <c r="E55" s="472"/>
      <c r="F55" s="472"/>
      <c r="G55" s="473"/>
      <c r="H55" s="472"/>
      <c r="I55" s="474">
        <v>7159100</v>
      </c>
      <c r="J55" s="474">
        <v>0</v>
      </c>
      <c r="K55" s="474">
        <v>7159100</v>
      </c>
      <c r="L55" s="474">
        <v>0</v>
      </c>
      <c r="M55" s="474">
        <v>7154056.4800000004</v>
      </c>
      <c r="N55" s="474">
        <v>7154056.4800000004</v>
      </c>
      <c r="O55" s="474">
        <v>4104011.55</v>
      </c>
      <c r="P55" s="474"/>
      <c r="Q55" s="474">
        <v>4104011.55</v>
      </c>
      <c r="R55" s="1213">
        <v>3055088.45</v>
      </c>
    </row>
    <row r="56" spans="1:18" outlineLevel="3">
      <c r="A56" s="1212" t="s">
        <v>717</v>
      </c>
      <c r="B56" s="477" t="s">
        <v>3574</v>
      </c>
      <c r="C56" s="477" t="s">
        <v>3313</v>
      </c>
      <c r="D56" s="477" t="s">
        <v>3553</v>
      </c>
      <c r="E56" s="477"/>
      <c r="F56" s="477"/>
      <c r="G56" s="478"/>
      <c r="H56" s="477"/>
      <c r="I56" s="479">
        <v>7159100</v>
      </c>
      <c r="J56" s="479">
        <v>0</v>
      </c>
      <c r="K56" s="479">
        <v>7159100</v>
      </c>
      <c r="L56" s="479">
        <v>0</v>
      </c>
      <c r="M56" s="479">
        <v>7154056.4800000004</v>
      </c>
      <c r="N56" s="479">
        <v>7154056.4800000004</v>
      </c>
      <c r="O56" s="479">
        <v>4104011.55</v>
      </c>
      <c r="P56" s="479"/>
      <c r="Q56" s="479">
        <v>4104011.55</v>
      </c>
      <c r="R56" s="1211">
        <v>3055088.45</v>
      </c>
    </row>
    <row r="57" spans="1:18" outlineLevel="4">
      <c r="A57" s="1210" t="s">
        <v>717</v>
      </c>
      <c r="B57" s="482" t="s">
        <v>3574</v>
      </c>
      <c r="C57" s="482" t="s">
        <v>3313</v>
      </c>
      <c r="D57" s="482" t="s">
        <v>3553</v>
      </c>
      <c r="E57" s="482" t="s">
        <v>3550</v>
      </c>
      <c r="F57" s="482"/>
      <c r="G57" s="831"/>
      <c r="H57" s="482"/>
      <c r="I57" s="484">
        <v>7159100</v>
      </c>
      <c r="J57" s="484">
        <v>0</v>
      </c>
      <c r="K57" s="484">
        <v>7159100</v>
      </c>
      <c r="L57" s="484">
        <v>0</v>
      </c>
      <c r="M57" s="484">
        <v>7154056.4800000004</v>
      </c>
      <c r="N57" s="484">
        <v>7154056.4800000004</v>
      </c>
      <c r="O57" s="484">
        <v>4104011.55</v>
      </c>
      <c r="P57" s="484"/>
      <c r="Q57" s="484">
        <v>4104011.55</v>
      </c>
      <c r="R57" s="1209">
        <v>3055088.45</v>
      </c>
    </row>
    <row r="58" spans="1:18" ht="25.5" outlineLevel="5">
      <c r="A58" s="1208" t="s">
        <v>717</v>
      </c>
      <c r="B58" s="1206" t="s">
        <v>3574</v>
      </c>
      <c r="C58" s="1206" t="s">
        <v>3313</v>
      </c>
      <c r="D58" s="1206" t="s">
        <v>3553</v>
      </c>
      <c r="E58" s="1206" t="s">
        <v>3550</v>
      </c>
      <c r="F58" s="1206" t="s">
        <v>3315</v>
      </c>
      <c r="G58" s="1207" t="s">
        <v>3314</v>
      </c>
      <c r="H58" s="1206"/>
      <c r="I58" s="1205">
        <v>0</v>
      </c>
      <c r="J58" s="1205">
        <v>0</v>
      </c>
      <c r="K58" s="1205">
        <v>0</v>
      </c>
      <c r="L58" s="1205">
        <v>0</v>
      </c>
      <c r="M58" s="1205">
        <v>0</v>
      </c>
      <c r="N58" s="1205">
        <v>0</v>
      </c>
      <c r="O58" s="1205">
        <v>0</v>
      </c>
      <c r="P58" s="1205"/>
      <c r="Q58" s="1205">
        <v>1120500</v>
      </c>
      <c r="R58" s="1204">
        <v>0</v>
      </c>
    </row>
    <row r="59" spans="1:18" ht="25.5" outlineLevel="5">
      <c r="A59" s="1208" t="s">
        <v>717</v>
      </c>
      <c r="B59" s="1206" t="s">
        <v>3574</v>
      </c>
      <c r="C59" s="1206" t="s">
        <v>3313</v>
      </c>
      <c r="D59" s="1206" t="s">
        <v>3553</v>
      </c>
      <c r="E59" s="1206" t="s">
        <v>3550</v>
      </c>
      <c r="F59" s="1206" t="s">
        <v>3315</v>
      </c>
      <c r="G59" s="1207" t="s">
        <v>3314</v>
      </c>
      <c r="H59" s="1206" t="s">
        <v>3241</v>
      </c>
      <c r="I59" s="1205">
        <v>3159100</v>
      </c>
      <c r="J59" s="1205">
        <v>0</v>
      </c>
      <c r="K59" s="1205">
        <v>3159100</v>
      </c>
      <c r="L59" s="1205">
        <v>0</v>
      </c>
      <c r="M59" s="1205">
        <v>3154118.8</v>
      </c>
      <c r="N59" s="1205">
        <v>3154118.8</v>
      </c>
      <c r="O59" s="1205">
        <v>1120500</v>
      </c>
      <c r="P59" s="1205"/>
      <c r="Q59" s="1205">
        <v>0</v>
      </c>
      <c r="R59" s="1204">
        <v>2038600</v>
      </c>
    </row>
    <row r="60" spans="1:18" ht="89.25" outlineLevel="5">
      <c r="A60" s="1208" t="s">
        <v>717</v>
      </c>
      <c r="B60" s="1206" t="s">
        <v>3574</v>
      </c>
      <c r="C60" s="1206" t="s">
        <v>3313</v>
      </c>
      <c r="D60" s="1206" t="s">
        <v>3553</v>
      </c>
      <c r="E60" s="1206" t="s">
        <v>3550</v>
      </c>
      <c r="F60" s="1206" t="s">
        <v>3312</v>
      </c>
      <c r="G60" s="1207" t="s">
        <v>3178</v>
      </c>
      <c r="H60" s="1206"/>
      <c r="I60" s="1205">
        <v>0</v>
      </c>
      <c r="J60" s="1205">
        <v>0</v>
      </c>
      <c r="K60" s="1205">
        <v>0</v>
      </c>
      <c r="L60" s="1205">
        <v>0</v>
      </c>
      <c r="M60" s="1205">
        <v>0</v>
      </c>
      <c r="N60" s="1205">
        <v>0</v>
      </c>
      <c r="O60" s="1205">
        <v>0</v>
      </c>
      <c r="P60" s="1205"/>
      <c r="Q60" s="1205">
        <v>2983511.55</v>
      </c>
      <c r="R60" s="1204">
        <v>0</v>
      </c>
    </row>
    <row r="61" spans="1:18" ht="89.25" outlineLevel="5">
      <c r="A61" s="1208" t="s">
        <v>717</v>
      </c>
      <c r="B61" s="1206" t="s">
        <v>3574</v>
      </c>
      <c r="C61" s="1206" t="s">
        <v>3313</v>
      </c>
      <c r="D61" s="1206" t="s">
        <v>3553</v>
      </c>
      <c r="E61" s="1206" t="s">
        <v>3550</v>
      </c>
      <c r="F61" s="1206" t="s">
        <v>3312</v>
      </c>
      <c r="G61" s="1207" t="s">
        <v>3178</v>
      </c>
      <c r="H61" s="1206" t="s">
        <v>3241</v>
      </c>
      <c r="I61" s="1205">
        <v>4000000</v>
      </c>
      <c r="J61" s="1205">
        <v>0</v>
      </c>
      <c r="K61" s="1205">
        <v>4000000</v>
      </c>
      <c r="L61" s="1205">
        <v>0</v>
      </c>
      <c r="M61" s="1205">
        <v>3999937.68</v>
      </c>
      <c r="N61" s="1205">
        <v>3999937.68</v>
      </c>
      <c r="O61" s="1205">
        <v>2983511.55</v>
      </c>
      <c r="P61" s="1205"/>
      <c r="Q61" s="1205">
        <v>0</v>
      </c>
      <c r="R61" s="1204">
        <v>1016488.45</v>
      </c>
    </row>
    <row r="62" spans="1:18" outlineLevel="2">
      <c r="A62" s="1214" t="s">
        <v>717</v>
      </c>
      <c r="B62" s="472" t="s">
        <v>3574</v>
      </c>
      <c r="C62" s="472" t="s">
        <v>3311</v>
      </c>
      <c r="D62" s="472"/>
      <c r="E62" s="472"/>
      <c r="F62" s="472"/>
      <c r="G62" s="473"/>
      <c r="H62" s="472"/>
      <c r="I62" s="474">
        <v>1692765.96</v>
      </c>
      <c r="J62" s="474">
        <v>-505923.96</v>
      </c>
      <c r="K62" s="474">
        <v>1186842</v>
      </c>
      <c r="L62" s="474">
        <v>1934680.85</v>
      </c>
      <c r="M62" s="474">
        <v>-747838.85</v>
      </c>
      <c r="N62" s="474">
        <v>1186842</v>
      </c>
      <c r="O62" s="474">
        <v>1186842</v>
      </c>
      <c r="P62" s="474"/>
      <c r="Q62" s="474">
        <v>1186842</v>
      </c>
      <c r="R62" s="1213">
        <v>0</v>
      </c>
    </row>
    <row r="63" spans="1:18" outlineLevel="3">
      <c r="A63" s="1212" t="s">
        <v>717</v>
      </c>
      <c r="B63" s="477" t="s">
        <v>3574</v>
      </c>
      <c r="C63" s="477" t="s">
        <v>3311</v>
      </c>
      <c r="D63" s="477" t="s">
        <v>3553</v>
      </c>
      <c r="E63" s="477"/>
      <c r="F63" s="477"/>
      <c r="G63" s="478"/>
      <c r="H63" s="477"/>
      <c r="I63" s="479">
        <v>1692765.96</v>
      </c>
      <c r="J63" s="479">
        <v>-505923.96</v>
      </c>
      <c r="K63" s="479">
        <v>1186842</v>
      </c>
      <c r="L63" s="479">
        <v>1934680.85</v>
      </c>
      <c r="M63" s="479">
        <v>-747838.85</v>
      </c>
      <c r="N63" s="479">
        <v>1186842</v>
      </c>
      <c r="O63" s="479">
        <v>1186842</v>
      </c>
      <c r="P63" s="479">
        <v>1186.8420000000001</v>
      </c>
      <c r="Q63" s="479">
        <v>1186842</v>
      </c>
      <c r="R63" s="1211">
        <v>0</v>
      </c>
    </row>
    <row r="64" spans="1:18" outlineLevel="4">
      <c r="A64" s="1210" t="s">
        <v>717</v>
      </c>
      <c r="B64" s="482" t="s">
        <v>3574</v>
      </c>
      <c r="C64" s="482" t="s">
        <v>3311</v>
      </c>
      <c r="D64" s="482" t="s">
        <v>3553</v>
      </c>
      <c r="E64" s="482"/>
      <c r="F64" s="482"/>
      <c r="G64" s="831"/>
      <c r="H64" s="482"/>
      <c r="I64" s="484">
        <v>0</v>
      </c>
      <c r="J64" s="484">
        <v>0</v>
      </c>
      <c r="K64" s="484">
        <v>0</v>
      </c>
      <c r="L64" s="484">
        <v>0</v>
      </c>
      <c r="M64" s="484">
        <v>0</v>
      </c>
      <c r="N64" s="484">
        <v>0</v>
      </c>
      <c r="O64" s="484">
        <v>0</v>
      </c>
      <c r="P64" s="484"/>
      <c r="Q64" s="484">
        <v>71210.52</v>
      </c>
      <c r="R64" s="1209">
        <v>0</v>
      </c>
    </row>
    <row r="65" spans="1:18" ht="38.25" outlineLevel="5">
      <c r="A65" s="1208" t="s">
        <v>717</v>
      </c>
      <c r="B65" s="1206" t="s">
        <v>3574</v>
      </c>
      <c r="C65" s="1206" t="s">
        <v>3311</v>
      </c>
      <c r="D65" s="1206" t="s">
        <v>3553</v>
      </c>
      <c r="E65" s="1206"/>
      <c r="F65" s="1206" t="s">
        <v>3310</v>
      </c>
      <c r="G65" s="1207" t="s">
        <v>655</v>
      </c>
      <c r="H65" s="1206" t="s">
        <v>3241</v>
      </c>
      <c r="I65" s="1205">
        <v>0</v>
      </c>
      <c r="J65" s="1205">
        <v>0</v>
      </c>
      <c r="K65" s="1205">
        <v>0</v>
      </c>
      <c r="L65" s="1205">
        <v>0</v>
      </c>
      <c r="M65" s="1205">
        <v>0</v>
      </c>
      <c r="N65" s="1205">
        <v>0</v>
      </c>
      <c r="O65" s="1205">
        <v>0</v>
      </c>
      <c r="P65" s="1205"/>
      <c r="Q65" s="1205">
        <v>71210.52</v>
      </c>
      <c r="R65" s="1204">
        <v>0</v>
      </c>
    </row>
    <row r="66" spans="1:18" outlineLevel="4">
      <c r="A66" s="1210" t="s">
        <v>717</v>
      </c>
      <c r="B66" s="482" t="s">
        <v>3574</v>
      </c>
      <c r="C66" s="482" t="s">
        <v>3311</v>
      </c>
      <c r="D66" s="482" t="s">
        <v>3553</v>
      </c>
      <c r="E66" s="482" t="s">
        <v>3580</v>
      </c>
      <c r="F66" s="482"/>
      <c r="G66" s="831"/>
      <c r="H66" s="482"/>
      <c r="I66" s="484">
        <v>1692765.96</v>
      </c>
      <c r="J66" s="484">
        <v>-1692765.96</v>
      </c>
      <c r="K66" s="484">
        <v>0</v>
      </c>
      <c r="L66" s="484">
        <v>1934680.85</v>
      </c>
      <c r="M66" s="484">
        <v>-1934680.85</v>
      </c>
      <c r="N66" s="484">
        <v>0</v>
      </c>
      <c r="O66" s="484">
        <v>0</v>
      </c>
      <c r="P66" s="484"/>
      <c r="Q66" s="484">
        <v>0</v>
      </c>
      <c r="R66" s="1209">
        <v>0</v>
      </c>
    </row>
    <row r="67" spans="1:18" ht="38.25" outlineLevel="5">
      <c r="A67" s="1208" t="s">
        <v>717</v>
      </c>
      <c r="B67" s="1206" t="s">
        <v>3574</v>
      </c>
      <c r="C67" s="1206" t="s">
        <v>3311</v>
      </c>
      <c r="D67" s="1206" t="s">
        <v>3553</v>
      </c>
      <c r="E67" s="1206" t="s">
        <v>3580</v>
      </c>
      <c r="F67" s="1206" t="s">
        <v>3310</v>
      </c>
      <c r="G67" s="1207" t="s">
        <v>655</v>
      </c>
      <c r="H67" s="1206" t="s">
        <v>3257</v>
      </c>
      <c r="I67" s="1205">
        <v>1591200</v>
      </c>
      <c r="J67" s="1205">
        <v>-1591200</v>
      </c>
      <c r="K67" s="1205">
        <v>0</v>
      </c>
      <c r="L67" s="1205">
        <v>1818600</v>
      </c>
      <c r="M67" s="1205">
        <v>-1818600</v>
      </c>
      <c r="N67" s="1205">
        <v>0</v>
      </c>
      <c r="O67" s="1205">
        <v>0</v>
      </c>
      <c r="P67" s="1205"/>
      <c r="Q67" s="1205">
        <v>0</v>
      </c>
      <c r="R67" s="1204">
        <v>0</v>
      </c>
    </row>
    <row r="68" spans="1:18" ht="38.25" outlineLevel="5">
      <c r="A68" s="1208" t="s">
        <v>717</v>
      </c>
      <c r="B68" s="1206" t="s">
        <v>3574</v>
      </c>
      <c r="C68" s="1206" t="s">
        <v>3311</v>
      </c>
      <c r="D68" s="1206" t="s">
        <v>3553</v>
      </c>
      <c r="E68" s="1206" t="s">
        <v>3580</v>
      </c>
      <c r="F68" s="1206" t="s">
        <v>3310</v>
      </c>
      <c r="G68" s="1207" t="s">
        <v>655</v>
      </c>
      <c r="H68" s="1206" t="s">
        <v>3241</v>
      </c>
      <c r="I68" s="1205">
        <v>101565.96</v>
      </c>
      <c r="J68" s="1205">
        <v>-101565.96</v>
      </c>
      <c r="K68" s="1205">
        <v>0</v>
      </c>
      <c r="L68" s="1205">
        <v>116080.85</v>
      </c>
      <c r="M68" s="1205">
        <v>-116080.85</v>
      </c>
      <c r="N68" s="1205">
        <v>0</v>
      </c>
      <c r="O68" s="1205">
        <v>0</v>
      </c>
      <c r="P68" s="1205"/>
      <c r="Q68" s="1205">
        <v>0</v>
      </c>
      <c r="R68" s="1204">
        <v>0</v>
      </c>
    </row>
    <row r="69" spans="1:18" outlineLevel="4">
      <c r="A69" s="1210" t="s">
        <v>717</v>
      </c>
      <c r="B69" s="482" t="s">
        <v>3574</v>
      </c>
      <c r="C69" s="482" t="s">
        <v>3311</v>
      </c>
      <c r="D69" s="482" t="s">
        <v>3553</v>
      </c>
      <c r="E69" s="482" t="s">
        <v>3579</v>
      </c>
      <c r="F69" s="482"/>
      <c r="G69" s="831"/>
      <c r="H69" s="482"/>
      <c r="I69" s="484">
        <v>0</v>
      </c>
      <c r="J69" s="484">
        <v>1186842</v>
      </c>
      <c r="K69" s="484">
        <v>1186842</v>
      </c>
      <c r="L69" s="484">
        <v>0</v>
      </c>
      <c r="M69" s="484">
        <v>1186842</v>
      </c>
      <c r="N69" s="484">
        <v>1186842</v>
      </c>
      <c r="O69" s="484">
        <v>1186842</v>
      </c>
      <c r="P69" s="484"/>
      <c r="Q69" s="484">
        <v>1115631.48</v>
      </c>
      <c r="R69" s="1209">
        <v>0</v>
      </c>
    </row>
    <row r="70" spans="1:18" ht="38.25" outlineLevel="5">
      <c r="A70" s="1208" t="s">
        <v>717</v>
      </c>
      <c r="B70" s="1206" t="s">
        <v>3574</v>
      </c>
      <c r="C70" s="1206" t="s">
        <v>3311</v>
      </c>
      <c r="D70" s="1206" t="s">
        <v>3553</v>
      </c>
      <c r="E70" s="1206" t="s">
        <v>3579</v>
      </c>
      <c r="F70" s="1206" t="s">
        <v>3310</v>
      </c>
      <c r="G70" s="1207" t="s">
        <v>655</v>
      </c>
      <c r="H70" s="1206"/>
      <c r="I70" s="1205">
        <v>0</v>
      </c>
      <c r="J70" s="1205">
        <v>0</v>
      </c>
      <c r="K70" s="1205">
        <v>0</v>
      </c>
      <c r="L70" s="1205">
        <v>0</v>
      </c>
      <c r="M70" s="1205">
        <v>0</v>
      </c>
      <c r="N70" s="1205">
        <v>0</v>
      </c>
      <c r="O70" s="1205">
        <v>0</v>
      </c>
      <c r="P70" s="1205"/>
      <c r="Q70" s="1205">
        <v>1186842</v>
      </c>
      <c r="R70" s="1204">
        <v>0</v>
      </c>
    </row>
    <row r="71" spans="1:18" ht="38.25" outlineLevel="5">
      <c r="A71" s="1208" t="s">
        <v>717</v>
      </c>
      <c r="B71" s="1206" t="s">
        <v>3574</v>
      </c>
      <c r="C71" s="1206" t="s">
        <v>3311</v>
      </c>
      <c r="D71" s="1206" t="s">
        <v>3553</v>
      </c>
      <c r="E71" s="1206" t="s">
        <v>3579</v>
      </c>
      <c r="F71" s="1206" t="s">
        <v>3310</v>
      </c>
      <c r="G71" s="1207" t="s">
        <v>655</v>
      </c>
      <c r="H71" s="1206" t="s">
        <v>3257</v>
      </c>
      <c r="I71" s="1205">
        <v>0</v>
      </c>
      <c r="J71" s="1205">
        <v>1115631.48</v>
      </c>
      <c r="K71" s="1205">
        <v>1115631.48</v>
      </c>
      <c r="L71" s="1205">
        <v>0</v>
      </c>
      <c r="M71" s="1205">
        <v>1115631.48</v>
      </c>
      <c r="N71" s="1205">
        <v>1115631.48</v>
      </c>
      <c r="O71" s="1205">
        <v>1115631.48</v>
      </c>
      <c r="P71" s="1205"/>
      <c r="Q71" s="1205">
        <v>-71210.52</v>
      </c>
      <c r="R71" s="1204">
        <v>0</v>
      </c>
    </row>
    <row r="72" spans="1:18" ht="38.25" outlineLevel="5">
      <c r="A72" s="1208" t="s">
        <v>717</v>
      </c>
      <c r="B72" s="1206" t="s">
        <v>3574</v>
      </c>
      <c r="C72" s="1206" t="s">
        <v>3311</v>
      </c>
      <c r="D72" s="1206" t="s">
        <v>3553</v>
      </c>
      <c r="E72" s="1206" t="s">
        <v>3579</v>
      </c>
      <c r="F72" s="1206" t="s">
        <v>3310</v>
      </c>
      <c r="G72" s="1207" t="s">
        <v>655</v>
      </c>
      <c r="H72" s="1206" t="s">
        <v>3241</v>
      </c>
      <c r="I72" s="1205">
        <v>0</v>
      </c>
      <c r="J72" s="1205">
        <v>71210.52</v>
      </c>
      <c r="K72" s="1205">
        <v>71210.52</v>
      </c>
      <c r="L72" s="1205">
        <v>0</v>
      </c>
      <c r="M72" s="1205">
        <v>71210.52</v>
      </c>
      <c r="N72" s="1205">
        <v>71210.52</v>
      </c>
      <c r="O72" s="1205">
        <v>71210.52</v>
      </c>
      <c r="P72" s="1205"/>
      <c r="Q72" s="1205">
        <v>0</v>
      </c>
      <c r="R72" s="1204">
        <v>0</v>
      </c>
    </row>
    <row r="73" spans="1:18" outlineLevel="2">
      <c r="A73" s="1214" t="s">
        <v>717</v>
      </c>
      <c r="B73" s="472" t="s">
        <v>3574</v>
      </c>
      <c r="C73" s="472" t="s">
        <v>3269</v>
      </c>
      <c r="D73" s="472"/>
      <c r="E73" s="472"/>
      <c r="F73" s="472"/>
      <c r="G73" s="473"/>
      <c r="H73" s="472"/>
      <c r="I73" s="474">
        <v>24463944.170000002</v>
      </c>
      <c r="J73" s="474">
        <v>-6115986.4699999997</v>
      </c>
      <c r="K73" s="474">
        <v>18347957.699999999</v>
      </c>
      <c r="L73" s="474">
        <v>0</v>
      </c>
      <c r="M73" s="474">
        <v>18347957.699999999</v>
      </c>
      <c r="N73" s="474">
        <v>18347957.699999999</v>
      </c>
      <c r="O73" s="474">
        <v>0</v>
      </c>
      <c r="P73" s="474"/>
      <c r="Q73" s="474">
        <v>0</v>
      </c>
      <c r="R73" s="1213">
        <v>18347957.699999999</v>
      </c>
    </row>
    <row r="74" spans="1:18" outlineLevel="3">
      <c r="A74" s="1212" t="s">
        <v>717</v>
      </c>
      <c r="B74" s="477" t="s">
        <v>3574</v>
      </c>
      <c r="C74" s="477" t="s">
        <v>3269</v>
      </c>
      <c r="D74" s="477" t="s">
        <v>3561</v>
      </c>
      <c r="E74" s="477"/>
      <c r="F74" s="477"/>
      <c r="G74" s="478"/>
      <c r="H74" s="477"/>
      <c r="I74" s="479">
        <v>24463944.170000002</v>
      </c>
      <c r="J74" s="479">
        <v>-6115986.4699999997</v>
      </c>
      <c r="K74" s="479">
        <v>18347957.699999999</v>
      </c>
      <c r="L74" s="479">
        <v>0</v>
      </c>
      <c r="M74" s="479">
        <v>18347957.699999999</v>
      </c>
      <c r="N74" s="479">
        <v>18347957.699999999</v>
      </c>
      <c r="O74" s="479">
        <v>0</v>
      </c>
      <c r="P74" s="479"/>
      <c r="Q74" s="479">
        <v>0</v>
      </c>
      <c r="R74" s="1211">
        <v>18347957.699999999</v>
      </c>
    </row>
    <row r="75" spans="1:18" outlineLevel="4">
      <c r="A75" s="1210" t="s">
        <v>717</v>
      </c>
      <c r="B75" s="482" t="s">
        <v>3574</v>
      </c>
      <c r="C75" s="482" t="s">
        <v>3269</v>
      </c>
      <c r="D75" s="482" t="s">
        <v>3561</v>
      </c>
      <c r="E75" s="482" t="s">
        <v>3578</v>
      </c>
      <c r="F75" s="482"/>
      <c r="G75" s="831"/>
      <c r="H75" s="482"/>
      <c r="I75" s="484">
        <v>24463944.170000002</v>
      </c>
      <c r="J75" s="484">
        <v>-6115986.4699999997</v>
      </c>
      <c r="K75" s="484">
        <v>18347957.699999999</v>
      </c>
      <c r="L75" s="484">
        <v>0</v>
      </c>
      <c r="M75" s="484">
        <v>18347957.699999999</v>
      </c>
      <c r="N75" s="484">
        <v>18347957.699999999</v>
      </c>
      <c r="O75" s="484">
        <v>0</v>
      </c>
      <c r="P75" s="484"/>
      <c r="Q75" s="484">
        <v>0</v>
      </c>
      <c r="R75" s="1209">
        <v>18347957.699999999</v>
      </c>
    </row>
    <row r="76" spans="1:18" ht="51" outlineLevel="5">
      <c r="A76" s="1208" t="s">
        <v>717</v>
      </c>
      <c r="B76" s="1206" t="s">
        <v>3574</v>
      </c>
      <c r="C76" s="1206" t="s">
        <v>3269</v>
      </c>
      <c r="D76" s="1206" t="s">
        <v>3561</v>
      </c>
      <c r="E76" s="1206" t="s">
        <v>3578</v>
      </c>
      <c r="F76" s="1206" t="s">
        <v>3268</v>
      </c>
      <c r="G76" s="1207" t="s">
        <v>670</v>
      </c>
      <c r="H76" s="1206" t="s">
        <v>3241</v>
      </c>
      <c r="I76" s="1205">
        <v>24463944.170000002</v>
      </c>
      <c r="J76" s="1205">
        <v>-6115986.4699999997</v>
      </c>
      <c r="K76" s="1205">
        <v>18347957.699999999</v>
      </c>
      <c r="L76" s="1205">
        <v>0</v>
      </c>
      <c r="M76" s="1205">
        <v>18347957.699999999</v>
      </c>
      <c r="N76" s="1205">
        <v>18347957.699999999</v>
      </c>
      <c r="O76" s="1205">
        <v>0</v>
      </c>
      <c r="P76" s="1205"/>
      <c r="Q76" s="1205">
        <v>0</v>
      </c>
      <c r="R76" s="1204">
        <v>18347957.699999999</v>
      </c>
    </row>
    <row r="77" spans="1:18" outlineLevel="2">
      <c r="A77" s="1214" t="s">
        <v>717</v>
      </c>
      <c r="B77" s="472" t="s">
        <v>3574</v>
      </c>
      <c r="C77" s="472" t="s">
        <v>3577</v>
      </c>
      <c r="D77" s="472"/>
      <c r="E77" s="472"/>
      <c r="F77" s="472"/>
      <c r="G77" s="473"/>
      <c r="H77" s="472"/>
      <c r="I77" s="474">
        <v>0</v>
      </c>
      <c r="J77" s="474">
        <v>0</v>
      </c>
      <c r="K77" s="474">
        <v>0</v>
      </c>
      <c r="L77" s="474">
        <v>42553191.490000002</v>
      </c>
      <c r="M77" s="474">
        <v>-42553191.490000002</v>
      </c>
      <c r="N77" s="474">
        <v>0</v>
      </c>
      <c r="O77" s="474">
        <v>0</v>
      </c>
      <c r="P77" s="474"/>
      <c r="Q77" s="474">
        <v>0</v>
      </c>
      <c r="R77" s="1213">
        <v>0</v>
      </c>
    </row>
    <row r="78" spans="1:18" outlineLevel="3">
      <c r="A78" s="1212" t="s">
        <v>717</v>
      </c>
      <c r="B78" s="477" t="s">
        <v>3574</v>
      </c>
      <c r="C78" s="477" t="s">
        <v>3577</v>
      </c>
      <c r="D78" s="477" t="s">
        <v>3553</v>
      </c>
      <c r="E78" s="477"/>
      <c r="F78" s="477"/>
      <c r="G78" s="478"/>
      <c r="H78" s="477"/>
      <c r="I78" s="479">
        <v>0</v>
      </c>
      <c r="J78" s="479">
        <v>0</v>
      </c>
      <c r="K78" s="479">
        <v>0</v>
      </c>
      <c r="L78" s="479">
        <v>42553191.490000002</v>
      </c>
      <c r="M78" s="479">
        <v>-42553191.490000002</v>
      </c>
      <c r="N78" s="479">
        <v>0</v>
      </c>
      <c r="O78" s="479">
        <v>0</v>
      </c>
      <c r="P78" s="479"/>
      <c r="Q78" s="479">
        <v>0</v>
      </c>
      <c r="R78" s="1211">
        <v>0</v>
      </c>
    </row>
    <row r="79" spans="1:18" outlineLevel="4">
      <c r="A79" s="1210" t="s">
        <v>717</v>
      </c>
      <c r="B79" s="482" t="s">
        <v>3574</v>
      </c>
      <c r="C79" s="482" t="s">
        <v>3577</v>
      </c>
      <c r="D79" s="482" t="s">
        <v>3553</v>
      </c>
      <c r="E79" s="482" t="s">
        <v>3576</v>
      </c>
      <c r="F79" s="482"/>
      <c r="G79" s="831"/>
      <c r="H79" s="482"/>
      <c r="I79" s="484">
        <v>0</v>
      </c>
      <c r="J79" s="484">
        <v>0</v>
      </c>
      <c r="K79" s="484">
        <v>0</v>
      </c>
      <c r="L79" s="484">
        <v>42553191.490000002</v>
      </c>
      <c r="M79" s="484">
        <v>-42553191.490000002</v>
      </c>
      <c r="N79" s="484">
        <v>0</v>
      </c>
      <c r="O79" s="484">
        <v>0</v>
      </c>
      <c r="P79" s="484"/>
      <c r="Q79" s="484">
        <v>0</v>
      </c>
      <c r="R79" s="1209">
        <v>0</v>
      </c>
    </row>
    <row r="80" spans="1:18" ht="38.25" outlineLevel="5">
      <c r="A80" s="1208" t="s">
        <v>717</v>
      </c>
      <c r="B80" s="1206" t="s">
        <v>3574</v>
      </c>
      <c r="C80" s="1206" t="s">
        <v>3577</v>
      </c>
      <c r="D80" s="1206" t="s">
        <v>3553</v>
      </c>
      <c r="E80" s="1206" t="s">
        <v>3576</v>
      </c>
      <c r="F80" s="1206" t="s">
        <v>3263</v>
      </c>
      <c r="G80" s="1207" t="s">
        <v>3018</v>
      </c>
      <c r="H80" s="1206" t="s">
        <v>3257</v>
      </c>
      <c r="I80" s="1205">
        <v>0</v>
      </c>
      <c r="J80" s="1205">
        <v>0</v>
      </c>
      <c r="K80" s="1205">
        <v>0</v>
      </c>
      <c r="L80" s="1205">
        <v>40000000</v>
      </c>
      <c r="M80" s="1205">
        <v>-40000000</v>
      </c>
      <c r="N80" s="1205">
        <v>0</v>
      </c>
      <c r="O80" s="1205">
        <v>0</v>
      </c>
      <c r="P80" s="1205"/>
      <c r="Q80" s="1205">
        <v>0</v>
      </c>
      <c r="R80" s="1204">
        <v>0</v>
      </c>
    </row>
    <row r="81" spans="1:18" ht="38.25" outlineLevel="5">
      <c r="A81" s="1208" t="s">
        <v>717</v>
      </c>
      <c r="B81" s="1206" t="s">
        <v>3574</v>
      </c>
      <c r="C81" s="1206" t="s">
        <v>3577</v>
      </c>
      <c r="D81" s="1206" t="s">
        <v>3553</v>
      </c>
      <c r="E81" s="1206" t="s">
        <v>3576</v>
      </c>
      <c r="F81" s="1206" t="s">
        <v>3263</v>
      </c>
      <c r="G81" s="1207" t="s">
        <v>3018</v>
      </c>
      <c r="H81" s="1206" t="s">
        <v>3241</v>
      </c>
      <c r="I81" s="1205">
        <v>0</v>
      </c>
      <c r="J81" s="1205">
        <v>0</v>
      </c>
      <c r="K81" s="1205">
        <v>0</v>
      </c>
      <c r="L81" s="1205">
        <v>2553191.4900000002</v>
      </c>
      <c r="M81" s="1205">
        <v>-2553191.4900000002</v>
      </c>
      <c r="N81" s="1205">
        <v>0</v>
      </c>
      <c r="O81" s="1205">
        <v>0</v>
      </c>
      <c r="P81" s="1205"/>
      <c r="Q81" s="1205">
        <v>0</v>
      </c>
      <c r="R81" s="1204">
        <v>0</v>
      </c>
    </row>
    <row r="82" spans="1:18" outlineLevel="2">
      <c r="A82" s="1214" t="s">
        <v>717</v>
      </c>
      <c r="B82" s="472" t="s">
        <v>3574</v>
      </c>
      <c r="C82" s="472" t="s">
        <v>3264</v>
      </c>
      <c r="D82" s="472"/>
      <c r="E82" s="472"/>
      <c r="F82" s="472"/>
      <c r="G82" s="473"/>
      <c r="H82" s="472"/>
      <c r="I82" s="474">
        <v>0</v>
      </c>
      <c r="J82" s="474">
        <v>7025221.1299999999</v>
      </c>
      <c r="K82" s="474">
        <v>7025221.1299999999</v>
      </c>
      <c r="L82" s="474">
        <v>0</v>
      </c>
      <c r="M82" s="474">
        <v>7025221.1299999999</v>
      </c>
      <c r="N82" s="474">
        <v>7025221.1299999999</v>
      </c>
      <c r="O82" s="474">
        <v>5671830.4199999999</v>
      </c>
      <c r="P82" s="474"/>
      <c r="Q82" s="474">
        <v>5671830.4199999999</v>
      </c>
      <c r="R82" s="1213">
        <v>1353390.71</v>
      </c>
    </row>
    <row r="83" spans="1:18" outlineLevel="3">
      <c r="A83" s="1212" t="s">
        <v>717</v>
      </c>
      <c r="B83" s="477" t="s">
        <v>3574</v>
      </c>
      <c r="C83" s="477" t="s">
        <v>3264</v>
      </c>
      <c r="D83" s="477" t="s">
        <v>3553</v>
      </c>
      <c r="E83" s="477"/>
      <c r="F83" s="477"/>
      <c r="G83" s="478"/>
      <c r="H83" s="477"/>
      <c r="I83" s="479">
        <v>0</v>
      </c>
      <c r="J83" s="479">
        <v>7025221.1299999999</v>
      </c>
      <c r="K83" s="479">
        <v>7025221.1299999999</v>
      </c>
      <c r="L83" s="479">
        <v>0</v>
      </c>
      <c r="M83" s="479">
        <v>7025221.1299999999</v>
      </c>
      <c r="N83" s="479">
        <v>7025221.1299999999</v>
      </c>
      <c r="O83" s="479">
        <v>5671830.4199999999</v>
      </c>
      <c r="P83" s="479"/>
      <c r="Q83" s="479">
        <v>5671830.4199999999</v>
      </c>
      <c r="R83" s="1211">
        <v>1353390.71</v>
      </c>
    </row>
    <row r="84" spans="1:18" outlineLevel="4">
      <c r="A84" s="1210" t="s">
        <v>717</v>
      </c>
      <c r="B84" s="482" t="s">
        <v>3574</v>
      </c>
      <c r="C84" s="482" t="s">
        <v>3264</v>
      </c>
      <c r="D84" s="482" t="s">
        <v>3553</v>
      </c>
      <c r="E84" s="482"/>
      <c r="F84" s="482"/>
      <c r="G84" s="831"/>
      <c r="H84" s="482"/>
      <c r="I84" s="484">
        <v>0</v>
      </c>
      <c r="J84" s="484">
        <v>0</v>
      </c>
      <c r="K84" s="484">
        <v>0</v>
      </c>
      <c r="L84" s="484">
        <v>0</v>
      </c>
      <c r="M84" s="484">
        <v>0</v>
      </c>
      <c r="N84" s="484">
        <v>0</v>
      </c>
      <c r="O84" s="484">
        <v>0</v>
      </c>
      <c r="P84" s="484"/>
      <c r="Q84" s="484">
        <v>1644836.48</v>
      </c>
      <c r="R84" s="1209">
        <v>0</v>
      </c>
    </row>
    <row r="85" spans="1:18" outlineLevel="5">
      <c r="A85" s="1208" t="s">
        <v>717</v>
      </c>
      <c r="B85" s="1206" t="s">
        <v>3574</v>
      </c>
      <c r="C85" s="1206" t="s">
        <v>3264</v>
      </c>
      <c r="D85" s="1206" t="s">
        <v>3553</v>
      </c>
      <c r="E85" s="1206"/>
      <c r="F85" s="1206"/>
      <c r="G85" s="1207"/>
      <c r="H85" s="1206"/>
      <c r="I85" s="1205">
        <v>0</v>
      </c>
      <c r="J85" s="1205">
        <v>0</v>
      </c>
      <c r="K85" s="1205">
        <v>0</v>
      </c>
      <c r="L85" s="1205">
        <v>0</v>
      </c>
      <c r="M85" s="1205">
        <v>0</v>
      </c>
      <c r="N85" s="1205">
        <v>0</v>
      </c>
      <c r="O85" s="1205">
        <v>0</v>
      </c>
      <c r="P85" s="1205"/>
      <c r="Q85" s="1205">
        <v>163215.57999999999</v>
      </c>
      <c r="R85" s="1204">
        <v>0</v>
      </c>
    </row>
    <row r="86" spans="1:18" ht="38.25" outlineLevel="5">
      <c r="A86" s="1208" t="s">
        <v>717</v>
      </c>
      <c r="B86" s="1206" t="s">
        <v>3574</v>
      </c>
      <c r="C86" s="1206" t="s">
        <v>3264</v>
      </c>
      <c r="D86" s="1206" t="s">
        <v>3553</v>
      </c>
      <c r="E86" s="1206"/>
      <c r="F86" s="1206" t="s">
        <v>3263</v>
      </c>
      <c r="G86" s="1207" t="s">
        <v>3018</v>
      </c>
      <c r="H86" s="1206" t="s">
        <v>3241</v>
      </c>
      <c r="I86" s="1205">
        <v>0</v>
      </c>
      <c r="J86" s="1205">
        <v>0</v>
      </c>
      <c r="K86" s="1205">
        <v>0</v>
      </c>
      <c r="L86" s="1205">
        <v>0</v>
      </c>
      <c r="M86" s="1205">
        <v>0</v>
      </c>
      <c r="N86" s="1205">
        <v>0</v>
      </c>
      <c r="O86" s="1205">
        <v>0</v>
      </c>
      <c r="P86" s="1205"/>
      <c r="Q86" s="1205">
        <v>1481620.9</v>
      </c>
      <c r="R86" s="1204">
        <v>0</v>
      </c>
    </row>
    <row r="87" spans="1:18" outlineLevel="4">
      <c r="A87" s="1210" t="s">
        <v>717</v>
      </c>
      <c r="B87" s="482" t="s">
        <v>3574</v>
      </c>
      <c r="C87" s="482" t="s">
        <v>3264</v>
      </c>
      <c r="D87" s="482" t="s">
        <v>3553</v>
      </c>
      <c r="E87" s="482" t="s">
        <v>3575</v>
      </c>
      <c r="F87" s="482"/>
      <c r="G87" s="831"/>
      <c r="H87" s="482"/>
      <c r="I87" s="484">
        <v>0</v>
      </c>
      <c r="J87" s="484">
        <v>7025221.1299999999</v>
      </c>
      <c r="K87" s="484">
        <v>7025221.1299999999</v>
      </c>
      <c r="L87" s="484">
        <v>0</v>
      </c>
      <c r="M87" s="484">
        <v>7025221.1299999999</v>
      </c>
      <c r="N87" s="484">
        <v>7025221.1299999999</v>
      </c>
      <c r="O87" s="484">
        <v>5671830.4199999999</v>
      </c>
      <c r="P87" s="484"/>
      <c r="Q87" s="484">
        <v>4026993.94</v>
      </c>
      <c r="R87" s="1209">
        <v>1353390.71</v>
      </c>
    </row>
    <row r="88" spans="1:18" ht="38.25" outlineLevel="5">
      <c r="A88" s="1208" t="s">
        <v>717</v>
      </c>
      <c r="B88" s="1206" t="s">
        <v>3574</v>
      </c>
      <c r="C88" s="1206" t="s">
        <v>3264</v>
      </c>
      <c r="D88" s="1206" t="s">
        <v>3553</v>
      </c>
      <c r="E88" s="1206" t="s">
        <v>3575</v>
      </c>
      <c r="F88" s="1206" t="s">
        <v>3263</v>
      </c>
      <c r="G88" s="1207" t="s">
        <v>3018</v>
      </c>
      <c r="H88" s="1206"/>
      <c r="I88" s="1205">
        <v>0</v>
      </c>
      <c r="J88" s="1205">
        <v>0</v>
      </c>
      <c r="K88" s="1205">
        <v>0</v>
      </c>
      <c r="L88" s="1205">
        <v>0</v>
      </c>
      <c r="M88" s="1205">
        <v>0</v>
      </c>
      <c r="N88" s="1205">
        <v>0</v>
      </c>
      <c r="O88" s="1205">
        <v>0</v>
      </c>
      <c r="P88" s="1205"/>
      <c r="Q88" s="1205">
        <v>5671830.4199999999</v>
      </c>
      <c r="R88" s="1204">
        <v>0</v>
      </c>
    </row>
    <row r="89" spans="1:18" ht="38.25" outlineLevel="5">
      <c r="A89" s="1208" t="s">
        <v>717</v>
      </c>
      <c r="B89" s="1206" t="s">
        <v>3574</v>
      </c>
      <c r="C89" s="1206" t="s">
        <v>3264</v>
      </c>
      <c r="D89" s="1206" t="s">
        <v>3553</v>
      </c>
      <c r="E89" s="1206" t="s">
        <v>3575</v>
      </c>
      <c r="F89" s="1206" t="s">
        <v>3263</v>
      </c>
      <c r="G89" s="1207" t="s">
        <v>3018</v>
      </c>
      <c r="H89" s="1206" t="s">
        <v>3257</v>
      </c>
      <c r="I89" s="1205">
        <v>0</v>
      </c>
      <c r="J89" s="1205">
        <v>4987900</v>
      </c>
      <c r="K89" s="1205">
        <v>4987900</v>
      </c>
      <c r="L89" s="1205">
        <v>0</v>
      </c>
      <c r="M89" s="1205">
        <v>4987900</v>
      </c>
      <c r="N89" s="1205">
        <v>4987900</v>
      </c>
      <c r="O89" s="1205">
        <v>4026993.94</v>
      </c>
      <c r="P89" s="1205"/>
      <c r="Q89" s="1205">
        <v>4026993.94</v>
      </c>
      <c r="R89" s="1204">
        <v>960906.06</v>
      </c>
    </row>
    <row r="90" spans="1:18" ht="38.25" outlineLevel="5">
      <c r="A90" s="1208" t="s">
        <v>717</v>
      </c>
      <c r="B90" s="1206" t="s">
        <v>3574</v>
      </c>
      <c r="C90" s="1206" t="s">
        <v>3264</v>
      </c>
      <c r="D90" s="1206" t="s">
        <v>3553</v>
      </c>
      <c r="E90" s="1206" t="s">
        <v>3575</v>
      </c>
      <c r="F90" s="1206" t="s">
        <v>3263</v>
      </c>
      <c r="G90" s="1207" t="s">
        <v>3018</v>
      </c>
      <c r="H90" s="1206" t="s">
        <v>3241</v>
      </c>
      <c r="I90" s="1205">
        <v>0</v>
      </c>
      <c r="J90" s="1205">
        <v>2037321.13</v>
      </c>
      <c r="K90" s="1205">
        <v>2037321.13</v>
      </c>
      <c r="L90" s="1205">
        <v>0</v>
      </c>
      <c r="M90" s="1205">
        <v>2037321.13</v>
      </c>
      <c r="N90" s="1205">
        <v>2037321.13</v>
      </c>
      <c r="O90" s="1205">
        <v>1644836.48</v>
      </c>
      <c r="P90" s="1205"/>
      <c r="Q90" s="1205">
        <v>1644836.48</v>
      </c>
      <c r="R90" s="1204">
        <v>392484.65</v>
      </c>
    </row>
    <row r="91" spans="1:18" outlineLevel="2">
      <c r="A91" s="1214" t="s">
        <v>717</v>
      </c>
      <c r="B91" s="472" t="s">
        <v>3574</v>
      </c>
      <c r="C91" s="472" t="s">
        <v>3254</v>
      </c>
      <c r="D91" s="472"/>
      <c r="E91" s="472"/>
      <c r="F91" s="472"/>
      <c r="G91" s="473"/>
      <c r="H91" s="472"/>
      <c r="I91" s="474">
        <v>6250000</v>
      </c>
      <c r="J91" s="474">
        <v>-2299750</v>
      </c>
      <c r="K91" s="474">
        <v>3950250</v>
      </c>
      <c r="L91" s="474">
        <v>0</v>
      </c>
      <c r="M91" s="474">
        <v>3950250</v>
      </c>
      <c r="N91" s="474">
        <v>3950250</v>
      </c>
      <c r="O91" s="474">
        <v>3950250</v>
      </c>
      <c r="P91" s="474"/>
      <c r="Q91" s="474">
        <v>3950250</v>
      </c>
      <c r="R91" s="1213">
        <v>0</v>
      </c>
    </row>
    <row r="92" spans="1:18" outlineLevel="3">
      <c r="A92" s="1212" t="s">
        <v>717</v>
      </c>
      <c r="B92" s="477" t="s">
        <v>3574</v>
      </c>
      <c r="C92" s="477" t="s">
        <v>3254</v>
      </c>
      <c r="D92" s="477" t="s">
        <v>3553</v>
      </c>
      <c r="E92" s="477"/>
      <c r="F92" s="477"/>
      <c r="G92" s="478"/>
      <c r="H92" s="477"/>
      <c r="I92" s="479">
        <v>6250000</v>
      </c>
      <c r="J92" s="479">
        <v>-2299750</v>
      </c>
      <c r="K92" s="479">
        <v>3950250</v>
      </c>
      <c r="L92" s="479">
        <v>0</v>
      </c>
      <c r="M92" s="479">
        <v>3950250</v>
      </c>
      <c r="N92" s="479">
        <v>3950250</v>
      </c>
      <c r="O92" s="479">
        <v>3950250</v>
      </c>
      <c r="P92" s="479"/>
      <c r="Q92" s="479">
        <v>3950250</v>
      </c>
      <c r="R92" s="1211">
        <v>0</v>
      </c>
    </row>
    <row r="93" spans="1:18" outlineLevel="4">
      <c r="A93" s="1210" t="s">
        <v>717</v>
      </c>
      <c r="B93" s="482" t="s">
        <v>3574</v>
      </c>
      <c r="C93" s="482" t="s">
        <v>3254</v>
      </c>
      <c r="D93" s="482" t="s">
        <v>3553</v>
      </c>
      <c r="E93" s="482" t="s">
        <v>3550</v>
      </c>
      <c r="F93" s="482"/>
      <c r="G93" s="831"/>
      <c r="H93" s="482"/>
      <c r="I93" s="484">
        <v>6250000</v>
      </c>
      <c r="J93" s="484">
        <v>-2299750</v>
      </c>
      <c r="K93" s="484">
        <v>3950250</v>
      </c>
      <c r="L93" s="484">
        <v>0</v>
      </c>
      <c r="M93" s="484">
        <v>3950250</v>
      </c>
      <c r="N93" s="484">
        <v>3950250</v>
      </c>
      <c r="O93" s="484">
        <v>3950250</v>
      </c>
      <c r="P93" s="484"/>
      <c r="Q93" s="484">
        <v>3950250</v>
      </c>
      <c r="R93" s="1209">
        <v>0</v>
      </c>
    </row>
    <row r="94" spans="1:18" outlineLevel="5">
      <c r="A94" s="1208" t="s">
        <v>717</v>
      </c>
      <c r="B94" s="1206" t="s">
        <v>3574</v>
      </c>
      <c r="C94" s="1206" t="s">
        <v>3254</v>
      </c>
      <c r="D94" s="1206" t="s">
        <v>3553</v>
      </c>
      <c r="E94" s="1206" t="s">
        <v>3550</v>
      </c>
      <c r="F94" s="1206" t="s">
        <v>3253</v>
      </c>
      <c r="G94" s="1207" t="s">
        <v>3252</v>
      </c>
      <c r="H94" s="1206"/>
      <c r="I94" s="1205">
        <v>0</v>
      </c>
      <c r="J94" s="1205">
        <v>0</v>
      </c>
      <c r="K94" s="1205">
        <v>0</v>
      </c>
      <c r="L94" s="1205">
        <v>0</v>
      </c>
      <c r="M94" s="1205">
        <v>0</v>
      </c>
      <c r="N94" s="1205">
        <v>0</v>
      </c>
      <c r="O94" s="1205">
        <v>0</v>
      </c>
      <c r="P94" s="1205"/>
      <c r="Q94" s="1205">
        <v>3950250</v>
      </c>
      <c r="R94" s="1204">
        <v>0</v>
      </c>
    </row>
    <row r="95" spans="1:18" outlineLevel="5">
      <c r="A95" s="1208" t="s">
        <v>717</v>
      </c>
      <c r="B95" s="1206" t="s">
        <v>3574</v>
      </c>
      <c r="C95" s="1206" t="s">
        <v>3254</v>
      </c>
      <c r="D95" s="1206" t="s">
        <v>3553</v>
      </c>
      <c r="E95" s="1206" t="s">
        <v>3550</v>
      </c>
      <c r="F95" s="1206" t="s">
        <v>3253</v>
      </c>
      <c r="G95" s="1207" t="s">
        <v>3252</v>
      </c>
      <c r="H95" s="1206" t="s">
        <v>3241</v>
      </c>
      <c r="I95" s="1205">
        <v>6250000</v>
      </c>
      <c r="J95" s="1205">
        <v>-2299750</v>
      </c>
      <c r="K95" s="1205">
        <v>3950250</v>
      </c>
      <c r="L95" s="1205">
        <v>0</v>
      </c>
      <c r="M95" s="1205">
        <v>3950250</v>
      </c>
      <c r="N95" s="1205">
        <v>3950250</v>
      </c>
      <c r="O95" s="1205">
        <v>3950250</v>
      </c>
      <c r="P95" s="1205"/>
      <c r="Q95" s="1205">
        <v>0</v>
      </c>
      <c r="R95" s="1204">
        <v>0</v>
      </c>
    </row>
    <row r="96" spans="1:18" outlineLevel="2">
      <c r="A96" s="1214" t="s">
        <v>717</v>
      </c>
      <c r="B96" s="472" t="s">
        <v>3574</v>
      </c>
      <c r="C96" s="472" t="s">
        <v>3573</v>
      </c>
      <c r="D96" s="472"/>
      <c r="E96" s="472"/>
      <c r="F96" s="472"/>
      <c r="G96" s="473"/>
      <c r="H96" s="472"/>
      <c r="I96" s="474">
        <v>0</v>
      </c>
      <c r="J96" s="474">
        <v>4881790.1399999997</v>
      </c>
      <c r="K96" s="474">
        <v>4881790.1399999997</v>
      </c>
      <c r="L96" s="474">
        <v>0</v>
      </c>
      <c r="M96" s="474">
        <v>4881790.1399999997</v>
      </c>
      <c r="N96" s="474">
        <v>4881790.1399999997</v>
      </c>
      <c r="O96" s="474">
        <v>4881790.1399999997</v>
      </c>
      <c r="P96" s="474"/>
      <c r="Q96" s="474">
        <v>4881790.1399999997</v>
      </c>
      <c r="R96" s="1213">
        <v>0</v>
      </c>
    </row>
    <row r="97" spans="1:18" outlineLevel="3">
      <c r="A97" s="1212" t="s">
        <v>717</v>
      </c>
      <c r="B97" s="477" t="s">
        <v>3574</v>
      </c>
      <c r="C97" s="477" t="s">
        <v>3573</v>
      </c>
      <c r="D97" s="477" t="s">
        <v>3553</v>
      </c>
      <c r="E97" s="477"/>
      <c r="F97" s="477"/>
      <c r="G97" s="478"/>
      <c r="H97" s="477"/>
      <c r="I97" s="479">
        <v>0</v>
      </c>
      <c r="J97" s="479">
        <v>4881790.1399999997</v>
      </c>
      <c r="K97" s="479">
        <v>4881790.1399999997</v>
      </c>
      <c r="L97" s="479">
        <v>0</v>
      </c>
      <c r="M97" s="479">
        <v>4881790.1399999997</v>
      </c>
      <c r="N97" s="479">
        <v>4881790.1399999997</v>
      </c>
      <c r="O97" s="479">
        <v>4881790.1399999997</v>
      </c>
      <c r="P97" s="479"/>
      <c r="Q97" s="479">
        <v>4881790.1399999997</v>
      </c>
      <c r="R97" s="1211">
        <v>0</v>
      </c>
    </row>
    <row r="98" spans="1:18" outlineLevel="4">
      <c r="A98" s="1210" t="s">
        <v>717</v>
      </c>
      <c r="B98" s="482" t="s">
        <v>3574</v>
      </c>
      <c r="C98" s="482" t="s">
        <v>3573</v>
      </c>
      <c r="D98" s="482" t="s">
        <v>3553</v>
      </c>
      <c r="E98" s="482" t="s">
        <v>3572</v>
      </c>
      <c r="F98" s="482"/>
      <c r="G98" s="831"/>
      <c r="H98" s="482"/>
      <c r="I98" s="484">
        <v>0</v>
      </c>
      <c r="J98" s="484">
        <v>4881790.1399999997</v>
      </c>
      <c r="K98" s="484">
        <v>4881790.1399999997</v>
      </c>
      <c r="L98" s="484">
        <v>0</v>
      </c>
      <c r="M98" s="484">
        <v>4881790.1399999997</v>
      </c>
      <c r="N98" s="484">
        <v>4881790.1399999997</v>
      </c>
      <c r="O98" s="484">
        <v>4881790.1399999997</v>
      </c>
      <c r="P98" s="484"/>
      <c r="Q98" s="484">
        <v>4881790.1399999997</v>
      </c>
      <c r="R98" s="1209">
        <v>0</v>
      </c>
    </row>
    <row r="99" spans="1:18" ht="25.5" outlineLevel="5">
      <c r="A99" s="1208" t="s">
        <v>717</v>
      </c>
      <c r="B99" s="1206" t="s">
        <v>3574</v>
      </c>
      <c r="C99" s="1206" t="s">
        <v>3573</v>
      </c>
      <c r="D99" s="1206" t="s">
        <v>3553</v>
      </c>
      <c r="E99" s="1206" t="s">
        <v>3572</v>
      </c>
      <c r="F99" s="1206" t="s">
        <v>3571</v>
      </c>
      <c r="G99" s="1207" t="s">
        <v>3570</v>
      </c>
      <c r="H99" s="1206" t="s">
        <v>3241</v>
      </c>
      <c r="I99" s="1205">
        <v>0</v>
      </c>
      <c r="J99" s="1205">
        <v>4881790.1399999997</v>
      </c>
      <c r="K99" s="1205">
        <v>4881790.1399999997</v>
      </c>
      <c r="L99" s="1205">
        <v>0</v>
      </c>
      <c r="M99" s="1205">
        <v>4881790.1399999997</v>
      </c>
      <c r="N99" s="1205">
        <v>4881790.1399999997</v>
      </c>
      <c r="O99" s="1205">
        <v>4881790.1399999997</v>
      </c>
      <c r="P99" s="1205"/>
      <c r="Q99" s="1205">
        <v>4881790.1399999997</v>
      </c>
      <c r="R99" s="1204">
        <v>0</v>
      </c>
    </row>
    <row r="100" spans="1:18" outlineLevel="1">
      <c r="A100" s="1216" t="s">
        <v>717</v>
      </c>
      <c r="B100" s="467" t="s">
        <v>3554</v>
      </c>
      <c r="C100" s="467"/>
      <c r="D100" s="467"/>
      <c r="E100" s="467"/>
      <c r="F100" s="467"/>
      <c r="G100" s="468"/>
      <c r="H100" s="467"/>
      <c r="I100" s="469">
        <v>1105744955.1800001</v>
      </c>
      <c r="J100" s="469">
        <v>115111345.76000001</v>
      </c>
      <c r="K100" s="469">
        <v>1220856300.9400001</v>
      </c>
      <c r="L100" s="469">
        <v>61097228.829999998</v>
      </c>
      <c r="M100" s="469">
        <v>1143294944.71</v>
      </c>
      <c r="N100" s="469">
        <v>1204392173.54</v>
      </c>
      <c r="O100" s="469">
        <v>943755363.09000003</v>
      </c>
      <c r="P100" s="469"/>
      <c r="Q100" s="469">
        <v>922491259.15999997</v>
      </c>
      <c r="R100" s="1215">
        <v>277100937.85000002</v>
      </c>
    </row>
    <row r="101" spans="1:18" outlineLevel="2">
      <c r="A101" s="1214" t="s">
        <v>717</v>
      </c>
      <c r="B101" s="472" t="s">
        <v>3554</v>
      </c>
      <c r="C101" s="472" t="s">
        <v>3337</v>
      </c>
      <c r="D101" s="472"/>
      <c r="E101" s="472"/>
      <c r="F101" s="472"/>
      <c r="G101" s="473"/>
      <c r="H101" s="472"/>
      <c r="I101" s="474">
        <v>40000000</v>
      </c>
      <c r="J101" s="474">
        <v>0</v>
      </c>
      <c r="K101" s="474">
        <v>40000000</v>
      </c>
      <c r="L101" s="474">
        <v>0</v>
      </c>
      <c r="M101" s="474">
        <v>40000000</v>
      </c>
      <c r="N101" s="474">
        <v>40000000</v>
      </c>
      <c r="O101" s="474">
        <v>35440000</v>
      </c>
      <c r="P101" s="474"/>
      <c r="Q101" s="474">
        <v>35440000</v>
      </c>
      <c r="R101" s="1213">
        <v>4560000</v>
      </c>
    </row>
    <row r="102" spans="1:18" outlineLevel="3">
      <c r="A102" s="1212" t="s">
        <v>717</v>
      </c>
      <c r="B102" s="477" t="s">
        <v>3554</v>
      </c>
      <c r="C102" s="477" t="s">
        <v>3337</v>
      </c>
      <c r="D102" s="477" t="s">
        <v>3569</v>
      </c>
      <c r="E102" s="477"/>
      <c r="F102" s="477"/>
      <c r="G102" s="478"/>
      <c r="H102" s="477"/>
      <c r="I102" s="479">
        <v>40000000</v>
      </c>
      <c r="J102" s="479">
        <v>0</v>
      </c>
      <c r="K102" s="479">
        <v>40000000</v>
      </c>
      <c r="L102" s="479">
        <v>0</v>
      </c>
      <c r="M102" s="479">
        <v>40000000</v>
      </c>
      <c r="N102" s="479">
        <v>40000000</v>
      </c>
      <c r="O102" s="479">
        <v>35440000</v>
      </c>
      <c r="P102" s="479"/>
      <c r="Q102" s="479">
        <v>35440000</v>
      </c>
      <c r="R102" s="1211">
        <v>4560000</v>
      </c>
    </row>
    <row r="103" spans="1:18" outlineLevel="4">
      <c r="A103" s="1210" t="s">
        <v>717</v>
      </c>
      <c r="B103" s="482" t="s">
        <v>3554</v>
      </c>
      <c r="C103" s="482" t="s">
        <v>3337</v>
      </c>
      <c r="D103" s="482" t="s">
        <v>3569</v>
      </c>
      <c r="E103" s="482" t="s">
        <v>3550</v>
      </c>
      <c r="F103" s="482"/>
      <c r="G103" s="831"/>
      <c r="H103" s="482"/>
      <c r="I103" s="484">
        <v>40000000</v>
      </c>
      <c r="J103" s="484">
        <v>0</v>
      </c>
      <c r="K103" s="484">
        <v>40000000</v>
      </c>
      <c r="L103" s="484">
        <v>0</v>
      </c>
      <c r="M103" s="484">
        <v>40000000</v>
      </c>
      <c r="N103" s="484">
        <v>40000000</v>
      </c>
      <c r="O103" s="484">
        <v>35440000</v>
      </c>
      <c r="P103" s="484"/>
      <c r="Q103" s="484">
        <v>35440000</v>
      </c>
      <c r="R103" s="1209">
        <v>4560000</v>
      </c>
    </row>
    <row r="104" spans="1:18" ht="63.75" outlineLevel="5">
      <c r="A104" s="1208" t="s">
        <v>717</v>
      </c>
      <c r="B104" s="1206" t="s">
        <v>3554</v>
      </c>
      <c r="C104" s="1206" t="s">
        <v>3337</v>
      </c>
      <c r="D104" s="1206" t="s">
        <v>3569</v>
      </c>
      <c r="E104" s="1206" t="s">
        <v>3550</v>
      </c>
      <c r="F104" s="1206" t="s">
        <v>3336</v>
      </c>
      <c r="G104" s="1207" t="s">
        <v>3335</v>
      </c>
      <c r="H104" s="1206"/>
      <c r="I104" s="1205">
        <v>0</v>
      </c>
      <c r="J104" s="1205">
        <v>0</v>
      </c>
      <c r="K104" s="1205">
        <v>0</v>
      </c>
      <c r="L104" s="1205">
        <v>0</v>
      </c>
      <c r="M104" s="1205">
        <v>0</v>
      </c>
      <c r="N104" s="1205">
        <v>0</v>
      </c>
      <c r="O104" s="1205">
        <v>0</v>
      </c>
      <c r="P104" s="1205"/>
      <c r="Q104" s="1205">
        <v>35440000</v>
      </c>
      <c r="R104" s="1204">
        <v>0</v>
      </c>
    </row>
    <row r="105" spans="1:18" ht="63.75" outlineLevel="5">
      <c r="A105" s="1208" t="s">
        <v>717</v>
      </c>
      <c r="B105" s="1206" t="s">
        <v>3554</v>
      </c>
      <c r="C105" s="1206" t="s">
        <v>3337</v>
      </c>
      <c r="D105" s="1206" t="s">
        <v>3569</v>
      </c>
      <c r="E105" s="1206" t="s">
        <v>3550</v>
      </c>
      <c r="F105" s="1206" t="s">
        <v>3336</v>
      </c>
      <c r="G105" s="1207" t="s">
        <v>3335</v>
      </c>
      <c r="H105" s="1206" t="s">
        <v>3241</v>
      </c>
      <c r="I105" s="1205">
        <v>40000000</v>
      </c>
      <c r="J105" s="1205">
        <v>0</v>
      </c>
      <c r="K105" s="1205">
        <v>40000000</v>
      </c>
      <c r="L105" s="1205">
        <v>0</v>
      </c>
      <c r="M105" s="1205">
        <v>40000000</v>
      </c>
      <c r="N105" s="1205">
        <v>40000000</v>
      </c>
      <c r="O105" s="1205">
        <v>35440000</v>
      </c>
      <c r="P105" s="1205"/>
      <c r="Q105" s="1205">
        <v>35440</v>
      </c>
      <c r="R105" s="1204">
        <v>4560000</v>
      </c>
    </row>
    <row r="106" spans="1:18" outlineLevel="2">
      <c r="A106" s="1214" t="s">
        <v>717</v>
      </c>
      <c r="B106" s="472" t="s">
        <v>3554</v>
      </c>
      <c r="C106" s="472" t="s">
        <v>3333</v>
      </c>
      <c r="D106" s="472"/>
      <c r="E106" s="472"/>
      <c r="F106" s="472"/>
      <c r="G106" s="473"/>
      <c r="H106" s="472"/>
      <c r="I106" s="474">
        <v>20000000</v>
      </c>
      <c r="J106" s="474">
        <v>0</v>
      </c>
      <c r="K106" s="474">
        <v>20000000</v>
      </c>
      <c r="L106" s="474">
        <v>0</v>
      </c>
      <c r="M106" s="474">
        <v>20000000</v>
      </c>
      <c r="N106" s="474">
        <v>20000000</v>
      </c>
      <c r="O106" s="474">
        <v>18000000</v>
      </c>
      <c r="P106" s="474"/>
      <c r="Q106" s="474">
        <v>18000000</v>
      </c>
      <c r="R106" s="1213">
        <v>2000000</v>
      </c>
    </row>
    <row r="107" spans="1:18" outlineLevel="3">
      <c r="A107" s="1212" t="s">
        <v>717</v>
      </c>
      <c r="B107" s="477" t="s">
        <v>3554</v>
      </c>
      <c r="C107" s="477" t="s">
        <v>3333</v>
      </c>
      <c r="D107" s="477" t="s">
        <v>3569</v>
      </c>
      <c r="E107" s="477"/>
      <c r="F107" s="477"/>
      <c r="G107" s="478"/>
      <c r="H107" s="477"/>
      <c r="I107" s="479">
        <v>20000000</v>
      </c>
      <c r="J107" s="479">
        <v>0</v>
      </c>
      <c r="K107" s="479">
        <v>20000000</v>
      </c>
      <c r="L107" s="479">
        <v>0</v>
      </c>
      <c r="M107" s="479">
        <v>20000000</v>
      </c>
      <c r="N107" s="479">
        <v>20000000</v>
      </c>
      <c r="O107" s="479">
        <v>18000000</v>
      </c>
      <c r="P107" s="479"/>
      <c r="Q107" s="479">
        <v>18000000</v>
      </c>
      <c r="R107" s="1211">
        <v>2000000</v>
      </c>
    </row>
    <row r="108" spans="1:18" outlineLevel="4">
      <c r="A108" s="1210" t="s">
        <v>717</v>
      </c>
      <c r="B108" s="482" t="s">
        <v>3554</v>
      </c>
      <c r="C108" s="482" t="s">
        <v>3333</v>
      </c>
      <c r="D108" s="482" t="s">
        <v>3569</v>
      </c>
      <c r="E108" s="482" t="s">
        <v>3550</v>
      </c>
      <c r="F108" s="482"/>
      <c r="G108" s="831"/>
      <c r="H108" s="482"/>
      <c r="I108" s="484">
        <v>20000000</v>
      </c>
      <c r="J108" s="484">
        <v>0</v>
      </c>
      <c r="K108" s="484">
        <v>20000000</v>
      </c>
      <c r="L108" s="484">
        <v>0</v>
      </c>
      <c r="M108" s="484">
        <v>20000000</v>
      </c>
      <c r="N108" s="484">
        <v>20000000</v>
      </c>
      <c r="O108" s="484">
        <v>18000000</v>
      </c>
      <c r="P108" s="484"/>
      <c r="Q108" s="484">
        <v>18000000</v>
      </c>
      <c r="R108" s="1209">
        <v>2000000</v>
      </c>
    </row>
    <row r="109" spans="1:18" ht="63.75" outlineLevel="5">
      <c r="A109" s="1208" t="s">
        <v>717</v>
      </c>
      <c r="B109" s="1206" t="s">
        <v>3554</v>
      </c>
      <c r="C109" s="1206" t="s">
        <v>3333</v>
      </c>
      <c r="D109" s="1206" t="s">
        <v>3569</v>
      </c>
      <c r="E109" s="1206" t="s">
        <v>3550</v>
      </c>
      <c r="F109" s="1206" t="s">
        <v>3332</v>
      </c>
      <c r="G109" s="1207" t="s">
        <v>3331</v>
      </c>
      <c r="H109" s="1206"/>
      <c r="I109" s="1205">
        <v>0</v>
      </c>
      <c r="J109" s="1205">
        <v>0</v>
      </c>
      <c r="K109" s="1205">
        <v>0</v>
      </c>
      <c r="L109" s="1205">
        <v>0</v>
      </c>
      <c r="M109" s="1205">
        <v>0</v>
      </c>
      <c r="N109" s="1205">
        <v>0</v>
      </c>
      <c r="O109" s="1205">
        <v>0</v>
      </c>
      <c r="P109" s="1205">
        <v>18000</v>
      </c>
      <c r="Q109" s="1205">
        <v>18000000</v>
      </c>
      <c r="R109" s="1204">
        <v>0</v>
      </c>
    </row>
    <row r="110" spans="1:18" ht="63.75" outlineLevel="5">
      <c r="A110" s="1208" t="s">
        <v>717</v>
      </c>
      <c r="B110" s="1206" t="s">
        <v>3554</v>
      </c>
      <c r="C110" s="1206" t="s">
        <v>3333</v>
      </c>
      <c r="D110" s="1206" t="s">
        <v>3569</v>
      </c>
      <c r="E110" s="1206" t="s">
        <v>3550</v>
      </c>
      <c r="F110" s="1206" t="s">
        <v>3332</v>
      </c>
      <c r="G110" s="1207" t="s">
        <v>3331</v>
      </c>
      <c r="H110" s="1206" t="s">
        <v>3241</v>
      </c>
      <c r="I110" s="1205">
        <v>20000000</v>
      </c>
      <c r="J110" s="1205">
        <v>0</v>
      </c>
      <c r="K110" s="1205">
        <v>20000000</v>
      </c>
      <c r="L110" s="1205">
        <v>0</v>
      </c>
      <c r="M110" s="1205">
        <v>20000000</v>
      </c>
      <c r="N110" s="1205">
        <v>20000000</v>
      </c>
      <c r="O110" s="1205">
        <v>18000000</v>
      </c>
      <c r="P110" s="1205"/>
      <c r="Q110" s="1205">
        <v>0</v>
      </c>
      <c r="R110" s="1204">
        <v>2000000</v>
      </c>
    </row>
    <row r="111" spans="1:18" outlineLevel="2">
      <c r="A111" s="1214" t="s">
        <v>717</v>
      </c>
      <c r="B111" s="472" t="s">
        <v>3554</v>
      </c>
      <c r="C111" s="472" t="s">
        <v>3329</v>
      </c>
      <c r="D111" s="472"/>
      <c r="E111" s="472"/>
      <c r="F111" s="472"/>
      <c r="G111" s="473"/>
      <c r="H111" s="472"/>
      <c r="I111" s="474">
        <v>30000000</v>
      </c>
      <c r="J111" s="474">
        <v>19000000</v>
      </c>
      <c r="K111" s="474">
        <v>49000000</v>
      </c>
      <c r="L111" s="474">
        <v>0</v>
      </c>
      <c r="M111" s="474">
        <v>49000000</v>
      </c>
      <c r="N111" s="474">
        <v>49000000</v>
      </c>
      <c r="O111" s="474">
        <v>48500000</v>
      </c>
      <c r="P111" s="474"/>
      <c r="Q111" s="474">
        <v>48500000</v>
      </c>
      <c r="R111" s="1213">
        <v>500000</v>
      </c>
    </row>
    <row r="112" spans="1:18" outlineLevel="3">
      <c r="A112" s="1212" t="s">
        <v>717</v>
      </c>
      <c r="B112" s="477" t="s">
        <v>3554</v>
      </c>
      <c r="C112" s="477" t="s">
        <v>3329</v>
      </c>
      <c r="D112" s="477" t="s">
        <v>3569</v>
      </c>
      <c r="E112" s="477"/>
      <c r="F112" s="477"/>
      <c r="G112" s="478"/>
      <c r="H112" s="477"/>
      <c r="I112" s="479">
        <v>30000000</v>
      </c>
      <c r="J112" s="479">
        <v>19000000</v>
      </c>
      <c r="K112" s="479">
        <v>49000000</v>
      </c>
      <c r="L112" s="479">
        <v>0</v>
      </c>
      <c r="M112" s="479">
        <v>49000000</v>
      </c>
      <c r="N112" s="479">
        <v>49000000</v>
      </c>
      <c r="O112" s="479">
        <v>48500000</v>
      </c>
      <c r="P112" s="479"/>
      <c r="Q112" s="479">
        <v>48500000</v>
      </c>
      <c r="R112" s="1211">
        <v>500000</v>
      </c>
    </row>
    <row r="113" spans="1:18" outlineLevel="4">
      <c r="A113" s="1210" t="s">
        <v>717</v>
      </c>
      <c r="B113" s="482" t="s">
        <v>3554</v>
      </c>
      <c r="C113" s="482" t="s">
        <v>3329</v>
      </c>
      <c r="D113" s="482" t="s">
        <v>3569</v>
      </c>
      <c r="E113" s="482" t="s">
        <v>3550</v>
      </c>
      <c r="F113" s="482"/>
      <c r="G113" s="831"/>
      <c r="H113" s="482"/>
      <c r="I113" s="484">
        <v>30000000</v>
      </c>
      <c r="J113" s="484">
        <v>19000000</v>
      </c>
      <c r="K113" s="484">
        <v>49000000</v>
      </c>
      <c r="L113" s="484">
        <v>0</v>
      </c>
      <c r="M113" s="484">
        <v>49000000</v>
      </c>
      <c r="N113" s="484">
        <v>49000000</v>
      </c>
      <c r="O113" s="484">
        <v>48500000</v>
      </c>
      <c r="P113" s="484"/>
      <c r="Q113" s="484">
        <v>48500000</v>
      </c>
      <c r="R113" s="1209">
        <v>500000</v>
      </c>
    </row>
    <row r="114" spans="1:18" ht="63.75" outlineLevel="5">
      <c r="A114" s="1208" t="s">
        <v>717</v>
      </c>
      <c r="B114" s="1206" t="s">
        <v>3554</v>
      </c>
      <c r="C114" s="1206" t="s">
        <v>3329</v>
      </c>
      <c r="D114" s="1206" t="s">
        <v>3569</v>
      </c>
      <c r="E114" s="1206" t="s">
        <v>3550</v>
      </c>
      <c r="F114" s="1206" t="s">
        <v>3328</v>
      </c>
      <c r="G114" s="1207" t="s">
        <v>3327</v>
      </c>
      <c r="H114" s="1206"/>
      <c r="I114" s="1205">
        <v>0</v>
      </c>
      <c r="J114" s="1205">
        <v>0</v>
      </c>
      <c r="K114" s="1205">
        <v>0</v>
      </c>
      <c r="L114" s="1205">
        <v>0</v>
      </c>
      <c r="M114" s="1205">
        <v>0</v>
      </c>
      <c r="N114" s="1205">
        <v>0</v>
      </c>
      <c r="O114" s="1205">
        <v>0</v>
      </c>
      <c r="P114" s="1221">
        <v>48500</v>
      </c>
      <c r="Q114" s="1205">
        <v>48500000</v>
      </c>
      <c r="R114" s="1204">
        <v>0</v>
      </c>
    </row>
    <row r="115" spans="1:18" ht="63.75" outlineLevel="5">
      <c r="A115" s="1208" t="s">
        <v>717</v>
      </c>
      <c r="B115" s="1206" t="s">
        <v>3554</v>
      </c>
      <c r="C115" s="1206" t="s">
        <v>3329</v>
      </c>
      <c r="D115" s="1206" t="s">
        <v>3569</v>
      </c>
      <c r="E115" s="1206" t="s">
        <v>3550</v>
      </c>
      <c r="F115" s="1206" t="s">
        <v>3328</v>
      </c>
      <c r="G115" s="1207" t="s">
        <v>3327</v>
      </c>
      <c r="H115" s="1206" t="s">
        <v>3241</v>
      </c>
      <c r="I115" s="1205">
        <v>30000000</v>
      </c>
      <c r="J115" s="1205">
        <v>19000000</v>
      </c>
      <c r="K115" s="1205">
        <v>49000000</v>
      </c>
      <c r="L115" s="1205">
        <v>0</v>
      </c>
      <c r="M115" s="1205">
        <v>49000000</v>
      </c>
      <c r="N115" s="1205">
        <v>49000000</v>
      </c>
      <c r="O115" s="1205">
        <v>48500000</v>
      </c>
      <c r="P115" s="1205"/>
      <c r="Q115" s="1205">
        <v>0</v>
      </c>
      <c r="R115" s="1204">
        <v>500000</v>
      </c>
    </row>
    <row r="116" spans="1:18" outlineLevel="2">
      <c r="A116" s="1214" t="s">
        <v>717</v>
      </c>
      <c r="B116" s="472" t="s">
        <v>3554</v>
      </c>
      <c r="C116" s="472" t="s">
        <v>3299</v>
      </c>
      <c r="D116" s="472"/>
      <c r="E116" s="472"/>
      <c r="F116" s="472"/>
      <c r="G116" s="473"/>
      <c r="H116" s="472"/>
      <c r="I116" s="474">
        <v>884382790.71000004</v>
      </c>
      <c r="J116" s="474">
        <v>75728065.5</v>
      </c>
      <c r="K116" s="474">
        <v>960110856.21000004</v>
      </c>
      <c r="L116" s="474">
        <v>0</v>
      </c>
      <c r="M116" s="474">
        <v>959974026.61000001</v>
      </c>
      <c r="N116" s="474">
        <v>959974026.61000001</v>
      </c>
      <c r="O116" s="474">
        <v>722614581.76999998</v>
      </c>
      <c r="P116" s="474"/>
      <c r="Q116" s="474">
        <v>703714581.76999998</v>
      </c>
      <c r="R116" s="1213">
        <v>237496274.44</v>
      </c>
    </row>
    <row r="117" spans="1:18" outlineLevel="3">
      <c r="A117" s="1212" t="s">
        <v>717</v>
      </c>
      <c r="B117" s="477" t="s">
        <v>3554</v>
      </c>
      <c r="C117" s="477" t="s">
        <v>3299</v>
      </c>
      <c r="D117" s="477" t="s">
        <v>3568</v>
      </c>
      <c r="E117" s="477"/>
      <c r="F117" s="477"/>
      <c r="G117" s="478"/>
      <c r="H117" s="477"/>
      <c r="I117" s="479">
        <v>56834083.200000003</v>
      </c>
      <c r="J117" s="479">
        <v>2708062.34</v>
      </c>
      <c r="K117" s="479">
        <v>59542145.539999999</v>
      </c>
      <c r="L117" s="479">
        <v>0</v>
      </c>
      <c r="M117" s="479">
        <v>59542145.539999999</v>
      </c>
      <c r="N117" s="479">
        <v>59542145.539999999</v>
      </c>
      <c r="O117" s="479">
        <v>45072261.539999999</v>
      </c>
      <c r="P117" s="1223">
        <v>44072.26154</v>
      </c>
      <c r="Q117" s="479">
        <v>44072261.539999999</v>
      </c>
      <c r="R117" s="1211">
        <v>14469884</v>
      </c>
    </row>
    <row r="118" spans="1:18" outlineLevel="4">
      <c r="A118" s="1210" t="s">
        <v>717</v>
      </c>
      <c r="B118" s="482" t="s">
        <v>3554</v>
      </c>
      <c r="C118" s="482" t="s">
        <v>3299</v>
      </c>
      <c r="D118" s="482" t="s">
        <v>3568</v>
      </c>
      <c r="E118" s="482" t="s">
        <v>3550</v>
      </c>
      <c r="F118" s="482"/>
      <c r="G118" s="831"/>
      <c r="H118" s="482"/>
      <c r="I118" s="484">
        <v>56834083.200000003</v>
      </c>
      <c r="J118" s="484">
        <v>2708062.34</v>
      </c>
      <c r="K118" s="484">
        <v>59542145.539999999</v>
      </c>
      <c r="L118" s="484">
        <v>0</v>
      </c>
      <c r="M118" s="484">
        <v>59542145.539999999</v>
      </c>
      <c r="N118" s="484">
        <v>59542145.539999999</v>
      </c>
      <c r="O118" s="484">
        <v>45072261.539999999</v>
      </c>
      <c r="P118" s="484"/>
      <c r="Q118" s="484">
        <v>44072261.539999999</v>
      </c>
      <c r="R118" s="1209">
        <v>14469884</v>
      </c>
    </row>
    <row r="119" spans="1:18" ht="25.5" outlineLevel="5">
      <c r="A119" s="1208" t="s">
        <v>717</v>
      </c>
      <c r="B119" s="1206" t="s">
        <v>3554</v>
      </c>
      <c r="C119" s="1206" t="s">
        <v>3299</v>
      </c>
      <c r="D119" s="1206" t="s">
        <v>3568</v>
      </c>
      <c r="E119" s="1206" t="s">
        <v>3550</v>
      </c>
      <c r="F119" s="1206" t="s">
        <v>3298</v>
      </c>
      <c r="G119" s="1207" t="s">
        <v>22</v>
      </c>
      <c r="H119" s="1206"/>
      <c r="I119" s="1205">
        <v>0</v>
      </c>
      <c r="J119" s="1205">
        <v>0</v>
      </c>
      <c r="K119" s="1205">
        <v>0</v>
      </c>
      <c r="L119" s="1205">
        <v>0</v>
      </c>
      <c r="M119" s="1205">
        <v>0</v>
      </c>
      <c r="N119" s="1205">
        <v>0</v>
      </c>
      <c r="O119" s="1205">
        <v>0</v>
      </c>
      <c r="P119" s="1205"/>
      <c r="Q119" s="1205">
        <v>44072261.539999999</v>
      </c>
      <c r="R119" s="1204">
        <v>0</v>
      </c>
    </row>
    <row r="120" spans="1:18" ht="25.5" outlineLevel="5">
      <c r="A120" s="1208" t="s">
        <v>717</v>
      </c>
      <c r="B120" s="1206" t="s">
        <v>3554</v>
      </c>
      <c r="C120" s="1206" t="s">
        <v>3299</v>
      </c>
      <c r="D120" s="1206" t="s">
        <v>3568</v>
      </c>
      <c r="E120" s="1206" t="s">
        <v>3550</v>
      </c>
      <c r="F120" s="1206" t="s">
        <v>3298</v>
      </c>
      <c r="G120" s="1207" t="s">
        <v>22</v>
      </c>
      <c r="H120" s="1206" t="s">
        <v>3241</v>
      </c>
      <c r="I120" s="1205">
        <v>56834083.200000003</v>
      </c>
      <c r="J120" s="1205">
        <v>2708062.34</v>
      </c>
      <c r="K120" s="1205">
        <v>59542145.539999999</v>
      </c>
      <c r="L120" s="1205">
        <v>0</v>
      </c>
      <c r="M120" s="1205">
        <v>59542145.539999999</v>
      </c>
      <c r="N120" s="1205">
        <v>59542145.539999999</v>
      </c>
      <c r="O120" s="1205">
        <v>45072261.539999999</v>
      </c>
      <c r="P120" s="1205"/>
      <c r="Q120" s="1205">
        <v>0</v>
      </c>
      <c r="R120" s="1204">
        <v>14469884</v>
      </c>
    </row>
    <row r="121" spans="1:18" outlineLevel="3">
      <c r="A121" s="1212" t="s">
        <v>717</v>
      </c>
      <c r="B121" s="477" t="s">
        <v>3554</v>
      </c>
      <c r="C121" s="477" t="s">
        <v>3299</v>
      </c>
      <c r="D121" s="477" t="s">
        <v>3566</v>
      </c>
      <c r="E121" s="477"/>
      <c r="F121" s="477"/>
      <c r="G121" s="478"/>
      <c r="H121" s="477"/>
      <c r="I121" s="479">
        <v>0</v>
      </c>
      <c r="J121" s="479">
        <v>3964</v>
      </c>
      <c r="K121" s="479">
        <v>3964</v>
      </c>
      <c r="L121" s="479">
        <v>0</v>
      </c>
      <c r="M121" s="479">
        <v>3964</v>
      </c>
      <c r="N121" s="479">
        <v>3964</v>
      </c>
      <c r="O121" s="479">
        <v>3959</v>
      </c>
      <c r="P121" s="479"/>
      <c r="Q121" s="479">
        <v>3959</v>
      </c>
      <c r="R121" s="1211">
        <v>5</v>
      </c>
    </row>
    <row r="122" spans="1:18" outlineLevel="4">
      <c r="A122" s="1210" t="s">
        <v>717</v>
      </c>
      <c r="B122" s="482" t="s">
        <v>3554</v>
      </c>
      <c r="C122" s="482" t="s">
        <v>3299</v>
      </c>
      <c r="D122" s="482" t="s">
        <v>3566</v>
      </c>
      <c r="E122" s="482" t="s">
        <v>3550</v>
      </c>
      <c r="F122" s="482"/>
      <c r="G122" s="831"/>
      <c r="H122" s="482"/>
      <c r="I122" s="484">
        <v>0</v>
      </c>
      <c r="J122" s="484">
        <v>3964</v>
      </c>
      <c r="K122" s="484">
        <v>3964</v>
      </c>
      <c r="L122" s="484">
        <v>0</v>
      </c>
      <c r="M122" s="484">
        <v>3964</v>
      </c>
      <c r="N122" s="484">
        <v>3964</v>
      </c>
      <c r="O122" s="484">
        <v>3959</v>
      </c>
      <c r="P122" s="1219">
        <v>3959</v>
      </c>
      <c r="Q122" s="484">
        <v>3959</v>
      </c>
      <c r="R122" s="1209">
        <v>5</v>
      </c>
    </row>
    <row r="123" spans="1:18" ht="51" outlineLevel="5">
      <c r="A123" s="1208" t="s">
        <v>717</v>
      </c>
      <c r="B123" s="1206" t="s">
        <v>3554</v>
      </c>
      <c r="C123" s="1206" t="s">
        <v>3299</v>
      </c>
      <c r="D123" s="1206" t="s">
        <v>3566</v>
      </c>
      <c r="E123" s="1206" t="s">
        <v>3550</v>
      </c>
      <c r="F123" s="1206" t="s">
        <v>3305</v>
      </c>
      <c r="G123" s="1207" t="s">
        <v>3166</v>
      </c>
      <c r="H123" s="1206"/>
      <c r="I123" s="1205">
        <v>0</v>
      </c>
      <c r="J123" s="1205">
        <v>0</v>
      </c>
      <c r="K123" s="1205">
        <v>0</v>
      </c>
      <c r="L123" s="1205">
        <v>0</v>
      </c>
      <c r="M123" s="1205">
        <v>0</v>
      </c>
      <c r="N123" s="1205">
        <v>0</v>
      </c>
      <c r="O123" s="1205">
        <v>0</v>
      </c>
      <c r="P123" s="1205"/>
      <c r="Q123" s="1205">
        <v>3959</v>
      </c>
      <c r="R123" s="1204">
        <v>0</v>
      </c>
    </row>
    <row r="124" spans="1:18" ht="51" outlineLevel="5">
      <c r="A124" s="1208" t="s">
        <v>717</v>
      </c>
      <c r="B124" s="1206" t="s">
        <v>3554</v>
      </c>
      <c r="C124" s="1206" t="s">
        <v>3299</v>
      </c>
      <c r="D124" s="1206" t="s">
        <v>3566</v>
      </c>
      <c r="E124" s="1206" t="s">
        <v>3550</v>
      </c>
      <c r="F124" s="1206" t="s">
        <v>3305</v>
      </c>
      <c r="G124" s="1207" t="s">
        <v>3166</v>
      </c>
      <c r="H124" s="1206" t="s">
        <v>3241</v>
      </c>
      <c r="I124" s="1205">
        <v>0</v>
      </c>
      <c r="J124" s="1205">
        <v>3964</v>
      </c>
      <c r="K124" s="1205">
        <v>3964</v>
      </c>
      <c r="L124" s="1205">
        <v>0</v>
      </c>
      <c r="M124" s="1205">
        <v>3964</v>
      </c>
      <c r="N124" s="1205">
        <v>3964</v>
      </c>
      <c r="O124" s="1205">
        <v>3959</v>
      </c>
      <c r="P124" s="1205"/>
      <c r="Q124" s="1205">
        <v>0</v>
      </c>
      <c r="R124" s="1204">
        <v>5</v>
      </c>
    </row>
    <row r="125" spans="1:18" outlineLevel="3">
      <c r="A125" s="1212" t="s">
        <v>717</v>
      </c>
      <c r="B125" s="477" t="s">
        <v>3554</v>
      </c>
      <c r="C125" s="477" t="s">
        <v>3299</v>
      </c>
      <c r="D125" s="477" t="s">
        <v>3567</v>
      </c>
      <c r="E125" s="477"/>
      <c r="F125" s="477"/>
      <c r="G125" s="478"/>
      <c r="H125" s="477"/>
      <c r="I125" s="479">
        <v>793703468.13999999</v>
      </c>
      <c r="J125" s="479">
        <v>51816325.960000001</v>
      </c>
      <c r="K125" s="479">
        <v>845519794.10000002</v>
      </c>
      <c r="L125" s="479">
        <v>0</v>
      </c>
      <c r="M125" s="479">
        <v>845519794.10000002</v>
      </c>
      <c r="N125" s="479">
        <v>845519794.10000002</v>
      </c>
      <c r="O125" s="479">
        <v>634891599.46000004</v>
      </c>
      <c r="P125" s="479"/>
      <c r="Q125" s="479">
        <v>618391599.46000004</v>
      </c>
      <c r="R125" s="1211">
        <v>210628194.63999999</v>
      </c>
    </row>
    <row r="126" spans="1:18" outlineLevel="4">
      <c r="A126" s="1210" t="s">
        <v>717</v>
      </c>
      <c r="B126" s="482" t="s">
        <v>3554</v>
      </c>
      <c r="C126" s="482" t="s">
        <v>3299</v>
      </c>
      <c r="D126" s="482" t="s">
        <v>3567</v>
      </c>
      <c r="E126" s="482" t="s">
        <v>3550</v>
      </c>
      <c r="F126" s="482"/>
      <c r="G126" s="831"/>
      <c r="H126" s="482"/>
      <c r="I126" s="484">
        <v>793703468.13999999</v>
      </c>
      <c r="J126" s="484">
        <v>51816325.960000001</v>
      </c>
      <c r="K126" s="484">
        <v>845519794.10000002</v>
      </c>
      <c r="L126" s="484">
        <v>0</v>
      </c>
      <c r="M126" s="484">
        <v>845519794.10000002</v>
      </c>
      <c r="N126" s="484">
        <v>845519794.10000002</v>
      </c>
      <c r="O126" s="484">
        <v>634891599.46000004</v>
      </c>
      <c r="P126" s="484"/>
      <c r="Q126" s="484">
        <v>618391599.46000004</v>
      </c>
      <c r="R126" s="1209">
        <v>210628194.63999999</v>
      </c>
    </row>
    <row r="127" spans="1:18" ht="25.5" outlineLevel="5">
      <c r="A127" s="1208" t="s">
        <v>717</v>
      </c>
      <c r="B127" s="1206" t="s">
        <v>3554</v>
      </c>
      <c r="C127" s="1206" t="s">
        <v>3299</v>
      </c>
      <c r="D127" s="1206" t="s">
        <v>3567</v>
      </c>
      <c r="E127" s="1206" t="s">
        <v>3550</v>
      </c>
      <c r="F127" s="1206" t="s">
        <v>3298</v>
      </c>
      <c r="G127" s="1207" t="s">
        <v>22</v>
      </c>
      <c r="H127" s="1206"/>
      <c r="I127" s="1205">
        <v>0</v>
      </c>
      <c r="J127" s="1205">
        <v>0</v>
      </c>
      <c r="K127" s="1205">
        <v>0</v>
      </c>
      <c r="L127" s="1205">
        <v>0</v>
      </c>
      <c r="M127" s="1205">
        <v>0</v>
      </c>
      <c r="N127" s="1205">
        <v>0</v>
      </c>
      <c r="O127" s="1205">
        <v>0</v>
      </c>
      <c r="P127" s="1205"/>
      <c r="Q127" s="1205">
        <v>618391599.46000004</v>
      </c>
      <c r="R127" s="1204">
        <v>0</v>
      </c>
    </row>
    <row r="128" spans="1:18" ht="25.5" outlineLevel="5">
      <c r="A128" s="1208" t="s">
        <v>717</v>
      </c>
      <c r="B128" s="1206" t="s">
        <v>3554</v>
      </c>
      <c r="C128" s="1206" t="s">
        <v>3299</v>
      </c>
      <c r="D128" s="1206" t="s">
        <v>3567</v>
      </c>
      <c r="E128" s="1206" t="s">
        <v>3550</v>
      </c>
      <c r="F128" s="1206" t="s">
        <v>3298</v>
      </c>
      <c r="G128" s="1207" t="s">
        <v>22</v>
      </c>
      <c r="H128" s="1206" t="s">
        <v>3241</v>
      </c>
      <c r="I128" s="1205">
        <v>793703468.13999999</v>
      </c>
      <c r="J128" s="1205">
        <v>51816325.960000001</v>
      </c>
      <c r="K128" s="1205">
        <v>845519794.10000002</v>
      </c>
      <c r="L128" s="1205">
        <v>0</v>
      </c>
      <c r="M128" s="1205">
        <v>845519794.10000002</v>
      </c>
      <c r="N128" s="1205">
        <v>845519794.10000002</v>
      </c>
      <c r="O128" s="1205">
        <v>634891599.46000004</v>
      </c>
      <c r="P128" s="1205"/>
      <c r="Q128" s="1205">
        <v>0</v>
      </c>
      <c r="R128" s="1204">
        <v>210628194.63999999</v>
      </c>
    </row>
    <row r="129" spans="1:18" outlineLevel="3">
      <c r="A129" s="1212" t="s">
        <v>717</v>
      </c>
      <c r="B129" s="477" t="s">
        <v>3554</v>
      </c>
      <c r="C129" s="477" t="s">
        <v>3299</v>
      </c>
      <c r="D129" s="477" t="s">
        <v>3565</v>
      </c>
      <c r="E129" s="477"/>
      <c r="F129" s="477"/>
      <c r="G129" s="478"/>
      <c r="H129" s="477"/>
      <c r="I129" s="479">
        <v>33845239.369999997</v>
      </c>
      <c r="J129" s="479">
        <v>21199713.199999999</v>
      </c>
      <c r="K129" s="479">
        <v>55044952.57</v>
      </c>
      <c r="L129" s="479">
        <v>0</v>
      </c>
      <c r="M129" s="479">
        <v>54908122.969999999</v>
      </c>
      <c r="N129" s="479">
        <v>54908122.969999999</v>
      </c>
      <c r="O129" s="479">
        <v>42646761.770000003</v>
      </c>
      <c r="P129" s="479"/>
      <c r="Q129" s="479">
        <v>41246761.770000003</v>
      </c>
      <c r="R129" s="1211">
        <v>12398190.800000001</v>
      </c>
    </row>
    <row r="130" spans="1:18" outlineLevel="4">
      <c r="A130" s="1210" t="s">
        <v>717</v>
      </c>
      <c r="B130" s="482" t="s">
        <v>3554</v>
      </c>
      <c r="C130" s="482" t="s">
        <v>3299</v>
      </c>
      <c r="D130" s="482" t="s">
        <v>3565</v>
      </c>
      <c r="E130" s="482" t="s">
        <v>3550</v>
      </c>
      <c r="F130" s="482"/>
      <c r="G130" s="831"/>
      <c r="H130" s="482"/>
      <c r="I130" s="484">
        <v>33845239.369999997</v>
      </c>
      <c r="J130" s="484">
        <v>21199713.199999999</v>
      </c>
      <c r="K130" s="484">
        <v>55044952.57</v>
      </c>
      <c r="L130" s="484">
        <v>0</v>
      </c>
      <c r="M130" s="484">
        <v>54908122.969999999</v>
      </c>
      <c r="N130" s="484">
        <v>54908122.969999999</v>
      </c>
      <c r="O130" s="484">
        <v>42646761.770000003</v>
      </c>
      <c r="P130" s="484"/>
      <c r="Q130" s="484">
        <v>41246761.770000003</v>
      </c>
      <c r="R130" s="1209">
        <v>12398190.800000001</v>
      </c>
    </row>
    <row r="131" spans="1:18" ht="51" outlineLevel="5">
      <c r="A131" s="1208" t="s">
        <v>717</v>
      </c>
      <c r="B131" s="1206" t="s">
        <v>3554</v>
      </c>
      <c r="C131" s="1206" t="s">
        <v>3299</v>
      </c>
      <c r="D131" s="1206" t="s">
        <v>3565</v>
      </c>
      <c r="E131" s="1206" t="s">
        <v>3550</v>
      </c>
      <c r="F131" s="1206" t="s">
        <v>3305</v>
      </c>
      <c r="G131" s="1207" t="s">
        <v>3166</v>
      </c>
      <c r="H131" s="1206"/>
      <c r="I131" s="1205">
        <v>0</v>
      </c>
      <c r="J131" s="1205">
        <v>0</v>
      </c>
      <c r="K131" s="1205">
        <v>0</v>
      </c>
      <c r="L131" s="1205">
        <v>0</v>
      </c>
      <c r="M131" s="1205">
        <v>0</v>
      </c>
      <c r="N131" s="1205">
        <v>0</v>
      </c>
      <c r="O131" s="1205">
        <v>0</v>
      </c>
      <c r="P131" s="1205"/>
      <c r="Q131" s="1205">
        <v>26962</v>
      </c>
      <c r="R131" s="1204">
        <v>0</v>
      </c>
    </row>
    <row r="132" spans="1:18" ht="51" outlineLevel="5">
      <c r="A132" s="1208" t="s">
        <v>717</v>
      </c>
      <c r="B132" s="1206" t="s">
        <v>3554</v>
      </c>
      <c r="C132" s="1206" t="s">
        <v>3299</v>
      </c>
      <c r="D132" s="1206" t="s">
        <v>3565</v>
      </c>
      <c r="E132" s="1206" t="s">
        <v>3550</v>
      </c>
      <c r="F132" s="1206" t="s">
        <v>3305</v>
      </c>
      <c r="G132" s="1207" t="s">
        <v>3166</v>
      </c>
      <c r="H132" s="1206" t="s">
        <v>3241</v>
      </c>
      <c r="I132" s="1205">
        <v>32070</v>
      </c>
      <c r="J132" s="1205">
        <v>-3964</v>
      </c>
      <c r="K132" s="1205">
        <v>28106</v>
      </c>
      <c r="L132" s="1205">
        <v>0</v>
      </c>
      <c r="M132" s="1205">
        <v>28106</v>
      </c>
      <c r="N132" s="1205">
        <v>28106</v>
      </c>
      <c r="O132" s="1205">
        <v>26962</v>
      </c>
      <c r="P132" s="1205"/>
      <c r="Q132" s="1205">
        <v>0</v>
      </c>
      <c r="R132" s="1204">
        <v>1144</v>
      </c>
    </row>
    <row r="133" spans="1:18" ht="38.25" outlineLevel="5">
      <c r="A133" s="1208" t="s">
        <v>717</v>
      </c>
      <c r="B133" s="1206" t="s">
        <v>3554</v>
      </c>
      <c r="C133" s="1206" t="s">
        <v>3299</v>
      </c>
      <c r="D133" s="1206" t="s">
        <v>3565</v>
      </c>
      <c r="E133" s="1206" t="s">
        <v>3550</v>
      </c>
      <c r="F133" s="1206" t="s">
        <v>3304</v>
      </c>
      <c r="G133" s="1207" t="s">
        <v>2930</v>
      </c>
      <c r="H133" s="1206"/>
      <c r="I133" s="1205">
        <v>0</v>
      </c>
      <c r="J133" s="1205">
        <v>0</v>
      </c>
      <c r="K133" s="1205">
        <v>0</v>
      </c>
      <c r="L133" s="1205">
        <v>0</v>
      </c>
      <c r="M133" s="1205">
        <v>0</v>
      </c>
      <c r="N133" s="1205">
        <v>0</v>
      </c>
      <c r="O133" s="1205">
        <v>0</v>
      </c>
      <c r="P133" s="1221">
        <v>35050.1</v>
      </c>
      <c r="Q133" s="1205">
        <v>35050999.770000003</v>
      </c>
      <c r="R133" s="1204">
        <v>0</v>
      </c>
    </row>
    <row r="134" spans="1:18" ht="38.25" outlineLevel="5">
      <c r="A134" s="1208" t="s">
        <v>717</v>
      </c>
      <c r="B134" s="1206" t="s">
        <v>3554</v>
      </c>
      <c r="C134" s="1206" t="s">
        <v>3299</v>
      </c>
      <c r="D134" s="1206" t="s">
        <v>3565</v>
      </c>
      <c r="E134" s="1206" t="s">
        <v>3550</v>
      </c>
      <c r="F134" s="1206" t="s">
        <v>3304</v>
      </c>
      <c r="G134" s="1207" t="s">
        <v>2930</v>
      </c>
      <c r="H134" s="1206" t="s">
        <v>3241</v>
      </c>
      <c r="I134" s="1205">
        <v>28813169.370000001</v>
      </c>
      <c r="J134" s="1205">
        <v>6237830.4000000004</v>
      </c>
      <c r="K134" s="1205">
        <v>35050999.770000003</v>
      </c>
      <c r="L134" s="1205">
        <v>0</v>
      </c>
      <c r="M134" s="1205">
        <v>35050999.770000003</v>
      </c>
      <c r="N134" s="1205">
        <v>35050999.770000003</v>
      </c>
      <c r="O134" s="1205">
        <v>35050999.770000003</v>
      </c>
      <c r="P134" s="1205"/>
      <c r="Q134" s="1205">
        <v>0</v>
      </c>
      <c r="R134" s="1204">
        <v>0</v>
      </c>
    </row>
    <row r="135" spans="1:18" ht="25.5" outlineLevel="5">
      <c r="A135" s="1208" t="s">
        <v>717</v>
      </c>
      <c r="B135" s="1206" t="s">
        <v>3554</v>
      </c>
      <c r="C135" s="1206" t="s">
        <v>3299</v>
      </c>
      <c r="D135" s="1206" t="s">
        <v>3565</v>
      </c>
      <c r="E135" s="1206" t="s">
        <v>3550</v>
      </c>
      <c r="F135" s="1206" t="s">
        <v>3303</v>
      </c>
      <c r="G135" s="1207" t="s">
        <v>2922</v>
      </c>
      <c r="H135" s="1206" t="s">
        <v>3241</v>
      </c>
      <c r="I135" s="1205">
        <v>5000000</v>
      </c>
      <c r="J135" s="1205">
        <v>-4863170.4000000004</v>
      </c>
      <c r="K135" s="1205">
        <v>136829.6</v>
      </c>
      <c r="L135" s="1205">
        <v>0</v>
      </c>
      <c r="M135" s="1205">
        <v>0</v>
      </c>
      <c r="N135" s="1205">
        <v>0</v>
      </c>
      <c r="O135" s="1205">
        <v>0</v>
      </c>
      <c r="P135" s="1205"/>
      <c r="Q135" s="1205">
        <v>0</v>
      </c>
      <c r="R135" s="1204">
        <v>136829.6</v>
      </c>
    </row>
    <row r="136" spans="1:18" ht="38.25" outlineLevel="5">
      <c r="A136" s="1208" t="s">
        <v>717</v>
      </c>
      <c r="B136" s="1206" t="s">
        <v>3554</v>
      </c>
      <c r="C136" s="1206" t="s">
        <v>3299</v>
      </c>
      <c r="D136" s="1206" t="s">
        <v>3565</v>
      </c>
      <c r="E136" s="1206" t="s">
        <v>3550</v>
      </c>
      <c r="F136" s="1206" t="s">
        <v>3302</v>
      </c>
      <c r="G136" s="1207" t="s">
        <v>3301</v>
      </c>
      <c r="H136" s="1206" t="s">
        <v>3241</v>
      </c>
      <c r="I136" s="1205">
        <v>0</v>
      </c>
      <c r="J136" s="1205">
        <v>3628395</v>
      </c>
      <c r="K136" s="1205">
        <v>3628395</v>
      </c>
      <c r="L136" s="1205">
        <v>0</v>
      </c>
      <c r="M136" s="1205">
        <v>3628395</v>
      </c>
      <c r="N136" s="1205">
        <v>3628395</v>
      </c>
      <c r="O136" s="1205">
        <v>0</v>
      </c>
      <c r="P136" s="1205"/>
      <c r="Q136" s="1205">
        <v>0</v>
      </c>
      <c r="R136" s="1204">
        <v>3628395</v>
      </c>
    </row>
    <row r="137" spans="1:18" ht="89.25" outlineLevel="5">
      <c r="A137" s="1208" t="s">
        <v>717</v>
      </c>
      <c r="B137" s="1206" t="s">
        <v>3554</v>
      </c>
      <c r="C137" s="1206" t="s">
        <v>3299</v>
      </c>
      <c r="D137" s="1206" t="s">
        <v>3565</v>
      </c>
      <c r="E137" s="1206" t="s">
        <v>3550</v>
      </c>
      <c r="F137" s="1206" t="s">
        <v>3300</v>
      </c>
      <c r="G137" s="1207" t="s">
        <v>3129</v>
      </c>
      <c r="H137" s="1206"/>
      <c r="I137" s="1205">
        <v>0</v>
      </c>
      <c r="J137" s="1205">
        <v>0</v>
      </c>
      <c r="K137" s="1205">
        <v>0</v>
      </c>
      <c r="L137" s="1205">
        <v>0</v>
      </c>
      <c r="M137" s="1205">
        <v>0</v>
      </c>
      <c r="N137" s="1205">
        <v>0</v>
      </c>
      <c r="O137" s="1205">
        <v>0</v>
      </c>
      <c r="P137" s="1221">
        <v>6168.8</v>
      </c>
      <c r="Q137" s="1205">
        <v>6168800</v>
      </c>
      <c r="R137" s="1204">
        <v>0</v>
      </c>
    </row>
    <row r="138" spans="1:18" ht="89.25" outlineLevel="5">
      <c r="A138" s="1208" t="s">
        <v>717</v>
      </c>
      <c r="B138" s="1206" t="s">
        <v>3554</v>
      </c>
      <c r="C138" s="1206" t="s">
        <v>3299</v>
      </c>
      <c r="D138" s="1206" t="s">
        <v>3565</v>
      </c>
      <c r="E138" s="1206" t="s">
        <v>3550</v>
      </c>
      <c r="F138" s="1206" t="s">
        <v>3300</v>
      </c>
      <c r="G138" s="1207" t="s">
        <v>3129</v>
      </c>
      <c r="H138" s="1206" t="s">
        <v>3241</v>
      </c>
      <c r="I138" s="1205">
        <v>0</v>
      </c>
      <c r="J138" s="1205">
        <v>16200622.199999999</v>
      </c>
      <c r="K138" s="1205">
        <v>16200622.199999999</v>
      </c>
      <c r="L138" s="1205">
        <v>0</v>
      </c>
      <c r="M138" s="1205">
        <v>16200622.199999999</v>
      </c>
      <c r="N138" s="1205">
        <v>16200622.199999999</v>
      </c>
      <c r="O138" s="1205">
        <v>7568800</v>
      </c>
      <c r="P138" s="1205"/>
      <c r="Q138" s="1205">
        <v>0</v>
      </c>
      <c r="R138" s="1204">
        <v>8631822.1999999993</v>
      </c>
    </row>
    <row r="139" spans="1:18" outlineLevel="2">
      <c r="A139" s="1214" t="s">
        <v>717</v>
      </c>
      <c r="B139" s="472" t="s">
        <v>3554</v>
      </c>
      <c r="C139" s="472" t="s">
        <v>3297</v>
      </c>
      <c r="D139" s="472"/>
      <c r="E139" s="472"/>
      <c r="F139" s="472"/>
      <c r="G139" s="473"/>
      <c r="H139" s="472"/>
      <c r="I139" s="474">
        <v>3561300</v>
      </c>
      <c r="J139" s="474">
        <v>2382077.81</v>
      </c>
      <c r="K139" s="474">
        <v>5943377.8099999996</v>
      </c>
      <c r="L139" s="474">
        <v>0</v>
      </c>
      <c r="M139" s="474">
        <v>5943377.8099999996</v>
      </c>
      <c r="N139" s="474">
        <v>5943377.8099999996</v>
      </c>
      <c r="O139" s="474">
        <v>5442317</v>
      </c>
      <c r="P139" s="474"/>
      <c r="Q139" s="474">
        <v>5210653.07</v>
      </c>
      <c r="R139" s="1213">
        <v>501060.81</v>
      </c>
    </row>
    <row r="140" spans="1:18" outlineLevel="3">
      <c r="A140" s="1212" t="s">
        <v>717</v>
      </c>
      <c r="B140" s="477" t="s">
        <v>3554</v>
      </c>
      <c r="C140" s="477" t="s">
        <v>3297</v>
      </c>
      <c r="D140" s="477" t="s">
        <v>3566</v>
      </c>
      <c r="E140" s="477"/>
      <c r="F140" s="477"/>
      <c r="G140" s="478"/>
      <c r="H140" s="477"/>
      <c r="I140" s="479">
        <v>567700</v>
      </c>
      <c r="J140" s="479">
        <v>0</v>
      </c>
      <c r="K140" s="479">
        <v>567700</v>
      </c>
      <c r="L140" s="479">
        <v>0</v>
      </c>
      <c r="M140" s="479">
        <v>567700</v>
      </c>
      <c r="N140" s="479">
        <v>567700</v>
      </c>
      <c r="O140" s="479">
        <v>438257.8</v>
      </c>
      <c r="P140" s="479"/>
      <c r="Q140" s="479">
        <v>365593.87</v>
      </c>
      <c r="R140" s="1211">
        <v>129442.2</v>
      </c>
    </row>
    <row r="141" spans="1:18" outlineLevel="4">
      <c r="A141" s="1210" t="s">
        <v>717</v>
      </c>
      <c r="B141" s="482" t="s">
        <v>3554</v>
      </c>
      <c r="C141" s="482" t="s">
        <v>3297</v>
      </c>
      <c r="D141" s="482" t="s">
        <v>3566</v>
      </c>
      <c r="E141" s="482" t="s">
        <v>3550</v>
      </c>
      <c r="F141" s="482"/>
      <c r="G141" s="831"/>
      <c r="H141" s="482"/>
      <c r="I141" s="484">
        <v>567700</v>
      </c>
      <c r="J141" s="484">
        <v>0</v>
      </c>
      <c r="K141" s="484">
        <v>567700</v>
      </c>
      <c r="L141" s="484">
        <v>0</v>
      </c>
      <c r="M141" s="484">
        <v>567700</v>
      </c>
      <c r="N141" s="484">
        <v>567700</v>
      </c>
      <c r="O141" s="484">
        <v>438257.8</v>
      </c>
      <c r="P141" s="484"/>
      <c r="Q141" s="484">
        <v>365593.87</v>
      </c>
      <c r="R141" s="1209">
        <v>129442.2</v>
      </c>
    </row>
    <row r="142" spans="1:18" ht="63.75" outlineLevel="5">
      <c r="A142" s="1208" t="s">
        <v>717</v>
      </c>
      <c r="B142" s="1206" t="s">
        <v>3554</v>
      </c>
      <c r="C142" s="1206" t="s">
        <v>3297</v>
      </c>
      <c r="D142" s="1206" t="s">
        <v>3566</v>
      </c>
      <c r="E142" s="1206" t="s">
        <v>3550</v>
      </c>
      <c r="F142" s="1206" t="s">
        <v>3296</v>
      </c>
      <c r="G142" s="1207" t="s">
        <v>62</v>
      </c>
      <c r="H142" s="1206"/>
      <c r="I142" s="1205">
        <v>0</v>
      </c>
      <c r="J142" s="1205">
        <v>0</v>
      </c>
      <c r="K142" s="1205">
        <v>0</v>
      </c>
      <c r="L142" s="1205">
        <v>0</v>
      </c>
      <c r="M142" s="1205">
        <v>0</v>
      </c>
      <c r="N142" s="1205">
        <v>0</v>
      </c>
      <c r="O142" s="1205">
        <v>0</v>
      </c>
      <c r="P142" s="1205"/>
      <c r="Q142" s="1205">
        <v>365593.87</v>
      </c>
      <c r="R142" s="1204">
        <v>0</v>
      </c>
    </row>
    <row r="143" spans="1:18" ht="63.75" outlineLevel="5">
      <c r="A143" s="1208" t="s">
        <v>717</v>
      </c>
      <c r="B143" s="1206" t="s">
        <v>3554</v>
      </c>
      <c r="C143" s="1206" t="s">
        <v>3297</v>
      </c>
      <c r="D143" s="1206" t="s">
        <v>3566</v>
      </c>
      <c r="E143" s="1206" t="s">
        <v>3550</v>
      </c>
      <c r="F143" s="1206" t="s">
        <v>3296</v>
      </c>
      <c r="G143" s="1207" t="s">
        <v>62</v>
      </c>
      <c r="H143" s="1206" t="s">
        <v>3241</v>
      </c>
      <c r="I143" s="1205">
        <v>567700</v>
      </c>
      <c r="J143" s="1205">
        <v>0</v>
      </c>
      <c r="K143" s="1205">
        <v>567700</v>
      </c>
      <c r="L143" s="1205">
        <v>0</v>
      </c>
      <c r="M143" s="1205">
        <v>567700</v>
      </c>
      <c r="N143" s="1205">
        <v>567700</v>
      </c>
      <c r="O143" s="1205">
        <v>438257.8</v>
      </c>
      <c r="P143" s="1205"/>
      <c r="Q143" s="1205">
        <v>0</v>
      </c>
      <c r="R143" s="1204">
        <v>129442.2</v>
      </c>
    </row>
    <row r="144" spans="1:18" outlineLevel="3">
      <c r="A144" s="1212" t="s">
        <v>717</v>
      </c>
      <c r="B144" s="477" t="s">
        <v>3554</v>
      </c>
      <c r="C144" s="477" t="s">
        <v>3297</v>
      </c>
      <c r="D144" s="477" t="s">
        <v>3565</v>
      </c>
      <c r="E144" s="477"/>
      <c r="F144" s="477"/>
      <c r="G144" s="478"/>
      <c r="H144" s="477"/>
      <c r="I144" s="479">
        <v>2993600</v>
      </c>
      <c r="J144" s="479">
        <v>2382077.81</v>
      </c>
      <c r="K144" s="479">
        <v>5375677.8099999996</v>
      </c>
      <c r="L144" s="479">
        <v>0</v>
      </c>
      <c r="M144" s="479">
        <v>5375677.8099999996</v>
      </c>
      <c r="N144" s="479">
        <v>5375677.8099999996</v>
      </c>
      <c r="O144" s="479">
        <v>5004059.2</v>
      </c>
      <c r="P144" s="479"/>
      <c r="Q144" s="479">
        <v>4845059.2</v>
      </c>
      <c r="R144" s="1211">
        <v>371618.61</v>
      </c>
    </row>
    <row r="145" spans="1:18" outlineLevel="4">
      <c r="A145" s="1210" t="s">
        <v>717</v>
      </c>
      <c r="B145" s="482" t="s">
        <v>3554</v>
      </c>
      <c r="C145" s="482" t="s">
        <v>3297</v>
      </c>
      <c r="D145" s="482" t="s">
        <v>3565</v>
      </c>
      <c r="E145" s="482" t="s">
        <v>3550</v>
      </c>
      <c r="F145" s="482"/>
      <c r="G145" s="831"/>
      <c r="H145" s="482"/>
      <c r="I145" s="484">
        <v>2993600</v>
      </c>
      <c r="J145" s="484">
        <v>2382077.81</v>
      </c>
      <c r="K145" s="484">
        <v>5375677.8099999996</v>
      </c>
      <c r="L145" s="484">
        <v>0</v>
      </c>
      <c r="M145" s="484">
        <v>5375677.8099999996</v>
      </c>
      <c r="N145" s="484">
        <v>5375677.8099999996</v>
      </c>
      <c r="O145" s="484">
        <v>5004059.2</v>
      </c>
      <c r="P145" s="484"/>
      <c r="Q145" s="484">
        <v>4845059.2</v>
      </c>
      <c r="R145" s="1209">
        <v>371618.61</v>
      </c>
    </row>
    <row r="146" spans="1:18" ht="63.75" outlineLevel="5">
      <c r="A146" s="1208" t="s">
        <v>717</v>
      </c>
      <c r="B146" s="1206" t="s">
        <v>3554</v>
      </c>
      <c r="C146" s="1206" t="s">
        <v>3297</v>
      </c>
      <c r="D146" s="1206" t="s">
        <v>3565</v>
      </c>
      <c r="E146" s="1206" t="s">
        <v>3550</v>
      </c>
      <c r="F146" s="1206" t="s">
        <v>3296</v>
      </c>
      <c r="G146" s="1207" t="s">
        <v>62</v>
      </c>
      <c r="H146" s="1206"/>
      <c r="I146" s="1205">
        <v>0</v>
      </c>
      <c r="J146" s="1205">
        <v>0</v>
      </c>
      <c r="K146" s="1205">
        <v>0</v>
      </c>
      <c r="L146" s="1205">
        <v>0</v>
      </c>
      <c r="M146" s="1205">
        <v>0</v>
      </c>
      <c r="N146" s="1205">
        <v>0</v>
      </c>
      <c r="O146" s="1205">
        <v>0</v>
      </c>
      <c r="P146" s="1205"/>
      <c r="Q146" s="1205">
        <v>4845059.2</v>
      </c>
      <c r="R146" s="1204">
        <v>0</v>
      </c>
    </row>
    <row r="147" spans="1:18" ht="63.75" outlineLevel="5">
      <c r="A147" s="1208" t="s">
        <v>717</v>
      </c>
      <c r="B147" s="1206" t="s">
        <v>3554</v>
      </c>
      <c r="C147" s="1206" t="s">
        <v>3297</v>
      </c>
      <c r="D147" s="1206" t="s">
        <v>3565</v>
      </c>
      <c r="E147" s="1206" t="s">
        <v>3550</v>
      </c>
      <c r="F147" s="1206" t="s">
        <v>3296</v>
      </c>
      <c r="G147" s="1207" t="s">
        <v>62</v>
      </c>
      <c r="H147" s="1206" t="s">
        <v>3241</v>
      </c>
      <c r="I147" s="1205">
        <v>2993600</v>
      </c>
      <c r="J147" s="1205">
        <v>2382077.81</v>
      </c>
      <c r="K147" s="1205">
        <v>5375677.8099999996</v>
      </c>
      <c r="L147" s="1205">
        <v>0</v>
      </c>
      <c r="M147" s="1205">
        <v>5375677.8099999996</v>
      </c>
      <c r="N147" s="1205">
        <v>5375677.8099999996</v>
      </c>
      <c r="O147" s="1205">
        <v>5004059.2</v>
      </c>
      <c r="P147" s="1205"/>
      <c r="Q147" s="1205">
        <v>0</v>
      </c>
      <c r="R147" s="1204">
        <v>371618.61</v>
      </c>
    </row>
    <row r="148" spans="1:18" outlineLevel="2">
      <c r="A148" s="1214" t="s">
        <v>717</v>
      </c>
      <c r="B148" s="472" t="s">
        <v>3554</v>
      </c>
      <c r="C148" s="472" t="s">
        <v>3295</v>
      </c>
      <c r="D148" s="472"/>
      <c r="E148" s="472"/>
      <c r="F148" s="472"/>
      <c r="G148" s="473"/>
      <c r="H148" s="472"/>
      <c r="I148" s="474">
        <v>0</v>
      </c>
      <c r="J148" s="474">
        <v>134432.19</v>
      </c>
      <c r="K148" s="474">
        <v>134432.19</v>
      </c>
      <c r="L148" s="474">
        <v>0</v>
      </c>
      <c r="M148" s="474">
        <v>134432.19</v>
      </c>
      <c r="N148" s="474">
        <v>134432.19</v>
      </c>
      <c r="O148" s="474">
        <v>134432.19</v>
      </c>
      <c r="P148" s="474"/>
      <c r="Q148" s="474">
        <v>134432.19</v>
      </c>
      <c r="R148" s="1213">
        <v>0</v>
      </c>
    </row>
    <row r="149" spans="1:18" outlineLevel="3">
      <c r="A149" s="1212" t="s">
        <v>717</v>
      </c>
      <c r="B149" s="477" t="s">
        <v>3554</v>
      </c>
      <c r="C149" s="477" t="s">
        <v>3295</v>
      </c>
      <c r="D149" s="477" t="s">
        <v>3566</v>
      </c>
      <c r="E149" s="477"/>
      <c r="F149" s="477"/>
      <c r="G149" s="478"/>
      <c r="H149" s="477"/>
      <c r="I149" s="479">
        <v>0</v>
      </c>
      <c r="J149" s="479">
        <v>46621.2</v>
      </c>
      <c r="K149" s="479">
        <v>46621.2</v>
      </c>
      <c r="L149" s="479">
        <v>0</v>
      </c>
      <c r="M149" s="479">
        <v>46621.2</v>
      </c>
      <c r="N149" s="479">
        <v>46621.2</v>
      </c>
      <c r="O149" s="479">
        <v>46621.2</v>
      </c>
      <c r="P149" s="479"/>
      <c r="Q149" s="479">
        <v>46621.2</v>
      </c>
      <c r="R149" s="1211">
        <v>0</v>
      </c>
    </row>
    <row r="150" spans="1:18" outlineLevel="4">
      <c r="A150" s="1210" t="s">
        <v>717</v>
      </c>
      <c r="B150" s="482" t="s">
        <v>3554</v>
      </c>
      <c r="C150" s="482" t="s">
        <v>3295</v>
      </c>
      <c r="D150" s="482" t="s">
        <v>3566</v>
      </c>
      <c r="E150" s="482" t="s">
        <v>3550</v>
      </c>
      <c r="F150" s="482"/>
      <c r="G150" s="831"/>
      <c r="H150" s="482"/>
      <c r="I150" s="484">
        <v>0</v>
      </c>
      <c r="J150" s="484">
        <v>46621.2</v>
      </c>
      <c r="K150" s="484">
        <v>46621.2</v>
      </c>
      <c r="L150" s="484">
        <v>0</v>
      </c>
      <c r="M150" s="484">
        <v>46621.2</v>
      </c>
      <c r="N150" s="484">
        <v>46621.2</v>
      </c>
      <c r="O150" s="484">
        <v>46621.2</v>
      </c>
      <c r="P150" s="484"/>
      <c r="Q150" s="484">
        <v>46621.2</v>
      </c>
      <c r="R150" s="1209">
        <v>0</v>
      </c>
    </row>
    <row r="151" spans="1:18" ht="76.5" outlineLevel="5">
      <c r="A151" s="1208" t="s">
        <v>717</v>
      </c>
      <c r="B151" s="1206" t="s">
        <v>3554</v>
      </c>
      <c r="C151" s="1206" t="s">
        <v>3295</v>
      </c>
      <c r="D151" s="1206" t="s">
        <v>3566</v>
      </c>
      <c r="E151" s="1206" t="s">
        <v>3550</v>
      </c>
      <c r="F151" s="1206" t="s">
        <v>3294</v>
      </c>
      <c r="G151" s="1207" t="s">
        <v>156</v>
      </c>
      <c r="H151" s="1206"/>
      <c r="I151" s="1205">
        <v>0</v>
      </c>
      <c r="J151" s="1205">
        <v>0</v>
      </c>
      <c r="K151" s="1205">
        <v>0</v>
      </c>
      <c r="L151" s="1205">
        <v>0</v>
      </c>
      <c r="M151" s="1205">
        <v>0</v>
      </c>
      <c r="N151" s="1205">
        <v>0</v>
      </c>
      <c r="O151" s="1205">
        <v>0</v>
      </c>
      <c r="P151" s="1205"/>
      <c r="Q151" s="1205">
        <v>46621.2</v>
      </c>
      <c r="R151" s="1204">
        <v>0</v>
      </c>
    </row>
    <row r="152" spans="1:18" ht="76.5" outlineLevel="5">
      <c r="A152" s="1208" t="s">
        <v>717</v>
      </c>
      <c r="B152" s="1206" t="s">
        <v>3554</v>
      </c>
      <c r="C152" s="1206" t="s">
        <v>3295</v>
      </c>
      <c r="D152" s="1206" t="s">
        <v>3566</v>
      </c>
      <c r="E152" s="1206" t="s">
        <v>3550</v>
      </c>
      <c r="F152" s="1206" t="s">
        <v>3294</v>
      </c>
      <c r="G152" s="1207" t="s">
        <v>156</v>
      </c>
      <c r="H152" s="1206" t="s">
        <v>3241</v>
      </c>
      <c r="I152" s="1205">
        <v>0</v>
      </c>
      <c r="J152" s="1205">
        <v>46621.2</v>
      </c>
      <c r="K152" s="1205">
        <v>46621.2</v>
      </c>
      <c r="L152" s="1205">
        <v>0</v>
      </c>
      <c r="M152" s="1205">
        <v>46621.2</v>
      </c>
      <c r="N152" s="1205">
        <v>46621.2</v>
      </c>
      <c r="O152" s="1205">
        <v>46621.2</v>
      </c>
      <c r="P152" s="1205"/>
      <c r="Q152" s="1205">
        <v>0</v>
      </c>
      <c r="R152" s="1204">
        <v>0</v>
      </c>
    </row>
    <row r="153" spans="1:18" outlineLevel="3">
      <c r="A153" s="1212" t="s">
        <v>717</v>
      </c>
      <c r="B153" s="477" t="s">
        <v>3554</v>
      </c>
      <c r="C153" s="477" t="s">
        <v>3295</v>
      </c>
      <c r="D153" s="477" t="s">
        <v>3565</v>
      </c>
      <c r="E153" s="477"/>
      <c r="F153" s="477"/>
      <c r="G153" s="478"/>
      <c r="H153" s="477"/>
      <c r="I153" s="479">
        <v>0</v>
      </c>
      <c r="J153" s="479">
        <v>87810.99</v>
      </c>
      <c r="K153" s="479">
        <v>87810.99</v>
      </c>
      <c r="L153" s="479">
        <v>0</v>
      </c>
      <c r="M153" s="479">
        <v>87810.99</v>
      </c>
      <c r="N153" s="479">
        <v>87810.99</v>
      </c>
      <c r="O153" s="479">
        <v>87810.99</v>
      </c>
      <c r="P153" s="479"/>
      <c r="Q153" s="479">
        <v>87810.99</v>
      </c>
      <c r="R153" s="1211">
        <v>0</v>
      </c>
    </row>
    <row r="154" spans="1:18" outlineLevel="4">
      <c r="A154" s="1210" t="s">
        <v>717</v>
      </c>
      <c r="B154" s="482" t="s">
        <v>3554</v>
      </c>
      <c r="C154" s="482" t="s">
        <v>3295</v>
      </c>
      <c r="D154" s="482" t="s">
        <v>3565</v>
      </c>
      <c r="E154" s="482" t="s">
        <v>3550</v>
      </c>
      <c r="F154" s="482"/>
      <c r="G154" s="831"/>
      <c r="H154" s="482"/>
      <c r="I154" s="484">
        <v>0</v>
      </c>
      <c r="J154" s="484">
        <v>87810.99</v>
      </c>
      <c r="K154" s="484">
        <v>87810.99</v>
      </c>
      <c r="L154" s="484">
        <v>0</v>
      </c>
      <c r="M154" s="484">
        <v>87810.99</v>
      </c>
      <c r="N154" s="484">
        <v>87810.99</v>
      </c>
      <c r="O154" s="484">
        <v>87810.99</v>
      </c>
      <c r="P154" s="484"/>
      <c r="Q154" s="484">
        <v>87810.99</v>
      </c>
      <c r="R154" s="1209">
        <v>0</v>
      </c>
    </row>
    <row r="155" spans="1:18" ht="76.5" outlineLevel="5">
      <c r="A155" s="1208" t="s">
        <v>717</v>
      </c>
      <c r="B155" s="1206" t="s">
        <v>3554</v>
      </c>
      <c r="C155" s="1206" t="s">
        <v>3295</v>
      </c>
      <c r="D155" s="1206" t="s">
        <v>3565</v>
      </c>
      <c r="E155" s="1206" t="s">
        <v>3550</v>
      </c>
      <c r="F155" s="1206" t="s">
        <v>3294</v>
      </c>
      <c r="G155" s="1207" t="s">
        <v>156</v>
      </c>
      <c r="H155" s="1206"/>
      <c r="I155" s="1205">
        <v>0</v>
      </c>
      <c r="J155" s="1205">
        <v>0</v>
      </c>
      <c r="K155" s="1205">
        <v>0</v>
      </c>
      <c r="L155" s="1205">
        <v>0</v>
      </c>
      <c r="M155" s="1205">
        <v>0</v>
      </c>
      <c r="N155" s="1205">
        <v>0</v>
      </c>
      <c r="O155" s="1205">
        <v>0</v>
      </c>
      <c r="P155" s="1205"/>
      <c r="Q155" s="1205">
        <v>87810.99</v>
      </c>
      <c r="R155" s="1204">
        <v>0</v>
      </c>
    </row>
    <row r="156" spans="1:18" ht="76.5" outlineLevel="5">
      <c r="A156" s="1208" t="s">
        <v>717</v>
      </c>
      <c r="B156" s="1206" t="s">
        <v>3554</v>
      </c>
      <c r="C156" s="1206" t="s">
        <v>3295</v>
      </c>
      <c r="D156" s="1206" t="s">
        <v>3565</v>
      </c>
      <c r="E156" s="1206" t="s">
        <v>3550</v>
      </c>
      <c r="F156" s="1206" t="s">
        <v>3294</v>
      </c>
      <c r="G156" s="1207" t="s">
        <v>156</v>
      </c>
      <c r="H156" s="1206" t="s">
        <v>3241</v>
      </c>
      <c r="I156" s="1205">
        <v>0</v>
      </c>
      <c r="J156" s="1205">
        <v>87810.99</v>
      </c>
      <c r="K156" s="1205">
        <v>87810.99</v>
      </c>
      <c r="L156" s="1205">
        <v>0</v>
      </c>
      <c r="M156" s="1205">
        <v>87810.99</v>
      </c>
      <c r="N156" s="1205">
        <v>87810.99</v>
      </c>
      <c r="O156" s="1205">
        <v>87810.99</v>
      </c>
      <c r="P156" s="1205"/>
      <c r="Q156" s="1205">
        <v>0</v>
      </c>
      <c r="R156" s="1204">
        <v>0</v>
      </c>
    </row>
    <row r="157" spans="1:18" outlineLevel="2">
      <c r="A157" s="1214" t="s">
        <v>717</v>
      </c>
      <c r="B157" s="472" t="s">
        <v>3554</v>
      </c>
      <c r="C157" s="472" t="s">
        <v>3291</v>
      </c>
      <c r="D157" s="472"/>
      <c r="E157" s="472"/>
      <c r="F157" s="472"/>
      <c r="G157" s="473"/>
      <c r="H157" s="472"/>
      <c r="I157" s="474">
        <v>54110657.700000003</v>
      </c>
      <c r="J157" s="474">
        <v>15626930.970000001</v>
      </c>
      <c r="K157" s="474">
        <v>69737588.670000002</v>
      </c>
      <c r="L157" s="474">
        <v>0</v>
      </c>
      <c r="M157" s="474">
        <v>69737588.670000002</v>
      </c>
      <c r="N157" s="474">
        <v>69737588.670000002</v>
      </c>
      <c r="O157" s="474">
        <v>67818010</v>
      </c>
      <c r="P157" s="474"/>
      <c r="Q157" s="474">
        <v>67818010</v>
      </c>
      <c r="R157" s="1213">
        <v>1919578.67</v>
      </c>
    </row>
    <row r="158" spans="1:18" outlineLevel="3">
      <c r="A158" s="1212" t="s">
        <v>717</v>
      </c>
      <c r="B158" s="477" t="s">
        <v>3554</v>
      </c>
      <c r="C158" s="477" t="s">
        <v>3291</v>
      </c>
      <c r="D158" s="477" t="s">
        <v>3553</v>
      </c>
      <c r="E158" s="477"/>
      <c r="F158" s="477"/>
      <c r="G158" s="478"/>
      <c r="H158" s="477"/>
      <c r="I158" s="479">
        <v>2106657.7000000002</v>
      </c>
      <c r="J158" s="479">
        <v>30930.97</v>
      </c>
      <c r="K158" s="479">
        <v>2137588.67</v>
      </c>
      <c r="L158" s="479">
        <v>0</v>
      </c>
      <c r="M158" s="479">
        <v>2137588.67</v>
      </c>
      <c r="N158" s="479">
        <v>2137588.67</v>
      </c>
      <c r="O158" s="479">
        <v>218010</v>
      </c>
      <c r="P158" s="479"/>
      <c r="Q158" s="479">
        <v>218010</v>
      </c>
      <c r="R158" s="1211">
        <v>1919578.67</v>
      </c>
    </row>
    <row r="159" spans="1:18" outlineLevel="4">
      <c r="A159" s="1210" t="s">
        <v>717</v>
      </c>
      <c r="B159" s="482" t="s">
        <v>3554</v>
      </c>
      <c r="C159" s="482" t="s">
        <v>3291</v>
      </c>
      <c r="D159" s="482" t="s">
        <v>3553</v>
      </c>
      <c r="E159" s="482" t="s">
        <v>3550</v>
      </c>
      <c r="F159" s="482"/>
      <c r="G159" s="831"/>
      <c r="H159" s="482"/>
      <c r="I159" s="484">
        <v>2106657.7000000002</v>
      </c>
      <c r="J159" s="484">
        <v>30930.97</v>
      </c>
      <c r="K159" s="484">
        <v>2137588.67</v>
      </c>
      <c r="L159" s="484">
        <v>0</v>
      </c>
      <c r="M159" s="484">
        <v>2137588.67</v>
      </c>
      <c r="N159" s="484">
        <v>2137588.67</v>
      </c>
      <c r="O159" s="484">
        <v>218010</v>
      </c>
      <c r="P159" s="484"/>
      <c r="Q159" s="484">
        <v>218010</v>
      </c>
      <c r="R159" s="1209">
        <v>1919578.67</v>
      </c>
    </row>
    <row r="160" spans="1:18" ht="51" outlineLevel="5">
      <c r="A160" s="1208" t="s">
        <v>717</v>
      </c>
      <c r="B160" s="1206" t="s">
        <v>3554</v>
      </c>
      <c r="C160" s="1206" t="s">
        <v>3291</v>
      </c>
      <c r="D160" s="1206" t="s">
        <v>3553</v>
      </c>
      <c r="E160" s="1206" t="s">
        <v>3550</v>
      </c>
      <c r="F160" s="1206" t="s">
        <v>3290</v>
      </c>
      <c r="G160" s="1207" t="s">
        <v>50</v>
      </c>
      <c r="H160" s="1206"/>
      <c r="I160" s="1205">
        <v>0</v>
      </c>
      <c r="J160" s="1205">
        <v>0</v>
      </c>
      <c r="K160" s="1205">
        <v>0</v>
      </c>
      <c r="L160" s="1205">
        <v>0</v>
      </c>
      <c r="M160" s="1205">
        <v>0</v>
      </c>
      <c r="N160" s="1205">
        <v>0</v>
      </c>
      <c r="O160" s="1205">
        <v>0</v>
      </c>
      <c r="P160" s="1205"/>
      <c r="Q160" s="1205">
        <v>218010</v>
      </c>
      <c r="R160" s="1204">
        <v>0</v>
      </c>
    </row>
    <row r="161" spans="1:18" ht="51" outlineLevel="5">
      <c r="A161" s="1208" t="s">
        <v>717</v>
      </c>
      <c r="B161" s="1206" t="s">
        <v>3554</v>
      </c>
      <c r="C161" s="1206" t="s">
        <v>3291</v>
      </c>
      <c r="D161" s="1206" t="s">
        <v>3553</v>
      </c>
      <c r="E161" s="1206" t="s">
        <v>3550</v>
      </c>
      <c r="F161" s="1206" t="s">
        <v>3290</v>
      </c>
      <c r="G161" s="1207" t="s">
        <v>50</v>
      </c>
      <c r="H161" s="1206" t="s">
        <v>3241</v>
      </c>
      <c r="I161" s="1205">
        <v>2106657.7000000002</v>
      </c>
      <c r="J161" s="1205">
        <v>30930.97</v>
      </c>
      <c r="K161" s="1205">
        <v>2137588.67</v>
      </c>
      <c r="L161" s="1205">
        <v>0</v>
      </c>
      <c r="M161" s="1205">
        <v>2137588.67</v>
      </c>
      <c r="N161" s="1205">
        <v>2137588.67</v>
      </c>
      <c r="O161" s="1205">
        <v>218010</v>
      </c>
      <c r="P161" s="1205"/>
      <c r="Q161" s="1205">
        <v>0</v>
      </c>
      <c r="R161" s="1204">
        <v>1919578.67</v>
      </c>
    </row>
    <row r="162" spans="1:18" outlineLevel="3">
      <c r="A162" s="1212" t="s">
        <v>717</v>
      </c>
      <c r="B162" s="477" t="s">
        <v>3554</v>
      </c>
      <c r="C162" s="477" t="s">
        <v>3291</v>
      </c>
      <c r="D162" s="477" t="s">
        <v>3564</v>
      </c>
      <c r="E162" s="477"/>
      <c r="F162" s="477"/>
      <c r="G162" s="478"/>
      <c r="H162" s="477"/>
      <c r="I162" s="479">
        <v>52004000</v>
      </c>
      <c r="J162" s="479">
        <v>15596000</v>
      </c>
      <c r="K162" s="479">
        <v>67600000</v>
      </c>
      <c r="L162" s="479">
        <v>0</v>
      </c>
      <c r="M162" s="479">
        <v>67600000</v>
      </c>
      <c r="N162" s="479">
        <v>67600000</v>
      </c>
      <c r="O162" s="479">
        <v>67600000</v>
      </c>
      <c r="P162" s="479"/>
      <c r="Q162" s="479">
        <v>67600000</v>
      </c>
      <c r="R162" s="1211">
        <v>0</v>
      </c>
    </row>
    <row r="163" spans="1:18" outlineLevel="4">
      <c r="A163" s="1210" t="s">
        <v>717</v>
      </c>
      <c r="B163" s="482" t="s">
        <v>3554</v>
      </c>
      <c r="C163" s="482" t="s">
        <v>3291</v>
      </c>
      <c r="D163" s="482" t="s">
        <v>3564</v>
      </c>
      <c r="E163" s="482" t="s">
        <v>3550</v>
      </c>
      <c r="F163" s="482"/>
      <c r="G163" s="831"/>
      <c r="H163" s="482"/>
      <c r="I163" s="484">
        <v>52004000</v>
      </c>
      <c r="J163" s="484">
        <v>15596000</v>
      </c>
      <c r="K163" s="484">
        <v>67600000</v>
      </c>
      <c r="L163" s="484">
        <v>0</v>
      </c>
      <c r="M163" s="484">
        <v>67600000</v>
      </c>
      <c r="N163" s="484">
        <v>67600000</v>
      </c>
      <c r="O163" s="484">
        <v>67600000</v>
      </c>
      <c r="P163" s="484"/>
      <c r="Q163" s="484">
        <v>67600000</v>
      </c>
      <c r="R163" s="1209">
        <v>0</v>
      </c>
    </row>
    <row r="164" spans="1:18" ht="140.25" outlineLevel="5">
      <c r="A164" s="1208" t="s">
        <v>717</v>
      </c>
      <c r="B164" s="1206" t="s">
        <v>3554</v>
      </c>
      <c r="C164" s="1206" t="s">
        <v>3291</v>
      </c>
      <c r="D164" s="1206" t="s">
        <v>3564</v>
      </c>
      <c r="E164" s="1206" t="s">
        <v>3550</v>
      </c>
      <c r="F164" s="1206" t="s">
        <v>3293</v>
      </c>
      <c r="G164" s="1207" t="s">
        <v>56</v>
      </c>
      <c r="H164" s="1206"/>
      <c r="I164" s="1205">
        <v>0</v>
      </c>
      <c r="J164" s="1205">
        <v>0</v>
      </c>
      <c r="K164" s="1205">
        <v>0</v>
      </c>
      <c r="L164" s="1205">
        <v>0</v>
      </c>
      <c r="M164" s="1205">
        <v>0</v>
      </c>
      <c r="N164" s="1205">
        <v>0</v>
      </c>
      <c r="O164" s="1205">
        <v>0</v>
      </c>
      <c r="P164" s="1221">
        <v>67600</v>
      </c>
      <c r="Q164" s="1205">
        <v>67600000</v>
      </c>
      <c r="R164" s="1204">
        <v>0</v>
      </c>
    </row>
    <row r="165" spans="1:18" ht="140.25" outlineLevel="5">
      <c r="A165" s="1208" t="s">
        <v>717</v>
      </c>
      <c r="B165" s="1206" t="s">
        <v>3554</v>
      </c>
      <c r="C165" s="1206" t="s">
        <v>3291</v>
      </c>
      <c r="D165" s="1206" t="s">
        <v>3564</v>
      </c>
      <c r="E165" s="1206" t="s">
        <v>3550</v>
      </c>
      <c r="F165" s="1206" t="s">
        <v>3293</v>
      </c>
      <c r="G165" s="1207" t="s">
        <v>56</v>
      </c>
      <c r="H165" s="1206" t="s">
        <v>3241</v>
      </c>
      <c r="I165" s="1205">
        <v>52004000</v>
      </c>
      <c r="J165" s="1205">
        <v>15596000</v>
      </c>
      <c r="K165" s="1205">
        <v>67600000</v>
      </c>
      <c r="L165" s="1205">
        <v>0</v>
      </c>
      <c r="M165" s="1205">
        <v>67600000</v>
      </c>
      <c r="N165" s="1205">
        <v>67600000</v>
      </c>
      <c r="O165" s="1205">
        <v>67600000</v>
      </c>
      <c r="P165" s="1205"/>
      <c r="Q165" s="1205">
        <v>0</v>
      </c>
      <c r="R165" s="1204">
        <v>0</v>
      </c>
    </row>
    <row r="166" spans="1:18" outlineLevel="2">
      <c r="A166" s="1214" t="s">
        <v>717</v>
      </c>
      <c r="B166" s="472" t="s">
        <v>3554</v>
      </c>
      <c r="C166" s="472" t="s">
        <v>3287</v>
      </c>
      <c r="D166" s="472"/>
      <c r="E166" s="472"/>
      <c r="F166" s="472"/>
      <c r="G166" s="473"/>
      <c r="H166" s="472"/>
      <c r="I166" s="474">
        <v>41400000</v>
      </c>
      <c r="J166" s="474">
        <v>6400000</v>
      </c>
      <c r="K166" s="474">
        <v>47800000</v>
      </c>
      <c r="L166" s="474">
        <v>41400000</v>
      </c>
      <c r="M166" s="474">
        <v>6400000</v>
      </c>
      <c r="N166" s="474">
        <v>47800000</v>
      </c>
      <c r="O166" s="474">
        <v>34009970.740000002</v>
      </c>
      <c r="P166" s="474"/>
      <c r="Q166" s="474">
        <v>31877530.739999998</v>
      </c>
      <c r="R166" s="1213">
        <v>13790029.26</v>
      </c>
    </row>
    <row r="167" spans="1:18" outlineLevel="3">
      <c r="A167" s="1212" t="s">
        <v>717</v>
      </c>
      <c r="B167" s="477" t="s">
        <v>3554</v>
      </c>
      <c r="C167" s="477" t="s">
        <v>3287</v>
      </c>
      <c r="D167" s="477" t="s">
        <v>3561</v>
      </c>
      <c r="E167" s="477"/>
      <c r="F167" s="477"/>
      <c r="G167" s="478"/>
      <c r="H167" s="477"/>
      <c r="I167" s="479">
        <v>41400000</v>
      </c>
      <c r="J167" s="479">
        <v>6400000</v>
      </c>
      <c r="K167" s="479">
        <v>47800000</v>
      </c>
      <c r="L167" s="479">
        <v>41400000</v>
      </c>
      <c r="M167" s="479">
        <v>6400000</v>
      </c>
      <c r="N167" s="479">
        <v>47800000</v>
      </c>
      <c r="O167" s="479">
        <v>34009970.740000002</v>
      </c>
      <c r="P167" s="479"/>
      <c r="Q167" s="479">
        <v>31877530.739999998</v>
      </c>
      <c r="R167" s="1211">
        <v>13790029.26</v>
      </c>
    </row>
    <row r="168" spans="1:18" outlineLevel="4">
      <c r="A168" s="1210" t="s">
        <v>717</v>
      </c>
      <c r="B168" s="482" t="s">
        <v>3554</v>
      </c>
      <c r="C168" s="482" t="s">
        <v>3287</v>
      </c>
      <c r="D168" s="482" t="s">
        <v>3561</v>
      </c>
      <c r="E168" s="482" t="s">
        <v>3563</v>
      </c>
      <c r="F168" s="482"/>
      <c r="G168" s="831"/>
      <c r="H168" s="482"/>
      <c r="I168" s="484">
        <v>0</v>
      </c>
      <c r="J168" s="484">
        <v>0</v>
      </c>
      <c r="K168" s="484">
        <v>0</v>
      </c>
      <c r="L168" s="484">
        <v>41400000</v>
      </c>
      <c r="M168" s="484">
        <v>-41400000</v>
      </c>
      <c r="N168" s="484">
        <v>0</v>
      </c>
      <c r="O168" s="484">
        <v>0</v>
      </c>
      <c r="P168" s="484"/>
      <c r="Q168" s="484">
        <v>0</v>
      </c>
      <c r="R168" s="1209">
        <v>0</v>
      </c>
    </row>
    <row r="169" spans="1:18" ht="89.25" outlineLevel="5">
      <c r="A169" s="1208" t="s">
        <v>717</v>
      </c>
      <c r="B169" s="1206" t="s">
        <v>3554</v>
      </c>
      <c r="C169" s="1206" t="s">
        <v>3287</v>
      </c>
      <c r="D169" s="1206" t="s">
        <v>3561</v>
      </c>
      <c r="E169" s="1206" t="s">
        <v>3563</v>
      </c>
      <c r="F169" s="1206" t="s">
        <v>3286</v>
      </c>
      <c r="G169" s="1207" t="s">
        <v>2819</v>
      </c>
      <c r="H169" s="1206" t="s">
        <v>3241</v>
      </c>
      <c r="I169" s="1205">
        <v>0</v>
      </c>
      <c r="J169" s="1205">
        <v>0</v>
      </c>
      <c r="K169" s="1205">
        <v>0</v>
      </c>
      <c r="L169" s="1205">
        <v>41400000</v>
      </c>
      <c r="M169" s="1205">
        <v>-41400000</v>
      </c>
      <c r="N169" s="1205">
        <v>0</v>
      </c>
      <c r="O169" s="1205">
        <v>0</v>
      </c>
      <c r="P169" s="1205"/>
      <c r="Q169" s="1205">
        <v>0</v>
      </c>
      <c r="R169" s="1204">
        <v>0</v>
      </c>
    </row>
    <row r="170" spans="1:18" outlineLevel="4">
      <c r="A170" s="1210" t="s">
        <v>717</v>
      </c>
      <c r="B170" s="482" t="s">
        <v>3554</v>
      </c>
      <c r="C170" s="482" t="s">
        <v>3287</v>
      </c>
      <c r="D170" s="482" t="s">
        <v>3561</v>
      </c>
      <c r="E170" s="482" t="s">
        <v>3562</v>
      </c>
      <c r="F170" s="482"/>
      <c r="G170" s="831"/>
      <c r="H170" s="482"/>
      <c r="I170" s="484">
        <v>41400000</v>
      </c>
      <c r="J170" s="484">
        <v>0</v>
      </c>
      <c r="K170" s="484">
        <v>41400000</v>
      </c>
      <c r="L170" s="484">
        <v>0</v>
      </c>
      <c r="M170" s="484">
        <v>41400000</v>
      </c>
      <c r="N170" s="484">
        <v>41400000</v>
      </c>
      <c r="O170" s="484">
        <v>33116870.739999998</v>
      </c>
      <c r="P170" s="484"/>
      <c r="Q170" s="484">
        <v>31877530.739999998</v>
      </c>
      <c r="R170" s="1209">
        <v>8283129.2599999998</v>
      </c>
    </row>
    <row r="171" spans="1:18" outlineLevel="5">
      <c r="A171" s="1208" t="s">
        <v>717</v>
      </c>
      <c r="B171" s="1206" t="s">
        <v>3554</v>
      </c>
      <c r="C171" s="1206" t="s">
        <v>3287</v>
      </c>
      <c r="D171" s="1206" t="s">
        <v>3561</v>
      </c>
      <c r="E171" s="1206" t="s">
        <v>3562</v>
      </c>
      <c r="F171" s="1206"/>
      <c r="G171" s="1207"/>
      <c r="H171" s="1206"/>
      <c r="I171" s="1205">
        <v>0</v>
      </c>
      <c r="J171" s="1205">
        <v>0</v>
      </c>
      <c r="K171" s="1205">
        <v>0</v>
      </c>
      <c r="L171" s="1205">
        <v>0</v>
      </c>
      <c r="M171" s="1205">
        <v>0</v>
      </c>
      <c r="N171" s="1205">
        <v>0</v>
      </c>
      <c r="O171" s="1205">
        <v>0</v>
      </c>
      <c r="P171" s="1205"/>
      <c r="Q171" s="1205">
        <v>15740204.4</v>
      </c>
      <c r="R171" s="1204">
        <v>0</v>
      </c>
    </row>
    <row r="172" spans="1:18" ht="89.25" outlineLevel="5">
      <c r="A172" s="1208" t="s">
        <v>717</v>
      </c>
      <c r="B172" s="1206" t="s">
        <v>3554</v>
      </c>
      <c r="C172" s="1206" t="s">
        <v>3287</v>
      </c>
      <c r="D172" s="1206" t="s">
        <v>3561</v>
      </c>
      <c r="E172" s="1206" t="s">
        <v>3562</v>
      </c>
      <c r="F172" s="1206" t="s">
        <v>3286</v>
      </c>
      <c r="G172" s="1207" t="s">
        <v>2819</v>
      </c>
      <c r="H172" s="1206"/>
      <c r="I172" s="1205">
        <v>0</v>
      </c>
      <c r="J172" s="1205">
        <v>0</v>
      </c>
      <c r="K172" s="1205">
        <v>0</v>
      </c>
      <c r="L172" s="1205">
        <v>0</v>
      </c>
      <c r="M172" s="1205">
        <v>0</v>
      </c>
      <c r="N172" s="1205">
        <v>0</v>
      </c>
      <c r="O172" s="1205">
        <v>0</v>
      </c>
      <c r="P172" s="1205"/>
      <c r="Q172" s="1205">
        <v>16137326.34</v>
      </c>
      <c r="R172" s="1204">
        <v>0</v>
      </c>
    </row>
    <row r="173" spans="1:18" ht="89.25" outlineLevel="5">
      <c r="A173" s="1208" t="s">
        <v>717</v>
      </c>
      <c r="B173" s="1206" t="s">
        <v>3554</v>
      </c>
      <c r="C173" s="1206" t="s">
        <v>3287</v>
      </c>
      <c r="D173" s="1206" t="s">
        <v>3561</v>
      </c>
      <c r="E173" s="1206" t="s">
        <v>3562</v>
      </c>
      <c r="F173" s="1206" t="s">
        <v>3286</v>
      </c>
      <c r="G173" s="1207" t="s">
        <v>2819</v>
      </c>
      <c r="H173" s="1206" t="s">
        <v>3241</v>
      </c>
      <c r="I173" s="1205">
        <v>41400000</v>
      </c>
      <c r="J173" s="1205">
        <v>0</v>
      </c>
      <c r="K173" s="1205">
        <v>41400000</v>
      </c>
      <c r="L173" s="1205">
        <v>0</v>
      </c>
      <c r="M173" s="1205">
        <v>41400000</v>
      </c>
      <c r="N173" s="1205">
        <v>41400000</v>
      </c>
      <c r="O173" s="1205">
        <v>33116870.739999998</v>
      </c>
      <c r="P173" s="1205"/>
      <c r="Q173" s="1205">
        <v>0</v>
      </c>
      <c r="R173" s="1204">
        <v>8283129.2599999998</v>
      </c>
    </row>
    <row r="174" spans="1:18" outlineLevel="4">
      <c r="A174" s="1210" t="s">
        <v>717</v>
      </c>
      <c r="B174" s="482" t="s">
        <v>3554</v>
      </c>
      <c r="C174" s="482" t="s">
        <v>3287</v>
      </c>
      <c r="D174" s="482" t="s">
        <v>3561</v>
      </c>
      <c r="E174" s="482" t="s">
        <v>3560</v>
      </c>
      <c r="F174" s="482"/>
      <c r="G174" s="831"/>
      <c r="H174" s="482"/>
      <c r="I174" s="484">
        <v>0</v>
      </c>
      <c r="J174" s="484">
        <v>6400000</v>
      </c>
      <c r="K174" s="484">
        <v>6400000</v>
      </c>
      <c r="L174" s="484">
        <v>0</v>
      </c>
      <c r="M174" s="484">
        <v>6400000</v>
      </c>
      <c r="N174" s="484">
        <v>6400000</v>
      </c>
      <c r="O174" s="484">
        <v>893100</v>
      </c>
      <c r="P174" s="484"/>
      <c r="Q174" s="484">
        <v>0</v>
      </c>
      <c r="R174" s="1209">
        <v>5506900</v>
      </c>
    </row>
    <row r="175" spans="1:18" ht="127.5" outlineLevel="5">
      <c r="A175" s="1208" t="s">
        <v>717</v>
      </c>
      <c r="B175" s="1206" t="s">
        <v>3554</v>
      </c>
      <c r="C175" s="1206" t="s">
        <v>3287</v>
      </c>
      <c r="D175" s="1206" t="s">
        <v>3561</v>
      </c>
      <c r="E175" s="1206" t="s">
        <v>3560</v>
      </c>
      <c r="F175" s="1206" t="s">
        <v>3559</v>
      </c>
      <c r="G175" s="1207" t="s">
        <v>2937</v>
      </c>
      <c r="H175" s="1206" t="s">
        <v>3241</v>
      </c>
      <c r="I175" s="1205">
        <v>0</v>
      </c>
      <c r="J175" s="1205">
        <v>6400000</v>
      </c>
      <c r="K175" s="1205">
        <v>6400000</v>
      </c>
      <c r="L175" s="1205">
        <v>0</v>
      </c>
      <c r="M175" s="1205">
        <v>6400000</v>
      </c>
      <c r="N175" s="1205">
        <v>6400000</v>
      </c>
      <c r="O175" s="1205">
        <v>893100</v>
      </c>
      <c r="P175" s="1205"/>
      <c r="Q175" s="1205">
        <v>0</v>
      </c>
      <c r="R175" s="1204">
        <v>5506900</v>
      </c>
    </row>
    <row r="176" spans="1:18" outlineLevel="2">
      <c r="A176" s="1214" t="s">
        <v>717</v>
      </c>
      <c r="B176" s="472" t="s">
        <v>3554</v>
      </c>
      <c r="C176" s="472" t="s">
        <v>3283</v>
      </c>
      <c r="D176" s="472"/>
      <c r="E176" s="472"/>
      <c r="F176" s="472"/>
      <c r="G176" s="473"/>
      <c r="H176" s="472"/>
      <c r="I176" s="474">
        <v>6250845.0700000003</v>
      </c>
      <c r="J176" s="474">
        <v>-2122547.2000000002</v>
      </c>
      <c r="K176" s="474">
        <v>4128297.87</v>
      </c>
      <c r="L176" s="474">
        <v>6832335.21</v>
      </c>
      <c r="M176" s="474">
        <v>-2704037.34</v>
      </c>
      <c r="N176" s="474">
        <v>4128297.87</v>
      </c>
      <c r="O176" s="474">
        <v>4121601</v>
      </c>
      <c r="P176" s="474"/>
      <c r="Q176" s="474">
        <v>4121601</v>
      </c>
      <c r="R176" s="1213">
        <v>6696.87</v>
      </c>
    </row>
    <row r="177" spans="1:18" outlineLevel="3">
      <c r="A177" s="1212" t="s">
        <v>717</v>
      </c>
      <c r="B177" s="477" t="s">
        <v>3554</v>
      </c>
      <c r="C177" s="477" t="s">
        <v>3283</v>
      </c>
      <c r="D177" s="477" t="s">
        <v>3553</v>
      </c>
      <c r="E177" s="477"/>
      <c r="F177" s="477"/>
      <c r="G177" s="478"/>
      <c r="H177" s="477"/>
      <c r="I177" s="479">
        <v>6250845.0700000003</v>
      </c>
      <c r="J177" s="479">
        <v>-2122547.2000000002</v>
      </c>
      <c r="K177" s="479">
        <v>4128297.87</v>
      </c>
      <c r="L177" s="479">
        <v>6832335.21</v>
      </c>
      <c r="M177" s="479">
        <v>-2704037.34</v>
      </c>
      <c r="N177" s="479">
        <v>4128297.87</v>
      </c>
      <c r="O177" s="479">
        <v>4121601</v>
      </c>
      <c r="P177" s="479"/>
      <c r="Q177" s="479">
        <v>4121601</v>
      </c>
      <c r="R177" s="1211">
        <v>6696.87</v>
      </c>
    </row>
    <row r="178" spans="1:18" outlineLevel="4">
      <c r="A178" s="1210" t="s">
        <v>717</v>
      </c>
      <c r="B178" s="482" t="s">
        <v>3554</v>
      </c>
      <c r="C178" s="482" t="s">
        <v>3283</v>
      </c>
      <c r="D178" s="482" t="s">
        <v>3553</v>
      </c>
      <c r="E178" s="482"/>
      <c r="F178" s="482"/>
      <c r="G178" s="831"/>
      <c r="H178" s="482"/>
      <c r="I178" s="484">
        <v>0</v>
      </c>
      <c r="J178" s="484">
        <v>0</v>
      </c>
      <c r="K178" s="484">
        <v>0</v>
      </c>
      <c r="L178" s="484">
        <v>0</v>
      </c>
      <c r="M178" s="484">
        <v>0</v>
      </c>
      <c r="N178" s="484">
        <v>0</v>
      </c>
      <c r="O178" s="484">
        <v>0</v>
      </c>
      <c r="P178" s="484"/>
      <c r="Q178" s="484">
        <v>247296.06</v>
      </c>
      <c r="R178" s="1209">
        <v>0</v>
      </c>
    </row>
    <row r="179" spans="1:18" outlineLevel="5">
      <c r="A179" s="1208" t="s">
        <v>717</v>
      </c>
      <c r="B179" s="1206" t="s">
        <v>3554</v>
      </c>
      <c r="C179" s="1206" t="s">
        <v>3283</v>
      </c>
      <c r="D179" s="1206" t="s">
        <v>3553</v>
      </c>
      <c r="E179" s="1206"/>
      <c r="F179" s="1206"/>
      <c r="G179" s="1207"/>
      <c r="H179" s="1206"/>
      <c r="I179" s="1205">
        <v>0</v>
      </c>
      <c r="J179" s="1205">
        <v>0</v>
      </c>
      <c r="K179" s="1205">
        <v>0</v>
      </c>
      <c r="L179" s="1205">
        <v>0</v>
      </c>
      <c r="M179" s="1205">
        <v>0</v>
      </c>
      <c r="N179" s="1205">
        <v>0</v>
      </c>
      <c r="O179" s="1205">
        <v>0</v>
      </c>
      <c r="P179" s="1205"/>
      <c r="Q179" s="1205">
        <v>39110.400000000001</v>
      </c>
      <c r="R179" s="1204">
        <v>0</v>
      </c>
    </row>
    <row r="180" spans="1:18" ht="63.75" outlineLevel="5">
      <c r="A180" s="1208" t="s">
        <v>717</v>
      </c>
      <c r="B180" s="1206" t="s">
        <v>3554</v>
      </c>
      <c r="C180" s="1206" t="s">
        <v>3283</v>
      </c>
      <c r="D180" s="1206" t="s">
        <v>3553</v>
      </c>
      <c r="E180" s="1206"/>
      <c r="F180" s="1206" t="s">
        <v>3282</v>
      </c>
      <c r="G180" s="1207" t="s">
        <v>3116</v>
      </c>
      <c r="H180" s="1206" t="s">
        <v>3241</v>
      </c>
      <c r="I180" s="1205">
        <v>0</v>
      </c>
      <c r="J180" s="1205">
        <v>0</v>
      </c>
      <c r="K180" s="1205">
        <v>0</v>
      </c>
      <c r="L180" s="1205">
        <v>0</v>
      </c>
      <c r="M180" s="1205">
        <v>0</v>
      </c>
      <c r="N180" s="1205">
        <v>0</v>
      </c>
      <c r="O180" s="1205">
        <v>0</v>
      </c>
      <c r="P180" s="1205"/>
      <c r="Q180" s="1205">
        <v>208185.66</v>
      </c>
      <c r="R180" s="1204">
        <v>0</v>
      </c>
    </row>
    <row r="181" spans="1:18" outlineLevel="4">
      <c r="A181" s="1210" t="s">
        <v>717</v>
      </c>
      <c r="B181" s="482" t="s">
        <v>3554</v>
      </c>
      <c r="C181" s="482" t="s">
        <v>3283</v>
      </c>
      <c r="D181" s="482" t="s">
        <v>3553</v>
      </c>
      <c r="E181" s="482" t="s">
        <v>3558</v>
      </c>
      <c r="F181" s="482"/>
      <c r="G181" s="831"/>
      <c r="H181" s="482"/>
      <c r="I181" s="484">
        <v>6250845.0700000003</v>
      </c>
      <c r="J181" s="484">
        <v>-6250845.0700000003</v>
      </c>
      <c r="K181" s="484">
        <v>0</v>
      </c>
      <c r="L181" s="484">
        <v>6832335.21</v>
      </c>
      <c r="M181" s="484">
        <v>-6832335.21</v>
      </c>
      <c r="N181" s="484">
        <v>0</v>
      </c>
      <c r="O181" s="484">
        <v>0</v>
      </c>
      <c r="P181" s="484"/>
      <c r="Q181" s="484">
        <v>0</v>
      </c>
      <c r="R181" s="1209">
        <v>0</v>
      </c>
    </row>
    <row r="182" spans="1:18" ht="63.75" outlineLevel="5">
      <c r="A182" s="1208" t="s">
        <v>717</v>
      </c>
      <c r="B182" s="1206" t="s">
        <v>3554</v>
      </c>
      <c r="C182" s="1206" t="s">
        <v>3283</v>
      </c>
      <c r="D182" s="1206" t="s">
        <v>3553</v>
      </c>
      <c r="E182" s="1206" t="s">
        <v>3558</v>
      </c>
      <c r="F182" s="1206" t="s">
        <v>3282</v>
      </c>
      <c r="G182" s="1207" t="s">
        <v>3116</v>
      </c>
      <c r="H182" s="1206" t="s">
        <v>3257</v>
      </c>
      <c r="I182" s="1205">
        <v>4438100</v>
      </c>
      <c r="J182" s="1205">
        <v>-4438100</v>
      </c>
      <c r="K182" s="1205">
        <v>0</v>
      </c>
      <c r="L182" s="1205">
        <v>4868300</v>
      </c>
      <c r="M182" s="1205">
        <v>-4868300</v>
      </c>
      <c r="N182" s="1205">
        <v>0</v>
      </c>
      <c r="O182" s="1205">
        <v>0</v>
      </c>
      <c r="P182" s="1205"/>
      <c r="Q182" s="1205">
        <v>0</v>
      </c>
      <c r="R182" s="1204">
        <v>0</v>
      </c>
    </row>
    <row r="183" spans="1:18" ht="63.75" outlineLevel="5">
      <c r="A183" s="1208" t="s">
        <v>717</v>
      </c>
      <c r="B183" s="1206" t="s">
        <v>3554</v>
      </c>
      <c r="C183" s="1206" t="s">
        <v>3283</v>
      </c>
      <c r="D183" s="1206" t="s">
        <v>3553</v>
      </c>
      <c r="E183" s="1206" t="s">
        <v>3558</v>
      </c>
      <c r="F183" s="1206" t="s">
        <v>3282</v>
      </c>
      <c r="G183" s="1207" t="s">
        <v>3116</v>
      </c>
      <c r="H183" s="1206" t="s">
        <v>3241</v>
      </c>
      <c r="I183" s="1205">
        <v>1812745.07</v>
      </c>
      <c r="J183" s="1205">
        <v>-1812745.07</v>
      </c>
      <c r="K183" s="1205">
        <v>0</v>
      </c>
      <c r="L183" s="1205">
        <v>1964035.21</v>
      </c>
      <c r="M183" s="1205">
        <v>-1964035.21</v>
      </c>
      <c r="N183" s="1205">
        <v>0</v>
      </c>
      <c r="O183" s="1205">
        <v>0</v>
      </c>
      <c r="P183" s="1205"/>
      <c r="Q183" s="1205">
        <v>0</v>
      </c>
      <c r="R183" s="1204">
        <v>0</v>
      </c>
    </row>
    <row r="184" spans="1:18" outlineLevel="4">
      <c r="A184" s="1210" t="s">
        <v>717</v>
      </c>
      <c r="B184" s="482" t="s">
        <v>3554</v>
      </c>
      <c r="C184" s="482" t="s">
        <v>3283</v>
      </c>
      <c r="D184" s="482" t="s">
        <v>3553</v>
      </c>
      <c r="E184" s="482" t="s">
        <v>3557</v>
      </c>
      <c r="F184" s="482"/>
      <c r="G184" s="831"/>
      <c r="H184" s="482"/>
      <c r="I184" s="484">
        <v>0</v>
      </c>
      <c r="J184" s="484">
        <v>4128297.87</v>
      </c>
      <c r="K184" s="484">
        <v>4128297.87</v>
      </c>
      <c r="L184" s="484">
        <v>0</v>
      </c>
      <c r="M184" s="484">
        <v>4128297.87</v>
      </c>
      <c r="N184" s="484">
        <v>4128297.87</v>
      </c>
      <c r="O184" s="484">
        <v>4121601</v>
      </c>
      <c r="P184" s="484"/>
      <c r="Q184" s="484">
        <v>3874304.94</v>
      </c>
      <c r="R184" s="1209">
        <v>6696.87</v>
      </c>
    </row>
    <row r="185" spans="1:18" ht="63.75" outlineLevel="5">
      <c r="A185" s="1208" t="s">
        <v>717</v>
      </c>
      <c r="B185" s="1206" t="s">
        <v>3554</v>
      </c>
      <c r="C185" s="1206" t="s">
        <v>3283</v>
      </c>
      <c r="D185" s="1206" t="s">
        <v>3553</v>
      </c>
      <c r="E185" s="1206" t="s">
        <v>3557</v>
      </c>
      <c r="F185" s="1206" t="s">
        <v>3282</v>
      </c>
      <c r="G185" s="1207" t="s">
        <v>3116</v>
      </c>
      <c r="H185" s="1206"/>
      <c r="I185" s="1205">
        <v>0</v>
      </c>
      <c r="J185" s="1205">
        <v>0</v>
      </c>
      <c r="K185" s="1205">
        <v>0</v>
      </c>
      <c r="L185" s="1205">
        <v>0</v>
      </c>
      <c r="M185" s="1205">
        <v>0</v>
      </c>
      <c r="N185" s="1205">
        <v>0</v>
      </c>
      <c r="O185" s="1205">
        <v>0</v>
      </c>
      <c r="P185" s="1205"/>
      <c r="Q185" s="1205">
        <v>4121601</v>
      </c>
      <c r="R185" s="1204">
        <v>0</v>
      </c>
    </row>
    <row r="186" spans="1:18" ht="63.75" outlineLevel="5">
      <c r="A186" s="1208" t="s">
        <v>717</v>
      </c>
      <c r="B186" s="1206" t="s">
        <v>3554</v>
      </c>
      <c r="C186" s="1206" t="s">
        <v>3283</v>
      </c>
      <c r="D186" s="1206" t="s">
        <v>3553</v>
      </c>
      <c r="E186" s="1206" t="s">
        <v>3557</v>
      </c>
      <c r="F186" s="1206" t="s">
        <v>3282</v>
      </c>
      <c r="G186" s="1207" t="s">
        <v>3116</v>
      </c>
      <c r="H186" s="1206" t="s">
        <v>3257</v>
      </c>
      <c r="I186" s="1205">
        <v>0</v>
      </c>
      <c r="J186" s="1205">
        <v>3880600</v>
      </c>
      <c r="K186" s="1205">
        <v>3880600</v>
      </c>
      <c r="L186" s="1205">
        <v>0</v>
      </c>
      <c r="M186" s="1205">
        <v>3880600</v>
      </c>
      <c r="N186" s="1205">
        <v>3880600</v>
      </c>
      <c r="O186" s="1205">
        <v>3874304.94</v>
      </c>
      <c r="P186" s="1205"/>
      <c r="Q186" s="1205">
        <v>-208185.66</v>
      </c>
      <c r="R186" s="1204">
        <v>6295.06</v>
      </c>
    </row>
    <row r="187" spans="1:18" ht="63.75" outlineLevel="5">
      <c r="A187" s="1208" t="s">
        <v>717</v>
      </c>
      <c r="B187" s="1206" t="s">
        <v>3554</v>
      </c>
      <c r="C187" s="1206" t="s">
        <v>3283</v>
      </c>
      <c r="D187" s="1206" t="s">
        <v>3553</v>
      </c>
      <c r="E187" s="1206" t="s">
        <v>3557</v>
      </c>
      <c r="F187" s="1206" t="s">
        <v>3282</v>
      </c>
      <c r="G187" s="1207" t="s">
        <v>3116</v>
      </c>
      <c r="H187" s="1206" t="s">
        <v>3241</v>
      </c>
      <c r="I187" s="1205">
        <v>0</v>
      </c>
      <c r="J187" s="1205">
        <v>247697.87</v>
      </c>
      <c r="K187" s="1205">
        <v>247697.87</v>
      </c>
      <c r="L187" s="1205">
        <v>0</v>
      </c>
      <c r="M187" s="1205">
        <v>247697.87</v>
      </c>
      <c r="N187" s="1205">
        <v>247697.87</v>
      </c>
      <c r="O187" s="1205">
        <v>247296.06</v>
      </c>
      <c r="P187" s="1205"/>
      <c r="Q187" s="1205">
        <v>-39110.400000000001</v>
      </c>
      <c r="R187" s="1204">
        <v>401.81</v>
      </c>
    </row>
    <row r="188" spans="1:18" outlineLevel="2">
      <c r="A188" s="1214" t="s">
        <v>717</v>
      </c>
      <c r="B188" s="472" t="s">
        <v>3554</v>
      </c>
      <c r="C188" s="472" t="s">
        <v>3280</v>
      </c>
      <c r="D188" s="472"/>
      <c r="E188" s="472"/>
      <c r="F188" s="472"/>
      <c r="G188" s="473"/>
      <c r="H188" s="472"/>
      <c r="I188" s="474">
        <v>15639361.699999999</v>
      </c>
      <c r="J188" s="474">
        <v>-7964911.3099999996</v>
      </c>
      <c r="K188" s="474">
        <v>7674450.3899999997</v>
      </c>
      <c r="L188" s="474">
        <v>12864893.619999999</v>
      </c>
      <c r="M188" s="474">
        <v>-5190443.2300000004</v>
      </c>
      <c r="N188" s="474">
        <v>7674450.3899999997</v>
      </c>
      <c r="O188" s="474">
        <v>7674450.3899999997</v>
      </c>
      <c r="P188" s="474"/>
      <c r="Q188" s="474">
        <v>7674450.3899999997</v>
      </c>
      <c r="R188" s="1213">
        <v>0</v>
      </c>
    </row>
    <row r="189" spans="1:18" outlineLevel="3">
      <c r="A189" s="1212" t="s">
        <v>717</v>
      </c>
      <c r="B189" s="477" t="s">
        <v>3554</v>
      </c>
      <c r="C189" s="477" t="s">
        <v>3280</v>
      </c>
      <c r="D189" s="477" t="s">
        <v>3553</v>
      </c>
      <c r="E189" s="477"/>
      <c r="F189" s="477"/>
      <c r="G189" s="478"/>
      <c r="H189" s="477"/>
      <c r="I189" s="479">
        <v>15639361.699999999</v>
      </c>
      <c r="J189" s="479">
        <v>-7964911.3099999996</v>
      </c>
      <c r="K189" s="479">
        <v>7674450.3899999997</v>
      </c>
      <c r="L189" s="479">
        <v>12864893.619999999</v>
      </c>
      <c r="M189" s="479">
        <v>-5190443.2300000004</v>
      </c>
      <c r="N189" s="479">
        <v>7674450.3899999997</v>
      </c>
      <c r="O189" s="479">
        <v>7674450.3899999997</v>
      </c>
      <c r="P189" s="479"/>
      <c r="Q189" s="479">
        <v>7674450.3899999997</v>
      </c>
      <c r="R189" s="1211">
        <v>0</v>
      </c>
    </row>
    <row r="190" spans="1:18" outlineLevel="4">
      <c r="A190" s="1210" t="s">
        <v>717</v>
      </c>
      <c r="B190" s="482" t="s">
        <v>3554</v>
      </c>
      <c r="C190" s="482" t="s">
        <v>3280</v>
      </c>
      <c r="D190" s="482" t="s">
        <v>3553</v>
      </c>
      <c r="E190" s="482"/>
      <c r="F190" s="482"/>
      <c r="G190" s="831"/>
      <c r="H190" s="482"/>
      <c r="I190" s="484">
        <v>0</v>
      </c>
      <c r="J190" s="484">
        <v>0</v>
      </c>
      <c r="K190" s="484">
        <v>0</v>
      </c>
      <c r="L190" s="484">
        <v>0</v>
      </c>
      <c r="M190" s="484">
        <v>0</v>
      </c>
      <c r="N190" s="484">
        <v>0</v>
      </c>
      <c r="O190" s="484">
        <v>0</v>
      </c>
      <c r="P190" s="484"/>
      <c r="Q190" s="484">
        <v>460467.02</v>
      </c>
      <c r="R190" s="1209">
        <v>0</v>
      </c>
    </row>
    <row r="191" spans="1:18" ht="51" outlineLevel="5">
      <c r="A191" s="1208" t="s">
        <v>717</v>
      </c>
      <c r="B191" s="1206" t="s">
        <v>3554</v>
      </c>
      <c r="C191" s="1206" t="s">
        <v>3280</v>
      </c>
      <c r="D191" s="1206" t="s">
        <v>3553</v>
      </c>
      <c r="E191" s="1206"/>
      <c r="F191" s="1206" t="s">
        <v>3279</v>
      </c>
      <c r="G191" s="1207" t="s">
        <v>3119</v>
      </c>
      <c r="H191" s="1206" t="s">
        <v>3241</v>
      </c>
      <c r="I191" s="1205">
        <v>0</v>
      </c>
      <c r="J191" s="1205">
        <v>0</v>
      </c>
      <c r="K191" s="1205">
        <v>0</v>
      </c>
      <c r="L191" s="1205">
        <v>0</v>
      </c>
      <c r="M191" s="1205">
        <v>0</v>
      </c>
      <c r="N191" s="1205">
        <v>0</v>
      </c>
      <c r="O191" s="1205">
        <v>0</v>
      </c>
      <c r="P191" s="1205"/>
      <c r="Q191" s="1205">
        <v>460467.02</v>
      </c>
      <c r="R191" s="1204">
        <v>0</v>
      </c>
    </row>
    <row r="192" spans="1:18" outlineLevel="4">
      <c r="A192" s="1210" t="s">
        <v>717</v>
      </c>
      <c r="B192" s="482" t="s">
        <v>3554</v>
      </c>
      <c r="C192" s="482" t="s">
        <v>3280</v>
      </c>
      <c r="D192" s="482" t="s">
        <v>3553</v>
      </c>
      <c r="E192" s="482" t="s">
        <v>3556</v>
      </c>
      <c r="F192" s="482"/>
      <c r="G192" s="831"/>
      <c r="H192" s="482"/>
      <c r="I192" s="484">
        <v>15639361.699999999</v>
      </c>
      <c r="J192" s="484">
        <v>-15639361.699999999</v>
      </c>
      <c r="K192" s="484">
        <v>0</v>
      </c>
      <c r="L192" s="484">
        <v>12864893.619999999</v>
      </c>
      <c r="M192" s="484">
        <v>-12864893.619999999</v>
      </c>
      <c r="N192" s="484">
        <v>0</v>
      </c>
      <c r="O192" s="484">
        <v>0</v>
      </c>
      <c r="P192" s="484"/>
      <c r="Q192" s="484">
        <v>0</v>
      </c>
      <c r="R192" s="1209">
        <v>0</v>
      </c>
    </row>
    <row r="193" spans="1:18" ht="51" outlineLevel="5">
      <c r="A193" s="1208" t="s">
        <v>717</v>
      </c>
      <c r="B193" s="1206" t="s">
        <v>3554</v>
      </c>
      <c r="C193" s="1206" t="s">
        <v>3280</v>
      </c>
      <c r="D193" s="1206" t="s">
        <v>3553</v>
      </c>
      <c r="E193" s="1206" t="s">
        <v>3556</v>
      </c>
      <c r="F193" s="1206" t="s">
        <v>3279</v>
      </c>
      <c r="G193" s="1207" t="s">
        <v>3119</v>
      </c>
      <c r="H193" s="1206" t="s">
        <v>3257</v>
      </c>
      <c r="I193" s="1205">
        <v>14701000</v>
      </c>
      <c r="J193" s="1205">
        <v>-14701000</v>
      </c>
      <c r="K193" s="1205">
        <v>0</v>
      </c>
      <c r="L193" s="1205">
        <v>12093000</v>
      </c>
      <c r="M193" s="1205">
        <v>-12093000</v>
      </c>
      <c r="N193" s="1205">
        <v>0</v>
      </c>
      <c r="O193" s="1205">
        <v>0</v>
      </c>
      <c r="P193" s="1205"/>
      <c r="Q193" s="1205">
        <v>0</v>
      </c>
      <c r="R193" s="1204">
        <v>0</v>
      </c>
    </row>
    <row r="194" spans="1:18" ht="51" outlineLevel="5">
      <c r="A194" s="1208" t="s">
        <v>717</v>
      </c>
      <c r="B194" s="1206" t="s">
        <v>3554</v>
      </c>
      <c r="C194" s="1206" t="s">
        <v>3280</v>
      </c>
      <c r="D194" s="1206" t="s">
        <v>3553</v>
      </c>
      <c r="E194" s="1206" t="s">
        <v>3556</v>
      </c>
      <c r="F194" s="1206" t="s">
        <v>3279</v>
      </c>
      <c r="G194" s="1207" t="s">
        <v>3119</v>
      </c>
      <c r="H194" s="1206" t="s">
        <v>3241</v>
      </c>
      <c r="I194" s="1205">
        <v>938361.7</v>
      </c>
      <c r="J194" s="1205">
        <v>-938361.7</v>
      </c>
      <c r="K194" s="1205">
        <v>0</v>
      </c>
      <c r="L194" s="1205">
        <v>771893.62</v>
      </c>
      <c r="M194" s="1205">
        <v>-771893.62</v>
      </c>
      <c r="N194" s="1205">
        <v>0</v>
      </c>
      <c r="O194" s="1205">
        <v>0</v>
      </c>
      <c r="P194" s="1205"/>
      <c r="Q194" s="1205">
        <v>0</v>
      </c>
      <c r="R194" s="1204">
        <v>0</v>
      </c>
    </row>
    <row r="195" spans="1:18" outlineLevel="4">
      <c r="A195" s="1210" t="s">
        <v>717</v>
      </c>
      <c r="B195" s="482" t="s">
        <v>3554</v>
      </c>
      <c r="C195" s="482" t="s">
        <v>3280</v>
      </c>
      <c r="D195" s="482" t="s">
        <v>3553</v>
      </c>
      <c r="E195" s="482" t="s">
        <v>3555</v>
      </c>
      <c r="F195" s="482"/>
      <c r="G195" s="831"/>
      <c r="H195" s="482"/>
      <c r="I195" s="484">
        <v>0</v>
      </c>
      <c r="J195" s="484">
        <v>7674450.3899999997</v>
      </c>
      <c r="K195" s="484">
        <v>7674450.3899999997</v>
      </c>
      <c r="L195" s="484">
        <v>0</v>
      </c>
      <c r="M195" s="484">
        <v>7674450.3899999997</v>
      </c>
      <c r="N195" s="484">
        <v>7674450.3899999997</v>
      </c>
      <c r="O195" s="484">
        <v>7674450.3899999997</v>
      </c>
      <c r="P195" s="484"/>
      <c r="Q195" s="484">
        <v>7213983.3700000001</v>
      </c>
      <c r="R195" s="1209">
        <v>0</v>
      </c>
    </row>
    <row r="196" spans="1:18" ht="51" outlineLevel="5">
      <c r="A196" s="1208" t="s">
        <v>717</v>
      </c>
      <c r="B196" s="1206" t="s">
        <v>3554</v>
      </c>
      <c r="C196" s="1206" t="s">
        <v>3280</v>
      </c>
      <c r="D196" s="1206" t="s">
        <v>3553</v>
      </c>
      <c r="E196" s="1206" t="s">
        <v>3555</v>
      </c>
      <c r="F196" s="1206" t="s">
        <v>3279</v>
      </c>
      <c r="G196" s="1207" t="s">
        <v>3119</v>
      </c>
      <c r="H196" s="1206"/>
      <c r="I196" s="1205">
        <v>0</v>
      </c>
      <c r="J196" s="1205">
        <v>0</v>
      </c>
      <c r="K196" s="1205">
        <v>0</v>
      </c>
      <c r="L196" s="1205">
        <v>0</v>
      </c>
      <c r="M196" s="1205">
        <v>0</v>
      </c>
      <c r="N196" s="1205">
        <v>0</v>
      </c>
      <c r="O196" s="1205">
        <v>0</v>
      </c>
      <c r="P196" s="1205"/>
      <c r="Q196" s="1205">
        <v>7674450.3899999997</v>
      </c>
      <c r="R196" s="1204">
        <v>0</v>
      </c>
    </row>
    <row r="197" spans="1:18" ht="51" outlineLevel="5">
      <c r="A197" s="1208" t="s">
        <v>717</v>
      </c>
      <c r="B197" s="1206" t="s">
        <v>3554</v>
      </c>
      <c r="C197" s="1206" t="s">
        <v>3280</v>
      </c>
      <c r="D197" s="1206" t="s">
        <v>3553</v>
      </c>
      <c r="E197" s="1206" t="s">
        <v>3555</v>
      </c>
      <c r="F197" s="1206" t="s">
        <v>3279</v>
      </c>
      <c r="G197" s="1207" t="s">
        <v>3119</v>
      </c>
      <c r="H197" s="1206" t="s">
        <v>3257</v>
      </c>
      <c r="I197" s="1205">
        <v>0</v>
      </c>
      <c r="J197" s="1205">
        <v>7213983.3700000001</v>
      </c>
      <c r="K197" s="1205">
        <v>7213983.3700000001</v>
      </c>
      <c r="L197" s="1205">
        <v>0</v>
      </c>
      <c r="M197" s="1205">
        <v>7213983.3700000001</v>
      </c>
      <c r="N197" s="1205">
        <v>7213983.3700000001</v>
      </c>
      <c r="O197" s="1205">
        <v>7213983.3700000001</v>
      </c>
      <c r="P197" s="1205"/>
      <c r="Q197" s="1205">
        <v>-460467.02</v>
      </c>
      <c r="R197" s="1204">
        <v>0</v>
      </c>
    </row>
    <row r="198" spans="1:18" ht="51" outlineLevel="5">
      <c r="A198" s="1208" t="s">
        <v>717</v>
      </c>
      <c r="B198" s="1206" t="s">
        <v>3554</v>
      </c>
      <c r="C198" s="1206" t="s">
        <v>3280</v>
      </c>
      <c r="D198" s="1206" t="s">
        <v>3553</v>
      </c>
      <c r="E198" s="1206" t="s">
        <v>3555</v>
      </c>
      <c r="F198" s="1206" t="s">
        <v>3279</v>
      </c>
      <c r="G198" s="1207" t="s">
        <v>3119</v>
      </c>
      <c r="H198" s="1206" t="s">
        <v>3241</v>
      </c>
      <c r="I198" s="1205">
        <v>0</v>
      </c>
      <c r="J198" s="1205">
        <v>460467.02</v>
      </c>
      <c r="K198" s="1205">
        <v>460467.02</v>
      </c>
      <c r="L198" s="1205">
        <v>0</v>
      </c>
      <c r="M198" s="1205">
        <v>460467.02</v>
      </c>
      <c r="N198" s="1205">
        <v>460467.02</v>
      </c>
      <c r="O198" s="1205">
        <v>460467.02</v>
      </c>
      <c r="P198" s="1205"/>
      <c r="Q198" s="1205">
        <v>0</v>
      </c>
      <c r="R198" s="1204">
        <v>0</v>
      </c>
    </row>
    <row r="199" spans="1:18" outlineLevel="2">
      <c r="A199" s="1214" t="s">
        <v>717</v>
      </c>
      <c r="B199" s="472" t="s">
        <v>3554</v>
      </c>
      <c r="C199" s="472" t="s">
        <v>3276</v>
      </c>
      <c r="D199" s="472"/>
      <c r="E199" s="472"/>
      <c r="F199" s="472"/>
      <c r="G199" s="473"/>
      <c r="H199" s="472"/>
      <c r="I199" s="474">
        <v>4400000</v>
      </c>
      <c r="J199" s="474">
        <v>0</v>
      </c>
      <c r="K199" s="474">
        <v>4400000</v>
      </c>
      <c r="L199" s="474">
        <v>0</v>
      </c>
      <c r="M199" s="474">
        <v>0</v>
      </c>
      <c r="N199" s="474">
        <v>0</v>
      </c>
      <c r="O199" s="474">
        <v>0</v>
      </c>
      <c r="P199" s="474"/>
      <c r="Q199" s="474">
        <v>0</v>
      </c>
      <c r="R199" s="1213">
        <v>4400000</v>
      </c>
    </row>
    <row r="200" spans="1:18" outlineLevel="3">
      <c r="A200" s="1212" t="s">
        <v>717</v>
      </c>
      <c r="B200" s="477" t="s">
        <v>3554</v>
      </c>
      <c r="C200" s="477" t="s">
        <v>3276</v>
      </c>
      <c r="D200" s="477" t="s">
        <v>1702</v>
      </c>
      <c r="E200" s="477"/>
      <c r="F200" s="477"/>
      <c r="G200" s="478"/>
      <c r="H200" s="477"/>
      <c r="I200" s="479">
        <v>0</v>
      </c>
      <c r="J200" s="479">
        <v>4400000</v>
      </c>
      <c r="K200" s="479">
        <v>4400000</v>
      </c>
      <c r="L200" s="479">
        <v>0</v>
      </c>
      <c r="M200" s="479">
        <v>0</v>
      </c>
      <c r="N200" s="479">
        <v>0</v>
      </c>
      <c r="O200" s="479">
        <v>0</v>
      </c>
      <c r="P200" s="479"/>
      <c r="Q200" s="479">
        <v>0</v>
      </c>
      <c r="R200" s="1211">
        <v>4400000</v>
      </c>
    </row>
    <row r="201" spans="1:18" outlineLevel="4">
      <c r="A201" s="1210" t="s">
        <v>717</v>
      </c>
      <c r="B201" s="482" t="s">
        <v>3554</v>
      </c>
      <c r="C201" s="482" t="s">
        <v>3276</v>
      </c>
      <c r="D201" s="482" t="s">
        <v>1702</v>
      </c>
      <c r="E201" s="482" t="s">
        <v>3550</v>
      </c>
      <c r="F201" s="482"/>
      <c r="G201" s="831"/>
      <c r="H201" s="482"/>
      <c r="I201" s="484">
        <v>0</v>
      </c>
      <c r="J201" s="484">
        <v>4400000</v>
      </c>
      <c r="K201" s="484">
        <v>4400000</v>
      </c>
      <c r="L201" s="484">
        <v>0</v>
      </c>
      <c r="M201" s="484">
        <v>0</v>
      </c>
      <c r="N201" s="484">
        <v>0</v>
      </c>
      <c r="O201" s="484">
        <v>0</v>
      </c>
      <c r="P201" s="484"/>
      <c r="Q201" s="484">
        <v>0</v>
      </c>
      <c r="R201" s="1209">
        <v>4400000</v>
      </c>
    </row>
    <row r="202" spans="1:18" ht="25.5" outlineLevel="5">
      <c r="A202" s="1208" t="s">
        <v>717</v>
      </c>
      <c r="B202" s="1206" t="s">
        <v>3554</v>
      </c>
      <c r="C202" s="1206" t="s">
        <v>3276</v>
      </c>
      <c r="D202" s="1206" t="s">
        <v>1702</v>
      </c>
      <c r="E202" s="1206" t="s">
        <v>3550</v>
      </c>
      <c r="F202" s="1206" t="s">
        <v>3275</v>
      </c>
      <c r="G202" s="1207" t="s">
        <v>3274</v>
      </c>
      <c r="H202" s="1206" t="s">
        <v>3241</v>
      </c>
      <c r="I202" s="1205">
        <v>0</v>
      </c>
      <c r="J202" s="1205">
        <v>4400000</v>
      </c>
      <c r="K202" s="1205">
        <v>4400000</v>
      </c>
      <c r="L202" s="1205">
        <v>0</v>
      </c>
      <c r="M202" s="1205">
        <v>0</v>
      </c>
      <c r="N202" s="1205">
        <v>0</v>
      </c>
      <c r="O202" s="1205">
        <v>0</v>
      </c>
      <c r="P202" s="1205"/>
      <c r="Q202" s="1205">
        <v>0</v>
      </c>
      <c r="R202" s="1204">
        <v>4400000</v>
      </c>
    </row>
    <row r="203" spans="1:18" outlineLevel="3">
      <c r="A203" s="1212" t="s">
        <v>717</v>
      </c>
      <c r="B203" s="477" t="s">
        <v>3554</v>
      </c>
      <c r="C203" s="477" t="s">
        <v>3276</v>
      </c>
      <c r="D203" s="477" t="s">
        <v>1583</v>
      </c>
      <c r="E203" s="477"/>
      <c r="F203" s="477"/>
      <c r="G203" s="478"/>
      <c r="H203" s="477"/>
      <c r="I203" s="479">
        <v>4400000</v>
      </c>
      <c r="J203" s="479">
        <v>-4400000</v>
      </c>
      <c r="K203" s="479">
        <v>0</v>
      </c>
      <c r="L203" s="479">
        <v>0</v>
      </c>
      <c r="M203" s="479">
        <v>0</v>
      </c>
      <c r="N203" s="479">
        <v>0</v>
      </c>
      <c r="O203" s="479">
        <v>0</v>
      </c>
      <c r="P203" s="479"/>
      <c r="Q203" s="479">
        <v>0</v>
      </c>
      <c r="R203" s="1211">
        <v>0</v>
      </c>
    </row>
    <row r="204" spans="1:18" outlineLevel="4">
      <c r="A204" s="1210" t="s">
        <v>717</v>
      </c>
      <c r="B204" s="482" t="s">
        <v>3554</v>
      </c>
      <c r="C204" s="482" t="s">
        <v>3276</v>
      </c>
      <c r="D204" s="482" t="s">
        <v>1583</v>
      </c>
      <c r="E204" s="482" t="s">
        <v>3550</v>
      </c>
      <c r="F204" s="482"/>
      <c r="G204" s="831"/>
      <c r="H204" s="482"/>
      <c r="I204" s="484">
        <v>4400000</v>
      </c>
      <c r="J204" s="484">
        <v>-4400000</v>
      </c>
      <c r="K204" s="484">
        <v>0</v>
      </c>
      <c r="L204" s="484">
        <v>0</v>
      </c>
      <c r="M204" s="484">
        <v>0</v>
      </c>
      <c r="N204" s="484">
        <v>0</v>
      </c>
      <c r="O204" s="484">
        <v>0</v>
      </c>
      <c r="P204" s="484"/>
      <c r="Q204" s="484">
        <v>0</v>
      </c>
      <c r="R204" s="1209">
        <v>0</v>
      </c>
    </row>
    <row r="205" spans="1:18" ht="25.5" outlineLevel="5">
      <c r="A205" s="1208" t="s">
        <v>717</v>
      </c>
      <c r="B205" s="1206" t="s">
        <v>3554</v>
      </c>
      <c r="C205" s="1206" t="s">
        <v>3276</v>
      </c>
      <c r="D205" s="1206" t="s">
        <v>1583</v>
      </c>
      <c r="E205" s="1206" t="s">
        <v>3550</v>
      </c>
      <c r="F205" s="1206" t="s">
        <v>3275</v>
      </c>
      <c r="G205" s="1207" t="s">
        <v>3274</v>
      </c>
      <c r="H205" s="1206" t="s">
        <v>3241</v>
      </c>
      <c r="I205" s="1205">
        <v>4400000</v>
      </c>
      <c r="J205" s="1205">
        <v>-4400000</v>
      </c>
      <c r="K205" s="1205">
        <v>0</v>
      </c>
      <c r="L205" s="1205">
        <v>0</v>
      </c>
      <c r="M205" s="1205">
        <v>0</v>
      </c>
      <c r="N205" s="1205">
        <v>0</v>
      </c>
      <c r="O205" s="1205">
        <v>0</v>
      </c>
      <c r="P205" s="1205"/>
      <c r="Q205" s="1205">
        <v>0</v>
      </c>
      <c r="R205" s="1204">
        <v>0</v>
      </c>
    </row>
    <row r="206" spans="1:18" outlineLevel="2">
      <c r="A206" s="1214" t="s">
        <v>717</v>
      </c>
      <c r="B206" s="472" t="s">
        <v>3554</v>
      </c>
      <c r="C206" s="472" t="s">
        <v>3272</v>
      </c>
      <c r="D206" s="472"/>
      <c r="E206" s="472"/>
      <c r="F206" s="472"/>
      <c r="G206" s="473"/>
      <c r="H206" s="472"/>
      <c r="I206" s="474">
        <v>6000000</v>
      </c>
      <c r="J206" s="474">
        <v>5927297.7999999998</v>
      </c>
      <c r="K206" s="474">
        <v>11927297.800000001</v>
      </c>
      <c r="L206" s="474">
        <v>0</v>
      </c>
      <c r="M206" s="474">
        <v>0</v>
      </c>
      <c r="N206" s="474">
        <v>0</v>
      </c>
      <c r="O206" s="474">
        <v>0</v>
      </c>
      <c r="P206" s="474"/>
      <c r="Q206" s="474">
        <v>0</v>
      </c>
      <c r="R206" s="1213">
        <v>11927297.800000001</v>
      </c>
    </row>
    <row r="207" spans="1:18" outlineLevel="3">
      <c r="A207" s="1212" t="s">
        <v>717</v>
      </c>
      <c r="B207" s="477" t="s">
        <v>3554</v>
      </c>
      <c r="C207" s="477" t="s">
        <v>3272</v>
      </c>
      <c r="D207" s="477" t="s">
        <v>1702</v>
      </c>
      <c r="E207" s="477"/>
      <c r="F207" s="477"/>
      <c r="G207" s="478"/>
      <c r="H207" s="477"/>
      <c r="I207" s="479">
        <v>6000000</v>
      </c>
      <c r="J207" s="479">
        <v>5927297.7999999998</v>
      </c>
      <c r="K207" s="479">
        <v>11927297.800000001</v>
      </c>
      <c r="L207" s="479">
        <v>0</v>
      </c>
      <c r="M207" s="479">
        <v>0</v>
      </c>
      <c r="N207" s="479">
        <v>0</v>
      </c>
      <c r="O207" s="479">
        <v>0</v>
      </c>
      <c r="P207" s="479"/>
      <c r="Q207" s="479">
        <v>0</v>
      </c>
      <c r="R207" s="1211">
        <v>11927297.800000001</v>
      </c>
    </row>
    <row r="208" spans="1:18" outlineLevel="4">
      <c r="A208" s="1210" t="s">
        <v>717</v>
      </c>
      <c r="B208" s="482" t="s">
        <v>3554</v>
      </c>
      <c r="C208" s="482" t="s">
        <v>3272</v>
      </c>
      <c r="D208" s="482" t="s">
        <v>1702</v>
      </c>
      <c r="E208" s="482" t="s">
        <v>3550</v>
      </c>
      <c r="F208" s="482"/>
      <c r="G208" s="831"/>
      <c r="H208" s="482"/>
      <c r="I208" s="484">
        <v>6000000</v>
      </c>
      <c r="J208" s="484">
        <v>5927297.7999999998</v>
      </c>
      <c r="K208" s="484">
        <v>11927297.800000001</v>
      </c>
      <c r="L208" s="484">
        <v>0</v>
      </c>
      <c r="M208" s="484">
        <v>0</v>
      </c>
      <c r="N208" s="484">
        <v>0</v>
      </c>
      <c r="O208" s="484">
        <v>0</v>
      </c>
      <c r="P208" s="484"/>
      <c r="Q208" s="484">
        <v>0</v>
      </c>
      <c r="R208" s="1209">
        <v>11927297.800000001</v>
      </c>
    </row>
    <row r="209" spans="1:18" ht="38.25" outlineLevel="5">
      <c r="A209" s="1208" t="s">
        <v>717</v>
      </c>
      <c r="B209" s="1206" t="s">
        <v>3554</v>
      </c>
      <c r="C209" s="1206" t="s">
        <v>3272</v>
      </c>
      <c r="D209" s="1206" t="s">
        <v>1702</v>
      </c>
      <c r="E209" s="1206" t="s">
        <v>3550</v>
      </c>
      <c r="F209" s="1206" t="s">
        <v>3271</v>
      </c>
      <c r="G209" s="1207" t="s">
        <v>3270</v>
      </c>
      <c r="H209" s="1206" t="s">
        <v>3241</v>
      </c>
      <c r="I209" s="1205">
        <v>6000000</v>
      </c>
      <c r="J209" s="1205">
        <v>5927297.7999999998</v>
      </c>
      <c r="K209" s="1205">
        <v>11927297.800000001</v>
      </c>
      <c r="L209" s="1205">
        <v>0</v>
      </c>
      <c r="M209" s="1205">
        <v>0</v>
      </c>
      <c r="N209" s="1205">
        <v>0</v>
      </c>
      <c r="O209" s="1205">
        <v>0</v>
      </c>
      <c r="P209" s="1205"/>
      <c r="Q209" s="1205">
        <v>0</v>
      </c>
      <c r="R209" s="1204">
        <v>11927297.800000001</v>
      </c>
    </row>
    <row r="210" spans="1:18" outlineLevel="1">
      <c r="A210" s="1216" t="s">
        <v>717</v>
      </c>
      <c r="B210" s="467" t="s">
        <v>3547</v>
      </c>
      <c r="C210" s="467"/>
      <c r="D210" s="467"/>
      <c r="E210" s="467"/>
      <c r="F210" s="467"/>
      <c r="G210" s="468"/>
      <c r="H210" s="467"/>
      <c r="I210" s="469">
        <v>54125195.009999998</v>
      </c>
      <c r="J210" s="469">
        <v>6535321.5199999996</v>
      </c>
      <c r="K210" s="469">
        <v>60660516.530000001</v>
      </c>
      <c r="L210" s="469">
        <v>145000</v>
      </c>
      <c r="M210" s="469">
        <v>57829063.329999998</v>
      </c>
      <c r="N210" s="469">
        <v>57974063.329999998</v>
      </c>
      <c r="O210" s="469">
        <v>43962081.329999998</v>
      </c>
      <c r="P210" s="469"/>
      <c r="Q210" s="469">
        <v>40639938.799999997</v>
      </c>
      <c r="R210" s="1215">
        <v>16698435.199999999</v>
      </c>
    </row>
    <row r="211" spans="1:18" outlineLevel="2">
      <c r="A211" s="1214" t="s">
        <v>717</v>
      </c>
      <c r="B211" s="472" t="s">
        <v>3547</v>
      </c>
      <c r="C211" s="472" t="s">
        <v>3249</v>
      </c>
      <c r="D211" s="472"/>
      <c r="E211" s="472"/>
      <c r="F211" s="472"/>
      <c r="G211" s="473"/>
      <c r="H211" s="472"/>
      <c r="I211" s="474">
        <v>48788951.729999997</v>
      </c>
      <c r="J211" s="474">
        <v>670848.07999999996</v>
      </c>
      <c r="K211" s="474">
        <v>49459799.810000002</v>
      </c>
      <c r="L211" s="474">
        <v>0</v>
      </c>
      <c r="M211" s="474">
        <v>46773346.609999999</v>
      </c>
      <c r="N211" s="474">
        <v>46773346.609999999</v>
      </c>
      <c r="O211" s="474">
        <v>35007424.240000002</v>
      </c>
      <c r="P211" s="474"/>
      <c r="Q211" s="474">
        <v>32759994.969999999</v>
      </c>
      <c r="R211" s="1213">
        <v>14452375.57</v>
      </c>
    </row>
    <row r="212" spans="1:18" outlineLevel="3">
      <c r="A212" s="1212" t="s">
        <v>717</v>
      </c>
      <c r="B212" s="477" t="s">
        <v>3547</v>
      </c>
      <c r="C212" s="477" t="s">
        <v>3249</v>
      </c>
      <c r="D212" s="477" t="s">
        <v>3548</v>
      </c>
      <c r="E212" s="477"/>
      <c r="F212" s="477"/>
      <c r="G212" s="478"/>
      <c r="H212" s="477"/>
      <c r="I212" s="479">
        <v>37559325.82</v>
      </c>
      <c r="J212" s="479">
        <v>516440.73</v>
      </c>
      <c r="K212" s="479">
        <v>38075766.549999997</v>
      </c>
      <c r="L212" s="479">
        <v>0</v>
      </c>
      <c r="M212" s="479">
        <v>36140023.009999998</v>
      </c>
      <c r="N212" s="479">
        <v>36140023.009999998</v>
      </c>
      <c r="O212" s="479">
        <v>27700000</v>
      </c>
      <c r="P212" s="479"/>
      <c r="Q212" s="479">
        <v>25883842.780000001</v>
      </c>
      <c r="R212" s="1211">
        <v>10375766.550000001</v>
      </c>
    </row>
    <row r="213" spans="1:18" outlineLevel="4">
      <c r="A213" s="1210" t="s">
        <v>717</v>
      </c>
      <c r="B213" s="482" t="s">
        <v>3547</v>
      </c>
      <c r="C213" s="482" t="s">
        <v>3249</v>
      </c>
      <c r="D213" s="482" t="s">
        <v>3548</v>
      </c>
      <c r="E213" s="482" t="s">
        <v>3550</v>
      </c>
      <c r="F213" s="482"/>
      <c r="G213" s="831"/>
      <c r="H213" s="482"/>
      <c r="I213" s="484">
        <v>37559325.82</v>
      </c>
      <c r="J213" s="484">
        <v>516440.73</v>
      </c>
      <c r="K213" s="484">
        <v>38075766.549999997</v>
      </c>
      <c r="L213" s="484">
        <v>0</v>
      </c>
      <c r="M213" s="484">
        <v>36140023.009999998</v>
      </c>
      <c r="N213" s="484">
        <v>36140023.009999998</v>
      </c>
      <c r="O213" s="484">
        <v>27700000</v>
      </c>
      <c r="P213" s="484"/>
      <c r="Q213" s="484">
        <v>25883842.780000001</v>
      </c>
      <c r="R213" s="1209">
        <v>10375766.550000001</v>
      </c>
    </row>
    <row r="214" spans="1:18" outlineLevel="5">
      <c r="A214" s="1208" t="s">
        <v>717</v>
      </c>
      <c r="B214" s="1206" t="s">
        <v>3547</v>
      </c>
      <c r="C214" s="1206" t="s">
        <v>3249</v>
      </c>
      <c r="D214" s="1206" t="s">
        <v>3548</v>
      </c>
      <c r="E214" s="1206" t="s">
        <v>3550</v>
      </c>
      <c r="F214" s="1206"/>
      <c r="G214" s="1207"/>
      <c r="H214" s="1206"/>
      <c r="I214" s="1205">
        <v>0</v>
      </c>
      <c r="J214" s="1205">
        <v>0</v>
      </c>
      <c r="K214" s="1205">
        <v>0</v>
      </c>
      <c r="L214" s="1205">
        <v>0</v>
      </c>
      <c r="M214" s="1205">
        <v>0</v>
      </c>
      <c r="N214" s="1205">
        <v>0</v>
      </c>
      <c r="O214" s="1205">
        <v>0</v>
      </c>
      <c r="P214" s="1205"/>
      <c r="Q214" s="1205">
        <v>-1442241.98</v>
      </c>
      <c r="R214" s="1204">
        <v>0</v>
      </c>
    </row>
    <row r="215" spans="1:18" ht="38.25" outlineLevel="5">
      <c r="A215" s="1208" t="s">
        <v>717</v>
      </c>
      <c r="B215" s="1206" t="s">
        <v>3547</v>
      </c>
      <c r="C215" s="1206" t="s">
        <v>3249</v>
      </c>
      <c r="D215" s="1206" t="s">
        <v>3548</v>
      </c>
      <c r="E215" s="1206" t="s">
        <v>3550</v>
      </c>
      <c r="F215" s="1206" t="s">
        <v>3246</v>
      </c>
      <c r="G215" s="1207" t="s">
        <v>3245</v>
      </c>
      <c r="H215" s="1206"/>
      <c r="I215" s="1205">
        <v>0</v>
      </c>
      <c r="J215" s="1205">
        <v>0</v>
      </c>
      <c r="K215" s="1205">
        <v>0</v>
      </c>
      <c r="L215" s="1205">
        <v>0</v>
      </c>
      <c r="M215" s="1205">
        <v>0</v>
      </c>
      <c r="N215" s="1205">
        <v>0</v>
      </c>
      <c r="O215" s="1205">
        <v>0</v>
      </c>
      <c r="P215" s="1205"/>
      <c r="Q215" s="1205">
        <v>27325149.760000002</v>
      </c>
      <c r="R215" s="1204">
        <v>0</v>
      </c>
    </row>
    <row r="216" spans="1:18" ht="38.25" outlineLevel="5">
      <c r="A216" s="1208" t="s">
        <v>717</v>
      </c>
      <c r="B216" s="1206" t="s">
        <v>3547</v>
      </c>
      <c r="C216" s="1206" t="s">
        <v>3249</v>
      </c>
      <c r="D216" s="1206" t="s">
        <v>3548</v>
      </c>
      <c r="E216" s="1206" t="s">
        <v>3550</v>
      </c>
      <c r="F216" s="1206" t="s">
        <v>3246</v>
      </c>
      <c r="G216" s="1207" t="s">
        <v>3245</v>
      </c>
      <c r="H216" s="1206" t="s">
        <v>3241</v>
      </c>
      <c r="I216" s="1205">
        <v>37559325.82</v>
      </c>
      <c r="J216" s="1205">
        <v>516440.73</v>
      </c>
      <c r="K216" s="1205">
        <v>38075766.549999997</v>
      </c>
      <c r="L216" s="1205">
        <v>0</v>
      </c>
      <c r="M216" s="1205">
        <v>36140023.009999998</v>
      </c>
      <c r="N216" s="1205">
        <v>36140023.009999998</v>
      </c>
      <c r="O216" s="1205">
        <v>27700000</v>
      </c>
      <c r="P216" s="1205"/>
      <c r="Q216" s="1205">
        <v>935</v>
      </c>
      <c r="R216" s="1204">
        <v>10375766.550000001</v>
      </c>
    </row>
    <row r="217" spans="1:18" outlineLevel="3">
      <c r="A217" s="1212" t="s">
        <v>717</v>
      </c>
      <c r="B217" s="477" t="s">
        <v>3547</v>
      </c>
      <c r="C217" s="477" t="s">
        <v>3249</v>
      </c>
      <c r="D217" s="477" t="s">
        <v>3552</v>
      </c>
      <c r="E217" s="477"/>
      <c r="F217" s="477"/>
      <c r="G217" s="478"/>
      <c r="H217" s="477"/>
      <c r="I217" s="479">
        <v>0</v>
      </c>
      <c r="J217" s="479">
        <v>0</v>
      </c>
      <c r="K217" s="479">
        <v>0</v>
      </c>
      <c r="L217" s="479">
        <v>0</v>
      </c>
      <c r="M217" s="479">
        <v>0</v>
      </c>
      <c r="N217" s="479">
        <v>0</v>
      </c>
      <c r="O217" s="479">
        <v>0</v>
      </c>
      <c r="P217" s="479"/>
      <c r="Q217" s="479">
        <v>0</v>
      </c>
      <c r="R217" s="1211">
        <v>0</v>
      </c>
    </row>
    <row r="218" spans="1:18" outlineLevel="4">
      <c r="A218" s="1210" t="s">
        <v>717</v>
      </c>
      <c r="B218" s="482" t="s">
        <v>3547</v>
      </c>
      <c r="C218" s="482" t="s">
        <v>3249</v>
      </c>
      <c r="D218" s="482" t="s">
        <v>3552</v>
      </c>
      <c r="E218" s="482" t="s">
        <v>3550</v>
      </c>
      <c r="F218" s="482"/>
      <c r="G218" s="831"/>
      <c r="H218" s="482"/>
      <c r="I218" s="484">
        <v>0</v>
      </c>
      <c r="J218" s="484">
        <v>0</v>
      </c>
      <c r="K218" s="484">
        <v>0</v>
      </c>
      <c r="L218" s="484">
        <v>0</v>
      </c>
      <c r="M218" s="484">
        <v>0</v>
      </c>
      <c r="N218" s="484">
        <v>0</v>
      </c>
      <c r="O218" s="484">
        <v>0</v>
      </c>
      <c r="P218" s="484"/>
      <c r="Q218" s="484">
        <v>0</v>
      </c>
      <c r="R218" s="1209">
        <v>0</v>
      </c>
    </row>
    <row r="219" spans="1:18" outlineLevel="5">
      <c r="A219" s="1208" t="s">
        <v>717</v>
      </c>
      <c r="B219" s="1206" t="s">
        <v>3547</v>
      </c>
      <c r="C219" s="1206" t="s">
        <v>3249</v>
      </c>
      <c r="D219" s="1206" t="s">
        <v>3552</v>
      </c>
      <c r="E219" s="1206" t="s">
        <v>3550</v>
      </c>
      <c r="F219" s="1206"/>
      <c r="G219" s="1207"/>
      <c r="H219" s="1206"/>
      <c r="I219" s="1205">
        <v>0</v>
      </c>
      <c r="J219" s="1205">
        <v>0</v>
      </c>
      <c r="K219" s="1205">
        <v>0</v>
      </c>
      <c r="L219" s="1205">
        <v>0</v>
      </c>
      <c r="M219" s="1205">
        <v>0</v>
      </c>
      <c r="N219" s="1205">
        <v>0</v>
      </c>
      <c r="O219" s="1205">
        <v>0</v>
      </c>
      <c r="P219" s="1205"/>
      <c r="Q219" s="1205">
        <v>935</v>
      </c>
      <c r="R219" s="1204">
        <v>0</v>
      </c>
    </row>
    <row r="220" spans="1:18" outlineLevel="5">
      <c r="A220" s="1208" t="s">
        <v>717</v>
      </c>
      <c r="B220" s="1206" t="s">
        <v>3547</v>
      </c>
      <c r="C220" s="1206" t="s">
        <v>3249</v>
      </c>
      <c r="D220" s="1206" t="s">
        <v>3552</v>
      </c>
      <c r="E220" s="1206" t="s">
        <v>3550</v>
      </c>
      <c r="F220" s="1206"/>
      <c r="G220" s="1207"/>
      <c r="H220" s="1206" t="s">
        <v>3241</v>
      </c>
      <c r="I220" s="1205">
        <v>0</v>
      </c>
      <c r="J220" s="1205">
        <v>0</v>
      </c>
      <c r="K220" s="1205">
        <v>0</v>
      </c>
      <c r="L220" s="1205">
        <v>0</v>
      </c>
      <c r="M220" s="1205">
        <v>0</v>
      </c>
      <c r="N220" s="1205">
        <v>0</v>
      </c>
      <c r="O220" s="1205">
        <v>0</v>
      </c>
      <c r="P220" s="1205"/>
      <c r="Q220" s="1205">
        <v>-835</v>
      </c>
      <c r="R220" s="1204">
        <v>0</v>
      </c>
    </row>
    <row r="221" spans="1:18" ht="38.25" outlineLevel="5">
      <c r="A221" s="1208" t="s">
        <v>717</v>
      </c>
      <c r="B221" s="1206" t="s">
        <v>3547</v>
      </c>
      <c r="C221" s="1206" t="s">
        <v>3249</v>
      </c>
      <c r="D221" s="1206" t="s">
        <v>3552</v>
      </c>
      <c r="E221" s="1206" t="s">
        <v>3550</v>
      </c>
      <c r="F221" s="1206" t="s">
        <v>3246</v>
      </c>
      <c r="G221" s="1207" t="s">
        <v>3245</v>
      </c>
      <c r="H221" s="1206" t="s">
        <v>3241</v>
      </c>
      <c r="I221" s="1205">
        <v>0</v>
      </c>
      <c r="J221" s="1205">
        <v>0</v>
      </c>
      <c r="K221" s="1205">
        <v>0</v>
      </c>
      <c r="L221" s="1205">
        <v>0</v>
      </c>
      <c r="M221" s="1205">
        <v>0</v>
      </c>
      <c r="N221" s="1205">
        <v>0</v>
      </c>
      <c r="O221" s="1205">
        <v>0</v>
      </c>
      <c r="P221" s="1205"/>
      <c r="Q221" s="1205">
        <v>-100</v>
      </c>
      <c r="R221" s="1204">
        <v>0</v>
      </c>
    </row>
    <row r="222" spans="1:18" outlineLevel="3">
      <c r="A222" s="1212" t="s">
        <v>717</v>
      </c>
      <c r="B222" s="477" t="s">
        <v>3547</v>
      </c>
      <c r="C222" s="477" t="s">
        <v>3249</v>
      </c>
      <c r="D222" s="477" t="s">
        <v>3545</v>
      </c>
      <c r="E222" s="477"/>
      <c r="F222" s="477"/>
      <c r="G222" s="478"/>
      <c r="H222" s="477"/>
      <c r="I222" s="479">
        <v>11229625.91</v>
      </c>
      <c r="J222" s="479">
        <v>154407.35</v>
      </c>
      <c r="K222" s="479">
        <v>11384033.26</v>
      </c>
      <c r="L222" s="479">
        <v>0</v>
      </c>
      <c r="M222" s="479">
        <v>10633323.6</v>
      </c>
      <c r="N222" s="479">
        <v>10633323.6</v>
      </c>
      <c r="O222" s="479">
        <v>7307424.2400000002</v>
      </c>
      <c r="P222" s="479"/>
      <c r="Q222" s="479">
        <v>6876152.1900000004</v>
      </c>
      <c r="R222" s="1211">
        <v>4076609.02</v>
      </c>
    </row>
    <row r="223" spans="1:18" outlineLevel="4">
      <c r="A223" s="1210" t="s">
        <v>717</v>
      </c>
      <c r="B223" s="482" t="s">
        <v>3547</v>
      </c>
      <c r="C223" s="482" t="s">
        <v>3249</v>
      </c>
      <c r="D223" s="482" t="s">
        <v>3545</v>
      </c>
      <c r="E223" s="482" t="s">
        <v>3550</v>
      </c>
      <c r="F223" s="482"/>
      <c r="G223" s="831"/>
      <c r="H223" s="482"/>
      <c r="I223" s="484">
        <v>11229625.91</v>
      </c>
      <c r="J223" s="484">
        <v>154407.35</v>
      </c>
      <c r="K223" s="484">
        <v>11384033.26</v>
      </c>
      <c r="L223" s="484">
        <v>0</v>
      </c>
      <c r="M223" s="484">
        <v>10633323.6</v>
      </c>
      <c r="N223" s="484">
        <v>10633323.6</v>
      </c>
      <c r="O223" s="484">
        <v>7307424.2400000002</v>
      </c>
      <c r="P223" s="484"/>
      <c r="Q223" s="484">
        <v>6876152.1900000004</v>
      </c>
      <c r="R223" s="1209">
        <v>4076609.02</v>
      </c>
    </row>
    <row r="224" spans="1:18" ht="38.25" outlineLevel="5">
      <c r="A224" s="1208" t="s">
        <v>717</v>
      </c>
      <c r="B224" s="1206" t="s">
        <v>3547</v>
      </c>
      <c r="C224" s="1206" t="s">
        <v>3249</v>
      </c>
      <c r="D224" s="1206" t="s">
        <v>3545</v>
      </c>
      <c r="E224" s="1206" t="s">
        <v>3550</v>
      </c>
      <c r="F224" s="1206" t="s">
        <v>3246</v>
      </c>
      <c r="G224" s="1207" t="s">
        <v>3245</v>
      </c>
      <c r="H224" s="1206"/>
      <c r="I224" s="1205">
        <v>0</v>
      </c>
      <c r="J224" s="1205">
        <v>0</v>
      </c>
      <c r="K224" s="1205">
        <v>0</v>
      </c>
      <c r="L224" s="1205">
        <v>0</v>
      </c>
      <c r="M224" s="1205">
        <v>0</v>
      </c>
      <c r="N224" s="1205">
        <v>0</v>
      </c>
      <c r="O224" s="1205">
        <v>0</v>
      </c>
      <c r="P224" s="1205"/>
      <c r="Q224" s="1205">
        <v>6876152.1900000004</v>
      </c>
      <c r="R224" s="1204">
        <v>0</v>
      </c>
    </row>
    <row r="225" spans="1:18" ht="38.25" outlineLevel="5">
      <c r="A225" s="1208" t="s">
        <v>717</v>
      </c>
      <c r="B225" s="1206" t="s">
        <v>3547</v>
      </c>
      <c r="C225" s="1206" t="s">
        <v>3249</v>
      </c>
      <c r="D225" s="1206" t="s">
        <v>3545</v>
      </c>
      <c r="E225" s="1206" t="s">
        <v>3550</v>
      </c>
      <c r="F225" s="1206" t="s">
        <v>3246</v>
      </c>
      <c r="G225" s="1207" t="s">
        <v>3245</v>
      </c>
      <c r="H225" s="1206" t="s">
        <v>3241</v>
      </c>
      <c r="I225" s="1205">
        <v>11229625.91</v>
      </c>
      <c r="J225" s="1205">
        <v>154407.35</v>
      </c>
      <c r="K225" s="1205">
        <v>11384033.26</v>
      </c>
      <c r="L225" s="1205">
        <v>0</v>
      </c>
      <c r="M225" s="1205">
        <v>10633323.6</v>
      </c>
      <c r="N225" s="1205">
        <v>10633323.6</v>
      </c>
      <c r="O225" s="1205">
        <v>7307424.2400000002</v>
      </c>
      <c r="P225" s="1205"/>
      <c r="Q225" s="1205">
        <v>0</v>
      </c>
      <c r="R225" s="1204">
        <v>4076609.02</v>
      </c>
    </row>
    <row r="226" spans="1:18" outlineLevel="2">
      <c r="A226" s="1214" t="s">
        <v>717</v>
      </c>
      <c r="B226" s="472" t="s">
        <v>3547</v>
      </c>
      <c r="C226" s="472" t="s">
        <v>3248</v>
      </c>
      <c r="D226" s="472"/>
      <c r="E226" s="472"/>
      <c r="F226" s="472"/>
      <c r="G226" s="473"/>
      <c r="H226" s="472"/>
      <c r="I226" s="474">
        <v>4957943.28</v>
      </c>
      <c r="J226" s="474">
        <v>0</v>
      </c>
      <c r="K226" s="474">
        <v>4957943.28</v>
      </c>
      <c r="L226" s="474">
        <v>145000</v>
      </c>
      <c r="M226" s="474">
        <v>4812943.28</v>
      </c>
      <c r="N226" s="474">
        <v>4957943.28</v>
      </c>
      <c r="O226" s="474">
        <v>2774998.05</v>
      </c>
      <c r="P226" s="474"/>
      <c r="Q226" s="474">
        <v>2656373.31</v>
      </c>
      <c r="R226" s="1213">
        <v>2182945.23</v>
      </c>
    </row>
    <row r="227" spans="1:18" outlineLevel="3">
      <c r="A227" s="1212" t="s">
        <v>717</v>
      </c>
      <c r="B227" s="477" t="s">
        <v>3547</v>
      </c>
      <c r="C227" s="477" t="s">
        <v>3248</v>
      </c>
      <c r="D227" s="477" t="s">
        <v>3552</v>
      </c>
      <c r="E227" s="477"/>
      <c r="F227" s="477"/>
      <c r="G227" s="478"/>
      <c r="H227" s="477"/>
      <c r="I227" s="479">
        <v>585125</v>
      </c>
      <c r="J227" s="479">
        <v>0</v>
      </c>
      <c r="K227" s="479">
        <v>585125</v>
      </c>
      <c r="L227" s="479">
        <v>0</v>
      </c>
      <c r="M227" s="479">
        <v>585125</v>
      </c>
      <c r="N227" s="479">
        <v>585125</v>
      </c>
      <c r="O227" s="479">
        <v>373000</v>
      </c>
      <c r="P227" s="479"/>
      <c r="Q227" s="479">
        <v>272999.59999999998</v>
      </c>
      <c r="R227" s="1211">
        <v>212125</v>
      </c>
    </row>
    <row r="228" spans="1:18" outlineLevel="4">
      <c r="A228" s="1210" t="s">
        <v>717</v>
      </c>
      <c r="B228" s="482" t="s">
        <v>3547</v>
      </c>
      <c r="C228" s="482" t="s">
        <v>3248</v>
      </c>
      <c r="D228" s="482" t="s">
        <v>3552</v>
      </c>
      <c r="E228" s="482" t="s">
        <v>3550</v>
      </c>
      <c r="F228" s="482"/>
      <c r="G228" s="831"/>
      <c r="H228" s="482"/>
      <c r="I228" s="484">
        <v>585125</v>
      </c>
      <c r="J228" s="484">
        <v>0</v>
      </c>
      <c r="K228" s="484">
        <v>585125</v>
      </c>
      <c r="L228" s="484">
        <v>0</v>
      </c>
      <c r="M228" s="484">
        <v>585125</v>
      </c>
      <c r="N228" s="484">
        <v>585125</v>
      </c>
      <c r="O228" s="484">
        <v>373000</v>
      </c>
      <c r="P228" s="484"/>
      <c r="Q228" s="484">
        <v>272999.59999999998</v>
      </c>
      <c r="R228" s="1209">
        <v>212125</v>
      </c>
    </row>
    <row r="229" spans="1:18" outlineLevel="5">
      <c r="A229" s="1208" t="s">
        <v>717</v>
      </c>
      <c r="B229" s="1206" t="s">
        <v>3547</v>
      </c>
      <c r="C229" s="1206" t="s">
        <v>3248</v>
      </c>
      <c r="D229" s="1206" t="s">
        <v>3552</v>
      </c>
      <c r="E229" s="1206" t="s">
        <v>3550</v>
      </c>
      <c r="F229" s="1206"/>
      <c r="G229" s="1207"/>
      <c r="H229" s="1206"/>
      <c r="I229" s="1205">
        <v>0</v>
      </c>
      <c r="J229" s="1205">
        <v>0</v>
      </c>
      <c r="K229" s="1205">
        <v>0</v>
      </c>
      <c r="L229" s="1205">
        <v>0</v>
      </c>
      <c r="M229" s="1205">
        <v>0</v>
      </c>
      <c r="N229" s="1205">
        <v>0</v>
      </c>
      <c r="O229" s="1205">
        <v>0</v>
      </c>
      <c r="P229" s="1205"/>
      <c r="Q229" s="1205">
        <v>-935</v>
      </c>
      <c r="R229" s="1204">
        <v>0</v>
      </c>
    </row>
    <row r="230" spans="1:18" ht="38.25" outlineLevel="5">
      <c r="A230" s="1208" t="s">
        <v>717</v>
      </c>
      <c r="B230" s="1206" t="s">
        <v>3547</v>
      </c>
      <c r="C230" s="1206" t="s">
        <v>3248</v>
      </c>
      <c r="D230" s="1206" t="s">
        <v>3552</v>
      </c>
      <c r="E230" s="1206" t="s">
        <v>3550</v>
      </c>
      <c r="F230" s="1206" t="s">
        <v>3246</v>
      </c>
      <c r="G230" s="1207" t="s">
        <v>3245</v>
      </c>
      <c r="H230" s="1206"/>
      <c r="I230" s="1205">
        <v>0</v>
      </c>
      <c r="J230" s="1205">
        <v>0</v>
      </c>
      <c r="K230" s="1205">
        <v>0</v>
      </c>
      <c r="L230" s="1205">
        <v>0</v>
      </c>
      <c r="M230" s="1205">
        <v>0</v>
      </c>
      <c r="N230" s="1205">
        <v>0</v>
      </c>
      <c r="O230" s="1205">
        <v>0</v>
      </c>
      <c r="P230" s="1205"/>
      <c r="Q230" s="1205">
        <v>273934.59999999998</v>
      </c>
      <c r="R230" s="1204">
        <v>0</v>
      </c>
    </row>
    <row r="231" spans="1:18" ht="38.25" outlineLevel="5">
      <c r="A231" s="1208" t="s">
        <v>717</v>
      </c>
      <c r="B231" s="1206" t="s">
        <v>3547</v>
      </c>
      <c r="C231" s="1206" t="s">
        <v>3248</v>
      </c>
      <c r="D231" s="1206" t="s">
        <v>3552</v>
      </c>
      <c r="E231" s="1206" t="s">
        <v>3550</v>
      </c>
      <c r="F231" s="1206" t="s">
        <v>3246</v>
      </c>
      <c r="G231" s="1207" t="s">
        <v>3245</v>
      </c>
      <c r="H231" s="1206" t="s">
        <v>3241</v>
      </c>
      <c r="I231" s="1205">
        <v>585125</v>
      </c>
      <c r="J231" s="1205">
        <v>0</v>
      </c>
      <c r="K231" s="1205">
        <v>585125</v>
      </c>
      <c r="L231" s="1205">
        <v>0</v>
      </c>
      <c r="M231" s="1205">
        <v>585125</v>
      </c>
      <c r="N231" s="1205">
        <v>585125</v>
      </c>
      <c r="O231" s="1205">
        <v>373000</v>
      </c>
      <c r="P231" s="1205"/>
      <c r="Q231" s="1205">
        <v>0</v>
      </c>
      <c r="R231" s="1204">
        <v>212125</v>
      </c>
    </row>
    <row r="232" spans="1:18" outlineLevel="3">
      <c r="A232" s="1212" t="s">
        <v>717</v>
      </c>
      <c r="B232" s="477" t="s">
        <v>3547</v>
      </c>
      <c r="C232" s="477" t="s">
        <v>3248</v>
      </c>
      <c r="D232" s="477" t="s">
        <v>3553</v>
      </c>
      <c r="E232" s="477"/>
      <c r="F232" s="477"/>
      <c r="G232" s="478"/>
      <c r="H232" s="477"/>
      <c r="I232" s="479">
        <v>4372818.28</v>
      </c>
      <c r="J232" s="479">
        <v>0</v>
      </c>
      <c r="K232" s="479">
        <v>4372818.28</v>
      </c>
      <c r="L232" s="479">
        <v>145000</v>
      </c>
      <c r="M232" s="479">
        <v>4227818.28</v>
      </c>
      <c r="N232" s="479">
        <v>4372818.28</v>
      </c>
      <c r="O232" s="479">
        <v>2401998.0499999998</v>
      </c>
      <c r="P232" s="479"/>
      <c r="Q232" s="479">
        <v>2383373.71</v>
      </c>
      <c r="R232" s="1211">
        <v>1970820.23</v>
      </c>
    </row>
    <row r="233" spans="1:18" outlineLevel="4">
      <c r="A233" s="1210" t="s">
        <v>717</v>
      </c>
      <c r="B233" s="482" t="s">
        <v>3547</v>
      </c>
      <c r="C233" s="482" t="s">
        <v>3248</v>
      </c>
      <c r="D233" s="482" t="s">
        <v>3553</v>
      </c>
      <c r="E233" s="482" t="s">
        <v>3550</v>
      </c>
      <c r="F233" s="482"/>
      <c r="G233" s="831"/>
      <c r="H233" s="482"/>
      <c r="I233" s="484">
        <v>4372818.28</v>
      </c>
      <c r="J233" s="484">
        <v>0</v>
      </c>
      <c r="K233" s="484">
        <v>4372818.28</v>
      </c>
      <c r="L233" s="484">
        <v>145000</v>
      </c>
      <c r="M233" s="484">
        <v>4227818.28</v>
      </c>
      <c r="N233" s="484">
        <v>4372818.28</v>
      </c>
      <c r="O233" s="484">
        <v>2401998.0499999998</v>
      </c>
      <c r="P233" s="484"/>
      <c r="Q233" s="484">
        <v>2383373.71</v>
      </c>
      <c r="R233" s="1209">
        <v>1970820.23</v>
      </c>
    </row>
    <row r="234" spans="1:18" ht="38.25" outlineLevel="5">
      <c r="A234" s="1208" t="s">
        <v>717</v>
      </c>
      <c r="B234" s="1206" t="s">
        <v>3547</v>
      </c>
      <c r="C234" s="1206" t="s">
        <v>3248</v>
      </c>
      <c r="D234" s="1206" t="s">
        <v>3553</v>
      </c>
      <c r="E234" s="1206" t="s">
        <v>3550</v>
      </c>
      <c r="F234" s="1206" t="s">
        <v>3246</v>
      </c>
      <c r="G234" s="1207" t="s">
        <v>3245</v>
      </c>
      <c r="H234" s="1206"/>
      <c r="I234" s="1205">
        <v>0</v>
      </c>
      <c r="J234" s="1205">
        <v>0</v>
      </c>
      <c r="K234" s="1205">
        <v>0</v>
      </c>
      <c r="L234" s="1205">
        <v>0</v>
      </c>
      <c r="M234" s="1205">
        <v>0</v>
      </c>
      <c r="N234" s="1205">
        <v>0</v>
      </c>
      <c r="O234" s="1205">
        <v>0</v>
      </c>
      <c r="P234" s="1205"/>
      <c r="Q234" s="1205">
        <v>2383373.71</v>
      </c>
      <c r="R234" s="1204">
        <v>0</v>
      </c>
    </row>
    <row r="235" spans="1:18" ht="38.25" outlineLevel="5">
      <c r="A235" s="1208" t="s">
        <v>717</v>
      </c>
      <c r="B235" s="1206" t="s">
        <v>3547</v>
      </c>
      <c r="C235" s="1206" t="s">
        <v>3248</v>
      </c>
      <c r="D235" s="1206" t="s">
        <v>3553</v>
      </c>
      <c r="E235" s="1206" t="s">
        <v>3550</v>
      </c>
      <c r="F235" s="1206" t="s">
        <v>3246</v>
      </c>
      <c r="G235" s="1207" t="s">
        <v>3245</v>
      </c>
      <c r="H235" s="1206" t="s">
        <v>3241</v>
      </c>
      <c r="I235" s="1205">
        <v>4372818.28</v>
      </c>
      <c r="J235" s="1205">
        <v>0</v>
      </c>
      <c r="K235" s="1205">
        <v>4372818.28</v>
      </c>
      <c r="L235" s="1205">
        <v>145000</v>
      </c>
      <c r="M235" s="1205">
        <v>4227818.28</v>
      </c>
      <c r="N235" s="1205">
        <v>4372818.28</v>
      </c>
      <c r="O235" s="1205">
        <v>2401998.0499999998</v>
      </c>
      <c r="P235" s="1205"/>
      <c r="Q235" s="1205">
        <v>0</v>
      </c>
      <c r="R235" s="1204">
        <v>1970820.23</v>
      </c>
    </row>
    <row r="236" spans="1:18" outlineLevel="2">
      <c r="A236" s="1214" t="s">
        <v>717</v>
      </c>
      <c r="B236" s="472" t="s">
        <v>3547</v>
      </c>
      <c r="C236" s="472" t="s">
        <v>3247</v>
      </c>
      <c r="D236" s="472"/>
      <c r="E236" s="472"/>
      <c r="F236" s="472"/>
      <c r="G236" s="473"/>
      <c r="H236" s="472"/>
      <c r="I236" s="474">
        <v>378300</v>
      </c>
      <c r="J236" s="474">
        <v>0</v>
      </c>
      <c r="K236" s="474">
        <v>378300</v>
      </c>
      <c r="L236" s="474">
        <v>0</v>
      </c>
      <c r="M236" s="474">
        <v>378300</v>
      </c>
      <c r="N236" s="474">
        <v>378300</v>
      </c>
      <c r="O236" s="474">
        <v>315185.59999999998</v>
      </c>
      <c r="P236" s="474"/>
      <c r="Q236" s="474">
        <v>147160.26999999999</v>
      </c>
      <c r="R236" s="1213">
        <v>63114.400000000001</v>
      </c>
    </row>
    <row r="237" spans="1:18" outlineLevel="3">
      <c r="A237" s="1212" t="s">
        <v>717</v>
      </c>
      <c r="B237" s="477" t="s">
        <v>3547</v>
      </c>
      <c r="C237" s="477" t="s">
        <v>3247</v>
      </c>
      <c r="D237" s="477" t="s">
        <v>3552</v>
      </c>
      <c r="E237" s="477"/>
      <c r="F237" s="477"/>
      <c r="G237" s="478"/>
      <c r="H237" s="477"/>
      <c r="I237" s="479">
        <v>378300</v>
      </c>
      <c r="J237" s="479">
        <v>0</v>
      </c>
      <c r="K237" s="479">
        <v>378300</v>
      </c>
      <c r="L237" s="479">
        <v>0</v>
      </c>
      <c r="M237" s="479">
        <v>378300</v>
      </c>
      <c r="N237" s="479">
        <v>378300</v>
      </c>
      <c r="O237" s="479">
        <v>315185.59999999998</v>
      </c>
      <c r="P237" s="479"/>
      <c r="Q237" s="479">
        <v>147160.26999999999</v>
      </c>
      <c r="R237" s="1211">
        <v>63114.400000000001</v>
      </c>
    </row>
    <row r="238" spans="1:18" outlineLevel="4">
      <c r="A238" s="1210" t="s">
        <v>717</v>
      </c>
      <c r="B238" s="482" t="s">
        <v>3547</v>
      </c>
      <c r="C238" s="482" t="s">
        <v>3247</v>
      </c>
      <c r="D238" s="482" t="s">
        <v>3552</v>
      </c>
      <c r="E238" s="482" t="s">
        <v>3550</v>
      </c>
      <c r="F238" s="482"/>
      <c r="G238" s="831"/>
      <c r="H238" s="482"/>
      <c r="I238" s="484">
        <v>378300</v>
      </c>
      <c r="J238" s="484">
        <v>0</v>
      </c>
      <c r="K238" s="484">
        <v>378300</v>
      </c>
      <c r="L238" s="484">
        <v>0</v>
      </c>
      <c r="M238" s="484">
        <v>378300</v>
      </c>
      <c r="N238" s="484">
        <v>378300</v>
      </c>
      <c r="O238" s="484">
        <v>315185.59999999998</v>
      </c>
      <c r="P238" s="484"/>
      <c r="Q238" s="484">
        <v>147160.26999999999</v>
      </c>
      <c r="R238" s="1209">
        <v>63114.400000000001</v>
      </c>
    </row>
    <row r="239" spans="1:18" ht="38.25" outlineLevel="5">
      <c r="A239" s="1208" t="s">
        <v>717</v>
      </c>
      <c r="B239" s="1206" t="s">
        <v>3547</v>
      </c>
      <c r="C239" s="1206" t="s">
        <v>3247</v>
      </c>
      <c r="D239" s="1206" t="s">
        <v>3552</v>
      </c>
      <c r="E239" s="1206" t="s">
        <v>3550</v>
      </c>
      <c r="F239" s="1206" t="s">
        <v>3246</v>
      </c>
      <c r="G239" s="1207" t="s">
        <v>3245</v>
      </c>
      <c r="H239" s="1206"/>
      <c r="I239" s="1205">
        <v>0</v>
      </c>
      <c r="J239" s="1205">
        <v>0</v>
      </c>
      <c r="K239" s="1205">
        <v>0</v>
      </c>
      <c r="L239" s="1205">
        <v>0</v>
      </c>
      <c r="M239" s="1205">
        <v>0</v>
      </c>
      <c r="N239" s="1205">
        <v>0</v>
      </c>
      <c r="O239" s="1205">
        <v>0</v>
      </c>
      <c r="P239" s="1205"/>
      <c r="Q239" s="1205">
        <v>147160.26999999999</v>
      </c>
      <c r="R239" s="1204">
        <v>0</v>
      </c>
    </row>
    <row r="240" spans="1:18" ht="38.25" outlineLevel="5">
      <c r="A240" s="1208" t="s">
        <v>717</v>
      </c>
      <c r="B240" s="1206" t="s">
        <v>3547</v>
      </c>
      <c r="C240" s="1206" t="s">
        <v>3247</v>
      </c>
      <c r="D240" s="1206" t="s">
        <v>3552</v>
      </c>
      <c r="E240" s="1206" t="s">
        <v>3550</v>
      </c>
      <c r="F240" s="1206" t="s">
        <v>3246</v>
      </c>
      <c r="G240" s="1207" t="s">
        <v>3245</v>
      </c>
      <c r="H240" s="1206" t="s">
        <v>3241</v>
      </c>
      <c r="I240" s="1205">
        <v>378300</v>
      </c>
      <c r="J240" s="1205">
        <v>0</v>
      </c>
      <c r="K240" s="1205">
        <v>378300</v>
      </c>
      <c r="L240" s="1205">
        <v>0</v>
      </c>
      <c r="M240" s="1205">
        <v>378300</v>
      </c>
      <c r="N240" s="1205">
        <v>378300</v>
      </c>
      <c r="O240" s="1205">
        <v>315185.59999999998</v>
      </c>
      <c r="P240" s="1205"/>
      <c r="Q240" s="1205">
        <v>0</v>
      </c>
      <c r="R240" s="1204">
        <v>63114.400000000001</v>
      </c>
    </row>
    <row r="241" spans="1:18" outlineLevel="2">
      <c r="A241" s="1214" t="s">
        <v>717</v>
      </c>
      <c r="B241" s="472" t="s">
        <v>3547</v>
      </c>
      <c r="C241" s="472" t="s">
        <v>2471</v>
      </c>
      <c r="D241" s="472"/>
      <c r="E241" s="472"/>
      <c r="F241" s="472"/>
      <c r="G241" s="473"/>
      <c r="H241" s="472"/>
      <c r="I241" s="474">
        <v>0</v>
      </c>
      <c r="J241" s="474">
        <v>3384765.44</v>
      </c>
      <c r="K241" s="474">
        <v>3384765.44</v>
      </c>
      <c r="L241" s="474">
        <v>0</v>
      </c>
      <c r="M241" s="474">
        <v>3384765.44</v>
      </c>
      <c r="N241" s="474">
        <v>3384765.44</v>
      </c>
      <c r="O241" s="474">
        <v>3384765.44</v>
      </c>
      <c r="P241" s="474"/>
      <c r="Q241" s="474">
        <v>2871665.34</v>
      </c>
      <c r="R241" s="1213">
        <v>0</v>
      </c>
    </row>
    <row r="242" spans="1:18" outlineLevel="3">
      <c r="A242" s="1212" t="s">
        <v>717</v>
      </c>
      <c r="B242" s="477" t="s">
        <v>3547</v>
      </c>
      <c r="C242" s="477" t="s">
        <v>2471</v>
      </c>
      <c r="D242" s="477" t="s">
        <v>3548</v>
      </c>
      <c r="E242" s="477"/>
      <c r="F242" s="477"/>
      <c r="G242" s="478"/>
      <c r="H242" s="477"/>
      <c r="I242" s="479">
        <v>0</v>
      </c>
      <c r="J242" s="479">
        <v>1617356.48</v>
      </c>
      <c r="K242" s="479">
        <v>1617356.48</v>
      </c>
      <c r="L242" s="479">
        <v>0</v>
      </c>
      <c r="M242" s="479">
        <v>1617356.48</v>
      </c>
      <c r="N242" s="479">
        <v>1617356.48</v>
      </c>
      <c r="O242" s="479">
        <v>1617356.48</v>
      </c>
      <c r="P242" s="479"/>
      <c r="Q242" s="479">
        <v>1529844.54</v>
      </c>
      <c r="R242" s="1211">
        <v>0</v>
      </c>
    </row>
    <row r="243" spans="1:18" outlineLevel="4">
      <c r="A243" s="1210" t="s">
        <v>717</v>
      </c>
      <c r="B243" s="482" t="s">
        <v>3547</v>
      </c>
      <c r="C243" s="482" t="s">
        <v>2471</v>
      </c>
      <c r="D243" s="482" t="s">
        <v>3548</v>
      </c>
      <c r="E243" s="482" t="s">
        <v>3550</v>
      </c>
      <c r="F243" s="482"/>
      <c r="G243" s="831"/>
      <c r="H243" s="482"/>
      <c r="I243" s="484">
        <v>0</v>
      </c>
      <c r="J243" s="484">
        <v>1617356.48</v>
      </c>
      <c r="K243" s="484">
        <v>1617356.48</v>
      </c>
      <c r="L243" s="484">
        <v>0</v>
      </c>
      <c r="M243" s="484">
        <v>1617356.48</v>
      </c>
      <c r="N243" s="484">
        <v>1617356.48</v>
      </c>
      <c r="O243" s="484">
        <v>1617356.48</v>
      </c>
      <c r="P243" s="484"/>
      <c r="Q243" s="484">
        <v>1529844.54</v>
      </c>
      <c r="R243" s="1209">
        <v>0</v>
      </c>
    </row>
    <row r="244" spans="1:18" outlineLevel="5">
      <c r="A244" s="1208" t="s">
        <v>717</v>
      </c>
      <c r="B244" s="1206" t="s">
        <v>3547</v>
      </c>
      <c r="C244" s="1206" t="s">
        <v>2471</v>
      </c>
      <c r="D244" s="1206" t="s">
        <v>3548</v>
      </c>
      <c r="E244" s="1206" t="s">
        <v>3550</v>
      </c>
      <c r="F244" s="1206"/>
      <c r="G244" s="1207"/>
      <c r="H244" s="1206"/>
      <c r="I244" s="1205">
        <v>0</v>
      </c>
      <c r="J244" s="1205">
        <v>0</v>
      </c>
      <c r="K244" s="1205">
        <v>0</v>
      </c>
      <c r="L244" s="1205">
        <v>0</v>
      </c>
      <c r="M244" s="1205">
        <v>0</v>
      </c>
      <c r="N244" s="1205">
        <v>0</v>
      </c>
      <c r="O244" s="1205">
        <v>0</v>
      </c>
      <c r="P244" s="1205"/>
      <c r="Q244" s="1205">
        <v>1442241.98</v>
      </c>
      <c r="R244" s="1204">
        <v>0</v>
      </c>
    </row>
    <row r="245" spans="1:18" ht="127.5" outlineLevel="5">
      <c r="A245" s="1208" t="s">
        <v>717</v>
      </c>
      <c r="B245" s="1206" t="s">
        <v>3547</v>
      </c>
      <c r="C245" s="1206" t="s">
        <v>2471</v>
      </c>
      <c r="D245" s="1206" t="s">
        <v>3548</v>
      </c>
      <c r="E245" s="1206" t="s">
        <v>3550</v>
      </c>
      <c r="F245" s="1206" t="s">
        <v>3243</v>
      </c>
      <c r="G245" s="1207" t="s">
        <v>3549</v>
      </c>
      <c r="H245" s="1206"/>
      <c r="I245" s="1205">
        <v>0</v>
      </c>
      <c r="J245" s="1205">
        <v>0</v>
      </c>
      <c r="K245" s="1205">
        <v>0</v>
      </c>
      <c r="L245" s="1205">
        <v>0</v>
      </c>
      <c r="M245" s="1205">
        <v>0</v>
      </c>
      <c r="N245" s="1205">
        <v>0</v>
      </c>
      <c r="O245" s="1205">
        <v>0</v>
      </c>
      <c r="P245" s="1205"/>
      <c r="Q245" s="1205">
        <v>87602.559999999998</v>
      </c>
      <c r="R245" s="1204">
        <v>0</v>
      </c>
    </row>
    <row r="246" spans="1:18" ht="127.5" outlineLevel="5">
      <c r="A246" s="1208" t="s">
        <v>717</v>
      </c>
      <c r="B246" s="1206" t="s">
        <v>3547</v>
      </c>
      <c r="C246" s="1206" t="s">
        <v>2471</v>
      </c>
      <c r="D246" s="1206" t="s">
        <v>3548</v>
      </c>
      <c r="E246" s="1206" t="s">
        <v>3550</v>
      </c>
      <c r="F246" s="1206" t="s">
        <v>3243</v>
      </c>
      <c r="G246" s="1207" t="s">
        <v>3549</v>
      </c>
      <c r="H246" s="1206" t="s">
        <v>3241</v>
      </c>
      <c r="I246" s="1205">
        <v>0</v>
      </c>
      <c r="J246" s="1205">
        <v>1617356.48</v>
      </c>
      <c r="K246" s="1205">
        <v>1617356.48</v>
      </c>
      <c r="L246" s="1205">
        <v>0</v>
      </c>
      <c r="M246" s="1205">
        <v>1617356.48</v>
      </c>
      <c r="N246" s="1205">
        <v>1617356.48</v>
      </c>
      <c r="O246" s="1205">
        <v>1617356.48</v>
      </c>
      <c r="P246" s="1205"/>
      <c r="Q246" s="1205">
        <v>0</v>
      </c>
      <c r="R246" s="1204">
        <v>0</v>
      </c>
    </row>
    <row r="247" spans="1:18" outlineLevel="3">
      <c r="A247" s="1212" t="s">
        <v>717</v>
      </c>
      <c r="B247" s="477" t="s">
        <v>3547</v>
      </c>
      <c r="C247" s="477" t="s">
        <v>2471</v>
      </c>
      <c r="D247" s="477" t="s">
        <v>3545</v>
      </c>
      <c r="E247" s="477"/>
      <c r="F247" s="477"/>
      <c r="G247" s="478"/>
      <c r="H247" s="477"/>
      <c r="I247" s="479">
        <v>0</v>
      </c>
      <c r="J247" s="479">
        <v>465774.76</v>
      </c>
      <c r="K247" s="479">
        <v>465774.76</v>
      </c>
      <c r="L247" s="479">
        <v>0</v>
      </c>
      <c r="M247" s="479">
        <v>465774.76</v>
      </c>
      <c r="N247" s="479">
        <v>465774.76</v>
      </c>
      <c r="O247" s="479">
        <v>465774.76</v>
      </c>
      <c r="P247" s="479"/>
      <c r="Q247" s="479">
        <v>434015.4</v>
      </c>
      <c r="R247" s="1211">
        <v>0</v>
      </c>
    </row>
    <row r="248" spans="1:18" outlineLevel="4">
      <c r="A248" s="1210" t="s">
        <v>717</v>
      </c>
      <c r="B248" s="482" t="s">
        <v>3547</v>
      </c>
      <c r="C248" s="482" t="s">
        <v>2471</v>
      </c>
      <c r="D248" s="482" t="s">
        <v>3545</v>
      </c>
      <c r="E248" s="482" t="s">
        <v>3550</v>
      </c>
      <c r="F248" s="482"/>
      <c r="G248" s="831"/>
      <c r="H248" s="482"/>
      <c r="I248" s="484">
        <v>0</v>
      </c>
      <c r="J248" s="484">
        <v>465774.76</v>
      </c>
      <c r="K248" s="484">
        <v>465774.76</v>
      </c>
      <c r="L248" s="484">
        <v>0</v>
      </c>
      <c r="M248" s="484">
        <v>465774.76</v>
      </c>
      <c r="N248" s="484">
        <v>465774.76</v>
      </c>
      <c r="O248" s="484">
        <v>465774.76</v>
      </c>
      <c r="P248" s="484"/>
      <c r="Q248" s="484">
        <v>434015.4</v>
      </c>
      <c r="R248" s="1209">
        <v>0</v>
      </c>
    </row>
    <row r="249" spans="1:18" ht="127.5" outlineLevel="5">
      <c r="A249" s="1208" t="s">
        <v>717</v>
      </c>
      <c r="B249" s="1206" t="s">
        <v>3547</v>
      </c>
      <c r="C249" s="1206" t="s">
        <v>2471</v>
      </c>
      <c r="D249" s="1206" t="s">
        <v>3545</v>
      </c>
      <c r="E249" s="1206" t="s">
        <v>3550</v>
      </c>
      <c r="F249" s="1206" t="s">
        <v>3243</v>
      </c>
      <c r="G249" s="1207" t="s">
        <v>3549</v>
      </c>
      <c r="H249" s="1206"/>
      <c r="I249" s="1205">
        <v>0</v>
      </c>
      <c r="J249" s="1205">
        <v>0</v>
      </c>
      <c r="K249" s="1205">
        <v>0</v>
      </c>
      <c r="L249" s="1205">
        <v>0</v>
      </c>
      <c r="M249" s="1205">
        <v>0</v>
      </c>
      <c r="N249" s="1205">
        <v>0</v>
      </c>
      <c r="O249" s="1205">
        <v>0</v>
      </c>
      <c r="P249" s="1205"/>
      <c r="Q249" s="1205">
        <v>434015.4</v>
      </c>
      <c r="R249" s="1204">
        <v>0</v>
      </c>
    </row>
    <row r="250" spans="1:18" ht="127.5" outlineLevel="5">
      <c r="A250" s="1208" t="s">
        <v>717</v>
      </c>
      <c r="B250" s="1206" t="s">
        <v>3547</v>
      </c>
      <c r="C250" s="1206" t="s">
        <v>2471</v>
      </c>
      <c r="D250" s="1206" t="s">
        <v>3545</v>
      </c>
      <c r="E250" s="1206" t="s">
        <v>3550</v>
      </c>
      <c r="F250" s="1206" t="s">
        <v>3243</v>
      </c>
      <c r="G250" s="1207" t="s">
        <v>3549</v>
      </c>
      <c r="H250" s="1206" t="s">
        <v>3241</v>
      </c>
      <c r="I250" s="1205">
        <v>0</v>
      </c>
      <c r="J250" s="1205">
        <v>465774.76</v>
      </c>
      <c r="K250" s="1205">
        <v>465774.76</v>
      </c>
      <c r="L250" s="1205">
        <v>0</v>
      </c>
      <c r="M250" s="1205">
        <v>465774.76</v>
      </c>
      <c r="N250" s="1205">
        <v>465774.76</v>
      </c>
      <c r="O250" s="1205">
        <v>465774.76</v>
      </c>
      <c r="P250" s="1205"/>
      <c r="Q250" s="1205">
        <v>0</v>
      </c>
      <c r="R250" s="1204">
        <v>0</v>
      </c>
    </row>
    <row r="251" spans="1:18" outlineLevel="3">
      <c r="A251" s="1212" t="s">
        <v>717</v>
      </c>
      <c r="B251" s="477" t="s">
        <v>3547</v>
      </c>
      <c r="C251" s="477" t="s">
        <v>2471</v>
      </c>
      <c r="D251" s="477" t="s">
        <v>3551</v>
      </c>
      <c r="E251" s="477"/>
      <c r="F251" s="477"/>
      <c r="G251" s="478"/>
      <c r="H251" s="477"/>
      <c r="I251" s="479">
        <v>0</v>
      </c>
      <c r="J251" s="479">
        <v>1301634.2</v>
      </c>
      <c r="K251" s="479">
        <v>1301634.2</v>
      </c>
      <c r="L251" s="479">
        <v>0</v>
      </c>
      <c r="M251" s="479">
        <v>1301634.2</v>
      </c>
      <c r="N251" s="479">
        <v>1301634.2</v>
      </c>
      <c r="O251" s="479">
        <v>1301634.2</v>
      </c>
      <c r="P251" s="479"/>
      <c r="Q251" s="479">
        <v>907805.4</v>
      </c>
      <c r="R251" s="1211">
        <v>0</v>
      </c>
    </row>
    <row r="252" spans="1:18" outlineLevel="4">
      <c r="A252" s="1210" t="s">
        <v>717</v>
      </c>
      <c r="B252" s="482" t="s">
        <v>3547</v>
      </c>
      <c r="C252" s="482" t="s">
        <v>2471</v>
      </c>
      <c r="D252" s="482" t="s">
        <v>3551</v>
      </c>
      <c r="E252" s="482" t="s">
        <v>3550</v>
      </c>
      <c r="F252" s="482"/>
      <c r="G252" s="831"/>
      <c r="H252" s="482"/>
      <c r="I252" s="484">
        <v>0</v>
      </c>
      <c r="J252" s="484">
        <v>1301634.2</v>
      </c>
      <c r="K252" s="484">
        <v>1301634.2</v>
      </c>
      <c r="L252" s="484">
        <v>0</v>
      </c>
      <c r="M252" s="484">
        <v>1301634.2</v>
      </c>
      <c r="N252" s="484">
        <v>1301634.2</v>
      </c>
      <c r="O252" s="484">
        <v>1301634.2</v>
      </c>
      <c r="P252" s="484"/>
      <c r="Q252" s="484">
        <v>907805.4</v>
      </c>
      <c r="R252" s="1209">
        <v>0</v>
      </c>
    </row>
    <row r="253" spans="1:18" ht="127.5" outlineLevel="5">
      <c r="A253" s="1208" t="s">
        <v>717</v>
      </c>
      <c r="B253" s="1206" t="s">
        <v>3547</v>
      </c>
      <c r="C253" s="1206" t="s">
        <v>2471</v>
      </c>
      <c r="D253" s="1206" t="s">
        <v>3551</v>
      </c>
      <c r="E253" s="1206" t="s">
        <v>3550</v>
      </c>
      <c r="F253" s="1206" t="s">
        <v>3243</v>
      </c>
      <c r="G253" s="1207" t="s">
        <v>3549</v>
      </c>
      <c r="H253" s="1206"/>
      <c r="I253" s="1205">
        <v>0</v>
      </c>
      <c r="J253" s="1205">
        <v>0</v>
      </c>
      <c r="K253" s="1205">
        <v>0</v>
      </c>
      <c r="L253" s="1205">
        <v>0</v>
      </c>
      <c r="M253" s="1205">
        <v>0</v>
      </c>
      <c r="N253" s="1205">
        <v>0</v>
      </c>
      <c r="O253" s="1205">
        <v>0</v>
      </c>
      <c r="P253" s="1205"/>
      <c r="Q253" s="1205">
        <v>907805.4</v>
      </c>
      <c r="R253" s="1204">
        <v>0</v>
      </c>
    </row>
    <row r="254" spans="1:18" ht="127.5" outlineLevel="5">
      <c r="A254" s="1208" t="s">
        <v>717</v>
      </c>
      <c r="B254" s="1206" t="s">
        <v>3547</v>
      </c>
      <c r="C254" s="1206" t="s">
        <v>2471</v>
      </c>
      <c r="D254" s="1206" t="s">
        <v>3551</v>
      </c>
      <c r="E254" s="1206" t="s">
        <v>3550</v>
      </c>
      <c r="F254" s="1206" t="s">
        <v>3243</v>
      </c>
      <c r="G254" s="1207" t="s">
        <v>3549</v>
      </c>
      <c r="H254" s="1206" t="s">
        <v>3241</v>
      </c>
      <c r="I254" s="1205">
        <v>0</v>
      </c>
      <c r="J254" s="1205">
        <v>1301634.2</v>
      </c>
      <c r="K254" s="1205">
        <v>1301634.2</v>
      </c>
      <c r="L254" s="1205">
        <v>0</v>
      </c>
      <c r="M254" s="1205">
        <v>1301634.2</v>
      </c>
      <c r="N254" s="1205">
        <v>1301634.2</v>
      </c>
      <c r="O254" s="1205">
        <v>1301634.2</v>
      </c>
      <c r="P254" s="1205"/>
      <c r="Q254" s="1205">
        <v>0</v>
      </c>
      <c r="R254" s="1204">
        <v>0</v>
      </c>
    </row>
    <row r="255" spans="1:18" outlineLevel="2">
      <c r="A255" s="1214" t="s">
        <v>717</v>
      </c>
      <c r="B255" s="472" t="s">
        <v>3547</v>
      </c>
      <c r="C255" s="472" t="s">
        <v>3546</v>
      </c>
      <c r="D255" s="472"/>
      <c r="E255" s="472"/>
      <c r="F255" s="472"/>
      <c r="G255" s="473"/>
      <c r="H255" s="472"/>
      <c r="I255" s="474">
        <v>0</v>
      </c>
      <c r="J255" s="474">
        <v>2479708</v>
      </c>
      <c r="K255" s="474">
        <v>2479708</v>
      </c>
      <c r="L255" s="474">
        <v>0</v>
      </c>
      <c r="M255" s="474">
        <v>2479708</v>
      </c>
      <c r="N255" s="474">
        <v>2479708</v>
      </c>
      <c r="O255" s="474">
        <v>2479708</v>
      </c>
      <c r="P255" s="474"/>
      <c r="Q255" s="474">
        <v>2204744.91</v>
      </c>
      <c r="R255" s="1213">
        <v>0</v>
      </c>
    </row>
    <row r="256" spans="1:18" outlineLevel="3">
      <c r="A256" s="1212" t="s">
        <v>717</v>
      </c>
      <c r="B256" s="477" t="s">
        <v>3547</v>
      </c>
      <c r="C256" s="477" t="s">
        <v>3546</v>
      </c>
      <c r="D256" s="477" t="s">
        <v>3548</v>
      </c>
      <c r="E256" s="477"/>
      <c r="F256" s="477"/>
      <c r="G256" s="478"/>
      <c r="H256" s="477"/>
      <c r="I256" s="479">
        <v>0</v>
      </c>
      <c r="J256" s="479">
        <v>2083073.18</v>
      </c>
      <c r="K256" s="479">
        <v>2083073.18</v>
      </c>
      <c r="L256" s="479">
        <v>0</v>
      </c>
      <c r="M256" s="479">
        <v>2083073.18</v>
      </c>
      <c r="N256" s="479">
        <v>2083073.18</v>
      </c>
      <c r="O256" s="479">
        <v>2083073.18</v>
      </c>
      <c r="P256" s="479"/>
      <c r="Q256" s="479">
        <v>1812276.18</v>
      </c>
      <c r="R256" s="1211">
        <v>0</v>
      </c>
    </row>
    <row r="257" spans="1:18" outlineLevel="4">
      <c r="A257" s="1210" t="s">
        <v>717</v>
      </c>
      <c r="B257" s="482" t="s">
        <v>3547</v>
      </c>
      <c r="C257" s="482" t="s">
        <v>3546</v>
      </c>
      <c r="D257" s="482" t="s">
        <v>3548</v>
      </c>
      <c r="E257" s="482" t="s">
        <v>3544</v>
      </c>
      <c r="F257" s="482"/>
      <c r="G257" s="831"/>
      <c r="H257" s="482"/>
      <c r="I257" s="484">
        <v>0</v>
      </c>
      <c r="J257" s="484">
        <v>2083073.18</v>
      </c>
      <c r="K257" s="484">
        <v>2083073.18</v>
      </c>
      <c r="L257" s="484">
        <v>0</v>
      </c>
      <c r="M257" s="484">
        <v>2083073.18</v>
      </c>
      <c r="N257" s="484">
        <v>2083073.18</v>
      </c>
      <c r="O257" s="484">
        <v>2083073.18</v>
      </c>
      <c r="P257" s="484"/>
      <c r="Q257" s="484">
        <v>1812276.18</v>
      </c>
      <c r="R257" s="1209">
        <v>0</v>
      </c>
    </row>
    <row r="258" spans="1:18" ht="38.25" outlineLevel="5">
      <c r="A258" s="1208" t="s">
        <v>717</v>
      </c>
      <c r="B258" s="1206" t="s">
        <v>3547</v>
      </c>
      <c r="C258" s="1206" t="s">
        <v>3546</v>
      </c>
      <c r="D258" s="1206" t="s">
        <v>3548</v>
      </c>
      <c r="E258" s="1206" t="s">
        <v>3544</v>
      </c>
      <c r="F258" s="1206" t="s">
        <v>3543</v>
      </c>
      <c r="G258" s="1207" t="s">
        <v>3542</v>
      </c>
      <c r="H258" s="1206"/>
      <c r="I258" s="1205">
        <v>0</v>
      </c>
      <c r="J258" s="1205">
        <v>0</v>
      </c>
      <c r="K258" s="1205">
        <v>0</v>
      </c>
      <c r="L258" s="1205">
        <v>0</v>
      </c>
      <c r="M258" s="1205">
        <v>0</v>
      </c>
      <c r="N258" s="1205">
        <v>0</v>
      </c>
      <c r="O258" s="1205">
        <v>0</v>
      </c>
      <c r="P258" s="1205"/>
      <c r="Q258" s="1205">
        <v>1812276.18</v>
      </c>
      <c r="R258" s="1204">
        <v>0</v>
      </c>
    </row>
    <row r="259" spans="1:18" ht="38.25" outlineLevel="5">
      <c r="A259" s="1208" t="s">
        <v>717</v>
      </c>
      <c r="B259" s="1206" t="s">
        <v>3547</v>
      </c>
      <c r="C259" s="1206" t="s">
        <v>3546</v>
      </c>
      <c r="D259" s="1206" t="s">
        <v>3548</v>
      </c>
      <c r="E259" s="1206" t="s">
        <v>3544</v>
      </c>
      <c r="F259" s="1206" t="s">
        <v>3543</v>
      </c>
      <c r="G259" s="1207" t="s">
        <v>3542</v>
      </c>
      <c r="H259" s="1206" t="s">
        <v>3257</v>
      </c>
      <c r="I259" s="1205">
        <v>0</v>
      </c>
      <c r="J259" s="1205">
        <v>2083073.18</v>
      </c>
      <c r="K259" s="1205">
        <v>2083073.18</v>
      </c>
      <c r="L259" s="1205">
        <v>0</v>
      </c>
      <c r="M259" s="1205">
        <v>2083073.18</v>
      </c>
      <c r="N259" s="1205">
        <v>2083073.18</v>
      </c>
      <c r="O259" s="1205">
        <v>2083073.18</v>
      </c>
      <c r="P259" s="1205"/>
      <c r="Q259" s="1205">
        <v>0</v>
      </c>
      <c r="R259" s="1204">
        <v>0</v>
      </c>
    </row>
    <row r="260" spans="1:18" outlineLevel="3">
      <c r="A260" s="1212" t="s">
        <v>717</v>
      </c>
      <c r="B260" s="477" t="s">
        <v>3547</v>
      </c>
      <c r="C260" s="477" t="s">
        <v>3546</v>
      </c>
      <c r="D260" s="477" t="s">
        <v>3545</v>
      </c>
      <c r="E260" s="477"/>
      <c r="F260" s="477"/>
      <c r="G260" s="478"/>
      <c r="H260" s="477"/>
      <c r="I260" s="479">
        <v>0</v>
      </c>
      <c r="J260" s="479">
        <v>396634.82</v>
      </c>
      <c r="K260" s="479">
        <v>396634.82</v>
      </c>
      <c r="L260" s="479">
        <v>0</v>
      </c>
      <c r="M260" s="479">
        <v>396634.82</v>
      </c>
      <c r="N260" s="479">
        <v>396634.82</v>
      </c>
      <c r="O260" s="479">
        <v>396634.82</v>
      </c>
      <c r="P260" s="479"/>
      <c r="Q260" s="479">
        <v>392468.73</v>
      </c>
      <c r="R260" s="1211">
        <v>0</v>
      </c>
    </row>
    <row r="261" spans="1:18" outlineLevel="4">
      <c r="A261" s="1210" t="s">
        <v>717</v>
      </c>
      <c r="B261" s="482" t="s">
        <v>3547</v>
      </c>
      <c r="C261" s="482" t="s">
        <v>3546</v>
      </c>
      <c r="D261" s="482" t="s">
        <v>3545</v>
      </c>
      <c r="E261" s="482" t="s">
        <v>3544</v>
      </c>
      <c r="F261" s="482"/>
      <c r="G261" s="831"/>
      <c r="H261" s="482"/>
      <c r="I261" s="484">
        <v>0</v>
      </c>
      <c r="J261" s="484">
        <v>396634.82</v>
      </c>
      <c r="K261" s="484">
        <v>396634.82</v>
      </c>
      <c r="L261" s="484">
        <v>0</v>
      </c>
      <c r="M261" s="484">
        <v>396634.82</v>
      </c>
      <c r="N261" s="484">
        <v>396634.82</v>
      </c>
      <c r="O261" s="484">
        <v>396634.82</v>
      </c>
      <c r="P261" s="484"/>
      <c r="Q261" s="484">
        <v>392468.73</v>
      </c>
      <c r="R261" s="1209">
        <v>0</v>
      </c>
    </row>
    <row r="262" spans="1:18" outlineLevel="5">
      <c r="A262" s="1208" t="s">
        <v>717</v>
      </c>
      <c r="B262" s="1206" t="s">
        <v>3547</v>
      </c>
      <c r="C262" s="1206" t="s">
        <v>3546</v>
      </c>
      <c r="D262" s="1206" t="s">
        <v>3545</v>
      </c>
      <c r="E262" s="1206" t="s">
        <v>3544</v>
      </c>
      <c r="F262" s="1206"/>
      <c r="G262" s="1207"/>
      <c r="H262" s="1206"/>
      <c r="I262" s="1205">
        <v>0</v>
      </c>
      <c r="J262" s="1205">
        <v>0</v>
      </c>
      <c r="K262" s="1205">
        <v>0</v>
      </c>
      <c r="L262" s="1205">
        <v>0</v>
      </c>
      <c r="M262" s="1205">
        <v>0</v>
      </c>
      <c r="N262" s="1205">
        <v>0</v>
      </c>
      <c r="O262" s="1205">
        <v>0</v>
      </c>
      <c r="P262" s="1205"/>
      <c r="Q262" s="1205">
        <v>392468.73</v>
      </c>
      <c r="R262" s="1204">
        <v>0</v>
      </c>
    </row>
    <row r="263" spans="1:18" ht="38.25" outlineLevel="5">
      <c r="A263" s="1208" t="s">
        <v>717</v>
      </c>
      <c r="B263" s="1206" t="s">
        <v>3547</v>
      </c>
      <c r="C263" s="1206" t="s">
        <v>3546</v>
      </c>
      <c r="D263" s="1206" t="s">
        <v>3545</v>
      </c>
      <c r="E263" s="1206" t="s">
        <v>3544</v>
      </c>
      <c r="F263" s="1206" t="s">
        <v>3543</v>
      </c>
      <c r="G263" s="1207" t="s">
        <v>3542</v>
      </c>
      <c r="H263" s="1206" t="s">
        <v>3257</v>
      </c>
      <c r="I263" s="1205">
        <v>0</v>
      </c>
      <c r="J263" s="1205">
        <v>396634.82</v>
      </c>
      <c r="K263" s="1205">
        <v>396634.82</v>
      </c>
      <c r="L263" s="1205">
        <v>0</v>
      </c>
      <c r="M263" s="1205">
        <v>396634.82</v>
      </c>
      <c r="N263" s="1205">
        <v>396634.82</v>
      </c>
      <c r="O263" s="1205">
        <v>396634.82</v>
      </c>
      <c r="P263" s="1205"/>
      <c r="Q263" s="1205">
        <v>0</v>
      </c>
      <c r="R263" s="1204">
        <v>0</v>
      </c>
    </row>
    <row r="264" spans="1:18" ht="15.75" thickBot="1">
      <c r="A264" s="486"/>
      <c r="B264" s="487"/>
      <c r="C264" s="487"/>
      <c r="D264" s="487"/>
      <c r="E264" s="487"/>
      <c r="F264" s="487"/>
      <c r="G264" s="487"/>
      <c r="H264" s="487"/>
      <c r="I264" s="487"/>
      <c r="J264" s="487"/>
      <c r="K264" s="487"/>
      <c r="L264" s="487"/>
      <c r="M264" s="487"/>
      <c r="N264" s="487"/>
      <c r="O264" s="487"/>
      <c r="P264" s="487"/>
      <c r="Q264" s="487"/>
      <c r="R264" s="488"/>
    </row>
    <row r="265" spans="1:18" ht="15.75" thickBot="1">
      <c r="A265" s="489" t="s">
        <v>2525</v>
      </c>
      <c r="B265" s="490"/>
      <c r="C265" s="490"/>
      <c r="D265" s="490"/>
      <c r="E265" s="490"/>
      <c r="F265" s="490"/>
      <c r="G265" s="490"/>
      <c r="H265" s="490"/>
      <c r="I265" s="1203">
        <v>1345983197</v>
      </c>
      <c r="J265" s="1203">
        <v>106980627.06999999</v>
      </c>
      <c r="K265" s="1203">
        <v>1452963824.0699999</v>
      </c>
      <c r="L265" s="1203">
        <v>105730101.17</v>
      </c>
      <c r="M265" s="1203">
        <v>1325875423.24</v>
      </c>
      <c r="N265" s="1203">
        <v>1431605524.4100001</v>
      </c>
      <c r="O265" s="1203">
        <v>1117796793.71</v>
      </c>
      <c r="P265" s="1203"/>
      <c r="Q265" s="1203">
        <v>1089899777.0999999</v>
      </c>
      <c r="R265" s="1202">
        <v>335167030.36000001</v>
      </c>
    </row>
    <row r="266" spans="1:18">
      <c r="A266" s="493"/>
      <c r="B266" s="493"/>
      <c r="C266" s="493"/>
      <c r="D266" s="493"/>
      <c r="E266" s="493"/>
      <c r="F266" s="493"/>
      <c r="G266" s="1201" t="s">
        <v>3541</v>
      </c>
      <c r="H266" s="1200" t="s">
        <v>10</v>
      </c>
      <c r="I266" s="493"/>
      <c r="J266" s="493"/>
      <c r="K266" s="1199">
        <f t="shared" ref="K266:R266" si="0">K71+K89+K186+K197+K259+K263</f>
        <v>19677822.850000001</v>
      </c>
      <c r="L266" s="1199">
        <f t="shared" si="0"/>
        <v>0</v>
      </c>
      <c r="M266" s="1199">
        <f t="shared" si="0"/>
        <v>19677822.850000001</v>
      </c>
      <c r="N266" s="1199">
        <f t="shared" si="0"/>
        <v>19677822.850000001</v>
      </c>
      <c r="O266" s="1199">
        <f t="shared" si="0"/>
        <v>18710621.73</v>
      </c>
      <c r="P266" s="1199"/>
      <c r="Q266" s="1199">
        <f t="shared" si="0"/>
        <v>3287130.7399999998</v>
      </c>
      <c r="R266" s="1199">
        <f t="shared" si="0"/>
        <v>967201.12000000011</v>
      </c>
    </row>
    <row r="267" spans="1:18">
      <c r="A267" s="1198"/>
      <c r="B267" s="1196"/>
      <c r="C267" s="1196"/>
      <c r="D267" s="1196"/>
      <c r="E267" s="1196"/>
      <c r="F267" s="1196"/>
      <c r="G267" s="1196"/>
      <c r="H267" s="1197" t="s">
        <v>9</v>
      </c>
      <c r="I267" s="1196"/>
      <c r="J267" s="1196"/>
      <c r="K267" s="1195">
        <f t="shared" ref="K267:R267" si="1">K265-K266</f>
        <v>1433286001.22</v>
      </c>
      <c r="L267" s="1195">
        <f t="shared" si="1"/>
        <v>105730101.17</v>
      </c>
      <c r="M267" s="1195">
        <f t="shared" si="1"/>
        <v>1306197600.3900001</v>
      </c>
      <c r="N267" s="1195">
        <f t="shared" si="1"/>
        <v>1411927701.5600002</v>
      </c>
      <c r="O267" s="1195">
        <f t="shared" si="1"/>
        <v>1099086171.98</v>
      </c>
      <c r="P267" s="1195"/>
      <c r="Q267" s="1195">
        <f t="shared" si="1"/>
        <v>1086612646.3599999</v>
      </c>
      <c r="R267" s="1195">
        <f t="shared" si="1"/>
        <v>334199829.24000001</v>
      </c>
    </row>
    <row r="268" spans="1:18">
      <c r="H268" s="1193" t="s">
        <v>3540</v>
      </c>
      <c r="K268" s="1194">
        <f t="shared" ref="K268:R268" si="2">K259+K263</f>
        <v>2479708</v>
      </c>
      <c r="L268" s="1194">
        <f t="shared" si="2"/>
        <v>0</v>
      </c>
      <c r="M268" s="1194">
        <f t="shared" si="2"/>
        <v>2479708</v>
      </c>
      <c r="N268" s="1194">
        <f t="shared" si="2"/>
        <v>2479708</v>
      </c>
      <c r="O268" s="1194">
        <f t="shared" si="2"/>
        <v>2479708</v>
      </c>
      <c r="P268" s="1194"/>
      <c r="Q268" s="1194">
        <f t="shared" si="2"/>
        <v>0</v>
      </c>
      <c r="R268" s="1194">
        <f t="shared" si="2"/>
        <v>0</v>
      </c>
    </row>
    <row r="269" spans="1:18">
      <c r="H269" s="1193" t="s">
        <v>3539</v>
      </c>
      <c r="K269" s="1194">
        <f t="shared" ref="K269:R269" si="3">K82</f>
        <v>7025221.1299999999</v>
      </c>
      <c r="L269" s="1194">
        <f t="shared" si="3"/>
        <v>0</v>
      </c>
      <c r="M269" s="1194">
        <f t="shared" si="3"/>
        <v>7025221.1299999999</v>
      </c>
      <c r="N269" s="1194">
        <f t="shared" si="3"/>
        <v>7025221.1299999999</v>
      </c>
      <c r="O269" s="1194">
        <f t="shared" si="3"/>
        <v>5671830.4199999999</v>
      </c>
      <c r="P269" s="1194"/>
      <c r="Q269" s="1194">
        <f t="shared" si="3"/>
        <v>5671830.4199999999</v>
      </c>
      <c r="R269" s="1194">
        <f t="shared" si="3"/>
        <v>1353390.71</v>
      </c>
    </row>
    <row r="270" spans="1:18">
      <c r="H270" s="1193" t="s">
        <v>3538</v>
      </c>
      <c r="K270" s="1192">
        <f t="shared" ref="K270:R270" si="4">K255</f>
        <v>2479708</v>
      </c>
      <c r="L270" s="1192">
        <f t="shared" si="4"/>
        <v>0</v>
      </c>
      <c r="M270" s="1192">
        <f t="shared" si="4"/>
        <v>2479708</v>
      </c>
      <c r="N270" s="1192">
        <f t="shared" si="4"/>
        <v>2479708</v>
      </c>
      <c r="O270" s="1192">
        <f t="shared" si="4"/>
        <v>2479708</v>
      </c>
      <c r="P270" s="1192"/>
      <c r="Q270" s="1192">
        <f t="shared" si="4"/>
        <v>2204744.91</v>
      </c>
      <c r="R270" s="1192">
        <f t="shared" si="4"/>
        <v>0</v>
      </c>
    </row>
  </sheetData>
  <autoFilter ref="A5:R263"/>
  <mergeCells count="3">
    <mergeCell ref="A1:R1"/>
    <mergeCell ref="A2:R2"/>
    <mergeCell ref="A3:R3"/>
  </mergeCells>
  <pageMargins left="0.51181102362204722" right="0.11811023622047245" top="0.55118110236220474" bottom="0.35433070866141736" header="0.31496062992125984" footer="0.31496062992125984"/>
  <pageSetup paperSize="9" scale="7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K50"/>
  <sheetViews>
    <sheetView topLeftCell="A10" zoomScale="89" zoomScaleNormal="89" workbookViewId="0">
      <selection activeCell="B12" sqref="B12:B15"/>
    </sheetView>
  </sheetViews>
  <sheetFormatPr defaultColWidth="8.85546875" defaultRowHeight="15.75" outlineLevelRow="1"/>
  <cols>
    <col min="1" max="1" width="3.42578125" style="1231" customWidth="1"/>
    <col min="2" max="2" width="39.5703125" style="1231" customWidth="1"/>
    <col min="3" max="3" width="14.42578125" style="1231" customWidth="1"/>
    <col min="4" max="4" width="12" style="1231" customWidth="1"/>
    <col min="5" max="5" width="12.140625" style="1231" customWidth="1"/>
    <col min="6" max="6" width="12" style="1256" customWidth="1"/>
    <col min="7" max="7" width="9.42578125" style="1231" customWidth="1"/>
    <col min="8" max="8" width="11.140625" style="1256" customWidth="1"/>
    <col min="9" max="9" width="9.42578125" style="1256" customWidth="1"/>
    <col min="10" max="10" width="10.85546875" style="1257" customWidth="1"/>
    <col min="11" max="11" width="11.28515625" style="1256" customWidth="1"/>
    <col min="12" max="12" width="9.140625" style="1256" customWidth="1"/>
    <col min="13" max="13" width="9.42578125" style="1256" customWidth="1"/>
    <col min="14" max="14" width="10.28515625" style="1558" customWidth="1"/>
    <col min="15" max="15" width="10.140625" style="1559" customWidth="1"/>
    <col min="16" max="16" width="9.85546875" style="1559" customWidth="1"/>
    <col min="17" max="17" width="39.140625" style="1231" customWidth="1"/>
    <col min="18" max="245" width="8.85546875" style="1231"/>
    <col min="246" max="246" width="3.42578125" style="1231" customWidth="1"/>
    <col min="247" max="247" width="19.42578125" style="1231" customWidth="1"/>
    <col min="248" max="248" width="14.42578125" style="1231" customWidth="1"/>
    <col min="249" max="249" width="9.42578125" style="1231" customWidth="1"/>
    <col min="250" max="250" width="12.140625" style="1231" customWidth="1"/>
    <col min="251" max="251" width="9.42578125" style="1231" customWidth="1"/>
    <col min="252" max="252" width="5.28515625" style="1231" customWidth="1"/>
    <col min="253" max="253" width="8.85546875" style="1231" customWidth="1"/>
    <col min="254" max="254" width="9.42578125" style="1231" customWidth="1"/>
    <col min="255" max="255" width="8.85546875" style="1231" customWidth="1"/>
    <col min="256" max="256" width="9" style="1231" customWidth="1"/>
    <col min="257" max="257" width="9.140625" style="1231" customWidth="1"/>
    <col min="258" max="258" width="7.85546875" style="1231" customWidth="1"/>
    <col min="259" max="259" width="10.28515625" style="1231" customWidth="1"/>
    <col min="260" max="260" width="9.42578125" style="1231" customWidth="1"/>
    <col min="261" max="261" width="8.85546875" style="1231" customWidth="1"/>
    <col min="262" max="262" width="39.140625" style="1231" customWidth="1"/>
    <col min="263" max="263" width="8.85546875" style="1231"/>
    <col min="264" max="264" width="9" style="1231" bestFit="1" customWidth="1"/>
    <col min="265" max="501" width="8.85546875" style="1231"/>
    <col min="502" max="502" width="3.42578125" style="1231" customWidth="1"/>
    <col min="503" max="503" width="19.42578125" style="1231" customWidth="1"/>
    <col min="504" max="504" width="14.42578125" style="1231" customWidth="1"/>
    <col min="505" max="505" width="9.42578125" style="1231" customWidth="1"/>
    <col min="506" max="506" width="12.140625" style="1231" customWidth="1"/>
    <col min="507" max="507" width="9.42578125" style="1231" customWidth="1"/>
    <col min="508" max="508" width="5.28515625" style="1231" customWidth="1"/>
    <col min="509" max="509" width="8.85546875" style="1231" customWidth="1"/>
    <col min="510" max="510" width="9.42578125" style="1231" customWidth="1"/>
    <col min="511" max="511" width="8.85546875" style="1231" customWidth="1"/>
    <col min="512" max="512" width="9" style="1231" customWidth="1"/>
    <col min="513" max="513" width="9.140625" style="1231" customWidth="1"/>
    <col min="514" max="514" width="7.85546875" style="1231" customWidth="1"/>
    <col min="515" max="515" width="10.28515625" style="1231" customWidth="1"/>
    <col min="516" max="516" width="9.42578125" style="1231" customWidth="1"/>
    <col min="517" max="517" width="8.85546875" style="1231" customWidth="1"/>
    <col min="518" max="518" width="39.140625" style="1231" customWidth="1"/>
    <col min="519" max="519" width="8.85546875" style="1231"/>
    <col min="520" max="520" width="9" style="1231" bestFit="1" customWidth="1"/>
    <col min="521" max="757" width="8.85546875" style="1231"/>
    <col min="758" max="758" width="3.42578125" style="1231" customWidth="1"/>
    <col min="759" max="759" width="19.42578125" style="1231" customWidth="1"/>
    <col min="760" max="760" width="14.42578125" style="1231" customWidth="1"/>
    <col min="761" max="761" width="9.42578125" style="1231" customWidth="1"/>
    <col min="762" max="762" width="12.140625" style="1231" customWidth="1"/>
    <col min="763" max="763" width="9.42578125" style="1231" customWidth="1"/>
    <col min="764" max="764" width="5.28515625" style="1231" customWidth="1"/>
    <col min="765" max="765" width="8.85546875" style="1231" customWidth="1"/>
    <col min="766" max="766" width="9.42578125" style="1231" customWidth="1"/>
    <col min="767" max="767" width="8.85546875" style="1231" customWidth="1"/>
    <col min="768" max="768" width="9" style="1231" customWidth="1"/>
    <col min="769" max="769" width="9.140625" style="1231" customWidth="1"/>
    <col min="770" max="770" width="7.85546875" style="1231" customWidth="1"/>
    <col min="771" max="771" width="10.28515625" style="1231" customWidth="1"/>
    <col min="772" max="772" width="9.42578125" style="1231" customWidth="1"/>
    <col min="773" max="773" width="8.85546875" style="1231" customWidth="1"/>
    <col min="774" max="774" width="39.140625" style="1231" customWidth="1"/>
    <col min="775" max="775" width="8.85546875" style="1231"/>
    <col min="776" max="776" width="9" style="1231" bestFit="1" customWidth="1"/>
    <col min="777" max="1013" width="8.85546875" style="1231"/>
    <col min="1014" max="1014" width="3.42578125" style="1231" customWidth="1"/>
    <col min="1015" max="1015" width="19.42578125" style="1231" customWidth="1"/>
    <col min="1016" max="1016" width="14.42578125" style="1231" customWidth="1"/>
    <col min="1017" max="1017" width="9.42578125" style="1231" customWidth="1"/>
    <col min="1018" max="1018" width="12.140625" style="1231" customWidth="1"/>
    <col min="1019" max="1019" width="9.42578125" style="1231" customWidth="1"/>
    <col min="1020" max="1020" width="5.28515625" style="1231" customWidth="1"/>
    <col min="1021" max="1021" width="8.85546875" style="1231" customWidth="1"/>
    <col min="1022" max="1022" width="9.42578125" style="1231" customWidth="1"/>
    <col min="1023" max="1023" width="8.85546875" style="1231" customWidth="1"/>
    <col min="1024" max="1024" width="9" style="1231" customWidth="1"/>
    <col min="1025" max="1025" width="9.140625" style="1231" customWidth="1"/>
    <col min="1026" max="1026" width="7.85546875" style="1231" customWidth="1"/>
    <col min="1027" max="1027" width="10.28515625" style="1231" customWidth="1"/>
    <col min="1028" max="1028" width="9.42578125" style="1231" customWidth="1"/>
    <col min="1029" max="1029" width="8.85546875" style="1231" customWidth="1"/>
    <col min="1030" max="1030" width="39.140625" style="1231" customWidth="1"/>
    <col min="1031" max="1031" width="8.85546875" style="1231"/>
    <col min="1032" max="1032" width="9" style="1231" bestFit="1" customWidth="1"/>
    <col min="1033" max="1269" width="8.85546875" style="1231"/>
    <col min="1270" max="1270" width="3.42578125" style="1231" customWidth="1"/>
    <col min="1271" max="1271" width="19.42578125" style="1231" customWidth="1"/>
    <col min="1272" max="1272" width="14.42578125" style="1231" customWidth="1"/>
    <col min="1273" max="1273" width="9.42578125" style="1231" customWidth="1"/>
    <col min="1274" max="1274" width="12.140625" style="1231" customWidth="1"/>
    <col min="1275" max="1275" width="9.42578125" style="1231" customWidth="1"/>
    <col min="1276" max="1276" width="5.28515625" style="1231" customWidth="1"/>
    <col min="1277" max="1277" width="8.85546875" style="1231" customWidth="1"/>
    <col min="1278" max="1278" width="9.42578125" style="1231" customWidth="1"/>
    <col min="1279" max="1279" width="8.85546875" style="1231" customWidth="1"/>
    <col min="1280" max="1280" width="9" style="1231" customWidth="1"/>
    <col min="1281" max="1281" width="9.140625" style="1231" customWidth="1"/>
    <col min="1282" max="1282" width="7.85546875" style="1231" customWidth="1"/>
    <col min="1283" max="1283" width="10.28515625" style="1231" customWidth="1"/>
    <col min="1284" max="1284" width="9.42578125" style="1231" customWidth="1"/>
    <col min="1285" max="1285" width="8.85546875" style="1231" customWidth="1"/>
    <col min="1286" max="1286" width="39.140625" style="1231" customWidth="1"/>
    <col min="1287" max="1287" width="8.85546875" style="1231"/>
    <col min="1288" max="1288" width="9" style="1231" bestFit="1" customWidth="1"/>
    <col min="1289" max="1525" width="8.85546875" style="1231"/>
    <col min="1526" max="1526" width="3.42578125" style="1231" customWidth="1"/>
    <col min="1527" max="1527" width="19.42578125" style="1231" customWidth="1"/>
    <col min="1528" max="1528" width="14.42578125" style="1231" customWidth="1"/>
    <col min="1529" max="1529" width="9.42578125" style="1231" customWidth="1"/>
    <col min="1530" max="1530" width="12.140625" style="1231" customWidth="1"/>
    <col min="1531" max="1531" width="9.42578125" style="1231" customWidth="1"/>
    <col min="1532" max="1532" width="5.28515625" style="1231" customWidth="1"/>
    <col min="1533" max="1533" width="8.85546875" style="1231" customWidth="1"/>
    <col min="1534" max="1534" width="9.42578125" style="1231" customWidth="1"/>
    <col min="1535" max="1535" width="8.85546875" style="1231" customWidth="1"/>
    <col min="1536" max="1536" width="9" style="1231" customWidth="1"/>
    <col min="1537" max="1537" width="9.140625" style="1231" customWidth="1"/>
    <col min="1538" max="1538" width="7.85546875" style="1231" customWidth="1"/>
    <col min="1539" max="1539" width="10.28515625" style="1231" customWidth="1"/>
    <col min="1540" max="1540" width="9.42578125" style="1231" customWidth="1"/>
    <col min="1541" max="1541" width="8.85546875" style="1231" customWidth="1"/>
    <col min="1542" max="1542" width="39.140625" style="1231" customWidth="1"/>
    <col min="1543" max="1543" width="8.85546875" style="1231"/>
    <col min="1544" max="1544" width="9" style="1231" bestFit="1" customWidth="1"/>
    <col min="1545" max="1781" width="8.85546875" style="1231"/>
    <col min="1782" max="1782" width="3.42578125" style="1231" customWidth="1"/>
    <col min="1783" max="1783" width="19.42578125" style="1231" customWidth="1"/>
    <col min="1784" max="1784" width="14.42578125" style="1231" customWidth="1"/>
    <col min="1785" max="1785" width="9.42578125" style="1231" customWidth="1"/>
    <col min="1786" max="1786" width="12.140625" style="1231" customWidth="1"/>
    <col min="1787" max="1787" width="9.42578125" style="1231" customWidth="1"/>
    <col min="1788" max="1788" width="5.28515625" style="1231" customWidth="1"/>
    <col min="1789" max="1789" width="8.85546875" style="1231" customWidth="1"/>
    <col min="1790" max="1790" width="9.42578125" style="1231" customWidth="1"/>
    <col min="1791" max="1791" width="8.85546875" style="1231" customWidth="1"/>
    <col min="1792" max="1792" width="9" style="1231" customWidth="1"/>
    <col min="1793" max="1793" width="9.140625" style="1231" customWidth="1"/>
    <col min="1794" max="1794" width="7.85546875" style="1231" customWidth="1"/>
    <col min="1795" max="1795" width="10.28515625" style="1231" customWidth="1"/>
    <col min="1796" max="1796" width="9.42578125" style="1231" customWidth="1"/>
    <col min="1797" max="1797" width="8.85546875" style="1231" customWidth="1"/>
    <col min="1798" max="1798" width="39.140625" style="1231" customWidth="1"/>
    <col min="1799" max="1799" width="8.85546875" style="1231"/>
    <col min="1800" max="1800" width="9" style="1231" bestFit="1" customWidth="1"/>
    <col min="1801" max="2037" width="8.85546875" style="1231"/>
    <col min="2038" max="2038" width="3.42578125" style="1231" customWidth="1"/>
    <col min="2039" max="2039" width="19.42578125" style="1231" customWidth="1"/>
    <col min="2040" max="2040" width="14.42578125" style="1231" customWidth="1"/>
    <col min="2041" max="2041" width="9.42578125" style="1231" customWidth="1"/>
    <col min="2042" max="2042" width="12.140625" style="1231" customWidth="1"/>
    <col min="2043" max="2043" width="9.42578125" style="1231" customWidth="1"/>
    <col min="2044" max="2044" width="5.28515625" style="1231" customWidth="1"/>
    <col min="2045" max="2045" width="8.85546875" style="1231" customWidth="1"/>
    <col min="2046" max="2046" width="9.42578125" style="1231" customWidth="1"/>
    <col min="2047" max="2047" width="8.85546875" style="1231" customWidth="1"/>
    <col min="2048" max="2048" width="9" style="1231" customWidth="1"/>
    <col min="2049" max="2049" width="9.140625" style="1231" customWidth="1"/>
    <col min="2050" max="2050" width="7.85546875" style="1231" customWidth="1"/>
    <col min="2051" max="2051" width="10.28515625" style="1231" customWidth="1"/>
    <col min="2052" max="2052" width="9.42578125" style="1231" customWidth="1"/>
    <col min="2053" max="2053" width="8.85546875" style="1231" customWidth="1"/>
    <col min="2054" max="2054" width="39.140625" style="1231" customWidth="1"/>
    <col min="2055" max="2055" width="8.85546875" style="1231"/>
    <col min="2056" max="2056" width="9" style="1231" bestFit="1" customWidth="1"/>
    <col min="2057" max="2293" width="8.85546875" style="1231"/>
    <col min="2294" max="2294" width="3.42578125" style="1231" customWidth="1"/>
    <col min="2295" max="2295" width="19.42578125" style="1231" customWidth="1"/>
    <col min="2296" max="2296" width="14.42578125" style="1231" customWidth="1"/>
    <col min="2297" max="2297" width="9.42578125" style="1231" customWidth="1"/>
    <col min="2298" max="2298" width="12.140625" style="1231" customWidth="1"/>
    <col min="2299" max="2299" width="9.42578125" style="1231" customWidth="1"/>
    <col min="2300" max="2300" width="5.28515625" style="1231" customWidth="1"/>
    <col min="2301" max="2301" width="8.85546875" style="1231" customWidth="1"/>
    <col min="2302" max="2302" width="9.42578125" style="1231" customWidth="1"/>
    <col min="2303" max="2303" width="8.85546875" style="1231" customWidth="1"/>
    <col min="2304" max="2304" width="9" style="1231" customWidth="1"/>
    <col min="2305" max="2305" width="9.140625" style="1231" customWidth="1"/>
    <col min="2306" max="2306" width="7.85546875" style="1231" customWidth="1"/>
    <col min="2307" max="2307" width="10.28515625" style="1231" customWidth="1"/>
    <col min="2308" max="2308" width="9.42578125" style="1231" customWidth="1"/>
    <col min="2309" max="2309" width="8.85546875" style="1231" customWidth="1"/>
    <col min="2310" max="2310" width="39.140625" style="1231" customWidth="1"/>
    <col min="2311" max="2311" width="8.85546875" style="1231"/>
    <col min="2312" max="2312" width="9" style="1231" bestFit="1" customWidth="1"/>
    <col min="2313" max="2549" width="8.85546875" style="1231"/>
    <col min="2550" max="2550" width="3.42578125" style="1231" customWidth="1"/>
    <col min="2551" max="2551" width="19.42578125" style="1231" customWidth="1"/>
    <col min="2552" max="2552" width="14.42578125" style="1231" customWidth="1"/>
    <col min="2553" max="2553" width="9.42578125" style="1231" customWidth="1"/>
    <col min="2554" max="2554" width="12.140625" style="1231" customWidth="1"/>
    <col min="2555" max="2555" width="9.42578125" style="1231" customWidth="1"/>
    <col min="2556" max="2556" width="5.28515625" style="1231" customWidth="1"/>
    <col min="2557" max="2557" width="8.85546875" style="1231" customWidth="1"/>
    <col min="2558" max="2558" width="9.42578125" style="1231" customWidth="1"/>
    <col min="2559" max="2559" width="8.85546875" style="1231" customWidth="1"/>
    <col min="2560" max="2560" width="9" style="1231" customWidth="1"/>
    <col min="2561" max="2561" width="9.140625" style="1231" customWidth="1"/>
    <col min="2562" max="2562" width="7.85546875" style="1231" customWidth="1"/>
    <col min="2563" max="2563" width="10.28515625" style="1231" customWidth="1"/>
    <col min="2564" max="2564" width="9.42578125" style="1231" customWidth="1"/>
    <col min="2565" max="2565" width="8.85546875" style="1231" customWidth="1"/>
    <col min="2566" max="2566" width="39.140625" style="1231" customWidth="1"/>
    <col min="2567" max="2567" width="8.85546875" style="1231"/>
    <col min="2568" max="2568" width="9" style="1231" bestFit="1" customWidth="1"/>
    <col min="2569" max="2805" width="8.85546875" style="1231"/>
    <col min="2806" max="2806" width="3.42578125" style="1231" customWidth="1"/>
    <col min="2807" max="2807" width="19.42578125" style="1231" customWidth="1"/>
    <col min="2808" max="2808" width="14.42578125" style="1231" customWidth="1"/>
    <col min="2809" max="2809" width="9.42578125" style="1231" customWidth="1"/>
    <col min="2810" max="2810" width="12.140625" style="1231" customWidth="1"/>
    <col min="2811" max="2811" width="9.42578125" style="1231" customWidth="1"/>
    <col min="2812" max="2812" width="5.28515625" style="1231" customWidth="1"/>
    <col min="2813" max="2813" width="8.85546875" style="1231" customWidth="1"/>
    <col min="2814" max="2814" width="9.42578125" style="1231" customWidth="1"/>
    <col min="2815" max="2815" width="8.85546875" style="1231" customWidth="1"/>
    <col min="2816" max="2816" width="9" style="1231" customWidth="1"/>
    <col min="2817" max="2817" width="9.140625" style="1231" customWidth="1"/>
    <col min="2818" max="2818" width="7.85546875" style="1231" customWidth="1"/>
    <col min="2819" max="2819" width="10.28515625" style="1231" customWidth="1"/>
    <col min="2820" max="2820" width="9.42578125" style="1231" customWidth="1"/>
    <col min="2821" max="2821" width="8.85546875" style="1231" customWidth="1"/>
    <col min="2822" max="2822" width="39.140625" style="1231" customWidth="1"/>
    <col min="2823" max="2823" width="8.85546875" style="1231"/>
    <col min="2824" max="2824" width="9" style="1231" bestFit="1" customWidth="1"/>
    <col min="2825" max="3061" width="8.85546875" style="1231"/>
    <col min="3062" max="3062" width="3.42578125" style="1231" customWidth="1"/>
    <col min="3063" max="3063" width="19.42578125" style="1231" customWidth="1"/>
    <col min="3064" max="3064" width="14.42578125" style="1231" customWidth="1"/>
    <col min="3065" max="3065" width="9.42578125" style="1231" customWidth="1"/>
    <col min="3066" max="3066" width="12.140625" style="1231" customWidth="1"/>
    <col min="3067" max="3067" width="9.42578125" style="1231" customWidth="1"/>
    <col min="3068" max="3068" width="5.28515625" style="1231" customWidth="1"/>
    <col min="3069" max="3069" width="8.85546875" style="1231" customWidth="1"/>
    <col min="3070" max="3070" width="9.42578125" style="1231" customWidth="1"/>
    <col min="3071" max="3071" width="8.85546875" style="1231" customWidth="1"/>
    <col min="3072" max="3072" width="9" style="1231" customWidth="1"/>
    <col min="3073" max="3073" width="9.140625" style="1231" customWidth="1"/>
    <col min="3074" max="3074" width="7.85546875" style="1231" customWidth="1"/>
    <col min="3075" max="3075" width="10.28515625" style="1231" customWidth="1"/>
    <col min="3076" max="3076" width="9.42578125" style="1231" customWidth="1"/>
    <col min="3077" max="3077" width="8.85546875" style="1231" customWidth="1"/>
    <col min="3078" max="3078" width="39.140625" style="1231" customWidth="1"/>
    <col min="3079" max="3079" width="8.85546875" style="1231"/>
    <col min="3080" max="3080" width="9" style="1231" bestFit="1" customWidth="1"/>
    <col min="3081" max="3317" width="8.85546875" style="1231"/>
    <col min="3318" max="3318" width="3.42578125" style="1231" customWidth="1"/>
    <col min="3319" max="3319" width="19.42578125" style="1231" customWidth="1"/>
    <col min="3320" max="3320" width="14.42578125" style="1231" customWidth="1"/>
    <col min="3321" max="3321" width="9.42578125" style="1231" customWidth="1"/>
    <col min="3322" max="3322" width="12.140625" style="1231" customWidth="1"/>
    <col min="3323" max="3323" width="9.42578125" style="1231" customWidth="1"/>
    <col min="3324" max="3324" width="5.28515625" style="1231" customWidth="1"/>
    <col min="3325" max="3325" width="8.85546875" style="1231" customWidth="1"/>
    <col min="3326" max="3326" width="9.42578125" style="1231" customWidth="1"/>
    <col min="3327" max="3327" width="8.85546875" style="1231" customWidth="1"/>
    <col min="3328" max="3328" width="9" style="1231" customWidth="1"/>
    <col min="3329" max="3329" width="9.140625" style="1231" customWidth="1"/>
    <col min="3330" max="3330" width="7.85546875" style="1231" customWidth="1"/>
    <col min="3331" max="3331" width="10.28515625" style="1231" customWidth="1"/>
    <col min="3332" max="3332" width="9.42578125" style="1231" customWidth="1"/>
    <col min="3333" max="3333" width="8.85546875" style="1231" customWidth="1"/>
    <col min="3334" max="3334" width="39.140625" style="1231" customWidth="1"/>
    <col min="3335" max="3335" width="8.85546875" style="1231"/>
    <col min="3336" max="3336" width="9" style="1231" bestFit="1" customWidth="1"/>
    <col min="3337" max="3573" width="8.85546875" style="1231"/>
    <col min="3574" max="3574" width="3.42578125" style="1231" customWidth="1"/>
    <col min="3575" max="3575" width="19.42578125" style="1231" customWidth="1"/>
    <col min="3576" max="3576" width="14.42578125" style="1231" customWidth="1"/>
    <col min="3577" max="3577" width="9.42578125" style="1231" customWidth="1"/>
    <col min="3578" max="3578" width="12.140625" style="1231" customWidth="1"/>
    <col min="3579" max="3579" width="9.42578125" style="1231" customWidth="1"/>
    <col min="3580" max="3580" width="5.28515625" style="1231" customWidth="1"/>
    <col min="3581" max="3581" width="8.85546875" style="1231" customWidth="1"/>
    <col min="3582" max="3582" width="9.42578125" style="1231" customWidth="1"/>
    <col min="3583" max="3583" width="8.85546875" style="1231" customWidth="1"/>
    <col min="3584" max="3584" width="9" style="1231" customWidth="1"/>
    <col min="3585" max="3585" width="9.140625" style="1231" customWidth="1"/>
    <col min="3586" max="3586" width="7.85546875" style="1231" customWidth="1"/>
    <col min="3587" max="3587" width="10.28515625" style="1231" customWidth="1"/>
    <col min="3588" max="3588" width="9.42578125" style="1231" customWidth="1"/>
    <col min="3589" max="3589" width="8.85546875" style="1231" customWidth="1"/>
    <col min="3590" max="3590" width="39.140625" style="1231" customWidth="1"/>
    <col min="3591" max="3591" width="8.85546875" style="1231"/>
    <col min="3592" max="3592" width="9" style="1231" bestFit="1" customWidth="1"/>
    <col min="3593" max="3829" width="8.85546875" style="1231"/>
    <col min="3830" max="3830" width="3.42578125" style="1231" customWidth="1"/>
    <col min="3831" max="3831" width="19.42578125" style="1231" customWidth="1"/>
    <col min="3832" max="3832" width="14.42578125" style="1231" customWidth="1"/>
    <col min="3833" max="3833" width="9.42578125" style="1231" customWidth="1"/>
    <col min="3834" max="3834" width="12.140625" style="1231" customWidth="1"/>
    <col min="3835" max="3835" width="9.42578125" style="1231" customWidth="1"/>
    <col min="3836" max="3836" width="5.28515625" style="1231" customWidth="1"/>
    <col min="3837" max="3837" width="8.85546875" style="1231" customWidth="1"/>
    <col min="3838" max="3838" width="9.42578125" style="1231" customWidth="1"/>
    <col min="3839" max="3839" width="8.85546875" style="1231" customWidth="1"/>
    <col min="3840" max="3840" width="9" style="1231" customWidth="1"/>
    <col min="3841" max="3841" width="9.140625" style="1231" customWidth="1"/>
    <col min="3842" max="3842" width="7.85546875" style="1231" customWidth="1"/>
    <col min="3843" max="3843" width="10.28515625" style="1231" customWidth="1"/>
    <col min="3844" max="3844" width="9.42578125" style="1231" customWidth="1"/>
    <col min="3845" max="3845" width="8.85546875" style="1231" customWidth="1"/>
    <col min="3846" max="3846" width="39.140625" style="1231" customWidth="1"/>
    <col min="3847" max="3847" width="8.85546875" style="1231"/>
    <col min="3848" max="3848" width="9" style="1231" bestFit="1" customWidth="1"/>
    <col min="3849" max="4085" width="8.85546875" style="1231"/>
    <col min="4086" max="4086" width="3.42578125" style="1231" customWidth="1"/>
    <col min="4087" max="4087" width="19.42578125" style="1231" customWidth="1"/>
    <col min="4088" max="4088" width="14.42578125" style="1231" customWidth="1"/>
    <col min="4089" max="4089" width="9.42578125" style="1231" customWidth="1"/>
    <col min="4090" max="4090" width="12.140625" style="1231" customWidth="1"/>
    <col min="4091" max="4091" width="9.42578125" style="1231" customWidth="1"/>
    <col min="4092" max="4092" width="5.28515625" style="1231" customWidth="1"/>
    <col min="4093" max="4093" width="8.85546875" style="1231" customWidth="1"/>
    <col min="4094" max="4094" width="9.42578125" style="1231" customWidth="1"/>
    <col min="4095" max="4095" width="8.85546875" style="1231" customWidth="1"/>
    <col min="4096" max="4096" width="9" style="1231" customWidth="1"/>
    <col min="4097" max="4097" width="9.140625" style="1231" customWidth="1"/>
    <col min="4098" max="4098" width="7.85546875" style="1231" customWidth="1"/>
    <col min="4099" max="4099" width="10.28515625" style="1231" customWidth="1"/>
    <col min="4100" max="4100" width="9.42578125" style="1231" customWidth="1"/>
    <col min="4101" max="4101" width="8.85546875" style="1231" customWidth="1"/>
    <col min="4102" max="4102" width="39.140625" style="1231" customWidth="1"/>
    <col min="4103" max="4103" width="8.85546875" style="1231"/>
    <col min="4104" max="4104" width="9" style="1231" bestFit="1" customWidth="1"/>
    <col min="4105" max="4341" width="8.85546875" style="1231"/>
    <col min="4342" max="4342" width="3.42578125" style="1231" customWidth="1"/>
    <col min="4343" max="4343" width="19.42578125" style="1231" customWidth="1"/>
    <col min="4344" max="4344" width="14.42578125" style="1231" customWidth="1"/>
    <col min="4345" max="4345" width="9.42578125" style="1231" customWidth="1"/>
    <col min="4346" max="4346" width="12.140625" style="1231" customWidth="1"/>
    <col min="4347" max="4347" width="9.42578125" style="1231" customWidth="1"/>
    <col min="4348" max="4348" width="5.28515625" style="1231" customWidth="1"/>
    <col min="4349" max="4349" width="8.85546875" style="1231" customWidth="1"/>
    <col min="4350" max="4350" width="9.42578125" style="1231" customWidth="1"/>
    <col min="4351" max="4351" width="8.85546875" style="1231" customWidth="1"/>
    <col min="4352" max="4352" width="9" style="1231" customWidth="1"/>
    <col min="4353" max="4353" width="9.140625" style="1231" customWidth="1"/>
    <col min="4354" max="4354" width="7.85546875" style="1231" customWidth="1"/>
    <col min="4355" max="4355" width="10.28515625" style="1231" customWidth="1"/>
    <col min="4356" max="4356" width="9.42578125" style="1231" customWidth="1"/>
    <col min="4357" max="4357" width="8.85546875" style="1231" customWidth="1"/>
    <col min="4358" max="4358" width="39.140625" style="1231" customWidth="1"/>
    <col min="4359" max="4359" width="8.85546875" style="1231"/>
    <col min="4360" max="4360" width="9" style="1231" bestFit="1" customWidth="1"/>
    <col min="4361" max="4597" width="8.85546875" style="1231"/>
    <col min="4598" max="4598" width="3.42578125" style="1231" customWidth="1"/>
    <col min="4599" max="4599" width="19.42578125" style="1231" customWidth="1"/>
    <col min="4600" max="4600" width="14.42578125" style="1231" customWidth="1"/>
    <col min="4601" max="4601" width="9.42578125" style="1231" customWidth="1"/>
    <col min="4602" max="4602" width="12.140625" style="1231" customWidth="1"/>
    <col min="4603" max="4603" width="9.42578125" style="1231" customWidth="1"/>
    <col min="4604" max="4604" width="5.28515625" style="1231" customWidth="1"/>
    <col min="4605" max="4605" width="8.85546875" style="1231" customWidth="1"/>
    <col min="4606" max="4606" width="9.42578125" style="1231" customWidth="1"/>
    <col min="4607" max="4607" width="8.85546875" style="1231" customWidth="1"/>
    <col min="4608" max="4608" width="9" style="1231" customWidth="1"/>
    <col min="4609" max="4609" width="9.140625" style="1231" customWidth="1"/>
    <col min="4610" max="4610" width="7.85546875" style="1231" customWidth="1"/>
    <col min="4611" max="4611" width="10.28515625" style="1231" customWidth="1"/>
    <col min="4612" max="4612" width="9.42578125" style="1231" customWidth="1"/>
    <col min="4613" max="4613" width="8.85546875" style="1231" customWidth="1"/>
    <col min="4614" max="4614" width="39.140625" style="1231" customWidth="1"/>
    <col min="4615" max="4615" width="8.85546875" style="1231"/>
    <col min="4616" max="4616" width="9" style="1231" bestFit="1" customWidth="1"/>
    <col min="4617" max="4853" width="8.85546875" style="1231"/>
    <col min="4854" max="4854" width="3.42578125" style="1231" customWidth="1"/>
    <col min="4855" max="4855" width="19.42578125" style="1231" customWidth="1"/>
    <col min="4856" max="4856" width="14.42578125" style="1231" customWidth="1"/>
    <col min="4857" max="4857" width="9.42578125" style="1231" customWidth="1"/>
    <col min="4858" max="4858" width="12.140625" style="1231" customWidth="1"/>
    <col min="4859" max="4859" width="9.42578125" style="1231" customWidth="1"/>
    <col min="4860" max="4860" width="5.28515625" style="1231" customWidth="1"/>
    <col min="4861" max="4861" width="8.85546875" style="1231" customWidth="1"/>
    <col min="4862" max="4862" width="9.42578125" style="1231" customWidth="1"/>
    <col min="4863" max="4863" width="8.85546875" style="1231" customWidth="1"/>
    <col min="4864" max="4864" width="9" style="1231" customWidth="1"/>
    <col min="4865" max="4865" width="9.140625" style="1231" customWidth="1"/>
    <col min="4866" max="4866" width="7.85546875" style="1231" customWidth="1"/>
    <col min="4867" max="4867" width="10.28515625" style="1231" customWidth="1"/>
    <col min="4868" max="4868" width="9.42578125" style="1231" customWidth="1"/>
    <col min="4869" max="4869" width="8.85546875" style="1231" customWidth="1"/>
    <col min="4870" max="4870" width="39.140625" style="1231" customWidth="1"/>
    <col min="4871" max="4871" width="8.85546875" style="1231"/>
    <col min="4872" max="4872" width="9" style="1231" bestFit="1" customWidth="1"/>
    <col min="4873" max="5109" width="8.85546875" style="1231"/>
    <col min="5110" max="5110" width="3.42578125" style="1231" customWidth="1"/>
    <col min="5111" max="5111" width="19.42578125" style="1231" customWidth="1"/>
    <col min="5112" max="5112" width="14.42578125" style="1231" customWidth="1"/>
    <col min="5113" max="5113" width="9.42578125" style="1231" customWidth="1"/>
    <col min="5114" max="5114" width="12.140625" style="1231" customWidth="1"/>
    <col min="5115" max="5115" width="9.42578125" style="1231" customWidth="1"/>
    <col min="5116" max="5116" width="5.28515625" style="1231" customWidth="1"/>
    <col min="5117" max="5117" width="8.85546875" style="1231" customWidth="1"/>
    <col min="5118" max="5118" width="9.42578125" style="1231" customWidth="1"/>
    <col min="5119" max="5119" width="8.85546875" style="1231" customWidth="1"/>
    <col min="5120" max="5120" width="9" style="1231" customWidth="1"/>
    <col min="5121" max="5121" width="9.140625" style="1231" customWidth="1"/>
    <col min="5122" max="5122" width="7.85546875" style="1231" customWidth="1"/>
    <col min="5123" max="5123" width="10.28515625" style="1231" customWidth="1"/>
    <col min="5124" max="5124" width="9.42578125" style="1231" customWidth="1"/>
    <col min="5125" max="5125" width="8.85546875" style="1231" customWidth="1"/>
    <col min="5126" max="5126" width="39.140625" style="1231" customWidth="1"/>
    <col min="5127" max="5127" width="8.85546875" style="1231"/>
    <col min="5128" max="5128" width="9" style="1231" bestFit="1" customWidth="1"/>
    <col min="5129" max="5365" width="8.85546875" style="1231"/>
    <col min="5366" max="5366" width="3.42578125" style="1231" customWidth="1"/>
    <col min="5367" max="5367" width="19.42578125" style="1231" customWidth="1"/>
    <col min="5368" max="5368" width="14.42578125" style="1231" customWidth="1"/>
    <col min="5369" max="5369" width="9.42578125" style="1231" customWidth="1"/>
    <col min="5370" max="5370" width="12.140625" style="1231" customWidth="1"/>
    <col min="5371" max="5371" width="9.42578125" style="1231" customWidth="1"/>
    <col min="5372" max="5372" width="5.28515625" style="1231" customWidth="1"/>
    <col min="5373" max="5373" width="8.85546875" style="1231" customWidth="1"/>
    <col min="5374" max="5374" width="9.42578125" style="1231" customWidth="1"/>
    <col min="5375" max="5375" width="8.85546875" style="1231" customWidth="1"/>
    <col min="5376" max="5376" width="9" style="1231" customWidth="1"/>
    <col min="5377" max="5377" width="9.140625" style="1231" customWidth="1"/>
    <col min="5378" max="5378" width="7.85546875" style="1231" customWidth="1"/>
    <col min="5379" max="5379" width="10.28515625" style="1231" customWidth="1"/>
    <col min="5380" max="5380" width="9.42578125" style="1231" customWidth="1"/>
    <col min="5381" max="5381" width="8.85546875" style="1231" customWidth="1"/>
    <col min="5382" max="5382" width="39.140625" style="1231" customWidth="1"/>
    <col min="5383" max="5383" width="8.85546875" style="1231"/>
    <col min="5384" max="5384" width="9" style="1231" bestFit="1" customWidth="1"/>
    <col min="5385" max="5621" width="8.85546875" style="1231"/>
    <col min="5622" max="5622" width="3.42578125" style="1231" customWidth="1"/>
    <col min="5623" max="5623" width="19.42578125" style="1231" customWidth="1"/>
    <col min="5624" max="5624" width="14.42578125" style="1231" customWidth="1"/>
    <col min="5625" max="5625" width="9.42578125" style="1231" customWidth="1"/>
    <col min="5626" max="5626" width="12.140625" style="1231" customWidth="1"/>
    <col min="5627" max="5627" width="9.42578125" style="1231" customWidth="1"/>
    <col min="5628" max="5628" width="5.28515625" style="1231" customWidth="1"/>
    <col min="5629" max="5629" width="8.85546875" style="1231" customWidth="1"/>
    <col min="5630" max="5630" width="9.42578125" style="1231" customWidth="1"/>
    <col min="5631" max="5631" width="8.85546875" style="1231" customWidth="1"/>
    <col min="5632" max="5632" width="9" style="1231" customWidth="1"/>
    <col min="5633" max="5633" width="9.140625" style="1231" customWidth="1"/>
    <col min="5634" max="5634" width="7.85546875" style="1231" customWidth="1"/>
    <col min="5635" max="5635" width="10.28515625" style="1231" customWidth="1"/>
    <col min="5636" max="5636" width="9.42578125" style="1231" customWidth="1"/>
    <col min="5637" max="5637" width="8.85546875" style="1231" customWidth="1"/>
    <col min="5638" max="5638" width="39.140625" style="1231" customWidth="1"/>
    <col min="5639" max="5639" width="8.85546875" style="1231"/>
    <col min="5640" max="5640" width="9" style="1231" bestFit="1" customWidth="1"/>
    <col min="5641" max="5877" width="8.85546875" style="1231"/>
    <col min="5878" max="5878" width="3.42578125" style="1231" customWidth="1"/>
    <col min="5879" max="5879" width="19.42578125" style="1231" customWidth="1"/>
    <col min="5880" max="5880" width="14.42578125" style="1231" customWidth="1"/>
    <col min="5881" max="5881" width="9.42578125" style="1231" customWidth="1"/>
    <col min="5882" max="5882" width="12.140625" style="1231" customWidth="1"/>
    <col min="5883" max="5883" width="9.42578125" style="1231" customWidth="1"/>
    <col min="5884" max="5884" width="5.28515625" style="1231" customWidth="1"/>
    <col min="5885" max="5885" width="8.85546875" style="1231" customWidth="1"/>
    <col min="5886" max="5886" width="9.42578125" style="1231" customWidth="1"/>
    <col min="5887" max="5887" width="8.85546875" style="1231" customWidth="1"/>
    <col min="5888" max="5888" width="9" style="1231" customWidth="1"/>
    <col min="5889" max="5889" width="9.140625" style="1231" customWidth="1"/>
    <col min="5890" max="5890" width="7.85546875" style="1231" customWidth="1"/>
    <col min="5891" max="5891" width="10.28515625" style="1231" customWidth="1"/>
    <col min="5892" max="5892" width="9.42578125" style="1231" customWidth="1"/>
    <col min="5893" max="5893" width="8.85546875" style="1231" customWidth="1"/>
    <col min="5894" max="5894" width="39.140625" style="1231" customWidth="1"/>
    <col min="5895" max="5895" width="8.85546875" style="1231"/>
    <col min="5896" max="5896" width="9" style="1231" bestFit="1" customWidth="1"/>
    <col min="5897" max="6133" width="8.85546875" style="1231"/>
    <col min="6134" max="6134" width="3.42578125" style="1231" customWidth="1"/>
    <col min="6135" max="6135" width="19.42578125" style="1231" customWidth="1"/>
    <col min="6136" max="6136" width="14.42578125" style="1231" customWidth="1"/>
    <col min="6137" max="6137" width="9.42578125" style="1231" customWidth="1"/>
    <col min="6138" max="6138" width="12.140625" style="1231" customWidth="1"/>
    <col min="6139" max="6139" width="9.42578125" style="1231" customWidth="1"/>
    <col min="6140" max="6140" width="5.28515625" style="1231" customWidth="1"/>
    <col min="6141" max="6141" width="8.85546875" style="1231" customWidth="1"/>
    <col min="6142" max="6142" width="9.42578125" style="1231" customWidth="1"/>
    <col min="6143" max="6143" width="8.85546875" style="1231" customWidth="1"/>
    <col min="6144" max="6144" width="9" style="1231" customWidth="1"/>
    <col min="6145" max="6145" width="9.140625" style="1231" customWidth="1"/>
    <col min="6146" max="6146" width="7.85546875" style="1231" customWidth="1"/>
    <col min="6147" max="6147" width="10.28515625" style="1231" customWidth="1"/>
    <col min="6148" max="6148" width="9.42578125" style="1231" customWidth="1"/>
    <col min="6149" max="6149" width="8.85546875" style="1231" customWidth="1"/>
    <col min="6150" max="6150" width="39.140625" style="1231" customWidth="1"/>
    <col min="6151" max="6151" width="8.85546875" style="1231"/>
    <col min="6152" max="6152" width="9" style="1231" bestFit="1" customWidth="1"/>
    <col min="6153" max="6389" width="8.85546875" style="1231"/>
    <col min="6390" max="6390" width="3.42578125" style="1231" customWidth="1"/>
    <col min="6391" max="6391" width="19.42578125" style="1231" customWidth="1"/>
    <col min="6392" max="6392" width="14.42578125" style="1231" customWidth="1"/>
    <col min="6393" max="6393" width="9.42578125" style="1231" customWidth="1"/>
    <col min="6394" max="6394" width="12.140625" style="1231" customWidth="1"/>
    <col min="6395" max="6395" width="9.42578125" style="1231" customWidth="1"/>
    <col min="6396" max="6396" width="5.28515625" style="1231" customWidth="1"/>
    <col min="6397" max="6397" width="8.85546875" style="1231" customWidth="1"/>
    <col min="6398" max="6398" width="9.42578125" style="1231" customWidth="1"/>
    <col min="6399" max="6399" width="8.85546875" style="1231" customWidth="1"/>
    <col min="6400" max="6400" width="9" style="1231" customWidth="1"/>
    <col min="6401" max="6401" width="9.140625" style="1231" customWidth="1"/>
    <col min="6402" max="6402" width="7.85546875" style="1231" customWidth="1"/>
    <col min="6403" max="6403" width="10.28515625" style="1231" customWidth="1"/>
    <col min="6404" max="6404" width="9.42578125" style="1231" customWidth="1"/>
    <col min="6405" max="6405" width="8.85546875" style="1231" customWidth="1"/>
    <col min="6406" max="6406" width="39.140625" style="1231" customWidth="1"/>
    <col min="6407" max="6407" width="8.85546875" style="1231"/>
    <col min="6408" max="6408" width="9" style="1231" bestFit="1" customWidth="1"/>
    <col min="6409" max="6645" width="8.85546875" style="1231"/>
    <col min="6646" max="6646" width="3.42578125" style="1231" customWidth="1"/>
    <col min="6647" max="6647" width="19.42578125" style="1231" customWidth="1"/>
    <col min="6648" max="6648" width="14.42578125" style="1231" customWidth="1"/>
    <col min="6649" max="6649" width="9.42578125" style="1231" customWidth="1"/>
    <col min="6650" max="6650" width="12.140625" style="1231" customWidth="1"/>
    <col min="6651" max="6651" width="9.42578125" style="1231" customWidth="1"/>
    <col min="6652" max="6652" width="5.28515625" style="1231" customWidth="1"/>
    <col min="6653" max="6653" width="8.85546875" style="1231" customWidth="1"/>
    <col min="6654" max="6654" width="9.42578125" style="1231" customWidth="1"/>
    <col min="6655" max="6655" width="8.85546875" style="1231" customWidth="1"/>
    <col min="6656" max="6656" width="9" style="1231" customWidth="1"/>
    <col min="6657" max="6657" width="9.140625" style="1231" customWidth="1"/>
    <col min="6658" max="6658" width="7.85546875" style="1231" customWidth="1"/>
    <col min="6659" max="6659" width="10.28515625" style="1231" customWidth="1"/>
    <col min="6660" max="6660" width="9.42578125" style="1231" customWidth="1"/>
    <col min="6661" max="6661" width="8.85546875" style="1231" customWidth="1"/>
    <col min="6662" max="6662" width="39.140625" style="1231" customWidth="1"/>
    <col min="6663" max="6663" width="8.85546875" style="1231"/>
    <col min="6664" max="6664" width="9" style="1231" bestFit="1" customWidth="1"/>
    <col min="6665" max="6901" width="8.85546875" style="1231"/>
    <col min="6902" max="6902" width="3.42578125" style="1231" customWidth="1"/>
    <col min="6903" max="6903" width="19.42578125" style="1231" customWidth="1"/>
    <col min="6904" max="6904" width="14.42578125" style="1231" customWidth="1"/>
    <col min="6905" max="6905" width="9.42578125" style="1231" customWidth="1"/>
    <col min="6906" max="6906" width="12.140625" style="1231" customWidth="1"/>
    <col min="6907" max="6907" width="9.42578125" style="1231" customWidth="1"/>
    <col min="6908" max="6908" width="5.28515625" style="1231" customWidth="1"/>
    <col min="6909" max="6909" width="8.85546875" style="1231" customWidth="1"/>
    <col min="6910" max="6910" width="9.42578125" style="1231" customWidth="1"/>
    <col min="6911" max="6911" width="8.85546875" style="1231" customWidth="1"/>
    <col min="6912" max="6912" width="9" style="1231" customWidth="1"/>
    <col min="6913" max="6913" width="9.140625" style="1231" customWidth="1"/>
    <col min="6914" max="6914" width="7.85546875" style="1231" customWidth="1"/>
    <col min="6915" max="6915" width="10.28515625" style="1231" customWidth="1"/>
    <col min="6916" max="6916" width="9.42578125" style="1231" customWidth="1"/>
    <col min="6917" max="6917" width="8.85546875" style="1231" customWidth="1"/>
    <col min="6918" max="6918" width="39.140625" style="1231" customWidth="1"/>
    <col min="6919" max="6919" width="8.85546875" style="1231"/>
    <col min="6920" max="6920" width="9" style="1231" bestFit="1" customWidth="1"/>
    <col min="6921" max="7157" width="8.85546875" style="1231"/>
    <col min="7158" max="7158" width="3.42578125" style="1231" customWidth="1"/>
    <col min="7159" max="7159" width="19.42578125" style="1231" customWidth="1"/>
    <col min="7160" max="7160" width="14.42578125" style="1231" customWidth="1"/>
    <col min="7161" max="7161" width="9.42578125" style="1231" customWidth="1"/>
    <col min="7162" max="7162" width="12.140625" style="1231" customWidth="1"/>
    <col min="7163" max="7163" width="9.42578125" style="1231" customWidth="1"/>
    <col min="7164" max="7164" width="5.28515625" style="1231" customWidth="1"/>
    <col min="7165" max="7165" width="8.85546875" style="1231" customWidth="1"/>
    <col min="7166" max="7166" width="9.42578125" style="1231" customWidth="1"/>
    <col min="7167" max="7167" width="8.85546875" style="1231" customWidth="1"/>
    <col min="7168" max="7168" width="9" style="1231" customWidth="1"/>
    <col min="7169" max="7169" width="9.140625" style="1231" customWidth="1"/>
    <col min="7170" max="7170" width="7.85546875" style="1231" customWidth="1"/>
    <col min="7171" max="7171" width="10.28515625" style="1231" customWidth="1"/>
    <col min="7172" max="7172" width="9.42578125" style="1231" customWidth="1"/>
    <col min="7173" max="7173" width="8.85546875" style="1231" customWidth="1"/>
    <col min="7174" max="7174" width="39.140625" style="1231" customWidth="1"/>
    <col min="7175" max="7175" width="8.85546875" style="1231"/>
    <col min="7176" max="7176" width="9" style="1231" bestFit="1" customWidth="1"/>
    <col min="7177" max="7413" width="8.85546875" style="1231"/>
    <col min="7414" max="7414" width="3.42578125" style="1231" customWidth="1"/>
    <col min="7415" max="7415" width="19.42578125" style="1231" customWidth="1"/>
    <col min="7416" max="7416" width="14.42578125" style="1231" customWidth="1"/>
    <col min="7417" max="7417" width="9.42578125" style="1231" customWidth="1"/>
    <col min="7418" max="7418" width="12.140625" style="1231" customWidth="1"/>
    <col min="7419" max="7419" width="9.42578125" style="1231" customWidth="1"/>
    <col min="7420" max="7420" width="5.28515625" style="1231" customWidth="1"/>
    <col min="7421" max="7421" width="8.85546875" style="1231" customWidth="1"/>
    <col min="7422" max="7422" width="9.42578125" style="1231" customWidth="1"/>
    <col min="7423" max="7423" width="8.85546875" style="1231" customWidth="1"/>
    <col min="7424" max="7424" width="9" style="1231" customWidth="1"/>
    <col min="7425" max="7425" width="9.140625" style="1231" customWidth="1"/>
    <col min="7426" max="7426" width="7.85546875" style="1231" customWidth="1"/>
    <col min="7427" max="7427" width="10.28515625" style="1231" customWidth="1"/>
    <col min="7428" max="7428" width="9.42578125" style="1231" customWidth="1"/>
    <col min="7429" max="7429" width="8.85546875" style="1231" customWidth="1"/>
    <col min="7430" max="7430" width="39.140625" style="1231" customWidth="1"/>
    <col min="7431" max="7431" width="8.85546875" style="1231"/>
    <col min="7432" max="7432" width="9" style="1231" bestFit="1" customWidth="1"/>
    <col min="7433" max="7669" width="8.85546875" style="1231"/>
    <col min="7670" max="7670" width="3.42578125" style="1231" customWidth="1"/>
    <col min="7671" max="7671" width="19.42578125" style="1231" customWidth="1"/>
    <col min="7672" max="7672" width="14.42578125" style="1231" customWidth="1"/>
    <col min="7673" max="7673" width="9.42578125" style="1231" customWidth="1"/>
    <col min="7674" max="7674" width="12.140625" style="1231" customWidth="1"/>
    <col min="7675" max="7675" width="9.42578125" style="1231" customWidth="1"/>
    <col min="7676" max="7676" width="5.28515625" style="1231" customWidth="1"/>
    <col min="7677" max="7677" width="8.85546875" style="1231" customWidth="1"/>
    <col min="7678" max="7678" width="9.42578125" style="1231" customWidth="1"/>
    <col min="7679" max="7679" width="8.85546875" style="1231" customWidth="1"/>
    <col min="7680" max="7680" width="9" style="1231" customWidth="1"/>
    <col min="7681" max="7681" width="9.140625" style="1231" customWidth="1"/>
    <col min="7682" max="7682" width="7.85546875" style="1231" customWidth="1"/>
    <col min="7683" max="7683" width="10.28515625" style="1231" customWidth="1"/>
    <col min="7684" max="7684" width="9.42578125" style="1231" customWidth="1"/>
    <col min="7685" max="7685" width="8.85546875" style="1231" customWidth="1"/>
    <col min="7686" max="7686" width="39.140625" style="1231" customWidth="1"/>
    <col min="7687" max="7687" width="8.85546875" style="1231"/>
    <col min="7688" max="7688" width="9" style="1231" bestFit="1" customWidth="1"/>
    <col min="7689" max="7925" width="8.85546875" style="1231"/>
    <col min="7926" max="7926" width="3.42578125" style="1231" customWidth="1"/>
    <col min="7927" max="7927" width="19.42578125" style="1231" customWidth="1"/>
    <col min="7928" max="7928" width="14.42578125" style="1231" customWidth="1"/>
    <col min="7929" max="7929" width="9.42578125" style="1231" customWidth="1"/>
    <col min="7930" max="7930" width="12.140625" style="1231" customWidth="1"/>
    <col min="7931" max="7931" width="9.42578125" style="1231" customWidth="1"/>
    <col min="7932" max="7932" width="5.28515625" style="1231" customWidth="1"/>
    <col min="7933" max="7933" width="8.85546875" style="1231" customWidth="1"/>
    <col min="7934" max="7934" width="9.42578125" style="1231" customWidth="1"/>
    <col min="7935" max="7935" width="8.85546875" style="1231" customWidth="1"/>
    <col min="7936" max="7936" width="9" style="1231" customWidth="1"/>
    <col min="7937" max="7937" width="9.140625" style="1231" customWidth="1"/>
    <col min="7938" max="7938" width="7.85546875" style="1231" customWidth="1"/>
    <col min="7939" max="7939" width="10.28515625" style="1231" customWidth="1"/>
    <col min="7940" max="7940" width="9.42578125" style="1231" customWidth="1"/>
    <col min="7941" max="7941" width="8.85546875" style="1231" customWidth="1"/>
    <col min="7942" max="7942" width="39.140625" style="1231" customWidth="1"/>
    <col min="7943" max="7943" width="8.85546875" style="1231"/>
    <col min="7944" max="7944" width="9" style="1231" bestFit="1" customWidth="1"/>
    <col min="7945" max="8181" width="8.85546875" style="1231"/>
    <col min="8182" max="8182" width="3.42578125" style="1231" customWidth="1"/>
    <col min="8183" max="8183" width="19.42578125" style="1231" customWidth="1"/>
    <col min="8184" max="8184" width="14.42578125" style="1231" customWidth="1"/>
    <col min="8185" max="8185" width="9.42578125" style="1231" customWidth="1"/>
    <col min="8186" max="8186" width="12.140625" style="1231" customWidth="1"/>
    <col min="8187" max="8187" width="9.42578125" style="1231" customWidth="1"/>
    <col min="8188" max="8188" width="5.28515625" style="1231" customWidth="1"/>
    <col min="8189" max="8189" width="8.85546875" style="1231" customWidth="1"/>
    <col min="8190" max="8190" width="9.42578125" style="1231" customWidth="1"/>
    <col min="8191" max="8191" width="8.85546875" style="1231" customWidth="1"/>
    <col min="8192" max="8192" width="9" style="1231" customWidth="1"/>
    <col min="8193" max="8193" width="9.140625" style="1231" customWidth="1"/>
    <col min="8194" max="8194" width="7.85546875" style="1231" customWidth="1"/>
    <col min="8195" max="8195" width="10.28515625" style="1231" customWidth="1"/>
    <col min="8196" max="8196" width="9.42578125" style="1231" customWidth="1"/>
    <col min="8197" max="8197" width="8.85546875" style="1231" customWidth="1"/>
    <col min="8198" max="8198" width="39.140625" style="1231" customWidth="1"/>
    <col min="8199" max="8199" width="8.85546875" style="1231"/>
    <col min="8200" max="8200" width="9" style="1231" bestFit="1" customWidth="1"/>
    <col min="8201" max="8437" width="8.85546875" style="1231"/>
    <col min="8438" max="8438" width="3.42578125" style="1231" customWidth="1"/>
    <col min="8439" max="8439" width="19.42578125" style="1231" customWidth="1"/>
    <col min="8440" max="8440" width="14.42578125" style="1231" customWidth="1"/>
    <col min="8441" max="8441" width="9.42578125" style="1231" customWidth="1"/>
    <col min="8442" max="8442" width="12.140625" style="1231" customWidth="1"/>
    <col min="8443" max="8443" width="9.42578125" style="1231" customWidth="1"/>
    <col min="8444" max="8444" width="5.28515625" style="1231" customWidth="1"/>
    <col min="8445" max="8445" width="8.85546875" style="1231" customWidth="1"/>
    <col min="8446" max="8446" width="9.42578125" style="1231" customWidth="1"/>
    <col min="8447" max="8447" width="8.85546875" style="1231" customWidth="1"/>
    <col min="8448" max="8448" width="9" style="1231" customWidth="1"/>
    <col min="8449" max="8449" width="9.140625" style="1231" customWidth="1"/>
    <col min="8450" max="8450" width="7.85546875" style="1231" customWidth="1"/>
    <col min="8451" max="8451" width="10.28515625" style="1231" customWidth="1"/>
    <col min="8452" max="8452" width="9.42578125" style="1231" customWidth="1"/>
    <col min="8453" max="8453" width="8.85546875" style="1231" customWidth="1"/>
    <col min="8454" max="8454" width="39.140625" style="1231" customWidth="1"/>
    <col min="8455" max="8455" width="8.85546875" style="1231"/>
    <col min="8456" max="8456" width="9" style="1231" bestFit="1" customWidth="1"/>
    <col min="8457" max="8693" width="8.85546875" style="1231"/>
    <col min="8694" max="8694" width="3.42578125" style="1231" customWidth="1"/>
    <col min="8695" max="8695" width="19.42578125" style="1231" customWidth="1"/>
    <col min="8696" max="8696" width="14.42578125" style="1231" customWidth="1"/>
    <col min="8697" max="8697" width="9.42578125" style="1231" customWidth="1"/>
    <col min="8698" max="8698" width="12.140625" style="1231" customWidth="1"/>
    <col min="8699" max="8699" width="9.42578125" style="1231" customWidth="1"/>
    <col min="8700" max="8700" width="5.28515625" style="1231" customWidth="1"/>
    <col min="8701" max="8701" width="8.85546875" style="1231" customWidth="1"/>
    <col min="8702" max="8702" width="9.42578125" style="1231" customWidth="1"/>
    <col min="8703" max="8703" width="8.85546875" style="1231" customWidth="1"/>
    <col min="8704" max="8704" width="9" style="1231" customWidth="1"/>
    <col min="8705" max="8705" width="9.140625" style="1231" customWidth="1"/>
    <col min="8706" max="8706" width="7.85546875" style="1231" customWidth="1"/>
    <col min="8707" max="8707" width="10.28515625" style="1231" customWidth="1"/>
    <col min="8708" max="8708" width="9.42578125" style="1231" customWidth="1"/>
    <col min="8709" max="8709" width="8.85546875" style="1231" customWidth="1"/>
    <col min="8710" max="8710" width="39.140625" style="1231" customWidth="1"/>
    <col min="8711" max="8711" width="8.85546875" style="1231"/>
    <col min="8712" max="8712" width="9" style="1231" bestFit="1" customWidth="1"/>
    <col min="8713" max="8949" width="8.85546875" style="1231"/>
    <col min="8950" max="8950" width="3.42578125" style="1231" customWidth="1"/>
    <col min="8951" max="8951" width="19.42578125" style="1231" customWidth="1"/>
    <col min="8952" max="8952" width="14.42578125" style="1231" customWidth="1"/>
    <col min="8953" max="8953" width="9.42578125" style="1231" customWidth="1"/>
    <col min="8954" max="8954" width="12.140625" style="1231" customWidth="1"/>
    <col min="8955" max="8955" width="9.42578125" style="1231" customWidth="1"/>
    <col min="8956" max="8956" width="5.28515625" style="1231" customWidth="1"/>
    <col min="8957" max="8957" width="8.85546875" style="1231" customWidth="1"/>
    <col min="8958" max="8958" width="9.42578125" style="1231" customWidth="1"/>
    <col min="8959" max="8959" width="8.85546875" style="1231" customWidth="1"/>
    <col min="8960" max="8960" width="9" style="1231" customWidth="1"/>
    <col min="8961" max="8961" width="9.140625" style="1231" customWidth="1"/>
    <col min="8962" max="8962" width="7.85546875" style="1231" customWidth="1"/>
    <col min="8963" max="8963" width="10.28515625" style="1231" customWidth="1"/>
    <col min="8964" max="8964" width="9.42578125" style="1231" customWidth="1"/>
    <col min="8965" max="8965" width="8.85546875" style="1231" customWidth="1"/>
    <col min="8966" max="8966" width="39.140625" style="1231" customWidth="1"/>
    <col min="8967" max="8967" width="8.85546875" style="1231"/>
    <col min="8968" max="8968" width="9" style="1231" bestFit="1" customWidth="1"/>
    <col min="8969" max="9205" width="8.85546875" style="1231"/>
    <col min="9206" max="9206" width="3.42578125" style="1231" customWidth="1"/>
    <col min="9207" max="9207" width="19.42578125" style="1231" customWidth="1"/>
    <col min="9208" max="9208" width="14.42578125" style="1231" customWidth="1"/>
    <col min="9209" max="9209" width="9.42578125" style="1231" customWidth="1"/>
    <col min="9210" max="9210" width="12.140625" style="1231" customWidth="1"/>
    <col min="9211" max="9211" width="9.42578125" style="1231" customWidth="1"/>
    <col min="9212" max="9212" width="5.28515625" style="1231" customWidth="1"/>
    <col min="9213" max="9213" width="8.85546875" style="1231" customWidth="1"/>
    <col min="9214" max="9214" width="9.42578125" style="1231" customWidth="1"/>
    <col min="9215" max="9215" width="8.85546875" style="1231" customWidth="1"/>
    <col min="9216" max="9216" width="9" style="1231" customWidth="1"/>
    <col min="9217" max="9217" width="9.140625" style="1231" customWidth="1"/>
    <col min="9218" max="9218" width="7.85546875" style="1231" customWidth="1"/>
    <col min="9219" max="9219" width="10.28515625" style="1231" customWidth="1"/>
    <col min="9220" max="9220" width="9.42578125" style="1231" customWidth="1"/>
    <col min="9221" max="9221" width="8.85546875" style="1231" customWidth="1"/>
    <col min="9222" max="9222" width="39.140625" style="1231" customWidth="1"/>
    <col min="9223" max="9223" width="8.85546875" style="1231"/>
    <col min="9224" max="9224" width="9" style="1231" bestFit="1" customWidth="1"/>
    <col min="9225" max="9461" width="8.85546875" style="1231"/>
    <col min="9462" max="9462" width="3.42578125" style="1231" customWidth="1"/>
    <col min="9463" max="9463" width="19.42578125" style="1231" customWidth="1"/>
    <col min="9464" max="9464" width="14.42578125" style="1231" customWidth="1"/>
    <col min="9465" max="9465" width="9.42578125" style="1231" customWidth="1"/>
    <col min="9466" max="9466" width="12.140625" style="1231" customWidth="1"/>
    <col min="9467" max="9467" width="9.42578125" style="1231" customWidth="1"/>
    <col min="9468" max="9468" width="5.28515625" style="1231" customWidth="1"/>
    <col min="9469" max="9469" width="8.85546875" style="1231" customWidth="1"/>
    <col min="9470" max="9470" width="9.42578125" style="1231" customWidth="1"/>
    <col min="9471" max="9471" width="8.85546875" style="1231" customWidth="1"/>
    <col min="9472" max="9472" width="9" style="1231" customWidth="1"/>
    <col min="9473" max="9473" width="9.140625" style="1231" customWidth="1"/>
    <col min="9474" max="9474" width="7.85546875" style="1231" customWidth="1"/>
    <col min="9475" max="9475" width="10.28515625" style="1231" customWidth="1"/>
    <col min="9476" max="9476" width="9.42578125" style="1231" customWidth="1"/>
    <col min="9477" max="9477" width="8.85546875" style="1231" customWidth="1"/>
    <col min="9478" max="9478" width="39.140625" style="1231" customWidth="1"/>
    <col min="9479" max="9479" width="8.85546875" style="1231"/>
    <col min="9480" max="9480" width="9" style="1231" bestFit="1" customWidth="1"/>
    <col min="9481" max="9717" width="8.85546875" style="1231"/>
    <col min="9718" max="9718" width="3.42578125" style="1231" customWidth="1"/>
    <col min="9719" max="9719" width="19.42578125" style="1231" customWidth="1"/>
    <col min="9720" max="9720" width="14.42578125" style="1231" customWidth="1"/>
    <col min="9721" max="9721" width="9.42578125" style="1231" customWidth="1"/>
    <col min="9722" max="9722" width="12.140625" style="1231" customWidth="1"/>
    <col min="9723" max="9723" width="9.42578125" style="1231" customWidth="1"/>
    <col min="9724" max="9724" width="5.28515625" style="1231" customWidth="1"/>
    <col min="9725" max="9725" width="8.85546875" style="1231" customWidth="1"/>
    <col min="9726" max="9726" width="9.42578125" style="1231" customWidth="1"/>
    <col min="9727" max="9727" width="8.85546875" style="1231" customWidth="1"/>
    <col min="9728" max="9728" width="9" style="1231" customWidth="1"/>
    <col min="9729" max="9729" width="9.140625" style="1231" customWidth="1"/>
    <col min="9730" max="9730" width="7.85546875" style="1231" customWidth="1"/>
    <col min="9731" max="9731" width="10.28515625" style="1231" customWidth="1"/>
    <col min="9732" max="9732" width="9.42578125" style="1231" customWidth="1"/>
    <col min="9733" max="9733" width="8.85546875" style="1231" customWidth="1"/>
    <col min="9734" max="9734" width="39.140625" style="1231" customWidth="1"/>
    <col min="9735" max="9735" width="8.85546875" style="1231"/>
    <col min="9736" max="9736" width="9" style="1231" bestFit="1" customWidth="1"/>
    <col min="9737" max="9973" width="8.85546875" style="1231"/>
    <col min="9974" max="9974" width="3.42578125" style="1231" customWidth="1"/>
    <col min="9975" max="9975" width="19.42578125" style="1231" customWidth="1"/>
    <col min="9976" max="9976" width="14.42578125" style="1231" customWidth="1"/>
    <col min="9977" max="9977" width="9.42578125" style="1231" customWidth="1"/>
    <col min="9978" max="9978" width="12.140625" style="1231" customWidth="1"/>
    <col min="9979" max="9979" width="9.42578125" style="1231" customWidth="1"/>
    <col min="9980" max="9980" width="5.28515625" style="1231" customWidth="1"/>
    <col min="9981" max="9981" width="8.85546875" style="1231" customWidth="1"/>
    <col min="9982" max="9982" width="9.42578125" style="1231" customWidth="1"/>
    <col min="9983" max="9983" width="8.85546875" style="1231" customWidth="1"/>
    <col min="9984" max="9984" width="9" style="1231" customWidth="1"/>
    <col min="9985" max="9985" width="9.140625" style="1231" customWidth="1"/>
    <col min="9986" max="9986" width="7.85546875" style="1231" customWidth="1"/>
    <col min="9987" max="9987" width="10.28515625" style="1231" customWidth="1"/>
    <col min="9988" max="9988" width="9.42578125" style="1231" customWidth="1"/>
    <col min="9989" max="9989" width="8.85546875" style="1231" customWidth="1"/>
    <col min="9990" max="9990" width="39.140625" style="1231" customWidth="1"/>
    <col min="9991" max="9991" width="8.85546875" style="1231"/>
    <col min="9992" max="9992" width="9" style="1231" bestFit="1" customWidth="1"/>
    <col min="9993" max="10229" width="8.85546875" style="1231"/>
    <col min="10230" max="10230" width="3.42578125" style="1231" customWidth="1"/>
    <col min="10231" max="10231" width="19.42578125" style="1231" customWidth="1"/>
    <col min="10232" max="10232" width="14.42578125" style="1231" customWidth="1"/>
    <col min="10233" max="10233" width="9.42578125" style="1231" customWidth="1"/>
    <col min="10234" max="10234" width="12.140625" style="1231" customWidth="1"/>
    <col min="10235" max="10235" width="9.42578125" style="1231" customWidth="1"/>
    <col min="10236" max="10236" width="5.28515625" style="1231" customWidth="1"/>
    <col min="10237" max="10237" width="8.85546875" style="1231" customWidth="1"/>
    <col min="10238" max="10238" width="9.42578125" style="1231" customWidth="1"/>
    <col min="10239" max="10239" width="8.85546875" style="1231" customWidth="1"/>
    <col min="10240" max="10240" width="9" style="1231" customWidth="1"/>
    <col min="10241" max="10241" width="9.140625" style="1231" customWidth="1"/>
    <col min="10242" max="10242" width="7.85546875" style="1231" customWidth="1"/>
    <col min="10243" max="10243" width="10.28515625" style="1231" customWidth="1"/>
    <col min="10244" max="10244" width="9.42578125" style="1231" customWidth="1"/>
    <col min="10245" max="10245" width="8.85546875" style="1231" customWidth="1"/>
    <col min="10246" max="10246" width="39.140625" style="1231" customWidth="1"/>
    <col min="10247" max="10247" width="8.85546875" style="1231"/>
    <col min="10248" max="10248" width="9" style="1231" bestFit="1" customWidth="1"/>
    <col min="10249" max="10485" width="8.85546875" style="1231"/>
    <col min="10486" max="10486" width="3.42578125" style="1231" customWidth="1"/>
    <col min="10487" max="10487" width="19.42578125" style="1231" customWidth="1"/>
    <col min="10488" max="10488" width="14.42578125" style="1231" customWidth="1"/>
    <col min="10489" max="10489" width="9.42578125" style="1231" customWidth="1"/>
    <col min="10490" max="10490" width="12.140625" style="1231" customWidth="1"/>
    <col min="10491" max="10491" width="9.42578125" style="1231" customWidth="1"/>
    <col min="10492" max="10492" width="5.28515625" style="1231" customWidth="1"/>
    <col min="10493" max="10493" width="8.85546875" style="1231" customWidth="1"/>
    <col min="10494" max="10494" width="9.42578125" style="1231" customWidth="1"/>
    <col min="10495" max="10495" width="8.85546875" style="1231" customWidth="1"/>
    <col min="10496" max="10496" width="9" style="1231" customWidth="1"/>
    <col min="10497" max="10497" width="9.140625" style="1231" customWidth="1"/>
    <col min="10498" max="10498" width="7.85546875" style="1231" customWidth="1"/>
    <col min="10499" max="10499" width="10.28515625" style="1231" customWidth="1"/>
    <col min="10500" max="10500" width="9.42578125" style="1231" customWidth="1"/>
    <col min="10501" max="10501" width="8.85546875" style="1231" customWidth="1"/>
    <col min="10502" max="10502" width="39.140625" style="1231" customWidth="1"/>
    <col min="10503" max="10503" width="8.85546875" style="1231"/>
    <col min="10504" max="10504" width="9" style="1231" bestFit="1" customWidth="1"/>
    <col min="10505" max="10741" width="8.85546875" style="1231"/>
    <col min="10742" max="10742" width="3.42578125" style="1231" customWidth="1"/>
    <col min="10743" max="10743" width="19.42578125" style="1231" customWidth="1"/>
    <col min="10744" max="10744" width="14.42578125" style="1231" customWidth="1"/>
    <col min="10745" max="10745" width="9.42578125" style="1231" customWidth="1"/>
    <col min="10746" max="10746" width="12.140625" style="1231" customWidth="1"/>
    <col min="10747" max="10747" width="9.42578125" style="1231" customWidth="1"/>
    <col min="10748" max="10748" width="5.28515625" style="1231" customWidth="1"/>
    <col min="10749" max="10749" width="8.85546875" style="1231" customWidth="1"/>
    <col min="10750" max="10750" width="9.42578125" style="1231" customWidth="1"/>
    <col min="10751" max="10751" width="8.85546875" style="1231" customWidth="1"/>
    <col min="10752" max="10752" width="9" style="1231" customWidth="1"/>
    <col min="10753" max="10753" width="9.140625" style="1231" customWidth="1"/>
    <col min="10754" max="10754" width="7.85546875" style="1231" customWidth="1"/>
    <col min="10755" max="10755" width="10.28515625" style="1231" customWidth="1"/>
    <col min="10756" max="10756" width="9.42578125" style="1231" customWidth="1"/>
    <col min="10757" max="10757" width="8.85546875" style="1231" customWidth="1"/>
    <col min="10758" max="10758" width="39.140625" style="1231" customWidth="1"/>
    <col min="10759" max="10759" width="8.85546875" style="1231"/>
    <col min="10760" max="10760" width="9" style="1231" bestFit="1" customWidth="1"/>
    <col min="10761" max="10997" width="8.85546875" style="1231"/>
    <col min="10998" max="10998" width="3.42578125" style="1231" customWidth="1"/>
    <col min="10999" max="10999" width="19.42578125" style="1231" customWidth="1"/>
    <col min="11000" max="11000" width="14.42578125" style="1231" customWidth="1"/>
    <col min="11001" max="11001" width="9.42578125" style="1231" customWidth="1"/>
    <col min="11002" max="11002" width="12.140625" style="1231" customWidth="1"/>
    <col min="11003" max="11003" width="9.42578125" style="1231" customWidth="1"/>
    <col min="11004" max="11004" width="5.28515625" style="1231" customWidth="1"/>
    <col min="11005" max="11005" width="8.85546875" style="1231" customWidth="1"/>
    <col min="11006" max="11006" width="9.42578125" style="1231" customWidth="1"/>
    <col min="11007" max="11007" width="8.85546875" style="1231" customWidth="1"/>
    <col min="11008" max="11008" width="9" style="1231" customWidth="1"/>
    <col min="11009" max="11009" width="9.140625" style="1231" customWidth="1"/>
    <col min="11010" max="11010" width="7.85546875" style="1231" customWidth="1"/>
    <col min="11011" max="11011" width="10.28515625" style="1231" customWidth="1"/>
    <col min="11012" max="11012" width="9.42578125" style="1231" customWidth="1"/>
    <col min="11013" max="11013" width="8.85546875" style="1231" customWidth="1"/>
    <col min="11014" max="11014" width="39.140625" style="1231" customWidth="1"/>
    <col min="11015" max="11015" width="8.85546875" style="1231"/>
    <col min="11016" max="11016" width="9" style="1231" bestFit="1" customWidth="1"/>
    <col min="11017" max="11253" width="8.85546875" style="1231"/>
    <col min="11254" max="11254" width="3.42578125" style="1231" customWidth="1"/>
    <col min="11255" max="11255" width="19.42578125" style="1231" customWidth="1"/>
    <col min="11256" max="11256" width="14.42578125" style="1231" customWidth="1"/>
    <col min="11257" max="11257" width="9.42578125" style="1231" customWidth="1"/>
    <col min="11258" max="11258" width="12.140625" style="1231" customWidth="1"/>
    <col min="11259" max="11259" width="9.42578125" style="1231" customWidth="1"/>
    <col min="11260" max="11260" width="5.28515625" style="1231" customWidth="1"/>
    <col min="11261" max="11261" width="8.85546875" style="1231" customWidth="1"/>
    <col min="11262" max="11262" width="9.42578125" style="1231" customWidth="1"/>
    <col min="11263" max="11263" width="8.85546875" style="1231" customWidth="1"/>
    <col min="11264" max="11264" width="9" style="1231" customWidth="1"/>
    <col min="11265" max="11265" width="9.140625" style="1231" customWidth="1"/>
    <col min="11266" max="11266" width="7.85546875" style="1231" customWidth="1"/>
    <col min="11267" max="11267" width="10.28515625" style="1231" customWidth="1"/>
    <col min="11268" max="11268" width="9.42578125" style="1231" customWidth="1"/>
    <col min="11269" max="11269" width="8.85546875" style="1231" customWidth="1"/>
    <col min="11270" max="11270" width="39.140625" style="1231" customWidth="1"/>
    <col min="11271" max="11271" width="8.85546875" style="1231"/>
    <col min="11272" max="11272" width="9" style="1231" bestFit="1" customWidth="1"/>
    <col min="11273" max="11509" width="8.85546875" style="1231"/>
    <col min="11510" max="11510" width="3.42578125" style="1231" customWidth="1"/>
    <col min="11511" max="11511" width="19.42578125" style="1231" customWidth="1"/>
    <col min="11512" max="11512" width="14.42578125" style="1231" customWidth="1"/>
    <col min="11513" max="11513" width="9.42578125" style="1231" customWidth="1"/>
    <col min="11514" max="11514" width="12.140625" style="1231" customWidth="1"/>
    <col min="11515" max="11515" width="9.42578125" style="1231" customWidth="1"/>
    <col min="11516" max="11516" width="5.28515625" style="1231" customWidth="1"/>
    <col min="11517" max="11517" width="8.85546875" style="1231" customWidth="1"/>
    <col min="11518" max="11518" width="9.42578125" style="1231" customWidth="1"/>
    <col min="11519" max="11519" width="8.85546875" style="1231" customWidth="1"/>
    <col min="11520" max="11520" width="9" style="1231" customWidth="1"/>
    <col min="11521" max="11521" width="9.140625" style="1231" customWidth="1"/>
    <col min="11522" max="11522" width="7.85546875" style="1231" customWidth="1"/>
    <col min="11523" max="11523" width="10.28515625" style="1231" customWidth="1"/>
    <col min="11524" max="11524" width="9.42578125" style="1231" customWidth="1"/>
    <col min="11525" max="11525" width="8.85546875" style="1231" customWidth="1"/>
    <col min="11526" max="11526" width="39.140625" style="1231" customWidth="1"/>
    <col min="11527" max="11527" width="8.85546875" style="1231"/>
    <col min="11528" max="11528" width="9" style="1231" bestFit="1" customWidth="1"/>
    <col min="11529" max="11765" width="8.85546875" style="1231"/>
    <col min="11766" max="11766" width="3.42578125" style="1231" customWidth="1"/>
    <col min="11767" max="11767" width="19.42578125" style="1231" customWidth="1"/>
    <col min="11768" max="11768" width="14.42578125" style="1231" customWidth="1"/>
    <col min="11769" max="11769" width="9.42578125" style="1231" customWidth="1"/>
    <col min="11770" max="11770" width="12.140625" style="1231" customWidth="1"/>
    <col min="11771" max="11771" width="9.42578125" style="1231" customWidth="1"/>
    <col min="11772" max="11772" width="5.28515625" style="1231" customWidth="1"/>
    <col min="11773" max="11773" width="8.85546875" style="1231" customWidth="1"/>
    <col min="11774" max="11774" width="9.42578125" style="1231" customWidth="1"/>
    <col min="11775" max="11775" width="8.85546875" style="1231" customWidth="1"/>
    <col min="11776" max="11776" width="9" style="1231" customWidth="1"/>
    <col min="11777" max="11777" width="9.140625" style="1231" customWidth="1"/>
    <col min="11778" max="11778" width="7.85546875" style="1231" customWidth="1"/>
    <col min="11779" max="11779" width="10.28515625" style="1231" customWidth="1"/>
    <col min="11780" max="11780" width="9.42578125" style="1231" customWidth="1"/>
    <col min="11781" max="11781" width="8.85546875" style="1231" customWidth="1"/>
    <col min="11782" max="11782" width="39.140625" style="1231" customWidth="1"/>
    <col min="11783" max="11783" width="8.85546875" style="1231"/>
    <col min="11784" max="11784" width="9" style="1231" bestFit="1" customWidth="1"/>
    <col min="11785" max="12021" width="8.85546875" style="1231"/>
    <col min="12022" max="12022" width="3.42578125" style="1231" customWidth="1"/>
    <col min="12023" max="12023" width="19.42578125" style="1231" customWidth="1"/>
    <col min="12024" max="12024" width="14.42578125" style="1231" customWidth="1"/>
    <col min="12025" max="12025" width="9.42578125" style="1231" customWidth="1"/>
    <col min="12026" max="12026" width="12.140625" style="1231" customWidth="1"/>
    <col min="12027" max="12027" width="9.42578125" style="1231" customWidth="1"/>
    <col min="12028" max="12028" width="5.28515625" style="1231" customWidth="1"/>
    <col min="12029" max="12029" width="8.85546875" style="1231" customWidth="1"/>
    <col min="12030" max="12030" width="9.42578125" style="1231" customWidth="1"/>
    <col min="12031" max="12031" width="8.85546875" style="1231" customWidth="1"/>
    <col min="12032" max="12032" width="9" style="1231" customWidth="1"/>
    <col min="12033" max="12033" width="9.140625" style="1231" customWidth="1"/>
    <col min="12034" max="12034" width="7.85546875" style="1231" customWidth="1"/>
    <col min="12035" max="12035" width="10.28515625" style="1231" customWidth="1"/>
    <col min="12036" max="12036" width="9.42578125" style="1231" customWidth="1"/>
    <col min="12037" max="12037" width="8.85546875" style="1231" customWidth="1"/>
    <col min="12038" max="12038" width="39.140625" style="1231" customWidth="1"/>
    <col min="12039" max="12039" width="8.85546875" style="1231"/>
    <col min="12040" max="12040" width="9" style="1231" bestFit="1" customWidth="1"/>
    <col min="12041" max="12277" width="8.85546875" style="1231"/>
    <col min="12278" max="12278" width="3.42578125" style="1231" customWidth="1"/>
    <col min="12279" max="12279" width="19.42578125" style="1231" customWidth="1"/>
    <col min="12280" max="12280" width="14.42578125" style="1231" customWidth="1"/>
    <col min="12281" max="12281" width="9.42578125" style="1231" customWidth="1"/>
    <col min="12282" max="12282" width="12.140625" style="1231" customWidth="1"/>
    <col min="12283" max="12283" width="9.42578125" style="1231" customWidth="1"/>
    <col min="12284" max="12284" width="5.28515625" style="1231" customWidth="1"/>
    <col min="12285" max="12285" width="8.85546875" style="1231" customWidth="1"/>
    <col min="12286" max="12286" width="9.42578125" style="1231" customWidth="1"/>
    <col min="12287" max="12287" width="8.85546875" style="1231" customWidth="1"/>
    <col min="12288" max="12288" width="9" style="1231" customWidth="1"/>
    <col min="12289" max="12289" width="9.140625" style="1231" customWidth="1"/>
    <col min="12290" max="12290" width="7.85546875" style="1231" customWidth="1"/>
    <col min="12291" max="12291" width="10.28515625" style="1231" customWidth="1"/>
    <col min="12292" max="12292" width="9.42578125" style="1231" customWidth="1"/>
    <col min="12293" max="12293" width="8.85546875" style="1231" customWidth="1"/>
    <col min="12294" max="12294" width="39.140625" style="1231" customWidth="1"/>
    <col min="12295" max="12295" width="8.85546875" style="1231"/>
    <col min="12296" max="12296" width="9" style="1231" bestFit="1" customWidth="1"/>
    <col min="12297" max="12533" width="8.85546875" style="1231"/>
    <col min="12534" max="12534" width="3.42578125" style="1231" customWidth="1"/>
    <col min="12535" max="12535" width="19.42578125" style="1231" customWidth="1"/>
    <col min="12536" max="12536" width="14.42578125" style="1231" customWidth="1"/>
    <col min="12537" max="12537" width="9.42578125" style="1231" customWidth="1"/>
    <col min="12538" max="12538" width="12.140625" style="1231" customWidth="1"/>
    <col min="12539" max="12539" width="9.42578125" style="1231" customWidth="1"/>
    <col min="12540" max="12540" width="5.28515625" style="1231" customWidth="1"/>
    <col min="12541" max="12541" width="8.85546875" style="1231" customWidth="1"/>
    <col min="12542" max="12542" width="9.42578125" style="1231" customWidth="1"/>
    <col min="12543" max="12543" width="8.85546875" style="1231" customWidth="1"/>
    <col min="12544" max="12544" width="9" style="1231" customWidth="1"/>
    <col min="12545" max="12545" width="9.140625" style="1231" customWidth="1"/>
    <col min="12546" max="12546" width="7.85546875" style="1231" customWidth="1"/>
    <col min="12547" max="12547" width="10.28515625" style="1231" customWidth="1"/>
    <col min="12548" max="12548" width="9.42578125" style="1231" customWidth="1"/>
    <col min="12549" max="12549" width="8.85546875" style="1231" customWidth="1"/>
    <col min="12550" max="12550" width="39.140625" style="1231" customWidth="1"/>
    <col min="12551" max="12551" width="8.85546875" style="1231"/>
    <col min="12552" max="12552" width="9" style="1231" bestFit="1" customWidth="1"/>
    <col min="12553" max="12789" width="8.85546875" style="1231"/>
    <col min="12790" max="12790" width="3.42578125" style="1231" customWidth="1"/>
    <col min="12791" max="12791" width="19.42578125" style="1231" customWidth="1"/>
    <col min="12792" max="12792" width="14.42578125" style="1231" customWidth="1"/>
    <col min="12793" max="12793" width="9.42578125" style="1231" customWidth="1"/>
    <col min="12794" max="12794" width="12.140625" style="1231" customWidth="1"/>
    <col min="12795" max="12795" width="9.42578125" style="1231" customWidth="1"/>
    <col min="12796" max="12796" width="5.28515625" style="1231" customWidth="1"/>
    <col min="12797" max="12797" width="8.85546875" style="1231" customWidth="1"/>
    <col min="12798" max="12798" width="9.42578125" style="1231" customWidth="1"/>
    <col min="12799" max="12799" width="8.85546875" style="1231" customWidth="1"/>
    <col min="12800" max="12800" width="9" style="1231" customWidth="1"/>
    <col min="12801" max="12801" width="9.140625" style="1231" customWidth="1"/>
    <col min="12802" max="12802" width="7.85546875" style="1231" customWidth="1"/>
    <col min="12803" max="12803" width="10.28515625" style="1231" customWidth="1"/>
    <col min="12804" max="12804" width="9.42578125" style="1231" customWidth="1"/>
    <col min="12805" max="12805" width="8.85546875" style="1231" customWidth="1"/>
    <col min="12806" max="12806" width="39.140625" style="1231" customWidth="1"/>
    <col min="12807" max="12807" width="8.85546875" style="1231"/>
    <col min="12808" max="12808" width="9" style="1231" bestFit="1" customWidth="1"/>
    <col min="12809" max="13045" width="8.85546875" style="1231"/>
    <col min="13046" max="13046" width="3.42578125" style="1231" customWidth="1"/>
    <col min="13047" max="13047" width="19.42578125" style="1231" customWidth="1"/>
    <col min="13048" max="13048" width="14.42578125" style="1231" customWidth="1"/>
    <col min="13049" max="13049" width="9.42578125" style="1231" customWidth="1"/>
    <col min="13050" max="13050" width="12.140625" style="1231" customWidth="1"/>
    <col min="13051" max="13051" width="9.42578125" style="1231" customWidth="1"/>
    <col min="13052" max="13052" width="5.28515625" style="1231" customWidth="1"/>
    <col min="13053" max="13053" width="8.85546875" style="1231" customWidth="1"/>
    <col min="13054" max="13054" width="9.42578125" style="1231" customWidth="1"/>
    <col min="13055" max="13055" width="8.85546875" style="1231" customWidth="1"/>
    <col min="13056" max="13056" width="9" style="1231" customWidth="1"/>
    <col min="13057" max="13057" width="9.140625" style="1231" customWidth="1"/>
    <col min="13058" max="13058" width="7.85546875" style="1231" customWidth="1"/>
    <col min="13059" max="13059" width="10.28515625" style="1231" customWidth="1"/>
    <col min="13060" max="13060" width="9.42578125" style="1231" customWidth="1"/>
    <col min="13061" max="13061" width="8.85546875" style="1231" customWidth="1"/>
    <col min="13062" max="13062" width="39.140625" style="1231" customWidth="1"/>
    <col min="13063" max="13063" width="8.85546875" style="1231"/>
    <col min="13064" max="13064" width="9" style="1231" bestFit="1" customWidth="1"/>
    <col min="13065" max="13301" width="8.85546875" style="1231"/>
    <col min="13302" max="13302" width="3.42578125" style="1231" customWidth="1"/>
    <col min="13303" max="13303" width="19.42578125" style="1231" customWidth="1"/>
    <col min="13304" max="13304" width="14.42578125" style="1231" customWidth="1"/>
    <col min="13305" max="13305" width="9.42578125" style="1231" customWidth="1"/>
    <col min="13306" max="13306" width="12.140625" style="1231" customWidth="1"/>
    <col min="13307" max="13307" width="9.42578125" style="1231" customWidth="1"/>
    <col min="13308" max="13308" width="5.28515625" style="1231" customWidth="1"/>
    <col min="13309" max="13309" width="8.85546875" style="1231" customWidth="1"/>
    <col min="13310" max="13310" width="9.42578125" style="1231" customWidth="1"/>
    <col min="13311" max="13311" width="8.85546875" style="1231" customWidth="1"/>
    <col min="13312" max="13312" width="9" style="1231" customWidth="1"/>
    <col min="13313" max="13313" width="9.140625" style="1231" customWidth="1"/>
    <col min="13314" max="13314" width="7.85546875" style="1231" customWidth="1"/>
    <col min="13315" max="13315" width="10.28515625" style="1231" customWidth="1"/>
    <col min="13316" max="13316" width="9.42578125" style="1231" customWidth="1"/>
    <col min="13317" max="13317" width="8.85546875" style="1231" customWidth="1"/>
    <col min="13318" max="13318" width="39.140625" style="1231" customWidth="1"/>
    <col min="13319" max="13319" width="8.85546875" style="1231"/>
    <col min="13320" max="13320" width="9" style="1231" bestFit="1" customWidth="1"/>
    <col min="13321" max="13557" width="8.85546875" style="1231"/>
    <col min="13558" max="13558" width="3.42578125" style="1231" customWidth="1"/>
    <col min="13559" max="13559" width="19.42578125" style="1231" customWidth="1"/>
    <col min="13560" max="13560" width="14.42578125" style="1231" customWidth="1"/>
    <col min="13561" max="13561" width="9.42578125" style="1231" customWidth="1"/>
    <col min="13562" max="13562" width="12.140625" style="1231" customWidth="1"/>
    <col min="13563" max="13563" width="9.42578125" style="1231" customWidth="1"/>
    <col min="13564" max="13564" width="5.28515625" style="1231" customWidth="1"/>
    <col min="13565" max="13565" width="8.85546875" style="1231" customWidth="1"/>
    <col min="13566" max="13566" width="9.42578125" style="1231" customWidth="1"/>
    <col min="13567" max="13567" width="8.85546875" style="1231" customWidth="1"/>
    <col min="13568" max="13568" width="9" style="1231" customWidth="1"/>
    <col min="13569" max="13569" width="9.140625" style="1231" customWidth="1"/>
    <col min="13570" max="13570" width="7.85546875" style="1231" customWidth="1"/>
    <col min="13571" max="13571" width="10.28515625" style="1231" customWidth="1"/>
    <col min="13572" max="13572" width="9.42578125" style="1231" customWidth="1"/>
    <col min="13573" max="13573" width="8.85546875" style="1231" customWidth="1"/>
    <col min="13574" max="13574" width="39.140625" style="1231" customWidth="1"/>
    <col min="13575" max="13575" width="8.85546875" style="1231"/>
    <col min="13576" max="13576" width="9" style="1231" bestFit="1" customWidth="1"/>
    <col min="13577" max="13813" width="8.85546875" style="1231"/>
    <col min="13814" max="13814" width="3.42578125" style="1231" customWidth="1"/>
    <col min="13815" max="13815" width="19.42578125" style="1231" customWidth="1"/>
    <col min="13816" max="13816" width="14.42578125" style="1231" customWidth="1"/>
    <col min="13817" max="13817" width="9.42578125" style="1231" customWidth="1"/>
    <col min="13818" max="13818" width="12.140625" style="1231" customWidth="1"/>
    <col min="13819" max="13819" width="9.42578125" style="1231" customWidth="1"/>
    <col min="13820" max="13820" width="5.28515625" style="1231" customWidth="1"/>
    <col min="13821" max="13821" width="8.85546875" style="1231" customWidth="1"/>
    <col min="13822" max="13822" width="9.42578125" style="1231" customWidth="1"/>
    <col min="13823" max="13823" width="8.85546875" style="1231" customWidth="1"/>
    <col min="13824" max="13824" width="9" style="1231" customWidth="1"/>
    <col min="13825" max="13825" width="9.140625" style="1231" customWidth="1"/>
    <col min="13826" max="13826" width="7.85546875" style="1231" customWidth="1"/>
    <col min="13827" max="13827" width="10.28515625" style="1231" customWidth="1"/>
    <col min="13828" max="13828" width="9.42578125" style="1231" customWidth="1"/>
    <col min="13829" max="13829" width="8.85546875" style="1231" customWidth="1"/>
    <col min="13830" max="13830" width="39.140625" style="1231" customWidth="1"/>
    <col min="13831" max="13831" width="8.85546875" style="1231"/>
    <col min="13832" max="13832" width="9" style="1231" bestFit="1" customWidth="1"/>
    <col min="13833" max="14069" width="8.85546875" style="1231"/>
    <col min="14070" max="14070" width="3.42578125" style="1231" customWidth="1"/>
    <col min="14071" max="14071" width="19.42578125" style="1231" customWidth="1"/>
    <col min="14072" max="14072" width="14.42578125" style="1231" customWidth="1"/>
    <col min="14073" max="14073" width="9.42578125" style="1231" customWidth="1"/>
    <col min="14074" max="14074" width="12.140625" style="1231" customWidth="1"/>
    <col min="14075" max="14075" width="9.42578125" style="1231" customWidth="1"/>
    <col min="14076" max="14076" width="5.28515625" style="1231" customWidth="1"/>
    <col min="14077" max="14077" width="8.85546875" style="1231" customWidth="1"/>
    <col min="14078" max="14078" width="9.42578125" style="1231" customWidth="1"/>
    <col min="14079" max="14079" width="8.85546875" style="1231" customWidth="1"/>
    <col min="14080" max="14080" width="9" style="1231" customWidth="1"/>
    <col min="14081" max="14081" width="9.140625" style="1231" customWidth="1"/>
    <col min="14082" max="14082" width="7.85546875" style="1231" customWidth="1"/>
    <col min="14083" max="14083" width="10.28515625" style="1231" customWidth="1"/>
    <col min="14084" max="14084" width="9.42578125" style="1231" customWidth="1"/>
    <col min="14085" max="14085" width="8.85546875" style="1231" customWidth="1"/>
    <col min="14086" max="14086" width="39.140625" style="1231" customWidth="1"/>
    <col min="14087" max="14087" width="8.85546875" style="1231"/>
    <col min="14088" max="14088" width="9" style="1231" bestFit="1" customWidth="1"/>
    <col min="14089" max="14325" width="8.85546875" style="1231"/>
    <col min="14326" max="14326" width="3.42578125" style="1231" customWidth="1"/>
    <col min="14327" max="14327" width="19.42578125" style="1231" customWidth="1"/>
    <col min="14328" max="14328" width="14.42578125" style="1231" customWidth="1"/>
    <col min="14329" max="14329" width="9.42578125" style="1231" customWidth="1"/>
    <col min="14330" max="14330" width="12.140625" style="1231" customWidth="1"/>
    <col min="14331" max="14331" width="9.42578125" style="1231" customWidth="1"/>
    <col min="14332" max="14332" width="5.28515625" style="1231" customWidth="1"/>
    <col min="14333" max="14333" width="8.85546875" style="1231" customWidth="1"/>
    <col min="14334" max="14334" width="9.42578125" style="1231" customWidth="1"/>
    <col min="14335" max="14335" width="8.85546875" style="1231" customWidth="1"/>
    <col min="14336" max="14336" width="9" style="1231" customWidth="1"/>
    <col min="14337" max="14337" width="9.140625" style="1231" customWidth="1"/>
    <col min="14338" max="14338" width="7.85546875" style="1231" customWidth="1"/>
    <col min="14339" max="14339" width="10.28515625" style="1231" customWidth="1"/>
    <col min="14340" max="14340" width="9.42578125" style="1231" customWidth="1"/>
    <col min="14341" max="14341" width="8.85546875" style="1231" customWidth="1"/>
    <col min="14342" max="14342" width="39.140625" style="1231" customWidth="1"/>
    <col min="14343" max="14343" width="8.85546875" style="1231"/>
    <col min="14344" max="14344" width="9" style="1231" bestFit="1" customWidth="1"/>
    <col min="14345" max="14581" width="8.85546875" style="1231"/>
    <col min="14582" max="14582" width="3.42578125" style="1231" customWidth="1"/>
    <col min="14583" max="14583" width="19.42578125" style="1231" customWidth="1"/>
    <col min="14584" max="14584" width="14.42578125" style="1231" customWidth="1"/>
    <col min="14585" max="14585" width="9.42578125" style="1231" customWidth="1"/>
    <col min="14586" max="14586" width="12.140625" style="1231" customWidth="1"/>
    <col min="14587" max="14587" width="9.42578125" style="1231" customWidth="1"/>
    <col min="14588" max="14588" width="5.28515625" style="1231" customWidth="1"/>
    <col min="14589" max="14589" width="8.85546875" style="1231" customWidth="1"/>
    <col min="14590" max="14590" width="9.42578125" style="1231" customWidth="1"/>
    <col min="14591" max="14591" width="8.85546875" style="1231" customWidth="1"/>
    <col min="14592" max="14592" width="9" style="1231" customWidth="1"/>
    <col min="14593" max="14593" width="9.140625" style="1231" customWidth="1"/>
    <col min="14594" max="14594" width="7.85546875" style="1231" customWidth="1"/>
    <col min="14595" max="14595" width="10.28515625" style="1231" customWidth="1"/>
    <col min="14596" max="14596" width="9.42578125" style="1231" customWidth="1"/>
    <col min="14597" max="14597" width="8.85546875" style="1231" customWidth="1"/>
    <col min="14598" max="14598" width="39.140625" style="1231" customWidth="1"/>
    <col min="14599" max="14599" width="8.85546875" style="1231"/>
    <col min="14600" max="14600" width="9" style="1231" bestFit="1" customWidth="1"/>
    <col min="14601" max="14837" width="8.85546875" style="1231"/>
    <col min="14838" max="14838" width="3.42578125" style="1231" customWidth="1"/>
    <col min="14839" max="14839" width="19.42578125" style="1231" customWidth="1"/>
    <col min="14840" max="14840" width="14.42578125" style="1231" customWidth="1"/>
    <col min="14841" max="14841" width="9.42578125" style="1231" customWidth="1"/>
    <col min="14842" max="14842" width="12.140625" style="1231" customWidth="1"/>
    <col min="14843" max="14843" width="9.42578125" style="1231" customWidth="1"/>
    <col min="14844" max="14844" width="5.28515625" style="1231" customWidth="1"/>
    <col min="14845" max="14845" width="8.85546875" style="1231" customWidth="1"/>
    <col min="14846" max="14846" width="9.42578125" style="1231" customWidth="1"/>
    <col min="14847" max="14847" width="8.85546875" style="1231" customWidth="1"/>
    <col min="14848" max="14848" width="9" style="1231" customWidth="1"/>
    <col min="14849" max="14849" width="9.140625" style="1231" customWidth="1"/>
    <col min="14850" max="14850" width="7.85546875" style="1231" customWidth="1"/>
    <col min="14851" max="14851" width="10.28515625" style="1231" customWidth="1"/>
    <col min="14852" max="14852" width="9.42578125" style="1231" customWidth="1"/>
    <col min="14853" max="14853" width="8.85546875" style="1231" customWidth="1"/>
    <col min="14854" max="14854" width="39.140625" style="1231" customWidth="1"/>
    <col min="14855" max="14855" width="8.85546875" style="1231"/>
    <col min="14856" max="14856" width="9" style="1231" bestFit="1" customWidth="1"/>
    <col min="14857" max="15093" width="8.85546875" style="1231"/>
    <col min="15094" max="15094" width="3.42578125" style="1231" customWidth="1"/>
    <col min="15095" max="15095" width="19.42578125" style="1231" customWidth="1"/>
    <col min="15096" max="15096" width="14.42578125" style="1231" customWidth="1"/>
    <col min="15097" max="15097" width="9.42578125" style="1231" customWidth="1"/>
    <col min="15098" max="15098" width="12.140625" style="1231" customWidth="1"/>
    <col min="15099" max="15099" width="9.42578125" style="1231" customWidth="1"/>
    <col min="15100" max="15100" width="5.28515625" style="1231" customWidth="1"/>
    <col min="15101" max="15101" width="8.85546875" style="1231" customWidth="1"/>
    <col min="15102" max="15102" width="9.42578125" style="1231" customWidth="1"/>
    <col min="15103" max="15103" width="8.85546875" style="1231" customWidth="1"/>
    <col min="15104" max="15104" width="9" style="1231" customWidth="1"/>
    <col min="15105" max="15105" width="9.140625" style="1231" customWidth="1"/>
    <col min="15106" max="15106" width="7.85546875" style="1231" customWidth="1"/>
    <col min="15107" max="15107" width="10.28515625" style="1231" customWidth="1"/>
    <col min="15108" max="15108" width="9.42578125" style="1231" customWidth="1"/>
    <col min="15109" max="15109" width="8.85546875" style="1231" customWidth="1"/>
    <col min="15110" max="15110" width="39.140625" style="1231" customWidth="1"/>
    <col min="15111" max="15111" width="8.85546875" style="1231"/>
    <col min="15112" max="15112" width="9" style="1231" bestFit="1" customWidth="1"/>
    <col min="15113" max="15349" width="8.85546875" style="1231"/>
    <col min="15350" max="15350" width="3.42578125" style="1231" customWidth="1"/>
    <col min="15351" max="15351" width="19.42578125" style="1231" customWidth="1"/>
    <col min="15352" max="15352" width="14.42578125" style="1231" customWidth="1"/>
    <col min="15353" max="15353" width="9.42578125" style="1231" customWidth="1"/>
    <col min="15354" max="15354" width="12.140625" style="1231" customWidth="1"/>
    <col min="15355" max="15355" width="9.42578125" style="1231" customWidth="1"/>
    <col min="15356" max="15356" width="5.28515625" style="1231" customWidth="1"/>
    <col min="15357" max="15357" width="8.85546875" style="1231" customWidth="1"/>
    <col min="15358" max="15358" width="9.42578125" style="1231" customWidth="1"/>
    <col min="15359" max="15359" width="8.85546875" style="1231" customWidth="1"/>
    <col min="15360" max="15360" width="9" style="1231" customWidth="1"/>
    <col min="15361" max="15361" width="9.140625" style="1231" customWidth="1"/>
    <col min="15362" max="15362" width="7.85546875" style="1231" customWidth="1"/>
    <col min="15363" max="15363" width="10.28515625" style="1231" customWidth="1"/>
    <col min="15364" max="15364" width="9.42578125" style="1231" customWidth="1"/>
    <col min="15365" max="15365" width="8.85546875" style="1231" customWidth="1"/>
    <col min="15366" max="15366" width="39.140625" style="1231" customWidth="1"/>
    <col min="15367" max="15367" width="8.85546875" style="1231"/>
    <col min="15368" max="15368" width="9" style="1231" bestFit="1" customWidth="1"/>
    <col min="15369" max="15605" width="8.85546875" style="1231"/>
    <col min="15606" max="15606" width="3.42578125" style="1231" customWidth="1"/>
    <col min="15607" max="15607" width="19.42578125" style="1231" customWidth="1"/>
    <col min="15608" max="15608" width="14.42578125" style="1231" customWidth="1"/>
    <col min="15609" max="15609" width="9.42578125" style="1231" customWidth="1"/>
    <col min="15610" max="15610" width="12.140625" style="1231" customWidth="1"/>
    <col min="15611" max="15611" width="9.42578125" style="1231" customWidth="1"/>
    <col min="15612" max="15612" width="5.28515625" style="1231" customWidth="1"/>
    <col min="15613" max="15613" width="8.85546875" style="1231" customWidth="1"/>
    <col min="15614" max="15614" width="9.42578125" style="1231" customWidth="1"/>
    <col min="15615" max="15615" width="8.85546875" style="1231" customWidth="1"/>
    <col min="15616" max="15616" width="9" style="1231" customWidth="1"/>
    <col min="15617" max="15617" width="9.140625" style="1231" customWidth="1"/>
    <col min="15618" max="15618" width="7.85546875" style="1231" customWidth="1"/>
    <col min="15619" max="15619" width="10.28515625" style="1231" customWidth="1"/>
    <col min="15620" max="15620" width="9.42578125" style="1231" customWidth="1"/>
    <col min="15621" max="15621" width="8.85546875" style="1231" customWidth="1"/>
    <col min="15622" max="15622" width="39.140625" style="1231" customWidth="1"/>
    <col min="15623" max="15623" width="8.85546875" style="1231"/>
    <col min="15624" max="15624" width="9" style="1231" bestFit="1" customWidth="1"/>
    <col min="15625" max="15861" width="8.85546875" style="1231"/>
    <col min="15862" max="15862" width="3.42578125" style="1231" customWidth="1"/>
    <col min="15863" max="15863" width="19.42578125" style="1231" customWidth="1"/>
    <col min="15864" max="15864" width="14.42578125" style="1231" customWidth="1"/>
    <col min="15865" max="15865" width="9.42578125" style="1231" customWidth="1"/>
    <col min="15866" max="15866" width="12.140625" style="1231" customWidth="1"/>
    <col min="15867" max="15867" width="9.42578125" style="1231" customWidth="1"/>
    <col min="15868" max="15868" width="5.28515625" style="1231" customWidth="1"/>
    <col min="15869" max="15869" width="8.85546875" style="1231" customWidth="1"/>
    <col min="15870" max="15870" width="9.42578125" style="1231" customWidth="1"/>
    <col min="15871" max="15871" width="8.85546875" style="1231" customWidth="1"/>
    <col min="15872" max="15872" width="9" style="1231" customWidth="1"/>
    <col min="15873" max="15873" width="9.140625" style="1231" customWidth="1"/>
    <col min="15874" max="15874" width="7.85546875" style="1231" customWidth="1"/>
    <col min="15875" max="15875" width="10.28515625" style="1231" customWidth="1"/>
    <col min="15876" max="15876" width="9.42578125" style="1231" customWidth="1"/>
    <col min="15877" max="15877" width="8.85546875" style="1231" customWidth="1"/>
    <col min="15878" max="15878" width="39.140625" style="1231" customWidth="1"/>
    <col min="15879" max="15879" width="8.85546875" style="1231"/>
    <col min="15880" max="15880" width="9" style="1231" bestFit="1" customWidth="1"/>
    <col min="15881" max="16117" width="8.85546875" style="1231"/>
    <col min="16118" max="16118" width="3.42578125" style="1231" customWidth="1"/>
    <col min="16119" max="16119" width="19.42578125" style="1231" customWidth="1"/>
    <col min="16120" max="16120" width="14.42578125" style="1231" customWidth="1"/>
    <col min="16121" max="16121" width="9.42578125" style="1231" customWidth="1"/>
    <col min="16122" max="16122" width="12.140625" style="1231" customWidth="1"/>
    <col min="16123" max="16123" width="9.42578125" style="1231" customWidth="1"/>
    <col min="16124" max="16124" width="5.28515625" style="1231" customWidth="1"/>
    <col min="16125" max="16125" width="8.85546875" style="1231" customWidth="1"/>
    <col min="16126" max="16126" width="9.42578125" style="1231" customWidth="1"/>
    <col min="16127" max="16127" width="8.85546875" style="1231" customWidth="1"/>
    <col min="16128" max="16128" width="9" style="1231" customWidth="1"/>
    <col min="16129" max="16129" width="9.140625" style="1231" customWidth="1"/>
    <col min="16130" max="16130" width="7.85546875" style="1231" customWidth="1"/>
    <col min="16131" max="16131" width="10.28515625" style="1231" customWidth="1"/>
    <col min="16132" max="16132" width="9.42578125" style="1231" customWidth="1"/>
    <col min="16133" max="16133" width="8.85546875" style="1231" customWidth="1"/>
    <col min="16134" max="16134" width="39.140625" style="1231" customWidth="1"/>
    <col min="16135" max="16135" width="8.85546875" style="1231"/>
    <col min="16136" max="16136" width="9" style="1231" bestFit="1" customWidth="1"/>
    <col min="16137" max="16384" width="8.85546875" style="1231"/>
  </cols>
  <sheetData>
    <row r="1" spans="1:37">
      <c r="A1" s="1224"/>
      <c r="B1" s="1224"/>
      <c r="C1" s="1225"/>
      <c r="D1" s="1225"/>
      <c r="E1" s="1225"/>
      <c r="F1" s="1226"/>
      <c r="G1" s="1224"/>
      <c r="H1" s="1227"/>
      <c r="I1" s="1227"/>
      <c r="J1" s="1228"/>
      <c r="K1" s="1229"/>
      <c r="L1" s="1229"/>
      <c r="M1" s="1229"/>
      <c r="N1" s="1550"/>
      <c r="O1" s="1551"/>
      <c r="P1" s="1552"/>
      <c r="Q1" s="1230" t="s">
        <v>3404</v>
      </c>
    </row>
    <row r="2" spans="1:37">
      <c r="A2" s="2422" t="s">
        <v>5419</v>
      </c>
      <c r="B2" s="2422"/>
      <c r="C2" s="2422"/>
      <c r="D2" s="2422"/>
      <c r="E2" s="2422"/>
      <c r="F2" s="2422"/>
      <c r="G2" s="2422"/>
      <c r="H2" s="2422"/>
      <c r="I2" s="2422"/>
      <c r="J2" s="2422"/>
      <c r="K2" s="2422"/>
      <c r="L2" s="2422"/>
      <c r="M2" s="2422"/>
      <c r="N2" s="2422"/>
      <c r="O2" s="2422"/>
      <c r="P2" s="2422"/>
      <c r="Q2" s="2422"/>
    </row>
    <row r="3" spans="1:37" ht="7.5" customHeight="1">
      <c r="A3" s="1232"/>
      <c r="B3" s="1232"/>
      <c r="C3" s="1233"/>
      <c r="D3" s="1233"/>
      <c r="E3" s="1233"/>
      <c r="F3" s="1234"/>
      <c r="G3" s="1232"/>
      <c r="H3" s="1235"/>
      <c r="I3" s="1235"/>
      <c r="J3" s="1236"/>
      <c r="K3" s="1235"/>
      <c r="L3" s="1235"/>
      <c r="M3" s="1235"/>
      <c r="N3" s="1553"/>
      <c r="O3" s="1554"/>
      <c r="P3" s="1555"/>
      <c r="Q3" s="1235"/>
    </row>
    <row r="4" spans="1:37" ht="25.5" customHeight="1">
      <c r="A4" s="2423" t="s">
        <v>439</v>
      </c>
      <c r="B4" s="2423" t="s">
        <v>3406</v>
      </c>
      <c r="C4" s="2425" t="s">
        <v>3407</v>
      </c>
      <c r="D4" s="2425" t="s">
        <v>3408</v>
      </c>
      <c r="E4" s="2425" t="s">
        <v>3409</v>
      </c>
      <c r="F4" s="2427" t="s">
        <v>3410</v>
      </c>
      <c r="G4" s="2425" t="s">
        <v>3411</v>
      </c>
      <c r="H4" s="2429" t="s">
        <v>3412</v>
      </c>
      <c r="I4" s="2430"/>
      <c r="J4" s="2427" t="s">
        <v>3413</v>
      </c>
      <c r="K4" s="2431" t="s">
        <v>5420</v>
      </c>
      <c r="L4" s="2432"/>
      <c r="M4" s="2432"/>
      <c r="N4" s="2430"/>
      <c r="O4" s="2433" t="s">
        <v>3415</v>
      </c>
      <c r="P4" s="2435" t="s">
        <v>3416</v>
      </c>
      <c r="Q4" s="2425" t="s">
        <v>3417</v>
      </c>
    </row>
    <row r="5" spans="1:37" ht="101.25">
      <c r="A5" s="2424"/>
      <c r="B5" s="2424"/>
      <c r="C5" s="2426"/>
      <c r="D5" s="2426"/>
      <c r="E5" s="2426"/>
      <c r="F5" s="2428"/>
      <c r="G5" s="2426"/>
      <c r="H5" s="1237" t="s">
        <v>3418</v>
      </c>
      <c r="I5" s="1238" t="s">
        <v>3419</v>
      </c>
      <c r="J5" s="2428"/>
      <c r="K5" s="1239" t="s">
        <v>440</v>
      </c>
      <c r="L5" s="1238" t="s">
        <v>3420</v>
      </c>
      <c r="M5" s="1238" t="s">
        <v>3421</v>
      </c>
      <c r="N5" s="1534" t="s">
        <v>3422</v>
      </c>
      <c r="O5" s="2434"/>
      <c r="P5" s="2436"/>
      <c r="Q5" s="2426"/>
    </row>
    <row r="6" spans="1:37" ht="15.75" customHeight="1">
      <c r="A6" s="2451"/>
      <c r="B6" s="2438" t="s">
        <v>3423</v>
      </c>
      <c r="C6" s="2438"/>
      <c r="D6" s="2438"/>
      <c r="E6" s="2438"/>
      <c r="F6" s="2438"/>
      <c r="G6" s="1240" t="s">
        <v>8</v>
      </c>
      <c r="H6" s="1241">
        <f>H7+H8+H9+H10</f>
        <v>475693.11300000001</v>
      </c>
      <c r="I6" s="1241">
        <f>I7+I8+I9+I10</f>
        <v>475693.11300000001</v>
      </c>
      <c r="J6" s="1241">
        <f>J7+J8+J9+J10</f>
        <v>980802.02162000001</v>
      </c>
      <c r="K6" s="1241">
        <f t="shared" ref="K6:M6" si="0">K7+K8+K9+K10</f>
        <v>163661.95872</v>
      </c>
      <c r="L6" s="1241">
        <f t="shared" si="0"/>
        <v>154931.29999999999</v>
      </c>
      <c r="M6" s="1241">
        <f t="shared" si="0"/>
        <v>8730.6587199999994</v>
      </c>
      <c r="N6" s="1535">
        <f t="shared" ref="N6:N10" si="1">IFERROR(L6/J6,0)</f>
        <v>0.15796388729307317</v>
      </c>
      <c r="O6" s="2452"/>
      <c r="P6" s="2453"/>
      <c r="Q6" s="2437"/>
    </row>
    <row r="7" spans="1:37">
      <c r="A7" s="2451"/>
      <c r="B7" s="2438"/>
      <c r="C7" s="2438"/>
      <c r="D7" s="2438"/>
      <c r="E7" s="2438"/>
      <c r="F7" s="2438"/>
      <c r="G7" s="1242" t="s">
        <v>304</v>
      </c>
      <c r="H7" s="1241">
        <f t="shared" ref="H7:M10" si="2">H13+H17+H22+H27+H32+H37+H42+H47</f>
        <v>256635.08987</v>
      </c>
      <c r="I7" s="1241">
        <f t="shared" si="2"/>
        <v>256635.08987</v>
      </c>
      <c r="J7" s="1241">
        <f t="shared" si="2"/>
        <v>121651.77303000001</v>
      </c>
      <c r="K7" s="1241">
        <f t="shared" si="2"/>
        <v>14352.210129999999</v>
      </c>
      <c r="L7" s="1241">
        <f t="shared" si="2"/>
        <v>5981.5</v>
      </c>
      <c r="M7" s="1241">
        <f t="shared" si="2"/>
        <v>8370.7101299999995</v>
      </c>
      <c r="N7" s="1535">
        <f t="shared" si="1"/>
        <v>4.9169032649650973E-2</v>
      </c>
      <c r="O7" s="2452"/>
      <c r="P7" s="2454"/>
      <c r="Q7" s="2438"/>
    </row>
    <row r="8" spans="1:37">
      <c r="A8" s="2451"/>
      <c r="B8" s="2438"/>
      <c r="C8" s="2438"/>
      <c r="D8" s="2438"/>
      <c r="E8" s="2438"/>
      <c r="F8" s="2438"/>
      <c r="G8" s="1242" t="s">
        <v>10</v>
      </c>
      <c r="H8" s="1241">
        <f t="shared" si="2"/>
        <v>218861.5</v>
      </c>
      <c r="I8" s="1241">
        <f t="shared" si="2"/>
        <v>218861.5</v>
      </c>
      <c r="J8" s="1241">
        <f t="shared" si="2"/>
        <v>424710.7</v>
      </c>
      <c r="K8" s="1241">
        <f t="shared" si="2"/>
        <v>148635</v>
      </c>
      <c r="L8" s="1241">
        <f t="shared" si="2"/>
        <v>148635</v>
      </c>
      <c r="M8" s="1241">
        <f t="shared" si="2"/>
        <v>0</v>
      </c>
      <c r="N8" s="1535">
        <f t="shared" si="1"/>
        <v>0.34996763679370452</v>
      </c>
      <c r="O8" s="2452"/>
      <c r="P8" s="2454"/>
      <c r="Q8" s="2438"/>
    </row>
    <row r="9" spans="1:37">
      <c r="A9" s="2451"/>
      <c r="B9" s="2438"/>
      <c r="C9" s="2438"/>
      <c r="D9" s="2438"/>
      <c r="E9" s="2438"/>
      <c r="F9" s="2438"/>
      <c r="G9" s="1242" t="s">
        <v>11</v>
      </c>
      <c r="H9" s="1241">
        <f t="shared" si="2"/>
        <v>196.52313000000001</v>
      </c>
      <c r="I9" s="1241">
        <f t="shared" si="2"/>
        <v>196.52313000000001</v>
      </c>
      <c r="J9" s="1241">
        <f t="shared" si="2"/>
        <v>924.0485900000001</v>
      </c>
      <c r="K9" s="1241">
        <f t="shared" si="2"/>
        <v>674.74859000000004</v>
      </c>
      <c r="L9" s="1241">
        <f t="shared" si="2"/>
        <v>314.8</v>
      </c>
      <c r="M9" s="1241">
        <f t="shared" si="2"/>
        <v>359.94859000000002</v>
      </c>
      <c r="N9" s="1535">
        <f t="shared" si="1"/>
        <v>0.3406747257738903</v>
      </c>
      <c r="O9" s="2452"/>
      <c r="P9" s="2454"/>
      <c r="Q9" s="2438"/>
    </row>
    <row r="10" spans="1:37">
      <c r="A10" s="2451"/>
      <c r="B10" s="2438"/>
      <c r="C10" s="2438"/>
      <c r="D10" s="2438"/>
      <c r="E10" s="2438"/>
      <c r="F10" s="2438"/>
      <c r="G10" s="1242" t="s">
        <v>12</v>
      </c>
      <c r="H10" s="1241">
        <f t="shared" si="2"/>
        <v>0</v>
      </c>
      <c r="I10" s="1241">
        <f t="shared" si="2"/>
        <v>0</v>
      </c>
      <c r="J10" s="1241">
        <f t="shared" si="2"/>
        <v>433515.5</v>
      </c>
      <c r="K10" s="1241">
        <f t="shared" si="2"/>
        <v>0</v>
      </c>
      <c r="L10" s="1241">
        <f t="shared" si="2"/>
        <v>0</v>
      </c>
      <c r="M10" s="1241">
        <f t="shared" si="2"/>
        <v>0</v>
      </c>
      <c r="N10" s="1535">
        <f t="shared" si="1"/>
        <v>0</v>
      </c>
      <c r="O10" s="2452"/>
      <c r="P10" s="2455"/>
      <c r="Q10" s="2438"/>
    </row>
    <row r="11" spans="1:37" ht="14.25" customHeight="1" outlineLevel="1">
      <c r="A11" s="1243"/>
      <c r="B11" s="1244" t="s">
        <v>3424</v>
      </c>
      <c r="C11" s="1242"/>
      <c r="D11" s="1242"/>
      <c r="E11" s="1242"/>
      <c r="F11" s="1245"/>
      <c r="G11" s="1243"/>
      <c r="H11" s="1246"/>
      <c r="I11" s="1246"/>
      <c r="J11" s="1241"/>
      <c r="K11" s="1246"/>
      <c r="L11" s="1246"/>
      <c r="M11" s="1246"/>
      <c r="N11" s="1536"/>
      <c r="O11" s="1537"/>
      <c r="P11" s="1538"/>
      <c r="Q11" s="1243"/>
    </row>
    <row r="12" spans="1:37" ht="16.5" customHeight="1" outlineLevel="1">
      <c r="A12" s="2456">
        <v>1</v>
      </c>
      <c r="B12" s="2459" t="s">
        <v>2823</v>
      </c>
      <c r="C12" s="2462" t="s">
        <v>3425</v>
      </c>
      <c r="D12" s="2462" t="s">
        <v>3426</v>
      </c>
      <c r="E12" s="2462" t="s">
        <v>3427</v>
      </c>
      <c r="F12" s="2448">
        <v>457896.9</v>
      </c>
      <c r="G12" s="1539" t="s">
        <v>8</v>
      </c>
      <c r="H12" s="1540">
        <f>SUM(H13:H15)</f>
        <v>0</v>
      </c>
      <c r="I12" s="1540">
        <f>SUM(I13:I15)</f>
        <v>0</v>
      </c>
      <c r="J12" s="1540">
        <f t="shared" ref="J12" si="3">SUM(J13:J15)</f>
        <v>187186.6</v>
      </c>
      <c r="K12" s="1541">
        <f>K13+K14+K15</f>
        <v>50000</v>
      </c>
      <c r="L12" s="1541">
        <f>L13+L14+L15</f>
        <v>50000</v>
      </c>
      <c r="M12" s="1541">
        <v>0</v>
      </c>
      <c r="N12" s="2439">
        <f>L12/J12</f>
        <v>0.26711313737201275</v>
      </c>
      <c r="O12" s="2439">
        <v>0.11</v>
      </c>
      <c r="P12" s="2442">
        <f>F12-H12-K12</f>
        <v>407896.9</v>
      </c>
      <c r="Q12" s="2445" t="s">
        <v>3609</v>
      </c>
    </row>
    <row r="13" spans="1:37" ht="16.5" customHeight="1" outlineLevel="1">
      <c r="A13" s="2457"/>
      <c r="B13" s="2460"/>
      <c r="C13" s="2463"/>
      <c r="D13" s="2463"/>
      <c r="E13" s="2463"/>
      <c r="F13" s="2449"/>
      <c r="G13" s="1542" t="s">
        <v>9</v>
      </c>
      <c r="H13" s="1543">
        <v>0</v>
      </c>
      <c r="I13" s="1540">
        <f>SUM(I15:I15)</f>
        <v>0</v>
      </c>
      <c r="J13" s="1543">
        <v>6710</v>
      </c>
      <c r="K13" s="1541">
        <v>0</v>
      </c>
      <c r="L13" s="1541">
        <v>0</v>
      </c>
      <c r="M13" s="1544">
        <v>0</v>
      </c>
      <c r="N13" s="2440"/>
      <c r="O13" s="2440"/>
      <c r="P13" s="2443"/>
      <c r="Q13" s="2446"/>
    </row>
    <row r="14" spans="1:37" ht="15" customHeight="1" outlineLevel="1">
      <c r="A14" s="2457"/>
      <c r="B14" s="2460"/>
      <c r="C14" s="2463"/>
      <c r="D14" s="2463"/>
      <c r="E14" s="2463"/>
      <c r="F14" s="2449"/>
      <c r="G14" s="1542" t="s">
        <v>10</v>
      </c>
      <c r="H14" s="1543">
        <v>0</v>
      </c>
      <c r="I14" s="1540">
        <v>0</v>
      </c>
      <c r="J14" s="1543">
        <v>180476.6</v>
      </c>
      <c r="K14" s="1541">
        <v>50000</v>
      </c>
      <c r="L14" s="1541">
        <v>50000</v>
      </c>
      <c r="M14" s="1544">
        <v>0</v>
      </c>
      <c r="N14" s="2440"/>
      <c r="O14" s="2440"/>
      <c r="P14" s="2443"/>
      <c r="Q14" s="2446"/>
    </row>
    <row r="15" spans="1:37" ht="35.25" customHeight="1" outlineLevel="1">
      <c r="A15" s="2458"/>
      <c r="B15" s="2461"/>
      <c r="C15" s="2464"/>
      <c r="D15" s="2464"/>
      <c r="E15" s="2464"/>
      <c r="F15" s="2450"/>
      <c r="G15" s="1542" t="s">
        <v>11</v>
      </c>
      <c r="H15" s="1545">
        <v>0</v>
      </c>
      <c r="I15" s="1540">
        <v>0</v>
      </c>
      <c r="J15" s="1545">
        <v>0</v>
      </c>
      <c r="K15" s="1546">
        <v>0</v>
      </c>
      <c r="L15" s="1546">
        <v>0</v>
      </c>
      <c r="M15" s="1547">
        <v>0</v>
      </c>
      <c r="N15" s="2441"/>
      <c r="O15" s="2441"/>
      <c r="P15" s="2444"/>
      <c r="Q15" s="2447"/>
    </row>
    <row r="16" spans="1:37" s="1250" customFormat="1" ht="15.75" customHeight="1">
      <c r="A16" s="2465">
        <v>2</v>
      </c>
      <c r="B16" s="2468" t="s">
        <v>3645</v>
      </c>
      <c r="C16" s="2470" t="s">
        <v>3428</v>
      </c>
      <c r="D16" s="2471" t="s">
        <v>3429</v>
      </c>
      <c r="E16" s="2470" t="s">
        <v>3430</v>
      </c>
      <c r="F16" s="2486">
        <v>1237405.6000000001</v>
      </c>
      <c r="G16" s="1247" t="s">
        <v>8</v>
      </c>
      <c r="H16" s="1248">
        <f>SUM(H17:H20)</f>
        <v>0</v>
      </c>
      <c r="I16" s="1249">
        <f>SUM(I17:I20)</f>
        <v>0</v>
      </c>
      <c r="J16" s="1548">
        <f t="shared" ref="J16:M31" si="4">SUM(J17:J20)</f>
        <v>229040</v>
      </c>
      <c r="K16" s="1549">
        <f t="shared" si="4"/>
        <v>0</v>
      </c>
      <c r="L16" s="1549">
        <f t="shared" si="4"/>
        <v>0</v>
      </c>
      <c r="M16" s="1549">
        <f t="shared" si="4"/>
        <v>0</v>
      </c>
      <c r="N16" s="2399">
        <f>L16/J16</f>
        <v>0</v>
      </c>
      <c r="O16" s="2399">
        <f>(I16+L16+M16)/F16</f>
        <v>0</v>
      </c>
      <c r="P16" s="2483">
        <f>F16-H16-K16</f>
        <v>1237405.6000000001</v>
      </c>
      <c r="Q16" s="2477" t="s">
        <v>3607</v>
      </c>
      <c r="R16" s="1231"/>
      <c r="S16" s="1231"/>
      <c r="T16" s="1231"/>
      <c r="U16" s="1231"/>
      <c r="V16" s="1231"/>
      <c r="W16" s="1231"/>
      <c r="X16" s="1231"/>
      <c r="Y16" s="1231"/>
      <c r="Z16" s="1231"/>
      <c r="AA16" s="1231"/>
      <c r="AB16" s="1231"/>
      <c r="AC16" s="1231"/>
      <c r="AD16" s="1231"/>
      <c r="AE16" s="1231"/>
      <c r="AF16" s="1231"/>
      <c r="AG16" s="1231"/>
      <c r="AH16" s="1231"/>
      <c r="AI16" s="1231"/>
      <c r="AJ16" s="1231"/>
      <c r="AK16" s="1231"/>
    </row>
    <row r="17" spans="1:37" s="1250" customFormat="1" ht="15.75" customHeight="1">
      <c r="A17" s="2466"/>
      <c r="B17" s="2469"/>
      <c r="C17" s="2470"/>
      <c r="D17" s="2472"/>
      <c r="E17" s="2470"/>
      <c r="F17" s="2486"/>
      <c r="G17" s="1251" t="s">
        <v>9</v>
      </c>
      <c r="H17" s="1248">
        <v>0</v>
      </c>
      <c r="I17" s="1249">
        <f t="shared" ref="I17:I25" si="5">SUM(I18:I19)</f>
        <v>0</v>
      </c>
      <c r="J17" s="1548">
        <v>49080</v>
      </c>
      <c r="K17" s="1549">
        <v>0</v>
      </c>
      <c r="L17" s="1549">
        <v>0</v>
      </c>
      <c r="M17" s="1549">
        <f t="shared" si="4"/>
        <v>0</v>
      </c>
      <c r="N17" s="2481"/>
      <c r="O17" s="2481"/>
      <c r="P17" s="2484"/>
      <c r="Q17" s="2478"/>
      <c r="R17" s="1231"/>
      <c r="S17" s="1231"/>
      <c r="T17" s="1231"/>
      <c r="U17" s="1231"/>
      <c r="V17" s="1231"/>
      <c r="W17" s="1231"/>
      <c r="X17" s="1231"/>
      <c r="Y17" s="1231"/>
      <c r="Z17" s="1231"/>
      <c r="AA17" s="1231"/>
      <c r="AB17" s="1231"/>
      <c r="AC17" s="1231"/>
      <c r="AD17" s="1231"/>
      <c r="AE17" s="1231"/>
      <c r="AF17" s="1231"/>
      <c r="AG17" s="1231"/>
      <c r="AH17" s="1231"/>
      <c r="AI17" s="1231"/>
      <c r="AJ17" s="1231"/>
      <c r="AK17" s="1231"/>
    </row>
    <row r="18" spans="1:37" s="1250" customFormat="1" ht="15.75" customHeight="1">
      <c r="A18" s="2466"/>
      <c r="B18" s="2469"/>
      <c r="C18" s="2470"/>
      <c r="D18" s="2472"/>
      <c r="E18" s="2470"/>
      <c r="F18" s="2486"/>
      <c r="G18" s="1251" t="s">
        <v>10</v>
      </c>
      <c r="H18" s="1248">
        <v>0</v>
      </c>
      <c r="I18" s="1249">
        <f t="shared" si="5"/>
        <v>0</v>
      </c>
      <c r="J18" s="1548">
        <v>65440</v>
      </c>
      <c r="K18" s="1549">
        <v>0</v>
      </c>
      <c r="L18" s="1549">
        <v>0</v>
      </c>
      <c r="M18" s="1549">
        <f t="shared" si="4"/>
        <v>0</v>
      </c>
      <c r="N18" s="2481"/>
      <c r="O18" s="2481"/>
      <c r="P18" s="2484"/>
      <c r="Q18" s="2478"/>
      <c r="R18" s="1231"/>
      <c r="S18" s="1231"/>
      <c r="T18" s="1231"/>
      <c r="U18" s="1231"/>
      <c r="V18" s="1231"/>
      <c r="W18" s="1231"/>
      <c r="X18" s="1231"/>
      <c r="Y18" s="1231"/>
      <c r="Z18" s="1231"/>
      <c r="AA18" s="1231"/>
      <c r="AB18" s="1231"/>
      <c r="AC18" s="1231"/>
      <c r="AD18" s="1231"/>
      <c r="AE18" s="1231"/>
      <c r="AF18" s="1231"/>
      <c r="AG18" s="1231"/>
      <c r="AH18" s="1231"/>
      <c r="AI18" s="1231"/>
      <c r="AJ18" s="1231"/>
      <c r="AK18" s="1231"/>
    </row>
    <row r="19" spans="1:37" s="1250" customFormat="1" ht="15.75" customHeight="1">
      <c r="A19" s="2466"/>
      <c r="B19" s="2469"/>
      <c r="C19" s="2470"/>
      <c r="D19" s="2472"/>
      <c r="E19" s="2470"/>
      <c r="F19" s="2486"/>
      <c r="G19" s="1251" t="s">
        <v>11</v>
      </c>
      <c r="H19" s="1248">
        <v>0</v>
      </c>
      <c r="I19" s="1252">
        <f t="shared" si="5"/>
        <v>0</v>
      </c>
      <c r="J19" s="1548">
        <v>0</v>
      </c>
      <c r="K19" s="1549">
        <v>0</v>
      </c>
      <c r="L19" s="1549">
        <v>0</v>
      </c>
      <c r="M19" s="1549">
        <f t="shared" si="4"/>
        <v>0</v>
      </c>
      <c r="N19" s="2481"/>
      <c r="O19" s="2481"/>
      <c r="P19" s="2484"/>
      <c r="Q19" s="2478"/>
      <c r="R19" s="1231"/>
      <c r="S19" s="1231"/>
      <c r="T19" s="1231"/>
      <c r="U19" s="1231"/>
      <c r="V19" s="1231"/>
      <c r="W19" s="1231"/>
      <c r="X19" s="1231"/>
      <c r="Y19" s="1231"/>
      <c r="Z19" s="1231"/>
      <c r="AA19" s="1231"/>
      <c r="AB19" s="1231"/>
      <c r="AC19" s="1231"/>
      <c r="AD19" s="1231"/>
      <c r="AE19" s="1231"/>
      <c r="AF19" s="1231"/>
      <c r="AG19" s="1231"/>
      <c r="AH19" s="1231"/>
      <c r="AI19" s="1231"/>
      <c r="AJ19" s="1231"/>
      <c r="AK19" s="1231"/>
    </row>
    <row r="20" spans="1:37" s="1250" customFormat="1" ht="15.75" customHeight="1">
      <c r="A20" s="2467"/>
      <c r="B20" s="2469"/>
      <c r="C20" s="2470"/>
      <c r="D20" s="2473"/>
      <c r="E20" s="2470"/>
      <c r="F20" s="2486"/>
      <c r="G20" s="1251" t="s">
        <v>12</v>
      </c>
      <c r="H20" s="1248">
        <v>0</v>
      </c>
      <c r="I20" s="1252">
        <f t="shared" si="5"/>
        <v>0</v>
      </c>
      <c r="J20" s="1548">
        <v>114520</v>
      </c>
      <c r="K20" s="1549">
        <v>0</v>
      </c>
      <c r="L20" s="1549">
        <v>0</v>
      </c>
      <c r="M20" s="1549">
        <v>0</v>
      </c>
      <c r="N20" s="2482"/>
      <c r="O20" s="2482"/>
      <c r="P20" s="2485"/>
      <c r="Q20" s="2479"/>
      <c r="R20" s="1231"/>
      <c r="S20" s="1231"/>
      <c r="T20" s="1231"/>
      <c r="U20" s="1231"/>
      <c r="V20" s="1231"/>
      <c r="W20" s="1231"/>
      <c r="X20" s="1231"/>
      <c r="Y20" s="1231"/>
      <c r="Z20" s="1231"/>
      <c r="AA20" s="1231"/>
      <c r="AB20" s="1231"/>
      <c r="AC20" s="1231"/>
      <c r="AD20" s="1231"/>
      <c r="AE20" s="1231"/>
      <c r="AF20" s="1231"/>
      <c r="AG20" s="1231"/>
      <c r="AH20" s="1231"/>
      <c r="AI20" s="1231"/>
      <c r="AJ20" s="1231"/>
      <c r="AK20" s="1231"/>
    </row>
    <row r="21" spans="1:37" s="1250" customFormat="1" ht="21" customHeight="1">
      <c r="A21" s="2465">
        <v>3</v>
      </c>
      <c r="B21" s="2468" t="s">
        <v>3644</v>
      </c>
      <c r="C21" s="2470" t="s">
        <v>3431</v>
      </c>
      <c r="D21" s="2471" t="s">
        <v>3429</v>
      </c>
      <c r="E21" s="2470" t="s">
        <v>3430</v>
      </c>
      <c r="F21" s="2480">
        <v>971982.6</v>
      </c>
      <c r="G21" s="1247" t="s">
        <v>8</v>
      </c>
      <c r="H21" s="1248">
        <f>SUM(H22:H25)</f>
        <v>0</v>
      </c>
      <c r="I21" s="1253">
        <f>SUM(I22:I25)</f>
        <v>0</v>
      </c>
      <c r="J21" s="1548">
        <f t="shared" si="4"/>
        <v>179911</v>
      </c>
      <c r="K21" s="1549">
        <f t="shared" si="4"/>
        <v>0</v>
      </c>
      <c r="L21" s="1549">
        <f t="shared" si="4"/>
        <v>0</v>
      </c>
      <c r="M21" s="1549">
        <f t="shared" si="4"/>
        <v>0</v>
      </c>
      <c r="N21" s="2399">
        <f>L21/J21</f>
        <v>0</v>
      </c>
      <c r="O21" s="2399">
        <f>(I21+L21+M21)/F21</f>
        <v>0</v>
      </c>
      <c r="P21" s="2483">
        <f>F21-H21-K21</f>
        <v>971982.6</v>
      </c>
      <c r="Q21" s="2477" t="s">
        <v>3608</v>
      </c>
      <c r="R21" s="1231"/>
      <c r="S21" s="1231"/>
      <c r="T21" s="1231"/>
      <c r="U21" s="1231"/>
      <c r="V21" s="1231"/>
      <c r="W21" s="1231"/>
      <c r="X21" s="1231"/>
      <c r="Y21" s="1231"/>
      <c r="Z21" s="1231"/>
      <c r="AA21" s="1231"/>
      <c r="AB21" s="1231"/>
      <c r="AC21" s="1231"/>
      <c r="AD21" s="1231"/>
      <c r="AE21" s="1231"/>
      <c r="AF21" s="1231"/>
      <c r="AG21" s="1231"/>
      <c r="AH21" s="1231"/>
      <c r="AI21" s="1231"/>
      <c r="AJ21" s="1231"/>
      <c r="AK21" s="1231"/>
    </row>
    <row r="22" spans="1:37" s="1250" customFormat="1" ht="24.75" customHeight="1">
      <c r="A22" s="2466"/>
      <c r="B22" s="2469"/>
      <c r="C22" s="2470"/>
      <c r="D22" s="2472"/>
      <c r="E22" s="2470"/>
      <c r="F22" s="2480"/>
      <c r="G22" s="1251" t="s">
        <v>9</v>
      </c>
      <c r="H22" s="1248">
        <v>0</v>
      </c>
      <c r="I22" s="1254">
        <f t="shared" si="5"/>
        <v>0</v>
      </c>
      <c r="J22" s="1548">
        <v>38552.400000000001</v>
      </c>
      <c r="K22" s="1549">
        <v>0</v>
      </c>
      <c r="L22" s="1549">
        <v>0</v>
      </c>
      <c r="M22" s="1549">
        <v>0</v>
      </c>
      <c r="N22" s="2481"/>
      <c r="O22" s="2481"/>
      <c r="P22" s="2484"/>
      <c r="Q22" s="2478"/>
      <c r="R22" s="1231"/>
      <c r="S22" s="1231"/>
      <c r="T22" s="1231"/>
      <c r="U22" s="1231"/>
      <c r="V22" s="1231"/>
      <c r="W22" s="1231"/>
      <c r="X22" s="1231"/>
      <c r="Y22" s="1231"/>
      <c r="Z22" s="1231"/>
      <c r="AA22" s="1231"/>
      <c r="AB22" s="1231"/>
      <c r="AC22" s="1231"/>
      <c r="AD22" s="1231"/>
      <c r="AE22" s="1231"/>
      <c r="AF22" s="1231"/>
      <c r="AG22" s="1231"/>
      <c r="AH22" s="1231"/>
      <c r="AI22" s="1231"/>
      <c r="AJ22" s="1231"/>
      <c r="AK22" s="1231"/>
    </row>
    <row r="23" spans="1:37" s="1250" customFormat="1" ht="18.75" customHeight="1">
      <c r="A23" s="2466"/>
      <c r="B23" s="2469"/>
      <c r="C23" s="2470"/>
      <c r="D23" s="2472"/>
      <c r="E23" s="2470"/>
      <c r="F23" s="2480"/>
      <c r="G23" s="1251" t="s">
        <v>10</v>
      </c>
      <c r="H23" s="1248">
        <v>0</v>
      </c>
      <c r="I23" s="1249">
        <f t="shared" si="5"/>
        <v>0</v>
      </c>
      <c r="J23" s="1548">
        <v>51403.1</v>
      </c>
      <c r="K23" s="1549">
        <v>0</v>
      </c>
      <c r="L23" s="1549">
        <v>0</v>
      </c>
      <c r="M23" s="1549">
        <v>0</v>
      </c>
      <c r="N23" s="2481"/>
      <c r="O23" s="2481"/>
      <c r="P23" s="2484"/>
      <c r="Q23" s="2478"/>
      <c r="R23" s="1231"/>
      <c r="S23" s="1231"/>
      <c r="T23" s="1231"/>
      <c r="U23" s="1231"/>
      <c r="V23" s="1231"/>
      <c r="W23" s="1231"/>
      <c r="X23" s="1231"/>
      <c r="Y23" s="1231"/>
      <c r="Z23" s="1231"/>
      <c r="AA23" s="1231"/>
      <c r="AB23" s="1231"/>
      <c r="AC23" s="1231"/>
      <c r="AD23" s="1231"/>
      <c r="AE23" s="1231"/>
      <c r="AF23" s="1231"/>
      <c r="AG23" s="1231"/>
      <c r="AH23" s="1231"/>
      <c r="AI23" s="1231"/>
      <c r="AJ23" s="1231"/>
      <c r="AK23" s="1231"/>
    </row>
    <row r="24" spans="1:37" s="1250" customFormat="1" ht="16.5" customHeight="1">
      <c r="A24" s="2466"/>
      <c r="B24" s="2469"/>
      <c r="C24" s="2470"/>
      <c r="D24" s="2472"/>
      <c r="E24" s="2470"/>
      <c r="F24" s="2480"/>
      <c r="G24" s="1251" t="s">
        <v>11</v>
      </c>
      <c r="H24" s="1248">
        <v>0</v>
      </c>
      <c r="I24" s="1249">
        <f t="shared" si="5"/>
        <v>0</v>
      </c>
      <c r="J24" s="1548">
        <v>0</v>
      </c>
      <c r="K24" s="1549">
        <v>0</v>
      </c>
      <c r="L24" s="1549">
        <v>0</v>
      </c>
      <c r="M24" s="1549">
        <v>0</v>
      </c>
      <c r="N24" s="2481"/>
      <c r="O24" s="2481"/>
      <c r="P24" s="2484"/>
      <c r="Q24" s="2478"/>
      <c r="R24" s="1231"/>
      <c r="S24" s="1231"/>
      <c r="T24" s="1231"/>
      <c r="U24" s="1231"/>
      <c r="V24" s="1231"/>
      <c r="W24" s="1231"/>
      <c r="X24" s="1231"/>
      <c r="Y24" s="1231"/>
      <c r="Z24" s="1231"/>
      <c r="AA24" s="1231"/>
      <c r="AB24" s="1231"/>
      <c r="AC24" s="1231"/>
      <c r="AD24" s="1231"/>
      <c r="AE24" s="1231"/>
      <c r="AF24" s="1231"/>
      <c r="AG24" s="1231"/>
      <c r="AH24" s="1231"/>
      <c r="AI24" s="1231"/>
      <c r="AJ24" s="1231"/>
      <c r="AK24" s="1231"/>
    </row>
    <row r="25" spans="1:37" s="1250" customFormat="1" ht="31.5" customHeight="1">
      <c r="A25" s="2467"/>
      <c r="B25" s="2469"/>
      <c r="C25" s="2470"/>
      <c r="D25" s="2473"/>
      <c r="E25" s="2470"/>
      <c r="F25" s="2480"/>
      <c r="G25" s="1251" t="s">
        <v>12</v>
      </c>
      <c r="H25" s="1248">
        <v>0</v>
      </c>
      <c r="I25" s="1249">
        <f t="shared" si="5"/>
        <v>0</v>
      </c>
      <c r="J25" s="1548">
        <v>89955.5</v>
      </c>
      <c r="K25" s="1549">
        <v>0</v>
      </c>
      <c r="L25" s="1549">
        <v>0</v>
      </c>
      <c r="M25" s="1549">
        <v>0</v>
      </c>
      <c r="N25" s="2482"/>
      <c r="O25" s="2482"/>
      <c r="P25" s="2485"/>
      <c r="Q25" s="2479"/>
      <c r="R25" s="1231"/>
      <c r="S25" s="1231"/>
      <c r="T25" s="1231"/>
      <c r="U25" s="1231"/>
      <c r="V25" s="1231"/>
      <c r="W25" s="1231"/>
      <c r="X25" s="1231"/>
      <c r="Y25" s="1231"/>
      <c r="Z25" s="1231"/>
      <c r="AA25" s="1231"/>
      <c r="AB25" s="1231"/>
      <c r="AC25" s="1231"/>
      <c r="AD25" s="1231"/>
      <c r="AE25" s="1231"/>
      <c r="AF25" s="1231"/>
      <c r="AG25" s="1231"/>
      <c r="AH25" s="1231"/>
      <c r="AI25" s="1231"/>
      <c r="AJ25" s="1231"/>
      <c r="AK25" s="1231"/>
    </row>
    <row r="26" spans="1:37" s="1250" customFormat="1" ht="24" customHeight="1">
      <c r="A26" s="1564"/>
      <c r="B26" s="2474" t="s">
        <v>2944</v>
      </c>
      <c r="C26" s="2471" t="s">
        <v>3432</v>
      </c>
      <c r="D26" s="2471" t="s">
        <v>3429</v>
      </c>
      <c r="E26" s="2471" t="s">
        <v>3433</v>
      </c>
      <c r="F26" s="2496">
        <v>6815.8</v>
      </c>
      <c r="G26" s="1251" t="s">
        <v>8</v>
      </c>
      <c r="H26" s="1248">
        <f>SUM(H27:H30)</f>
        <v>0</v>
      </c>
      <c r="I26" s="1249">
        <f>SUM(I27:I30)</f>
        <v>0</v>
      </c>
      <c r="J26" s="1548">
        <f t="shared" si="4"/>
        <v>6815.8</v>
      </c>
      <c r="K26" s="1549">
        <f t="shared" si="4"/>
        <v>6815.8</v>
      </c>
      <c r="L26" s="1549">
        <f t="shared" si="4"/>
        <v>0</v>
      </c>
      <c r="M26" s="1549">
        <f t="shared" si="4"/>
        <v>6815.8</v>
      </c>
      <c r="N26" s="2399">
        <f>M26/J26</f>
        <v>1</v>
      </c>
      <c r="O26" s="2399">
        <f>(I26+L26+M26)/F26</f>
        <v>1</v>
      </c>
      <c r="P26" s="2483">
        <f>F26-K26-H26</f>
        <v>0</v>
      </c>
      <c r="Q26" s="2492" t="s">
        <v>5331</v>
      </c>
      <c r="R26" s="1231"/>
      <c r="S26" s="1231"/>
      <c r="T26" s="1231"/>
      <c r="U26" s="1231"/>
      <c r="V26" s="1231"/>
      <c r="W26" s="1231"/>
      <c r="X26" s="1231"/>
      <c r="Y26" s="1231"/>
      <c r="Z26" s="1231"/>
      <c r="AA26" s="1231"/>
      <c r="AB26" s="1231"/>
      <c r="AC26" s="1231"/>
      <c r="AD26" s="1231"/>
      <c r="AE26" s="1231"/>
      <c r="AF26" s="1231"/>
      <c r="AG26" s="1231"/>
      <c r="AH26" s="1231"/>
      <c r="AI26" s="1231"/>
      <c r="AJ26" s="1231"/>
      <c r="AK26" s="1231"/>
    </row>
    <row r="27" spans="1:37" s="1250" customFormat="1" ht="24" customHeight="1">
      <c r="A27" s="1565"/>
      <c r="B27" s="2475"/>
      <c r="C27" s="2472"/>
      <c r="D27" s="2472"/>
      <c r="E27" s="2472"/>
      <c r="F27" s="2497"/>
      <c r="G27" s="1251" t="s">
        <v>9</v>
      </c>
      <c r="H27" s="1248">
        <v>0</v>
      </c>
      <c r="I27" s="1249">
        <v>0</v>
      </c>
      <c r="J27" s="1548">
        <v>6475</v>
      </c>
      <c r="K27" s="1549">
        <v>6475</v>
      </c>
      <c r="L27" s="1549">
        <v>0</v>
      </c>
      <c r="M27" s="1549">
        <v>6475</v>
      </c>
      <c r="N27" s="2400"/>
      <c r="O27" s="2400"/>
      <c r="P27" s="2490"/>
      <c r="Q27" s="2493"/>
      <c r="R27" s="1231"/>
      <c r="S27" s="1231"/>
      <c r="T27" s="1231"/>
      <c r="U27" s="1231"/>
      <c r="V27" s="1231"/>
      <c r="W27" s="1231"/>
      <c r="X27" s="1231"/>
      <c r="Y27" s="1231"/>
      <c r="Z27" s="1231"/>
      <c r="AA27" s="1231"/>
      <c r="AB27" s="1231"/>
      <c r="AC27" s="1231"/>
      <c r="AD27" s="1231"/>
      <c r="AE27" s="1231"/>
      <c r="AF27" s="1231"/>
      <c r="AG27" s="1231"/>
      <c r="AH27" s="1231"/>
      <c r="AI27" s="1231"/>
      <c r="AJ27" s="1231"/>
      <c r="AK27" s="1231"/>
    </row>
    <row r="28" spans="1:37" s="1250" customFormat="1" ht="24" customHeight="1">
      <c r="A28" s="1565">
        <v>4</v>
      </c>
      <c r="B28" s="2475"/>
      <c r="C28" s="2472"/>
      <c r="D28" s="2472"/>
      <c r="E28" s="2472"/>
      <c r="F28" s="2497"/>
      <c r="G28" s="1251" t="s">
        <v>10</v>
      </c>
      <c r="H28" s="1248">
        <v>0</v>
      </c>
      <c r="I28" s="1249">
        <v>0</v>
      </c>
      <c r="J28" s="1548">
        <v>0</v>
      </c>
      <c r="K28" s="1549">
        <v>0</v>
      </c>
      <c r="L28" s="1549">
        <v>0</v>
      </c>
      <c r="M28" s="1549">
        <v>0</v>
      </c>
      <c r="N28" s="2400"/>
      <c r="O28" s="2400"/>
      <c r="P28" s="2490"/>
      <c r="Q28" s="2493"/>
      <c r="R28" s="1231"/>
      <c r="S28" s="1231"/>
      <c r="T28" s="1231"/>
      <c r="U28" s="1231"/>
      <c r="V28" s="1231"/>
      <c r="W28" s="1231"/>
      <c r="X28" s="1231"/>
      <c r="Y28" s="1231"/>
      <c r="Z28" s="1231"/>
      <c r="AA28" s="1231"/>
      <c r="AB28" s="1231"/>
      <c r="AC28" s="1231"/>
      <c r="AD28" s="1231"/>
      <c r="AE28" s="1231"/>
      <c r="AF28" s="1231"/>
      <c r="AG28" s="1231"/>
      <c r="AH28" s="1231"/>
      <c r="AI28" s="1231"/>
      <c r="AJ28" s="1231"/>
      <c r="AK28" s="1231"/>
    </row>
    <row r="29" spans="1:37" s="1250" customFormat="1" ht="24" customHeight="1">
      <c r="A29" s="1565"/>
      <c r="B29" s="2475"/>
      <c r="C29" s="2472"/>
      <c r="D29" s="2472"/>
      <c r="E29" s="2472"/>
      <c r="F29" s="2497"/>
      <c r="G29" s="1251" t="s">
        <v>11</v>
      </c>
      <c r="H29" s="1248">
        <v>0</v>
      </c>
      <c r="I29" s="1249">
        <v>0</v>
      </c>
      <c r="J29" s="1548">
        <v>340.8</v>
      </c>
      <c r="K29" s="1549">
        <v>340.8</v>
      </c>
      <c r="L29" s="1549">
        <v>0</v>
      </c>
      <c r="M29" s="1549">
        <v>340.8</v>
      </c>
      <c r="N29" s="2400"/>
      <c r="O29" s="2400"/>
      <c r="P29" s="2490"/>
      <c r="Q29" s="2493"/>
      <c r="R29" s="1231"/>
      <c r="S29" s="1231"/>
      <c r="T29" s="1231"/>
      <c r="U29" s="1231"/>
      <c r="V29" s="1231"/>
      <c r="W29" s="1231"/>
      <c r="X29" s="1231"/>
      <c r="Y29" s="1231"/>
      <c r="Z29" s="1231"/>
      <c r="AA29" s="1231"/>
      <c r="AB29" s="1231"/>
      <c r="AC29" s="1231"/>
      <c r="AD29" s="1231"/>
      <c r="AE29" s="1231"/>
      <c r="AF29" s="1231"/>
      <c r="AG29" s="1231"/>
      <c r="AH29" s="1231"/>
      <c r="AI29" s="1231"/>
      <c r="AJ29" s="1231"/>
      <c r="AK29" s="1231"/>
    </row>
    <row r="30" spans="1:37" s="1250" customFormat="1" ht="24" customHeight="1">
      <c r="A30" s="1566"/>
      <c r="B30" s="2476"/>
      <c r="C30" s="2473"/>
      <c r="D30" s="2473"/>
      <c r="E30" s="2473"/>
      <c r="F30" s="2498"/>
      <c r="G30" s="1251" t="s">
        <v>12</v>
      </c>
      <c r="H30" s="1248">
        <v>0</v>
      </c>
      <c r="I30" s="1249">
        <v>0</v>
      </c>
      <c r="J30" s="1548">
        <v>0</v>
      </c>
      <c r="K30" s="1549">
        <v>0</v>
      </c>
      <c r="L30" s="1549">
        <v>0</v>
      </c>
      <c r="M30" s="1549">
        <v>0</v>
      </c>
      <c r="N30" s="2401"/>
      <c r="O30" s="2401"/>
      <c r="P30" s="2491"/>
      <c r="Q30" s="2494"/>
      <c r="R30" s="1231"/>
      <c r="S30" s="1231"/>
      <c r="T30" s="1231"/>
      <c r="U30" s="1231"/>
      <c r="V30" s="1231"/>
      <c r="W30" s="1231"/>
      <c r="X30" s="1231"/>
      <c r="Y30" s="1231"/>
      <c r="Z30" s="1231"/>
      <c r="AA30" s="1231"/>
      <c r="AB30" s="1231"/>
      <c r="AC30" s="1231"/>
      <c r="AD30" s="1231"/>
      <c r="AE30" s="1231"/>
      <c r="AF30" s="1231"/>
      <c r="AG30" s="1231"/>
      <c r="AH30" s="1231"/>
      <c r="AI30" s="1231"/>
      <c r="AJ30" s="1231"/>
      <c r="AK30" s="1231"/>
    </row>
    <row r="31" spans="1:37" s="1250" customFormat="1" ht="24" customHeight="1">
      <c r="A31" s="1564"/>
      <c r="B31" s="2474" t="s">
        <v>2945</v>
      </c>
      <c r="C31" s="2471" t="s">
        <v>3436</v>
      </c>
      <c r="D31" s="2471" t="s">
        <v>3429</v>
      </c>
      <c r="E31" s="2471" t="s">
        <v>3437</v>
      </c>
      <c r="F31" s="2496">
        <v>6717.2</v>
      </c>
      <c r="G31" s="1251" t="s">
        <v>8</v>
      </c>
      <c r="H31" s="1248">
        <f>SUM(H32:H35)</f>
        <v>4802.3129999999992</v>
      </c>
      <c r="I31" s="1248">
        <f>SUM(I32:I35)</f>
        <v>4802.3129999999992</v>
      </c>
      <c r="J31" s="1548">
        <f t="shared" si="4"/>
        <v>1914.8587199999999</v>
      </c>
      <c r="K31" s="1549">
        <f t="shared" si="4"/>
        <v>1914.8587199999999</v>
      </c>
      <c r="L31" s="1549">
        <f t="shared" si="4"/>
        <v>0</v>
      </c>
      <c r="M31" s="1549">
        <f t="shared" si="4"/>
        <v>1914.8587199999999</v>
      </c>
      <c r="N31" s="2399">
        <f>M31/J31</f>
        <v>1</v>
      </c>
      <c r="O31" s="2399">
        <f>(I31+L31+M31)/F31</f>
        <v>0.99999578991246341</v>
      </c>
      <c r="P31" s="2499">
        <f>F31-H31-K31</f>
        <v>2.8280000000677319E-2</v>
      </c>
      <c r="Q31" s="2492" t="s">
        <v>5331</v>
      </c>
      <c r="R31" s="1231"/>
      <c r="S31" s="1231"/>
      <c r="T31" s="1231"/>
      <c r="U31" s="1231"/>
      <c r="V31" s="1231"/>
      <c r="W31" s="1231"/>
      <c r="X31" s="1231"/>
      <c r="Y31" s="1231"/>
      <c r="Z31" s="1231"/>
      <c r="AA31" s="1231"/>
      <c r="AB31" s="1231"/>
      <c r="AC31" s="1231"/>
      <c r="AD31" s="1231"/>
      <c r="AE31" s="1231"/>
      <c r="AF31" s="1231"/>
      <c r="AG31" s="1231"/>
      <c r="AH31" s="1231"/>
      <c r="AI31" s="1231"/>
      <c r="AJ31" s="1231"/>
      <c r="AK31" s="1231"/>
    </row>
    <row r="32" spans="1:37" s="1250" customFormat="1" ht="24" customHeight="1">
      <c r="A32" s="1565"/>
      <c r="B32" s="2475"/>
      <c r="C32" s="2472"/>
      <c r="D32" s="2472"/>
      <c r="E32" s="2472"/>
      <c r="F32" s="2497"/>
      <c r="G32" s="1251" t="s">
        <v>9</v>
      </c>
      <c r="H32" s="1248">
        <v>4754.2898699999996</v>
      </c>
      <c r="I32" s="1248">
        <v>4754.2898699999996</v>
      </c>
      <c r="J32" s="1548">
        <v>1895.7101299999999</v>
      </c>
      <c r="K32" s="1549">
        <v>1895.7101299999999</v>
      </c>
      <c r="L32" s="1549">
        <v>0</v>
      </c>
      <c r="M32" s="1549">
        <v>1895.7101299999999</v>
      </c>
      <c r="N32" s="2481"/>
      <c r="O32" s="2400"/>
      <c r="P32" s="2500"/>
      <c r="Q32" s="2493"/>
      <c r="R32" s="1231"/>
      <c r="S32" s="1231"/>
      <c r="T32" s="1231"/>
      <c r="U32" s="1231"/>
      <c r="V32" s="1231"/>
      <c r="W32" s="1231"/>
      <c r="X32" s="1231"/>
      <c r="Y32" s="1231"/>
      <c r="Z32" s="1231"/>
      <c r="AA32" s="1231"/>
      <c r="AB32" s="1231"/>
      <c r="AC32" s="1231"/>
      <c r="AD32" s="1231"/>
      <c r="AE32" s="1231"/>
      <c r="AF32" s="1231"/>
      <c r="AG32" s="1231"/>
      <c r="AH32" s="1231"/>
      <c r="AI32" s="1231"/>
      <c r="AJ32" s="1231"/>
      <c r="AK32" s="1231"/>
    </row>
    <row r="33" spans="1:37" s="1250" customFormat="1" ht="24" customHeight="1">
      <c r="A33" s="1565">
        <v>5</v>
      </c>
      <c r="B33" s="2475"/>
      <c r="C33" s="2472"/>
      <c r="D33" s="2472"/>
      <c r="E33" s="2472"/>
      <c r="F33" s="2497"/>
      <c r="G33" s="1251" t="s">
        <v>10</v>
      </c>
      <c r="H33" s="1248">
        <v>0</v>
      </c>
      <c r="I33" s="1248">
        <v>0</v>
      </c>
      <c r="J33" s="1548">
        <v>0</v>
      </c>
      <c r="K33" s="1549">
        <v>0</v>
      </c>
      <c r="L33" s="1549">
        <v>0</v>
      </c>
      <c r="M33" s="1549">
        <v>0</v>
      </c>
      <c r="N33" s="2481"/>
      <c r="O33" s="2400"/>
      <c r="P33" s="2500"/>
      <c r="Q33" s="2493"/>
      <c r="R33" s="1231"/>
      <c r="S33" s="1231"/>
      <c r="T33" s="1231"/>
      <c r="U33" s="1231"/>
      <c r="V33" s="1231"/>
      <c r="W33" s="1231"/>
      <c r="X33" s="1231"/>
      <c r="Y33" s="1231"/>
      <c r="Z33" s="1231"/>
      <c r="AA33" s="1231"/>
      <c r="AB33" s="1231"/>
      <c r="AC33" s="1231"/>
      <c r="AD33" s="1231"/>
      <c r="AE33" s="1231"/>
      <c r="AF33" s="1231"/>
      <c r="AG33" s="1231"/>
      <c r="AH33" s="1231"/>
      <c r="AI33" s="1231"/>
      <c r="AJ33" s="1231"/>
      <c r="AK33" s="1231"/>
    </row>
    <row r="34" spans="1:37" s="1250" customFormat="1" ht="24" customHeight="1">
      <c r="A34" s="1565"/>
      <c r="B34" s="2475"/>
      <c r="C34" s="2472"/>
      <c r="D34" s="2472"/>
      <c r="E34" s="2472"/>
      <c r="F34" s="2497"/>
      <c r="G34" s="1251" t="s">
        <v>11</v>
      </c>
      <c r="H34" s="1248">
        <v>48.023130000000002</v>
      </c>
      <c r="I34" s="1248">
        <v>48.023130000000002</v>
      </c>
      <c r="J34" s="1548">
        <v>19.148589999999999</v>
      </c>
      <c r="K34" s="1549">
        <v>19.148589999999999</v>
      </c>
      <c r="L34" s="1549">
        <v>0</v>
      </c>
      <c r="M34" s="1549">
        <v>19.148589999999999</v>
      </c>
      <c r="N34" s="2481"/>
      <c r="O34" s="2400"/>
      <c r="P34" s="2500"/>
      <c r="Q34" s="2493"/>
      <c r="R34" s="1231"/>
      <c r="S34" s="1231"/>
      <c r="T34" s="1231"/>
      <c r="U34" s="1231"/>
      <c r="V34" s="1231"/>
      <c r="W34" s="1231"/>
      <c r="X34" s="1231"/>
      <c r="Y34" s="1231"/>
      <c r="Z34" s="1231"/>
      <c r="AA34" s="1231"/>
      <c r="AB34" s="1231"/>
      <c r="AC34" s="1231"/>
      <c r="AD34" s="1231"/>
      <c r="AE34" s="1231"/>
      <c r="AF34" s="1231"/>
      <c r="AG34" s="1231"/>
      <c r="AH34" s="1231"/>
      <c r="AI34" s="1231"/>
      <c r="AJ34" s="1231"/>
      <c r="AK34" s="1231"/>
    </row>
    <row r="35" spans="1:37" s="1250" customFormat="1" ht="24" customHeight="1">
      <c r="A35" s="1566"/>
      <c r="B35" s="2476"/>
      <c r="C35" s="2473"/>
      <c r="D35" s="2473"/>
      <c r="E35" s="2473"/>
      <c r="F35" s="2498"/>
      <c r="G35" s="1251" t="s">
        <v>12</v>
      </c>
      <c r="H35" s="1248">
        <v>0</v>
      </c>
      <c r="I35" s="1249">
        <v>0</v>
      </c>
      <c r="J35" s="1548">
        <v>0</v>
      </c>
      <c r="K35" s="1549">
        <v>0</v>
      </c>
      <c r="L35" s="1549">
        <v>0</v>
      </c>
      <c r="M35" s="1549">
        <v>0</v>
      </c>
      <c r="N35" s="2482"/>
      <c r="O35" s="2401"/>
      <c r="P35" s="2501"/>
      <c r="Q35" s="2494"/>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7" s="1250" customFormat="1" ht="24" customHeight="1">
      <c r="A36" s="1564"/>
      <c r="B36" s="2474" t="s">
        <v>3438</v>
      </c>
      <c r="C36" s="2471" t="s">
        <v>3439</v>
      </c>
      <c r="D36" s="2471" t="s">
        <v>3429</v>
      </c>
      <c r="E36" s="2495" t="s">
        <v>3507</v>
      </c>
      <c r="F36" s="2496">
        <v>349770.9</v>
      </c>
      <c r="G36" s="1251" t="s">
        <v>8</v>
      </c>
      <c r="H36" s="1248">
        <f>SUM(H37:H40)</f>
        <v>0</v>
      </c>
      <c r="I36" s="1249">
        <f>SUM(I37:I40)</f>
        <v>0</v>
      </c>
      <c r="J36" s="1248">
        <f t="shared" ref="J36:M36" si="6">SUM(J37:J40)</f>
        <v>135522.9</v>
      </c>
      <c r="K36" s="1549">
        <f>K37+K38+K39</f>
        <v>104931.3</v>
      </c>
      <c r="L36" s="1549">
        <f>L37+L38+L39</f>
        <v>104931.3</v>
      </c>
      <c r="M36" s="1549">
        <f t="shared" si="6"/>
        <v>0</v>
      </c>
      <c r="N36" s="2399">
        <f>L36/J36</f>
        <v>0.77426988353997739</v>
      </c>
      <c r="O36" s="2399">
        <f>(I36+L36+M36)/F36</f>
        <v>0.30000008577042858</v>
      </c>
      <c r="P36" s="2483">
        <f>F36-H36-K36</f>
        <v>244839.60000000003</v>
      </c>
      <c r="Q36" s="2487" t="s">
        <v>3610</v>
      </c>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7" s="1250" customFormat="1" ht="24" customHeight="1">
      <c r="A37" s="1565"/>
      <c r="B37" s="2475"/>
      <c r="C37" s="2472"/>
      <c r="D37" s="2472"/>
      <c r="E37" s="2481"/>
      <c r="F37" s="2497"/>
      <c r="G37" s="1251" t="s">
        <v>9</v>
      </c>
      <c r="H37" s="1248">
        <v>0</v>
      </c>
      <c r="I37" s="1249">
        <v>0</v>
      </c>
      <c r="J37" s="1248">
        <v>7725.3</v>
      </c>
      <c r="K37" s="1549">
        <v>5981.5</v>
      </c>
      <c r="L37" s="1549">
        <v>5981.5</v>
      </c>
      <c r="M37" s="1549">
        <v>0</v>
      </c>
      <c r="N37" s="2400"/>
      <c r="O37" s="2400"/>
      <c r="P37" s="2484"/>
      <c r="Q37" s="2488"/>
      <c r="R37" s="1231"/>
      <c r="S37" s="1231"/>
      <c r="T37" s="1231"/>
      <c r="U37" s="1231"/>
      <c r="V37" s="1231"/>
      <c r="W37" s="1231"/>
      <c r="X37" s="1231"/>
      <c r="Y37" s="1231"/>
      <c r="Z37" s="1231"/>
      <c r="AA37" s="1231"/>
      <c r="AB37" s="1231"/>
      <c r="AC37" s="1231"/>
      <c r="AD37" s="1231"/>
      <c r="AE37" s="1231"/>
      <c r="AF37" s="1231"/>
      <c r="AG37" s="1231"/>
      <c r="AH37" s="1231"/>
      <c r="AI37" s="1231"/>
      <c r="AJ37" s="1231"/>
      <c r="AK37" s="1231"/>
    </row>
    <row r="38" spans="1:37" s="1250" customFormat="1" ht="24" customHeight="1">
      <c r="A38" s="1565">
        <v>6</v>
      </c>
      <c r="B38" s="2475"/>
      <c r="C38" s="2472"/>
      <c r="D38" s="2472"/>
      <c r="E38" s="2481"/>
      <c r="F38" s="2497"/>
      <c r="G38" s="1251" t="s">
        <v>10</v>
      </c>
      <c r="H38" s="1248">
        <v>0</v>
      </c>
      <c r="I38" s="1249">
        <v>0</v>
      </c>
      <c r="J38" s="1248">
        <v>127391</v>
      </c>
      <c r="K38" s="1549">
        <v>98635</v>
      </c>
      <c r="L38" s="1549">
        <v>98635</v>
      </c>
      <c r="M38" s="1549">
        <v>0</v>
      </c>
      <c r="N38" s="2400"/>
      <c r="O38" s="2400"/>
      <c r="P38" s="2484"/>
      <c r="Q38" s="2488"/>
      <c r="R38" s="1231"/>
      <c r="S38" s="1231"/>
      <c r="T38" s="1231"/>
      <c r="U38" s="1231"/>
      <c r="V38" s="1231"/>
      <c r="W38" s="1231"/>
      <c r="X38" s="1231"/>
      <c r="Y38" s="1231"/>
      <c r="Z38" s="1231"/>
      <c r="AA38" s="1231"/>
      <c r="AB38" s="1231"/>
      <c r="AC38" s="1231"/>
      <c r="AD38" s="1231"/>
      <c r="AE38" s="1231"/>
      <c r="AF38" s="1231"/>
      <c r="AG38" s="1231"/>
      <c r="AH38" s="1231"/>
      <c r="AI38" s="1231"/>
      <c r="AJ38" s="1231"/>
      <c r="AK38" s="1231"/>
    </row>
    <row r="39" spans="1:37" s="1250" customFormat="1" ht="24" customHeight="1">
      <c r="A39" s="1565"/>
      <c r="B39" s="2475"/>
      <c r="C39" s="2472"/>
      <c r="D39" s="2472"/>
      <c r="E39" s="2481"/>
      <c r="F39" s="2497"/>
      <c r="G39" s="1251" t="s">
        <v>11</v>
      </c>
      <c r="H39" s="1248">
        <v>0</v>
      </c>
      <c r="I39" s="1249">
        <v>0</v>
      </c>
      <c r="J39" s="1248">
        <v>406.6</v>
      </c>
      <c r="K39" s="1549">
        <v>314.8</v>
      </c>
      <c r="L39" s="1549">
        <v>314.8</v>
      </c>
      <c r="M39" s="1549">
        <v>0</v>
      </c>
      <c r="N39" s="2400"/>
      <c r="O39" s="2400"/>
      <c r="P39" s="2484"/>
      <c r="Q39" s="2488"/>
      <c r="R39" s="1231"/>
      <c r="S39" s="1231"/>
      <c r="T39" s="1231"/>
      <c r="U39" s="1231"/>
      <c r="V39" s="1231"/>
      <c r="W39" s="1231"/>
      <c r="X39" s="1231"/>
      <c r="Y39" s="1231"/>
      <c r="Z39" s="1231"/>
      <c r="AA39" s="1231"/>
      <c r="AB39" s="1231"/>
      <c r="AC39" s="1231"/>
      <c r="AD39" s="1231"/>
      <c r="AE39" s="1231"/>
      <c r="AF39" s="1231"/>
      <c r="AG39" s="1231"/>
      <c r="AH39" s="1231"/>
      <c r="AI39" s="1231"/>
      <c r="AJ39" s="1231"/>
      <c r="AK39" s="1231"/>
    </row>
    <row r="40" spans="1:37" s="1250" customFormat="1" ht="24" customHeight="1">
      <c r="A40" s="1566"/>
      <c r="B40" s="2476"/>
      <c r="C40" s="2473"/>
      <c r="D40" s="2473"/>
      <c r="E40" s="2482"/>
      <c r="F40" s="2498"/>
      <c r="G40" s="1251" t="s">
        <v>12</v>
      </c>
      <c r="H40" s="1248">
        <v>0</v>
      </c>
      <c r="I40" s="1249">
        <v>0</v>
      </c>
      <c r="J40" s="1248">
        <v>0</v>
      </c>
      <c r="K40" s="1549">
        <v>0</v>
      </c>
      <c r="L40" s="1549">
        <v>0</v>
      </c>
      <c r="M40" s="1549">
        <v>0</v>
      </c>
      <c r="N40" s="2401"/>
      <c r="O40" s="2401"/>
      <c r="P40" s="2485"/>
      <c r="Q40" s="2489"/>
      <c r="R40" s="1231"/>
      <c r="S40" s="1231"/>
      <c r="T40" s="1231"/>
      <c r="U40" s="1231"/>
      <c r="V40" s="1231"/>
      <c r="W40" s="1231"/>
      <c r="X40" s="1231"/>
      <c r="Y40" s="1231"/>
      <c r="Z40" s="1231"/>
      <c r="AA40" s="1231"/>
      <c r="AB40" s="1231"/>
      <c r="AC40" s="1231"/>
      <c r="AD40" s="1231"/>
      <c r="AE40" s="1231"/>
      <c r="AF40" s="1231"/>
      <c r="AG40" s="1231"/>
      <c r="AH40" s="1231"/>
      <c r="AI40" s="1231"/>
      <c r="AJ40" s="1231"/>
      <c r="AK40" s="1231"/>
    </row>
    <row r="41" spans="1:37">
      <c r="A41" s="2415">
        <v>7</v>
      </c>
      <c r="B41" s="2418" t="s">
        <v>3075</v>
      </c>
      <c r="C41" s="2421" t="s">
        <v>5327</v>
      </c>
      <c r="D41" s="2421" t="s">
        <v>3429</v>
      </c>
      <c r="E41" s="2421" t="s">
        <v>5328</v>
      </c>
      <c r="F41" s="2411" t="s">
        <v>5329</v>
      </c>
      <c r="G41" s="984" t="s">
        <v>8</v>
      </c>
      <c r="H41" s="986">
        <f>H42+H43+H44+H45</f>
        <v>2970</v>
      </c>
      <c r="I41" s="986">
        <f t="shared" ref="I41:M45" si="7">I42+I43+I44+I45</f>
        <v>2970</v>
      </c>
      <c r="J41" s="986">
        <f t="shared" si="7"/>
        <v>3150</v>
      </c>
      <c r="K41" s="986">
        <v>0</v>
      </c>
      <c r="L41" s="986">
        <v>0</v>
      </c>
      <c r="M41" s="986">
        <f t="shared" si="7"/>
        <v>0</v>
      </c>
      <c r="N41" s="2399">
        <f>L41/J41</f>
        <v>0</v>
      </c>
      <c r="O41" s="2412">
        <v>4.8000000000000001E-2</v>
      </c>
      <c r="P41" s="2411" t="s">
        <v>5332</v>
      </c>
      <c r="Q41" s="2408" t="s">
        <v>5330</v>
      </c>
    </row>
    <row r="42" spans="1:37">
      <c r="A42" s="2416"/>
      <c r="B42" s="2419"/>
      <c r="C42" s="2338"/>
      <c r="D42" s="2338"/>
      <c r="E42" s="2338"/>
      <c r="F42" s="2370"/>
      <c r="G42" s="984" t="s">
        <v>9</v>
      </c>
      <c r="H42" s="986">
        <v>2821.5</v>
      </c>
      <c r="I42" s="986">
        <v>2821.5</v>
      </c>
      <c r="J42" s="1577">
        <v>2992.5</v>
      </c>
      <c r="K42" s="986">
        <v>0</v>
      </c>
      <c r="L42" s="986">
        <v>0</v>
      </c>
      <c r="M42" s="986">
        <f t="shared" si="7"/>
        <v>0</v>
      </c>
      <c r="N42" s="2400"/>
      <c r="O42" s="2413"/>
      <c r="P42" s="2370"/>
      <c r="Q42" s="2409"/>
    </row>
    <row r="43" spans="1:37">
      <c r="A43" s="2416"/>
      <c r="B43" s="2419"/>
      <c r="C43" s="2338"/>
      <c r="D43" s="2338"/>
      <c r="E43" s="2338"/>
      <c r="F43" s="2370"/>
      <c r="G43" s="984" t="s">
        <v>10</v>
      </c>
      <c r="H43" s="986">
        <v>0</v>
      </c>
      <c r="I43" s="986">
        <v>0</v>
      </c>
      <c r="J43" s="1577">
        <v>0</v>
      </c>
      <c r="K43" s="986">
        <v>0</v>
      </c>
      <c r="L43" s="986">
        <v>0</v>
      </c>
      <c r="M43" s="986">
        <f t="shared" si="7"/>
        <v>0</v>
      </c>
      <c r="N43" s="2400"/>
      <c r="O43" s="2413"/>
      <c r="P43" s="2370"/>
      <c r="Q43" s="2409"/>
    </row>
    <row r="44" spans="1:37">
      <c r="A44" s="2416"/>
      <c r="B44" s="2419"/>
      <c r="C44" s="2338"/>
      <c r="D44" s="2338"/>
      <c r="E44" s="2338"/>
      <c r="F44" s="2370"/>
      <c r="G44" s="984" t="s">
        <v>11</v>
      </c>
      <c r="H44" s="986">
        <v>148.5</v>
      </c>
      <c r="I44" s="986">
        <v>148.5</v>
      </c>
      <c r="J44" s="1577">
        <v>157.5</v>
      </c>
      <c r="K44" s="986">
        <v>0</v>
      </c>
      <c r="L44" s="986">
        <v>0</v>
      </c>
      <c r="M44" s="986">
        <f t="shared" si="7"/>
        <v>0</v>
      </c>
      <c r="N44" s="2400"/>
      <c r="O44" s="2413"/>
      <c r="P44" s="2370"/>
      <c r="Q44" s="2409"/>
    </row>
    <row r="45" spans="1:37">
      <c r="A45" s="2417"/>
      <c r="B45" s="2420"/>
      <c r="C45" s="2339"/>
      <c r="D45" s="2339"/>
      <c r="E45" s="2339"/>
      <c r="F45" s="2371"/>
      <c r="G45" s="984" t="s">
        <v>12</v>
      </c>
      <c r="H45" s="986">
        <v>0</v>
      </c>
      <c r="I45" s="986">
        <v>0</v>
      </c>
      <c r="J45" s="1577">
        <v>0</v>
      </c>
      <c r="K45" s="1578">
        <v>0</v>
      </c>
      <c r="L45" s="1578">
        <v>0</v>
      </c>
      <c r="M45" s="986">
        <f t="shared" si="7"/>
        <v>0</v>
      </c>
      <c r="N45" s="2401"/>
      <c r="O45" s="2414"/>
      <c r="P45" s="2371"/>
      <c r="Q45" s="2410"/>
    </row>
    <row r="46" spans="1:37">
      <c r="A46" s="2389">
        <v>8</v>
      </c>
      <c r="B46" s="2390" t="s">
        <v>5321</v>
      </c>
      <c r="C46" s="2393" t="s">
        <v>5322</v>
      </c>
      <c r="D46" s="2393" t="s">
        <v>5323</v>
      </c>
      <c r="E46" s="2393" t="s">
        <v>5324</v>
      </c>
      <c r="F46" s="2396" t="s">
        <v>5325</v>
      </c>
      <c r="G46" s="984" t="s">
        <v>8</v>
      </c>
      <c r="H46" s="1573">
        <f>H47+H48</f>
        <v>467920.8</v>
      </c>
      <c r="I46" s="1573">
        <f>I47+I48</f>
        <v>467920.8</v>
      </c>
      <c r="J46" s="983">
        <f>J47+J48</f>
        <v>8220.8629000000001</v>
      </c>
      <c r="K46" s="983">
        <f t="shared" ref="K46:M46" si="8">SUM(K47:K48)</f>
        <v>0</v>
      </c>
      <c r="L46" s="983">
        <f t="shared" si="8"/>
        <v>0</v>
      </c>
      <c r="M46" s="983">
        <f t="shared" si="8"/>
        <v>0</v>
      </c>
      <c r="N46" s="2399">
        <f>L46/J46</f>
        <v>0</v>
      </c>
      <c r="O46" s="2402">
        <v>1</v>
      </c>
      <c r="P46" s="2405">
        <f>500275.8-6413.5-H46</f>
        <v>25941.5</v>
      </c>
      <c r="Q46" s="2408" t="s">
        <v>5326</v>
      </c>
    </row>
    <row r="47" spans="1:37">
      <c r="A47" s="2342"/>
      <c r="B47" s="2391"/>
      <c r="C47" s="2394"/>
      <c r="D47" s="2394"/>
      <c r="E47" s="2394"/>
      <c r="F47" s="2397"/>
      <c r="G47" s="984" t="s">
        <v>9</v>
      </c>
      <c r="H47" s="1574">
        <f>81226.5+166327.3+1505.5</f>
        <v>249059.3</v>
      </c>
      <c r="I47" s="1574">
        <f>81226.5+166327.3+1505.5</f>
        <v>249059.3</v>
      </c>
      <c r="J47" s="1575">
        <f>8220862.9/1000</f>
        <v>8220.8629000000001</v>
      </c>
      <c r="K47" s="1575">
        <v>0</v>
      </c>
      <c r="L47" s="1575">
        <v>0</v>
      </c>
      <c r="M47" s="983">
        <f t="shared" ref="M47" si="9">SUM(M48:M51)</f>
        <v>0</v>
      </c>
      <c r="N47" s="2400"/>
      <c r="O47" s="2403"/>
      <c r="P47" s="2406"/>
      <c r="Q47" s="2409"/>
    </row>
    <row r="48" spans="1:37">
      <c r="A48" s="2342"/>
      <c r="B48" s="2391"/>
      <c r="C48" s="2394"/>
      <c r="D48" s="2394"/>
      <c r="E48" s="2394"/>
      <c r="F48" s="2397"/>
      <c r="G48" s="984" t="s">
        <v>10</v>
      </c>
      <c r="H48" s="1576">
        <f>198861.5+20000</f>
        <v>218861.5</v>
      </c>
      <c r="I48" s="1576">
        <f>198861.5+20000</f>
        <v>218861.5</v>
      </c>
      <c r="J48" s="1575">
        <v>0</v>
      </c>
      <c r="K48" s="1575">
        <v>0</v>
      </c>
      <c r="L48" s="1575">
        <v>0</v>
      </c>
      <c r="M48" s="983">
        <f t="shared" ref="M48" si="10">SUM(M51:M52)</f>
        <v>0</v>
      </c>
      <c r="N48" s="2400"/>
      <c r="O48" s="2403"/>
      <c r="P48" s="2406"/>
      <c r="Q48" s="2409"/>
    </row>
    <row r="49" spans="1:17">
      <c r="A49" s="2342"/>
      <c r="B49" s="2391"/>
      <c r="C49" s="2394"/>
      <c r="D49" s="2394"/>
      <c r="E49" s="2394"/>
      <c r="F49" s="2397"/>
      <c r="G49" s="984" t="s">
        <v>11</v>
      </c>
      <c r="H49" s="1576">
        <v>0</v>
      </c>
      <c r="I49" s="1576">
        <v>0</v>
      </c>
      <c r="J49" s="1576">
        <v>0</v>
      </c>
      <c r="K49" s="1576">
        <v>0</v>
      </c>
      <c r="L49" s="1576">
        <v>0</v>
      </c>
      <c r="M49" s="1576">
        <v>0</v>
      </c>
      <c r="N49" s="2400"/>
      <c r="O49" s="2403"/>
      <c r="P49" s="2406"/>
      <c r="Q49" s="2409"/>
    </row>
    <row r="50" spans="1:17">
      <c r="A50" s="2343"/>
      <c r="B50" s="2392"/>
      <c r="C50" s="2395"/>
      <c r="D50" s="2395"/>
      <c r="E50" s="2395"/>
      <c r="F50" s="2398"/>
      <c r="G50" s="984" t="s">
        <v>12</v>
      </c>
      <c r="H50" s="1576">
        <v>0</v>
      </c>
      <c r="I50" s="1576">
        <v>0</v>
      </c>
      <c r="J50" s="1576">
        <v>0</v>
      </c>
      <c r="K50" s="1576">
        <v>0</v>
      </c>
      <c r="L50" s="1576">
        <v>0</v>
      </c>
      <c r="M50" s="1576">
        <v>0</v>
      </c>
      <c r="N50" s="2401"/>
      <c r="O50" s="2404"/>
      <c r="P50" s="2407"/>
      <c r="Q50" s="2410"/>
    </row>
  </sheetData>
  <mergeCells count="96">
    <mergeCell ref="B31:B35"/>
    <mergeCell ref="C31:C35"/>
    <mergeCell ref="D31:D35"/>
    <mergeCell ref="B36:B40"/>
    <mergeCell ref="C36:C40"/>
    <mergeCell ref="D36:D40"/>
    <mergeCell ref="E36:E40"/>
    <mergeCell ref="F36:F40"/>
    <mergeCell ref="O31:O35"/>
    <mergeCell ref="P31:P35"/>
    <mergeCell ref="E26:E30"/>
    <mergeCell ref="F26:F30"/>
    <mergeCell ref="E31:E35"/>
    <mergeCell ref="F31:F35"/>
    <mergeCell ref="Q36:Q40"/>
    <mergeCell ref="N26:N30"/>
    <mergeCell ref="O26:O30"/>
    <mergeCell ref="P26:P30"/>
    <mergeCell ref="Q26:Q30"/>
    <mergeCell ref="Q31:Q35"/>
    <mergeCell ref="N31:N35"/>
    <mergeCell ref="N36:N40"/>
    <mergeCell ref="O36:O40"/>
    <mergeCell ref="P36:P40"/>
    <mergeCell ref="A21:A25"/>
    <mergeCell ref="B21:B25"/>
    <mergeCell ref="C21:C25"/>
    <mergeCell ref="D21:D25"/>
    <mergeCell ref="E21:E25"/>
    <mergeCell ref="B26:B30"/>
    <mergeCell ref="C26:C30"/>
    <mergeCell ref="D26:D30"/>
    <mergeCell ref="Q16:Q20"/>
    <mergeCell ref="F21:F25"/>
    <mergeCell ref="N21:N25"/>
    <mergeCell ref="O21:O25"/>
    <mergeCell ref="P21:P25"/>
    <mergeCell ref="Q21:Q25"/>
    <mergeCell ref="N16:N20"/>
    <mergeCell ref="O16:O20"/>
    <mergeCell ref="P16:P20"/>
    <mergeCell ref="F16:F20"/>
    <mergeCell ref="A16:A20"/>
    <mergeCell ref="B16:B20"/>
    <mergeCell ref="C16:C20"/>
    <mergeCell ref="D16:D20"/>
    <mergeCell ref="E16:E20"/>
    <mergeCell ref="F12:F15"/>
    <mergeCell ref="A6:A10"/>
    <mergeCell ref="B6:F10"/>
    <mergeCell ref="O6:O10"/>
    <mergeCell ref="P6:P10"/>
    <mergeCell ref="A12:A15"/>
    <mergeCell ref="B12:B15"/>
    <mergeCell ref="C12:C15"/>
    <mergeCell ref="D12:D15"/>
    <mergeCell ref="E12:E15"/>
    <mergeCell ref="Q6:Q10"/>
    <mergeCell ref="N12:N15"/>
    <mergeCell ref="O12:O15"/>
    <mergeCell ref="P12:P15"/>
    <mergeCell ref="Q12:Q15"/>
    <mergeCell ref="A2:Q2"/>
    <mergeCell ref="A4:A5"/>
    <mergeCell ref="B4:B5"/>
    <mergeCell ref="C4:C5"/>
    <mergeCell ref="D4:D5"/>
    <mergeCell ref="E4:E5"/>
    <mergeCell ref="F4:F5"/>
    <mergeCell ref="G4:G5"/>
    <mergeCell ref="H4:I4"/>
    <mergeCell ref="J4:J5"/>
    <mergeCell ref="K4:N4"/>
    <mergeCell ref="O4:O5"/>
    <mergeCell ref="P4:P5"/>
    <mergeCell ref="Q4:Q5"/>
    <mergeCell ref="A41:A45"/>
    <mergeCell ref="B41:B45"/>
    <mergeCell ref="C41:C45"/>
    <mergeCell ref="D41:D45"/>
    <mergeCell ref="E41:E45"/>
    <mergeCell ref="F41:F45"/>
    <mergeCell ref="O41:O45"/>
    <mergeCell ref="P41:P45"/>
    <mergeCell ref="Q41:Q45"/>
    <mergeCell ref="N41:N45"/>
    <mergeCell ref="F46:F50"/>
    <mergeCell ref="N46:N50"/>
    <mergeCell ref="O46:O50"/>
    <mergeCell ref="P46:P50"/>
    <mergeCell ref="Q46:Q50"/>
    <mergeCell ref="A46:A50"/>
    <mergeCell ref="B46:B50"/>
    <mergeCell ref="C46:C50"/>
    <mergeCell ref="D46:D50"/>
    <mergeCell ref="E46:E50"/>
  </mergeCells>
  <pageMargins left="0.19685039370078738" right="0.19685039370078738" top="0.74803149606299213" bottom="0.74803149606299213" header="0.31496062992125984" footer="0.31496062992125984"/>
  <pageSetup paperSize="9" scale="60" firstPageNumber="4294967295"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34</vt:i4>
      </vt:variant>
      <vt:variant>
        <vt:lpstr>Именованные диапазоны</vt:lpstr>
      </vt:variant>
      <vt:variant>
        <vt:i4>31</vt:i4>
      </vt:variant>
    </vt:vector>
  </HeadingPairs>
  <TitlesOfParts>
    <vt:vector size="65" baseType="lpstr">
      <vt:lpstr>8 План18-20-2</vt:lpstr>
      <vt:lpstr>3. ОМ</vt:lpstr>
      <vt:lpstr>Исп.бюдж.01.01.2019</vt:lpstr>
      <vt:lpstr>8 План18-20-5</vt:lpstr>
      <vt:lpstr>12А</vt:lpstr>
      <vt:lpstr>12Б_СТРОЙКА_НОВЫЙ</vt:lpstr>
      <vt:lpstr>НП</vt:lpstr>
      <vt:lpstr>программа</vt:lpstr>
      <vt:lpstr>12Б_СТРОЙКА_9мес.</vt:lpstr>
      <vt:lpstr>475ПП</vt:lpstr>
      <vt:lpstr>Документ</vt:lpstr>
      <vt:lpstr>12А_МИНСТРОЙ</vt:lpstr>
      <vt:lpstr>12Б_СТРОЙКА_СТАРЫЙ</vt:lpstr>
      <vt:lpstr>2023_КАССА</vt:lpstr>
      <vt:lpstr>Минфин</vt:lpstr>
      <vt:lpstr>Муниципальные</vt:lpstr>
      <vt:lpstr>Областные</vt:lpstr>
      <vt:lpstr>Пр ГП 19-20</vt:lpstr>
      <vt:lpstr>Исп.бюдж 01.07.19</vt:lpstr>
      <vt:lpstr>11д. Оц эф</vt:lpstr>
      <vt:lpstr>11г</vt:lpstr>
      <vt:lpstr>4. ОКС</vt:lpstr>
      <vt:lpstr>8 План16-20</vt:lpstr>
      <vt:lpstr>668-ПП</vt:lpstr>
      <vt:lpstr>МИНСТРОЙ_12А</vt:lpstr>
      <vt:lpstr>12Б_2023</vt:lpstr>
      <vt:lpstr>12Б_2023_старая</vt:lpstr>
      <vt:lpstr>12В</vt:lpstr>
      <vt:lpstr>12Г</vt:lpstr>
      <vt:lpstr>12Д</vt:lpstr>
      <vt:lpstr>2023</vt:lpstr>
      <vt:lpstr>Документ (2)</vt:lpstr>
      <vt:lpstr>НОВЫЙ</vt:lpstr>
      <vt:lpstr>Документ_2</vt:lpstr>
      <vt:lpstr>'475ПП'!Print_Titles</vt:lpstr>
      <vt:lpstr>'668-ПП'!Print_Titles</vt:lpstr>
      <vt:lpstr>НОВЫЙ!Print_Titles</vt:lpstr>
      <vt:lpstr>'12Г'!Заголовки_для_печати</vt:lpstr>
      <vt:lpstr>Документ!Заголовки_для_печати</vt:lpstr>
      <vt:lpstr>'Документ (2)'!Заголовки_для_печати</vt:lpstr>
      <vt:lpstr>Документ_2!Заголовки_для_печати</vt:lpstr>
      <vt:lpstr>Минфин!Заголовки_для_печати</vt:lpstr>
      <vt:lpstr>Муниципальные!Заголовки_для_печати</vt:lpstr>
      <vt:lpstr>НП!Заголовки_для_печати</vt:lpstr>
      <vt:lpstr>Областные!Заголовки_для_печати</vt:lpstr>
      <vt:lpstr>программа!Заголовки_для_печати</vt:lpstr>
      <vt:lpstr>'11д. Оц эф'!Область_печати</vt:lpstr>
      <vt:lpstr>'12А'!Область_печати</vt:lpstr>
      <vt:lpstr>'12А_МИНСТРОЙ'!Область_печати</vt:lpstr>
      <vt:lpstr>'12В'!Область_печати</vt:lpstr>
      <vt:lpstr>'12Г'!Область_печати</vt:lpstr>
      <vt:lpstr>'12Д'!Область_печати</vt:lpstr>
      <vt:lpstr>'2023'!Область_печати</vt:lpstr>
      <vt:lpstr>'2023_КАССА'!Область_печати</vt:lpstr>
      <vt:lpstr>'3. ОМ'!Область_печати</vt:lpstr>
      <vt:lpstr>'4. ОКС'!Область_печати</vt:lpstr>
      <vt:lpstr>'475ПП'!Область_печати</vt:lpstr>
      <vt:lpstr>'668-ПП'!Область_печати</vt:lpstr>
      <vt:lpstr>'8 План16-20'!Область_печати</vt:lpstr>
      <vt:lpstr>'8 План18-20-2'!Область_печати</vt:lpstr>
      <vt:lpstr>'8 План18-20-5'!Область_печати</vt:lpstr>
      <vt:lpstr>'Документ (2)'!Область_печати</vt:lpstr>
      <vt:lpstr>МИНСТРОЙ_12А!Область_печати</vt:lpstr>
      <vt:lpstr>НОВЫЙ!Область_печати</vt:lpstr>
      <vt:lpstr>'Пр ГП 19-20'!Область_печати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Богданов В.В.</dc:creator>
  <cp:lastModifiedBy>Мисюк Т.П.</cp:lastModifiedBy>
  <cp:lastPrinted>2024-04-05T13:20:31Z</cp:lastPrinted>
  <dcterms:created xsi:type="dcterms:W3CDTF">2017-05-03T14:05:21Z</dcterms:created>
  <dcterms:modified xsi:type="dcterms:W3CDTF">2024-04-24T09:10:30Z</dcterms:modified>
</cp:coreProperties>
</file>